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81" documentId="13_ncr:1_{17827248-CB59-4D91-B2D1-DEBA9884B621}" xr6:coauthVersionLast="47" xr6:coauthVersionMax="47" xr10:uidLastSave="{17F25D93-E7B1-45CD-BFB2-7CB96CDD977F}"/>
  <bookViews>
    <workbookView xWindow="-110" yWindow="-110" windowWidth="19420" windowHeight="10300" tabRatio="782" firstSheet="1" activeTab="1" xr2:uid="{53CC7AEF-662A-4E1F-BC89-5C6A7906549E}"/>
  </bookViews>
  <sheets>
    <sheet name="Dashboard" sheetId="9" r:id="rId1"/>
    <sheet name="Annual_KPI" sheetId="10" r:id="rId2"/>
    <sheet name="Monthly_KPI" sheetId="8" r:id="rId3"/>
    <sheet name="Raw_Data" sheetId="1" r:id="rId4"/>
    <sheet name="Daily KPI" sheetId="19" r:id="rId5"/>
    <sheet name="PA" sheetId="5" r:id="rId6"/>
    <sheet name="GA" sheetId="7" r:id="rId7"/>
    <sheet name="Inv_SY" sheetId="13" r:id="rId8"/>
    <sheet name="ModellingYTD" sheetId="18" state="hidden" r:id="rId9"/>
    <sheet name="Basic Data " sheetId="3" state="hidden" r:id="rId10"/>
    <sheet name="Inv_SY_B" sheetId="12" r:id="rId11"/>
    <sheet name="Curtailment records" sheetId="11" r:id="rId12"/>
    <sheet name="WMS Graph" sheetId="17" r:id="rId13"/>
    <sheet name="Modelling New" sheetId="20" r:id="rId14"/>
    <sheet name="Sheet1" sheetId="14" state="hidden" r:id="rId15"/>
    <sheet name="CSPPL_PVS" sheetId="16" state="hidden" r:id="rId16"/>
  </sheets>
  <definedNames>
    <definedName name="LB_End_Date">#REF!</definedName>
    <definedName name="LB_Start_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0" l="1"/>
  <c r="B12" i="10"/>
  <c r="J12" i="10" s="1"/>
  <c r="B13" i="10"/>
  <c r="I13" i="10" s="1"/>
  <c r="B14" i="10"/>
  <c r="I14" i="10" s="1"/>
  <c r="B15" i="10"/>
  <c r="I15" i="10" s="1"/>
  <c r="B16" i="10"/>
  <c r="I16" i="10" s="1"/>
  <c r="B17" i="10"/>
  <c r="B18" i="10"/>
  <c r="B19" i="10"/>
  <c r="J19" i="10" s="1"/>
  <c r="B20" i="10"/>
  <c r="B21" i="10"/>
  <c r="I21" i="10" s="1"/>
  <c r="B10" i="10"/>
  <c r="C11" i="10"/>
  <c r="D11" i="10"/>
  <c r="E11" i="10"/>
  <c r="G11" i="10" s="1"/>
  <c r="F11" i="10"/>
  <c r="H11" i="10" s="1"/>
  <c r="L11" i="10"/>
  <c r="N11" i="10"/>
  <c r="O11" i="10"/>
  <c r="P11" i="10"/>
  <c r="C12" i="10"/>
  <c r="D12" i="10"/>
  <c r="E12" i="10"/>
  <c r="G12" i="10" s="1"/>
  <c r="F12" i="10"/>
  <c r="H12" i="10" s="1"/>
  <c r="L12" i="10"/>
  <c r="N12" i="10"/>
  <c r="O12" i="10"/>
  <c r="P12" i="10"/>
  <c r="C13" i="10"/>
  <c r="D13" i="10"/>
  <c r="E13" i="10"/>
  <c r="G13" i="10" s="1"/>
  <c r="F13" i="10"/>
  <c r="H13" i="10" s="1"/>
  <c r="L13" i="10"/>
  <c r="N13" i="10"/>
  <c r="O13" i="10"/>
  <c r="P13" i="10"/>
  <c r="C14" i="10"/>
  <c r="D14" i="10"/>
  <c r="E14" i="10"/>
  <c r="G14" i="10" s="1"/>
  <c r="F14" i="10"/>
  <c r="H14" i="10"/>
  <c r="L14" i="10"/>
  <c r="N14" i="10"/>
  <c r="O14" i="10"/>
  <c r="P14" i="10"/>
  <c r="C15" i="10"/>
  <c r="D15" i="10"/>
  <c r="E15" i="10"/>
  <c r="F15" i="10"/>
  <c r="G15" i="10"/>
  <c r="H15" i="10"/>
  <c r="L15" i="10"/>
  <c r="N15" i="10"/>
  <c r="O15" i="10"/>
  <c r="P15" i="10"/>
  <c r="C16" i="10"/>
  <c r="D16" i="10"/>
  <c r="E16" i="10"/>
  <c r="F16" i="10"/>
  <c r="G16" i="10"/>
  <c r="H16" i="10"/>
  <c r="L16" i="10"/>
  <c r="N16" i="10"/>
  <c r="O16" i="10"/>
  <c r="P16" i="10"/>
  <c r="C17" i="10"/>
  <c r="D17" i="10"/>
  <c r="E17" i="10"/>
  <c r="I17" i="10" s="1"/>
  <c r="F17" i="10"/>
  <c r="H17" i="10" s="1"/>
  <c r="G17" i="10"/>
  <c r="L17" i="10"/>
  <c r="N17" i="10"/>
  <c r="O17" i="10"/>
  <c r="P17" i="10"/>
  <c r="C18" i="10"/>
  <c r="D18" i="10"/>
  <c r="E18" i="10"/>
  <c r="G18" i="10" s="1"/>
  <c r="F18" i="10"/>
  <c r="H18" i="10" s="1"/>
  <c r="L18" i="10"/>
  <c r="N18" i="10"/>
  <c r="O18" i="10"/>
  <c r="P18" i="10"/>
  <c r="C19" i="10"/>
  <c r="D19" i="10"/>
  <c r="E19" i="10"/>
  <c r="G19" i="10" s="1"/>
  <c r="F19" i="10"/>
  <c r="H19" i="10" s="1"/>
  <c r="L19" i="10"/>
  <c r="N19" i="10"/>
  <c r="O19" i="10"/>
  <c r="P19" i="10"/>
  <c r="I20" i="10"/>
  <c r="C20" i="10"/>
  <c r="D20" i="10"/>
  <c r="E20" i="10"/>
  <c r="G20" i="10" s="1"/>
  <c r="F20" i="10"/>
  <c r="H20" i="10" s="1"/>
  <c r="L20" i="10"/>
  <c r="N20" i="10"/>
  <c r="O20" i="10"/>
  <c r="P20" i="10"/>
  <c r="C21" i="10"/>
  <c r="D21" i="10"/>
  <c r="E21" i="10"/>
  <c r="G21" i="10" s="1"/>
  <c r="F21" i="10"/>
  <c r="H21" i="10" s="1"/>
  <c r="L21" i="10"/>
  <c r="N21" i="10"/>
  <c r="O21" i="10"/>
  <c r="P21" i="10"/>
  <c r="A4" i="11"/>
  <c r="A5" i="11"/>
  <c r="A6"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 i="11"/>
  <c r="B7" i="7"/>
  <c r="B8" i="7"/>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6" i="7"/>
  <c r="A6" i="5"/>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5" i="5"/>
  <c r="O457" i="5"/>
  <c r="D454" i="5"/>
  <c r="H454" i="5"/>
  <c r="R454" i="5"/>
  <c r="T454" i="5" s="1"/>
  <c r="U454" i="5" s="1"/>
  <c r="S454" i="5"/>
  <c r="AD454" i="5"/>
  <c r="AE454" i="5"/>
  <c r="AF454" i="5"/>
  <c r="AG454" i="5"/>
  <c r="D448" i="5"/>
  <c r="D449" i="5"/>
  <c r="D450" i="5"/>
  <c r="D451" i="5"/>
  <c r="D452" i="5"/>
  <c r="D453" i="5"/>
  <c r="H448" i="5"/>
  <c r="H449" i="5"/>
  <c r="H450" i="5"/>
  <c r="H451" i="5"/>
  <c r="H452" i="5"/>
  <c r="H453" i="5"/>
  <c r="R448" i="5"/>
  <c r="R449" i="5"/>
  <c r="R450" i="5"/>
  <c r="R451" i="5"/>
  <c r="R452" i="5"/>
  <c r="R453" i="5"/>
  <c r="S448" i="5"/>
  <c r="S449" i="5"/>
  <c r="S450" i="5"/>
  <c r="S451" i="5"/>
  <c r="S452" i="5"/>
  <c r="S453" i="5"/>
  <c r="AD448" i="5"/>
  <c r="AD449" i="5"/>
  <c r="AD450" i="5"/>
  <c r="AD451" i="5"/>
  <c r="AD452" i="5"/>
  <c r="AD453" i="5"/>
  <c r="AE448" i="5"/>
  <c r="AE449" i="5"/>
  <c r="AE450" i="5"/>
  <c r="AE451" i="5"/>
  <c r="AE452" i="5"/>
  <c r="AE453" i="5"/>
  <c r="AF449" i="5"/>
  <c r="AF450" i="5"/>
  <c r="AF451" i="5"/>
  <c r="AF452" i="5"/>
  <c r="AF453" i="5"/>
  <c r="AG448" i="5"/>
  <c r="AG449" i="5"/>
  <c r="AG450" i="5"/>
  <c r="AG451" i="5"/>
  <c r="AG452" i="5"/>
  <c r="AG453" i="5"/>
  <c r="D447" i="5"/>
  <c r="H447" i="5"/>
  <c r="R447" i="5"/>
  <c r="S447" i="5"/>
  <c r="AD447" i="5"/>
  <c r="AE447" i="5"/>
  <c r="AG447" i="5"/>
  <c r="IP119" i="1"/>
  <c r="IQ119" i="1"/>
  <c r="IV119" i="1" s="1"/>
  <c r="IR119" i="1"/>
  <c r="IS119" i="1"/>
  <c r="IT119" i="1"/>
  <c r="IU119" i="1"/>
  <c r="ID119" i="1"/>
  <c r="IE119" i="1"/>
  <c r="IF119" i="1"/>
  <c r="IG119" i="1"/>
  <c r="IH119" i="1"/>
  <c r="II119" i="1"/>
  <c r="IJ119" i="1"/>
  <c r="IK119" i="1"/>
  <c r="IL119" i="1"/>
  <c r="IM119" i="1"/>
  <c r="IN119" i="1"/>
  <c r="IO119" i="1"/>
  <c r="IX119" i="1"/>
  <c r="IZ119" i="1"/>
  <c r="JA119" i="1"/>
  <c r="JB119" i="1"/>
  <c r="JE119" i="1"/>
  <c r="JF119" i="1"/>
  <c r="JG119" i="1"/>
  <c r="JH119" i="1"/>
  <c r="JI119" i="1"/>
  <c r="JL119" i="1"/>
  <c r="D441" i="5"/>
  <c r="D442" i="5"/>
  <c r="D443" i="5"/>
  <c r="D444" i="5"/>
  <c r="D445" i="5"/>
  <c r="D446" i="5"/>
  <c r="H441" i="5"/>
  <c r="H442" i="5"/>
  <c r="H443" i="5"/>
  <c r="H444" i="5"/>
  <c r="H445" i="5"/>
  <c r="H446" i="5"/>
  <c r="R441" i="5"/>
  <c r="T441" i="5" s="1"/>
  <c r="R442" i="5"/>
  <c r="T442" i="5" s="1"/>
  <c r="R443" i="5"/>
  <c r="T443" i="5" s="1"/>
  <c r="V443" i="5" s="1"/>
  <c r="R444" i="5"/>
  <c r="T444" i="5" s="1"/>
  <c r="V444" i="5" s="1"/>
  <c r="R445" i="5"/>
  <c r="T445" i="5" s="1"/>
  <c r="V445" i="5" s="1"/>
  <c r="R446" i="5"/>
  <c r="T446" i="5" s="1"/>
  <c r="V446" i="5" s="1"/>
  <c r="S441" i="5"/>
  <c r="S442" i="5"/>
  <c r="S443" i="5"/>
  <c r="S444" i="5"/>
  <c r="S445" i="5"/>
  <c r="S446" i="5"/>
  <c r="AD441" i="5"/>
  <c r="AD442" i="5"/>
  <c r="AD443" i="5"/>
  <c r="AD444" i="5"/>
  <c r="AD445" i="5"/>
  <c r="AD446" i="5"/>
  <c r="AE441" i="5"/>
  <c r="AE442" i="5"/>
  <c r="AE443" i="5"/>
  <c r="AE444" i="5"/>
  <c r="AE445" i="5"/>
  <c r="AE446" i="5"/>
  <c r="AF441" i="5"/>
  <c r="AF442" i="5"/>
  <c r="AF443" i="5"/>
  <c r="AF444" i="5"/>
  <c r="AF445" i="5"/>
  <c r="AF446" i="5"/>
  <c r="AG441" i="5"/>
  <c r="AG442" i="5"/>
  <c r="AG443" i="5"/>
  <c r="AG444" i="5"/>
  <c r="AG445" i="5"/>
  <c r="AG446" i="5"/>
  <c r="D434" i="5"/>
  <c r="D435" i="5"/>
  <c r="D436" i="5"/>
  <c r="D437" i="5"/>
  <c r="D438" i="5"/>
  <c r="D439" i="5"/>
  <c r="D440" i="5"/>
  <c r="H434" i="5"/>
  <c r="H435" i="5"/>
  <c r="H436" i="5"/>
  <c r="H437" i="5"/>
  <c r="H438" i="5"/>
  <c r="H439" i="5"/>
  <c r="H440" i="5"/>
  <c r="R434" i="5"/>
  <c r="R435" i="5"/>
  <c r="R436" i="5"/>
  <c r="R437" i="5"/>
  <c r="R438" i="5"/>
  <c r="R439" i="5"/>
  <c r="R440" i="5"/>
  <c r="S434" i="5"/>
  <c r="S435" i="5"/>
  <c r="S436" i="5"/>
  <c r="S437" i="5"/>
  <c r="S438" i="5"/>
  <c r="S439" i="5"/>
  <c r="S440" i="5"/>
  <c r="AD434" i="5"/>
  <c r="AD435" i="5"/>
  <c r="AD436" i="5"/>
  <c r="AD437" i="5"/>
  <c r="AD438" i="5"/>
  <c r="AD439" i="5"/>
  <c r="AD440" i="5"/>
  <c r="AE434" i="5"/>
  <c r="AE435" i="5"/>
  <c r="AE436" i="5"/>
  <c r="AE437" i="5"/>
  <c r="AE438" i="5"/>
  <c r="AE439" i="5"/>
  <c r="AE440" i="5"/>
  <c r="AF434" i="5"/>
  <c r="AF435" i="5"/>
  <c r="AF436" i="5"/>
  <c r="AF437" i="5"/>
  <c r="AF438" i="5"/>
  <c r="AF439" i="5"/>
  <c r="AF440" i="5"/>
  <c r="AG434" i="5"/>
  <c r="AG435" i="5"/>
  <c r="AG436" i="5"/>
  <c r="AG437" i="5"/>
  <c r="AG438" i="5"/>
  <c r="AG439" i="5"/>
  <c r="AG440" i="5"/>
  <c r="IP118" i="1"/>
  <c r="IQ118" i="1"/>
  <c r="IR118" i="1"/>
  <c r="IS118" i="1"/>
  <c r="IT118" i="1"/>
  <c r="IU118" i="1"/>
  <c r="IW118" i="1" s="1"/>
  <c r="ID118" i="1"/>
  <c r="IE118" i="1"/>
  <c r="IF118" i="1"/>
  <c r="IG118" i="1"/>
  <c r="IH118" i="1"/>
  <c r="II118" i="1"/>
  <c r="IJ118" i="1"/>
  <c r="IK118" i="1"/>
  <c r="IL118" i="1"/>
  <c r="IM118" i="1"/>
  <c r="IN118" i="1"/>
  <c r="IO118" i="1"/>
  <c r="IX118" i="1"/>
  <c r="IZ118" i="1"/>
  <c r="JA118" i="1"/>
  <c r="JB118" i="1"/>
  <c r="JE118" i="1"/>
  <c r="JF118" i="1"/>
  <c r="JG118" i="1"/>
  <c r="JH118" i="1"/>
  <c r="JI118" i="1"/>
  <c r="JL118" i="1"/>
  <c r="IP117" i="1"/>
  <c r="IQ117" i="1"/>
  <c r="IR117" i="1"/>
  <c r="IS117" i="1"/>
  <c r="IT117" i="1"/>
  <c r="IU117" i="1"/>
  <c r="D427" i="5"/>
  <c r="D428" i="5"/>
  <c r="D429" i="5"/>
  <c r="D430" i="5"/>
  <c r="D431" i="5"/>
  <c r="D432" i="5"/>
  <c r="D433" i="5"/>
  <c r="H427" i="5"/>
  <c r="H428" i="5"/>
  <c r="H429" i="5"/>
  <c r="H430" i="5"/>
  <c r="H431" i="5"/>
  <c r="H432" i="5"/>
  <c r="H433" i="5"/>
  <c r="R427" i="5"/>
  <c r="R428" i="5"/>
  <c r="R429" i="5"/>
  <c r="R430" i="5"/>
  <c r="R431" i="5"/>
  <c r="R432" i="5"/>
  <c r="R433" i="5"/>
  <c r="S427" i="5"/>
  <c r="S428" i="5"/>
  <c r="S429" i="5"/>
  <c r="S430" i="5"/>
  <c r="S431" i="5"/>
  <c r="S432" i="5"/>
  <c r="S433" i="5"/>
  <c r="AD427" i="5"/>
  <c r="AD428" i="5"/>
  <c r="AD429" i="5"/>
  <c r="AD430" i="5"/>
  <c r="AD431" i="5"/>
  <c r="AD432" i="5"/>
  <c r="AD433" i="5"/>
  <c r="AE427" i="5"/>
  <c r="AE428" i="5"/>
  <c r="AE429" i="5"/>
  <c r="AE430" i="5"/>
  <c r="AE431" i="5"/>
  <c r="AE432" i="5"/>
  <c r="AE433" i="5"/>
  <c r="AF427" i="5"/>
  <c r="AF428" i="5"/>
  <c r="AF429" i="5"/>
  <c r="AF430" i="5"/>
  <c r="AF431" i="5"/>
  <c r="AF432" i="5"/>
  <c r="AF433" i="5"/>
  <c r="AG427" i="5"/>
  <c r="AG428" i="5"/>
  <c r="AG429" i="5"/>
  <c r="AG430" i="5"/>
  <c r="AG431" i="5"/>
  <c r="AG432" i="5"/>
  <c r="AG433" i="5"/>
  <c r="D426" i="5"/>
  <c r="H426" i="5"/>
  <c r="R426" i="5"/>
  <c r="S426" i="5"/>
  <c r="AD426" i="5"/>
  <c r="AE426" i="5"/>
  <c r="AF426" i="5"/>
  <c r="AG426" i="5"/>
  <c r="ID117" i="1"/>
  <c r="IE117" i="1"/>
  <c r="IF117" i="1"/>
  <c r="IG117" i="1"/>
  <c r="IH117" i="1"/>
  <c r="II117" i="1"/>
  <c r="IJ117" i="1"/>
  <c r="IK117" i="1"/>
  <c r="IL117" i="1"/>
  <c r="IM117" i="1"/>
  <c r="IN117" i="1"/>
  <c r="IO117" i="1"/>
  <c r="IX117" i="1"/>
  <c r="IZ117" i="1"/>
  <c r="JA117" i="1"/>
  <c r="JB117" i="1"/>
  <c r="JE117" i="1"/>
  <c r="JF117" i="1"/>
  <c r="JG117" i="1"/>
  <c r="JH117" i="1"/>
  <c r="JI117" i="1"/>
  <c r="JL117" i="1"/>
  <c r="D425" i="5"/>
  <c r="H425" i="5"/>
  <c r="R425" i="5"/>
  <c r="S425" i="5"/>
  <c r="AD425" i="5"/>
  <c r="AE425" i="5"/>
  <c r="AF425" i="5"/>
  <c r="AG425" i="5"/>
  <c r="D417" i="5"/>
  <c r="D418" i="5"/>
  <c r="D419" i="5"/>
  <c r="D420" i="5"/>
  <c r="D421" i="5"/>
  <c r="D422" i="5"/>
  <c r="D423" i="5"/>
  <c r="D424" i="5"/>
  <c r="H417" i="5"/>
  <c r="H418" i="5"/>
  <c r="H419" i="5"/>
  <c r="H420" i="5"/>
  <c r="H421" i="5"/>
  <c r="H422" i="5"/>
  <c r="H423" i="5"/>
  <c r="H424" i="5"/>
  <c r="R417" i="5"/>
  <c r="R418" i="5"/>
  <c r="T418" i="5" s="1"/>
  <c r="U418" i="5" s="1"/>
  <c r="R419" i="5"/>
  <c r="R420" i="5"/>
  <c r="R421" i="5"/>
  <c r="R422" i="5"/>
  <c r="R423" i="5"/>
  <c r="R424" i="5"/>
  <c r="S417" i="5"/>
  <c r="S418" i="5"/>
  <c r="S419" i="5"/>
  <c r="S420" i="5"/>
  <c r="S421" i="5"/>
  <c r="S422" i="5"/>
  <c r="S423" i="5"/>
  <c r="S424" i="5"/>
  <c r="AD417" i="5"/>
  <c r="AD418" i="5"/>
  <c r="AD419" i="5"/>
  <c r="AD420" i="5"/>
  <c r="AD421" i="5"/>
  <c r="AD422" i="5"/>
  <c r="AD423" i="5"/>
  <c r="AD424" i="5"/>
  <c r="AE417" i="5"/>
  <c r="AE418" i="5"/>
  <c r="AE419" i="5"/>
  <c r="AE420" i="5"/>
  <c r="AE421" i="5"/>
  <c r="AE422" i="5"/>
  <c r="AE423" i="5"/>
  <c r="AE424" i="5"/>
  <c r="AF417" i="5"/>
  <c r="AF418" i="5"/>
  <c r="AF419" i="5"/>
  <c r="AF420" i="5"/>
  <c r="AF421" i="5"/>
  <c r="AF422" i="5"/>
  <c r="AF423" i="5"/>
  <c r="AF424" i="5"/>
  <c r="AG417" i="5"/>
  <c r="AG418" i="5"/>
  <c r="AG419" i="5"/>
  <c r="AG420" i="5"/>
  <c r="AG421" i="5"/>
  <c r="AG422" i="5"/>
  <c r="AG423" i="5"/>
  <c r="AG424" i="5"/>
  <c r="IP116" i="1"/>
  <c r="IQ116" i="1"/>
  <c r="IR116" i="1"/>
  <c r="IS116" i="1"/>
  <c r="IT116" i="1"/>
  <c r="IU116" i="1"/>
  <c r="ID116" i="1"/>
  <c r="IE116" i="1"/>
  <c r="IF116" i="1"/>
  <c r="IG116" i="1"/>
  <c r="IH116" i="1"/>
  <c r="II116" i="1"/>
  <c r="IJ116" i="1"/>
  <c r="IK116" i="1"/>
  <c r="IL116" i="1"/>
  <c r="IM116" i="1"/>
  <c r="IN116" i="1"/>
  <c r="IO116" i="1"/>
  <c r="IX116" i="1"/>
  <c r="IZ116" i="1"/>
  <c r="JA116" i="1"/>
  <c r="JB116" i="1"/>
  <c r="JE116" i="1"/>
  <c r="JF116" i="1"/>
  <c r="JG116" i="1"/>
  <c r="JH116" i="1"/>
  <c r="JI116" i="1"/>
  <c r="JL116" i="1"/>
  <c r="D410" i="5"/>
  <c r="D411" i="5"/>
  <c r="D412" i="5"/>
  <c r="D413" i="5"/>
  <c r="D414" i="5"/>
  <c r="D415" i="5"/>
  <c r="D416" i="5"/>
  <c r="H410" i="5"/>
  <c r="H411" i="5"/>
  <c r="H412" i="5"/>
  <c r="H413" i="5"/>
  <c r="H414" i="5"/>
  <c r="H415" i="5"/>
  <c r="H416" i="5"/>
  <c r="R410" i="5"/>
  <c r="R411" i="5"/>
  <c r="R412" i="5"/>
  <c r="R413" i="5"/>
  <c r="R414" i="5"/>
  <c r="R415" i="5"/>
  <c r="R416" i="5"/>
  <c r="S410" i="5"/>
  <c r="S411" i="5"/>
  <c r="S412" i="5"/>
  <c r="S413" i="5"/>
  <c r="S414" i="5"/>
  <c r="S415" i="5"/>
  <c r="S416" i="5"/>
  <c r="AD410" i="5"/>
  <c r="AD411" i="5"/>
  <c r="AD412" i="5"/>
  <c r="AD413" i="5"/>
  <c r="AD414" i="5"/>
  <c r="AD415" i="5"/>
  <c r="AD416" i="5"/>
  <c r="AE410" i="5"/>
  <c r="AE411" i="5"/>
  <c r="AE412" i="5"/>
  <c r="AE413" i="5"/>
  <c r="AE414" i="5"/>
  <c r="AE415" i="5"/>
  <c r="AE416" i="5"/>
  <c r="AF410" i="5"/>
  <c r="AF411" i="5"/>
  <c r="AF412" i="5"/>
  <c r="AF413" i="5"/>
  <c r="AF414" i="5"/>
  <c r="AF415" i="5"/>
  <c r="AF416" i="5"/>
  <c r="AG410" i="5"/>
  <c r="AG411" i="5"/>
  <c r="AG412" i="5"/>
  <c r="AG413" i="5"/>
  <c r="AG414" i="5"/>
  <c r="AG415" i="5"/>
  <c r="AG416" i="5"/>
  <c r="D409" i="5"/>
  <c r="H409" i="5"/>
  <c r="R409" i="5"/>
  <c r="S409" i="5"/>
  <c r="AD409" i="5"/>
  <c r="AE409" i="5"/>
  <c r="AF409" i="5"/>
  <c r="AG409" i="5"/>
  <c r="IP115" i="1"/>
  <c r="IQ115" i="1"/>
  <c r="IR115" i="1"/>
  <c r="IS115" i="1"/>
  <c r="IT115" i="1"/>
  <c r="IU115" i="1"/>
  <c r="ID115" i="1"/>
  <c r="IE115" i="1"/>
  <c r="IF115" i="1"/>
  <c r="IG115" i="1"/>
  <c r="IH115" i="1"/>
  <c r="II115" i="1"/>
  <c r="IJ115" i="1"/>
  <c r="IK115" i="1"/>
  <c r="IL115" i="1"/>
  <c r="IM115" i="1"/>
  <c r="IN115" i="1"/>
  <c r="IO115" i="1"/>
  <c r="IX115" i="1"/>
  <c r="IZ115" i="1"/>
  <c r="JA115" i="1"/>
  <c r="JB115" i="1"/>
  <c r="JE115" i="1"/>
  <c r="JF115" i="1"/>
  <c r="JG115" i="1"/>
  <c r="JH115" i="1"/>
  <c r="JI115" i="1"/>
  <c r="JL115" i="1"/>
  <c r="D401" i="5"/>
  <c r="D402" i="5"/>
  <c r="D403" i="5"/>
  <c r="D404" i="5"/>
  <c r="D405" i="5"/>
  <c r="D406" i="5"/>
  <c r="D407" i="5"/>
  <c r="D408" i="5"/>
  <c r="H401" i="5"/>
  <c r="H402" i="5"/>
  <c r="H403" i="5"/>
  <c r="H404" i="5"/>
  <c r="H405" i="5"/>
  <c r="H406" i="5"/>
  <c r="H407" i="5"/>
  <c r="H408" i="5"/>
  <c r="R401" i="5"/>
  <c r="R402" i="5"/>
  <c r="R403" i="5"/>
  <c r="R404" i="5"/>
  <c r="R405" i="5"/>
  <c r="R406" i="5"/>
  <c r="R407" i="5"/>
  <c r="R408" i="5"/>
  <c r="S401" i="5"/>
  <c r="S402" i="5"/>
  <c r="S403" i="5"/>
  <c r="S404" i="5"/>
  <c r="S405" i="5"/>
  <c r="S406" i="5"/>
  <c r="S407" i="5"/>
  <c r="S408" i="5"/>
  <c r="AD401" i="5"/>
  <c r="AD402" i="5"/>
  <c r="AD403" i="5"/>
  <c r="AD404" i="5"/>
  <c r="AD405" i="5"/>
  <c r="AD406" i="5"/>
  <c r="AD407" i="5"/>
  <c r="AD408" i="5"/>
  <c r="AE401" i="5"/>
  <c r="AE402" i="5"/>
  <c r="AE403" i="5"/>
  <c r="AE404" i="5"/>
  <c r="AE405" i="5"/>
  <c r="AE406" i="5"/>
  <c r="AE407" i="5"/>
  <c r="AE408" i="5"/>
  <c r="AF401" i="5"/>
  <c r="AF402" i="5"/>
  <c r="AF403" i="5"/>
  <c r="AF404" i="5"/>
  <c r="AF405" i="5"/>
  <c r="AF406" i="5"/>
  <c r="AF407" i="5"/>
  <c r="AF408" i="5"/>
  <c r="AG401" i="5"/>
  <c r="AG402" i="5"/>
  <c r="AG403" i="5"/>
  <c r="AG404" i="5"/>
  <c r="AG405" i="5"/>
  <c r="AG406" i="5"/>
  <c r="AG407" i="5"/>
  <c r="AG408" i="5"/>
  <c r="IP114" i="1"/>
  <c r="IQ114" i="1"/>
  <c r="IR114" i="1"/>
  <c r="IS114" i="1"/>
  <c r="IT114" i="1"/>
  <c r="IU114" i="1"/>
  <c r="ID114" i="1"/>
  <c r="IE114" i="1"/>
  <c r="IF114" i="1"/>
  <c r="IG114" i="1"/>
  <c r="IH114" i="1"/>
  <c r="II114" i="1"/>
  <c r="IJ114" i="1"/>
  <c r="IK114" i="1"/>
  <c r="IL114" i="1"/>
  <c r="IM114" i="1"/>
  <c r="IN114" i="1"/>
  <c r="IO114" i="1"/>
  <c r="IX114" i="1"/>
  <c r="IZ114" i="1"/>
  <c r="JA114" i="1"/>
  <c r="JB114" i="1"/>
  <c r="JE114" i="1"/>
  <c r="JF114" i="1"/>
  <c r="JG114" i="1"/>
  <c r="JH114" i="1"/>
  <c r="JI114" i="1"/>
  <c r="JL114" i="1"/>
  <c r="D393" i="5"/>
  <c r="D394" i="5"/>
  <c r="D395" i="5"/>
  <c r="D396" i="5"/>
  <c r="D397" i="5"/>
  <c r="D398" i="5"/>
  <c r="D399" i="5"/>
  <c r="D400" i="5"/>
  <c r="H393" i="5"/>
  <c r="H394" i="5"/>
  <c r="H395" i="5"/>
  <c r="H396" i="5"/>
  <c r="H397" i="5"/>
  <c r="H398" i="5"/>
  <c r="H399" i="5"/>
  <c r="H400" i="5"/>
  <c r="R393" i="5"/>
  <c r="T393" i="5" s="1"/>
  <c r="U393" i="5" s="1"/>
  <c r="R394" i="5"/>
  <c r="T394" i="5" s="1"/>
  <c r="V394" i="5" s="1"/>
  <c r="R395" i="5"/>
  <c r="T395" i="5" s="1"/>
  <c r="V395" i="5" s="1"/>
  <c r="R396" i="5"/>
  <c r="T396" i="5" s="1"/>
  <c r="U396" i="5" s="1"/>
  <c r="R397" i="5"/>
  <c r="T397" i="5" s="1"/>
  <c r="V397" i="5" s="1"/>
  <c r="R398" i="5"/>
  <c r="T398" i="5" s="1"/>
  <c r="U398" i="5" s="1"/>
  <c r="R399" i="5"/>
  <c r="T399" i="5" s="1"/>
  <c r="U399" i="5" s="1"/>
  <c r="R400" i="5"/>
  <c r="S393" i="5"/>
  <c r="S394" i="5"/>
  <c r="S395" i="5"/>
  <c r="S396" i="5"/>
  <c r="S397" i="5"/>
  <c r="S398" i="5"/>
  <c r="S399" i="5"/>
  <c r="S400" i="5"/>
  <c r="AD393" i="5"/>
  <c r="AD394" i="5"/>
  <c r="AD395" i="5"/>
  <c r="AD396" i="5"/>
  <c r="AD397" i="5"/>
  <c r="AD398" i="5"/>
  <c r="AD399" i="5"/>
  <c r="AD400" i="5"/>
  <c r="AE393" i="5"/>
  <c r="AE394" i="5"/>
  <c r="AE395" i="5"/>
  <c r="AE396" i="5"/>
  <c r="AE397" i="5"/>
  <c r="AE398" i="5"/>
  <c r="AE399" i="5"/>
  <c r="AE400" i="5"/>
  <c r="AF393" i="5"/>
  <c r="AF394" i="5"/>
  <c r="AF395" i="5"/>
  <c r="AF396" i="5"/>
  <c r="AF397" i="5"/>
  <c r="AF398" i="5"/>
  <c r="AF399" i="5"/>
  <c r="AF400" i="5"/>
  <c r="AG393" i="5"/>
  <c r="AG394" i="5"/>
  <c r="AG395" i="5"/>
  <c r="AG396" i="5"/>
  <c r="AG397" i="5"/>
  <c r="AG398" i="5"/>
  <c r="AG399" i="5"/>
  <c r="AG400" i="5"/>
  <c r="D392" i="5"/>
  <c r="H392" i="5"/>
  <c r="R392" i="5"/>
  <c r="T392" i="5" s="1"/>
  <c r="U392" i="5" s="1"/>
  <c r="S392" i="5"/>
  <c r="AD392" i="5"/>
  <c r="AE392" i="5"/>
  <c r="AF392" i="5"/>
  <c r="AG392" i="5"/>
  <c r="I33" i="7"/>
  <c r="O33" i="7"/>
  <c r="V33" i="7" s="1"/>
  <c r="J31" i="11"/>
  <c r="K31" i="11" s="1"/>
  <c r="O31" i="11"/>
  <c r="R31" i="11"/>
  <c r="IP113" i="1"/>
  <c r="IQ113" i="1"/>
  <c r="IR113" i="1"/>
  <c r="IS113" i="1"/>
  <c r="IT113" i="1"/>
  <c r="IU113" i="1"/>
  <c r="ID113" i="1"/>
  <c r="IE113" i="1"/>
  <c r="IF113" i="1"/>
  <c r="IG113" i="1"/>
  <c r="IH113" i="1"/>
  <c r="II113" i="1"/>
  <c r="IJ113" i="1"/>
  <c r="IK113" i="1"/>
  <c r="IL113" i="1"/>
  <c r="IM113" i="1"/>
  <c r="IN113" i="1"/>
  <c r="IO113" i="1"/>
  <c r="IX113" i="1"/>
  <c r="IZ113" i="1"/>
  <c r="JA113" i="1"/>
  <c r="JB113" i="1"/>
  <c r="JE113" i="1"/>
  <c r="JF113" i="1"/>
  <c r="JG113" i="1"/>
  <c r="JH113" i="1"/>
  <c r="JI113" i="1"/>
  <c r="JL113" i="1"/>
  <c r="D391" i="5"/>
  <c r="H391" i="5"/>
  <c r="R391" i="5"/>
  <c r="T391" i="5" s="1"/>
  <c r="U391" i="5" s="1"/>
  <c r="S391" i="5"/>
  <c r="AD391" i="5"/>
  <c r="AE391" i="5"/>
  <c r="AF391" i="5"/>
  <c r="AG391" i="5"/>
  <c r="D388" i="5"/>
  <c r="D389" i="5"/>
  <c r="D390" i="5"/>
  <c r="H388" i="5"/>
  <c r="H389" i="5"/>
  <c r="H390" i="5"/>
  <c r="R388" i="5"/>
  <c r="R389" i="5"/>
  <c r="T389" i="5" s="1"/>
  <c r="R390" i="5"/>
  <c r="T390" i="5" s="1"/>
  <c r="S388" i="5"/>
  <c r="S389" i="5"/>
  <c r="S390" i="5"/>
  <c r="AD388" i="5"/>
  <c r="AD389" i="5"/>
  <c r="AD390" i="5"/>
  <c r="AE388" i="5"/>
  <c r="AE389" i="5"/>
  <c r="AE390" i="5"/>
  <c r="AF388" i="5"/>
  <c r="AF389" i="5"/>
  <c r="AF390" i="5"/>
  <c r="AG388" i="5"/>
  <c r="AG389" i="5"/>
  <c r="AG390" i="5"/>
  <c r="IP112" i="1"/>
  <c r="IQ112" i="1"/>
  <c r="IR112" i="1"/>
  <c r="IS112" i="1"/>
  <c r="IT112" i="1"/>
  <c r="IU112" i="1"/>
  <c r="ID112" i="1"/>
  <c r="IE112" i="1"/>
  <c r="IF112" i="1"/>
  <c r="IG112" i="1"/>
  <c r="IH112" i="1"/>
  <c r="II112" i="1"/>
  <c r="IJ112" i="1"/>
  <c r="IK112" i="1"/>
  <c r="IL112" i="1"/>
  <c r="IM112" i="1"/>
  <c r="IN112" i="1"/>
  <c r="IO112" i="1"/>
  <c r="IX112" i="1"/>
  <c r="IZ112" i="1"/>
  <c r="JA112" i="1"/>
  <c r="JB112" i="1"/>
  <c r="JE112" i="1"/>
  <c r="JF112" i="1"/>
  <c r="JG112" i="1"/>
  <c r="JH112" i="1"/>
  <c r="JI112" i="1"/>
  <c r="JL112" i="1"/>
  <c r="D386" i="5"/>
  <c r="D387" i="5"/>
  <c r="H386" i="5"/>
  <c r="H387" i="5"/>
  <c r="R386" i="5"/>
  <c r="T386" i="5" s="1"/>
  <c r="R387" i="5"/>
  <c r="T387" i="5" s="1"/>
  <c r="U387" i="5" s="1"/>
  <c r="S386" i="5"/>
  <c r="S387" i="5"/>
  <c r="AD386" i="5"/>
  <c r="AD387" i="5"/>
  <c r="AE386" i="5"/>
  <c r="AE387" i="5"/>
  <c r="AF386" i="5"/>
  <c r="AF387" i="5"/>
  <c r="AG386" i="5"/>
  <c r="AG387" i="5"/>
  <c r="IP111" i="1"/>
  <c r="IQ111" i="1"/>
  <c r="IR111" i="1"/>
  <c r="IS111" i="1"/>
  <c r="IT111" i="1"/>
  <c r="IU111" i="1"/>
  <c r="ID111" i="1"/>
  <c r="IE111" i="1"/>
  <c r="IF111" i="1"/>
  <c r="IG111" i="1"/>
  <c r="IH111" i="1"/>
  <c r="II111" i="1"/>
  <c r="IJ111" i="1"/>
  <c r="IK111" i="1"/>
  <c r="IL111" i="1"/>
  <c r="IM111" i="1"/>
  <c r="IN111" i="1"/>
  <c r="IO111" i="1"/>
  <c r="IX111" i="1"/>
  <c r="IZ111" i="1"/>
  <c r="JA111" i="1"/>
  <c r="JB111" i="1"/>
  <c r="JE111" i="1"/>
  <c r="JF111" i="1"/>
  <c r="JG111" i="1"/>
  <c r="JH111" i="1"/>
  <c r="JI111" i="1"/>
  <c r="JL111" i="1"/>
  <c r="IP110" i="1"/>
  <c r="IQ110" i="1"/>
  <c r="IR110" i="1"/>
  <c r="IS110" i="1"/>
  <c r="IT110" i="1"/>
  <c r="IU110" i="1"/>
  <c r="ID110" i="1"/>
  <c r="IE110" i="1"/>
  <c r="IF110" i="1"/>
  <c r="IG110" i="1"/>
  <c r="IH110" i="1"/>
  <c r="II110" i="1"/>
  <c r="IJ110" i="1"/>
  <c r="IK110" i="1"/>
  <c r="IL110" i="1"/>
  <c r="IM110" i="1"/>
  <c r="IN110" i="1"/>
  <c r="IO110" i="1"/>
  <c r="IX110" i="1"/>
  <c r="IZ110" i="1"/>
  <c r="JA110" i="1"/>
  <c r="JB110" i="1"/>
  <c r="JE110" i="1"/>
  <c r="JF110" i="1"/>
  <c r="JG110" i="1"/>
  <c r="JH110" i="1"/>
  <c r="JI110" i="1"/>
  <c r="JL110" i="1"/>
  <c r="FG1" i="12"/>
  <c r="J16" i="10" l="1"/>
  <c r="J13" i="10"/>
  <c r="J15" i="10"/>
  <c r="J14" i="10"/>
  <c r="I12" i="10"/>
  <c r="J11" i="10"/>
  <c r="I11" i="10"/>
  <c r="J21" i="10"/>
  <c r="J20" i="10"/>
  <c r="I19" i="10"/>
  <c r="J18" i="10"/>
  <c r="I18" i="10"/>
  <c r="J17" i="10"/>
  <c r="T419" i="5"/>
  <c r="U419" i="5" s="1"/>
  <c r="T417" i="5"/>
  <c r="U417" i="5" s="1"/>
  <c r="T450" i="5"/>
  <c r="U450" i="5" s="1"/>
  <c r="T420" i="5"/>
  <c r="V420" i="5" s="1"/>
  <c r="T453" i="5"/>
  <c r="V453" i="5" s="1"/>
  <c r="AJ453" i="5" s="1"/>
  <c r="JD118" i="1"/>
  <c r="IW119" i="1"/>
  <c r="T452" i="5"/>
  <c r="V452" i="5" s="1"/>
  <c r="AJ452" i="5" s="1"/>
  <c r="T451" i="5"/>
  <c r="U451" i="5" s="1"/>
  <c r="T449" i="5"/>
  <c r="U449" i="5" s="1"/>
  <c r="T448" i="5"/>
  <c r="U448" i="5" s="1"/>
  <c r="T447" i="5"/>
  <c r="V447" i="5" s="1"/>
  <c r="AJ447" i="5" s="1"/>
  <c r="V454" i="5"/>
  <c r="AJ454" i="5" s="1"/>
  <c r="T423" i="5"/>
  <c r="V423" i="5" s="1"/>
  <c r="AJ423" i="5" s="1"/>
  <c r="V450" i="5"/>
  <c r="AJ450" i="5" s="1"/>
  <c r="T422" i="5"/>
  <c r="U422" i="5" s="1"/>
  <c r="U453" i="5"/>
  <c r="T434" i="5"/>
  <c r="V434" i="5" s="1"/>
  <c r="AJ434" i="5" s="1"/>
  <c r="T421" i="5"/>
  <c r="U421" i="5" s="1"/>
  <c r="IY119" i="1"/>
  <c r="JC119" i="1" s="1"/>
  <c r="JD119" i="1"/>
  <c r="IV118" i="1"/>
  <c r="IW117" i="1"/>
  <c r="AJ443" i="5"/>
  <c r="AJ445" i="5"/>
  <c r="AJ444" i="5"/>
  <c r="AJ446" i="5"/>
  <c r="U445" i="5"/>
  <c r="U442" i="5"/>
  <c r="V442" i="5"/>
  <c r="AJ442" i="5" s="1"/>
  <c r="U441" i="5"/>
  <c r="V441" i="5"/>
  <c r="AJ441" i="5" s="1"/>
  <c r="T435" i="5"/>
  <c r="U435" i="5" s="1"/>
  <c r="U446" i="5"/>
  <c r="U444" i="5"/>
  <c r="T440" i="5"/>
  <c r="V440" i="5" s="1"/>
  <c r="AJ440" i="5" s="1"/>
  <c r="U443" i="5"/>
  <c r="T439" i="5"/>
  <c r="V439" i="5" s="1"/>
  <c r="AJ439" i="5" s="1"/>
  <c r="T436" i="5"/>
  <c r="U436" i="5" s="1"/>
  <c r="T437" i="5"/>
  <c r="V437" i="5" s="1"/>
  <c r="AJ437" i="5" s="1"/>
  <c r="U434" i="5"/>
  <c r="T438" i="5"/>
  <c r="V438" i="5" s="1"/>
  <c r="AJ438" i="5" s="1"/>
  <c r="T428" i="5"/>
  <c r="V428" i="5" s="1"/>
  <c r="AJ428" i="5" s="1"/>
  <c r="T427" i="5"/>
  <c r="U427" i="5" s="1"/>
  <c r="T432" i="5"/>
  <c r="V432" i="5" s="1"/>
  <c r="AJ432" i="5" s="1"/>
  <c r="T411" i="5"/>
  <c r="U411" i="5" s="1"/>
  <c r="T433" i="5"/>
  <c r="U433" i="5" s="1"/>
  <c r="T431" i="5"/>
  <c r="V431" i="5" s="1"/>
  <c r="AJ431" i="5" s="1"/>
  <c r="V417" i="5"/>
  <c r="AJ417" i="5" s="1"/>
  <c r="T426" i="5"/>
  <c r="U426" i="5" s="1"/>
  <c r="IY118" i="1"/>
  <c r="JC118" i="1" s="1"/>
  <c r="IV117" i="1"/>
  <c r="IY117" i="1"/>
  <c r="JC117" i="1" s="1"/>
  <c r="T430" i="5"/>
  <c r="V430" i="5" s="1"/>
  <c r="AJ430" i="5" s="1"/>
  <c r="T429" i="5"/>
  <c r="V429" i="5" s="1"/>
  <c r="AJ429" i="5" s="1"/>
  <c r="T412" i="5"/>
  <c r="U412" i="5" s="1"/>
  <c r="V419" i="5"/>
  <c r="AJ419" i="5" s="1"/>
  <c r="T425" i="5"/>
  <c r="U425" i="5" s="1"/>
  <c r="U423" i="5"/>
  <c r="JD117" i="1"/>
  <c r="IW116" i="1"/>
  <c r="IV116" i="1"/>
  <c r="IY116" i="1"/>
  <c r="JC116" i="1" s="1"/>
  <c r="AJ420" i="5"/>
  <c r="V418" i="5"/>
  <c r="AJ418" i="5" s="1"/>
  <c r="U420" i="5"/>
  <c r="T424" i="5"/>
  <c r="U424" i="5" s="1"/>
  <c r="T410" i="5"/>
  <c r="V410" i="5" s="1"/>
  <c r="AJ410" i="5" s="1"/>
  <c r="T416" i="5"/>
  <c r="V416" i="5" s="1"/>
  <c r="AJ416" i="5" s="1"/>
  <c r="JD116" i="1"/>
  <c r="IV115" i="1"/>
  <c r="IW114" i="1"/>
  <c r="IW115" i="1"/>
  <c r="IY115" i="1"/>
  <c r="JC115" i="1" s="1"/>
  <c r="T415" i="5"/>
  <c r="V415" i="5" s="1"/>
  <c r="AJ415" i="5" s="1"/>
  <c r="T414" i="5"/>
  <c r="V414" i="5" s="1"/>
  <c r="AJ414" i="5" s="1"/>
  <c r="T413" i="5"/>
  <c r="V413" i="5" s="1"/>
  <c r="AJ413" i="5" s="1"/>
  <c r="T409" i="5"/>
  <c r="U409" i="5" s="1"/>
  <c r="T407" i="5"/>
  <c r="U407" i="5" s="1"/>
  <c r="T408" i="5"/>
  <c r="V408" i="5" s="1"/>
  <c r="AJ408" i="5" s="1"/>
  <c r="T406" i="5"/>
  <c r="U406" i="5" s="1"/>
  <c r="T405" i="5"/>
  <c r="U405" i="5" s="1"/>
  <c r="T404" i="5"/>
  <c r="U404" i="5" s="1"/>
  <c r="T403" i="5"/>
  <c r="V403" i="5" s="1"/>
  <c r="AJ403" i="5" s="1"/>
  <c r="T402" i="5"/>
  <c r="U402" i="5" s="1"/>
  <c r="T401" i="5"/>
  <c r="V401" i="5" s="1"/>
  <c r="AJ401" i="5" s="1"/>
  <c r="JD115" i="1"/>
  <c r="JD114" i="1"/>
  <c r="IV114" i="1"/>
  <c r="T400" i="5"/>
  <c r="V400" i="5" s="1"/>
  <c r="AJ400" i="5" s="1"/>
  <c r="IY114" i="1"/>
  <c r="JC114" i="1" s="1"/>
  <c r="IW113" i="1"/>
  <c r="IV112" i="1"/>
  <c r="IW110" i="1"/>
  <c r="IV113" i="1"/>
  <c r="AJ397" i="5"/>
  <c r="AJ395" i="5"/>
  <c r="AJ394" i="5"/>
  <c r="V399" i="5"/>
  <c r="AJ399" i="5" s="1"/>
  <c r="V398" i="5"/>
  <c r="AJ398" i="5" s="1"/>
  <c r="U397" i="5"/>
  <c r="V396" i="5"/>
  <c r="AJ396" i="5" s="1"/>
  <c r="U395" i="5"/>
  <c r="U394" i="5"/>
  <c r="V393" i="5"/>
  <c r="AJ393" i="5" s="1"/>
  <c r="V392" i="5"/>
  <c r="AJ392" i="5" s="1"/>
  <c r="IY113" i="1"/>
  <c r="JC113" i="1" s="1"/>
  <c r="JD113" i="1"/>
  <c r="IW111" i="1"/>
  <c r="IW112" i="1"/>
  <c r="V391" i="5"/>
  <c r="AJ391" i="5" s="1"/>
  <c r="T388" i="5"/>
  <c r="U388" i="5" s="1"/>
  <c r="U389" i="5"/>
  <c r="V389" i="5"/>
  <c r="AJ389" i="5" s="1"/>
  <c r="U390" i="5"/>
  <c r="V390" i="5"/>
  <c r="AJ390" i="5" s="1"/>
  <c r="IY112" i="1"/>
  <c r="JC112" i="1" s="1"/>
  <c r="JD112" i="1"/>
  <c r="IY110" i="1"/>
  <c r="JC110" i="1" s="1"/>
  <c r="IV110" i="1"/>
  <c r="IV111" i="1"/>
  <c r="U386" i="5"/>
  <c r="V386" i="5"/>
  <c r="AJ386" i="5" s="1"/>
  <c r="V387" i="5"/>
  <c r="AJ387" i="5" s="1"/>
  <c r="IY111" i="1"/>
  <c r="JC111" i="1" s="1"/>
  <c r="JD111" i="1"/>
  <c r="JD110" i="1"/>
  <c r="D384" i="5"/>
  <c r="D385" i="5"/>
  <c r="H384" i="5"/>
  <c r="H385" i="5"/>
  <c r="R384" i="5"/>
  <c r="T384" i="5" s="1"/>
  <c r="U384" i="5" s="1"/>
  <c r="R385" i="5"/>
  <c r="T385" i="5" s="1"/>
  <c r="U385" i="5" s="1"/>
  <c r="S384" i="5"/>
  <c r="S385" i="5"/>
  <c r="AD384" i="5"/>
  <c r="AD385" i="5"/>
  <c r="AE384" i="5"/>
  <c r="AE385" i="5"/>
  <c r="AF384" i="5"/>
  <c r="AF385" i="5"/>
  <c r="AG384" i="5"/>
  <c r="AG385" i="5"/>
  <c r="D382" i="5"/>
  <c r="D383" i="5"/>
  <c r="H382" i="5"/>
  <c r="H383" i="5"/>
  <c r="R382" i="5"/>
  <c r="R383" i="5"/>
  <c r="S382" i="5"/>
  <c r="S383" i="5"/>
  <c r="AD382" i="5"/>
  <c r="AD383" i="5"/>
  <c r="AE382" i="5"/>
  <c r="AE383" i="5"/>
  <c r="AF382" i="5"/>
  <c r="AF383" i="5"/>
  <c r="AG382" i="5"/>
  <c r="AG383" i="5"/>
  <c r="IP109" i="1"/>
  <c r="IQ109" i="1"/>
  <c r="IR109" i="1"/>
  <c r="IS109" i="1"/>
  <c r="IT109" i="1"/>
  <c r="IU109" i="1"/>
  <c r="ID109" i="1"/>
  <c r="IE109" i="1"/>
  <c r="IF109" i="1"/>
  <c r="IG109" i="1"/>
  <c r="IH109" i="1"/>
  <c r="II109" i="1"/>
  <c r="IJ109" i="1"/>
  <c r="IK109" i="1"/>
  <c r="IL109" i="1"/>
  <c r="IM109" i="1"/>
  <c r="IN109" i="1"/>
  <c r="IO109" i="1"/>
  <c r="IX109" i="1"/>
  <c r="IZ109" i="1"/>
  <c r="JA109" i="1"/>
  <c r="JB109" i="1"/>
  <c r="JE109" i="1"/>
  <c r="JF109" i="1"/>
  <c r="JG109" i="1"/>
  <c r="JH109" i="1"/>
  <c r="JI109" i="1"/>
  <c r="JL109" i="1"/>
  <c r="D380" i="5"/>
  <c r="D381" i="5"/>
  <c r="H380" i="5"/>
  <c r="H381" i="5"/>
  <c r="R380" i="5"/>
  <c r="R381" i="5"/>
  <c r="S380" i="5"/>
  <c r="S381" i="5"/>
  <c r="AD380" i="5"/>
  <c r="AD381" i="5"/>
  <c r="AE380" i="5"/>
  <c r="AE381" i="5"/>
  <c r="AF380" i="5"/>
  <c r="AF381" i="5"/>
  <c r="AG380" i="5"/>
  <c r="AG381" i="5"/>
  <c r="IP108" i="1"/>
  <c r="IQ108" i="1"/>
  <c r="IR108" i="1"/>
  <c r="IS108" i="1"/>
  <c r="IT108" i="1"/>
  <c r="IU108" i="1"/>
  <c r="ID108" i="1"/>
  <c r="IE108" i="1"/>
  <c r="IF108" i="1"/>
  <c r="IG108" i="1"/>
  <c r="IH108" i="1"/>
  <c r="II108" i="1"/>
  <c r="IJ108" i="1"/>
  <c r="IK108" i="1"/>
  <c r="IL108" i="1"/>
  <c r="IM108" i="1"/>
  <c r="IN108" i="1"/>
  <c r="IO108" i="1"/>
  <c r="IX108" i="1"/>
  <c r="IZ108" i="1"/>
  <c r="JA108" i="1"/>
  <c r="JB108" i="1"/>
  <c r="JE108" i="1"/>
  <c r="JF108" i="1"/>
  <c r="JG108" i="1"/>
  <c r="JH108" i="1"/>
  <c r="JI108" i="1"/>
  <c r="JL108" i="1"/>
  <c r="D376" i="5"/>
  <c r="D377" i="5"/>
  <c r="D378" i="5"/>
  <c r="D379" i="5"/>
  <c r="D375" i="5"/>
  <c r="H375" i="5"/>
  <c r="H376" i="5"/>
  <c r="H377" i="5"/>
  <c r="H378" i="5"/>
  <c r="H379" i="5"/>
  <c r="R375" i="5"/>
  <c r="R376" i="5"/>
  <c r="R377" i="5"/>
  <c r="T377" i="5" s="1"/>
  <c r="V377" i="5" s="1"/>
  <c r="R378" i="5"/>
  <c r="T378" i="5" s="1"/>
  <c r="V378" i="5" s="1"/>
  <c r="R379" i="5"/>
  <c r="T379" i="5" s="1"/>
  <c r="V379" i="5" s="1"/>
  <c r="S375" i="5"/>
  <c r="S376" i="5"/>
  <c r="S377" i="5"/>
  <c r="S378" i="5"/>
  <c r="S379" i="5"/>
  <c r="AD375" i="5"/>
  <c r="AD376" i="5"/>
  <c r="AD377" i="5"/>
  <c r="AD378" i="5"/>
  <c r="AD379" i="5"/>
  <c r="AE375" i="5"/>
  <c r="AE376" i="5"/>
  <c r="AE377" i="5"/>
  <c r="AE378" i="5"/>
  <c r="AE379" i="5"/>
  <c r="AF375" i="5"/>
  <c r="AF376" i="5"/>
  <c r="AF377" i="5"/>
  <c r="AF378" i="5"/>
  <c r="AF379" i="5"/>
  <c r="AG375" i="5"/>
  <c r="AG376" i="5"/>
  <c r="AG377" i="5"/>
  <c r="AG378" i="5"/>
  <c r="AG379" i="5"/>
  <c r="IP107" i="1"/>
  <c r="IQ107" i="1"/>
  <c r="IR107" i="1"/>
  <c r="IS107" i="1"/>
  <c r="IT107" i="1"/>
  <c r="IU107" i="1"/>
  <c r="ID107" i="1"/>
  <c r="IE107" i="1"/>
  <c r="IF107" i="1"/>
  <c r="IG107" i="1"/>
  <c r="IH107" i="1"/>
  <c r="II107" i="1"/>
  <c r="IJ107" i="1"/>
  <c r="IK107" i="1"/>
  <c r="IL107" i="1"/>
  <c r="IM107" i="1"/>
  <c r="IN107" i="1"/>
  <c r="IO107" i="1"/>
  <c r="IX107" i="1"/>
  <c r="IZ107" i="1"/>
  <c r="JA107" i="1"/>
  <c r="JB107" i="1"/>
  <c r="JE107" i="1"/>
  <c r="JF107" i="1"/>
  <c r="JG107" i="1"/>
  <c r="JH107" i="1"/>
  <c r="JI107" i="1"/>
  <c r="JL107" i="1"/>
  <c r="D368" i="5"/>
  <c r="D369" i="5"/>
  <c r="D370" i="5"/>
  <c r="D371" i="5"/>
  <c r="D372" i="5"/>
  <c r="D373" i="5"/>
  <c r="D374" i="5"/>
  <c r="H368" i="5"/>
  <c r="H369" i="5"/>
  <c r="H370" i="5"/>
  <c r="H371" i="5"/>
  <c r="H372" i="5"/>
  <c r="H373" i="5"/>
  <c r="H374" i="5"/>
  <c r="R368" i="5"/>
  <c r="R369" i="5"/>
  <c r="R370" i="5"/>
  <c r="R371" i="5"/>
  <c r="T371" i="5" s="1"/>
  <c r="U371" i="5" s="1"/>
  <c r="R372" i="5"/>
  <c r="T372" i="5" s="1"/>
  <c r="U372" i="5" s="1"/>
  <c r="R373" i="5"/>
  <c r="T373" i="5" s="1"/>
  <c r="U373" i="5" s="1"/>
  <c r="R374" i="5"/>
  <c r="T374" i="5" s="1"/>
  <c r="U374" i="5" s="1"/>
  <c r="S368" i="5"/>
  <c r="S369" i="5"/>
  <c r="S370" i="5"/>
  <c r="S371" i="5"/>
  <c r="S372" i="5"/>
  <c r="S373" i="5"/>
  <c r="S374" i="5"/>
  <c r="AD368" i="5"/>
  <c r="AD369" i="5"/>
  <c r="AD370" i="5"/>
  <c r="AD371" i="5"/>
  <c r="AD372" i="5"/>
  <c r="AD373" i="5"/>
  <c r="AD374" i="5"/>
  <c r="AE368" i="5"/>
  <c r="AE369" i="5"/>
  <c r="AE370" i="5"/>
  <c r="AE371" i="5"/>
  <c r="AE372" i="5"/>
  <c r="AE373" i="5"/>
  <c r="AE374" i="5"/>
  <c r="AF368" i="5"/>
  <c r="AF369" i="5"/>
  <c r="AF370" i="5"/>
  <c r="AF371" i="5"/>
  <c r="AF372" i="5"/>
  <c r="AF373" i="5"/>
  <c r="AF374" i="5"/>
  <c r="AG368" i="5"/>
  <c r="AG369" i="5"/>
  <c r="AG370" i="5"/>
  <c r="AG371" i="5"/>
  <c r="AG372" i="5"/>
  <c r="AG373" i="5"/>
  <c r="AG374" i="5"/>
  <c r="IP106" i="1"/>
  <c r="IQ106" i="1"/>
  <c r="IR106" i="1"/>
  <c r="IS106" i="1"/>
  <c r="IT106" i="1"/>
  <c r="IU106" i="1"/>
  <c r="ID106" i="1"/>
  <c r="IE106" i="1"/>
  <c r="IF106" i="1"/>
  <c r="IG106" i="1"/>
  <c r="IH106" i="1"/>
  <c r="II106" i="1"/>
  <c r="IJ106" i="1"/>
  <c r="IK106" i="1"/>
  <c r="IL106" i="1"/>
  <c r="IM106" i="1"/>
  <c r="IN106" i="1"/>
  <c r="IO106" i="1"/>
  <c r="IX106" i="1"/>
  <c r="IZ106" i="1"/>
  <c r="JA106" i="1"/>
  <c r="JB106" i="1"/>
  <c r="JE106" i="1"/>
  <c r="JF106" i="1"/>
  <c r="JG106" i="1"/>
  <c r="JH106" i="1"/>
  <c r="JI106" i="1"/>
  <c r="JL106" i="1"/>
  <c r="I32" i="7"/>
  <c r="O32" i="7"/>
  <c r="V32" i="7" s="1"/>
  <c r="J30" i="11"/>
  <c r="K30" i="11" s="1"/>
  <c r="O30" i="11"/>
  <c r="R30" i="11"/>
  <c r="D364" i="5"/>
  <c r="D365" i="5"/>
  <c r="D366" i="5"/>
  <c r="D367" i="5"/>
  <c r="H364" i="5"/>
  <c r="H365" i="5"/>
  <c r="H366" i="5"/>
  <c r="H367" i="5"/>
  <c r="R364" i="5"/>
  <c r="R365" i="5"/>
  <c r="R366" i="5"/>
  <c r="R367" i="5"/>
  <c r="S364" i="5"/>
  <c r="S365" i="5"/>
  <c r="S366" i="5"/>
  <c r="S367" i="5"/>
  <c r="AD364" i="5"/>
  <c r="AD365" i="5"/>
  <c r="AD366" i="5"/>
  <c r="AD367" i="5"/>
  <c r="AE364" i="5"/>
  <c r="AE365" i="5"/>
  <c r="AE366" i="5"/>
  <c r="AE367" i="5"/>
  <c r="AF364" i="5"/>
  <c r="AF365" i="5"/>
  <c r="AF366" i="5"/>
  <c r="AF367" i="5"/>
  <c r="AG364" i="5"/>
  <c r="AG365" i="5"/>
  <c r="AG366" i="5"/>
  <c r="AG367" i="5"/>
  <c r="IP105" i="1"/>
  <c r="IQ105" i="1"/>
  <c r="IR105" i="1"/>
  <c r="IS105" i="1"/>
  <c r="IT105" i="1"/>
  <c r="IU105" i="1"/>
  <c r="ID105" i="1"/>
  <c r="IE105" i="1"/>
  <c r="IF105" i="1"/>
  <c r="IG105" i="1"/>
  <c r="IH105" i="1"/>
  <c r="II105" i="1"/>
  <c r="IJ105" i="1"/>
  <c r="IK105" i="1"/>
  <c r="IL105" i="1"/>
  <c r="IM105" i="1"/>
  <c r="IN105" i="1"/>
  <c r="IO105" i="1"/>
  <c r="IX105" i="1"/>
  <c r="IZ105" i="1"/>
  <c r="JA105" i="1"/>
  <c r="JB105" i="1"/>
  <c r="JE105" i="1"/>
  <c r="JF105" i="1"/>
  <c r="JG105" i="1"/>
  <c r="JH105" i="1"/>
  <c r="JI105" i="1"/>
  <c r="JL105" i="1"/>
  <c r="D363" i="5"/>
  <c r="H363" i="5"/>
  <c r="R363" i="5"/>
  <c r="S363" i="5"/>
  <c r="AD363" i="5"/>
  <c r="AE363" i="5"/>
  <c r="AF363" i="5"/>
  <c r="AG363" i="5"/>
  <c r="D360" i="5"/>
  <c r="D361" i="5"/>
  <c r="D362" i="5"/>
  <c r="H360" i="5"/>
  <c r="H361" i="5"/>
  <c r="H362" i="5"/>
  <c r="R360" i="5"/>
  <c r="R361" i="5"/>
  <c r="R362" i="5"/>
  <c r="S360" i="5"/>
  <c r="S361" i="5"/>
  <c r="S362" i="5"/>
  <c r="AD360" i="5"/>
  <c r="AD361" i="5"/>
  <c r="AD362" i="5"/>
  <c r="AE360" i="5"/>
  <c r="AE361" i="5"/>
  <c r="AE362" i="5"/>
  <c r="AF360" i="5"/>
  <c r="AF361" i="5"/>
  <c r="AF362" i="5"/>
  <c r="AG360" i="5"/>
  <c r="AG361" i="5"/>
  <c r="AG362" i="5"/>
  <c r="IP104" i="1"/>
  <c r="IQ104" i="1"/>
  <c r="IR104" i="1"/>
  <c r="IS104" i="1"/>
  <c r="IT104" i="1"/>
  <c r="IU104" i="1"/>
  <c r="ID104" i="1"/>
  <c r="IE104" i="1"/>
  <c r="IF104" i="1"/>
  <c r="IG104" i="1"/>
  <c r="IH104" i="1"/>
  <c r="II104" i="1"/>
  <c r="IJ104" i="1"/>
  <c r="IK104" i="1"/>
  <c r="IL104" i="1"/>
  <c r="IM104" i="1"/>
  <c r="IN104" i="1"/>
  <c r="IO104" i="1"/>
  <c r="IX104" i="1"/>
  <c r="IZ104" i="1"/>
  <c r="JA104" i="1"/>
  <c r="JB104" i="1"/>
  <c r="JE104" i="1"/>
  <c r="JF104" i="1"/>
  <c r="JG104" i="1"/>
  <c r="JH104" i="1"/>
  <c r="JI104" i="1"/>
  <c r="JL104" i="1"/>
  <c r="D355" i="5"/>
  <c r="D356" i="5"/>
  <c r="D357" i="5"/>
  <c r="D358" i="5"/>
  <c r="D359" i="5"/>
  <c r="H355" i="5"/>
  <c r="H356" i="5"/>
  <c r="H357" i="5"/>
  <c r="H358" i="5"/>
  <c r="H359" i="5"/>
  <c r="R355" i="5"/>
  <c r="R356" i="5"/>
  <c r="R357" i="5"/>
  <c r="T357" i="5" s="1"/>
  <c r="R358" i="5"/>
  <c r="T358" i="5" s="1"/>
  <c r="V358" i="5" s="1"/>
  <c r="R359" i="5"/>
  <c r="S355" i="5"/>
  <c r="S356" i="5"/>
  <c r="S357" i="5"/>
  <c r="S358" i="5"/>
  <c r="S359" i="5"/>
  <c r="AD355" i="5"/>
  <c r="AD356" i="5"/>
  <c r="AD357" i="5"/>
  <c r="AD358" i="5"/>
  <c r="AD359" i="5"/>
  <c r="AE355" i="5"/>
  <c r="AE356" i="5"/>
  <c r="AE357" i="5"/>
  <c r="AE358" i="5"/>
  <c r="AE359" i="5"/>
  <c r="AF355" i="5"/>
  <c r="AF356" i="5"/>
  <c r="AF357" i="5"/>
  <c r="AF358" i="5"/>
  <c r="AF359" i="5"/>
  <c r="AG355" i="5"/>
  <c r="AG356" i="5"/>
  <c r="AG357" i="5"/>
  <c r="AG358" i="5"/>
  <c r="AG359" i="5"/>
  <c r="IP103" i="1"/>
  <c r="IQ103" i="1"/>
  <c r="IR103" i="1"/>
  <c r="IS103" i="1"/>
  <c r="IT103" i="1"/>
  <c r="IU103" i="1"/>
  <c r="ID103" i="1"/>
  <c r="IE103" i="1"/>
  <c r="IF103" i="1"/>
  <c r="IG103" i="1"/>
  <c r="IH103" i="1"/>
  <c r="II103" i="1"/>
  <c r="IJ103" i="1"/>
  <c r="IK103" i="1"/>
  <c r="IL103" i="1"/>
  <c r="IM103" i="1"/>
  <c r="IN103" i="1"/>
  <c r="IO103" i="1"/>
  <c r="IX103" i="1"/>
  <c r="IZ103" i="1"/>
  <c r="JA103" i="1"/>
  <c r="JB103" i="1"/>
  <c r="JE103" i="1"/>
  <c r="JF103" i="1"/>
  <c r="JG103" i="1"/>
  <c r="JH103" i="1"/>
  <c r="JI103" i="1"/>
  <c r="JL103" i="1"/>
  <c r="D348" i="5"/>
  <c r="D349" i="5"/>
  <c r="D350" i="5"/>
  <c r="D351" i="5"/>
  <c r="D352" i="5"/>
  <c r="D353" i="5"/>
  <c r="D354" i="5"/>
  <c r="H348" i="5"/>
  <c r="H349" i="5"/>
  <c r="H350" i="5"/>
  <c r="H351" i="5"/>
  <c r="H352" i="5"/>
  <c r="H353" i="5"/>
  <c r="H354" i="5"/>
  <c r="R348" i="5"/>
  <c r="R349" i="5"/>
  <c r="R350" i="5"/>
  <c r="T350" i="5" s="1"/>
  <c r="V350" i="5" s="1"/>
  <c r="R351" i="5"/>
  <c r="T351" i="5" s="1"/>
  <c r="V351" i="5" s="1"/>
  <c r="R352" i="5"/>
  <c r="T352" i="5" s="1"/>
  <c r="V352" i="5" s="1"/>
  <c r="R353" i="5"/>
  <c r="R354" i="5"/>
  <c r="S348" i="5"/>
  <c r="S349" i="5"/>
  <c r="S350" i="5"/>
  <c r="S351" i="5"/>
  <c r="S352" i="5"/>
  <c r="S353" i="5"/>
  <c r="S354" i="5"/>
  <c r="AD348" i="5"/>
  <c r="AD349" i="5"/>
  <c r="AD350" i="5"/>
  <c r="AD351" i="5"/>
  <c r="AD352" i="5"/>
  <c r="AD353" i="5"/>
  <c r="AD354" i="5"/>
  <c r="AE348" i="5"/>
  <c r="AE349" i="5"/>
  <c r="AE350" i="5"/>
  <c r="AE351" i="5"/>
  <c r="AE352" i="5"/>
  <c r="AE353" i="5"/>
  <c r="AE354" i="5"/>
  <c r="AF348" i="5"/>
  <c r="AF349" i="5"/>
  <c r="AF350" i="5"/>
  <c r="AF351" i="5"/>
  <c r="AF352" i="5"/>
  <c r="AF353" i="5"/>
  <c r="AF354" i="5"/>
  <c r="AG348" i="5"/>
  <c r="AG349" i="5"/>
  <c r="AG350" i="5"/>
  <c r="AG351" i="5"/>
  <c r="AG352" i="5"/>
  <c r="AG353" i="5"/>
  <c r="AG354" i="5"/>
  <c r="IP102" i="1"/>
  <c r="IQ102" i="1"/>
  <c r="IR102" i="1"/>
  <c r="IS102" i="1"/>
  <c r="IT102" i="1"/>
  <c r="IU102" i="1"/>
  <c r="ID102" i="1"/>
  <c r="IE102" i="1"/>
  <c r="IF102" i="1"/>
  <c r="IG102" i="1"/>
  <c r="IH102" i="1"/>
  <c r="II102" i="1"/>
  <c r="IJ102" i="1"/>
  <c r="IK102" i="1"/>
  <c r="IL102" i="1"/>
  <c r="IM102" i="1"/>
  <c r="IN102" i="1"/>
  <c r="IO102" i="1"/>
  <c r="IX102" i="1"/>
  <c r="IZ102" i="1"/>
  <c r="JA102" i="1"/>
  <c r="JB102" i="1"/>
  <c r="JE102" i="1"/>
  <c r="JF102" i="1"/>
  <c r="JG102" i="1"/>
  <c r="JH102" i="1"/>
  <c r="JI102" i="1"/>
  <c r="JL102" i="1"/>
  <c r="D346" i="5"/>
  <c r="D347" i="5"/>
  <c r="H346" i="5"/>
  <c r="H347" i="5"/>
  <c r="R346" i="5"/>
  <c r="R347" i="5"/>
  <c r="S346" i="5"/>
  <c r="S347" i="5"/>
  <c r="AD346" i="5"/>
  <c r="AD347" i="5"/>
  <c r="AE346" i="5"/>
  <c r="AE347" i="5"/>
  <c r="AF346" i="5"/>
  <c r="AF347" i="5"/>
  <c r="AG346" i="5"/>
  <c r="AG347" i="5"/>
  <c r="IP101" i="1"/>
  <c r="IQ101" i="1"/>
  <c r="IR101" i="1"/>
  <c r="IS101" i="1"/>
  <c r="IT101" i="1"/>
  <c r="IU101" i="1"/>
  <c r="ID101" i="1"/>
  <c r="IE101" i="1"/>
  <c r="IF101" i="1"/>
  <c r="IG101" i="1"/>
  <c r="IH101" i="1"/>
  <c r="II101" i="1"/>
  <c r="IJ101" i="1"/>
  <c r="IK101" i="1"/>
  <c r="IL101" i="1"/>
  <c r="IM101" i="1"/>
  <c r="IN101" i="1"/>
  <c r="IO101" i="1"/>
  <c r="IX101" i="1"/>
  <c r="IZ101" i="1"/>
  <c r="JA101" i="1"/>
  <c r="JB101" i="1"/>
  <c r="JE101" i="1"/>
  <c r="JF101" i="1"/>
  <c r="JG101" i="1"/>
  <c r="JH101" i="1"/>
  <c r="JI101" i="1"/>
  <c r="JL101" i="1"/>
  <c r="D345" i="5"/>
  <c r="H345" i="5"/>
  <c r="R345" i="5"/>
  <c r="S345" i="5"/>
  <c r="AD345" i="5"/>
  <c r="AE345" i="5"/>
  <c r="AF345" i="5"/>
  <c r="AG345" i="5"/>
  <c r="D344" i="5"/>
  <c r="H344" i="5"/>
  <c r="R344" i="5"/>
  <c r="S344" i="5"/>
  <c r="AD344" i="5"/>
  <c r="AE344" i="5"/>
  <c r="AF344" i="5"/>
  <c r="AG344" i="5"/>
  <c r="D342" i="5"/>
  <c r="D343" i="5"/>
  <c r="H342" i="5"/>
  <c r="H343" i="5"/>
  <c r="R342" i="5"/>
  <c r="R343" i="5"/>
  <c r="S342" i="5"/>
  <c r="S343" i="5"/>
  <c r="AD342" i="5"/>
  <c r="AD343" i="5"/>
  <c r="AE342" i="5"/>
  <c r="AE343" i="5"/>
  <c r="AF342" i="5"/>
  <c r="AF343" i="5"/>
  <c r="AG342" i="5"/>
  <c r="AG343" i="5"/>
  <c r="IP100" i="1"/>
  <c r="IQ100" i="1"/>
  <c r="IR100" i="1"/>
  <c r="IS100" i="1"/>
  <c r="IT100" i="1"/>
  <c r="IU100" i="1"/>
  <c r="U447" i="5" l="1"/>
  <c r="V448" i="5"/>
  <c r="AJ448" i="5" s="1"/>
  <c r="V421" i="5"/>
  <c r="AJ421" i="5" s="1"/>
  <c r="U400" i="5"/>
  <c r="U452" i="5"/>
  <c r="V451" i="5"/>
  <c r="AJ451" i="5" s="1"/>
  <c r="V449" i="5"/>
  <c r="AJ449" i="5" s="1"/>
  <c r="V405" i="5"/>
  <c r="AJ405" i="5" s="1"/>
  <c r="U437" i="5"/>
  <c r="V427" i="5"/>
  <c r="AJ427" i="5" s="1"/>
  <c r="V435" i="5"/>
  <c r="AJ435" i="5" s="1"/>
  <c r="V422" i="5"/>
  <c r="AJ422" i="5" s="1"/>
  <c r="U440" i="5"/>
  <c r="U432" i="5"/>
  <c r="U439" i="5"/>
  <c r="U438" i="5"/>
  <c r="V436" i="5"/>
  <c r="AJ436" i="5" s="1"/>
  <c r="V411" i="5"/>
  <c r="AJ411" i="5" s="1"/>
  <c r="V433" i="5"/>
  <c r="AJ433" i="5" s="1"/>
  <c r="U431" i="5"/>
  <c r="U429" i="5"/>
  <c r="V425" i="5"/>
  <c r="AJ425" i="5" s="1"/>
  <c r="U428" i="5"/>
  <c r="V426" i="5"/>
  <c r="AJ426" i="5" s="1"/>
  <c r="V407" i="5"/>
  <c r="AJ407" i="5" s="1"/>
  <c r="V412" i="5"/>
  <c r="AJ412" i="5" s="1"/>
  <c r="U430" i="5"/>
  <c r="V424" i="5"/>
  <c r="AJ424" i="5" s="1"/>
  <c r="U416" i="5"/>
  <c r="U413" i="5"/>
  <c r="U401" i="5"/>
  <c r="U410" i="5"/>
  <c r="V402" i="5"/>
  <c r="AJ402" i="5" s="1"/>
  <c r="U415" i="5"/>
  <c r="U414" i="5"/>
  <c r="V404" i="5"/>
  <c r="AJ404" i="5" s="1"/>
  <c r="V409" i="5"/>
  <c r="AJ409" i="5" s="1"/>
  <c r="V406" i="5"/>
  <c r="AJ406" i="5" s="1"/>
  <c r="U408" i="5"/>
  <c r="U403" i="5"/>
  <c r="T382" i="5"/>
  <c r="U382" i="5" s="1"/>
  <c r="V388" i="5"/>
  <c r="AJ388" i="5" s="1"/>
  <c r="IV109" i="1"/>
  <c r="IW106" i="1"/>
  <c r="IY109" i="1"/>
  <c r="JC109" i="1" s="1"/>
  <c r="IW109" i="1"/>
  <c r="T383" i="5"/>
  <c r="U383" i="5" s="1"/>
  <c r="IW107" i="1"/>
  <c r="V385" i="5"/>
  <c r="AJ385" i="5" s="1"/>
  <c r="V384" i="5"/>
  <c r="AJ384" i="5" s="1"/>
  <c r="JD109" i="1"/>
  <c r="IV108" i="1"/>
  <c r="IW108" i="1"/>
  <c r="T369" i="5"/>
  <c r="U369" i="5" s="1"/>
  <c r="T368" i="5"/>
  <c r="V368" i="5" s="1"/>
  <c r="AJ368" i="5" s="1"/>
  <c r="T367" i="5"/>
  <c r="U367" i="5" s="1"/>
  <c r="T381" i="5"/>
  <c r="U381" i="5" s="1"/>
  <c r="T380" i="5"/>
  <c r="U380" i="5" s="1"/>
  <c r="T376" i="5"/>
  <c r="V376" i="5" s="1"/>
  <c r="AJ376" i="5" s="1"/>
  <c r="IY108" i="1"/>
  <c r="JC108" i="1" s="1"/>
  <c r="JD108" i="1"/>
  <c r="IV107" i="1"/>
  <c r="AJ378" i="5"/>
  <c r="AJ377" i="5"/>
  <c r="T375" i="5"/>
  <c r="U375" i="5" s="1"/>
  <c r="AJ379" i="5"/>
  <c r="U379" i="5"/>
  <c r="U378" i="5"/>
  <c r="U377" i="5"/>
  <c r="T370" i="5"/>
  <c r="V370" i="5" s="1"/>
  <c r="AJ370" i="5" s="1"/>
  <c r="IY107" i="1"/>
  <c r="JC107" i="1" s="1"/>
  <c r="JD107" i="1"/>
  <c r="T364" i="5"/>
  <c r="U364" i="5" s="1"/>
  <c r="V374" i="5"/>
  <c r="AJ374" i="5" s="1"/>
  <c r="V373" i="5"/>
  <c r="AJ373" i="5" s="1"/>
  <c r="V372" i="5"/>
  <c r="AJ372" i="5" s="1"/>
  <c r="V371" i="5"/>
  <c r="AJ371" i="5" s="1"/>
  <c r="T366" i="5"/>
  <c r="U366" i="5" s="1"/>
  <c r="T365" i="5"/>
  <c r="U365" i="5" s="1"/>
  <c r="T363" i="5"/>
  <c r="U363" i="5" s="1"/>
  <c r="JD106" i="1"/>
  <c r="IV106" i="1"/>
  <c r="IY106" i="1"/>
  <c r="JC106" i="1" s="1"/>
  <c r="IV104" i="1"/>
  <c r="IW105" i="1"/>
  <c r="IV105" i="1"/>
  <c r="IY105" i="1"/>
  <c r="JC105" i="1" s="1"/>
  <c r="JD105" i="1"/>
  <c r="IW101" i="1"/>
  <c r="IW100" i="1"/>
  <c r="IW103" i="1"/>
  <c r="IW104" i="1"/>
  <c r="T362" i="5"/>
  <c r="U362" i="5" s="1"/>
  <c r="T361" i="5"/>
  <c r="U361" i="5" s="1"/>
  <c r="T360" i="5"/>
  <c r="U360" i="5" s="1"/>
  <c r="IY104" i="1"/>
  <c r="JC104" i="1" s="1"/>
  <c r="JD104" i="1"/>
  <c r="IY103" i="1"/>
  <c r="JC103" i="1" s="1"/>
  <c r="IW102" i="1"/>
  <c r="IV103" i="1"/>
  <c r="T356" i="5"/>
  <c r="V356" i="5" s="1"/>
  <c r="AJ356" i="5" s="1"/>
  <c r="T355" i="5"/>
  <c r="U355" i="5" s="1"/>
  <c r="T359" i="5"/>
  <c r="V359" i="5" s="1"/>
  <c r="AJ359" i="5" s="1"/>
  <c r="U358" i="5"/>
  <c r="AJ358" i="5"/>
  <c r="U357" i="5"/>
  <c r="V357" i="5"/>
  <c r="AJ357" i="5" s="1"/>
  <c r="T349" i="5"/>
  <c r="V349" i="5" s="1"/>
  <c r="AJ349" i="5" s="1"/>
  <c r="T348" i="5"/>
  <c r="V348" i="5" s="1"/>
  <c r="AJ348" i="5" s="1"/>
  <c r="T353" i="5"/>
  <c r="U353" i="5" s="1"/>
  <c r="T354" i="5"/>
  <c r="V354" i="5" s="1"/>
  <c r="AJ354" i="5" s="1"/>
  <c r="JD103" i="1"/>
  <c r="IV102" i="1"/>
  <c r="IV101" i="1"/>
  <c r="AJ352" i="5"/>
  <c r="AJ350" i="5"/>
  <c r="U352" i="5"/>
  <c r="U351" i="5"/>
  <c r="AJ351" i="5"/>
  <c r="U350" i="5"/>
  <c r="T347" i="5"/>
  <c r="U347" i="5" s="1"/>
  <c r="T346" i="5"/>
  <c r="U346" i="5" s="1"/>
  <c r="IY102" i="1"/>
  <c r="JC102" i="1" s="1"/>
  <c r="JD102" i="1"/>
  <c r="IV100" i="1"/>
  <c r="T345" i="5"/>
  <c r="U345" i="5" s="1"/>
  <c r="IY101" i="1"/>
  <c r="JC101" i="1" s="1"/>
  <c r="JD101" i="1"/>
  <c r="T344" i="5"/>
  <c r="U344" i="5" s="1"/>
  <c r="T343" i="5"/>
  <c r="U343" i="5" s="1"/>
  <c r="T342" i="5"/>
  <c r="U342" i="5" s="1"/>
  <c r="V382" i="5" l="1"/>
  <c r="AJ382" i="5" s="1"/>
  <c r="V367" i="5"/>
  <c r="AJ367" i="5" s="1"/>
  <c r="V383" i="5"/>
  <c r="AJ383" i="5" s="1"/>
  <c r="U368" i="5"/>
  <c r="V369" i="5"/>
  <c r="AJ369" i="5" s="1"/>
  <c r="U376" i="5"/>
  <c r="V380" i="5"/>
  <c r="AJ380" i="5" s="1"/>
  <c r="V381" i="5"/>
  <c r="AJ381" i="5" s="1"/>
  <c r="V375" i="5"/>
  <c r="AJ375" i="5" s="1"/>
  <c r="V365" i="5"/>
  <c r="AJ365" i="5" s="1"/>
  <c r="U370" i="5"/>
  <c r="V363" i="5"/>
  <c r="AJ363" i="5" s="1"/>
  <c r="V364" i="5"/>
  <c r="AJ364" i="5" s="1"/>
  <c r="V366" i="5"/>
  <c r="AJ366" i="5" s="1"/>
  <c r="V360" i="5"/>
  <c r="AJ360" i="5" s="1"/>
  <c r="V361" i="5"/>
  <c r="AJ361" i="5" s="1"/>
  <c r="V362" i="5"/>
  <c r="AJ362" i="5" s="1"/>
  <c r="V353" i="5"/>
  <c r="AJ353" i="5" s="1"/>
  <c r="U354" i="5"/>
  <c r="U348" i="5"/>
  <c r="U359" i="5"/>
  <c r="U356" i="5"/>
  <c r="V355" i="5"/>
  <c r="AJ355" i="5" s="1"/>
  <c r="U349" i="5"/>
  <c r="V347" i="5"/>
  <c r="AJ347" i="5" s="1"/>
  <c r="V346" i="5"/>
  <c r="AJ346" i="5" s="1"/>
  <c r="V345" i="5"/>
  <c r="AJ345" i="5" s="1"/>
  <c r="V344" i="5"/>
  <c r="AJ344" i="5" s="1"/>
  <c r="V343" i="5"/>
  <c r="AJ343" i="5" s="1"/>
  <c r="V342" i="5"/>
  <c r="AJ342" i="5" s="1"/>
  <c r="ID100" i="1" l="1"/>
  <c r="IE100" i="1"/>
  <c r="IF100" i="1"/>
  <c r="IG100" i="1"/>
  <c r="IH100" i="1"/>
  <c r="II100" i="1"/>
  <c r="IJ100" i="1"/>
  <c r="IK100" i="1"/>
  <c r="IL100" i="1"/>
  <c r="IM100" i="1"/>
  <c r="IN100" i="1"/>
  <c r="IO100" i="1"/>
  <c r="IX100" i="1"/>
  <c r="IZ100" i="1"/>
  <c r="JA100" i="1"/>
  <c r="JB100" i="1"/>
  <c r="JE100" i="1"/>
  <c r="JF100" i="1"/>
  <c r="JG100" i="1"/>
  <c r="JH100" i="1"/>
  <c r="JI100" i="1"/>
  <c r="JL100" i="1"/>
  <c r="D341" i="5"/>
  <c r="H341" i="5"/>
  <c r="R341" i="5"/>
  <c r="S341" i="5"/>
  <c r="AD341" i="5"/>
  <c r="AE341" i="5"/>
  <c r="AF341" i="5"/>
  <c r="AG341" i="5"/>
  <c r="IP99" i="1"/>
  <c r="IQ99" i="1"/>
  <c r="IR99" i="1"/>
  <c r="IS99" i="1"/>
  <c r="IT99" i="1"/>
  <c r="IU99" i="1"/>
  <c r="ID99" i="1"/>
  <c r="IE99" i="1"/>
  <c r="IF99" i="1"/>
  <c r="IG99" i="1"/>
  <c r="IH99" i="1"/>
  <c r="II99" i="1"/>
  <c r="IJ99" i="1"/>
  <c r="IK99" i="1"/>
  <c r="IL99" i="1"/>
  <c r="IM99" i="1"/>
  <c r="IN99" i="1"/>
  <c r="IO99" i="1"/>
  <c r="IX99" i="1"/>
  <c r="IZ99" i="1"/>
  <c r="JA99" i="1"/>
  <c r="JB99" i="1"/>
  <c r="JE99" i="1"/>
  <c r="JF99" i="1"/>
  <c r="JG99" i="1"/>
  <c r="JH99" i="1"/>
  <c r="JI99" i="1"/>
  <c r="JL99" i="1"/>
  <c r="D340" i="5"/>
  <c r="H340" i="5"/>
  <c r="R340" i="5"/>
  <c r="T340" i="5" s="1"/>
  <c r="U340" i="5" s="1"/>
  <c r="S340" i="5"/>
  <c r="AD340" i="5"/>
  <c r="AE340" i="5"/>
  <c r="AF340" i="5"/>
  <c r="AG340" i="5"/>
  <c r="D338" i="5"/>
  <c r="D339" i="5"/>
  <c r="H338" i="5"/>
  <c r="H339" i="5"/>
  <c r="R338" i="5"/>
  <c r="R339" i="5"/>
  <c r="T339" i="5" s="1"/>
  <c r="U339" i="5" s="1"/>
  <c r="S338" i="5"/>
  <c r="S339" i="5"/>
  <c r="AD338" i="5"/>
  <c r="AD339" i="5"/>
  <c r="AE338" i="5"/>
  <c r="AE339" i="5"/>
  <c r="AF338" i="5"/>
  <c r="AF339" i="5"/>
  <c r="AG338" i="5"/>
  <c r="AG339" i="5"/>
  <c r="IP98" i="1"/>
  <c r="IQ98" i="1"/>
  <c r="IR98" i="1"/>
  <c r="IS98" i="1"/>
  <c r="IT98" i="1"/>
  <c r="IU98" i="1"/>
  <c r="ID98" i="1"/>
  <c r="IE98" i="1"/>
  <c r="IF98" i="1"/>
  <c r="IG98" i="1"/>
  <c r="IH98" i="1"/>
  <c r="II98" i="1"/>
  <c r="IJ98" i="1"/>
  <c r="IK98" i="1"/>
  <c r="IL98" i="1"/>
  <c r="IM98" i="1"/>
  <c r="IN98" i="1"/>
  <c r="IO98" i="1"/>
  <c r="IX98" i="1"/>
  <c r="IZ98" i="1"/>
  <c r="JA98" i="1"/>
  <c r="JB98" i="1"/>
  <c r="JE98" i="1"/>
  <c r="JF98" i="1"/>
  <c r="JG98" i="1"/>
  <c r="JH98" i="1"/>
  <c r="JI98" i="1"/>
  <c r="JL98" i="1"/>
  <c r="D337" i="5"/>
  <c r="H337" i="5"/>
  <c r="R337" i="5"/>
  <c r="S337" i="5"/>
  <c r="AD337" i="5"/>
  <c r="AE337" i="5"/>
  <c r="AF337" i="5"/>
  <c r="AG337" i="5"/>
  <c r="IP97" i="1"/>
  <c r="IQ97" i="1"/>
  <c r="IR97" i="1"/>
  <c r="IS97" i="1"/>
  <c r="IT97" i="1"/>
  <c r="IU97" i="1"/>
  <c r="ID97" i="1"/>
  <c r="IE97" i="1"/>
  <c r="IF97" i="1"/>
  <c r="IG97" i="1"/>
  <c r="IH97" i="1"/>
  <c r="II97" i="1"/>
  <c r="IJ97" i="1"/>
  <c r="IK97" i="1"/>
  <c r="IL97" i="1"/>
  <c r="IM97" i="1"/>
  <c r="IN97" i="1"/>
  <c r="IO97" i="1"/>
  <c r="IX97" i="1"/>
  <c r="IZ97" i="1"/>
  <c r="JA97" i="1"/>
  <c r="JB97" i="1"/>
  <c r="JE97" i="1"/>
  <c r="JF97" i="1"/>
  <c r="JG97" i="1"/>
  <c r="JH97" i="1"/>
  <c r="JI97" i="1"/>
  <c r="JL97" i="1"/>
  <c r="D335" i="5"/>
  <c r="H335" i="5"/>
  <c r="R335" i="5"/>
  <c r="T335" i="5" s="1"/>
  <c r="U335" i="5" s="1"/>
  <c r="S335" i="5"/>
  <c r="AD335" i="5"/>
  <c r="AE335" i="5"/>
  <c r="AF335" i="5"/>
  <c r="AG335" i="5"/>
  <c r="D336" i="5"/>
  <c r="H336" i="5"/>
  <c r="R336" i="5"/>
  <c r="S336" i="5"/>
  <c r="AD336" i="5"/>
  <c r="AE336" i="5"/>
  <c r="AF336" i="5"/>
  <c r="AG336" i="5"/>
  <c r="D333" i="5"/>
  <c r="D334" i="5"/>
  <c r="H333" i="5"/>
  <c r="H334" i="5"/>
  <c r="R333" i="5"/>
  <c r="R334" i="5"/>
  <c r="T334" i="5" s="1"/>
  <c r="U334" i="5" s="1"/>
  <c r="S333" i="5"/>
  <c r="S334" i="5"/>
  <c r="AD333" i="5"/>
  <c r="AD334" i="5"/>
  <c r="AE333" i="5"/>
  <c r="AE334" i="5"/>
  <c r="AF333" i="5"/>
  <c r="AF334" i="5"/>
  <c r="AG333" i="5"/>
  <c r="AG334" i="5"/>
  <c r="IP96" i="1"/>
  <c r="IQ96" i="1"/>
  <c r="IR96" i="1"/>
  <c r="IS96" i="1"/>
  <c r="IT96" i="1"/>
  <c r="IU96" i="1"/>
  <c r="ID96" i="1"/>
  <c r="IE96" i="1"/>
  <c r="IF96" i="1"/>
  <c r="IG96" i="1"/>
  <c r="IH96" i="1"/>
  <c r="II96" i="1"/>
  <c r="IJ96" i="1"/>
  <c r="IK96" i="1"/>
  <c r="IL96" i="1"/>
  <c r="IM96" i="1"/>
  <c r="IN96" i="1"/>
  <c r="IO96" i="1"/>
  <c r="IX96" i="1"/>
  <c r="IZ96" i="1"/>
  <c r="JA96" i="1"/>
  <c r="JB96" i="1"/>
  <c r="JE96" i="1"/>
  <c r="JF96" i="1"/>
  <c r="JG96" i="1"/>
  <c r="JH96" i="1"/>
  <c r="JI96" i="1"/>
  <c r="JL96" i="1"/>
  <c r="D332" i="5"/>
  <c r="H332" i="5"/>
  <c r="R332" i="5"/>
  <c r="T332" i="5" s="1"/>
  <c r="U332" i="5" s="1"/>
  <c r="S332" i="5"/>
  <c r="AD332" i="5"/>
  <c r="AE332" i="5"/>
  <c r="AF332" i="5"/>
  <c r="AG332" i="5"/>
  <c r="D330" i="5"/>
  <c r="D331" i="5"/>
  <c r="H330" i="5"/>
  <c r="H331" i="5"/>
  <c r="R330" i="5"/>
  <c r="R331" i="5"/>
  <c r="S330" i="5"/>
  <c r="S331" i="5"/>
  <c r="AD330" i="5"/>
  <c r="AD331" i="5"/>
  <c r="AE330" i="5"/>
  <c r="AE331" i="5"/>
  <c r="AF330" i="5"/>
  <c r="AF331" i="5"/>
  <c r="AG330" i="5"/>
  <c r="AG331" i="5"/>
  <c r="D329" i="5"/>
  <c r="H329" i="5"/>
  <c r="R329" i="5"/>
  <c r="S329" i="5"/>
  <c r="AD329" i="5"/>
  <c r="AE329" i="5"/>
  <c r="AF329" i="5"/>
  <c r="AG329" i="5"/>
  <c r="IP95" i="1"/>
  <c r="IQ95" i="1"/>
  <c r="IR95" i="1"/>
  <c r="IS95" i="1"/>
  <c r="IT95" i="1"/>
  <c r="IU95" i="1"/>
  <c r="ID95" i="1"/>
  <c r="IE95" i="1"/>
  <c r="IF95" i="1"/>
  <c r="IG95" i="1"/>
  <c r="IH95" i="1"/>
  <c r="II95" i="1"/>
  <c r="IJ95" i="1"/>
  <c r="IK95" i="1"/>
  <c r="IL95" i="1"/>
  <c r="IM95" i="1"/>
  <c r="IN95" i="1"/>
  <c r="IO95" i="1"/>
  <c r="IX95" i="1"/>
  <c r="IZ95" i="1"/>
  <c r="JA95" i="1"/>
  <c r="JB95" i="1"/>
  <c r="JE95" i="1"/>
  <c r="JF95" i="1"/>
  <c r="JG95" i="1"/>
  <c r="JH95" i="1"/>
  <c r="JI95" i="1"/>
  <c r="JL95" i="1"/>
  <c r="D326" i="5"/>
  <c r="D327" i="5"/>
  <c r="D328" i="5"/>
  <c r="H326" i="5"/>
  <c r="H327" i="5"/>
  <c r="H328" i="5"/>
  <c r="R326" i="5"/>
  <c r="R327" i="5"/>
  <c r="R328" i="5"/>
  <c r="S326" i="5"/>
  <c r="S327" i="5"/>
  <c r="S328" i="5"/>
  <c r="AD326" i="5"/>
  <c r="AD327" i="5"/>
  <c r="AD328" i="5"/>
  <c r="AE326" i="5"/>
  <c r="AE327" i="5"/>
  <c r="AE328" i="5"/>
  <c r="AF326" i="5"/>
  <c r="AF327" i="5"/>
  <c r="AF328" i="5"/>
  <c r="AG326" i="5"/>
  <c r="AG327" i="5"/>
  <c r="AG328" i="5"/>
  <c r="IP94" i="1"/>
  <c r="IQ94" i="1"/>
  <c r="IR94" i="1"/>
  <c r="IS94" i="1"/>
  <c r="IT94" i="1"/>
  <c r="IU94" i="1"/>
  <c r="ID94" i="1"/>
  <c r="IE94" i="1"/>
  <c r="IF94" i="1"/>
  <c r="IG94" i="1"/>
  <c r="IH94" i="1"/>
  <c r="II94" i="1"/>
  <c r="IJ94" i="1"/>
  <c r="IK94" i="1"/>
  <c r="IL94" i="1"/>
  <c r="IM94" i="1"/>
  <c r="IN94" i="1"/>
  <c r="IO94" i="1"/>
  <c r="IX94" i="1"/>
  <c r="IZ94" i="1"/>
  <c r="JA94" i="1"/>
  <c r="JB94" i="1"/>
  <c r="JE94" i="1"/>
  <c r="JF94" i="1"/>
  <c r="JG94" i="1"/>
  <c r="JH94" i="1"/>
  <c r="JI94" i="1"/>
  <c r="JL94" i="1"/>
  <c r="D323" i="5"/>
  <c r="D324" i="5"/>
  <c r="D325" i="5"/>
  <c r="H323" i="5"/>
  <c r="H324" i="5"/>
  <c r="H325" i="5"/>
  <c r="R323" i="5"/>
  <c r="R324" i="5"/>
  <c r="R325" i="5"/>
  <c r="S323" i="5"/>
  <c r="S324" i="5"/>
  <c r="S325" i="5"/>
  <c r="AD323" i="5"/>
  <c r="AD324" i="5"/>
  <c r="AD325" i="5"/>
  <c r="AE323" i="5"/>
  <c r="AE324" i="5"/>
  <c r="AE325" i="5"/>
  <c r="AF323" i="5"/>
  <c r="AF324" i="5"/>
  <c r="AF325" i="5"/>
  <c r="AG323" i="5"/>
  <c r="AG324" i="5"/>
  <c r="AG325" i="5"/>
  <c r="IP93" i="1"/>
  <c r="IQ93" i="1"/>
  <c r="IR93" i="1"/>
  <c r="IS93" i="1"/>
  <c r="IT93" i="1"/>
  <c r="IU93" i="1"/>
  <c r="ID93" i="1"/>
  <c r="IE93" i="1"/>
  <c r="IF93" i="1"/>
  <c r="IG93" i="1"/>
  <c r="IH93" i="1"/>
  <c r="II93" i="1"/>
  <c r="IJ93" i="1"/>
  <c r="IK93" i="1"/>
  <c r="IL93" i="1"/>
  <c r="IM93" i="1"/>
  <c r="IN93" i="1"/>
  <c r="IO93" i="1"/>
  <c r="IX93" i="1"/>
  <c r="IZ93" i="1"/>
  <c r="JA93" i="1"/>
  <c r="JB93" i="1"/>
  <c r="JE93" i="1"/>
  <c r="JF93" i="1"/>
  <c r="JG93" i="1"/>
  <c r="JH93" i="1"/>
  <c r="JI93" i="1"/>
  <c r="JL93" i="1"/>
  <c r="D320" i="5"/>
  <c r="D321" i="5"/>
  <c r="D322" i="5"/>
  <c r="H320" i="5"/>
  <c r="H321" i="5"/>
  <c r="H322" i="5"/>
  <c r="R320" i="5"/>
  <c r="R321" i="5"/>
  <c r="R322" i="5"/>
  <c r="S320" i="5"/>
  <c r="S321" i="5"/>
  <c r="S322" i="5"/>
  <c r="AD320" i="5"/>
  <c r="AD321" i="5"/>
  <c r="AD322" i="5"/>
  <c r="AE320" i="5"/>
  <c r="AE321" i="5"/>
  <c r="AE322" i="5"/>
  <c r="AF320" i="5"/>
  <c r="AF321" i="5"/>
  <c r="AF322" i="5"/>
  <c r="AG320" i="5"/>
  <c r="AG321" i="5"/>
  <c r="AG322" i="5"/>
  <c r="IP92" i="1"/>
  <c r="IQ92" i="1"/>
  <c r="IR92" i="1"/>
  <c r="IS92" i="1"/>
  <c r="IT92" i="1"/>
  <c r="IU92" i="1"/>
  <c r="ID92" i="1"/>
  <c r="IE92" i="1"/>
  <c r="IF92" i="1"/>
  <c r="IG92" i="1"/>
  <c r="IH92" i="1"/>
  <c r="II92" i="1"/>
  <c r="IJ92" i="1"/>
  <c r="IK92" i="1"/>
  <c r="IL92" i="1"/>
  <c r="IM92" i="1"/>
  <c r="IN92" i="1"/>
  <c r="IO92" i="1"/>
  <c r="IX92" i="1"/>
  <c r="IZ92" i="1"/>
  <c r="JA92" i="1"/>
  <c r="JB92" i="1"/>
  <c r="JE92" i="1"/>
  <c r="JF92" i="1"/>
  <c r="JG92" i="1"/>
  <c r="JH92" i="1"/>
  <c r="JI92" i="1"/>
  <c r="JL92" i="1"/>
  <c r="D317" i="5"/>
  <c r="D318" i="5"/>
  <c r="D319" i="5"/>
  <c r="H317" i="5"/>
  <c r="H318" i="5"/>
  <c r="H319" i="5"/>
  <c r="R317" i="5"/>
  <c r="R318" i="5"/>
  <c r="R319" i="5"/>
  <c r="S317" i="5"/>
  <c r="S318" i="5"/>
  <c r="S319" i="5"/>
  <c r="AD317" i="5"/>
  <c r="AD318" i="5"/>
  <c r="AD319" i="5"/>
  <c r="AE317" i="5"/>
  <c r="AE318" i="5"/>
  <c r="AE319" i="5"/>
  <c r="AF317" i="5"/>
  <c r="AF318" i="5"/>
  <c r="AF319" i="5"/>
  <c r="AG317" i="5"/>
  <c r="AG318" i="5"/>
  <c r="AG319" i="5"/>
  <c r="J28" i="11"/>
  <c r="K28" i="11" s="1"/>
  <c r="J29" i="11"/>
  <c r="K29" i="11" s="1"/>
  <c r="O28" i="11"/>
  <c r="O29" i="11"/>
  <c r="R28" i="11"/>
  <c r="R29" i="11"/>
  <c r="I30" i="7"/>
  <c r="I31" i="7"/>
  <c r="O30" i="7"/>
  <c r="V30" i="7" s="1"/>
  <c r="O31" i="7"/>
  <c r="V31" i="7" s="1"/>
  <c r="IY100" i="1" l="1"/>
  <c r="JC100" i="1" s="1"/>
  <c r="T341" i="5"/>
  <c r="U341" i="5" s="1"/>
  <c r="JD100" i="1"/>
  <c r="IV99" i="1"/>
  <c r="IW98" i="1"/>
  <c r="IW99" i="1"/>
  <c r="T338" i="5"/>
  <c r="U338" i="5" s="1"/>
  <c r="JD99" i="1"/>
  <c r="IY99" i="1"/>
  <c r="JC99" i="1" s="1"/>
  <c r="IV98" i="1"/>
  <c r="V340" i="5"/>
  <c r="AJ340" i="5" s="1"/>
  <c r="T337" i="5"/>
  <c r="U337" i="5" s="1"/>
  <c r="V339" i="5"/>
  <c r="AJ339" i="5" s="1"/>
  <c r="IY98" i="1"/>
  <c r="JC98" i="1" s="1"/>
  <c r="JD98" i="1"/>
  <c r="IV97" i="1"/>
  <c r="IW95" i="1"/>
  <c r="IW96" i="1"/>
  <c r="IY97" i="1"/>
  <c r="JC97" i="1" s="1"/>
  <c r="IW97" i="1"/>
  <c r="T333" i="5"/>
  <c r="U333" i="5" s="1"/>
  <c r="JD97" i="1"/>
  <c r="JD95" i="1"/>
  <c r="IW94" i="1"/>
  <c r="IV96" i="1"/>
  <c r="T336" i="5"/>
  <c r="U336" i="5" s="1"/>
  <c r="V335" i="5"/>
  <c r="AJ335" i="5" s="1"/>
  <c r="V334" i="5"/>
  <c r="AJ334" i="5" s="1"/>
  <c r="IY96" i="1"/>
  <c r="JC96" i="1" s="1"/>
  <c r="JD96" i="1"/>
  <c r="IW93" i="1"/>
  <c r="IV95" i="1"/>
  <c r="IW92" i="1"/>
  <c r="V332" i="5"/>
  <c r="AJ332" i="5" s="1"/>
  <c r="T331" i="5"/>
  <c r="U331" i="5" s="1"/>
  <c r="T330" i="5"/>
  <c r="U330" i="5" s="1"/>
  <c r="T329" i="5"/>
  <c r="U329" i="5" s="1"/>
  <c r="T327" i="5"/>
  <c r="U327" i="5" s="1"/>
  <c r="T328" i="5"/>
  <c r="U328" i="5" s="1"/>
  <c r="IY95" i="1"/>
  <c r="JC95" i="1" s="1"/>
  <c r="IV94" i="1"/>
  <c r="IV93" i="1"/>
  <c r="T326" i="5"/>
  <c r="V326" i="5" s="1"/>
  <c r="AJ326" i="5" s="1"/>
  <c r="T324" i="5"/>
  <c r="V324" i="5" s="1"/>
  <c r="AJ324" i="5" s="1"/>
  <c r="T323" i="5"/>
  <c r="V323" i="5" s="1"/>
  <c r="AJ323" i="5" s="1"/>
  <c r="T325" i="5"/>
  <c r="V325" i="5" s="1"/>
  <c r="AJ325" i="5" s="1"/>
  <c r="IY94" i="1"/>
  <c r="JC94" i="1" s="1"/>
  <c r="JD94" i="1"/>
  <c r="IV92" i="1"/>
  <c r="T322" i="5"/>
  <c r="U322" i="5" s="1"/>
  <c r="T321" i="5"/>
  <c r="V321" i="5" s="1"/>
  <c r="AJ321" i="5" s="1"/>
  <c r="T320" i="5"/>
  <c r="U320" i="5" s="1"/>
  <c r="JD93" i="1"/>
  <c r="IY93" i="1"/>
  <c r="JC93" i="1" s="1"/>
  <c r="T319" i="5"/>
  <c r="U319" i="5" s="1"/>
  <c r="T318" i="5"/>
  <c r="U318" i="5" s="1"/>
  <c r="IY92" i="1"/>
  <c r="JC92" i="1" s="1"/>
  <c r="JD92" i="1"/>
  <c r="T317" i="5"/>
  <c r="U317" i="5" s="1"/>
  <c r="V337" i="5" l="1"/>
  <c r="AJ337" i="5" s="1"/>
  <c r="V338" i="5"/>
  <c r="AJ338" i="5" s="1"/>
  <c r="V341" i="5"/>
  <c r="AJ341" i="5" s="1"/>
  <c r="V333" i="5"/>
  <c r="AJ333" i="5" s="1"/>
  <c r="V336" i="5"/>
  <c r="AJ336" i="5" s="1"/>
  <c r="V331" i="5"/>
  <c r="AJ331" i="5" s="1"/>
  <c r="V330" i="5"/>
  <c r="AJ330" i="5" s="1"/>
  <c r="V329" i="5"/>
  <c r="AJ329" i="5" s="1"/>
  <c r="U323" i="5"/>
  <c r="V327" i="5"/>
  <c r="AJ327" i="5" s="1"/>
  <c r="V328" i="5"/>
  <c r="AJ328" i="5" s="1"/>
  <c r="U326" i="5"/>
  <c r="U324" i="5"/>
  <c r="U325" i="5"/>
  <c r="U321" i="5"/>
  <c r="V322" i="5"/>
  <c r="AJ322" i="5" s="1"/>
  <c r="V320" i="5"/>
  <c r="AJ320" i="5" s="1"/>
  <c r="V319" i="5"/>
  <c r="AJ319" i="5" s="1"/>
  <c r="V318" i="5"/>
  <c r="AJ318" i="5" s="1"/>
  <c r="V317" i="5"/>
  <c r="AJ317" i="5" s="1"/>
  <c r="IP91" i="1" l="1"/>
  <c r="IQ91" i="1"/>
  <c r="IR91" i="1"/>
  <c r="IS91" i="1"/>
  <c r="IT91" i="1"/>
  <c r="IU91" i="1"/>
  <c r="IV91" i="1" l="1"/>
  <c r="IW91" i="1"/>
  <c r="ID91" i="1"/>
  <c r="IE91" i="1"/>
  <c r="IF91" i="1"/>
  <c r="IG91" i="1"/>
  <c r="IH91" i="1"/>
  <c r="II91" i="1"/>
  <c r="IJ91" i="1"/>
  <c r="IK91" i="1"/>
  <c r="IL91" i="1"/>
  <c r="IM91" i="1"/>
  <c r="IN91" i="1"/>
  <c r="IO91" i="1"/>
  <c r="IX91" i="1"/>
  <c r="IZ91" i="1"/>
  <c r="JA91" i="1"/>
  <c r="JB91" i="1"/>
  <c r="JE91" i="1"/>
  <c r="JF91" i="1"/>
  <c r="JG91" i="1"/>
  <c r="JH91" i="1"/>
  <c r="JI91" i="1"/>
  <c r="JL91" i="1"/>
  <c r="IY91" i="1" l="1"/>
  <c r="JC91" i="1" s="1"/>
  <c r="JD91" i="1"/>
  <c r="D312" i="5" l="1"/>
  <c r="D313" i="5"/>
  <c r="D314" i="5"/>
  <c r="D315" i="5"/>
  <c r="D316" i="5"/>
  <c r="H312" i="5"/>
  <c r="H313" i="5"/>
  <c r="H314" i="5"/>
  <c r="H315" i="5"/>
  <c r="H316" i="5"/>
  <c r="R312" i="5"/>
  <c r="T312" i="5" s="1"/>
  <c r="U312" i="5" s="1"/>
  <c r="R313" i="5"/>
  <c r="T313" i="5" s="1"/>
  <c r="R314" i="5"/>
  <c r="R315" i="5"/>
  <c r="R316" i="5"/>
  <c r="S312" i="5"/>
  <c r="S313" i="5"/>
  <c r="S314" i="5"/>
  <c r="S315" i="5"/>
  <c r="S316" i="5"/>
  <c r="AD312" i="5"/>
  <c r="AD313" i="5"/>
  <c r="AD314" i="5"/>
  <c r="AD315" i="5"/>
  <c r="AD316" i="5"/>
  <c r="AE312" i="5"/>
  <c r="AE313" i="5"/>
  <c r="AE314" i="5"/>
  <c r="AE315" i="5"/>
  <c r="AE316" i="5"/>
  <c r="AF312" i="5"/>
  <c r="AF313" i="5"/>
  <c r="AF314" i="5"/>
  <c r="AF315" i="5"/>
  <c r="AF316" i="5"/>
  <c r="AG312" i="5"/>
  <c r="AG313" i="5"/>
  <c r="AG314" i="5"/>
  <c r="AG315" i="5"/>
  <c r="AG316" i="5"/>
  <c r="IP90" i="1"/>
  <c r="IQ90" i="1"/>
  <c r="IR90" i="1"/>
  <c r="IS90" i="1"/>
  <c r="IT90" i="1"/>
  <c r="IU90" i="1"/>
  <c r="ID90" i="1"/>
  <c r="IE90" i="1"/>
  <c r="IF90" i="1"/>
  <c r="IG90" i="1"/>
  <c r="IH90" i="1"/>
  <c r="II90" i="1"/>
  <c r="IJ90" i="1"/>
  <c r="IK90" i="1"/>
  <c r="IL90" i="1"/>
  <c r="IM90" i="1"/>
  <c r="IN90" i="1"/>
  <c r="IO90" i="1"/>
  <c r="IX90" i="1"/>
  <c r="IZ90" i="1"/>
  <c r="JA90" i="1"/>
  <c r="JB90" i="1"/>
  <c r="JE90" i="1"/>
  <c r="JF90" i="1"/>
  <c r="JG90" i="1"/>
  <c r="JH90" i="1"/>
  <c r="JI90" i="1"/>
  <c r="JL90" i="1"/>
  <c r="D304" i="5"/>
  <c r="D305" i="5"/>
  <c r="D306" i="5"/>
  <c r="D307" i="5"/>
  <c r="D308" i="5"/>
  <c r="D309" i="5"/>
  <c r="D310" i="5"/>
  <c r="D311" i="5"/>
  <c r="H304" i="5"/>
  <c r="H305" i="5"/>
  <c r="H306" i="5"/>
  <c r="H307" i="5"/>
  <c r="H308" i="5"/>
  <c r="H309" i="5"/>
  <c r="H310" i="5"/>
  <c r="H311" i="5"/>
  <c r="R304" i="5"/>
  <c r="T304" i="5" s="1"/>
  <c r="U304" i="5" s="1"/>
  <c r="R305" i="5"/>
  <c r="T305" i="5" s="1"/>
  <c r="U305" i="5" s="1"/>
  <c r="R306" i="5"/>
  <c r="T306" i="5" s="1"/>
  <c r="U306" i="5" s="1"/>
  <c r="R307" i="5"/>
  <c r="T307" i="5" s="1"/>
  <c r="U307" i="5" s="1"/>
  <c r="R308" i="5"/>
  <c r="T308" i="5" s="1"/>
  <c r="U308" i="5" s="1"/>
  <c r="R309" i="5"/>
  <c r="R310" i="5"/>
  <c r="R311" i="5"/>
  <c r="S304" i="5"/>
  <c r="S305" i="5"/>
  <c r="S306" i="5"/>
  <c r="S307" i="5"/>
  <c r="S308" i="5"/>
  <c r="S309" i="5"/>
  <c r="S310" i="5"/>
  <c r="S311" i="5"/>
  <c r="AD304" i="5"/>
  <c r="AD305" i="5"/>
  <c r="AD306" i="5"/>
  <c r="AD307" i="5"/>
  <c r="AD308" i="5"/>
  <c r="AD309" i="5"/>
  <c r="AD310" i="5"/>
  <c r="AD311" i="5"/>
  <c r="AE304" i="5"/>
  <c r="AE305" i="5"/>
  <c r="AE306" i="5"/>
  <c r="AE307" i="5"/>
  <c r="AE308" i="5"/>
  <c r="AE309" i="5"/>
  <c r="AE310" i="5"/>
  <c r="AE311" i="5"/>
  <c r="AF304" i="5"/>
  <c r="AF305" i="5"/>
  <c r="AF306" i="5"/>
  <c r="AF307" i="5"/>
  <c r="AF308" i="5"/>
  <c r="AF309" i="5"/>
  <c r="AF310" i="5"/>
  <c r="AF311" i="5"/>
  <c r="AG304" i="5"/>
  <c r="AG305" i="5"/>
  <c r="AG306" i="5"/>
  <c r="AG307" i="5"/>
  <c r="AG308" i="5"/>
  <c r="AG309" i="5"/>
  <c r="AG310" i="5"/>
  <c r="AG311" i="5"/>
  <c r="I29" i="7"/>
  <c r="O29" i="7"/>
  <c r="V29" i="7" s="1"/>
  <c r="IP89" i="1"/>
  <c r="IQ89" i="1"/>
  <c r="IR89" i="1"/>
  <c r="IS89" i="1"/>
  <c r="IT89" i="1"/>
  <c r="IU89" i="1"/>
  <c r="J27" i="11"/>
  <c r="K27" i="11" s="1"/>
  <c r="O27" i="11"/>
  <c r="R27" i="11"/>
  <c r="ID89" i="1"/>
  <c r="IE89" i="1"/>
  <c r="IF89" i="1"/>
  <c r="IG89" i="1"/>
  <c r="IH89" i="1"/>
  <c r="II89" i="1"/>
  <c r="IJ89" i="1"/>
  <c r="IK89" i="1"/>
  <c r="IL89" i="1"/>
  <c r="IM89" i="1"/>
  <c r="IN89" i="1"/>
  <c r="IO89" i="1"/>
  <c r="IX89" i="1"/>
  <c r="IZ89" i="1"/>
  <c r="JA89" i="1"/>
  <c r="JB89" i="1"/>
  <c r="JE89" i="1"/>
  <c r="JF89" i="1"/>
  <c r="JG89" i="1"/>
  <c r="JH89" i="1"/>
  <c r="JI89" i="1"/>
  <c r="JL89" i="1"/>
  <c r="I28" i="7"/>
  <c r="O28" i="7"/>
  <c r="V28" i="7" s="1"/>
  <c r="J26" i="11"/>
  <c r="K26" i="11" s="1"/>
  <c r="O26" i="11"/>
  <c r="R26" i="11"/>
  <c r="D303" i="5"/>
  <c r="H303" i="5"/>
  <c r="R303" i="5"/>
  <c r="S303" i="5"/>
  <c r="AD303" i="5"/>
  <c r="AE303" i="5"/>
  <c r="AF303" i="5"/>
  <c r="AG303" i="5"/>
  <c r="AL303" i="5"/>
  <c r="D301" i="5"/>
  <c r="D302" i="5"/>
  <c r="H301" i="5"/>
  <c r="H302" i="5"/>
  <c r="R301" i="5"/>
  <c r="T301" i="5" s="1"/>
  <c r="U301" i="5" s="1"/>
  <c r="R302" i="5"/>
  <c r="T302" i="5" s="1"/>
  <c r="U302" i="5" s="1"/>
  <c r="S301" i="5"/>
  <c r="S302" i="5"/>
  <c r="AD301" i="5"/>
  <c r="AD302" i="5"/>
  <c r="AE301" i="5"/>
  <c r="AE302" i="5"/>
  <c r="AF301" i="5"/>
  <c r="AF302" i="5"/>
  <c r="AG301" i="5"/>
  <c r="AG302" i="5"/>
  <c r="D300" i="5"/>
  <c r="H300" i="5"/>
  <c r="R300" i="5"/>
  <c r="S300" i="5"/>
  <c r="AD300" i="5"/>
  <c r="AE300" i="5"/>
  <c r="AF300" i="5"/>
  <c r="AG300" i="5"/>
  <c r="IP88" i="1"/>
  <c r="IQ88" i="1"/>
  <c r="IR88" i="1"/>
  <c r="IS88" i="1"/>
  <c r="IT88" i="1"/>
  <c r="IU88" i="1"/>
  <c r="ID88" i="1"/>
  <c r="IE88" i="1"/>
  <c r="IF88" i="1"/>
  <c r="IG88" i="1"/>
  <c r="IH88" i="1"/>
  <c r="II88" i="1"/>
  <c r="IJ88" i="1"/>
  <c r="IK88" i="1"/>
  <c r="IL88" i="1"/>
  <c r="IM88" i="1"/>
  <c r="IN88" i="1"/>
  <c r="IO88" i="1"/>
  <c r="IX88" i="1"/>
  <c r="IZ88" i="1"/>
  <c r="JA88" i="1"/>
  <c r="JB88" i="1"/>
  <c r="JE88" i="1"/>
  <c r="JF88" i="1"/>
  <c r="JG88" i="1"/>
  <c r="JH88" i="1"/>
  <c r="JI88" i="1"/>
  <c r="JL88" i="1"/>
  <c r="JH81" i="1"/>
  <c r="IW88" i="1" l="1"/>
  <c r="IW90" i="1"/>
  <c r="T316" i="5"/>
  <c r="V316" i="5" s="1"/>
  <c r="AJ316" i="5" s="1"/>
  <c r="T315" i="5"/>
  <c r="U315" i="5" s="1"/>
  <c r="IV90" i="1"/>
  <c r="T314" i="5"/>
  <c r="U314" i="5" s="1"/>
  <c r="U313" i="5"/>
  <c r="V313" i="5"/>
  <c r="AJ313" i="5" s="1"/>
  <c r="V312" i="5"/>
  <c r="AJ312" i="5" s="1"/>
  <c r="T311" i="5"/>
  <c r="U311" i="5" s="1"/>
  <c r="V305" i="5"/>
  <c r="AJ305" i="5" s="1"/>
  <c r="V304" i="5"/>
  <c r="AJ304" i="5" s="1"/>
  <c r="T310" i="5"/>
  <c r="V310" i="5" s="1"/>
  <c r="AJ310" i="5" s="1"/>
  <c r="T309" i="5"/>
  <c r="U309" i="5" s="1"/>
  <c r="IY90" i="1"/>
  <c r="JC90" i="1" s="1"/>
  <c r="JD90" i="1"/>
  <c r="IW89" i="1"/>
  <c r="V308" i="5"/>
  <c r="AJ308" i="5" s="1"/>
  <c r="V307" i="5"/>
  <c r="AJ307" i="5" s="1"/>
  <c r="V306" i="5"/>
  <c r="AJ306" i="5" s="1"/>
  <c r="T303" i="5"/>
  <c r="U303" i="5" s="1"/>
  <c r="T300" i="5"/>
  <c r="U300" i="5" s="1"/>
  <c r="JD89" i="1"/>
  <c r="IV89" i="1"/>
  <c r="IY89" i="1"/>
  <c r="JC89" i="1" s="1"/>
  <c r="IV88" i="1"/>
  <c r="V302" i="5"/>
  <c r="AJ302" i="5" s="1"/>
  <c r="V301" i="5"/>
  <c r="AJ301" i="5" s="1"/>
  <c r="IY88" i="1"/>
  <c r="JC88" i="1" s="1"/>
  <c r="JD88" i="1"/>
  <c r="I27" i="7"/>
  <c r="O27" i="7"/>
  <c r="V27" i="7" s="1"/>
  <c r="J25" i="11"/>
  <c r="K25" i="11" s="1"/>
  <c r="O25" i="11"/>
  <c r="R25" i="11"/>
  <c r="IP87" i="1"/>
  <c r="IQ87" i="1"/>
  <c r="IR87" i="1"/>
  <c r="IS87" i="1"/>
  <c r="IT87" i="1"/>
  <c r="IU87" i="1"/>
  <c r="D299" i="5"/>
  <c r="H299" i="5"/>
  <c r="R299" i="5"/>
  <c r="S299" i="5"/>
  <c r="AD299" i="5"/>
  <c r="AE299" i="5"/>
  <c r="AF299" i="5"/>
  <c r="AG299" i="5"/>
  <c r="ID87" i="1"/>
  <c r="IE87" i="1"/>
  <c r="IF87" i="1"/>
  <c r="IG87" i="1"/>
  <c r="IH87" i="1"/>
  <c r="II87" i="1"/>
  <c r="IJ87" i="1"/>
  <c r="IK87" i="1"/>
  <c r="IL87" i="1"/>
  <c r="IM87" i="1"/>
  <c r="IN87" i="1"/>
  <c r="IO87" i="1"/>
  <c r="IX87" i="1"/>
  <c r="IZ87" i="1"/>
  <c r="JA87" i="1"/>
  <c r="JB87" i="1"/>
  <c r="JE87" i="1"/>
  <c r="JF87" i="1"/>
  <c r="JG87" i="1"/>
  <c r="JH87" i="1"/>
  <c r="JI87" i="1"/>
  <c r="JL87" i="1"/>
  <c r="I26" i="7"/>
  <c r="O26" i="7"/>
  <c r="V26" i="7" s="1"/>
  <c r="J24" i="11"/>
  <c r="K24" i="11" s="1"/>
  <c r="O24" i="11"/>
  <c r="R24" i="11"/>
  <c r="U316" i="5" l="1"/>
  <c r="V315" i="5"/>
  <c r="AJ315" i="5" s="1"/>
  <c r="V314" i="5"/>
  <c r="AJ314" i="5" s="1"/>
  <c r="IW87" i="1"/>
  <c r="V311" i="5"/>
  <c r="AJ311" i="5" s="1"/>
  <c r="V300" i="5"/>
  <c r="AJ300" i="5" s="1"/>
  <c r="V309" i="5"/>
  <c r="AJ309" i="5" s="1"/>
  <c r="U310" i="5"/>
  <c r="V303" i="5"/>
  <c r="AJ303" i="5" s="1"/>
  <c r="T299" i="5"/>
  <c r="U299" i="5" s="1"/>
  <c r="IV87" i="1"/>
  <c r="IY87" i="1"/>
  <c r="JC87" i="1" s="1"/>
  <c r="JD87" i="1"/>
  <c r="D298" i="5"/>
  <c r="H298" i="5"/>
  <c r="R298" i="5"/>
  <c r="S298" i="5"/>
  <c r="AD298" i="5"/>
  <c r="AE298" i="5"/>
  <c r="AF298" i="5"/>
  <c r="AG298" i="5"/>
  <c r="IP86" i="1"/>
  <c r="IQ86" i="1"/>
  <c r="IR86" i="1"/>
  <c r="IS86" i="1"/>
  <c r="IT86" i="1"/>
  <c r="IU86" i="1"/>
  <c r="IW86" i="1" l="1"/>
  <c r="V299" i="5"/>
  <c r="AJ299" i="5" s="1"/>
  <c r="T298" i="5"/>
  <c r="U298" i="5" s="1"/>
  <c r="IV86" i="1"/>
  <c r="ID86" i="1"/>
  <c r="IE86" i="1"/>
  <c r="IF86" i="1"/>
  <c r="IG86" i="1"/>
  <c r="IH86" i="1"/>
  <c r="II86" i="1"/>
  <c r="IJ86" i="1"/>
  <c r="IK86" i="1"/>
  <c r="IL86" i="1"/>
  <c r="IM86" i="1"/>
  <c r="IN86" i="1"/>
  <c r="IO86" i="1"/>
  <c r="IX86" i="1"/>
  <c r="IZ86" i="1"/>
  <c r="JA86" i="1"/>
  <c r="JB86" i="1"/>
  <c r="JE86" i="1"/>
  <c r="JF86" i="1"/>
  <c r="JG86" i="1"/>
  <c r="JH86" i="1"/>
  <c r="JI86" i="1"/>
  <c r="JL86" i="1"/>
  <c r="D294" i="5"/>
  <c r="D295" i="5"/>
  <c r="D296" i="5"/>
  <c r="D297" i="5"/>
  <c r="H294" i="5"/>
  <c r="H295" i="5"/>
  <c r="H296" i="5"/>
  <c r="H297" i="5"/>
  <c r="R294" i="5"/>
  <c r="T294" i="5" s="1"/>
  <c r="U294" i="5" s="1"/>
  <c r="R295" i="5"/>
  <c r="T295" i="5" s="1"/>
  <c r="U295" i="5" s="1"/>
  <c r="R296" i="5"/>
  <c r="T296" i="5" s="1"/>
  <c r="U296" i="5" s="1"/>
  <c r="R297" i="5"/>
  <c r="T297" i="5" s="1"/>
  <c r="S294" i="5"/>
  <c r="S295" i="5"/>
  <c r="S296" i="5"/>
  <c r="S297" i="5"/>
  <c r="AD294" i="5"/>
  <c r="AD295" i="5"/>
  <c r="AD296" i="5"/>
  <c r="AD297" i="5"/>
  <c r="AE294" i="5"/>
  <c r="AE295" i="5"/>
  <c r="AE296" i="5"/>
  <c r="AE297" i="5"/>
  <c r="AF294" i="5"/>
  <c r="AF295" i="5"/>
  <c r="AF296" i="5"/>
  <c r="AF297" i="5"/>
  <c r="AG294" i="5"/>
  <c r="AG295" i="5"/>
  <c r="AG296" i="5"/>
  <c r="AG297" i="5"/>
  <c r="IP85" i="1"/>
  <c r="IQ85" i="1"/>
  <c r="IR85" i="1"/>
  <c r="IS85" i="1"/>
  <c r="IT85" i="1"/>
  <c r="IU85" i="1"/>
  <c r="ID85" i="1"/>
  <c r="IE85" i="1"/>
  <c r="IF85" i="1"/>
  <c r="IG85" i="1"/>
  <c r="IH85" i="1"/>
  <c r="II85" i="1"/>
  <c r="IJ85" i="1"/>
  <c r="IK85" i="1"/>
  <c r="IL85" i="1"/>
  <c r="IM85" i="1"/>
  <c r="IN85" i="1"/>
  <c r="IO85" i="1"/>
  <c r="IX85" i="1"/>
  <c r="IZ85" i="1"/>
  <c r="JA85" i="1"/>
  <c r="JB85" i="1"/>
  <c r="JE85" i="1"/>
  <c r="JF85" i="1"/>
  <c r="JG85" i="1"/>
  <c r="JH85" i="1"/>
  <c r="JI85" i="1"/>
  <c r="JL85" i="1"/>
  <c r="D293" i="5"/>
  <c r="H293" i="5"/>
  <c r="R293" i="5"/>
  <c r="S293" i="5"/>
  <c r="AD293" i="5"/>
  <c r="AE293" i="5"/>
  <c r="AF293" i="5"/>
  <c r="AG293" i="5"/>
  <c r="IP84" i="1"/>
  <c r="IQ84" i="1"/>
  <c r="IR84" i="1"/>
  <c r="IS84" i="1"/>
  <c r="IT84" i="1"/>
  <c r="IU84" i="1"/>
  <c r="ID84" i="1"/>
  <c r="IE84" i="1"/>
  <c r="IF84" i="1"/>
  <c r="IG84" i="1"/>
  <c r="IH84" i="1"/>
  <c r="II84" i="1"/>
  <c r="IJ84" i="1"/>
  <c r="IK84" i="1"/>
  <c r="IL84" i="1"/>
  <c r="IM84" i="1"/>
  <c r="IN84" i="1"/>
  <c r="IO84" i="1"/>
  <c r="IX84" i="1"/>
  <c r="IZ84" i="1"/>
  <c r="JA84" i="1"/>
  <c r="JB84" i="1"/>
  <c r="JE84" i="1"/>
  <c r="JF84" i="1"/>
  <c r="JG84" i="1"/>
  <c r="JH84" i="1"/>
  <c r="JI84" i="1"/>
  <c r="JL84" i="1"/>
  <c r="D292" i="5"/>
  <c r="H292" i="5"/>
  <c r="R292" i="5"/>
  <c r="S292" i="5"/>
  <c r="AD292" i="5"/>
  <c r="AE292" i="5"/>
  <c r="AF292" i="5"/>
  <c r="AG292" i="5"/>
  <c r="IP83" i="1"/>
  <c r="IQ83" i="1"/>
  <c r="IR83" i="1"/>
  <c r="IS83" i="1"/>
  <c r="IT83" i="1"/>
  <c r="IU83" i="1"/>
  <c r="ID83" i="1"/>
  <c r="IE83" i="1"/>
  <c r="IF83" i="1"/>
  <c r="IG83" i="1"/>
  <c r="IH83" i="1"/>
  <c r="II83" i="1"/>
  <c r="IJ83" i="1"/>
  <c r="IK83" i="1"/>
  <c r="IL83" i="1"/>
  <c r="IM83" i="1"/>
  <c r="IN83" i="1"/>
  <c r="IO83" i="1"/>
  <c r="IX83" i="1"/>
  <c r="IZ83" i="1"/>
  <c r="JA83" i="1"/>
  <c r="JB83" i="1"/>
  <c r="JE83" i="1"/>
  <c r="JF83" i="1"/>
  <c r="JG83" i="1"/>
  <c r="JH83" i="1"/>
  <c r="JI83" i="1"/>
  <c r="JL83" i="1"/>
  <c r="I25" i="7"/>
  <c r="O25" i="7"/>
  <c r="V25" i="7" s="1"/>
  <c r="J23" i="11"/>
  <c r="K23" i="11" s="1"/>
  <c r="O23" i="11"/>
  <c r="R23" i="11"/>
  <c r="D290" i="5"/>
  <c r="D291" i="5"/>
  <c r="H290" i="5"/>
  <c r="H291" i="5"/>
  <c r="R290" i="5"/>
  <c r="R291" i="5"/>
  <c r="S290" i="5"/>
  <c r="S291" i="5"/>
  <c r="AD290" i="5"/>
  <c r="AD291" i="5"/>
  <c r="AE290" i="5"/>
  <c r="AE291" i="5"/>
  <c r="AF290" i="5"/>
  <c r="AF291" i="5"/>
  <c r="AG290" i="5"/>
  <c r="AG291" i="5"/>
  <c r="IP82" i="1"/>
  <c r="IQ82" i="1"/>
  <c r="IR82" i="1"/>
  <c r="IS82" i="1"/>
  <c r="IT82" i="1"/>
  <c r="IU82" i="1"/>
  <c r="ID82" i="1"/>
  <c r="IE82" i="1"/>
  <c r="IF82" i="1"/>
  <c r="IG82" i="1"/>
  <c r="IH82" i="1"/>
  <c r="II82" i="1"/>
  <c r="IJ82" i="1"/>
  <c r="IK82" i="1"/>
  <c r="IL82" i="1"/>
  <c r="IM82" i="1"/>
  <c r="IN82" i="1"/>
  <c r="IO82" i="1"/>
  <c r="IX82" i="1"/>
  <c r="IZ82" i="1"/>
  <c r="JA82" i="1"/>
  <c r="JB82" i="1"/>
  <c r="JE82" i="1"/>
  <c r="JF82" i="1"/>
  <c r="JG82" i="1"/>
  <c r="JH82" i="1"/>
  <c r="JI82" i="1"/>
  <c r="JL82" i="1"/>
  <c r="I24" i="7"/>
  <c r="O24" i="7"/>
  <c r="V24" i="7" s="1"/>
  <c r="I23" i="7"/>
  <c r="O23" i="7"/>
  <c r="V23" i="7" s="1"/>
  <c r="IW84" i="1" l="1"/>
  <c r="V298" i="5"/>
  <c r="AJ298" i="5" s="1"/>
  <c r="IV85" i="1"/>
  <c r="IY86" i="1"/>
  <c r="JC86" i="1" s="1"/>
  <c r="JD86" i="1"/>
  <c r="IW83" i="1"/>
  <c r="IV84" i="1"/>
  <c r="IY85" i="1"/>
  <c r="JC85" i="1" s="1"/>
  <c r="IW85" i="1"/>
  <c r="V296" i="5"/>
  <c r="AJ296" i="5" s="1"/>
  <c r="V295" i="5"/>
  <c r="AJ295" i="5" s="1"/>
  <c r="V294" i="5"/>
  <c r="AJ294" i="5" s="1"/>
  <c r="V297" i="5"/>
  <c r="AJ297" i="5" s="1"/>
  <c r="U297" i="5"/>
  <c r="T293" i="5"/>
  <c r="V293" i="5" s="1"/>
  <c r="AJ293" i="5" s="1"/>
  <c r="JD85" i="1"/>
  <c r="IW82" i="1"/>
  <c r="IV83" i="1"/>
  <c r="T292" i="5"/>
  <c r="U292" i="5" s="1"/>
  <c r="T290" i="5"/>
  <c r="U290" i="5" s="1"/>
  <c r="IY84" i="1"/>
  <c r="JC84" i="1" s="1"/>
  <c r="JD84" i="1"/>
  <c r="T291" i="5"/>
  <c r="U291" i="5" s="1"/>
  <c r="IY83" i="1"/>
  <c r="JC83" i="1" s="1"/>
  <c r="JD83" i="1"/>
  <c r="IV82" i="1"/>
  <c r="IY82" i="1"/>
  <c r="JC82" i="1" s="1"/>
  <c r="JD82" i="1"/>
  <c r="J21" i="11"/>
  <c r="K21" i="11" s="1"/>
  <c r="J22" i="11"/>
  <c r="K22" i="11" s="1"/>
  <c r="O21" i="11"/>
  <c r="O22" i="11"/>
  <c r="R21" i="11"/>
  <c r="R22" i="11"/>
  <c r="U293" i="5" l="1"/>
  <c r="V292" i="5"/>
  <c r="AJ292" i="5" s="1"/>
  <c r="V290" i="5"/>
  <c r="AJ290" i="5" s="1"/>
  <c r="V291" i="5"/>
  <c r="AJ291" i="5" s="1"/>
  <c r="D288" i="5"/>
  <c r="D289" i="5"/>
  <c r="H288" i="5"/>
  <c r="H289" i="5"/>
  <c r="R288" i="5"/>
  <c r="R289" i="5"/>
  <c r="S288" i="5"/>
  <c r="S289" i="5"/>
  <c r="AD288" i="5"/>
  <c r="AD289" i="5"/>
  <c r="AE288" i="5"/>
  <c r="AE289" i="5"/>
  <c r="AF288" i="5"/>
  <c r="AF289" i="5"/>
  <c r="AG288" i="5"/>
  <c r="AG289" i="5"/>
  <c r="IP81" i="1"/>
  <c r="IQ81" i="1"/>
  <c r="IR81" i="1"/>
  <c r="IS81" i="1"/>
  <c r="IT81" i="1"/>
  <c r="IU81" i="1"/>
  <c r="ID81" i="1"/>
  <c r="IE81" i="1"/>
  <c r="IF81" i="1"/>
  <c r="IG81" i="1"/>
  <c r="IH81" i="1"/>
  <c r="II81" i="1"/>
  <c r="IJ81" i="1"/>
  <c r="IK81" i="1"/>
  <c r="IL81" i="1"/>
  <c r="IM81" i="1"/>
  <c r="IN81" i="1"/>
  <c r="IO81" i="1"/>
  <c r="IX81" i="1"/>
  <c r="IZ81" i="1"/>
  <c r="JA81" i="1"/>
  <c r="JB81" i="1"/>
  <c r="JE81" i="1"/>
  <c r="JF81" i="1"/>
  <c r="JG81" i="1"/>
  <c r="JI81" i="1"/>
  <c r="JL81" i="1"/>
  <c r="D287" i="5"/>
  <c r="H287" i="5"/>
  <c r="R287" i="5"/>
  <c r="S287" i="5"/>
  <c r="AD287" i="5"/>
  <c r="AE287" i="5"/>
  <c r="AF287" i="5"/>
  <c r="AG287" i="5"/>
  <c r="D285" i="5"/>
  <c r="D286" i="5"/>
  <c r="H285" i="5"/>
  <c r="H286" i="5"/>
  <c r="R285" i="5"/>
  <c r="R286" i="5"/>
  <c r="S285" i="5"/>
  <c r="S286" i="5"/>
  <c r="AD285" i="5"/>
  <c r="AD286" i="5"/>
  <c r="AE285" i="5"/>
  <c r="AE286" i="5"/>
  <c r="AF285" i="5"/>
  <c r="AF286" i="5"/>
  <c r="AG285" i="5"/>
  <c r="AG286" i="5"/>
  <c r="IP80" i="1"/>
  <c r="IQ80" i="1"/>
  <c r="IR80" i="1"/>
  <c r="IS80" i="1"/>
  <c r="IT80" i="1"/>
  <c r="IU80" i="1"/>
  <c r="ID80" i="1"/>
  <c r="IE80" i="1"/>
  <c r="IF80" i="1"/>
  <c r="IG80" i="1"/>
  <c r="IH80" i="1"/>
  <c r="II80" i="1"/>
  <c r="IJ80" i="1"/>
  <c r="IK80" i="1"/>
  <c r="IL80" i="1"/>
  <c r="IM80" i="1"/>
  <c r="IN80" i="1"/>
  <c r="IO80" i="1"/>
  <c r="IX80" i="1"/>
  <c r="IZ80" i="1"/>
  <c r="JA80" i="1"/>
  <c r="JB80" i="1"/>
  <c r="JE80" i="1"/>
  <c r="JF80" i="1"/>
  <c r="JG80" i="1"/>
  <c r="JH80" i="1"/>
  <c r="JI80" i="1"/>
  <c r="JL80" i="1"/>
  <c r="D283" i="5"/>
  <c r="D284" i="5"/>
  <c r="H283" i="5"/>
  <c r="H284" i="5"/>
  <c r="R283" i="5"/>
  <c r="R284" i="5"/>
  <c r="S283" i="5"/>
  <c r="S284" i="5"/>
  <c r="AD283" i="5"/>
  <c r="AD284" i="5"/>
  <c r="AE283" i="5"/>
  <c r="AE284" i="5"/>
  <c r="AF283" i="5"/>
  <c r="AF284" i="5"/>
  <c r="AG283" i="5"/>
  <c r="AG284" i="5"/>
  <c r="IP79" i="1"/>
  <c r="IQ79" i="1"/>
  <c r="IR79" i="1"/>
  <c r="IS79" i="1"/>
  <c r="IT79" i="1"/>
  <c r="IU79" i="1"/>
  <c r="ID79" i="1"/>
  <c r="IE79" i="1"/>
  <c r="IF79" i="1"/>
  <c r="IG79" i="1"/>
  <c r="IH79" i="1"/>
  <c r="II79" i="1"/>
  <c r="IJ79" i="1"/>
  <c r="IK79" i="1"/>
  <c r="IL79" i="1"/>
  <c r="IM79" i="1"/>
  <c r="IN79" i="1"/>
  <c r="IO79" i="1"/>
  <c r="IX79" i="1"/>
  <c r="IZ79" i="1"/>
  <c r="JA79" i="1"/>
  <c r="JB79" i="1"/>
  <c r="JE79" i="1"/>
  <c r="JF79" i="1"/>
  <c r="JG79" i="1"/>
  <c r="JH79" i="1"/>
  <c r="JI79" i="1"/>
  <c r="JL79" i="1"/>
  <c r="D276" i="5"/>
  <c r="D277" i="5"/>
  <c r="D278" i="5"/>
  <c r="D279" i="5"/>
  <c r="D280" i="5"/>
  <c r="D281" i="5"/>
  <c r="D282" i="5"/>
  <c r="H276" i="5"/>
  <c r="H277" i="5"/>
  <c r="H278" i="5"/>
  <c r="H279" i="5"/>
  <c r="H280" i="5"/>
  <c r="H281" i="5"/>
  <c r="H282" i="5"/>
  <c r="R276" i="5"/>
  <c r="R277" i="5"/>
  <c r="R278" i="5"/>
  <c r="R279" i="5"/>
  <c r="R280" i="5"/>
  <c r="R281" i="5"/>
  <c r="R282" i="5"/>
  <c r="S276" i="5"/>
  <c r="S277" i="5"/>
  <c r="S278" i="5"/>
  <c r="S279" i="5"/>
  <c r="S280" i="5"/>
  <c r="S281" i="5"/>
  <c r="S282" i="5"/>
  <c r="AD276" i="5"/>
  <c r="AD277" i="5"/>
  <c r="AD278" i="5"/>
  <c r="AD279" i="5"/>
  <c r="AD280" i="5"/>
  <c r="AD281" i="5"/>
  <c r="AD282" i="5"/>
  <c r="AE276" i="5"/>
  <c r="AE277" i="5"/>
  <c r="AE278" i="5"/>
  <c r="AE279" i="5"/>
  <c r="AE280" i="5"/>
  <c r="AE281" i="5"/>
  <c r="AE282" i="5"/>
  <c r="AF276" i="5"/>
  <c r="AF277" i="5"/>
  <c r="AF278" i="5"/>
  <c r="AF279" i="5"/>
  <c r="AF280" i="5"/>
  <c r="AF281" i="5"/>
  <c r="AF282" i="5"/>
  <c r="AG276" i="5"/>
  <c r="AG277" i="5"/>
  <c r="AG278" i="5"/>
  <c r="AG279" i="5"/>
  <c r="AG280" i="5"/>
  <c r="AG281" i="5"/>
  <c r="AG282" i="5"/>
  <c r="IP78" i="1"/>
  <c r="IQ78" i="1"/>
  <c r="IR78" i="1"/>
  <c r="IS78" i="1"/>
  <c r="IT78" i="1"/>
  <c r="IU78" i="1"/>
  <c r="ID78" i="1"/>
  <c r="IE78" i="1"/>
  <c r="IF78" i="1"/>
  <c r="IG78" i="1"/>
  <c r="IH78" i="1"/>
  <c r="II78" i="1"/>
  <c r="IJ78" i="1"/>
  <c r="IK78" i="1"/>
  <c r="IL78" i="1"/>
  <c r="IM78" i="1"/>
  <c r="IN78" i="1"/>
  <c r="IO78" i="1"/>
  <c r="IX78" i="1"/>
  <c r="IZ78" i="1"/>
  <c r="JA78" i="1"/>
  <c r="JB78" i="1"/>
  <c r="JE78" i="1"/>
  <c r="JF78" i="1"/>
  <c r="JG78" i="1"/>
  <c r="JH78" i="1"/>
  <c r="JI78" i="1"/>
  <c r="JL78" i="1"/>
  <c r="D269" i="5"/>
  <c r="D270" i="5"/>
  <c r="D271" i="5"/>
  <c r="D272" i="5"/>
  <c r="D273" i="5"/>
  <c r="D274" i="5"/>
  <c r="D275" i="5"/>
  <c r="H269" i="5"/>
  <c r="H270" i="5"/>
  <c r="H271" i="5"/>
  <c r="H272" i="5"/>
  <c r="H273" i="5"/>
  <c r="H274" i="5"/>
  <c r="H275" i="5"/>
  <c r="R269" i="5"/>
  <c r="R270" i="5"/>
  <c r="R271" i="5"/>
  <c r="R272" i="5"/>
  <c r="R273" i="5"/>
  <c r="R274" i="5"/>
  <c r="R275" i="5"/>
  <c r="S269" i="5"/>
  <c r="S270" i="5"/>
  <c r="S271" i="5"/>
  <c r="S272" i="5"/>
  <c r="S273" i="5"/>
  <c r="S274" i="5"/>
  <c r="S275" i="5"/>
  <c r="AD269" i="5"/>
  <c r="AD270" i="5"/>
  <c r="AD271" i="5"/>
  <c r="AD272" i="5"/>
  <c r="AD273" i="5"/>
  <c r="AD274" i="5"/>
  <c r="AD275" i="5"/>
  <c r="AE269" i="5"/>
  <c r="AE270" i="5"/>
  <c r="AE271" i="5"/>
  <c r="AE272" i="5"/>
  <c r="AE273" i="5"/>
  <c r="AE274" i="5"/>
  <c r="AE275" i="5"/>
  <c r="AF269" i="5"/>
  <c r="AF270" i="5"/>
  <c r="AF271" i="5"/>
  <c r="AF272" i="5"/>
  <c r="AF273" i="5"/>
  <c r="AF274" i="5"/>
  <c r="AF275" i="5"/>
  <c r="AG269" i="5"/>
  <c r="AG270" i="5"/>
  <c r="AG271" i="5"/>
  <c r="AG272" i="5"/>
  <c r="AG273" i="5"/>
  <c r="AG274" i="5"/>
  <c r="AG275" i="5"/>
  <c r="I22" i="7"/>
  <c r="O22" i="7"/>
  <c r="V22" i="7" s="1"/>
  <c r="J20" i="11"/>
  <c r="K20" i="11" s="1"/>
  <c r="O20" i="11"/>
  <c r="R20" i="11"/>
  <c r="IP77" i="1"/>
  <c r="IQ77" i="1"/>
  <c r="IR77" i="1"/>
  <c r="IS77" i="1"/>
  <c r="IT77" i="1"/>
  <c r="IU77" i="1"/>
  <c r="ID77" i="1"/>
  <c r="IE77" i="1"/>
  <c r="IF77" i="1"/>
  <c r="IG77" i="1"/>
  <c r="IH77" i="1"/>
  <c r="II77" i="1"/>
  <c r="IJ77" i="1"/>
  <c r="IK77" i="1"/>
  <c r="IL77" i="1"/>
  <c r="IM77" i="1"/>
  <c r="IN77" i="1"/>
  <c r="IO77" i="1"/>
  <c r="IX77" i="1"/>
  <c r="IZ77" i="1"/>
  <c r="JA77" i="1"/>
  <c r="JB77" i="1"/>
  <c r="JE77" i="1"/>
  <c r="JF77" i="1"/>
  <c r="JG77" i="1"/>
  <c r="JH77" i="1"/>
  <c r="JI77" i="1"/>
  <c r="JL77" i="1"/>
  <c r="D262" i="5"/>
  <c r="D263" i="5"/>
  <c r="D264" i="5"/>
  <c r="D265" i="5"/>
  <c r="D266" i="5"/>
  <c r="D267" i="5"/>
  <c r="D268" i="5"/>
  <c r="H262" i="5"/>
  <c r="H263" i="5"/>
  <c r="H264" i="5"/>
  <c r="H265" i="5"/>
  <c r="H266" i="5"/>
  <c r="H267" i="5"/>
  <c r="H268" i="5"/>
  <c r="R262" i="5"/>
  <c r="R263" i="5"/>
  <c r="R264" i="5"/>
  <c r="R265" i="5"/>
  <c r="R266" i="5"/>
  <c r="R267" i="5"/>
  <c r="R268" i="5"/>
  <c r="S262" i="5"/>
  <c r="S263" i="5"/>
  <c r="S264" i="5"/>
  <c r="S265" i="5"/>
  <c r="S266" i="5"/>
  <c r="S267" i="5"/>
  <c r="S268" i="5"/>
  <c r="AD262" i="5"/>
  <c r="AD263" i="5"/>
  <c r="AD264" i="5"/>
  <c r="AD265" i="5"/>
  <c r="AD266" i="5"/>
  <c r="AD267" i="5"/>
  <c r="AD268" i="5"/>
  <c r="AE262" i="5"/>
  <c r="AE263" i="5"/>
  <c r="AE264" i="5"/>
  <c r="AE265" i="5"/>
  <c r="AE266" i="5"/>
  <c r="AE267" i="5"/>
  <c r="AE268" i="5"/>
  <c r="AF262" i="5"/>
  <c r="AF263" i="5"/>
  <c r="AF264" i="5"/>
  <c r="AF265" i="5"/>
  <c r="AF266" i="5"/>
  <c r="AF267" i="5"/>
  <c r="AF268" i="5"/>
  <c r="AG262" i="5"/>
  <c r="AG263" i="5"/>
  <c r="AG264" i="5"/>
  <c r="AG265" i="5"/>
  <c r="AG266" i="5"/>
  <c r="AG267" i="5"/>
  <c r="AG268" i="5"/>
  <c r="D260" i="5"/>
  <c r="D261" i="5"/>
  <c r="H260" i="5"/>
  <c r="H261" i="5"/>
  <c r="R260" i="5"/>
  <c r="T260" i="5" s="1"/>
  <c r="U260" i="5" s="1"/>
  <c r="R261" i="5"/>
  <c r="T261" i="5" s="1"/>
  <c r="U261" i="5" s="1"/>
  <c r="S260" i="5"/>
  <c r="S261" i="5"/>
  <c r="AD260" i="5"/>
  <c r="AD261" i="5"/>
  <c r="AE260" i="5"/>
  <c r="AE261" i="5"/>
  <c r="AF260" i="5"/>
  <c r="AF261" i="5"/>
  <c r="AG260" i="5"/>
  <c r="AG261" i="5"/>
  <c r="IP76" i="1"/>
  <c r="IQ76" i="1"/>
  <c r="IR76" i="1"/>
  <c r="IS76" i="1"/>
  <c r="IT76" i="1"/>
  <c r="IU76" i="1"/>
  <c r="ID76" i="1"/>
  <c r="IE76" i="1"/>
  <c r="IF76" i="1"/>
  <c r="IG76" i="1"/>
  <c r="IH76" i="1"/>
  <c r="II76" i="1"/>
  <c r="IJ76" i="1"/>
  <c r="IK76" i="1"/>
  <c r="IL76" i="1"/>
  <c r="IM76" i="1"/>
  <c r="IN76" i="1"/>
  <c r="IO76" i="1"/>
  <c r="IX76" i="1"/>
  <c r="IZ76" i="1"/>
  <c r="JA76" i="1"/>
  <c r="JB76" i="1"/>
  <c r="JE76" i="1"/>
  <c r="JF76" i="1"/>
  <c r="JG76" i="1"/>
  <c r="JH76" i="1"/>
  <c r="JI76" i="1"/>
  <c r="JL76" i="1"/>
  <c r="D259" i="5"/>
  <c r="H259" i="5"/>
  <c r="R259" i="5"/>
  <c r="T259" i="5" s="1"/>
  <c r="S259" i="5"/>
  <c r="AD259" i="5"/>
  <c r="AE259" i="5"/>
  <c r="AF259" i="5"/>
  <c r="AG259" i="5"/>
  <c r="D258" i="5"/>
  <c r="H258" i="5"/>
  <c r="R258" i="5"/>
  <c r="T258" i="5" s="1"/>
  <c r="S258" i="5"/>
  <c r="AD258" i="5"/>
  <c r="AE258" i="5"/>
  <c r="AF258" i="5"/>
  <c r="AG258" i="5"/>
  <c r="D256" i="5"/>
  <c r="D257" i="5"/>
  <c r="H256" i="5"/>
  <c r="H257" i="5"/>
  <c r="R256" i="5"/>
  <c r="T256" i="5" s="1"/>
  <c r="U256" i="5" s="1"/>
  <c r="R257" i="5"/>
  <c r="T257" i="5" s="1"/>
  <c r="U257" i="5" s="1"/>
  <c r="S256" i="5"/>
  <c r="S257" i="5"/>
  <c r="AD256" i="5"/>
  <c r="AD257" i="5"/>
  <c r="AE256" i="5"/>
  <c r="AE257" i="5"/>
  <c r="AF256" i="5"/>
  <c r="AF257" i="5"/>
  <c r="AG256" i="5"/>
  <c r="AG257" i="5"/>
  <c r="D249" i="5"/>
  <c r="D250" i="5"/>
  <c r="D251" i="5"/>
  <c r="D252" i="5"/>
  <c r="D253" i="5"/>
  <c r="D254" i="5"/>
  <c r="D255" i="5"/>
  <c r="H249" i="5"/>
  <c r="H250" i="5"/>
  <c r="H251" i="5"/>
  <c r="H252" i="5"/>
  <c r="H253" i="5"/>
  <c r="H254" i="5"/>
  <c r="H255" i="5"/>
  <c r="R249" i="5"/>
  <c r="R250" i="5"/>
  <c r="R251" i="5"/>
  <c r="R252" i="5"/>
  <c r="R253" i="5"/>
  <c r="R254" i="5"/>
  <c r="R255" i="5"/>
  <c r="S249" i="5"/>
  <c r="S250" i="5"/>
  <c r="S251" i="5"/>
  <c r="S252" i="5"/>
  <c r="S253" i="5"/>
  <c r="S254" i="5"/>
  <c r="S255" i="5"/>
  <c r="AD249" i="5"/>
  <c r="AD250" i="5"/>
  <c r="AD251" i="5"/>
  <c r="AD252" i="5"/>
  <c r="AD253" i="5"/>
  <c r="AD254" i="5"/>
  <c r="AD255" i="5"/>
  <c r="AE249" i="5"/>
  <c r="AE250" i="5"/>
  <c r="AE251" i="5"/>
  <c r="AE252" i="5"/>
  <c r="AE253" i="5"/>
  <c r="AE254" i="5"/>
  <c r="AE255" i="5"/>
  <c r="AF249" i="5"/>
  <c r="AF250" i="5"/>
  <c r="AF251" i="5"/>
  <c r="AF252" i="5"/>
  <c r="AF253" i="5"/>
  <c r="AF254" i="5"/>
  <c r="AF255" i="5"/>
  <c r="AG249" i="5"/>
  <c r="AG250" i="5"/>
  <c r="AG251" i="5"/>
  <c r="AG252" i="5"/>
  <c r="AG253" i="5"/>
  <c r="AG254" i="5"/>
  <c r="AG255" i="5"/>
  <c r="IP75" i="1"/>
  <c r="IQ75" i="1"/>
  <c r="IR75" i="1"/>
  <c r="IS75" i="1"/>
  <c r="IT75" i="1"/>
  <c r="IU75" i="1"/>
  <c r="ID75" i="1"/>
  <c r="IE75" i="1"/>
  <c r="IF75" i="1"/>
  <c r="IG75" i="1"/>
  <c r="IH75" i="1"/>
  <c r="II75" i="1"/>
  <c r="IJ75" i="1"/>
  <c r="IK75" i="1"/>
  <c r="IL75" i="1"/>
  <c r="IM75" i="1"/>
  <c r="IN75" i="1"/>
  <c r="IO75" i="1"/>
  <c r="IX75" i="1"/>
  <c r="IZ75" i="1"/>
  <c r="JA75" i="1"/>
  <c r="JB75" i="1"/>
  <c r="JE75" i="1"/>
  <c r="JF75" i="1"/>
  <c r="JG75" i="1"/>
  <c r="JH75" i="1"/>
  <c r="JI75" i="1"/>
  <c r="JL75" i="1"/>
  <c r="IP74" i="1"/>
  <c r="IQ74" i="1"/>
  <c r="IR74" i="1"/>
  <c r="IS74" i="1"/>
  <c r="IT74" i="1"/>
  <c r="IU74" i="1"/>
  <c r="D248" i="5"/>
  <c r="H248" i="5"/>
  <c r="R248" i="5"/>
  <c r="S248" i="5"/>
  <c r="AD248" i="5"/>
  <c r="AE248" i="5"/>
  <c r="AF248" i="5"/>
  <c r="AG248" i="5"/>
  <c r="D242" i="5"/>
  <c r="D243" i="5"/>
  <c r="D244" i="5"/>
  <c r="D245" i="5"/>
  <c r="D246" i="5"/>
  <c r="D247" i="5"/>
  <c r="H242" i="5"/>
  <c r="H243" i="5"/>
  <c r="H244" i="5"/>
  <c r="H245" i="5"/>
  <c r="H246" i="5"/>
  <c r="H247" i="5"/>
  <c r="R242" i="5"/>
  <c r="R243" i="5"/>
  <c r="R244" i="5"/>
  <c r="R245" i="5"/>
  <c r="R246" i="5"/>
  <c r="R247" i="5"/>
  <c r="S242" i="5"/>
  <c r="S243" i="5"/>
  <c r="S244" i="5"/>
  <c r="S245" i="5"/>
  <c r="S246" i="5"/>
  <c r="S247" i="5"/>
  <c r="AD242" i="5"/>
  <c r="AD243" i="5"/>
  <c r="AD244" i="5"/>
  <c r="AD245" i="5"/>
  <c r="AD246" i="5"/>
  <c r="AD247" i="5"/>
  <c r="AE242" i="5"/>
  <c r="AE243" i="5"/>
  <c r="AE244" i="5"/>
  <c r="AE245" i="5"/>
  <c r="AE246" i="5"/>
  <c r="AE247" i="5"/>
  <c r="AF242" i="5"/>
  <c r="AF243" i="5"/>
  <c r="AF244" i="5"/>
  <c r="AF245" i="5"/>
  <c r="AF246" i="5"/>
  <c r="AF247" i="5"/>
  <c r="AG242" i="5"/>
  <c r="AG243" i="5"/>
  <c r="AG244" i="5"/>
  <c r="AG245" i="5"/>
  <c r="AG246" i="5"/>
  <c r="AG247" i="5"/>
  <c r="ID74" i="1"/>
  <c r="IE74" i="1"/>
  <c r="IF74" i="1"/>
  <c r="IG74" i="1"/>
  <c r="IH74" i="1"/>
  <c r="II74" i="1"/>
  <c r="IJ74" i="1"/>
  <c r="IK74" i="1"/>
  <c r="IL74" i="1"/>
  <c r="IM74" i="1"/>
  <c r="IN74" i="1"/>
  <c r="IO74" i="1"/>
  <c r="IX74" i="1"/>
  <c r="IZ74" i="1"/>
  <c r="JA74" i="1"/>
  <c r="JB74" i="1"/>
  <c r="JE74" i="1"/>
  <c r="JF74" i="1"/>
  <c r="JG74" i="1"/>
  <c r="JH74" i="1"/>
  <c r="JI74" i="1"/>
  <c r="JL74" i="1"/>
  <c r="I20" i="7"/>
  <c r="I21" i="7"/>
  <c r="O20" i="7"/>
  <c r="V20" i="7" s="1"/>
  <c r="O21" i="7"/>
  <c r="V21" i="7" s="1"/>
  <c r="J18" i="11"/>
  <c r="K18" i="11" s="1"/>
  <c r="J19" i="11"/>
  <c r="K19" i="11" s="1"/>
  <c r="O18" i="11"/>
  <c r="O19" i="11"/>
  <c r="R18" i="11"/>
  <c r="R19" i="11"/>
  <c r="IP73" i="1"/>
  <c r="IQ73" i="1"/>
  <c r="IR73" i="1"/>
  <c r="IS73" i="1"/>
  <c r="IT73" i="1"/>
  <c r="IU73" i="1"/>
  <c r="ID73" i="1"/>
  <c r="IE73" i="1"/>
  <c r="IF73" i="1"/>
  <c r="IG73" i="1"/>
  <c r="IH73" i="1"/>
  <c r="II73" i="1"/>
  <c r="IJ73" i="1"/>
  <c r="IK73" i="1"/>
  <c r="IL73" i="1"/>
  <c r="IM73" i="1"/>
  <c r="IN73" i="1"/>
  <c r="IO73" i="1"/>
  <c r="IX73" i="1"/>
  <c r="IZ73" i="1"/>
  <c r="JA73" i="1"/>
  <c r="JB73" i="1"/>
  <c r="JE73" i="1"/>
  <c r="JF73" i="1"/>
  <c r="JG73" i="1"/>
  <c r="JH73" i="1"/>
  <c r="JI73" i="1"/>
  <c r="JL73" i="1"/>
  <c r="D241" i="5"/>
  <c r="H241" i="5"/>
  <c r="R241" i="5"/>
  <c r="S241" i="5"/>
  <c r="AD241" i="5"/>
  <c r="AE241" i="5"/>
  <c r="AF241" i="5"/>
  <c r="AG241" i="5"/>
  <c r="I19" i="7"/>
  <c r="O19" i="7"/>
  <c r="V19" i="7" s="1"/>
  <c r="J17" i="11"/>
  <c r="K17" i="11" s="1"/>
  <c r="O17" i="11"/>
  <c r="R17" i="11"/>
  <c r="IP72" i="1"/>
  <c r="IQ72" i="1"/>
  <c r="IR72" i="1"/>
  <c r="IS72" i="1"/>
  <c r="IT72" i="1"/>
  <c r="IU72" i="1"/>
  <c r="ID72" i="1"/>
  <c r="IE72" i="1"/>
  <c r="IF72" i="1"/>
  <c r="IG72" i="1"/>
  <c r="IH72" i="1"/>
  <c r="II72" i="1"/>
  <c r="IJ72" i="1"/>
  <c r="IK72" i="1"/>
  <c r="IL72" i="1"/>
  <c r="IM72" i="1"/>
  <c r="IN72" i="1"/>
  <c r="IO72" i="1"/>
  <c r="IX72" i="1"/>
  <c r="IZ72" i="1"/>
  <c r="JA72" i="1"/>
  <c r="JB72" i="1"/>
  <c r="JE72" i="1"/>
  <c r="JF72" i="1"/>
  <c r="JG72" i="1"/>
  <c r="JH72" i="1"/>
  <c r="JI72" i="1"/>
  <c r="JL72" i="1"/>
  <c r="I18" i="7"/>
  <c r="O18" i="7"/>
  <c r="V18" i="7" s="1"/>
  <c r="J16" i="11"/>
  <c r="K16" i="11" s="1"/>
  <c r="O16" i="11"/>
  <c r="R16" i="11"/>
  <c r="IP71" i="1"/>
  <c r="IQ71" i="1"/>
  <c r="IR71" i="1"/>
  <c r="IS71" i="1"/>
  <c r="IT71" i="1"/>
  <c r="IU71" i="1"/>
  <c r="ID71" i="1"/>
  <c r="IE71" i="1"/>
  <c r="IF71" i="1"/>
  <c r="IG71" i="1"/>
  <c r="IH71" i="1"/>
  <c r="II71" i="1"/>
  <c r="IJ71" i="1"/>
  <c r="IK71" i="1"/>
  <c r="IL71" i="1"/>
  <c r="IM71" i="1"/>
  <c r="IN71" i="1"/>
  <c r="IO71" i="1"/>
  <c r="IX71" i="1"/>
  <c r="IZ71" i="1"/>
  <c r="JA71" i="1"/>
  <c r="JB71" i="1"/>
  <c r="JE71" i="1"/>
  <c r="JF71" i="1"/>
  <c r="JG71" i="1"/>
  <c r="JH71" i="1"/>
  <c r="JI71" i="1"/>
  <c r="JL71" i="1"/>
  <c r="D240" i="5"/>
  <c r="H240" i="5"/>
  <c r="R240" i="5"/>
  <c r="S240" i="5"/>
  <c r="AD240" i="5"/>
  <c r="AE240" i="5"/>
  <c r="AL240" i="5"/>
  <c r="I17" i="7"/>
  <c r="O17" i="7"/>
  <c r="V17" i="7" s="1"/>
  <c r="IP70" i="1"/>
  <c r="IQ70" i="1"/>
  <c r="IR70" i="1"/>
  <c r="IS70" i="1"/>
  <c r="IT70" i="1"/>
  <c r="IU70" i="1"/>
  <c r="J15" i="11"/>
  <c r="K15" i="11" s="1"/>
  <c r="O15" i="11"/>
  <c r="R15" i="11"/>
  <c r="ID70" i="1"/>
  <c r="IE70" i="1"/>
  <c r="IF70" i="1"/>
  <c r="IG70" i="1"/>
  <c r="IH70" i="1"/>
  <c r="II70" i="1"/>
  <c r="IJ70" i="1"/>
  <c r="IK70" i="1"/>
  <c r="IL70" i="1"/>
  <c r="IM70" i="1"/>
  <c r="IN70" i="1"/>
  <c r="IO70" i="1"/>
  <c r="IX70" i="1"/>
  <c r="IZ70" i="1"/>
  <c r="JA70" i="1"/>
  <c r="JB70" i="1"/>
  <c r="JE70" i="1"/>
  <c r="JF70" i="1"/>
  <c r="JG70" i="1"/>
  <c r="JH70" i="1"/>
  <c r="JI70" i="1"/>
  <c r="JL70" i="1"/>
  <c r="S8" i="7"/>
  <c r="S10" i="7"/>
  <c r="I11" i="7"/>
  <c r="I12" i="7"/>
  <c r="I13" i="7"/>
  <c r="I14" i="7"/>
  <c r="I15" i="7"/>
  <c r="I16" i="7"/>
  <c r="O11" i="7"/>
  <c r="V11" i="7" s="1"/>
  <c r="O12" i="7"/>
  <c r="V12" i="7" s="1"/>
  <c r="O13" i="7"/>
  <c r="V13" i="7" s="1"/>
  <c r="O14" i="7"/>
  <c r="V14" i="7" s="1"/>
  <c r="O15" i="7"/>
  <c r="V15" i="7" s="1"/>
  <c r="O16" i="7"/>
  <c r="V16" i="7" s="1"/>
  <c r="D239" i="5"/>
  <c r="H239" i="5"/>
  <c r="R239" i="5"/>
  <c r="S239" i="5"/>
  <c r="AD239" i="5"/>
  <c r="AE239" i="5"/>
  <c r="AF239" i="5"/>
  <c r="AG239" i="5"/>
  <c r="D237" i="5"/>
  <c r="D238" i="5"/>
  <c r="H237" i="5"/>
  <c r="H238" i="5"/>
  <c r="R237" i="5"/>
  <c r="R238" i="5"/>
  <c r="S237" i="5"/>
  <c r="S238" i="5"/>
  <c r="AD237" i="5"/>
  <c r="AD238" i="5"/>
  <c r="AE237" i="5"/>
  <c r="AE238" i="5"/>
  <c r="AF237" i="5"/>
  <c r="AF238" i="5"/>
  <c r="AG237" i="5"/>
  <c r="AG238" i="5"/>
  <c r="J14" i="11"/>
  <c r="K14" i="11" s="1"/>
  <c r="O14" i="11"/>
  <c r="R14" i="11"/>
  <c r="IP69" i="1"/>
  <c r="IQ69" i="1"/>
  <c r="IR69" i="1"/>
  <c r="IS69" i="1"/>
  <c r="IT69" i="1"/>
  <c r="IU69" i="1"/>
  <c r="ID69" i="1"/>
  <c r="IE69" i="1"/>
  <c r="IF69" i="1"/>
  <c r="IG69" i="1"/>
  <c r="IH69" i="1"/>
  <c r="II69" i="1"/>
  <c r="IJ69" i="1"/>
  <c r="IK69" i="1"/>
  <c r="IL69" i="1"/>
  <c r="IM69" i="1"/>
  <c r="IN69" i="1"/>
  <c r="IO69" i="1"/>
  <c r="IX69" i="1"/>
  <c r="IZ69" i="1"/>
  <c r="JA69" i="1"/>
  <c r="JB69" i="1"/>
  <c r="JE69" i="1"/>
  <c r="JF69" i="1"/>
  <c r="JG69" i="1"/>
  <c r="JH69" i="1"/>
  <c r="JI69" i="1"/>
  <c r="JL69" i="1"/>
  <c r="D234" i="5"/>
  <c r="D235" i="5"/>
  <c r="D236" i="5"/>
  <c r="H234" i="5"/>
  <c r="H235" i="5"/>
  <c r="H236" i="5"/>
  <c r="R234" i="5"/>
  <c r="R235" i="5"/>
  <c r="R236" i="5"/>
  <c r="S234" i="5"/>
  <c r="S235" i="5"/>
  <c r="S236" i="5"/>
  <c r="AD234" i="5"/>
  <c r="AD235" i="5"/>
  <c r="AD236" i="5"/>
  <c r="AE234" i="5"/>
  <c r="AE235" i="5"/>
  <c r="AE236" i="5"/>
  <c r="AF234" i="5"/>
  <c r="AF235" i="5"/>
  <c r="AF236" i="5"/>
  <c r="AG234" i="5"/>
  <c r="AG235" i="5"/>
  <c r="AG236" i="5"/>
  <c r="IP68" i="1"/>
  <c r="IQ68" i="1"/>
  <c r="IR68" i="1"/>
  <c r="IS68" i="1"/>
  <c r="IT68" i="1"/>
  <c r="IU68" i="1"/>
  <c r="ID68" i="1"/>
  <c r="IE68" i="1"/>
  <c r="IF68" i="1"/>
  <c r="IG68" i="1"/>
  <c r="IH68" i="1"/>
  <c r="II68" i="1"/>
  <c r="IJ68" i="1"/>
  <c r="IK68" i="1"/>
  <c r="IL68" i="1"/>
  <c r="IM68" i="1"/>
  <c r="IN68" i="1"/>
  <c r="IO68" i="1"/>
  <c r="IX68" i="1"/>
  <c r="IZ68" i="1"/>
  <c r="JA68" i="1"/>
  <c r="JB68" i="1"/>
  <c r="JE68" i="1"/>
  <c r="JF68" i="1"/>
  <c r="JG68" i="1"/>
  <c r="JH68" i="1"/>
  <c r="JI68" i="1"/>
  <c r="JL68" i="1"/>
  <c r="D231" i="5"/>
  <c r="D232" i="5"/>
  <c r="D233" i="5"/>
  <c r="H231" i="5"/>
  <c r="H232" i="5"/>
  <c r="H233" i="5"/>
  <c r="R231" i="5"/>
  <c r="R232" i="5"/>
  <c r="R233" i="5"/>
  <c r="S231" i="5"/>
  <c r="S232" i="5"/>
  <c r="S233" i="5"/>
  <c r="AD231" i="5"/>
  <c r="AD232" i="5"/>
  <c r="AD233" i="5"/>
  <c r="AE231" i="5"/>
  <c r="AE232" i="5"/>
  <c r="AE233" i="5"/>
  <c r="AF231" i="5"/>
  <c r="AF232" i="5"/>
  <c r="AF233" i="5"/>
  <c r="AG231" i="5"/>
  <c r="AG232" i="5"/>
  <c r="AG233" i="5"/>
  <c r="IP67" i="1"/>
  <c r="IQ67" i="1"/>
  <c r="IR67" i="1"/>
  <c r="IS67" i="1"/>
  <c r="IT67" i="1"/>
  <c r="IU67" i="1"/>
  <c r="ID67" i="1"/>
  <c r="IE67" i="1"/>
  <c r="IF67" i="1"/>
  <c r="IG67" i="1"/>
  <c r="IH67" i="1"/>
  <c r="II67" i="1"/>
  <c r="IJ67" i="1"/>
  <c r="IK67" i="1"/>
  <c r="IL67" i="1"/>
  <c r="IM67" i="1"/>
  <c r="IN67" i="1"/>
  <c r="IO67" i="1"/>
  <c r="IX67" i="1"/>
  <c r="IZ67" i="1"/>
  <c r="JA67" i="1"/>
  <c r="JB67" i="1"/>
  <c r="JE67" i="1"/>
  <c r="JF67" i="1"/>
  <c r="JG67" i="1"/>
  <c r="JH67" i="1"/>
  <c r="JI67" i="1"/>
  <c r="JL67" i="1"/>
  <c r="D230" i="5"/>
  <c r="H230" i="5"/>
  <c r="R230" i="5"/>
  <c r="S230" i="5"/>
  <c r="AD230" i="5"/>
  <c r="AE230" i="5"/>
  <c r="AF230" i="5"/>
  <c r="AG230" i="5"/>
  <c r="D223" i="5"/>
  <c r="D224" i="5"/>
  <c r="D225" i="5"/>
  <c r="D226" i="5"/>
  <c r="D227" i="5"/>
  <c r="D228" i="5"/>
  <c r="D229" i="5"/>
  <c r="H223" i="5"/>
  <c r="H224" i="5"/>
  <c r="H225" i="5"/>
  <c r="H226" i="5"/>
  <c r="H227" i="5"/>
  <c r="H228" i="5"/>
  <c r="H229" i="5"/>
  <c r="R223" i="5"/>
  <c r="R224" i="5"/>
  <c r="R225" i="5"/>
  <c r="R226" i="5"/>
  <c r="R227" i="5"/>
  <c r="R228" i="5"/>
  <c r="R229" i="5"/>
  <c r="S223" i="5"/>
  <c r="S224" i="5"/>
  <c r="S225" i="5"/>
  <c r="S226" i="5"/>
  <c r="S227" i="5"/>
  <c r="S228" i="5"/>
  <c r="S229" i="5"/>
  <c r="AD223" i="5"/>
  <c r="AD224" i="5"/>
  <c r="AD225" i="5"/>
  <c r="AD226" i="5"/>
  <c r="AD227" i="5"/>
  <c r="AD228" i="5"/>
  <c r="AD229" i="5"/>
  <c r="AE223" i="5"/>
  <c r="AE224" i="5"/>
  <c r="AE225" i="5"/>
  <c r="AE226" i="5"/>
  <c r="AE227" i="5"/>
  <c r="AE228" i="5"/>
  <c r="AE229" i="5"/>
  <c r="AF223" i="5"/>
  <c r="AF224" i="5"/>
  <c r="AF225" i="5"/>
  <c r="AF226" i="5"/>
  <c r="AF227" i="5"/>
  <c r="AF228" i="5"/>
  <c r="AF229" i="5"/>
  <c r="AG223" i="5"/>
  <c r="AG224" i="5"/>
  <c r="AG225" i="5"/>
  <c r="AG226" i="5"/>
  <c r="AG227" i="5"/>
  <c r="AG228" i="5"/>
  <c r="AG229" i="5"/>
  <c r="IP66" i="1"/>
  <c r="IQ66" i="1"/>
  <c r="IR66" i="1"/>
  <c r="IS66" i="1"/>
  <c r="IT66" i="1"/>
  <c r="IU66" i="1"/>
  <c r="ID66" i="1"/>
  <c r="IE66" i="1"/>
  <c r="IF66" i="1"/>
  <c r="IG66" i="1"/>
  <c r="IH66" i="1"/>
  <c r="II66" i="1"/>
  <c r="IJ66" i="1"/>
  <c r="IK66" i="1"/>
  <c r="IL66" i="1"/>
  <c r="IM66" i="1"/>
  <c r="IN66" i="1"/>
  <c r="IO66" i="1"/>
  <c r="IX66" i="1"/>
  <c r="IZ66" i="1"/>
  <c r="JA66" i="1"/>
  <c r="JB66" i="1"/>
  <c r="JE66" i="1"/>
  <c r="JF66" i="1"/>
  <c r="JG66" i="1"/>
  <c r="JH66" i="1"/>
  <c r="JI66" i="1"/>
  <c r="JL66" i="1"/>
  <c r="IP65" i="1"/>
  <c r="IQ65" i="1"/>
  <c r="IR65" i="1"/>
  <c r="IS65" i="1"/>
  <c r="IT65" i="1"/>
  <c r="IU65" i="1"/>
  <c r="ID65" i="1"/>
  <c r="IE65" i="1"/>
  <c r="IF65" i="1"/>
  <c r="IG65" i="1"/>
  <c r="IH65" i="1"/>
  <c r="II65" i="1"/>
  <c r="IJ65" i="1"/>
  <c r="IK65" i="1"/>
  <c r="IL65" i="1"/>
  <c r="IM65" i="1"/>
  <c r="IN65" i="1"/>
  <c r="IO65" i="1"/>
  <c r="IX65" i="1"/>
  <c r="IZ65" i="1"/>
  <c r="JA65" i="1"/>
  <c r="JB65" i="1"/>
  <c r="JE65" i="1"/>
  <c r="JF65" i="1"/>
  <c r="JG65" i="1"/>
  <c r="JH65" i="1"/>
  <c r="JI65" i="1"/>
  <c r="JL65" i="1"/>
  <c r="IP64" i="1"/>
  <c r="IQ64" i="1"/>
  <c r="IR64" i="1"/>
  <c r="IS64" i="1"/>
  <c r="IT64" i="1"/>
  <c r="IU64" i="1"/>
  <c r="ID64" i="1"/>
  <c r="IE64" i="1"/>
  <c r="IF64" i="1"/>
  <c r="IG64" i="1"/>
  <c r="IH64" i="1"/>
  <c r="II64" i="1"/>
  <c r="IJ64" i="1"/>
  <c r="IK64" i="1"/>
  <c r="IL64" i="1"/>
  <c r="IM64" i="1"/>
  <c r="IN64" i="1"/>
  <c r="IO64" i="1"/>
  <c r="IX64" i="1"/>
  <c r="IZ64" i="1"/>
  <c r="JA64" i="1"/>
  <c r="JB64" i="1"/>
  <c r="JE64" i="1"/>
  <c r="JF64" i="1"/>
  <c r="JG64" i="1"/>
  <c r="JH64" i="1"/>
  <c r="JI64" i="1"/>
  <c r="JL64" i="1"/>
  <c r="D213" i="5"/>
  <c r="D214" i="5"/>
  <c r="D215" i="5"/>
  <c r="D216" i="5"/>
  <c r="D217" i="5"/>
  <c r="D218" i="5"/>
  <c r="D219" i="5"/>
  <c r="D220" i="5"/>
  <c r="D221" i="5"/>
  <c r="D222" i="5"/>
  <c r="H213" i="5"/>
  <c r="H214" i="5"/>
  <c r="H215" i="5"/>
  <c r="H216" i="5"/>
  <c r="H217" i="5"/>
  <c r="H218" i="5"/>
  <c r="H219" i="5"/>
  <c r="H220" i="5"/>
  <c r="H221" i="5"/>
  <c r="H222" i="5"/>
  <c r="R213" i="5"/>
  <c r="R214" i="5"/>
  <c r="R215" i="5"/>
  <c r="R216" i="5"/>
  <c r="R217" i="5"/>
  <c r="R218" i="5"/>
  <c r="R219" i="5"/>
  <c r="R220" i="5"/>
  <c r="R221" i="5"/>
  <c r="R222" i="5"/>
  <c r="S213" i="5"/>
  <c r="S214" i="5"/>
  <c r="S215" i="5"/>
  <c r="S216" i="5"/>
  <c r="S217" i="5"/>
  <c r="S218" i="5"/>
  <c r="S219" i="5"/>
  <c r="S220" i="5"/>
  <c r="S221" i="5"/>
  <c r="S222" i="5"/>
  <c r="AD213" i="5"/>
  <c r="AD214" i="5"/>
  <c r="AD215" i="5"/>
  <c r="AD216" i="5"/>
  <c r="AD217" i="5"/>
  <c r="AD218" i="5"/>
  <c r="AD219" i="5"/>
  <c r="AD220" i="5"/>
  <c r="AD221" i="5"/>
  <c r="AD222" i="5"/>
  <c r="AE213" i="5"/>
  <c r="AE214" i="5"/>
  <c r="AE215" i="5"/>
  <c r="AE216" i="5"/>
  <c r="AE217" i="5"/>
  <c r="AE218" i="5"/>
  <c r="AE219" i="5"/>
  <c r="AE220" i="5"/>
  <c r="AE221" i="5"/>
  <c r="AE222" i="5"/>
  <c r="AF213" i="5"/>
  <c r="AF214" i="5"/>
  <c r="AF215" i="5"/>
  <c r="AF216" i="5"/>
  <c r="AF217" i="5"/>
  <c r="AF218" i="5"/>
  <c r="AF219" i="5"/>
  <c r="AF220" i="5"/>
  <c r="AF221" i="5"/>
  <c r="AF222" i="5"/>
  <c r="AG213" i="5"/>
  <c r="AG214" i="5"/>
  <c r="AG215" i="5"/>
  <c r="AG216" i="5"/>
  <c r="AG217" i="5"/>
  <c r="AG218" i="5"/>
  <c r="AG219" i="5"/>
  <c r="AG220" i="5"/>
  <c r="AG221" i="5"/>
  <c r="AG222" i="5"/>
  <c r="IP63" i="1"/>
  <c r="IQ63" i="1"/>
  <c r="IR63" i="1"/>
  <c r="IS63" i="1"/>
  <c r="IT63" i="1"/>
  <c r="IU63" i="1"/>
  <c r="ID63" i="1"/>
  <c r="IE63" i="1"/>
  <c r="IF63" i="1"/>
  <c r="IG63" i="1"/>
  <c r="IH63" i="1"/>
  <c r="II63" i="1"/>
  <c r="IJ63" i="1"/>
  <c r="IK63" i="1"/>
  <c r="IL63" i="1"/>
  <c r="IM63" i="1"/>
  <c r="IN63" i="1"/>
  <c r="IO63" i="1"/>
  <c r="IX63" i="1"/>
  <c r="IZ63" i="1"/>
  <c r="JA63" i="1"/>
  <c r="JB63" i="1"/>
  <c r="JE63" i="1"/>
  <c r="JF63" i="1"/>
  <c r="JG63" i="1"/>
  <c r="JH63" i="1"/>
  <c r="JI63" i="1"/>
  <c r="JL63" i="1"/>
  <c r="D211" i="5"/>
  <c r="D212" i="5"/>
  <c r="H211" i="5"/>
  <c r="H212" i="5"/>
  <c r="R211" i="5"/>
  <c r="T211" i="5" s="1"/>
  <c r="V211" i="5" s="1"/>
  <c r="R212" i="5"/>
  <c r="T212" i="5" s="1"/>
  <c r="V212" i="5" s="1"/>
  <c r="S211" i="5"/>
  <c r="S212" i="5"/>
  <c r="AD211" i="5"/>
  <c r="AD212" i="5"/>
  <c r="AE211" i="5"/>
  <c r="AE212" i="5"/>
  <c r="AF211" i="5"/>
  <c r="AF212" i="5"/>
  <c r="AG211" i="5"/>
  <c r="AG212" i="5"/>
  <c r="D201" i="5"/>
  <c r="D202" i="5"/>
  <c r="D203" i="5"/>
  <c r="D204" i="5"/>
  <c r="D205" i="5"/>
  <c r="D206" i="5"/>
  <c r="D207" i="5"/>
  <c r="D208" i="5"/>
  <c r="D209" i="5"/>
  <c r="D210" i="5"/>
  <c r="H201" i="5"/>
  <c r="H202" i="5"/>
  <c r="H203" i="5"/>
  <c r="H204" i="5"/>
  <c r="H205" i="5"/>
  <c r="H206" i="5"/>
  <c r="H207" i="5"/>
  <c r="H208" i="5"/>
  <c r="H209" i="5"/>
  <c r="H210" i="5"/>
  <c r="R201" i="5"/>
  <c r="R202" i="5"/>
  <c r="R203" i="5"/>
  <c r="R204" i="5"/>
  <c r="R205" i="5"/>
  <c r="R206" i="5"/>
  <c r="R207" i="5"/>
  <c r="R208" i="5"/>
  <c r="R209" i="5"/>
  <c r="R210" i="5"/>
  <c r="S201" i="5"/>
  <c r="S202" i="5"/>
  <c r="S203" i="5"/>
  <c r="S204" i="5"/>
  <c r="S205" i="5"/>
  <c r="S206" i="5"/>
  <c r="S207" i="5"/>
  <c r="S208" i="5"/>
  <c r="S209" i="5"/>
  <c r="S210" i="5"/>
  <c r="AD201" i="5"/>
  <c r="AD202" i="5"/>
  <c r="AD203" i="5"/>
  <c r="AD204" i="5"/>
  <c r="AD205" i="5"/>
  <c r="AD206" i="5"/>
  <c r="AD207" i="5"/>
  <c r="AD208" i="5"/>
  <c r="AD209" i="5"/>
  <c r="AD210" i="5"/>
  <c r="AE201" i="5"/>
  <c r="AE202" i="5"/>
  <c r="AE203" i="5"/>
  <c r="AE204" i="5"/>
  <c r="AE205" i="5"/>
  <c r="AE206" i="5"/>
  <c r="AE207" i="5"/>
  <c r="AE208" i="5"/>
  <c r="AE209" i="5"/>
  <c r="AE210" i="5"/>
  <c r="AF201" i="5"/>
  <c r="AF202" i="5"/>
  <c r="AF203" i="5"/>
  <c r="AF204" i="5"/>
  <c r="AF205" i="5"/>
  <c r="AF206" i="5"/>
  <c r="AF207" i="5"/>
  <c r="AF208" i="5"/>
  <c r="AF209" i="5"/>
  <c r="AF210" i="5"/>
  <c r="AG201" i="5"/>
  <c r="AG202" i="5"/>
  <c r="AG203" i="5"/>
  <c r="AG204" i="5"/>
  <c r="AG205" i="5"/>
  <c r="AG206" i="5"/>
  <c r="AG207" i="5"/>
  <c r="AG208" i="5"/>
  <c r="AG209" i="5"/>
  <c r="AG210" i="5"/>
  <c r="IP62" i="1"/>
  <c r="IQ62" i="1"/>
  <c r="IR62" i="1"/>
  <c r="IS62" i="1"/>
  <c r="IT62" i="1"/>
  <c r="IU62" i="1"/>
  <c r="ID62" i="1"/>
  <c r="IE62" i="1"/>
  <c r="IF62" i="1"/>
  <c r="IG62" i="1"/>
  <c r="IH62" i="1"/>
  <c r="II62" i="1"/>
  <c r="IJ62" i="1"/>
  <c r="IK62" i="1"/>
  <c r="IL62" i="1"/>
  <c r="IM62" i="1"/>
  <c r="IN62" i="1"/>
  <c r="IO62" i="1"/>
  <c r="IX62" i="1"/>
  <c r="IZ62" i="1"/>
  <c r="JA62" i="1"/>
  <c r="JB62" i="1"/>
  <c r="JE62" i="1"/>
  <c r="JF62" i="1"/>
  <c r="JG62" i="1"/>
  <c r="JH62" i="1"/>
  <c r="JI62" i="1"/>
  <c r="JL62" i="1"/>
  <c r="J13" i="11"/>
  <c r="K13" i="11" s="1"/>
  <c r="O13" i="11"/>
  <c r="R13" i="11"/>
  <c r="D186" i="5"/>
  <c r="D187" i="5"/>
  <c r="D188" i="5"/>
  <c r="D189" i="5"/>
  <c r="D190" i="5"/>
  <c r="D191" i="5"/>
  <c r="D192" i="5"/>
  <c r="D193" i="5"/>
  <c r="D194" i="5"/>
  <c r="D195" i="5"/>
  <c r="D196" i="5"/>
  <c r="D197" i="5"/>
  <c r="D198" i="5"/>
  <c r="D199" i="5"/>
  <c r="D200" i="5"/>
  <c r="H186" i="5"/>
  <c r="H187" i="5"/>
  <c r="H188" i="5"/>
  <c r="H189" i="5"/>
  <c r="H190" i="5"/>
  <c r="H191" i="5"/>
  <c r="H192" i="5"/>
  <c r="H193" i="5"/>
  <c r="H194" i="5"/>
  <c r="H195" i="5"/>
  <c r="H196" i="5"/>
  <c r="H197" i="5"/>
  <c r="H198" i="5"/>
  <c r="H199" i="5"/>
  <c r="H200" i="5"/>
  <c r="R186" i="5"/>
  <c r="R187" i="5"/>
  <c r="R188" i="5"/>
  <c r="R189" i="5"/>
  <c r="R190" i="5"/>
  <c r="R191" i="5"/>
  <c r="R192" i="5"/>
  <c r="R193" i="5"/>
  <c r="R194" i="5"/>
  <c r="R195" i="5"/>
  <c r="R196" i="5"/>
  <c r="R197" i="5"/>
  <c r="R198" i="5"/>
  <c r="R199" i="5"/>
  <c r="R200" i="5"/>
  <c r="S186" i="5"/>
  <c r="S187" i="5"/>
  <c r="S188" i="5"/>
  <c r="S189" i="5"/>
  <c r="S190" i="5"/>
  <c r="S191" i="5"/>
  <c r="S192" i="5"/>
  <c r="S193" i="5"/>
  <c r="S194" i="5"/>
  <c r="S195" i="5"/>
  <c r="S196" i="5"/>
  <c r="S197" i="5"/>
  <c r="S198" i="5"/>
  <c r="S199" i="5"/>
  <c r="S200" i="5"/>
  <c r="AD186" i="5"/>
  <c r="AD187" i="5"/>
  <c r="AD188" i="5"/>
  <c r="AD189" i="5"/>
  <c r="AD190" i="5"/>
  <c r="AD191" i="5"/>
  <c r="AD192" i="5"/>
  <c r="AD193" i="5"/>
  <c r="AD194" i="5"/>
  <c r="AD195" i="5"/>
  <c r="AD196" i="5"/>
  <c r="AD197" i="5"/>
  <c r="AD198" i="5"/>
  <c r="AD199" i="5"/>
  <c r="AD200" i="5"/>
  <c r="AE186" i="5"/>
  <c r="AE187" i="5"/>
  <c r="AE188" i="5"/>
  <c r="AE189" i="5"/>
  <c r="AE190" i="5"/>
  <c r="AE191" i="5"/>
  <c r="AE192" i="5"/>
  <c r="AE193" i="5"/>
  <c r="AE194" i="5"/>
  <c r="AE195" i="5"/>
  <c r="AE196" i="5"/>
  <c r="AE197" i="5"/>
  <c r="AE198" i="5"/>
  <c r="AE199" i="5"/>
  <c r="AE200" i="5"/>
  <c r="AF186" i="5"/>
  <c r="AF187" i="5"/>
  <c r="AF188" i="5"/>
  <c r="AF189" i="5"/>
  <c r="AF190" i="5"/>
  <c r="AF191" i="5"/>
  <c r="AF192" i="5"/>
  <c r="AF193" i="5"/>
  <c r="AF194" i="5"/>
  <c r="AF195" i="5"/>
  <c r="AF196" i="5"/>
  <c r="AF197" i="5"/>
  <c r="AF198" i="5"/>
  <c r="AF199" i="5"/>
  <c r="AF200" i="5"/>
  <c r="AG186" i="5"/>
  <c r="AG187" i="5"/>
  <c r="AG188" i="5"/>
  <c r="AG189" i="5"/>
  <c r="AG190" i="5"/>
  <c r="AG191" i="5"/>
  <c r="AG192" i="5"/>
  <c r="AG193" i="5"/>
  <c r="AG194" i="5"/>
  <c r="AG195" i="5"/>
  <c r="AG196" i="5"/>
  <c r="AG197" i="5"/>
  <c r="AG198" i="5"/>
  <c r="AG199" i="5"/>
  <c r="AG200" i="5"/>
  <c r="IP61" i="1"/>
  <c r="IQ61" i="1"/>
  <c r="IR61" i="1"/>
  <c r="IS61" i="1"/>
  <c r="IT61" i="1"/>
  <c r="IU61" i="1"/>
  <c r="IW78" i="1" l="1"/>
  <c r="IW79" i="1"/>
  <c r="IW81" i="1"/>
  <c r="T289" i="5"/>
  <c r="U289" i="5" s="1"/>
  <c r="T288" i="5"/>
  <c r="U288" i="5" s="1"/>
  <c r="IW80" i="1"/>
  <c r="IV81" i="1"/>
  <c r="T287" i="5"/>
  <c r="U287" i="5" s="1"/>
  <c r="T285" i="5"/>
  <c r="U285" i="5" s="1"/>
  <c r="IY81" i="1"/>
  <c r="JC81" i="1" s="1"/>
  <c r="JD81" i="1"/>
  <c r="IV80" i="1"/>
  <c r="IV79" i="1"/>
  <c r="T286" i="5"/>
  <c r="U286" i="5" s="1"/>
  <c r="T262" i="5"/>
  <c r="U262" i="5" s="1"/>
  <c r="T270" i="5"/>
  <c r="V270" i="5" s="1"/>
  <c r="AJ270" i="5" s="1"/>
  <c r="T284" i="5"/>
  <c r="U284" i="5" s="1"/>
  <c r="T283" i="5"/>
  <c r="U283" i="5" s="1"/>
  <c r="JD80" i="1"/>
  <c r="IY80" i="1"/>
  <c r="JC80" i="1" s="1"/>
  <c r="IY79" i="1"/>
  <c r="JC79" i="1" s="1"/>
  <c r="T276" i="5"/>
  <c r="U276" i="5" s="1"/>
  <c r="T282" i="5"/>
  <c r="V282" i="5" s="1"/>
  <c r="AJ282" i="5" s="1"/>
  <c r="T267" i="5"/>
  <c r="V267" i="5" s="1"/>
  <c r="AJ267" i="5" s="1"/>
  <c r="T279" i="5"/>
  <c r="V279" i="5" s="1"/>
  <c r="AJ279" i="5" s="1"/>
  <c r="T271" i="5"/>
  <c r="V271" i="5" s="1"/>
  <c r="AJ271" i="5" s="1"/>
  <c r="T278" i="5"/>
  <c r="V278" i="5" s="1"/>
  <c r="AJ278" i="5" s="1"/>
  <c r="T277" i="5"/>
  <c r="V277" i="5" s="1"/>
  <c r="AJ277" i="5" s="1"/>
  <c r="T272" i="5"/>
  <c r="U272" i="5" s="1"/>
  <c r="JD79" i="1"/>
  <c r="IW74" i="1"/>
  <c r="IW76" i="1"/>
  <c r="IV78" i="1"/>
  <c r="T281" i="5"/>
  <c r="V281" i="5" s="1"/>
  <c r="AJ281" i="5" s="1"/>
  <c r="T280" i="5"/>
  <c r="V280" i="5" s="1"/>
  <c r="AJ280" i="5" s="1"/>
  <c r="T268" i="5"/>
  <c r="V268" i="5" s="1"/>
  <c r="AJ268" i="5" s="1"/>
  <c r="T269" i="5"/>
  <c r="U269" i="5" s="1"/>
  <c r="T275" i="5"/>
  <c r="V275" i="5" s="1"/>
  <c r="AJ275" i="5" s="1"/>
  <c r="T274" i="5"/>
  <c r="V274" i="5" s="1"/>
  <c r="AJ274" i="5" s="1"/>
  <c r="IY78" i="1"/>
  <c r="JC78" i="1" s="1"/>
  <c r="JD78" i="1"/>
  <c r="IV77" i="1"/>
  <c r="IW75" i="1"/>
  <c r="IV76" i="1"/>
  <c r="IW77" i="1"/>
  <c r="IV75" i="1"/>
  <c r="T273" i="5"/>
  <c r="V273" i="5" s="1"/>
  <c r="AJ273" i="5" s="1"/>
  <c r="T265" i="5"/>
  <c r="V265" i="5" s="1"/>
  <c r="AJ265" i="5" s="1"/>
  <c r="T264" i="5"/>
  <c r="U264" i="5" s="1"/>
  <c r="IY77" i="1"/>
  <c r="JC77" i="1" s="1"/>
  <c r="JD77" i="1"/>
  <c r="T263" i="5"/>
  <c r="V263" i="5" s="1"/>
  <c r="AJ263" i="5" s="1"/>
  <c r="T266" i="5"/>
  <c r="U266" i="5" s="1"/>
  <c r="V261" i="5"/>
  <c r="AJ261" i="5" s="1"/>
  <c r="V260" i="5"/>
  <c r="AJ260" i="5" s="1"/>
  <c r="IY76" i="1"/>
  <c r="JC76" i="1" s="1"/>
  <c r="JD76" i="1"/>
  <c r="IW73" i="1"/>
  <c r="U259" i="5"/>
  <c r="V259" i="5"/>
  <c r="AJ259" i="5" s="1"/>
  <c r="T255" i="5"/>
  <c r="V255" i="5" s="1"/>
  <c r="AJ255" i="5" s="1"/>
  <c r="U258" i="5"/>
  <c r="V258" i="5"/>
  <c r="AJ258" i="5" s="1"/>
  <c r="T253" i="5"/>
  <c r="V253" i="5" s="1"/>
  <c r="AJ253" i="5" s="1"/>
  <c r="T249" i="5"/>
  <c r="V249" i="5" s="1"/>
  <c r="AJ249" i="5" s="1"/>
  <c r="T254" i="5"/>
  <c r="V254" i="5" s="1"/>
  <c r="AJ254" i="5" s="1"/>
  <c r="T252" i="5"/>
  <c r="U252" i="5" s="1"/>
  <c r="T251" i="5"/>
  <c r="U251" i="5" s="1"/>
  <c r="T250" i="5"/>
  <c r="V250" i="5" s="1"/>
  <c r="AJ250" i="5" s="1"/>
  <c r="T242" i="5"/>
  <c r="V242" i="5" s="1"/>
  <c r="AJ242" i="5" s="1"/>
  <c r="T248" i="5"/>
  <c r="U248" i="5" s="1"/>
  <c r="T246" i="5"/>
  <c r="U246" i="5" s="1"/>
  <c r="V257" i="5"/>
  <c r="AJ257" i="5" s="1"/>
  <c r="V256" i="5"/>
  <c r="AJ256" i="5" s="1"/>
  <c r="T247" i="5"/>
  <c r="V247" i="5" s="1"/>
  <c r="AJ247" i="5" s="1"/>
  <c r="T245" i="5"/>
  <c r="V245" i="5" s="1"/>
  <c r="AJ245" i="5" s="1"/>
  <c r="T244" i="5"/>
  <c r="V244" i="5" s="1"/>
  <c r="AJ244" i="5" s="1"/>
  <c r="IY75" i="1"/>
  <c r="JC75" i="1" s="1"/>
  <c r="JD75" i="1"/>
  <c r="IW72" i="1"/>
  <c r="IY73" i="1"/>
  <c r="JC73" i="1" s="1"/>
  <c r="IV72" i="1"/>
  <c r="IV74" i="1"/>
  <c r="IY74" i="1"/>
  <c r="JC74" i="1" s="1"/>
  <c r="T243" i="5"/>
  <c r="U243" i="5" s="1"/>
  <c r="T239" i="5"/>
  <c r="U239" i="5" s="1"/>
  <c r="T241" i="5"/>
  <c r="U241" i="5" s="1"/>
  <c r="JD74" i="1"/>
  <c r="IW71" i="1"/>
  <c r="IV73" i="1"/>
  <c r="JD73" i="1"/>
  <c r="IW69" i="1"/>
  <c r="IW70" i="1"/>
  <c r="T240" i="5"/>
  <c r="U240" i="5" s="1"/>
  <c r="IY72" i="1"/>
  <c r="JC72" i="1" s="1"/>
  <c r="JD72" i="1"/>
  <c r="IV71" i="1"/>
  <c r="JD71" i="1"/>
  <c r="IY71" i="1"/>
  <c r="JC71" i="1" s="1"/>
  <c r="IY70" i="1"/>
  <c r="JC70" i="1" s="1"/>
  <c r="IV70" i="1"/>
  <c r="JD70" i="1"/>
  <c r="IW65" i="1"/>
  <c r="IV66" i="1"/>
  <c r="IW64" i="1"/>
  <c r="IW66" i="1"/>
  <c r="IW68" i="1"/>
  <c r="IY69" i="1"/>
  <c r="JC69" i="1" s="1"/>
  <c r="T236" i="5"/>
  <c r="U236" i="5" s="1"/>
  <c r="T238" i="5"/>
  <c r="U238" i="5" s="1"/>
  <c r="T232" i="5"/>
  <c r="U232" i="5" s="1"/>
  <c r="T237" i="5"/>
  <c r="U237" i="5" s="1"/>
  <c r="T226" i="5"/>
  <c r="V226" i="5" s="1"/>
  <c r="AJ226" i="5" s="1"/>
  <c r="T223" i="5"/>
  <c r="U223" i="5" s="1"/>
  <c r="IV69" i="1"/>
  <c r="JD69" i="1"/>
  <c r="IY68" i="1"/>
  <c r="JC68" i="1" s="1"/>
  <c r="IV65" i="1"/>
  <c r="IV68" i="1"/>
  <c r="T235" i="5"/>
  <c r="U235" i="5" s="1"/>
  <c r="T234" i="5"/>
  <c r="U234" i="5" s="1"/>
  <c r="T230" i="5"/>
  <c r="U230" i="5" s="1"/>
  <c r="JD68" i="1"/>
  <c r="IW67" i="1"/>
  <c r="IV67" i="1"/>
  <c r="T233" i="5"/>
  <c r="U233" i="5" s="1"/>
  <c r="T231" i="5"/>
  <c r="U231" i="5" s="1"/>
  <c r="T229" i="5"/>
  <c r="V229" i="5" s="1"/>
  <c r="AJ229" i="5" s="1"/>
  <c r="T228" i="5"/>
  <c r="V228" i="5" s="1"/>
  <c r="AJ228" i="5" s="1"/>
  <c r="T227" i="5"/>
  <c r="V227" i="5" s="1"/>
  <c r="AJ227" i="5" s="1"/>
  <c r="T225" i="5"/>
  <c r="U225" i="5" s="1"/>
  <c r="T224" i="5"/>
  <c r="V224" i="5" s="1"/>
  <c r="AJ224" i="5" s="1"/>
  <c r="JD67" i="1"/>
  <c r="IY67" i="1"/>
  <c r="JC67" i="1" s="1"/>
  <c r="T220" i="5"/>
  <c r="V220" i="5" s="1"/>
  <c r="AJ220" i="5" s="1"/>
  <c r="T222" i="5"/>
  <c r="U222" i="5" s="1"/>
  <c r="T221" i="5"/>
  <c r="U221" i="5" s="1"/>
  <c r="T213" i="5"/>
  <c r="U213" i="5" s="1"/>
  <c r="T219" i="5"/>
  <c r="V219" i="5" s="1"/>
  <c r="AJ219" i="5" s="1"/>
  <c r="T214" i="5"/>
  <c r="U214" i="5" s="1"/>
  <c r="T217" i="5"/>
  <c r="V217" i="5" s="1"/>
  <c r="AJ217" i="5" s="1"/>
  <c r="IY66" i="1"/>
  <c r="JC66" i="1" s="1"/>
  <c r="JD66" i="1"/>
  <c r="IY65" i="1"/>
  <c r="JC65" i="1" s="1"/>
  <c r="JD65" i="1"/>
  <c r="IV64" i="1"/>
  <c r="IY64" i="1"/>
  <c r="JC64" i="1" s="1"/>
  <c r="IV62" i="1"/>
  <c r="IW63" i="1"/>
  <c r="IV63" i="1"/>
  <c r="JD64" i="1"/>
  <c r="IW62" i="1"/>
  <c r="T216" i="5"/>
  <c r="U216" i="5" s="1"/>
  <c r="T215" i="5"/>
  <c r="V215" i="5" s="1"/>
  <c r="AJ215" i="5" s="1"/>
  <c r="T218" i="5"/>
  <c r="U218" i="5" s="1"/>
  <c r="IY63" i="1"/>
  <c r="JC63" i="1" s="1"/>
  <c r="JD63" i="1"/>
  <c r="IW61" i="1"/>
  <c r="AJ212" i="5"/>
  <c r="AJ211" i="5"/>
  <c r="U212" i="5"/>
  <c r="U211" i="5"/>
  <c r="T199" i="5"/>
  <c r="V199" i="5" s="1"/>
  <c r="AJ199" i="5" s="1"/>
  <c r="T191" i="5"/>
  <c r="V191" i="5" s="1"/>
  <c r="AJ191" i="5" s="1"/>
  <c r="T210" i="5"/>
  <c r="V210" i="5" s="1"/>
  <c r="AJ210" i="5" s="1"/>
  <c r="T203" i="5"/>
  <c r="U203" i="5" s="1"/>
  <c r="T206" i="5"/>
  <c r="U206" i="5" s="1"/>
  <c r="T205" i="5"/>
  <c r="V205" i="5" s="1"/>
  <c r="AJ205" i="5" s="1"/>
  <c r="T196" i="5"/>
  <c r="V196" i="5" s="1"/>
  <c r="AJ196" i="5" s="1"/>
  <c r="T204" i="5"/>
  <c r="V204" i="5" s="1"/>
  <c r="AJ204" i="5" s="1"/>
  <c r="T207" i="5"/>
  <c r="U207" i="5" s="1"/>
  <c r="T200" i="5"/>
  <c r="V200" i="5" s="1"/>
  <c r="AJ200" i="5" s="1"/>
  <c r="T194" i="5"/>
  <c r="U194" i="5" s="1"/>
  <c r="T186" i="5"/>
  <c r="U186" i="5" s="1"/>
  <c r="T209" i="5"/>
  <c r="U209" i="5" s="1"/>
  <c r="T202" i="5"/>
  <c r="V202" i="5" s="1"/>
  <c r="AJ202" i="5" s="1"/>
  <c r="T208" i="5"/>
  <c r="U208" i="5" s="1"/>
  <c r="T201" i="5"/>
  <c r="V201" i="5" s="1"/>
  <c r="AJ201" i="5" s="1"/>
  <c r="T195" i="5"/>
  <c r="V195" i="5" s="1"/>
  <c r="AJ195" i="5" s="1"/>
  <c r="T187" i="5"/>
  <c r="V187" i="5" s="1"/>
  <c r="AJ187" i="5" s="1"/>
  <c r="T197" i="5"/>
  <c r="V197" i="5" s="1"/>
  <c r="AJ197" i="5" s="1"/>
  <c r="T188" i="5"/>
  <c r="V188" i="5" s="1"/>
  <c r="AJ188" i="5" s="1"/>
  <c r="IY62" i="1"/>
  <c r="JC62" i="1" s="1"/>
  <c r="JD62" i="1"/>
  <c r="IV61" i="1"/>
  <c r="T193" i="5"/>
  <c r="V193" i="5" s="1"/>
  <c r="AJ193" i="5" s="1"/>
  <c r="T192" i="5"/>
  <c r="U192" i="5" s="1"/>
  <c r="T198" i="5"/>
  <c r="V198" i="5" s="1"/>
  <c r="AJ198" i="5" s="1"/>
  <c r="T190" i="5"/>
  <c r="V190" i="5" s="1"/>
  <c r="AJ190" i="5" s="1"/>
  <c r="T189" i="5"/>
  <c r="U189" i="5" s="1"/>
  <c r="U268" i="5" l="1"/>
  <c r="V288" i="5"/>
  <c r="AJ288" i="5" s="1"/>
  <c r="V289" i="5"/>
  <c r="AJ289" i="5" s="1"/>
  <c r="V287" i="5"/>
  <c r="AJ287" i="5" s="1"/>
  <c r="V285" i="5"/>
  <c r="AJ285" i="5" s="1"/>
  <c r="V262" i="5"/>
  <c r="AJ262" i="5" s="1"/>
  <c r="U279" i="5"/>
  <c r="V284" i="5"/>
  <c r="AJ284" i="5" s="1"/>
  <c r="U270" i="5"/>
  <c r="U267" i="5"/>
  <c r="V283" i="5"/>
  <c r="AJ283" i="5" s="1"/>
  <c r="V286" i="5"/>
  <c r="AJ286" i="5" s="1"/>
  <c r="U278" i="5"/>
  <c r="U282" i="5"/>
  <c r="V276" i="5"/>
  <c r="AJ276" i="5" s="1"/>
  <c r="U271" i="5"/>
  <c r="U263" i="5"/>
  <c r="U277" i="5"/>
  <c r="V264" i="5"/>
  <c r="AJ264" i="5" s="1"/>
  <c r="V272" i="5"/>
  <c r="AJ272" i="5" s="1"/>
  <c r="V269" i="5"/>
  <c r="AJ269" i="5" s="1"/>
  <c r="U274" i="5"/>
  <c r="V241" i="5"/>
  <c r="AJ241" i="5" s="1"/>
  <c r="U281" i="5"/>
  <c r="U280" i="5"/>
  <c r="U273" i="5"/>
  <c r="U265" i="5"/>
  <c r="U275" i="5"/>
  <c r="V266" i="5"/>
  <c r="AJ266" i="5" s="1"/>
  <c r="U249" i="5"/>
  <c r="V248" i="5"/>
  <c r="AJ248" i="5" s="1"/>
  <c r="U255" i="5"/>
  <c r="U242" i="5"/>
  <c r="U253" i="5"/>
  <c r="V252" i="5"/>
  <c r="AJ252" i="5" s="1"/>
  <c r="V246" i="5"/>
  <c r="AJ246" i="5" s="1"/>
  <c r="U254" i="5"/>
  <c r="U247" i="5"/>
  <c r="V251" i="5"/>
  <c r="AJ251" i="5" s="1"/>
  <c r="U250" i="5"/>
  <c r="V230" i="5"/>
  <c r="AJ230" i="5" s="1"/>
  <c r="V243" i="5"/>
  <c r="AJ243" i="5" s="1"/>
  <c r="V239" i="5"/>
  <c r="AJ239" i="5" s="1"/>
  <c r="U244" i="5"/>
  <c r="V236" i="5"/>
  <c r="AJ236" i="5" s="1"/>
  <c r="U245" i="5"/>
  <c r="U220" i="5"/>
  <c r="V223" i="5"/>
  <c r="AJ223" i="5" s="1"/>
  <c r="V232" i="5"/>
  <c r="AJ232" i="5" s="1"/>
  <c r="V240" i="5"/>
  <c r="AJ240" i="5" s="1"/>
  <c r="V237" i="5"/>
  <c r="AJ237" i="5" s="1"/>
  <c r="U226" i="5"/>
  <c r="V238" i="5"/>
  <c r="AJ238" i="5" s="1"/>
  <c r="U229" i="5"/>
  <c r="U228" i="5"/>
  <c r="V203" i="5"/>
  <c r="AJ203" i="5" s="1"/>
  <c r="V235" i="5"/>
  <c r="AJ235" i="5" s="1"/>
  <c r="U227" i="5"/>
  <c r="U224" i="5"/>
  <c r="V225" i="5"/>
  <c r="AJ225" i="5" s="1"/>
  <c r="V234" i="5"/>
  <c r="AJ234" i="5" s="1"/>
  <c r="V233" i="5"/>
  <c r="AJ233" i="5" s="1"/>
  <c r="V231" i="5"/>
  <c r="AJ231" i="5" s="1"/>
  <c r="V222" i="5"/>
  <c r="AJ222" i="5" s="1"/>
  <c r="V206" i="5"/>
  <c r="AJ206" i="5" s="1"/>
  <c r="V213" i="5"/>
  <c r="AJ213" i="5" s="1"/>
  <c r="U219" i="5"/>
  <c r="U191" i="5"/>
  <c r="V221" i="5"/>
  <c r="AJ221" i="5" s="1"/>
  <c r="U200" i="5"/>
  <c r="V214" i="5"/>
  <c r="AJ214" i="5" s="1"/>
  <c r="U217" i="5"/>
  <c r="U196" i="5"/>
  <c r="U204" i="5"/>
  <c r="V216" i="5"/>
  <c r="AJ216" i="5" s="1"/>
  <c r="U215" i="5"/>
  <c r="V218" i="5"/>
  <c r="AJ218" i="5" s="1"/>
  <c r="U199" i="5"/>
  <c r="U210" i="5"/>
  <c r="U205" i="5"/>
  <c r="V207" i="5"/>
  <c r="AJ207" i="5" s="1"/>
  <c r="V208" i="5"/>
  <c r="AJ208" i="5" s="1"/>
  <c r="V209" i="5"/>
  <c r="AJ209" i="5" s="1"/>
  <c r="U202" i="5"/>
  <c r="U195" i="5"/>
  <c r="V186" i="5"/>
  <c r="AJ186" i="5" s="1"/>
  <c r="U188" i="5"/>
  <c r="V189" i="5"/>
  <c r="AJ189" i="5" s="1"/>
  <c r="U198" i="5"/>
  <c r="V194" i="5"/>
  <c r="AJ194" i="5" s="1"/>
  <c r="U187" i="5"/>
  <c r="U197" i="5"/>
  <c r="U190" i="5"/>
  <c r="U201" i="5"/>
  <c r="V192" i="5"/>
  <c r="AJ192" i="5" s="1"/>
  <c r="U193" i="5"/>
  <c r="ID61" i="1" l="1"/>
  <c r="IE61" i="1"/>
  <c r="IF61" i="1"/>
  <c r="IG61" i="1"/>
  <c r="IH61" i="1"/>
  <c r="II61" i="1"/>
  <c r="IJ61" i="1"/>
  <c r="IK61" i="1"/>
  <c r="IL61" i="1"/>
  <c r="IM61" i="1"/>
  <c r="IN61" i="1"/>
  <c r="IO61" i="1"/>
  <c r="IX61" i="1"/>
  <c r="IZ61" i="1"/>
  <c r="JA61" i="1"/>
  <c r="JB61" i="1"/>
  <c r="JE61" i="1"/>
  <c r="JF61" i="1"/>
  <c r="JG61" i="1"/>
  <c r="JH61" i="1"/>
  <c r="JI61" i="1"/>
  <c r="JL61" i="1"/>
  <c r="D184" i="5"/>
  <c r="D185" i="5"/>
  <c r="H184" i="5"/>
  <c r="H185" i="5"/>
  <c r="R184" i="5"/>
  <c r="R185" i="5"/>
  <c r="S184" i="5"/>
  <c r="S185" i="5"/>
  <c r="AD184" i="5"/>
  <c r="AD185" i="5"/>
  <c r="AE184" i="5"/>
  <c r="AE185" i="5"/>
  <c r="AF184" i="5"/>
  <c r="AF185" i="5"/>
  <c r="AG184" i="5"/>
  <c r="AG185" i="5"/>
  <c r="D169" i="5"/>
  <c r="D170" i="5"/>
  <c r="D171" i="5"/>
  <c r="D172" i="5"/>
  <c r="D173" i="5"/>
  <c r="D174" i="5"/>
  <c r="D175" i="5"/>
  <c r="D176" i="5"/>
  <c r="D177" i="5"/>
  <c r="D178" i="5"/>
  <c r="D179" i="5"/>
  <c r="D180" i="5"/>
  <c r="D181" i="5"/>
  <c r="D182" i="5"/>
  <c r="D183" i="5"/>
  <c r="H169" i="5"/>
  <c r="H170" i="5"/>
  <c r="H171" i="5"/>
  <c r="H172" i="5"/>
  <c r="H173" i="5"/>
  <c r="H174" i="5"/>
  <c r="H175" i="5"/>
  <c r="H176" i="5"/>
  <c r="H177" i="5"/>
  <c r="H178" i="5"/>
  <c r="H179" i="5"/>
  <c r="H180" i="5"/>
  <c r="H181" i="5"/>
  <c r="H182" i="5"/>
  <c r="H183" i="5"/>
  <c r="R169" i="5"/>
  <c r="R170" i="5"/>
  <c r="R171" i="5"/>
  <c r="R172" i="5"/>
  <c r="R173" i="5"/>
  <c r="R174" i="5"/>
  <c r="R175" i="5"/>
  <c r="R176" i="5"/>
  <c r="R177" i="5"/>
  <c r="R178" i="5"/>
  <c r="R179" i="5"/>
  <c r="R180" i="5"/>
  <c r="R181" i="5"/>
  <c r="R182" i="5"/>
  <c r="R183" i="5"/>
  <c r="S169" i="5"/>
  <c r="S170" i="5"/>
  <c r="S171" i="5"/>
  <c r="S172" i="5"/>
  <c r="S173" i="5"/>
  <c r="S174" i="5"/>
  <c r="S175" i="5"/>
  <c r="S176" i="5"/>
  <c r="S177" i="5"/>
  <c r="S178" i="5"/>
  <c r="S179" i="5"/>
  <c r="S180" i="5"/>
  <c r="S181" i="5"/>
  <c r="S182" i="5"/>
  <c r="S183" i="5"/>
  <c r="AD169" i="5"/>
  <c r="AD170" i="5"/>
  <c r="AD171" i="5"/>
  <c r="AD172" i="5"/>
  <c r="AD173" i="5"/>
  <c r="AD174" i="5"/>
  <c r="AD175" i="5"/>
  <c r="AD176" i="5"/>
  <c r="AD177" i="5"/>
  <c r="AD178" i="5"/>
  <c r="AD179" i="5"/>
  <c r="AD180" i="5"/>
  <c r="AD181" i="5"/>
  <c r="AD182" i="5"/>
  <c r="AD183" i="5"/>
  <c r="AE169" i="5"/>
  <c r="AE170" i="5"/>
  <c r="AE171" i="5"/>
  <c r="AE172" i="5"/>
  <c r="AE173" i="5"/>
  <c r="AE174" i="5"/>
  <c r="AE175" i="5"/>
  <c r="AE176" i="5"/>
  <c r="AE177" i="5"/>
  <c r="AE178" i="5"/>
  <c r="AE179" i="5"/>
  <c r="AE180" i="5"/>
  <c r="AE181" i="5"/>
  <c r="AE182" i="5"/>
  <c r="AE183" i="5"/>
  <c r="AF169" i="5"/>
  <c r="AF170" i="5"/>
  <c r="AF171" i="5"/>
  <c r="AF172" i="5"/>
  <c r="AF173" i="5"/>
  <c r="AF174" i="5"/>
  <c r="AF175" i="5"/>
  <c r="AF176" i="5"/>
  <c r="AF177" i="5"/>
  <c r="AF178" i="5"/>
  <c r="AF179" i="5"/>
  <c r="AF180" i="5"/>
  <c r="AF181" i="5"/>
  <c r="AF182" i="5"/>
  <c r="AF183" i="5"/>
  <c r="AG169" i="5"/>
  <c r="AG170" i="5"/>
  <c r="AG171" i="5"/>
  <c r="AG172" i="5"/>
  <c r="AG173" i="5"/>
  <c r="AG174" i="5"/>
  <c r="AG175" i="5"/>
  <c r="AG176" i="5"/>
  <c r="AG177" i="5"/>
  <c r="AG178" i="5"/>
  <c r="AG179" i="5"/>
  <c r="AG180" i="5"/>
  <c r="AG181" i="5"/>
  <c r="AG182" i="5"/>
  <c r="AG183" i="5"/>
  <c r="IP60" i="1"/>
  <c r="IQ60" i="1"/>
  <c r="IR60" i="1"/>
  <c r="IS60" i="1"/>
  <c r="IT60" i="1"/>
  <c r="IU60" i="1"/>
  <c r="ID60" i="1"/>
  <c r="IE60" i="1"/>
  <c r="IF60" i="1"/>
  <c r="IG60" i="1"/>
  <c r="IH60" i="1"/>
  <c r="II60" i="1"/>
  <c r="IJ60" i="1"/>
  <c r="IK60" i="1"/>
  <c r="IL60" i="1"/>
  <c r="IM60" i="1"/>
  <c r="IN60" i="1"/>
  <c r="IO60" i="1"/>
  <c r="IX60" i="1"/>
  <c r="IZ60" i="1"/>
  <c r="JA60" i="1"/>
  <c r="JB60" i="1"/>
  <c r="JE60" i="1"/>
  <c r="JF60" i="1"/>
  <c r="JG60" i="1"/>
  <c r="JH60" i="1"/>
  <c r="JI60" i="1"/>
  <c r="JL60" i="1"/>
  <c r="D154" i="5"/>
  <c r="D155" i="5"/>
  <c r="D156" i="5"/>
  <c r="D157" i="5"/>
  <c r="D158" i="5"/>
  <c r="D159" i="5"/>
  <c r="D160" i="5"/>
  <c r="D161" i="5"/>
  <c r="D162" i="5"/>
  <c r="D163" i="5"/>
  <c r="D164" i="5"/>
  <c r="D165" i="5"/>
  <c r="D166" i="5"/>
  <c r="D167" i="5"/>
  <c r="D168" i="5"/>
  <c r="H154" i="5"/>
  <c r="H155" i="5"/>
  <c r="H156" i="5"/>
  <c r="H157" i="5"/>
  <c r="H158" i="5"/>
  <c r="H159" i="5"/>
  <c r="H160" i="5"/>
  <c r="H161" i="5"/>
  <c r="H162" i="5"/>
  <c r="H163" i="5"/>
  <c r="H164" i="5"/>
  <c r="H165" i="5"/>
  <c r="H166" i="5"/>
  <c r="H167" i="5"/>
  <c r="H168" i="5"/>
  <c r="R154" i="5"/>
  <c r="R155" i="5"/>
  <c r="R156" i="5"/>
  <c r="R157" i="5"/>
  <c r="R158" i="5"/>
  <c r="R159" i="5"/>
  <c r="R160" i="5"/>
  <c r="R161" i="5"/>
  <c r="R162" i="5"/>
  <c r="R163" i="5"/>
  <c r="R164" i="5"/>
  <c r="R165" i="5"/>
  <c r="R166" i="5"/>
  <c r="R167" i="5"/>
  <c r="R168" i="5"/>
  <c r="S154" i="5"/>
  <c r="S155" i="5"/>
  <c r="S156" i="5"/>
  <c r="S157" i="5"/>
  <c r="S158" i="5"/>
  <c r="S159" i="5"/>
  <c r="S160" i="5"/>
  <c r="S161" i="5"/>
  <c r="S162" i="5"/>
  <c r="S163" i="5"/>
  <c r="S164" i="5"/>
  <c r="S165" i="5"/>
  <c r="S166" i="5"/>
  <c r="S167" i="5"/>
  <c r="S168" i="5"/>
  <c r="AD154" i="5"/>
  <c r="AD155" i="5"/>
  <c r="AD156" i="5"/>
  <c r="AD157" i="5"/>
  <c r="AD158" i="5"/>
  <c r="AD159" i="5"/>
  <c r="AD160" i="5"/>
  <c r="AD161" i="5"/>
  <c r="AD162" i="5"/>
  <c r="AD163" i="5"/>
  <c r="AD164" i="5"/>
  <c r="AD165" i="5"/>
  <c r="AD166" i="5"/>
  <c r="AD167" i="5"/>
  <c r="AD168" i="5"/>
  <c r="AE154" i="5"/>
  <c r="AE155" i="5"/>
  <c r="AE156" i="5"/>
  <c r="AE157" i="5"/>
  <c r="AE158" i="5"/>
  <c r="AE159" i="5"/>
  <c r="AE160" i="5"/>
  <c r="AE161" i="5"/>
  <c r="AE162" i="5"/>
  <c r="AE163" i="5"/>
  <c r="AE164" i="5"/>
  <c r="AE165" i="5"/>
  <c r="AE166" i="5"/>
  <c r="AE167" i="5"/>
  <c r="AE168" i="5"/>
  <c r="AF154" i="5"/>
  <c r="AF155" i="5"/>
  <c r="AF156" i="5"/>
  <c r="AF157" i="5"/>
  <c r="AF158" i="5"/>
  <c r="AF159" i="5"/>
  <c r="AF160" i="5"/>
  <c r="AF161" i="5"/>
  <c r="AF162" i="5"/>
  <c r="AF163" i="5"/>
  <c r="AF164" i="5"/>
  <c r="AF165" i="5"/>
  <c r="AF166" i="5"/>
  <c r="AF167" i="5"/>
  <c r="AF168" i="5"/>
  <c r="AG154" i="5"/>
  <c r="AG155" i="5"/>
  <c r="AG156" i="5"/>
  <c r="AG157" i="5"/>
  <c r="AG158" i="5"/>
  <c r="AG159" i="5"/>
  <c r="AG160" i="5"/>
  <c r="AG161" i="5"/>
  <c r="AG162" i="5"/>
  <c r="AG163" i="5"/>
  <c r="AG164" i="5"/>
  <c r="AG165" i="5"/>
  <c r="AG166" i="5"/>
  <c r="AG167" i="5"/>
  <c r="AG168" i="5"/>
  <c r="IP59" i="1"/>
  <c r="IQ59" i="1"/>
  <c r="IR59" i="1"/>
  <c r="IS59" i="1"/>
  <c r="IT59" i="1"/>
  <c r="IU59" i="1"/>
  <c r="ID59" i="1"/>
  <c r="IE59" i="1"/>
  <c r="IF59" i="1"/>
  <c r="IG59" i="1"/>
  <c r="IH59" i="1"/>
  <c r="II59" i="1"/>
  <c r="IJ59" i="1"/>
  <c r="IK59" i="1"/>
  <c r="IL59" i="1"/>
  <c r="IM59" i="1"/>
  <c r="IN59" i="1"/>
  <c r="IO59" i="1"/>
  <c r="IX59" i="1"/>
  <c r="IZ59" i="1"/>
  <c r="JA59" i="1"/>
  <c r="JB59" i="1"/>
  <c r="JE59" i="1"/>
  <c r="JF59" i="1"/>
  <c r="JG59" i="1"/>
  <c r="JH59" i="1"/>
  <c r="JI59" i="1"/>
  <c r="JL59" i="1"/>
  <c r="D139" i="5"/>
  <c r="D140" i="5"/>
  <c r="D141" i="5"/>
  <c r="D142" i="5"/>
  <c r="D143" i="5"/>
  <c r="D144" i="5"/>
  <c r="D145" i="5"/>
  <c r="D146" i="5"/>
  <c r="D147" i="5"/>
  <c r="D148" i="5"/>
  <c r="D149" i="5"/>
  <c r="D150" i="5"/>
  <c r="D151" i="5"/>
  <c r="D152" i="5"/>
  <c r="D153" i="5"/>
  <c r="H139" i="5"/>
  <c r="H140" i="5"/>
  <c r="H141" i="5"/>
  <c r="H142" i="5"/>
  <c r="H143" i="5"/>
  <c r="H144" i="5"/>
  <c r="H145" i="5"/>
  <c r="H146" i="5"/>
  <c r="H147" i="5"/>
  <c r="H148" i="5"/>
  <c r="H149" i="5"/>
  <c r="H150" i="5"/>
  <c r="H151" i="5"/>
  <c r="H152" i="5"/>
  <c r="H153" i="5"/>
  <c r="R139" i="5"/>
  <c r="R140" i="5"/>
  <c r="R141" i="5"/>
  <c r="R142" i="5"/>
  <c r="R143" i="5"/>
  <c r="R144" i="5"/>
  <c r="R145" i="5"/>
  <c r="R146" i="5"/>
  <c r="R147" i="5"/>
  <c r="R148" i="5"/>
  <c r="R149" i="5"/>
  <c r="R150" i="5"/>
  <c r="R151" i="5"/>
  <c r="R152" i="5"/>
  <c r="R153" i="5"/>
  <c r="S139" i="5"/>
  <c r="S140" i="5"/>
  <c r="S141" i="5"/>
  <c r="S142" i="5"/>
  <c r="S143" i="5"/>
  <c r="S144" i="5"/>
  <c r="S145" i="5"/>
  <c r="S146" i="5"/>
  <c r="S147" i="5"/>
  <c r="S148" i="5"/>
  <c r="S149" i="5"/>
  <c r="S150" i="5"/>
  <c r="S151" i="5"/>
  <c r="S152" i="5"/>
  <c r="S153" i="5"/>
  <c r="AD139" i="5"/>
  <c r="AD140" i="5"/>
  <c r="AD141" i="5"/>
  <c r="AD142" i="5"/>
  <c r="AD143" i="5"/>
  <c r="AD144" i="5"/>
  <c r="AD145" i="5"/>
  <c r="AD146" i="5"/>
  <c r="AD147" i="5"/>
  <c r="AD148" i="5"/>
  <c r="AD149" i="5"/>
  <c r="AD150" i="5"/>
  <c r="AD151" i="5"/>
  <c r="AD152" i="5"/>
  <c r="AD153" i="5"/>
  <c r="AE139" i="5"/>
  <c r="AE140" i="5"/>
  <c r="AE141" i="5"/>
  <c r="AE142" i="5"/>
  <c r="AE143" i="5"/>
  <c r="AE144" i="5"/>
  <c r="AE145" i="5"/>
  <c r="AE146" i="5"/>
  <c r="AE147" i="5"/>
  <c r="AE148" i="5"/>
  <c r="AE149" i="5"/>
  <c r="AE150" i="5"/>
  <c r="AE151" i="5"/>
  <c r="AE152" i="5"/>
  <c r="AE153" i="5"/>
  <c r="AF139" i="5"/>
  <c r="AF140" i="5"/>
  <c r="AF141" i="5"/>
  <c r="AF142" i="5"/>
  <c r="AF143" i="5"/>
  <c r="AF144" i="5"/>
  <c r="AF145" i="5"/>
  <c r="AF146" i="5"/>
  <c r="AF147" i="5"/>
  <c r="AF148" i="5"/>
  <c r="AF149" i="5"/>
  <c r="AF150" i="5"/>
  <c r="AF151" i="5"/>
  <c r="AF152" i="5"/>
  <c r="AF153" i="5"/>
  <c r="AG139" i="5"/>
  <c r="AG140" i="5"/>
  <c r="AG141" i="5"/>
  <c r="AG142" i="5"/>
  <c r="AG143" i="5"/>
  <c r="AG144" i="5"/>
  <c r="AG145" i="5"/>
  <c r="AG146" i="5"/>
  <c r="AG147" i="5"/>
  <c r="AG148" i="5"/>
  <c r="AG149" i="5"/>
  <c r="AG150" i="5"/>
  <c r="AG151" i="5"/>
  <c r="AG152" i="5"/>
  <c r="AG153" i="5"/>
  <c r="IP58" i="1"/>
  <c r="IQ58" i="1"/>
  <c r="IR58" i="1"/>
  <c r="IS58" i="1"/>
  <c r="IT58" i="1"/>
  <c r="IU58" i="1"/>
  <c r="ID58" i="1"/>
  <c r="IE58" i="1"/>
  <c r="IF58" i="1"/>
  <c r="IG58" i="1"/>
  <c r="IH58" i="1"/>
  <c r="II58" i="1"/>
  <c r="IJ58" i="1"/>
  <c r="IK58" i="1"/>
  <c r="IL58" i="1"/>
  <c r="IM58" i="1"/>
  <c r="IN58" i="1"/>
  <c r="IO58" i="1"/>
  <c r="IX58" i="1"/>
  <c r="IZ58" i="1"/>
  <c r="JA58" i="1"/>
  <c r="JB58" i="1"/>
  <c r="JE58" i="1"/>
  <c r="JF58" i="1"/>
  <c r="JG58" i="1"/>
  <c r="JH58" i="1"/>
  <c r="JI58" i="1"/>
  <c r="JL58" i="1"/>
  <c r="D132" i="5"/>
  <c r="D133" i="5"/>
  <c r="D134" i="5"/>
  <c r="D135" i="5"/>
  <c r="D136" i="5"/>
  <c r="D137" i="5"/>
  <c r="D138" i="5"/>
  <c r="H132" i="5"/>
  <c r="H133" i="5"/>
  <c r="H134" i="5"/>
  <c r="H135" i="5"/>
  <c r="H136" i="5"/>
  <c r="H137" i="5"/>
  <c r="H138" i="5"/>
  <c r="R132" i="5"/>
  <c r="R133" i="5"/>
  <c r="R134" i="5"/>
  <c r="R135" i="5"/>
  <c r="R136" i="5"/>
  <c r="R137" i="5"/>
  <c r="R138" i="5"/>
  <c r="S132" i="5"/>
  <c r="S133" i="5"/>
  <c r="S134" i="5"/>
  <c r="S135" i="5"/>
  <c r="S136" i="5"/>
  <c r="S137" i="5"/>
  <c r="S138" i="5"/>
  <c r="AD132" i="5"/>
  <c r="AD133" i="5"/>
  <c r="AD134" i="5"/>
  <c r="AD135" i="5"/>
  <c r="AD136" i="5"/>
  <c r="AD137" i="5"/>
  <c r="AD138" i="5"/>
  <c r="AE132" i="5"/>
  <c r="AE133" i="5"/>
  <c r="AE134" i="5"/>
  <c r="AE135" i="5"/>
  <c r="AE136" i="5"/>
  <c r="AE137" i="5"/>
  <c r="AE138" i="5"/>
  <c r="AF132" i="5"/>
  <c r="AF133" i="5"/>
  <c r="AF134" i="5"/>
  <c r="AF135" i="5"/>
  <c r="AF136" i="5"/>
  <c r="AF137" i="5"/>
  <c r="AF138" i="5"/>
  <c r="AG132" i="5"/>
  <c r="AG133" i="5"/>
  <c r="AG134" i="5"/>
  <c r="AG135" i="5"/>
  <c r="AG136" i="5"/>
  <c r="AG137" i="5"/>
  <c r="AG138" i="5"/>
  <c r="D131" i="5"/>
  <c r="H131" i="5"/>
  <c r="R131" i="5"/>
  <c r="S131" i="5"/>
  <c r="AD131" i="5"/>
  <c r="AE131" i="5"/>
  <c r="AF131" i="5"/>
  <c r="AG131" i="5"/>
  <c r="J12" i="11"/>
  <c r="K12" i="11" s="1"/>
  <c r="O12" i="11"/>
  <c r="R12" i="11"/>
  <c r="IP57" i="1"/>
  <c r="IQ57" i="1"/>
  <c r="IR57" i="1"/>
  <c r="IS57" i="1"/>
  <c r="IT57" i="1"/>
  <c r="IU57" i="1"/>
  <c r="ID57" i="1"/>
  <c r="IE57" i="1"/>
  <c r="IF57" i="1"/>
  <c r="IG57" i="1"/>
  <c r="IH57" i="1"/>
  <c r="II57" i="1"/>
  <c r="IJ57" i="1"/>
  <c r="IK57" i="1"/>
  <c r="IL57" i="1"/>
  <c r="IM57" i="1"/>
  <c r="IN57" i="1"/>
  <c r="IO57" i="1"/>
  <c r="IX57" i="1"/>
  <c r="IZ57" i="1"/>
  <c r="JA57" i="1"/>
  <c r="JB57" i="1"/>
  <c r="JE57" i="1"/>
  <c r="JF57" i="1"/>
  <c r="JG57" i="1"/>
  <c r="JH57" i="1"/>
  <c r="JI57" i="1"/>
  <c r="JL57" i="1"/>
  <c r="J11" i="11"/>
  <c r="K11" i="11" s="1"/>
  <c r="O11" i="11"/>
  <c r="R11" i="11"/>
  <c r="D124" i="5"/>
  <c r="D125" i="5"/>
  <c r="D126" i="5"/>
  <c r="D127" i="5"/>
  <c r="D128" i="5"/>
  <c r="D129" i="5"/>
  <c r="D130" i="5"/>
  <c r="H124" i="5"/>
  <c r="H125" i="5"/>
  <c r="H126" i="5"/>
  <c r="H127" i="5"/>
  <c r="H128" i="5"/>
  <c r="H129" i="5"/>
  <c r="H130" i="5"/>
  <c r="R124" i="5"/>
  <c r="R125" i="5"/>
  <c r="R126" i="5"/>
  <c r="R127" i="5"/>
  <c r="R128" i="5"/>
  <c r="R129" i="5"/>
  <c r="R130" i="5"/>
  <c r="S124" i="5"/>
  <c r="S125" i="5"/>
  <c r="S126" i="5"/>
  <c r="S127" i="5"/>
  <c r="S128" i="5"/>
  <c r="S129" i="5"/>
  <c r="S130" i="5"/>
  <c r="AD124" i="5"/>
  <c r="AD125" i="5"/>
  <c r="AD126" i="5"/>
  <c r="AD127" i="5"/>
  <c r="AD128" i="5"/>
  <c r="AD129" i="5"/>
  <c r="AD130" i="5"/>
  <c r="AE124" i="5"/>
  <c r="AE125" i="5"/>
  <c r="AE126" i="5"/>
  <c r="AE127" i="5"/>
  <c r="AE128" i="5"/>
  <c r="AE129" i="5"/>
  <c r="AE130" i="5"/>
  <c r="AF124" i="5"/>
  <c r="AF125" i="5"/>
  <c r="AF126" i="5"/>
  <c r="AF127" i="5"/>
  <c r="AF128" i="5"/>
  <c r="AF129" i="5"/>
  <c r="AF130" i="5"/>
  <c r="AG124" i="5"/>
  <c r="AG125" i="5"/>
  <c r="AG126" i="5"/>
  <c r="AG127" i="5"/>
  <c r="AG128" i="5"/>
  <c r="AG129" i="5"/>
  <c r="AG130" i="5"/>
  <c r="IP56" i="1"/>
  <c r="IQ56" i="1"/>
  <c r="IR56" i="1"/>
  <c r="IS56" i="1"/>
  <c r="IT56" i="1"/>
  <c r="IU56" i="1"/>
  <c r="ID56" i="1"/>
  <c r="IE56" i="1"/>
  <c r="IF56" i="1"/>
  <c r="IG56" i="1"/>
  <c r="IH56" i="1"/>
  <c r="II56" i="1"/>
  <c r="IJ56" i="1"/>
  <c r="IK56" i="1"/>
  <c r="IL56" i="1"/>
  <c r="IM56" i="1"/>
  <c r="IN56" i="1"/>
  <c r="IO56" i="1"/>
  <c r="IX56" i="1"/>
  <c r="IZ56" i="1"/>
  <c r="JA56" i="1"/>
  <c r="JB56" i="1"/>
  <c r="JE56" i="1"/>
  <c r="JF56" i="1"/>
  <c r="JG56" i="1"/>
  <c r="JH56" i="1"/>
  <c r="JI56" i="1"/>
  <c r="JL56" i="1"/>
  <c r="IP55" i="1"/>
  <c r="IQ55" i="1"/>
  <c r="IR55" i="1"/>
  <c r="IS55" i="1"/>
  <c r="IT55" i="1"/>
  <c r="IU55" i="1"/>
  <c r="ID55" i="1"/>
  <c r="IE55" i="1"/>
  <c r="IF55" i="1"/>
  <c r="IG55" i="1"/>
  <c r="IH55" i="1"/>
  <c r="II55" i="1"/>
  <c r="IJ55" i="1"/>
  <c r="IK55" i="1"/>
  <c r="IL55" i="1"/>
  <c r="IM55" i="1"/>
  <c r="IN55" i="1"/>
  <c r="IO55" i="1"/>
  <c r="IX55" i="1"/>
  <c r="IZ55" i="1"/>
  <c r="JA55" i="1"/>
  <c r="JB55" i="1"/>
  <c r="JE55" i="1"/>
  <c r="JF55" i="1"/>
  <c r="JG55" i="1"/>
  <c r="JH55" i="1"/>
  <c r="JI55" i="1"/>
  <c r="JL55" i="1"/>
  <c r="IP54" i="1"/>
  <c r="IQ54" i="1"/>
  <c r="IR54" i="1"/>
  <c r="IS54" i="1"/>
  <c r="IT54" i="1"/>
  <c r="IU54" i="1"/>
  <c r="ID54" i="1"/>
  <c r="IE54" i="1"/>
  <c r="IF54" i="1"/>
  <c r="IG54" i="1"/>
  <c r="IH54" i="1"/>
  <c r="II54" i="1"/>
  <c r="IJ54" i="1"/>
  <c r="IK54" i="1"/>
  <c r="IL54" i="1"/>
  <c r="IM54" i="1"/>
  <c r="IN54" i="1"/>
  <c r="IO54" i="1"/>
  <c r="IX54" i="1"/>
  <c r="IZ54" i="1"/>
  <c r="JA54" i="1"/>
  <c r="JB54" i="1"/>
  <c r="JE54" i="1"/>
  <c r="JF54" i="1"/>
  <c r="JG54" i="1"/>
  <c r="JH54" i="1"/>
  <c r="JI54" i="1"/>
  <c r="JL54" i="1"/>
  <c r="D123" i="5"/>
  <c r="H123" i="5"/>
  <c r="R123" i="5"/>
  <c r="S123" i="5"/>
  <c r="AD123" i="5"/>
  <c r="AE123" i="5"/>
  <c r="AF123" i="5"/>
  <c r="AG123" i="5"/>
  <c r="D122" i="5"/>
  <c r="H122" i="5"/>
  <c r="R122" i="5"/>
  <c r="S122" i="5"/>
  <c r="AD122" i="5"/>
  <c r="AE122" i="5"/>
  <c r="AF122" i="5"/>
  <c r="AG122" i="5"/>
  <c r="IP53" i="1"/>
  <c r="IQ53" i="1"/>
  <c r="IR53" i="1"/>
  <c r="IS53" i="1"/>
  <c r="IT53" i="1"/>
  <c r="IU53" i="1"/>
  <c r="ID53" i="1"/>
  <c r="IE53" i="1"/>
  <c r="IF53" i="1"/>
  <c r="IG53" i="1"/>
  <c r="IH53" i="1"/>
  <c r="II53" i="1"/>
  <c r="IJ53" i="1"/>
  <c r="IK53" i="1"/>
  <c r="IL53" i="1"/>
  <c r="IM53" i="1"/>
  <c r="IN53" i="1"/>
  <c r="IO53" i="1"/>
  <c r="IX53" i="1"/>
  <c r="IZ53" i="1"/>
  <c r="JA53" i="1"/>
  <c r="JB53" i="1"/>
  <c r="JE53" i="1"/>
  <c r="JF53" i="1"/>
  <c r="JG53" i="1"/>
  <c r="JH53" i="1"/>
  <c r="JI53" i="1"/>
  <c r="JL53" i="1"/>
  <c r="D121" i="5"/>
  <c r="H121" i="5"/>
  <c r="R121" i="5"/>
  <c r="S121" i="5"/>
  <c r="AD121" i="5"/>
  <c r="AE121" i="5"/>
  <c r="AF121" i="5"/>
  <c r="AG121" i="5"/>
  <c r="D120" i="5"/>
  <c r="H120" i="5"/>
  <c r="R120" i="5"/>
  <c r="S120" i="5"/>
  <c r="AD120" i="5"/>
  <c r="AE120" i="5"/>
  <c r="AF120" i="5"/>
  <c r="AG120" i="5"/>
  <c r="IW60" i="1" l="1"/>
  <c r="IW59" i="1"/>
  <c r="IW56" i="1"/>
  <c r="T167" i="5"/>
  <c r="V167" i="5" s="1"/>
  <c r="AJ167" i="5" s="1"/>
  <c r="T159" i="5"/>
  <c r="V159" i="5" s="1"/>
  <c r="AJ159" i="5" s="1"/>
  <c r="T185" i="5"/>
  <c r="U185" i="5" s="1"/>
  <c r="T164" i="5"/>
  <c r="U164" i="5" s="1"/>
  <c r="T156" i="5"/>
  <c r="U156" i="5" s="1"/>
  <c r="T184" i="5"/>
  <c r="U184" i="5" s="1"/>
  <c r="T182" i="5"/>
  <c r="U182" i="5" s="1"/>
  <c r="IV60" i="1"/>
  <c r="IW58" i="1"/>
  <c r="IV59" i="1"/>
  <c r="IY61" i="1"/>
  <c r="JC61" i="1" s="1"/>
  <c r="JD61" i="1"/>
  <c r="IV58" i="1"/>
  <c r="V184" i="5"/>
  <c r="AJ184" i="5" s="1"/>
  <c r="T183" i="5"/>
  <c r="V183" i="5" s="1"/>
  <c r="AJ183" i="5" s="1"/>
  <c r="T165" i="5"/>
  <c r="T181" i="5"/>
  <c r="V181" i="5" s="1"/>
  <c r="AJ181" i="5" s="1"/>
  <c r="T145" i="5"/>
  <c r="V145" i="5" s="1"/>
  <c r="AJ145" i="5" s="1"/>
  <c r="T173" i="5"/>
  <c r="V173" i="5" s="1"/>
  <c r="AJ173" i="5" s="1"/>
  <c r="T149" i="5"/>
  <c r="U149" i="5" s="1"/>
  <c r="T141" i="5"/>
  <c r="U141" i="5" s="1"/>
  <c r="T180" i="5"/>
  <c r="V180" i="5" s="1"/>
  <c r="AJ180" i="5" s="1"/>
  <c r="T147" i="5"/>
  <c r="V147" i="5" s="1"/>
  <c r="AJ147" i="5" s="1"/>
  <c r="T139" i="5"/>
  <c r="T177" i="5"/>
  <c r="U177" i="5" s="1"/>
  <c r="T169" i="5"/>
  <c r="U169" i="5" s="1"/>
  <c r="T176" i="5"/>
  <c r="U176" i="5" s="1"/>
  <c r="T154" i="5"/>
  <c r="U154" i="5" s="1"/>
  <c r="T172" i="5"/>
  <c r="U172" i="5" s="1"/>
  <c r="T150" i="5"/>
  <c r="U150" i="5" s="1"/>
  <c r="T142" i="5"/>
  <c r="V142" i="5" s="1"/>
  <c r="AJ142" i="5" s="1"/>
  <c r="T175" i="5"/>
  <c r="U175" i="5" s="1"/>
  <c r="T174" i="5"/>
  <c r="V174" i="5" s="1"/>
  <c r="AJ174" i="5" s="1"/>
  <c r="T168" i="5"/>
  <c r="V168" i="5" s="1"/>
  <c r="AJ168" i="5" s="1"/>
  <c r="T178" i="5"/>
  <c r="U178" i="5" s="1"/>
  <c r="T179" i="5"/>
  <c r="V179" i="5" s="1"/>
  <c r="AJ179" i="5" s="1"/>
  <c r="T171" i="5"/>
  <c r="V171" i="5" s="1"/>
  <c r="AJ171" i="5" s="1"/>
  <c r="T170" i="5"/>
  <c r="V170" i="5" s="1"/>
  <c r="AJ170" i="5" s="1"/>
  <c r="T155" i="5"/>
  <c r="V155" i="5" s="1"/>
  <c r="AJ155" i="5" s="1"/>
  <c r="T148" i="5"/>
  <c r="V148" i="5" s="1"/>
  <c r="AJ148" i="5" s="1"/>
  <c r="T140" i="5"/>
  <c r="U140" i="5" s="1"/>
  <c r="IY60" i="1"/>
  <c r="JC60" i="1" s="1"/>
  <c r="JD60" i="1"/>
  <c r="T166" i="5"/>
  <c r="U166" i="5" s="1"/>
  <c r="T158" i="5"/>
  <c r="V158" i="5" s="1"/>
  <c r="AJ158" i="5" s="1"/>
  <c r="T157" i="5"/>
  <c r="V157" i="5" s="1"/>
  <c r="AJ157" i="5" s="1"/>
  <c r="T163" i="5"/>
  <c r="U163" i="5" s="1"/>
  <c r="T162" i="5"/>
  <c r="U162" i="5" s="1"/>
  <c r="T161" i="5"/>
  <c r="V161" i="5" s="1"/>
  <c r="AJ161" i="5" s="1"/>
  <c r="T160" i="5"/>
  <c r="V160" i="5" s="1"/>
  <c r="AJ160" i="5" s="1"/>
  <c r="T153" i="5"/>
  <c r="V153" i="5" s="1"/>
  <c r="AJ153" i="5" s="1"/>
  <c r="V165" i="5"/>
  <c r="AJ165" i="5" s="1"/>
  <c r="U165" i="5"/>
  <c r="T136" i="5"/>
  <c r="V136" i="5" s="1"/>
  <c r="AJ136" i="5" s="1"/>
  <c r="T146" i="5"/>
  <c r="V146" i="5" s="1"/>
  <c r="AJ146" i="5" s="1"/>
  <c r="T151" i="5"/>
  <c r="V151" i="5" s="1"/>
  <c r="AJ151" i="5" s="1"/>
  <c r="IY59" i="1"/>
  <c r="JC59" i="1" s="1"/>
  <c r="JD59" i="1"/>
  <c r="IW57" i="1"/>
  <c r="IY58" i="1"/>
  <c r="JC58" i="1" s="1"/>
  <c r="IV57" i="1"/>
  <c r="T152" i="5"/>
  <c r="V152" i="5" s="1"/>
  <c r="AJ152" i="5" s="1"/>
  <c r="T144" i="5"/>
  <c r="U144" i="5" s="1"/>
  <c r="T143" i="5"/>
  <c r="V143" i="5" s="1"/>
  <c r="AJ143" i="5" s="1"/>
  <c r="U139" i="5"/>
  <c r="V139" i="5"/>
  <c r="AJ139" i="5" s="1"/>
  <c r="T137" i="5"/>
  <c r="U137" i="5" s="1"/>
  <c r="T135" i="5"/>
  <c r="U135" i="5" s="1"/>
  <c r="T134" i="5"/>
  <c r="V134" i="5" s="1"/>
  <c r="AJ134" i="5" s="1"/>
  <c r="T133" i="5"/>
  <c r="V133" i="5" s="1"/>
  <c r="AJ133" i="5" s="1"/>
  <c r="JD58" i="1"/>
  <c r="IW54" i="1"/>
  <c r="T132" i="5"/>
  <c r="V132" i="5" s="1"/>
  <c r="AJ132" i="5" s="1"/>
  <c r="T138" i="5"/>
  <c r="U138" i="5" s="1"/>
  <c r="T131" i="5"/>
  <c r="U131" i="5" s="1"/>
  <c r="T129" i="5"/>
  <c r="V129" i="5" s="1"/>
  <c r="AJ129" i="5" s="1"/>
  <c r="T127" i="5"/>
  <c r="V127" i="5" s="1"/>
  <c r="AJ127" i="5" s="1"/>
  <c r="T125" i="5"/>
  <c r="V125" i="5" s="1"/>
  <c r="AJ125" i="5" s="1"/>
  <c r="T130" i="5"/>
  <c r="V130" i="5" s="1"/>
  <c r="AJ130" i="5" s="1"/>
  <c r="T126" i="5"/>
  <c r="U126" i="5" s="1"/>
  <c r="T124" i="5"/>
  <c r="U124" i="5" s="1"/>
  <c r="T128" i="5"/>
  <c r="V128" i="5" s="1"/>
  <c r="AJ128" i="5" s="1"/>
  <c r="IY57" i="1"/>
  <c r="JC57" i="1" s="1"/>
  <c r="JD57" i="1"/>
  <c r="IW55" i="1"/>
  <c r="IV56" i="1"/>
  <c r="T123" i="5"/>
  <c r="U123" i="5" s="1"/>
  <c r="IY56" i="1"/>
  <c r="JC56" i="1" s="1"/>
  <c r="JD56" i="1"/>
  <c r="IV55" i="1"/>
  <c r="IV54" i="1"/>
  <c r="JD55" i="1"/>
  <c r="IY55" i="1"/>
  <c r="JC55" i="1" s="1"/>
  <c r="IW53" i="1"/>
  <c r="JD54" i="1"/>
  <c r="IY54" i="1"/>
  <c r="JC54" i="1" s="1"/>
  <c r="IV53" i="1"/>
  <c r="T122" i="5"/>
  <c r="V122" i="5" s="1"/>
  <c r="AJ122" i="5" s="1"/>
  <c r="T121" i="5"/>
  <c r="U121" i="5" s="1"/>
  <c r="IY53" i="1"/>
  <c r="JC53" i="1" s="1"/>
  <c r="JD53" i="1"/>
  <c r="T120" i="5"/>
  <c r="U120" i="5" s="1"/>
  <c r="IP52" i="1"/>
  <c r="IQ52" i="1"/>
  <c r="IR52" i="1"/>
  <c r="IS52" i="1"/>
  <c r="IT52" i="1"/>
  <c r="IU52" i="1"/>
  <c r="ID52" i="1"/>
  <c r="IE52" i="1"/>
  <c r="IF52" i="1"/>
  <c r="IG52" i="1"/>
  <c r="IH52" i="1"/>
  <c r="II52" i="1"/>
  <c r="IJ52" i="1"/>
  <c r="IK52" i="1"/>
  <c r="IL52" i="1"/>
  <c r="IM52" i="1"/>
  <c r="IN52" i="1"/>
  <c r="IO52" i="1"/>
  <c r="IX52" i="1"/>
  <c r="IZ52" i="1"/>
  <c r="JA52" i="1"/>
  <c r="JB52" i="1"/>
  <c r="JE52" i="1"/>
  <c r="JF52" i="1"/>
  <c r="JG52" i="1"/>
  <c r="JH52" i="1"/>
  <c r="JI52" i="1"/>
  <c r="JL52" i="1"/>
  <c r="IP51" i="1"/>
  <c r="IQ51" i="1"/>
  <c r="IR51" i="1"/>
  <c r="IS51" i="1"/>
  <c r="IT51" i="1"/>
  <c r="IU51" i="1"/>
  <c r="J10" i="11"/>
  <c r="K10" i="11" s="1"/>
  <c r="O10" i="11"/>
  <c r="R10" i="11"/>
  <c r="ID51" i="1"/>
  <c r="IE51" i="1"/>
  <c r="IF51" i="1"/>
  <c r="IG51" i="1"/>
  <c r="IH51" i="1"/>
  <c r="II51" i="1"/>
  <c r="IJ51" i="1"/>
  <c r="IK51" i="1"/>
  <c r="IL51" i="1"/>
  <c r="IM51" i="1"/>
  <c r="IN51" i="1"/>
  <c r="IO51" i="1"/>
  <c r="IX51" i="1"/>
  <c r="IZ51" i="1"/>
  <c r="JA51" i="1"/>
  <c r="JB51" i="1"/>
  <c r="JE51" i="1"/>
  <c r="JF51" i="1"/>
  <c r="JG51" i="1"/>
  <c r="JH51" i="1"/>
  <c r="JI51" i="1"/>
  <c r="JL51" i="1"/>
  <c r="J9" i="11"/>
  <c r="K9" i="11" s="1"/>
  <c r="O9" i="11"/>
  <c r="R9" i="11"/>
  <c r="IP50" i="1"/>
  <c r="IQ50" i="1"/>
  <c r="IR50" i="1"/>
  <c r="IS50" i="1"/>
  <c r="IT50" i="1"/>
  <c r="IU50" i="1"/>
  <c r="ID50" i="1"/>
  <c r="IE50" i="1"/>
  <c r="IF50" i="1"/>
  <c r="IG50" i="1"/>
  <c r="IH50" i="1"/>
  <c r="II50" i="1"/>
  <c r="IJ50" i="1"/>
  <c r="IK50" i="1"/>
  <c r="IL50" i="1"/>
  <c r="IM50" i="1"/>
  <c r="IN50" i="1"/>
  <c r="IO50" i="1"/>
  <c r="IX50" i="1"/>
  <c r="IZ50" i="1"/>
  <c r="JA50" i="1"/>
  <c r="JB50" i="1"/>
  <c r="JE50" i="1"/>
  <c r="JF50" i="1"/>
  <c r="JG50" i="1"/>
  <c r="JH50" i="1"/>
  <c r="JI50" i="1"/>
  <c r="JL50" i="1"/>
  <c r="IP49" i="1"/>
  <c r="IQ49" i="1"/>
  <c r="IR49" i="1"/>
  <c r="IS49" i="1"/>
  <c r="IT49" i="1"/>
  <c r="IU49" i="1"/>
  <c r="ID49" i="1"/>
  <c r="IE49" i="1"/>
  <c r="IF49" i="1"/>
  <c r="IG49" i="1"/>
  <c r="IH49" i="1"/>
  <c r="II49" i="1"/>
  <c r="IJ49" i="1"/>
  <c r="IK49" i="1"/>
  <c r="IL49" i="1"/>
  <c r="IM49" i="1"/>
  <c r="IN49" i="1"/>
  <c r="IO49" i="1"/>
  <c r="IX49" i="1"/>
  <c r="IZ49" i="1"/>
  <c r="JA49" i="1"/>
  <c r="JB49" i="1"/>
  <c r="JE49" i="1"/>
  <c r="JF49" i="1"/>
  <c r="JG49" i="1"/>
  <c r="JH49" i="1"/>
  <c r="JI49" i="1"/>
  <c r="JL49" i="1"/>
  <c r="IP48" i="1"/>
  <c r="IQ48" i="1"/>
  <c r="IR48" i="1"/>
  <c r="IS48" i="1"/>
  <c r="IT48" i="1"/>
  <c r="IU48" i="1"/>
  <c r="ID48" i="1"/>
  <c r="IE48" i="1"/>
  <c r="IF48" i="1"/>
  <c r="IG48" i="1"/>
  <c r="IH48" i="1"/>
  <c r="II48" i="1"/>
  <c r="IJ48" i="1"/>
  <c r="IK48" i="1"/>
  <c r="IL48" i="1"/>
  <c r="IM48" i="1"/>
  <c r="IN48" i="1"/>
  <c r="IO48" i="1"/>
  <c r="IX48" i="1"/>
  <c r="IZ48" i="1"/>
  <c r="JA48" i="1"/>
  <c r="JB48" i="1"/>
  <c r="JE48" i="1"/>
  <c r="JF48" i="1"/>
  <c r="JG48" i="1"/>
  <c r="JH48" i="1"/>
  <c r="JI48" i="1"/>
  <c r="JL48" i="1"/>
  <c r="D119" i="5"/>
  <c r="H119" i="5"/>
  <c r="R119" i="5"/>
  <c r="S119" i="5"/>
  <c r="AD119" i="5"/>
  <c r="AE119" i="5"/>
  <c r="AF119" i="5"/>
  <c r="AG119" i="5"/>
  <c r="D118" i="5"/>
  <c r="H118" i="5"/>
  <c r="R118" i="5"/>
  <c r="S118" i="5"/>
  <c r="AD118" i="5"/>
  <c r="AE118" i="5"/>
  <c r="AF118" i="5"/>
  <c r="AG118" i="5"/>
  <c r="D117" i="5"/>
  <c r="H117" i="5"/>
  <c r="R117" i="5"/>
  <c r="S117" i="5"/>
  <c r="AD117" i="5"/>
  <c r="AE117" i="5"/>
  <c r="AF117" i="5"/>
  <c r="AG117" i="5"/>
  <c r="IP47" i="1"/>
  <c r="IQ47" i="1"/>
  <c r="IR47" i="1"/>
  <c r="IS47" i="1"/>
  <c r="IT47" i="1"/>
  <c r="IU47" i="1"/>
  <c r="ID47" i="1"/>
  <c r="IE47" i="1"/>
  <c r="IF47" i="1"/>
  <c r="IG47" i="1"/>
  <c r="IH47" i="1"/>
  <c r="II47" i="1"/>
  <c r="IJ47" i="1"/>
  <c r="IK47" i="1"/>
  <c r="IL47" i="1"/>
  <c r="IM47" i="1"/>
  <c r="IN47" i="1"/>
  <c r="IO47" i="1"/>
  <c r="IX47" i="1"/>
  <c r="IZ47" i="1"/>
  <c r="JA47" i="1"/>
  <c r="JB47" i="1"/>
  <c r="JE47" i="1"/>
  <c r="JF47" i="1"/>
  <c r="JG47" i="1"/>
  <c r="JH47" i="1"/>
  <c r="JI47" i="1"/>
  <c r="JL47" i="1"/>
  <c r="AG101" i="5"/>
  <c r="AG102" i="5"/>
  <c r="AG103" i="5"/>
  <c r="AG104" i="5"/>
  <c r="AG105" i="5"/>
  <c r="AG106" i="5"/>
  <c r="AG107" i="5"/>
  <c r="AG108" i="5"/>
  <c r="AG109" i="5"/>
  <c r="AG110" i="5"/>
  <c r="AG111" i="5"/>
  <c r="AG112" i="5"/>
  <c r="AG113" i="5"/>
  <c r="AG114" i="5"/>
  <c r="AG115" i="5"/>
  <c r="AG116" i="5"/>
  <c r="U167" i="5" l="1"/>
  <c r="V166" i="5"/>
  <c r="AJ166" i="5" s="1"/>
  <c r="U145" i="5"/>
  <c r="U148" i="5"/>
  <c r="U159" i="5"/>
  <c r="V141" i="5"/>
  <c r="AJ141" i="5" s="1"/>
  <c r="V185" i="5"/>
  <c r="AJ185" i="5" s="1"/>
  <c r="V164" i="5"/>
  <c r="AJ164" i="5" s="1"/>
  <c r="U146" i="5"/>
  <c r="V149" i="5"/>
  <c r="AJ149" i="5" s="1"/>
  <c r="U173" i="5"/>
  <c r="V156" i="5"/>
  <c r="AJ156" i="5" s="1"/>
  <c r="U168" i="5"/>
  <c r="V140" i="5"/>
  <c r="AJ140" i="5" s="1"/>
  <c r="V176" i="5"/>
  <c r="AJ176" i="5" s="1"/>
  <c r="U142" i="5"/>
  <c r="V182" i="5"/>
  <c r="AJ182" i="5" s="1"/>
  <c r="U147" i="5"/>
  <c r="V150" i="5"/>
  <c r="AJ150" i="5" s="1"/>
  <c r="U153" i="5"/>
  <c r="U181" i="5"/>
  <c r="V169" i="5"/>
  <c r="AJ169" i="5" s="1"/>
  <c r="V177" i="5"/>
  <c r="AJ177" i="5" s="1"/>
  <c r="U151" i="5"/>
  <c r="V172" i="5"/>
  <c r="AJ172" i="5" s="1"/>
  <c r="U160" i="5"/>
  <c r="U183" i="5"/>
  <c r="V144" i="5"/>
  <c r="AJ144" i="5" s="1"/>
  <c r="U161" i="5"/>
  <c r="U180" i="5"/>
  <c r="V137" i="5"/>
  <c r="AJ137" i="5" s="1"/>
  <c r="U143" i="5"/>
  <c r="U152" i="5"/>
  <c r="U170" i="5"/>
  <c r="U136" i="5"/>
  <c r="U174" i="5"/>
  <c r="V163" i="5"/>
  <c r="AJ163" i="5" s="1"/>
  <c r="U157" i="5"/>
  <c r="V178" i="5"/>
  <c r="AJ178" i="5" s="1"/>
  <c r="U130" i="5"/>
  <c r="U155" i="5"/>
  <c r="V154" i="5"/>
  <c r="AJ154" i="5" s="1"/>
  <c r="U171" i="5"/>
  <c r="V175" i="5"/>
  <c r="AJ175" i="5" s="1"/>
  <c r="U179" i="5"/>
  <c r="V162" i="5"/>
  <c r="AJ162" i="5" s="1"/>
  <c r="U158" i="5"/>
  <c r="V135" i="5"/>
  <c r="AJ135" i="5" s="1"/>
  <c r="U133" i="5"/>
  <c r="U125" i="5"/>
  <c r="U127" i="5"/>
  <c r="U134" i="5"/>
  <c r="U132" i="5"/>
  <c r="V138" i="5"/>
  <c r="AJ138" i="5" s="1"/>
  <c r="U129" i="5"/>
  <c r="V126" i="5"/>
  <c r="AJ126" i="5" s="1"/>
  <c r="V131" i="5"/>
  <c r="AJ131" i="5" s="1"/>
  <c r="V124" i="5"/>
  <c r="AJ124" i="5" s="1"/>
  <c r="U128" i="5"/>
  <c r="V123" i="5"/>
  <c r="AJ123" i="5" s="1"/>
  <c r="IV52" i="1"/>
  <c r="IW52" i="1"/>
  <c r="IV51" i="1"/>
  <c r="U122" i="5"/>
  <c r="V121" i="5"/>
  <c r="AJ121" i="5" s="1"/>
  <c r="IW51" i="1"/>
  <c r="V120" i="5"/>
  <c r="AJ120" i="5" s="1"/>
  <c r="T119" i="5"/>
  <c r="U119" i="5" s="1"/>
  <c r="T118" i="5"/>
  <c r="V118" i="5" s="1"/>
  <c r="AJ118" i="5" s="1"/>
  <c r="T117" i="5"/>
  <c r="U117" i="5" s="1"/>
  <c r="IY52" i="1"/>
  <c r="JC52" i="1" s="1"/>
  <c r="JD52" i="1"/>
  <c r="IV49" i="1"/>
  <c r="IW48" i="1"/>
  <c r="IW50" i="1"/>
  <c r="IY51" i="1"/>
  <c r="JC51" i="1" s="1"/>
  <c r="JD51" i="1"/>
  <c r="IV50" i="1"/>
  <c r="IY50" i="1"/>
  <c r="JC50" i="1" s="1"/>
  <c r="IV48" i="1"/>
  <c r="IW49" i="1"/>
  <c r="JD50" i="1"/>
  <c r="IY49" i="1"/>
  <c r="JC49" i="1" s="1"/>
  <c r="JD49" i="1"/>
  <c r="IV47" i="1"/>
  <c r="IW47" i="1"/>
  <c r="IY48" i="1"/>
  <c r="JC48" i="1" s="1"/>
  <c r="JD48" i="1"/>
  <c r="IY47" i="1"/>
  <c r="JC47" i="1" s="1"/>
  <c r="JD47" i="1"/>
  <c r="V119" i="5" l="1"/>
  <c r="AJ119" i="5" s="1"/>
  <c r="U118" i="5"/>
  <c r="V117" i="5"/>
  <c r="AJ117" i="5" s="1"/>
  <c r="D116" i="5"/>
  <c r="H116" i="5"/>
  <c r="R116" i="5"/>
  <c r="S116" i="5"/>
  <c r="AD116" i="5"/>
  <c r="AE116" i="5"/>
  <c r="AF116" i="5"/>
  <c r="D115" i="5"/>
  <c r="H115" i="5"/>
  <c r="R115" i="5"/>
  <c r="S115" i="5"/>
  <c r="AD115" i="5"/>
  <c r="AE115" i="5"/>
  <c r="AF115" i="5"/>
  <c r="D112" i="5"/>
  <c r="D113" i="5"/>
  <c r="D114" i="5"/>
  <c r="H112" i="5"/>
  <c r="H113" i="5"/>
  <c r="H114" i="5"/>
  <c r="R112" i="5"/>
  <c r="R113" i="5"/>
  <c r="R114" i="5"/>
  <c r="S112" i="5"/>
  <c r="S113" i="5"/>
  <c r="S114" i="5"/>
  <c r="AD112" i="5"/>
  <c r="AD113" i="5"/>
  <c r="AD114" i="5"/>
  <c r="AE112" i="5"/>
  <c r="AE113" i="5"/>
  <c r="AE114" i="5"/>
  <c r="AF112" i="5"/>
  <c r="AF113" i="5"/>
  <c r="AF114" i="5"/>
  <c r="IP46" i="1"/>
  <c r="IQ46" i="1"/>
  <c r="IR46" i="1"/>
  <c r="IS46" i="1"/>
  <c r="IT46" i="1"/>
  <c r="IU46" i="1"/>
  <c r="ID46" i="1"/>
  <c r="IE46" i="1"/>
  <c r="IF46" i="1"/>
  <c r="IG46" i="1"/>
  <c r="IH46" i="1"/>
  <c r="II46" i="1"/>
  <c r="IJ46" i="1"/>
  <c r="IK46" i="1"/>
  <c r="IL46" i="1"/>
  <c r="IM46" i="1"/>
  <c r="IN46" i="1"/>
  <c r="IO46" i="1"/>
  <c r="IX46" i="1"/>
  <c r="IZ46" i="1"/>
  <c r="JA46" i="1"/>
  <c r="JB46" i="1"/>
  <c r="JE46" i="1"/>
  <c r="JF46" i="1"/>
  <c r="JG46" i="1"/>
  <c r="JH46" i="1"/>
  <c r="JI46" i="1"/>
  <c r="JL46" i="1"/>
  <c r="S101" i="5"/>
  <c r="S102" i="5"/>
  <c r="S103" i="5"/>
  <c r="S104" i="5"/>
  <c r="S105" i="5"/>
  <c r="S106" i="5"/>
  <c r="S107" i="5"/>
  <c r="S108" i="5"/>
  <c r="S109" i="5"/>
  <c r="S110" i="5"/>
  <c r="S111" i="5"/>
  <c r="R101" i="5"/>
  <c r="R102" i="5"/>
  <c r="R103" i="5"/>
  <c r="R104" i="5"/>
  <c r="R105" i="5"/>
  <c r="R106" i="5"/>
  <c r="R107" i="5"/>
  <c r="R108" i="5"/>
  <c r="R109" i="5"/>
  <c r="R110" i="5"/>
  <c r="R111" i="5"/>
  <c r="D101" i="5"/>
  <c r="D102" i="5"/>
  <c r="D103" i="5"/>
  <c r="D104" i="5"/>
  <c r="D105" i="5"/>
  <c r="D106" i="5"/>
  <c r="D107" i="5"/>
  <c r="D108" i="5"/>
  <c r="D109" i="5"/>
  <c r="D110" i="5"/>
  <c r="D111" i="5"/>
  <c r="H101" i="5"/>
  <c r="H102" i="5"/>
  <c r="H103" i="5"/>
  <c r="H104" i="5"/>
  <c r="H105" i="5"/>
  <c r="H106" i="5"/>
  <c r="H107" i="5"/>
  <c r="H108" i="5"/>
  <c r="H109" i="5"/>
  <c r="H110" i="5"/>
  <c r="H111" i="5"/>
  <c r="AD101" i="5"/>
  <c r="AD102" i="5"/>
  <c r="AD103" i="5"/>
  <c r="AD104" i="5"/>
  <c r="AD105" i="5"/>
  <c r="AD106" i="5"/>
  <c r="AD107" i="5"/>
  <c r="AD108" i="5"/>
  <c r="AD109" i="5"/>
  <c r="AD110" i="5"/>
  <c r="AD111" i="5"/>
  <c r="AE101" i="5"/>
  <c r="AE102" i="5"/>
  <c r="AE103" i="5"/>
  <c r="AE104" i="5"/>
  <c r="AE105" i="5"/>
  <c r="AE106" i="5"/>
  <c r="AE107" i="5"/>
  <c r="AE108" i="5"/>
  <c r="AE109" i="5"/>
  <c r="AE110" i="5"/>
  <c r="AE111" i="5"/>
  <c r="AF101" i="5"/>
  <c r="AF102" i="5"/>
  <c r="AF103" i="5"/>
  <c r="AF104" i="5"/>
  <c r="AF105" i="5"/>
  <c r="AF106" i="5"/>
  <c r="AF107" i="5"/>
  <c r="AF108" i="5"/>
  <c r="AF109" i="5"/>
  <c r="AF110" i="5"/>
  <c r="AF111" i="5"/>
  <c r="H100" i="5"/>
  <c r="D100" i="5"/>
  <c r="R100" i="5"/>
  <c r="T100" i="5" s="1"/>
  <c r="U100" i="5" s="1"/>
  <c r="S100" i="5"/>
  <c r="AD100" i="5"/>
  <c r="AE100" i="5"/>
  <c r="AF100" i="5"/>
  <c r="AG100" i="5"/>
  <c r="D99" i="5"/>
  <c r="H99" i="5"/>
  <c r="R99" i="5"/>
  <c r="T99" i="5" s="1"/>
  <c r="U99" i="5" s="1"/>
  <c r="S99" i="5"/>
  <c r="AD99" i="5"/>
  <c r="AE99" i="5"/>
  <c r="AF99" i="5"/>
  <c r="AG99" i="5"/>
  <c r="IP45" i="1"/>
  <c r="IQ45" i="1"/>
  <c r="IR45" i="1"/>
  <c r="IS45" i="1"/>
  <c r="IT45" i="1"/>
  <c r="IU45" i="1"/>
  <c r="ID45" i="1"/>
  <c r="IE45" i="1"/>
  <c r="IF45" i="1"/>
  <c r="IG45" i="1"/>
  <c r="IH45" i="1"/>
  <c r="II45" i="1"/>
  <c r="IJ45" i="1"/>
  <c r="IK45" i="1"/>
  <c r="IL45" i="1"/>
  <c r="IM45" i="1"/>
  <c r="IN45" i="1"/>
  <c r="IO45" i="1"/>
  <c r="IX45" i="1"/>
  <c r="IZ45" i="1"/>
  <c r="JA45" i="1"/>
  <c r="JB45" i="1"/>
  <c r="JE45" i="1"/>
  <c r="JF45" i="1"/>
  <c r="JG45" i="1"/>
  <c r="JH45" i="1"/>
  <c r="JI45" i="1"/>
  <c r="JL45" i="1"/>
  <c r="IP44" i="1"/>
  <c r="IQ44" i="1"/>
  <c r="IR44" i="1"/>
  <c r="IS44" i="1"/>
  <c r="IT44" i="1"/>
  <c r="IU44" i="1"/>
  <c r="ID44" i="1"/>
  <c r="IE44" i="1"/>
  <c r="IF44" i="1"/>
  <c r="IG44" i="1"/>
  <c r="IH44" i="1"/>
  <c r="II44" i="1"/>
  <c r="IJ44" i="1"/>
  <c r="IK44" i="1"/>
  <c r="IL44" i="1"/>
  <c r="IM44" i="1"/>
  <c r="IN44" i="1"/>
  <c r="IO44" i="1"/>
  <c r="IX44" i="1"/>
  <c r="IZ44" i="1"/>
  <c r="JA44" i="1"/>
  <c r="JB44" i="1"/>
  <c r="JE44" i="1"/>
  <c r="JF44" i="1"/>
  <c r="JG44" i="1"/>
  <c r="JH44" i="1"/>
  <c r="JI44" i="1"/>
  <c r="JL44" i="1"/>
  <c r="D98" i="5"/>
  <c r="H98" i="5"/>
  <c r="R98" i="5"/>
  <c r="S98" i="5"/>
  <c r="AD98" i="5"/>
  <c r="AE98" i="5"/>
  <c r="AF98" i="5"/>
  <c r="AG98" i="5"/>
  <c r="D97" i="5"/>
  <c r="H97" i="5"/>
  <c r="R97" i="5"/>
  <c r="T97" i="5" s="1"/>
  <c r="U97" i="5" s="1"/>
  <c r="S97" i="5"/>
  <c r="AD97" i="5"/>
  <c r="AE97" i="5"/>
  <c r="AF97" i="5"/>
  <c r="AG97" i="5"/>
  <c r="D94" i="5"/>
  <c r="D95" i="5"/>
  <c r="D96" i="5"/>
  <c r="H94" i="5"/>
  <c r="H95" i="5"/>
  <c r="H96" i="5"/>
  <c r="R94" i="5"/>
  <c r="T94" i="5" s="1"/>
  <c r="R95" i="5"/>
  <c r="T95" i="5" s="1"/>
  <c r="R96" i="5"/>
  <c r="T96" i="5" s="1"/>
  <c r="S94" i="5"/>
  <c r="S95" i="5"/>
  <c r="S96" i="5"/>
  <c r="AD94" i="5"/>
  <c r="AD95" i="5"/>
  <c r="AD96" i="5"/>
  <c r="AE94" i="5"/>
  <c r="AE95" i="5"/>
  <c r="AE96" i="5"/>
  <c r="AF94" i="5"/>
  <c r="AF95" i="5"/>
  <c r="AF96" i="5"/>
  <c r="AG94" i="5"/>
  <c r="AG95" i="5"/>
  <c r="AG96" i="5"/>
  <c r="I10" i="7"/>
  <c r="O10" i="7"/>
  <c r="IP43" i="1"/>
  <c r="IQ43" i="1"/>
  <c r="IR43" i="1"/>
  <c r="IS43" i="1"/>
  <c r="IT43" i="1"/>
  <c r="IU43" i="1"/>
  <c r="ID43" i="1"/>
  <c r="IE43" i="1"/>
  <c r="IF43" i="1"/>
  <c r="IG43" i="1"/>
  <c r="IH43" i="1"/>
  <c r="II43" i="1"/>
  <c r="IJ43" i="1"/>
  <c r="IK43" i="1"/>
  <c r="IL43" i="1"/>
  <c r="IM43" i="1"/>
  <c r="IN43" i="1"/>
  <c r="IO43" i="1"/>
  <c r="IX43" i="1"/>
  <c r="IZ43" i="1"/>
  <c r="JA43" i="1"/>
  <c r="JB43" i="1"/>
  <c r="JE43" i="1"/>
  <c r="JF43" i="1"/>
  <c r="JG43" i="1"/>
  <c r="JH43" i="1"/>
  <c r="JI43" i="1"/>
  <c r="JL43" i="1"/>
  <c r="D91" i="5"/>
  <c r="D92" i="5"/>
  <c r="D93" i="5"/>
  <c r="H91" i="5"/>
  <c r="H92" i="5"/>
  <c r="H93" i="5"/>
  <c r="R91" i="5"/>
  <c r="R92" i="5"/>
  <c r="R93" i="5"/>
  <c r="S91" i="5"/>
  <c r="S92" i="5"/>
  <c r="S93" i="5"/>
  <c r="AD91" i="5"/>
  <c r="AD92" i="5"/>
  <c r="AD93" i="5"/>
  <c r="AE91" i="5"/>
  <c r="AE92" i="5"/>
  <c r="AE93" i="5"/>
  <c r="AF91" i="5"/>
  <c r="AF92" i="5"/>
  <c r="AF93" i="5"/>
  <c r="AG91" i="5"/>
  <c r="AG92" i="5"/>
  <c r="AG93" i="5"/>
  <c r="IP42" i="1"/>
  <c r="IQ42" i="1"/>
  <c r="IR42" i="1"/>
  <c r="IS42" i="1"/>
  <c r="IT42" i="1"/>
  <c r="IU42" i="1"/>
  <c r="ID42" i="1"/>
  <c r="IE42" i="1"/>
  <c r="IF42" i="1"/>
  <c r="IG42" i="1"/>
  <c r="IH42" i="1"/>
  <c r="II42" i="1"/>
  <c r="IJ42" i="1"/>
  <c r="IK42" i="1"/>
  <c r="IL42" i="1"/>
  <c r="IM42" i="1"/>
  <c r="IN42" i="1"/>
  <c r="IO42" i="1"/>
  <c r="IX42" i="1"/>
  <c r="IZ42" i="1"/>
  <c r="JA42" i="1"/>
  <c r="JB42" i="1"/>
  <c r="JE42" i="1"/>
  <c r="JF42" i="1"/>
  <c r="JG42" i="1"/>
  <c r="JH42" i="1"/>
  <c r="JI42" i="1"/>
  <c r="JL42" i="1"/>
  <c r="D90" i="5"/>
  <c r="H90" i="5"/>
  <c r="R90" i="5"/>
  <c r="T90" i="5" s="1"/>
  <c r="U90" i="5" s="1"/>
  <c r="S90" i="5"/>
  <c r="AD90" i="5"/>
  <c r="AE90" i="5"/>
  <c r="AF90" i="5"/>
  <c r="AG90" i="5"/>
  <c r="D89" i="5"/>
  <c r="H89" i="5"/>
  <c r="R89" i="5"/>
  <c r="T89" i="5" s="1"/>
  <c r="U89" i="5" s="1"/>
  <c r="S89" i="5"/>
  <c r="AD89" i="5"/>
  <c r="AE89" i="5"/>
  <c r="AF89" i="5"/>
  <c r="AG89" i="5"/>
  <c r="IP41" i="1"/>
  <c r="IQ41" i="1"/>
  <c r="IR41" i="1"/>
  <c r="IS41" i="1"/>
  <c r="IT41" i="1"/>
  <c r="IU41" i="1"/>
  <c r="ID41" i="1"/>
  <c r="IE41" i="1"/>
  <c r="IF41" i="1"/>
  <c r="IG41" i="1"/>
  <c r="IH41" i="1"/>
  <c r="II41" i="1"/>
  <c r="IJ41" i="1"/>
  <c r="IK41" i="1"/>
  <c r="IL41" i="1"/>
  <c r="IM41" i="1"/>
  <c r="IN41" i="1"/>
  <c r="IO41" i="1"/>
  <c r="IX41" i="1"/>
  <c r="IZ41" i="1"/>
  <c r="JA41" i="1"/>
  <c r="JB41" i="1"/>
  <c r="JE41" i="1"/>
  <c r="JF41" i="1"/>
  <c r="JG41" i="1"/>
  <c r="JH41" i="1"/>
  <c r="JI41" i="1"/>
  <c r="JL41" i="1"/>
  <c r="IP40" i="1"/>
  <c r="IQ40" i="1"/>
  <c r="IR40" i="1"/>
  <c r="IS40" i="1"/>
  <c r="IT40" i="1"/>
  <c r="IU40" i="1"/>
  <c r="D70" i="5"/>
  <c r="D71" i="5"/>
  <c r="D72" i="5"/>
  <c r="D73" i="5"/>
  <c r="D74" i="5"/>
  <c r="D75" i="5"/>
  <c r="D76" i="5"/>
  <c r="D77" i="5"/>
  <c r="D78" i="5"/>
  <c r="D79" i="5"/>
  <c r="D80" i="5"/>
  <c r="D81" i="5"/>
  <c r="D82" i="5"/>
  <c r="D83" i="5"/>
  <c r="D84" i="5"/>
  <c r="D85" i="5"/>
  <c r="D86" i="5"/>
  <c r="D87" i="5"/>
  <c r="D88" i="5"/>
  <c r="H70" i="5"/>
  <c r="H71" i="5"/>
  <c r="H72" i="5"/>
  <c r="H73" i="5"/>
  <c r="H74" i="5"/>
  <c r="H75" i="5"/>
  <c r="H76" i="5"/>
  <c r="H77" i="5"/>
  <c r="H78" i="5"/>
  <c r="H79" i="5"/>
  <c r="H80" i="5"/>
  <c r="H81" i="5"/>
  <c r="H82" i="5"/>
  <c r="H83" i="5"/>
  <c r="H84" i="5"/>
  <c r="H85" i="5"/>
  <c r="H86" i="5"/>
  <c r="H87" i="5"/>
  <c r="H88" i="5"/>
  <c r="R70" i="5"/>
  <c r="R71" i="5"/>
  <c r="R72" i="5"/>
  <c r="R73" i="5"/>
  <c r="R74" i="5"/>
  <c r="R75" i="5"/>
  <c r="R76" i="5"/>
  <c r="R77" i="5"/>
  <c r="R78" i="5"/>
  <c r="R79" i="5"/>
  <c r="R80" i="5"/>
  <c r="R81" i="5"/>
  <c r="R82" i="5"/>
  <c r="R83" i="5"/>
  <c r="R84" i="5"/>
  <c r="R85" i="5"/>
  <c r="R86" i="5"/>
  <c r="R87" i="5"/>
  <c r="R88" i="5"/>
  <c r="S70" i="5"/>
  <c r="S71" i="5"/>
  <c r="S72" i="5"/>
  <c r="S73" i="5"/>
  <c r="S74" i="5"/>
  <c r="S75" i="5"/>
  <c r="S76" i="5"/>
  <c r="S77" i="5"/>
  <c r="S78" i="5"/>
  <c r="S79" i="5"/>
  <c r="S80" i="5"/>
  <c r="S81" i="5"/>
  <c r="S82" i="5"/>
  <c r="S83" i="5"/>
  <c r="S84" i="5"/>
  <c r="S85" i="5"/>
  <c r="S86" i="5"/>
  <c r="S87" i="5"/>
  <c r="S88" i="5"/>
  <c r="AD70" i="5"/>
  <c r="AD71" i="5"/>
  <c r="AD72" i="5"/>
  <c r="AD73" i="5"/>
  <c r="AD74" i="5"/>
  <c r="AD75" i="5"/>
  <c r="AD76" i="5"/>
  <c r="AD77" i="5"/>
  <c r="AD78" i="5"/>
  <c r="AD79" i="5"/>
  <c r="AD80" i="5"/>
  <c r="AD81" i="5"/>
  <c r="AD82" i="5"/>
  <c r="AD83" i="5"/>
  <c r="AD84" i="5"/>
  <c r="AD85" i="5"/>
  <c r="AD86" i="5"/>
  <c r="AD87" i="5"/>
  <c r="AD88" i="5"/>
  <c r="AE70" i="5"/>
  <c r="AE71" i="5"/>
  <c r="AE72" i="5"/>
  <c r="AE73" i="5"/>
  <c r="AE74" i="5"/>
  <c r="AE75" i="5"/>
  <c r="AE76" i="5"/>
  <c r="AE77" i="5"/>
  <c r="AE78" i="5"/>
  <c r="AE79" i="5"/>
  <c r="AE80" i="5"/>
  <c r="AE81" i="5"/>
  <c r="AE82" i="5"/>
  <c r="AE83" i="5"/>
  <c r="AE84" i="5"/>
  <c r="AE85" i="5"/>
  <c r="AE86" i="5"/>
  <c r="AE87" i="5"/>
  <c r="AE88" i="5"/>
  <c r="AF70" i="5"/>
  <c r="AF71" i="5"/>
  <c r="AF72" i="5"/>
  <c r="AF73" i="5"/>
  <c r="AF74" i="5"/>
  <c r="AF75" i="5"/>
  <c r="AF76" i="5"/>
  <c r="AF77" i="5"/>
  <c r="AF78" i="5"/>
  <c r="AF79" i="5"/>
  <c r="AF80" i="5"/>
  <c r="AF81" i="5"/>
  <c r="AF82" i="5"/>
  <c r="AF83" i="5"/>
  <c r="AF84" i="5"/>
  <c r="AF85" i="5"/>
  <c r="AF86" i="5"/>
  <c r="AF87" i="5"/>
  <c r="AF88" i="5"/>
  <c r="AG70" i="5"/>
  <c r="AG71" i="5"/>
  <c r="AG72" i="5"/>
  <c r="AG73" i="5"/>
  <c r="AG74" i="5"/>
  <c r="AG75" i="5"/>
  <c r="AG76" i="5"/>
  <c r="AG77" i="5"/>
  <c r="AG78" i="5"/>
  <c r="AG79" i="5"/>
  <c r="AG80" i="5"/>
  <c r="AG81" i="5"/>
  <c r="AG82" i="5"/>
  <c r="AG83" i="5"/>
  <c r="AG84" i="5"/>
  <c r="AG85" i="5"/>
  <c r="AG86" i="5"/>
  <c r="AG87" i="5"/>
  <c r="AG88" i="5"/>
  <c r="ID40" i="1"/>
  <c r="IE40" i="1"/>
  <c r="IF40" i="1"/>
  <c r="IG40" i="1"/>
  <c r="IH40" i="1"/>
  <c r="II40" i="1"/>
  <c r="IJ40" i="1"/>
  <c r="IK40" i="1"/>
  <c r="IL40" i="1"/>
  <c r="IM40" i="1"/>
  <c r="IN40" i="1"/>
  <c r="IO40" i="1"/>
  <c r="IX40" i="1"/>
  <c r="IZ40" i="1"/>
  <c r="JA40" i="1"/>
  <c r="JB40" i="1"/>
  <c r="JE40" i="1"/>
  <c r="JF40" i="1"/>
  <c r="JG40" i="1"/>
  <c r="JH40" i="1"/>
  <c r="JI40" i="1"/>
  <c r="JL40" i="1"/>
  <c r="D62" i="5"/>
  <c r="D63" i="5"/>
  <c r="D64" i="5"/>
  <c r="D65" i="5"/>
  <c r="D66" i="5"/>
  <c r="D67" i="5"/>
  <c r="D68" i="5"/>
  <c r="D69" i="5"/>
  <c r="H62" i="5"/>
  <c r="H63" i="5"/>
  <c r="H64" i="5"/>
  <c r="H65" i="5"/>
  <c r="H66" i="5"/>
  <c r="H67" i="5"/>
  <c r="H68" i="5"/>
  <c r="H69" i="5"/>
  <c r="R62" i="5"/>
  <c r="R63" i="5"/>
  <c r="R64" i="5"/>
  <c r="R65" i="5"/>
  <c r="R66" i="5"/>
  <c r="R67" i="5"/>
  <c r="R68" i="5"/>
  <c r="R69" i="5"/>
  <c r="S62" i="5"/>
  <c r="S63" i="5"/>
  <c r="S64" i="5"/>
  <c r="S65" i="5"/>
  <c r="S66" i="5"/>
  <c r="S67" i="5"/>
  <c r="S68" i="5"/>
  <c r="S69" i="5"/>
  <c r="AD62" i="5"/>
  <c r="AD63" i="5"/>
  <c r="AD64" i="5"/>
  <c r="AD65" i="5"/>
  <c r="AD66" i="5"/>
  <c r="AD67" i="5"/>
  <c r="AD68" i="5"/>
  <c r="AD69" i="5"/>
  <c r="AE62" i="5"/>
  <c r="AE63" i="5"/>
  <c r="AE64" i="5"/>
  <c r="AE65" i="5"/>
  <c r="AE66" i="5"/>
  <c r="AE67" i="5"/>
  <c r="AE68" i="5"/>
  <c r="AE69" i="5"/>
  <c r="AF62" i="5"/>
  <c r="AF63" i="5"/>
  <c r="AF64" i="5"/>
  <c r="AF65" i="5"/>
  <c r="AF66" i="5"/>
  <c r="AF67" i="5"/>
  <c r="AF68" i="5"/>
  <c r="AF69" i="5"/>
  <c r="AG62" i="5"/>
  <c r="AG63" i="5"/>
  <c r="AG64" i="5"/>
  <c r="AG65" i="5"/>
  <c r="AG66" i="5"/>
  <c r="AG67" i="5"/>
  <c r="AG68" i="5"/>
  <c r="AG69" i="5"/>
  <c r="IP39" i="1"/>
  <c r="IQ39" i="1"/>
  <c r="IR39" i="1"/>
  <c r="IS39" i="1"/>
  <c r="IT39" i="1"/>
  <c r="IU39" i="1"/>
  <c r="ID39" i="1"/>
  <c r="IE39" i="1"/>
  <c r="IF39" i="1"/>
  <c r="IG39" i="1"/>
  <c r="IH39" i="1"/>
  <c r="II39" i="1"/>
  <c r="IJ39" i="1"/>
  <c r="IK39" i="1"/>
  <c r="IL39" i="1"/>
  <c r="IM39" i="1"/>
  <c r="IN39" i="1"/>
  <c r="IO39" i="1"/>
  <c r="IX39" i="1"/>
  <c r="IZ39" i="1"/>
  <c r="JA39" i="1"/>
  <c r="JB39" i="1"/>
  <c r="JE39" i="1"/>
  <c r="JF39" i="1"/>
  <c r="JG39" i="1"/>
  <c r="JH39" i="1"/>
  <c r="JI39" i="1"/>
  <c r="JL39" i="1"/>
  <c r="IP38" i="1"/>
  <c r="IQ38" i="1"/>
  <c r="IR38" i="1"/>
  <c r="IS38" i="1"/>
  <c r="IT38" i="1"/>
  <c r="IU38" i="1"/>
  <c r="IW45" i="1" l="1"/>
  <c r="IW44" i="1"/>
  <c r="IV46" i="1"/>
  <c r="IW46" i="1"/>
  <c r="T113" i="5"/>
  <c r="V113" i="5" s="1"/>
  <c r="AJ113" i="5" s="1"/>
  <c r="T105" i="5"/>
  <c r="V105" i="5" s="1"/>
  <c r="AJ105" i="5" s="1"/>
  <c r="T114" i="5"/>
  <c r="V114" i="5" s="1"/>
  <c r="AJ114" i="5" s="1"/>
  <c r="T111" i="5"/>
  <c r="V111" i="5" s="1"/>
  <c r="AJ111" i="5" s="1"/>
  <c r="T103" i="5"/>
  <c r="V103" i="5" s="1"/>
  <c r="AJ103" i="5" s="1"/>
  <c r="T110" i="5"/>
  <c r="V110" i="5" s="1"/>
  <c r="AJ110" i="5" s="1"/>
  <c r="T102" i="5"/>
  <c r="V102" i="5" s="1"/>
  <c r="AJ102" i="5" s="1"/>
  <c r="T116" i="5"/>
  <c r="V116" i="5" s="1"/>
  <c r="AJ116" i="5" s="1"/>
  <c r="T106" i="5"/>
  <c r="V106" i="5" s="1"/>
  <c r="AJ106" i="5" s="1"/>
  <c r="T104" i="5"/>
  <c r="V104" i="5" s="1"/>
  <c r="AJ104" i="5" s="1"/>
  <c r="T112" i="5"/>
  <c r="V112" i="5" s="1"/>
  <c r="AJ112" i="5" s="1"/>
  <c r="T109" i="5"/>
  <c r="V109" i="5" s="1"/>
  <c r="AJ109" i="5" s="1"/>
  <c r="T101" i="5"/>
  <c r="V101" i="5" s="1"/>
  <c r="AJ101" i="5" s="1"/>
  <c r="T108" i="5"/>
  <c r="V108" i="5" s="1"/>
  <c r="AJ108" i="5" s="1"/>
  <c r="T115" i="5"/>
  <c r="V115" i="5" s="1"/>
  <c r="AJ115" i="5" s="1"/>
  <c r="T107" i="5"/>
  <c r="V107" i="5" s="1"/>
  <c r="AJ107" i="5" s="1"/>
  <c r="IV45" i="1"/>
  <c r="IY46" i="1"/>
  <c r="JC46" i="1" s="1"/>
  <c r="JD46" i="1"/>
  <c r="IY44" i="1"/>
  <c r="JC44" i="1" s="1"/>
  <c r="IW43" i="1"/>
  <c r="V100" i="5"/>
  <c r="AJ100" i="5" s="1"/>
  <c r="V99" i="5"/>
  <c r="AJ99" i="5" s="1"/>
  <c r="T98" i="5"/>
  <c r="U98" i="5" s="1"/>
  <c r="IY45" i="1"/>
  <c r="JC45" i="1" s="1"/>
  <c r="JD45" i="1"/>
  <c r="JD43" i="1"/>
  <c r="IV43" i="1"/>
  <c r="IV44" i="1"/>
  <c r="JD44" i="1"/>
  <c r="IV42" i="1"/>
  <c r="IY43" i="1"/>
  <c r="JC43" i="1" s="1"/>
  <c r="V10" i="7"/>
  <c r="T62" i="5"/>
  <c r="U62" i="5" s="1"/>
  <c r="T69" i="5"/>
  <c r="U69" i="5" s="1"/>
  <c r="T64" i="5"/>
  <c r="U64" i="5" s="1"/>
  <c r="V97" i="5"/>
  <c r="AJ97" i="5" s="1"/>
  <c r="T63" i="5"/>
  <c r="U63" i="5" s="1"/>
  <c r="U96" i="5"/>
  <c r="V96" i="5"/>
  <c r="AJ96" i="5" s="1"/>
  <c r="U95" i="5"/>
  <c r="V95" i="5"/>
  <c r="AJ95" i="5" s="1"/>
  <c r="U94" i="5"/>
  <c r="V94" i="5"/>
  <c r="AJ94" i="5" s="1"/>
  <c r="T92" i="5"/>
  <c r="V92" i="5" s="1"/>
  <c r="AJ92" i="5" s="1"/>
  <c r="T91" i="5"/>
  <c r="V91" i="5" s="1"/>
  <c r="AJ91" i="5" s="1"/>
  <c r="IW40" i="1"/>
  <c r="IV41" i="1"/>
  <c r="IW42" i="1"/>
  <c r="IW41" i="1"/>
  <c r="T93" i="5"/>
  <c r="U93" i="5" s="1"/>
  <c r="IY42" i="1"/>
  <c r="JC42" i="1" s="1"/>
  <c r="JD42" i="1"/>
  <c r="IV40" i="1"/>
  <c r="IW38" i="1"/>
  <c r="IW39" i="1"/>
  <c r="T83" i="5"/>
  <c r="U83" i="5" s="1"/>
  <c r="V90" i="5"/>
  <c r="AJ90" i="5" s="1"/>
  <c r="T76" i="5"/>
  <c r="V76" i="5" s="1"/>
  <c r="AJ76" i="5" s="1"/>
  <c r="T82" i="5"/>
  <c r="U82" i="5" s="1"/>
  <c r="V89" i="5"/>
  <c r="AJ89" i="5" s="1"/>
  <c r="T81" i="5"/>
  <c r="U81" i="5" s="1"/>
  <c r="T68" i="5"/>
  <c r="U68" i="5" s="1"/>
  <c r="T88" i="5"/>
  <c r="U88" i="5" s="1"/>
  <c r="T80" i="5"/>
  <c r="U80" i="5" s="1"/>
  <c r="T87" i="5"/>
  <c r="U87" i="5" s="1"/>
  <c r="T79" i="5"/>
  <c r="U79" i="5" s="1"/>
  <c r="T78" i="5"/>
  <c r="U78" i="5" s="1"/>
  <c r="T70" i="5"/>
  <c r="V70" i="5" s="1"/>
  <c r="AJ70" i="5" s="1"/>
  <c r="T75" i="5"/>
  <c r="U75" i="5" s="1"/>
  <c r="T73" i="5"/>
  <c r="U73" i="5" s="1"/>
  <c r="IY41" i="1"/>
  <c r="JC41" i="1" s="1"/>
  <c r="JD41" i="1"/>
  <c r="IY40" i="1"/>
  <c r="JC40" i="1" s="1"/>
  <c r="T86" i="5"/>
  <c r="V86" i="5" s="1"/>
  <c r="AJ86" i="5" s="1"/>
  <c r="T85" i="5"/>
  <c r="V85" i="5" s="1"/>
  <c r="AJ85" i="5" s="1"/>
  <c r="T84" i="5"/>
  <c r="V84" i="5" s="1"/>
  <c r="AJ84" i="5" s="1"/>
  <c r="T72" i="5"/>
  <c r="U72" i="5" s="1"/>
  <c r="T71" i="5"/>
  <c r="V71" i="5" s="1"/>
  <c r="AJ71" i="5" s="1"/>
  <c r="T77" i="5"/>
  <c r="U77" i="5" s="1"/>
  <c r="T74" i="5"/>
  <c r="U74" i="5" s="1"/>
  <c r="T65" i="5"/>
  <c r="U65" i="5" s="1"/>
  <c r="T66" i="5"/>
  <c r="V66" i="5" s="1"/>
  <c r="AJ66" i="5" s="1"/>
  <c r="T67" i="5"/>
  <c r="U67" i="5" s="1"/>
  <c r="JD40" i="1"/>
  <c r="IV38" i="1"/>
  <c r="IV39" i="1"/>
  <c r="IY39" i="1"/>
  <c r="JC39" i="1" s="1"/>
  <c r="JD39" i="1"/>
  <c r="ID38" i="1"/>
  <c r="IE38" i="1"/>
  <c r="IF38" i="1"/>
  <c r="IG38" i="1"/>
  <c r="IH38" i="1"/>
  <c r="II38" i="1"/>
  <c r="IJ38" i="1"/>
  <c r="IK38" i="1"/>
  <c r="IL38" i="1"/>
  <c r="IM38" i="1"/>
  <c r="IN38" i="1"/>
  <c r="IO38" i="1"/>
  <c r="IX38" i="1"/>
  <c r="IZ38" i="1"/>
  <c r="JA38" i="1"/>
  <c r="JB38" i="1"/>
  <c r="JE38" i="1"/>
  <c r="JF38" i="1"/>
  <c r="JG38" i="1"/>
  <c r="JH38" i="1"/>
  <c r="JI38" i="1"/>
  <c r="JL38" i="1"/>
  <c r="D59" i="5"/>
  <c r="D60" i="5"/>
  <c r="D61" i="5"/>
  <c r="H59" i="5"/>
  <c r="H60" i="5"/>
  <c r="H61" i="5"/>
  <c r="R59" i="5"/>
  <c r="R60" i="5"/>
  <c r="R61" i="5"/>
  <c r="S59" i="5"/>
  <c r="S60" i="5"/>
  <c r="S61" i="5"/>
  <c r="AD59" i="5"/>
  <c r="AD60" i="5"/>
  <c r="AD61" i="5"/>
  <c r="AE59" i="5"/>
  <c r="AE60" i="5"/>
  <c r="AE61" i="5"/>
  <c r="AF59" i="5"/>
  <c r="AF60" i="5"/>
  <c r="AF61" i="5"/>
  <c r="AG59" i="5"/>
  <c r="AG60" i="5"/>
  <c r="AG61" i="5"/>
  <c r="D51" i="5"/>
  <c r="D52" i="5"/>
  <c r="D53" i="5"/>
  <c r="D54" i="5"/>
  <c r="D55" i="5"/>
  <c r="D56" i="5"/>
  <c r="D57" i="5"/>
  <c r="D58" i="5"/>
  <c r="H51" i="5"/>
  <c r="H52" i="5"/>
  <c r="H53" i="5"/>
  <c r="H54" i="5"/>
  <c r="H55" i="5"/>
  <c r="H56" i="5"/>
  <c r="H57" i="5"/>
  <c r="H58" i="5"/>
  <c r="R51" i="5"/>
  <c r="R52" i="5"/>
  <c r="R53" i="5"/>
  <c r="R54" i="5"/>
  <c r="R55" i="5"/>
  <c r="R56" i="5"/>
  <c r="R57" i="5"/>
  <c r="R58" i="5"/>
  <c r="S51" i="5"/>
  <c r="S52" i="5"/>
  <c r="S53" i="5"/>
  <c r="S54" i="5"/>
  <c r="S55" i="5"/>
  <c r="S56" i="5"/>
  <c r="S57" i="5"/>
  <c r="S58" i="5"/>
  <c r="AD51" i="5"/>
  <c r="AD52" i="5"/>
  <c r="AD53" i="5"/>
  <c r="AD54" i="5"/>
  <c r="AD55" i="5"/>
  <c r="AD56" i="5"/>
  <c r="AD57" i="5"/>
  <c r="AD58" i="5"/>
  <c r="AE51" i="5"/>
  <c r="AE52" i="5"/>
  <c r="AE53" i="5"/>
  <c r="AE54" i="5"/>
  <c r="AE55" i="5"/>
  <c r="AE56" i="5"/>
  <c r="AE57" i="5"/>
  <c r="AE58" i="5"/>
  <c r="AF51" i="5"/>
  <c r="AF52" i="5"/>
  <c r="AF53" i="5"/>
  <c r="AF54" i="5"/>
  <c r="AF55" i="5"/>
  <c r="AF56" i="5"/>
  <c r="AF57" i="5"/>
  <c r="AF58" i="5"/>
  <c r="AG51" i="5"/>
  <c r="AG52" i="5"/>
  <c r="AG53" i="5"/>
  <c r="AG54" i="5"/>
  <c r="AG55" i="5"/>
  <c r="AG56" i="5"/>
  <c r="AG57" i="5"/>
  <c r="AG58" i="5"/>
  <c r="IP37" i="1"/>
  <c r="IQ37" i="1"/>
  <c r="IR37" i="1"/>
  <c r="IS37" i="1"/>
  <c r="IT37" i="1"/>
  <c r="IU37" i="1"/>
  <c r="ID37" i="1"/>
  <c r="IE37" i="1"/>
  <c r="IF37" i="1"/>
  <c r="IG37" i="1"/>
  <c r="IH37" i="1"/>
  <c r="II37" i="1"/>
  <c r="IJ37" i="1"/>
  <c r="IK37" i="1"/>
  <c r="IL37" i="1"/>
  <c r="IM37" i="1"/>
  <c r="IN37" i="1"/>
  <c r="IO37" i="1"/>
  <c r="IX37" i="1"/>
  <c r="IZ37" i="1"/>
  <c r="JA37" i="1"/>
  <c r="JB37" i="1"/>
  <c r="JE37" i="1"/>
  <c r="JF37" i="1"/>
  <c r="JG37" i="1"/>
  <c r="JH37" i="1"/>
  <c r="JI37" i="1"/>
  <c r="JL37" i="1"/>
  <c r="D47" i="5"/>
  <c r="D48" i="5"/>
  <c r="D49" i="5"/>
  <c r="D50" i="5"/>
  <c r="H47" i="5"/>
  <c r="H48" i="5"/>
  <c r="H49" i="5"/>
  <c r="H50" i="5"/>
  <c r="R47" i="5"/>
  <c r="R48" i="5"/>
  <c r="R49" i="5"/>
  <c r="R50" i="5"/>
  <c r="S47" i="5"/>
  <c r="S48" i="5"/>
  <c r="S49" i="5"/>
  <c r="S50" i="5"/>
  <c r="AD47" i="5"/>
  <c r="AD48" i="5"/>
  <c r="AD49" i="5"/>
  <c r="AD50" i="5"/>
  <c r="AE47" i="5"/>
  <c r="AE48" i="5"/>
  <c r="AE49" i="5"/>
  <c r="AE50" i="5"/>
  <c r="AF47" i="5"/>
  <c r="AF48" i="5"/>
  <c r="AF49" i="5"/>
  <c r="AF50" i="5"/>
  <c r="AG47" i="5"/>
  <c r="AG48" i="5"/>
  <c r="AG49" i="5"/>
  <c r="AG50" i="5"/>
  <c r="D43" i="5"/>
  <c r="D44" i="5"/>
  <c r="D45" i="5"/>
  <c r="D46" i="5"/>
  <c r="H43" i="5"/>
  <c r="H44" i="5"/>
  <c r="H45" i="5"/>
  <c r="H46" i="5"/>
  <c r="R43" i="5"/>
  <c r="R44" i="5"/>
  <c r="R45" i="5"/>
  <c r="R46" i="5"/>
  <c r="S43" i="5"/>
  <c r="S44" i="5"/>
  <c r="S45" i="5"/>
  <c r="S46" i="5"/>
  <c r="AD43" i="5"/>
  <c r="AD44" i="5"/>
  <c r="AD45" i="5"/>
  <c r="AD46" i="5"/>
  <c r="AE43" i="5"/>
  <c r="AE44" i="5"/>
  <c r="AE45" i="5"/>
  <c r="AE46" i="5"/>
  <c r="AF43" i="5"/>
  <c r="AF44" i="5"/>
  <c r="AF45" i="5"/>
  <c r="AF46" i="5"/>
  <c r="AG43" i="5"/>
  <c r="AG44" i="5"/>
  <c r="AG45" i="5"/>
  <c r="AG46" i="5"/>
  <c r="IP36" i="1"/>
  <c r="IQ36" i="1"/>
  <c r="IR36" i="1"/>
  <c r="IS36" i="1"/>
  <c r="IT36" i="1"/>
  <c r="IU36" i="1"/>
  <c r="ID36" i="1"/>
  <c r="IE36" i="1"/>
  <c r="IF36" i="1"/>
  <c r="IG36" i="1"/>
  <c r="IH36" i="1"/>
  <c r="II36" i="1"/>
  <c r="IJ36" i="1"/>
  <c r="IK36" i="1"/>
  <c r="IL36" i="1"/>
  <c r="IM36" i="1"/>
  <c r="IN36" i="1"/>
  <c r="IO36" i="1"/>
  <c r="IX36" i="1"/>
  <c r="IZ36" i="1"/>
  <c r="JA36" i="1"/>
  <c r="JB36" i="1"/>
  <c r="JE36" i="1"/>
  <c r="JF36" i="1"/>
  <c r="JG36" i="1"/>
  <c r="JH36" i="1"/>
  <c r="JI36" i="1"/>
  <c r="JL36" i="1"/>
  <c r="IP35" i="1"/>
  <c r="IQ35" i="1"/>
  <c r="IR35" i="1"/>
  <c r="IS35" i="1"/>
  <c r="IT35" i="1"/>
  <c r="IU35" i="1"/>
  <c r="ID35" i="1"/>
  <c r="IE35" i="1"/>
  <c r="IF35" i="1"/>
  <c r="IG35" i="1"/>
  <c r="IH35" i="1"/>
  <c r="II35" i="1"/>
  <c r="IJ35" i="1"/>
  <c r="IK35" i="1"/>
  <c r="IL35" i="1"/>
  <c r="IM35" i="1"/>
  <c r="IN35" i="1"/>
  <c r="IO35" i="1"/>
  <c r="IX35" i="1"/>
  <c r="IZ35" i="1"/>
  <c r="JA35" i="1"/>
  <c r="JB35" i="1"/>
  <c r="JE35" i="1"/>
  <c r="JF35" i="1"/>
  <c r="JG35" i="1"/>
  <c r="JH35" i="1"/>
  <c r="JI35" i="1"/>
  <c r="JL35" i="1"/>
  <c r="AL2" i="19"/>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94" i="19"/>
  <c r="AL95" i="19"/>
  <c r="AL96" i="19"/>
  <c r="AL97" i="19"/>
  <c r="AL98" i="19"/>
  <c r="AL99" i="19"/>
  <c r="AL100" i="19"/>
  <c r="AL101" i="19"/>
  <c r="AL102" i="19"/>
  <c r="AL103" i="19"/>
  <c r="AL104" i="19"/>
  <c r="AL105" i="19"/>
  <c r="AL106" i="19"/>
  <c r="AL107" i="19"/>
  <c r="AL108" i="19"/>
  <c r="AL109" i="19"/>
  <c r="AL110" i="19"/>
  <c r="AL111" i="19"/>
  <c r="AL112"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L261" i="19"/>
  <c r="AL262" i="19"/>
  <c r="AL263" i="19"/>
  <c r="AL264" i="19"/>
  <c r="AL265" i="19"/>
  <c r="AL266" i="19"/>
  <c r="AL267" i="19"/>
  <c r="AL268" i="19"/>
  <c r="AL269" i="19"/>
  <c r="AL270" i="19"/>
  <c r="AL271" i="19"/>
  <c r="AL272" i="19"/>
  <c r="AL273" i="19"/>
  <c r="AL274" i="19"/>
  <c r="AL275" i="19"/>
  <c r="AL276" i="19"/>
  <c r="AL277" i="19"/>
  <c r="AL278" i="19"/>
  <c r="AL279" i="19"/>
  <c r="AL280" i="19"/>
  <c r="AL281" i="19"/>
  <c r="AL282" i="19"/>
  <c r="AL283" i="19"/>
  <c r="AL284" i="19"/>
  <c r="AL285" i="19"/>
  <c r="AL286" i="19"/>
  <c r="AL287" i="19"/>
  <c r="AL288" i="19"/>
  <c r="AL289" i="19"/>
  <c r="AL290" i="19"/>
  <c r="AL291" i="19"/>
  <c r="AL292" i="19"/>
  <c r="AL293" i="19"/>
  <c r="AL294" i="19"/>
  <c r="AL295" i="19"/>
  <c r="AL296" i="19"/>
  <c r="AL297" i="19"/>
  <c r="AL298" i="19"/>
  <c r="AL299" i="19"/>
  <c r="AL300" i="19"/>
  <c r="AL301" i="19"/>
  <c r="AL302" i="19"/>
  <c r="AL303" i="19"/>
  <c r="AL304" i="19"/>
  <c r="AL305" i="19"/>
  <c r="AL306" i="19"/>
  <c r="AL307" i="19"/>
  <c r="AL308" i="19"/>
  <c r="AL309" i="19"/>
  <c r="AL310" i="19"/>
  <c r="AL311" i="19"/>
  <c r="AL312" i="19"/>
  <c r="AL313" i="19"/>
  <c r="AL314" i="19"/>
  <c r="AL315" i="19"/>
  <c r="AL316" i="19"/>
  <c r="AL317" i="19"/>
  <c r="AL318" i="19"/>
  <c r="AL319" i="19"/>
  <c r="AL320" i="19"/>
  <c r="AL321" i="19"/>
  <c r="AL322" i="19"/>
  <c r="AL323" i="19"/>
  <c r="AL324" i="19"/>
  <c r="AL325" i="19"/>
  <c r="AL326" i="19"/>
  <c r="AL327" i="19"/>
  <c r="AL328" i="19"/>
  <c r="AL329" i="19"/>
  <c r="AL330" i="19"/>
  <c r="AL331" i="19"/>
  <c r="AL332" i="19"/>
  <c r="AL333" i="19"/>
  <c r="AL334" i="19"/>
  <c r="AL335" i="19"/>
  <c r="AL336" i="19"/>
  <c r="AL337" i="19"/>
  <c r="AL338" i="19"/>
  <c r="AL339" i="19"/>
  <c r="AL340" i="19"/>
  <c r="AL341" i="19"/>
  <c r="AL342" i="19"/>
  <c r="AL343" i="19"/>
  <c r="AL344" i="19"/>
  <c r="AL345" i="19"/>
  <c r="AL346" i="19"/>
  <c r="AL347" i="19"/>
  <c r="AL348" i="19"/>
  <c r="AL349" i="19"/>
  <c r="AL350" i="19"/>
  <c r="AL351" i="19"/>
  <c r="AL352" i="19"/>
  <c r="AL353" i="19"/>
  <c r="AL354" i="19"/>
  <c r="AL355" i="19"/>
  <c r="AL356" i="19"/>
  <c r="AL357" i="19"/>
  <c r="AL358" i="19"/>
  <c r="AL359" i="19"/>
  <c r="AL360" i="19"/>
  <c r="AL361" i="19"/>
  <c r="AL362" i="19"/>
  <c r="AL363" i="19"/>
  <c r="AL364" i="19"/>
  <c r="AL365" i="19"/>
  <c r="AL366" i="19"/>
  <c r="AL367" i="19"/>
  <c r="AL368" i="19"/>
  <c r="AL369" i="19"/>
  <c r="IP34" i="1"/>
  <c r="IQ34" i="1"/>
  <c r="IR34" i="1"/>
  <c r="IS34" i="1"/>
  <c r="IT34" i="1"/>
  <c r="IU34" i="1"/>
  <c r="U105" i="5" l="1"/>
  <c r="U111" i="5"/>
  <c r="U114" i="5"/>
  <c r="U113" i="5"/>
  <c r="U103" i="5"/>
  <c r="U110" i="5"/>
  <c r="U116" i="5"/>
  <c r="U106" i="5"/>
  <c r="U112" i="5"/>
  <c r="U115" i="5"/>
  <c r="U107" i="5"/>
  <c r="U109" i="5"/>
  <c r="U104" i="5"/>
  <c r="U108" i="5"/>
  <c r="U102" i="5"/>
  <c r="U101" i="5"/>
  <c r="V69" i="5"/>
  <c r="AJ69" i="5" s="1"/>
  <c r="V62" i="5"/>
  <c r="AJ62" i="5" s="1"/>
  <c r="U70" i="5"/>
  <c r="T54" i="5"/>
  <c r="V54" i="5" s="1"/>
  <c r="AJ54" i="5" s="1"/>
  <c r="T51" i="5"/>
  <c r="V51" i="5" s="1"/>
  <c r="AJ51" i="5" s="1"/>
  <c r="V64" i="5"/>
  <c r="AJ64" i="5" s="1"/>
  <c r="U92" i="5"/>
  <c r="V98" i="5"/>
  <c r="AJ98" i="5" s="1"/>
  <c r="V63" i="5"/>
  <c r="AJ63" i="5" s="1"/>
  <c r="V68" i="5"/>
  <c r="AJ68" i="5" s="1"/>
  <c r="U91" i="5"/>
  <c r="V81" i="5"/>
  <c r="AJ81" i="5" s="1"/>
  <c r="U71" i="5"/>
  <c r="IW37" i="1"/>
  <c r="V93" i="5"/>
  <c r="AJ93" i="5" s="1"/>
  <c r="U85" i="5"/>
  <c r="V83" i="5"/>
  <c r="AJ83" i="5" s="1"/>
  <c r="V79" i="5"/>
  <c r="AJ79" i="5" s="1"/>
  <c r="V82" i="5"/>
  <c r="AJ82" i="5" s="1"/>
  <c r="V88" i="5"/>
  <c r="AJ88" i="5" s="1"/>
  <c r="V78" i="5"/>
  <c r="AJ78" i="5" s="1"/>
  <c r="V73" i="5"/>
  <c r="AJ73" i="5" s="1"/>
  <c r="U76" i="5"/>
  <c r="T52" i="5"/>
  <c r="V52" i="5" s="1"/>
  <c r="AJ52" i="5" s="1"/>
  <c r="V74" i="5"/>
  <c r="AJ74" i="5" s="1"/>
  <c r="V87" i="5"/>
  <c r="AJ87" i="5" s="1"/>
  <c r="T53" i="5"/>
  <c r="V53" i="5" s="1"/>
  <c r="AJ53" i="5" s="1"/>
  <c r="V65" i="5"/>
  <c r="AJ65" i="5" s="1"/>
  <c r="U86" i="5"/>
  <c r="V77" i="5"/>
  <c r="AJ77" i="5" s="1"/>
  <c r="V80" i="5"/>
  <c r="AJ80" i="5" s="1"/>
  <c r="T56" i="5"/>
  <c r="V56" i="5" s="1"/>
  <c r="AJ56" i="5" s="1"/>
  <c r="U84" i="5"/>
  <c r="V75" i="5"/>
  <c r="AJ75" i="5" s="1"/>
  <c r="V72" i="5"/>
  <c r="AJ72" i="5" s="1"/>
  <c r="T55" i="5"/>
  <c r="V55" i="5" s="1"/>
  <c r="AJ55" i="5" s="1"/>
  <c r="U66" i="5"/>
  <c r="V67" i="5"/>
  <c r="AJ67" i="5" s="1"/>
  <c r="IV37" i="1"/>
  <c r="T58" i="5"/>
  <c r="U58" i="5" s="1"/>
  <c r="T61" i="5"/>
  <c r="U61" i="5" s="1"/>
  <c r="T60" i="5"/>
  <c r="U60" i="5" s="1"/>
  <c r="IY38" i="1"/>
  <c r="JC38" i="1" s="1"/>
  <c r="JD38" i="1"/>
  <c r="IW36" i="1"/>
  <c r="IV36" i="1"/>
  <c r="T59" i="5"/>
  <c r="U59" i="5" s="1"/>
  <c r="T47" i="5"/>
  <c r="U47" i="5" s="1"/>
  <c r="T49" i="5"/>
  <c r="U49" i="5" s="1"/>
  <c r="T43" i="5"/>
  <c r="U43" i="5" s="1"/>
  <c r="T57" i="5"/>
  <c r="U57" i="5" s="1"/>
  <c r="T45" i="5"/>
  <c r="U45" i="5" s="1"/>
  <c r="T50" i="5"/>
  <c r="V50" i="5" s="1"/>
  <c r="AJ50" i="5" s="1"/>
  <c r="T48" i="5"/>
  <c r="U48" i="5" s="1"/>
  <c r="T44" i="5"/>
  <c r="U44" i="5" s="1"/>
  <c r="T46" i="5"/>
  <c r="U46" i="5" s="1"/>
  <c r="IY37" i="1"/>
  <c r="JC37" i="1" s="1"/>
  <c r="JD37" i="1"/>
  <c r="IV35" i="1"/>
  <c r="IV34" i="1"/>
  <c r="IW35" i="1"/>
  <c r="IY36" i="1"/>
  <c r="JC36" i="1" s="1"/>
  <c r="JD36" i="1"/>
  <c r="IW34" i="1"/>
  <c r="IY35" i="1"/>
  <c r="JC35" i="1" s="1"/>
  <c r="JD35" i="1"/>
  <c r="D35" i="5"/>
  <c r="D36" i="5"/>
  <c r="D37" i="5"/>
  <c r="D38" i="5"/>
  <c r="D39" i="5"/>
  <c r="D40" i="5"/>
  <c r="D41" i="5"/>
  <c r="D42" i="5"/>
  <c r="H35" i="5"/>
  <c r="H36" i="5"/>
  <c r="H37" i="5"/>
  <c r="H38" i="5"/>
  <c r="H39" i="5"/>
  <c r="H40" i="5"/>
  <c r="H41" i="5"/>
  <c r="H42" i="5"/>
  <c r="R35" i="5"/>
  <c r="R36" i="5"/>
  <c r="R37" i="5"/>
  <c r="R38" i="5"/>
  <c r="R39" i="5"/>
  <c r="R40" i="5"/>
  <c r="R41" i="5"/>
  <c r="R42" i="5"/>
  <c r="S35" i="5"/>
  <c r="S36" i="5"/>
  <c r="S37" i="5"/>
  <c r="S38" i="5"/>
  <c r="S39" i="5"/>
  <c r="S40" i="5"/>
  <c r="S41" i="5"/>
  <c r="S42" i="5"/>
  <c r="AD35" i="5"/>
  <c r="AD36" i="5"/>
  <c r="AD37" i="5"/>
  <c r="AD38" i="5"/>
  <c r="AD39" i="5"/>
  <c r="AD40" i="5"/>
  <c r="AD41" i="5"/>
  <c r="AD42" i="5"/>
  <c r="AE35" i="5"/>
  <c r="AE36" i="5"/>
  <c r="AE37" i="5"/>
  <c r="AE38" i="5"/>
  <c r="AE39" i="5"/>
  <c r="AE40" i="5"/>
  <c r="AE41" i="5"/>
  <c r="AE42" i="5"/>
  <c r="AF35" i="5"/>
  <c r="AF36" i="5"/>
  <c r="AF37" i="5"/>
  <c r="AF38" i="5"/>
  <c r="AF39" i="5"/>
  <c r="AF40" i="5"/>
  <c r="AF41" i="5"/>
  <c r="AF42" i="5"/>
  <c r="AG35" i="5"/>
  <c r="AG36" i="5"/>
  <c r="AG37" i="5"/>
  <c r="AG38" i="5"/>
  <c r="AG39" i="5"/>
  <c r="AG40" i="5"/>
  <c r="AG41" i="5"/>
  <c r="AG42" i="5"/>
  <c r="D34" i="5"/>
  <c r="H34" i="5"/>
  <c r="R34" i="5"/>
  <c r="S34" i="5"/>
  <c r="AD34" i="5"/>
  <c r="AE34" i="5"/>
  <c r="AF34" i="5"/>
  <c r="AG34" i="5"/>
  <c r="ID34" i="1"/>
  <c r="IE34" i="1"/>
  <c r="IF34" i="1"/>
  <c r="IG34" i="1"/>
  <c r="IH34" i="1"/>
  <c r="II34" i="1"/>
  <c r="IJ34" i="1"/>
  <c r="IK34" i="1"/>
  <c r="IL34" i="1"/>
  <c r="IM34" i="1"/>
  <c r="IN34" i="1"/>
  <c r="IO34" i="1"/>
  <c r="IX34" i="1"/>
  <c r="IZ34" i="1"/>
  <c r="JA34" i="1"/>
  <c r="JB34" i="1"/>
  <c r="JE34" i="1"/>
  <c r="JF34" i="1"/>
  <c r="JG34" i="1"/>
  <c r="JH34" i="1"/>
  <c r="JI34" i="1"/>
  <c r="JL34" i="1"/>
  <c r="I9" i="7"/>
  <c r="O9" i="7"/>
  <c r="V9" i="7" s="1"/>
  <c r="D22" i="5"/>
  <c r="D23" i="5"/>
  <c r="D24" i="5"/>
  <c r="D25" i="5"/>
  <c r="D26" i="5"/>
  <c r="D27" i="5"/>
  <c r="D28" i="5"/>
  <c r="D29" i="5"/>
  <c r="D30" i="5"/>
  <c r="D31" i="5"/>
  <c r="D32" i="5"/>
  <c r="D33" i="5"/>
  <c r="H22" i="5"/>
  <c r="H23" i="5"/>
  <c r="H24" i="5"/>
  <c r="H25" i="5"/>
  <c r="H26" i="5"/>
  <c r="H27" i="5"/>
  <c r="H28" i="5"/>
  <c r="H29" i="5"/>
  <c r="H30" i="5"/>
  <c r="H31" i="5"/>
  <c r="H32" i="5"/>
  <c r="H33" i="5"/>
  <c r="R22" i="5"/>
  <c r="R23" i="5"/>
  <c r="R24" i="5"/>
  <c r="R25" i="5"/>
  <c r="R26" i="5"/>
  <c r="R27" i="5"/>
  <c r="R28" i="5"/>
  <c r="R29" i="5"/>
  <c r="R30" i="5"/>
  <c r="R31" i="5"/>
  <c r="R32" i="5"/>
  <c r="R33" i="5"/>
  <c r="S22" i="5"/>
  <c r="S23" i="5"/>
  <c r="S24" i="5"/>
  <c r="S25" i="5"/>
  <c r="S26" i="5"/>
  <c r="S27" i="5"/>
  <c r="S28" i="5"/>
  <c r="S29" i="5"/>
  <c r="S30" i="5"/>
  <c r="S31" i="5"/>
  <c r="S32" i="5"/>
  <c r="S33" i="5"/>
  <c r="AD22" i="5"/>
  <c r="AD23" i="5"/>
  <c r="AD24" i="5"/>
  <c r="AD25" i="5"/>
  <c r="AD26" i="5"/>
  <c r="AD27" i="5"/>
  <c r="AD28" i="5"/>
  <c r="AD29" i="5"/>
  <c r="AD30" i="5"/>
  <c r="AD31" i="5"/>
  <c r="AD32" i="5"/>
  <c r="AD33" i="5"/>
  <c r="AE22" i="5"/>
  <c r="AE23" i="5"/>
  <c r="AE24" i="5"/>
  <c r="AE25" i="5"/>
  <c r="AE26" i="5"/>
  <c r="AE27" i="5"/>
  <c r="AE28" i="5"/>
  <c r="AE29" i="5"/>
  <c r="AE30" i="5"/>
  <c r="AE31" i="5"/>
  <c r="AE32" i="5"/>
  <c r="AE33" i="5"/>
  <c r="AF22" i="5"/>
  <c r="AF23" i="5"/>
  <c r="AF24" i="5"/>
  <c r="AF25" i="5"/>
  <c r="AF26" i="5"/>
  <c r="AF27" i="5"/>
  <c r="AF28" i="5"/>
  <c r="AF29" i="5"/>
  <c r="AF30" i="5"/>
  <c r="AF31" i="5"/>
  <c r="AF32" i="5"/>
  <c r="AF33" i="5"/>
  <c r="AG22" i="5"/>
  <c r="AG23" i="5"/>
  <c r="AG24" i="5"/>
  <c r="AG25" i="5"/>
  <c r="AG26" i="5"/>
  <c r="AG27" i="5"/>
  <c r="AG28" i="5"/>
  <c r="AG29" i="5"/>
  <c r="AG30" i="5"/>
  <c r="AG31" i="5"/>
  <c r="AG32" i="5"/>
  <c r="AG33" i="5"/>
  <c r="IP33" i="1"/>
  <c r="IQ33" i="1"/>
  <c r="IR33" i="1"/>
  <c r="IS33" i="1"/>
  <c r="IT33" i="1"/>
  <c r="IU33" i="1"/>
  <c r="U51" i="5" l="1"/>
  <c r="U54" i="5"/>
  <c r="U52" i="5"/>
  <c r="U56" i="5"/>
  <c r="U53" i="5"/>
  <c r="V58" i="5"/>
  <c r="AJ58" i="5" s="1"/>
  <c r="V48" i="5"/>
  <c r="AJ48" i="5" s="1"/>
  <c r="V61" i="5"/>
  <c r="AJ61" i="5" s="1"/>
  <c r="V60" i="5"/>
  <c r="AJ60" i="5" s="1"/>
  <c r="U55" i="5"/>
  <c r="V47" i="5"/>
  <c r="AJ47" i="5" s="1"/>
  <c r="V59" i="5"/>
  <c r="AJ59" i="5" s="1"/>
  <c r="V49" i="5"/>
  <c r="AJ49" i="5" s="1"/>
  <c r="V43" i="5"/>
  <c r="AJ43" i="5" s="1"/>
  <c r="V57" i="5"/>
  <c r="AJ57" i="5" s="1"/>
  <c r="V44" i="5"/>
  <c r="AJ44" i="5" s="1"/>
  <c r="V46" i="5"/>
  <c r="AJ46" i="5" s="1"/>
  <c r="V45" i="5"/>
  <c r="AJ45" i="5" s="1"/>
  <c r="U50" i="5"/>
  <c r="IY34" i="1"/>
  <c r="JC34" i="1" s="1"/>
  <c r="T41" i="5"/>
  <c r="V41" i="5" s="1"/>
  <c r="AJ41" i="5" s="1"/>
  <c r="T35" i="5"/>
  <c r="U35" i="5" s="1"/>
  <c r="T37" i="5"/>
  <c r="U37" i="5" s="1"/>
  <c r="T36" i="5"/>
  <c r="V36" i="5" s="1"/>
  <c r="AJ36" i="5" s="1"/>
  <c r="T42" i="5"/>
  <c r="U42" i="5" s="1"/>
  <c r="T40" i="5"/>
  <c r="V40" i="5" s="1"/>
  <c r="AJ40" i="5" s="1"/>
  <c r="T39" i="5"/>
  <c r="V39" i="5" s="1"/>
  <c r="AJ39" i="5" s="1"/>
  <c r="T38" i="5"/>
  <c r="V38" i="5" s="1"/>
  <c r="AJ38" i="5" s="1"/>
  <c r="JD34" i="1"/>
  <c r="T34" i="5"/>
  <c r="U34" i="5" s="1"/>
  <c r="T30" i="5"/>
  <c r="V30" i="5" s="1"/>
  <c r="AJ30" i="5" s="1"/>
  <c r="T22" i="5"/>
  <c r="V22" i="5" s="1"/>
  <c r="AJ22" i="5" s="1"/>
  <c r="T32" i="5"/>
  <c r="U32" i="5" s="1"/>
  <c r="T24" i="5"/>
  <c r="V24" i="5" s="1"/>
  <c r="AJ24" i="5" s="1"/>
  <c r="T26" i="5"/>
  <c r="V26" i="5" s="1"/>
  <c r="AJ26" i="5" s="1"/>
  <c r="T33" i="5"/>
  <c r="V33" i="5" s="1"/>
  <c r="AJ33" i="5" s="1"/>
  <c r="T25" i="5"/>
  <c r="U25" i="5" s="1"/>
  <c r="T23" i="5"/>
  <c r="U23" i="5" s="1"/>
  <c r="T29" i="5"/>
  <c r="U29" i="5" s="1"/>
  <c r="T27" i="5"/>
  <c r="V27" i="5" s="1"/>
  <c r="AJ27" i="5" s="1"/>
  <c r="IV33" i="1"/>
  <c r="IW33" i="1"/>
  <c r="T31" i="5"/>
  <c r="V31" i="5" s="1"/>
  <c r="AJ31" i="5" s="1"/>
  <c r="T28" i="5"/>
  <c r="V28" i="5" s="1"/>
  <c r="AJ28" i="5" s="1"/>
  <c r="V37" i="5" l="1"/>
  <c r="AJ37" i="5" s="1"/>
  <c r="U22" i="5"/>
  <c r="U30" i="5"/>
  <c r="U36" i="5"/>
  <c r="V42" i="5"/>
  <c r="AJ42" i="5" s="1"/>
  <c r="U41" i="5"/>
  <c r="U40" i="5"/>
  <c r="U26" i="5"/>
  <c r="U24" i="5"/>
  <c r="U38" i="5"/>
  <c r="U33" i="5"/>
  <c r="V35" i="5"/>
  <c r="AJ35" i="5" s="1"/>
  <c r="U39" i="5"/>
  <c r="U27" i="5"/>
  <c r="V32" i="5"/>
  <c r="AJ32" i="5" s="1"/>
  <c r="V34" i="5"/>
  <c r="AJ34" i="5" s="1"/>
  <c r="V29" i="5"/>
  <c r="AJ29" i="5" s="1"/>
  <c r="V23" i="5"/>
  <c r="AJ23" i="5" s="1"/>
  <c r="V25" i="5"/>
  <c r="AJ25" i="5" s="1"/>
  <c r="U31" i="5"/>
  <c r="U28" i="5"/>
  <c r="ID33" i="1" l="1"/>
  <c r="IE33" i="1"/>
  <c r="IF33" i="1"/>
  <c r="IG33" i="1"/>
  <c r="IH33" i="1"/>
  <c r="II33" i="1"/>
  <c r="IJ33" i="1"/>
  <c r="IK33" i="1"/>
  <c r="IL33" i="1"/>
  <c r="IM33" i="1"/>
  <c r="IN33" i="1"/>
  <c r="IO33" i="1"/>
  <c r="IX33" i="1"/>
  <c r="IZ33" i="1"/>
  <c r="JA33" i="1"/>
  <c r="JB33" i="1"/>
  <c r="JE33" i="1"/>
  <c r="JF33" i="1"/>
  <c r="JG33" i="1"/>
  <c r="JH33" i="1"/>
  <c r="JI33" i="1"/>
  <c r="JL33" i="1"/>
  <c r="D18" i="5"/>
  <c r="D19" i="5"/>
  <c r="D20" i="5"/>
  <c r="D21" i="5"/>
  <c r="H18" i="5"/>
  <c r="H19" i="5"/>
  <c r="H20" i="5"/>
  <c r="H21" i="5"/>
  <c r="R18" i="5"/>
  <c r="R19" i="5"/>
  <c r="R20" i="5"/>
  <c r="R21" i="5"/>
  <c r="S18" i="5"/>
  <c r="S19" i="5"/>
  <c r="S20" i="5"/>
  <c r="S21" i="5"/>
  <c r="AD18" i="5"/>
  <c r="AD19" i="5"/>
  <c r="AD20" i="5"/>
  <c r="AD21" i="5"/>
  <c r="AE18" i="5"/>
  <c r="AE19" i="5"/>
  <c r="AE20" i="5"/>
  <c r="AE21" i="5"/>
  <c r="AF18" i="5"/>
  <c r="AF19" i="5"/>
  <c r="AF20" i="5"/>
  <c r="AF21" i="5"/>
  <c r="AG18" i="5"/>
  <c r="AG19" i="5"/>
  <c r="AG20" i="5"/>
  <c r="AG21" i="5"/>
  <c r="D14" i="5"/>
  <c r="D15" i="5"/>
  <c r="D16" i="5"/>
  <c r="D17" i="5"/>
  <c r="H14" i="5"/>
  <c r="H15" i="5"/>
  <c r="H16" i="5"/>
  <c r="H17" i="5"/>
  <c r="R14" i="5"/>
  <c r="R15" i="5"/>
  <c r="R16" i="5"/>
  <c r="R17" i="5"/>
  <c r="S14" i="5"/>
  <c r="S15" i="5"/>
  <c r="S16" i="5"/>
  <c r="S17" i="5"/>
  <c r="AD14" i="5"/>
  <c r="AD15" i="5"/>
  <c r="AD16" i="5"/>
  <c r="AD17" i="5"/>
  <c r="AE14" i="5"/>
  <c r="AE15" i="5"/>
  <c r="AE16" i="5"/>
  <c r="AE17" i="5"/>
  <c r="AF14" i="5"/>
  <c r="AF15" i="5"/>
  <c r="AF16" i="5"/>
  <c r="AF17" i="5"/>
  <c r="AG14" i="5"/>
  <c r="AG15" i="5"/>
  <c r="AG16" i="5"/>
  <c r="AG17" i="5"/>
  <c r="D10" i="5"/>
  <c r="D11" i="5"/>
  <c r="D12" i="5"/>
  <c r="D13" i="5"/>
  <c r="H10" i="5"/>
  <c r="H11" i="5"/>
  <c r="H12" i="5"/>
  <c r="H13" i="5"/>
  <c r="R10" i="5"/>
  <c r="R11" i="5"/>
  <c r="R12" i="5"/>
  <c r="R13" i="5"/>
  <c r="S10" i="5"/>
  <c r="S11" i="5"/>
  <c r="S12" i="5"/>
  <c r="S13" i="5"/>
  <c r="AD10" i="5"/>
  <c r="AD11" i="5"/>
  <c r="AD12" i="5"/>
  <c r="AD13" i="5"/>
  <c r="AE10" i="5"/>
  <c r="AE11" i="5"/>
  <c r="AE12" i="5"/>
  <c r="AE13" i="5"/>
  <c r="AF10" i="5"/>
  <c r="AF11" i="5"/>
  <c r="AF12" i="5"/>
  <c r="AF13" i="5"/>
  <c r="AG10" i="5"/>
  <c r="AG11" i="5"/>
  <c r="AG12" i="5"/>
  <c r="AG13" i="5"/>
  <c r="IP32" i="1"/>
  <c r="IQ32" i="1"/>
  <c r="IR32" i="1"/>
  <c r="IS32" i="1"/>
  <c r="IT32" i="1"/>
  <c r="IU32" i="1"/>
  <c r="ID32" i="1"/>
  <c r="IE32" i="1"/>
  <c r="IF32" i="1"/>
  <c r="IG32" i="1"/>
  <c r="IH32" i="1"/>
  <c r="II32" i="1"/>
  <c r="IJ32" i="1"/>
  <c r="IK32" i="1"/>
  <c r="IL32" i="1"/>
  <c r="IM32" i="1"/>
  <c r="IN32" i="1"/>
  <c r="IO32" i="1"/>
  <c r="IX32" i="1"/>
  <c r="IZ32" i="1"/>
  <c r="JA32" i="1"/>
  <c r="JB32" i="1"/>
  <c r="JE32" i="1"/>
  <c r="JF32" i="1"/>
  <c r="JG32" i="1"/>
  <c r="JH32" i="1"/>
  <c r="JI32" i="1"/>
  <c r="JL32" i="1"/>
  <c r="IP29" i="1"/>
  <c r="IQ29" i="1"/>
  <c r="IR29" i="1"/>
  <c r="IS29" i="1"/>
  <c r="IT29" i="1"/>
  <c r="IU29" i="1"/>
  <c r="IP30" i="1"/>
  <c r="IQ30" i="1"/>
  <c r="IR30" i="1"/>
  <c r="IS30" i="1"/>
  <c r="IT30" i="1"/>
  <c r="IU30" i="1"/>
  <c r="IP31" i="1"/>
  <c r="IQ31" i="1"/>
  <c r="IR31" i="1"/>
  <c r="IS31" i="1"/>
  <c r="IT31" i="1"/>
  <c r="IU31" i="1"/>
  <c r="ID29" i="1"/>
  <c r="ID30" i="1"/>
  <c r="ID31" i="1"/>
  <c r="IE29" i="1"/>
  <c r="IE30" i="1"/>
  <c r="IE31" i="1"/>
  <c r="IF29" i="1"/>
  <c r="IF30" i="1"/>
  <c r="IF31" i="1"/>
  <c r="IG29" i="1"/>
  <c r="IG30" i="1"/>
  <c r="IG31" i="1"/>
  <c r="IH29" i="1"/>
  <c r="IH30" i="1"/>
  <c r="IH31" i="1"/>
  <c r="II29" i="1"/>
  <c r="II30" i="1"/>
  <c r="II31" i="1"/>
  <c r="IJ29" i="1"/>
  <c r="IJ30" i="1"/>
  <c r="IJ31" i="1"/>
  <c r="IK29" i="1"/>
  <c r="IK30" i="1"/>
  <c r="IK31" i="1"/>
  <c r="IL29" i="1"/>
  <c r="IL30" i="1"/>
  <c r="IL31" i="1"/>
  <c r="IM29" i="1"/>
  <c r="IM30" i="1"/>
  <c r="IM31" i="1"/>
  <c r="IN29" i="1"/>
  <c r="IN30" i="1"/>
  <c r="IN31" i="1"/>
  <c r="IO29" i="1"/>
  <c r="IO30" i="1"/>
  <c r="IO31" i="1"/>
  <c r="IX29" i="1"/>
  <c r="IX30" i="1"/>
  <c r="IX31" i="1"/>
  <c r="IZ29" i="1"/>
  <c r="IZ30" i="1"/>
  <c r="IZ31" i="1"/>
  <c r="JA29" i="1"/>
  <c r="JA30" i="1"/>
  <c r="JA31" i="1"/>
  <c r="JB29" i="1"/>
  <c r="JB30" i="1"/>
  <c r="JB31" i="1"/>
  <c r="JE29" i="1"/>
  <c r="JE30" i="1"/>
  <c r="JE31" i="1"/>
  <c r="JF29" i="1"/>
  <c r="JF30" i="1"/>
  <c r="JF31" i="1"/>
  <c r="JG29" i="1"/>
  <c r="JG30" i="1"/>
  <c r="JG31" i="1"/>
  <c r="JH29" i="1"/>
  <c r="JH30" i="1"/>
  <c r="JH31" i="1"/>
  <c r="JI29" i="1"/>
  <c r="JI30" i="1"/>
  <c r="JI31" i="1"/>
  <c r="JL29" i="1"/>
  <c r="JL30" i="1"/>
  <c r="JL31" i="1"/>
  <c r="T20" i="5" l="1"/>
  <c r="V20" i="5" s="1"/>
  <c r="AJ20" i="5" s="1"/>
  <c r="T14" i="5"/>
  <c r="U14" i="5" s="1"/>
  <c r="T18" i="5"/>
  <c r="U18" i="5" s="1"/>
  <c r="IW32" i="1"/>
  <c r="IV32" i="1"/>
  <c r="T19" i="5"/>
  <c r="U19" i="5" s="1"/>
  <c r="T21" i="5"/>
  <c r="V21" i="5" s="1"/>
  <c r="AJ21" i="5" s="1"/>
  <c r="IY33" i="1"/>
  <c r="JC33" i="1" s="1"/>
  <c r="JD33" i="1"/>
  <c r="JD31" i="1"/>
  <c r="IV30" i="1"/>
  <c r="IV31" i="1"/>
  <c r="IY30" i="1"/>
  <c r="JC30" i="1" s="1"/>
  <c r="IW30" i="1"/>
  <c r="T16" i="5"/>
  <c r="V16" i="5" s="1"/>
  <c r="AJ16" i="5" s="1"/>
  <c r="T17" i="5"/>
  <c r="U17" i="5" s="1"/>
  <c r="T11" i="5"/>
  <c r="U11" i="5" s="1"/>
  <c r="T10" i="5"/>
  <c r="U10" i="5" s="1"/>
  <c r="T12" i="5"/>
  <c r="U12" i="5" s="1"/>
  <c r="T15" i="5"/>
  <c r="U15" i="5" s="1"/>
  <c r="T13" i="5"/>
  <c r="U13" i="5" s="1"/>
  <c r="IY32" i="1"/>
  <c r="JC32" i="1" s="1"/>
  <c r="JD32" i="1"/>
  <c r="IW29" i="1"/>
  <c r="IW31" i="1"/>
  <c r="IV29" i="1"/>
  <c r="IY29" i="1"/>
  <c r="JC29" i="1" s="1"/>
  <c r="JD30" i="1"/>
  <c r="IY31" i="1"/>
  <c r="JC31" i="1" s="1"/>
  <c r="JD29" i="1"/>
  <c r="V18" i="5" l="1"/>
  <c r="AJ18" i="5" s="1"/>
  <c r="V14" i="5"/>
  <c r="AJ14" i="5" s="1"/>
  <c r="U20" i="5"/>
  <c r="V19" i="5"/>
  <c r="AJ19" i="5" s="1"/>
  <c r="V12" i="5"/>
  <c r="AJ12" i="5" s="1"/>
  <c r="U16" i="5"/>
  <c r="V11" i="5"/>
  <c r="AJ11" i="5" s="1"/>
  <c r="U21" i="5"/>
  <c r="V10" i="5"/>
  <c r="AJ10" i="5" s="1"/>
  <c r="V17" i="5"/>
  <c r="AJ17" i="5" s="1"/>
  <c r="V15" i="5"/>
  <c r="AJ15" i="5" s="1"/>
  <c r="V13" i="5"/>
  <c r="AJ13" i="5" s="1"/>
  <c r="IP28" i="1" l="1"/>
  <c r="IQ28" i="1"/>
  <c r="IR28" i="1"/>
  <c r="IS28" i="1"/>
  <c r="IT28" i="1"/>
  <c r="IU28" i="1"/>
  <c r="ID28" i="1"/>
  <c r="IE28" i="1"/>
  <c r="IF28" i="1"/>
  <c r="IG28" i="1"/>
  <c r="IH28" i="1"/>
  <c r="II28" i="1"/>
  <c r="IJ28" i="1"/>
  <c r="IK28" i="1"/>
  <c r="IL28" i="1"/>
  <c r="IM28" i="1"/>
  <c r="IN28" i="1"/>
  <c r="IO28" i="1"/>
  <c r="IX28" i="1"/>
  <c r="IZ28" i="1"/>
  <c r="JA28" i="1"/>
  <c r="JB28" i="1"/>
  <c r="JE28" i="1"/>
  <c r="JF28" i="1"/>
  <c r="JG28" i="1"/>
  <c r="JH28" i="1"/>
  <c r="JI28" i="1"/>
  <c r="JL28" i="1"/>
  <c r="IY28" i="1" l="1"/>
  <c r="JC28" i="1" s="1"/>
  <c r="IW28" i="1"/>
  <c r="JD28" i="1"/>
  <c r="IV28" i="1"/>
  <c r="J7" i="11" l="1"/>
  <c r="K7" i="11" s="1"/>
  <c r="J8" i="11"/>
  <c r="K8" i="11" s="1"/>
  <c r="O7" i="11"/>
  <c r="O8" i="11"/>
  <c r="R7" i="11"/>
  <c r="R8" i="11"/>
  <c r="IP27" i="1"/>
  <c r="IQ27" i="1"/>
  <c r="IR27" i="1"/>
  <c r="IS27" i="1"/>
  <c r="IT27" i="1"/>
  <c r="IU27" i="1"/>
  <c r="ID27" i="1"/>
  <c r="IE27" i="1"/>
  <c r="IF27" i="1"/>
  <c r="IG27" i="1"/>
  <c r="IH27" i="1"/>
  <c r="II27" i="1"/>
  <c r="IJ27" i="1"/>
  <c r="IK27" i="1"/>
  <c r="IL27" i="1"/>
  <c r="IM27" i="1"/>
  <c r="IN27" i="1"/>
  <c r="IO27" i="1"/>
  <c r="IX27" i="1"/>
  <c r="IZ27" i="1"/>
  <c r="JA27" i="1"/>
  <c r="JB27" i="1"/>
  <c r="JE27" i="1"/>
  <c r="JF27" i="1"/>
  <c r="JG27" i="1"/>
  <c r="JH27" i="1"/>
  <c r="JI27" i="1"/>
  <c r="JL27" i="1"/>
  <c r="J6" i="11"/>
  <c r="K6" i="11" s="1"/>
  <c r="O6" i="11"/>
  <c r="R6" i="11"/>
  <c r="IP26" i="1"/>
  <c r="IQ26" i="1"/>
  <c r="IR26" i="1"/>
  <c r="IS26" i="1"/>
  <c r="IT26" i="1"/>
  <c r="IU26" i="1"/>
  <c r="ID26" i="1"/>
  <c r="IE26" i="1"/>
  <c r="IF26" i="1"/>
  <c r="IG26" i="1"/>
  <c r="IH26" i="1"/>
  <c r="II26" i="1"/>
  <c r="IJ26" i="1"/>
  <c r="IK26" i="1"/>
  <c r="IL26" i="1"/>
  <c r="IM26" i="1"/>
  <c r="IN26" i="1"/>
  <c r="IO26" i="1"/>
  <c r="IX26" i="1"/>
  <c r="IZ26" i="1"/>
  <c r="JA26" i="1"/>
  <c r="JB26" i="1"/>
  <c r="JE26" i="1"/>
  <c r="JF26" i="1"/>
  <c r="JG26" i="1"/>
  <c r="JH26" i="1"/>
  <c r="JI26" i="1"/>
  <c r="JL26" i="1"/>
  <c r="IQ23" i="1"/>
  <c r="IS24" i="1"/>
  <c r="IY26" i="1" l="1"/>
  <c r="JC26" i="1" s="1"/>
  <c r="JD27" i="1"/>
  <c r="IW27" i="1"/>
  <c r="IY27" i="1"/>
  <c r="JC27" i="1" s="1"/>
  <c r="IV27" i="1"/>
  <c r="IW26" i="1"/>
  <c r="JD26" i="1"/>
  <c r="IV26" i="1"/>
  <c r="IP25" i="1"/>
  <c r="IQ25" i="1"/>
  <c r="IR25" i="1"/>
  <c r="IS25" i="1"/>
  <c r="IT25" i="1"/>
  <c r="IU25" i="1"/>
  <c r="ID25" i="1"/>
  <c r="IE25" i="1"/>
  <c r="IF25" i="1"/>
  <c r="IG25" i="1"/>
  <c r="IH25" i="1"/>
  <c r="II25" i="1"/>
  <c r="IJ25" i="1"/>
  <c r="IK25" i="1"/>
  <c r="IL25" i="1"/>
  <c r="IM25" i="1"/>
  <c r="IN25" i="1"/>
  <c r="IO25" i="1"/>
  <c r="IX25" i="1"/>
  <c r="IZ25" i="1"/>
  <c r="JA25" i="1"/>
  <c r="JB25" i="1"/>
  <c r="JE25" i="1"/>
  <c r="JF25" i="1"/>
  <c r="JG25" i="1"/>
  <c r="JH25" i="1"/>
  <c r="JI25" i="1"/>
  <c r="JL25" i="1"/>
  <c r="IP24" i="1"/>
  <c r="IQ24" i="1"/>
  <c r="IR24" i="1"/>
  <c r="IT24" i="1"/>
  <c r="IU24" i="1"/>
  <c r="D9" i="5"/>
  <c r="H9" i="5"/>
  <c r="R9" i="5"/>
  <c r="S9" i="5"/>
  <c r="AD9" i="5"/>
  <c r="AE9" i="5"/>
  <c r="AF9" i="5"/>
  <c r="AG9" i="5"/>
  <c r="ID24" i="1"/>
  <c r="IE24" i="1"/>
  <c r="IF24" i="1"/>
  <c r="IG24" i="1"/>
  <c r="IH24" i="1"/>
  <c r="II24" i="1"/>
  <c r="IJ24" i="1"/>
  <c r="IK24" i="1"/>
  <c r="IL24" i="1"/>
  <c r="IM24" i="1"/>
  <c r="IN24" i="1"/>
  <c r="IO24" i="1"/>
  <c r="IX24" i="1"/>
  <c r="IZ24" i="1"/>
  <c r="JA24" i="1"/>
  <c r="JB24" i="1"/>
  <c r="JE24" i="1"/>
  <c r="JF24" i="1"/>
  <c r="JG24" i="1"/>
  <c r="JH24" i="1"/>
  <c r="JI24" i="1"/>
  <c r="JL24" i="1"/>
  <c r="IP23" i="1"/>
  <c r="IR23" i="1"/>
  <c r="IS23" i="1"/>
  <c r="IT23" i="1"/>
  <c r="IU23" i="1"/>
  <c r="T9" i="5" l="1"/>
  <c r="U9" i="5" s="1"/>
  <c r="IW25" i="1"/>
  <c r="IW24" i="1"/>
  <c r="IV25" i="1"/>
  <c r="IY24" i="1"/>
  <c r="JC24" i="1" s="1"/>
  <c r="IY25" i="1"/>
  <c r="JC25" i="1" s="1"/>
  <c r="JD25" i="1"/>
  <c r="IW23" i="1"/>
  <c r="IV23" i="1"/>
  <c r="IV24" i="1"/>
  <c r="JD24" i="1"/>
  <c r="ID23" i="1"/>
  <c r="IE23" i="1"/>
  <c r="IF23" i="1"/>
  <c r="IG23" i="1"/>
  <c r="IH23" i="1"/>
  <c r="II23" i="1"/>
  <c r="IJ23" i="1"/>
  <c r="IK23" i="1"/>
  <c r="IL23" i="1"/>
  <c r="IM23" i="1"/>
  <c r="IN23" i="1"/>
  <c r="IO23" i="1"/>
  <c r="IX23" i="1"/>
  <c r="IZ23" i="1"/>
  <c r="JA23" i="1"/>
  <c r="JB23" i="1"/>
  <c r="JE23" i="1"/>
  <c r="JF23" i="1"/>
  <c r="JG23" i="1"/>
  <c r="JH23" i="1"/>
  <c r="JI23" i="1"/>
  <c r="JL23" i="1"/>
  <c r="D7" i="5"/>
  <c r="D8" i="5"/>
  <c r="H7" i="5"/>
  <c r="H8" i="5"/>
  <c r="R7" i="5"/>
  <c r="R8" i="5"/>
  <c r="S7" i="5"/>
  <c r="S8" i="5"/>
  <c r="AD7" i="5"/>
  <c r="AD8" i="5"/>
  <c r="AE7" i="5"/>
  <c r="AE8" i="5"/>
  <c r="AF7" i="5"/>
  <c r="AF8" i="5"/>
  <c r="AG7" i="5"/>
  <c r="AG8" i="5"/>
  <c r="IP22" i="1"/>
  <c r="IQ22" i="1"/>
  <c r="IR22" i="1"/>
  <c r="IS22" i="1"/>
  <c r="IT22" i="1"/>
  <c r="IU22" i="1"/>
  <c r="D6" i="5"/>
  <c r="H6" i="5"/>
  <c r="R6" i="5"/>
  <c r="S6" i="5"/>
  <c r="AD6" i="5"/>
  <c r="AE6" i="5"/>
  <c r="ID22" i="1"/>
  <c r="IE22" i="1"/>
  <c r="IF22" i="1"/>
  <c r="IG22" i="1"/>
  <c r="IH22" i="1"/>
  <c r="II22" i="1"/>
  <c r="IJ22" i="1"/>
  <c r="IK22" i="1"/>
  <c r="IL22" i="1"/>
  <c r="IM22" i="1"/>
  <c r="IN22" i="1"/>
  <c r="IO22" i="1"/>
  <c r="IX22" i="1"/>
  <c r="IZ22" i="1"/>
  <c r="JA22" i="1"/>
  <c r="JB22" i="1"/>
  <c r="JE22" i="1"/>
  <c r="JF22" i="1"/>
  <c r="JG22" i="1"/>
  <c r="JH22" i="1"/>
  <c r="JI22" i="1"/>
  <c r="JL22" i="1"/>
  <c r="I8" i="7"/>
  <c r="O8" i="7"/>
  <c r="IP21" i="1"/>
  <c r="IQ21" i="1"/>
  <c r="IR21" i="1"/>
  <c r="IS21" i="1"/>
  <c r="IT21" i="1"/>
  <c r="IU21" i="1"/>
  <c r="ID21" i="1"/>
  <c r="IE21" i="1"/>
  <c r="IF21" i="1"/>
  <c r="IG21" i="1"/>
  <c r="IH21" i="1"/>
  <c r="II21" i="1"/>
  <c r="IJ21" i="1"/>
  <c r="IK21" i="1"/>
  <c r="IL21" i="1"/>
  <c r="IM21" i="1"/>
  <c r="IN21" i="1"/>
  <c r="IO21" i="1"/>
  <c r="IX21" i="1"/>
  <c r="IZ21" i="1"/>
  <c r="JA21" i="1"/>
  <c r="JB21" i="1"/>
  <c r="JE21" i="1"/>
  <c r="JF21" i="1"/>
  <c r="JG21" i="1"/>
  <c r="JH21" i="1"/>
  <c r="JI21" i="1"/>
  <c r="JL21" i="1"/>
  <c r="J5" i="11"/>
  <c r="K5" i="11" s="1"/>
  <c r="O5" i="11"/>
  <c r="R5" i="11"/>
  <c r="IP20" i="1"/>
  <c r="IQ20" i="1"/>
  <c r="IR20" i="1"/>
  <c r="IS20" i="1"/>
  <c r="IT20" i="1"/>
  <c r="IU20" i="1"/>
  <c r="ID20" i="1"/>
  <c r="IE20" i="1"/>
  <c r="IF20" i="1"/>
  <c r="IG20" i="1"/>
  <c r="IH20" i="1"/>
  <c r="II20" i="1"/>
  <c r="IJ20" i="1"/>
  <c r="IK20" i="1"/>
  <c r="IL20" i="1"/>
  <c r="IM20" i="1"/>
  <c r="IN20" i="1"/>
  <c r="IO20" i="1"/>
  <c r="IX20" i="1"/>
  <c r="IZ20" i="1"/>
  <c r="JA20" i="1"/>
  <c r="JB20" i="1"/>
  <c r="JE20" i="1"/>
  <c r="JF20" i="1"/>
  <c r="JG20" i="1"/>
  <c r="JH20" i="1"/>
  <c r="JI20" i="1"/>
  <c r="JL20" i="1"/>
  <c r="IP19" i="1"/>
  <c r="IQ19" i="1"/>
  <c r="IR19" i="1"/>
  <c r="IS19" i="1"/>
  <c r="IT19" i="1"/>
  <c r="IU19" i="1"/>
  <c r="ID19" i="1"/>
  <c r="IE19" i="1"/>
  <c r="IF19" i="1"/>
  <c r="IG19" i="1"/>
  <c r="IH19" i="1"/>
  <c r="II19" i="1"/>
  <c r="IJ19" i="1"/>
  <c r="IK19" i="1"/>
  <c r="IL19" i="1"/>
  <c r="IM19" i="1"/>
  <c r="IN19" i="1"/>
  <c r="IO19" i="1"/>
  <c r="IX19" i="1"/>
  <c r="IZ19" i="1"/>
  <c r="JA19" i="1"/>
  <c r="JB19" i="1"/>
  <c r="JE19" i="1"/>
  <c r="JF19" i="1"/>
  <c r="JG19" i="1"/>
  <c r="JH19" i="1"/>
  <c r="JI19" i="1"/>
  <c r="JL19" i="1"/>
  <c r="IP18" i="1"/>
  <c r="IQ18" i="1"/>
  <c r="IR18" i="1"/>
  <c r="IS18" i="1"/>
  <c r="IT18" i="1"/>
  <c r="IU18" i="1"/>
  <c r="ID18" i="1"/>
  <c r="IE18" i="1"/>
  <c r="IF18" i="1"/>
  <c r="IG18" i="1"/>
  <c r="IH18" i="1"/>
  <c r="II18" i="1"/>
  <c r="IJ18" i="1"/>
  <c r="IK18" i="1"/>
  <c r="IL18" i="1"/>
  <c r="IM18" i="1"/>
  <c r="IN18" i="1"/>
  <c r="IO18" i="1"/>
  <c r="IX18" i="1"/>
  <c r="IZ18" i="1"/>
  <c r="JA18" i="1"/>
  <c r="JB18" i="1"/>
  <c r="JE18" i="1"/>
  <c r="JF18" i="1"/>
  <c r="JG18" i="1"/>
  <c r="JH18" i="1"/>
  <c r="JI18" i="1"/>
  <c r="JL18" i="1"/>
  <c r="IP17" i="1"/>
  <c r="IQ17" i="1"/>
  <c r="IR17" i="1"/>
  <c r="IS17" i="1"/>
  <c r="IT17" i="1"/>
  <c r="IU17" i="1"/>
  <c r="ID17" i="1"/>
  <c r="IE17" i="1"/>
  <c r="IF17" i="1"/>
  <c r="IG17" i="1"/>
  <c r="IH17" i="1"/>
  <c r="II17" i="1"/>
  <c r="IJ17" i="1"/>
  <c r="IK17" i="1"/>
  <c r="IL17" i="1"/>
  <c r="IM17" i="1"/>
  <c r="IN17" i="1"/>
  <c r="IO17" i="1"/>
  <c r="IX17" i="1"/>
  <c r="IZ17" i="1"/>
  <c r="JA17" i="1"/>
  <c r="JB17" i="1"/>
  <c r="JE17" i="1"/>
  <c r="JF17" i="1"/>
  <c r="JG17" i="1"/>
  <c r="JH17" i="1"/>
  <c r="JI17" i="1"/>
  <c r="JL17" i="1"/>
  <c r="IP16" i="1"/>
  <c r="IQ16" i="1"/>
  <c r="IR16" i="1"/>
  <c r="IS16" i="1"/>
  <c r="IT16" i="1"/>
  <c r="IU16" i="1"/>
  <c r="ID16" i="1"/>
  <c r="IE16" i="1"/>
  <c r="IF16" i="1"/>
  <c r="IG16" i="1"/>
  <c r="IH16" i="1"/>
  <c r="II16" i="1"/>
  <c r="IJ16" i="1"/>
  <c r="IK16" i="1"/>
  <c r="IL16" i="1"/>
  <c r="IM16" i="1"/>
  <c r="IN16" i="1"/>
  <c r="IO16" i="1"/>
  <c r="IX16" i="1"/>
  <c r="IZ16" i="1"/>
  <c r="JA16" i="1"/>
  <c r="JB16" i="1"/>
  <c r="JE16" i="1"/>
  <c r="JF16" i="1"/>
  <c r="JG16" i="1"/>
  <c r="JH16" i="1"/>
  <c r="JI16" i="1"/>
  <c r="JL16" i="1"/>
  <c r="V8" i="7" l="1"/>
  <c r="V9" i="5"/>
  <c r="AJ9" i="5" s="1"/>
  <c r="T8" i="5"/>
  <c r="U8" i="5" s="1"/>
  <c r="T7" i="5"/>
  <c r="V7" i="5" s="1"/>
  <c r="AJ7" i="5" s="1"/>
  <c r="IV18" i="1"/>
  <c r="IW22" i="1"/>
  <c r="IY23" i="1"/>
  <c r="JC23" i="1" s="1"/>
  <c r="JD23" i="1"/>
  <c r="IW19" i="1"/>
  <c r="IW21" i="1"/>
  <c r="IY22" i="1"/>
  <c r="JC22" i="1" s="1"/>
  <c r="IV21" i="1"/>
  <c r="IW16" i="1"/>
  <c r="IY19" i="1"/>
  <c r="JC19" i="1" s="1"/>
  <c r="IV22" i="1"/>
  <c r="T6" i="5"/>
  <c r="U6" i="5" s="1"/>
  <c r="AL6" i="5" s="1"/>
  <c r="JD22" i="1"/>
  <c r="IW18" i="1"/>
  <c r="IW20" i="1"/>
  <c r="JD21" i="1"/>
  <c r="IY21" i="1"/>
  <c r="JC21" i="1" s="1"/>
  <c r="IY18" i="1"/>
  <c r="JC18" i="1" s="1"/>
  <c r="IV19" i="1"/>
  <c r="IV20" i="1"/>
  <c r="IY20" i="1"/>
  <c r="JC20" i="1" s="1"/>
  <c r="JD20" i="1"/>
  <c r="JD19" i="1"/>
  <c r="IV17" i="1"/>
  <c r="IV16" i="1"/>
  <c r="JD18" i="1"/>
  <c r="IW17" i="1"/>
  <c r="IY17" i="1"/>
  <c r="JC17" i="1" s="1"/>
  <c r="JD17" i="1"/>
  <c r="JD16" i="1"/>
  <c r="IY16" i="1"/>
  <c r="JC16" i="1" s="1"/>
  <c r="J3" i="11"/>
  <c r="K3" i="11" s="1"/>
  <c r="J4" i="11"/>
  <c r="K4" i="11" s="1"/>
  <c r="O3" i="11"/>
  <c r="O4" i="11"/>
  <c r="R3" i="11"/>
  <c r="R4" i="11"/>
  <c r="IP15" i="1"/>
  <c r="IQ15" i="1"/>
  <c r="IR15" i="1"/>
  <c r="IS15" i="1"/>
  <c r="IT15" i="1"/>
  <c r="IU15" i="1"/>
  <c r="ID15" i="1"/>
  <c r="IE15" i="1"/>
  <c r="IF15" i="1"/>
  <c r="IG15" i="1"/>
  <c r="IH15" i="1"/>
  <c r="II15" i="1"/>
  <c r="IJ15" i="1"/>
  <c r="IK15" i="1"/>
  <c r="IL15" i="1"/>
  <c r="IM15" i="1"/>
  <c r="IN15" i="1"/>
  <c r="IO15" i="1"/>
  <c r="IX15" i="1"/>
  <c r="IZ15" i="1"/>
  <c r="JA15" i="1"/>
  <c r="JB15" i="1"/>
  <c r="JE15" i="1"/>
  <c r="JF15" i="1"/>
  <c r="JG15" i="1"/>
  <c r="JH15" i="1"/>
  <c r="JI15" i="1"/>
  <c r="JL15" i="1"/>
  <c r="D4" i="5"/>
  <c r="D5" i="5"/>
  <c r="H4" i="5"/>
  <c r="H5" i="5"/>
  <c r="R4" i="5"/>
  <c r="T4" i="5" s="1"/>
  <c r="V4" i="5" s="1"/>
  <c r="R5" i="5"/>
  <c r="T5" i="5" s="1"/>
  <c r="V5" i="5" s="1"/>
  <c r="S4" i="5"/>
  <c r="S5" i="5"/>
  <c r="AD4" i="5"/>
  <c r="AD5" i="5"/>
  <c r="AE4" i="5"/>
  <c r="AE5" i="5"/>
  <c r="AF4" i="5"/>
  <c r="AF5" i="5"/>
  <c r="AG4" i="5"/>
  <c r="AG5" i="5"/>
  <c r="J2" i="11"/>
  <c r="K2" i="11" s="1"/>
  <c r="O2" i="11"/>
  <c r="R2" i="11"/>
  <c r="IP14" i="1"/>
  <c r="IQ14" i="1"/>
  <c r="IR14" i="1"/>
  <c r="IS14" i="1"/>
  <c r="IT14" i="1"/>
  <c r="IU14" i="1"/>
  <c r="ID14" i="1"/>
  <c r="IE14" i="1"/>
  <c r="IF14" i="1"/>
  <c r="IG14" i="1"/>
  <c r="IH14" i="1"/>
  <c r="II14" i="1"/>
  <c r="IJ14" i="1"/>
  <c r="IK14" i="1"/>
  <c r="IL14" i="1"/>
  <c r="IM14" i="1"/>
  <c r="IN14" i="1"/>
  <c r="IO14" i="1"/>
  <c r="IX14" i="1"/>
  <c r="IZ14" i="1"/>
  <c r="JA14" i="1"/>
  <c r="JB14" i="1"/>
  <c r="JE14" i="1"/>
  <c r="JF14" i="1"/>
  <c r="JG14" i="1"/>
  <c r="JH14" i="1"/>
  <c r="JI14" i="1"/>
  <c r="JL14" i="1"/>
  <c r="IP13" i="1"/>
  <c r="IQ13" i="1"/>
  <c r="IR13" i="1"/>
  <c r="IS13" i="1"/>
  <c r="IT13" i="1"/>
  <c r="IU13" i="1"/>
  <c r="ID13" i="1"/>
  <c r="IE13" i="1"/>
  <c r="IF13" i="1"/>
  <c r="IG13" i="1"/>
  <c r="IH13" i="1"/>
  <c r="II13" i="1"/>
  <c r="IJ13" i="1"/>
  <c r="IK13" i="1"/>
  <c r="IL13" i="1"/>
  <c r="IM13" i="1"/>
  <c r="IN13" i="1"/>
  <c r="IO13" i="1"/>
  <c r="IX13" i="1"/>
  <c r="IZ13" i="1"/>
  <c r="JA13" i="1"/>
  <c r="JB13" i="1"/>
  <c r="JE13" i="1"/>
  <c r="JF13" i="1"/>
  <c r="JG13" i="1"/>
  <c r="JH13" i="1"/>
  <c r="JI13" i="1"/>
  <c r="JL13" i="1"/>
  <c r="IP12" i="1"/>
  <c r="IQ12" i="1"/>
  <c r="IR12" i="1"/>
  <c r="IS12" i="1"/>
  <c r="IT12" i="1"/>
  <c r="IU12" i="1"/>
  <c r="ID12" i="1"/>
  <c r="IE12" i="1"/>
  <c r="IF12" i="1"/>
  <c r="IG12" i="1"/>
  <c r="IH12" i="1"/>
  <c r="II12" i="1"/>
  <c r="IJ12" i="1"/>
  <c r="IK12" i="1"/>
  <c r="IL12" i="1"/>
  <c r="IM12" i="1"/>
  <c r="IN12" i="1"/>
  <c r="IO12" i="1"/>
  <c r="IX12" i="1"/>
  <c r="IZ12" i="1"/>
  <c r="JA12" i="1"/>
  <c r="JB12" i="1"/>
  <c r="JE12" i="1"/>
  <c r="JF12" i="1"/>
  <c r="JG12" i="1"/>
  <c r="JH12" i="1"/>
  <c r="JI12" i="1"/>
  <c r="JL12" i="1"/>
  <c r="IP11" i="1"/>
  <c r="IQ11" i="1"/>
  <c r="IR11" i="1"/>
  <c r="IS11" i="1"/>
  <c r="IT11" i="1"/>
  <c r="IU11" i="1"/>
  <c r="ID11" i="1"/>
  <c r="IE11" i="1"/>
  <c r="IF11" i="1"/>
  <c r="IG11" i="1"/>
  <c r="IH11" i="1"/>
  <c r="II11" i="1"/>
  <c r="IJ11" i="1"/>
  <c r="IK11" i="1"/>
  <c r="IL11" i="1"/>
  <c r="IM11" i="1"/>
  <c r="IN11" i="1"/>
  <c r="IO11" i="1"/>
  <c r="IX11" i="1"/>
  <c r="IZ11" i="1"/>
  <c r="JA11" i="1"/>
  <c r="JB11" i="1"/>
  <c r="JE11" i="1"/>
  <c r="JF11" i="1"/>
  <c r="JG11" i="1"/>
  <c r="JH11" i="1"/>
  <c r="JI11" i="1"/>
  <c r="JL11" i="1"/>
  <c r="IP10" i="1"/>
  <c r="IQ10" i="1"/>
  <c r="IR10" i="1"/>
  <c r="IS10" i="1"/>
  <c r="IT10" i="1"/>
  <c r="IU10" i="1"/>
  <c r="ID10" i="1"/>
  <c r="IE10" i="1"/>
  <c r="IF10" i="1"/>
  <c r="IG10" i="1"/>
  <c r="IH10" i="1"/>
  <c r="II10" i="1"/>
  <c r="IJ10" i="1"/>
  <c r="IK10" i="1"/>
  <c r="IL10" i="1"/>
  <c r="IM10" i="1"/>
  <c r="IN10" i="1"/>
  <c r="IO10" i="1"/>
  <c r="IX10" i="1"/>
  <c r="IZ10" i="1"/>
  <c r="JA10" i="1"/>
  <c r="JB10" i="1"/>
  <c r="JE10" i="1"/>
  <c r="JF10" i="1"/>
  <c r="JG10" i="1"/>
  <c r="JH10" i="1"/>
  <c r="JI10" i="1"/>
  <c r="JL10" i="1"/>
  <c r="V8" i="5" l="1"/>
  <c r="AJ8" i="5" s="1"/>
  <c r="U7" i="5"/>
  <c r="V6" i="5"/>
  <c r="AJ6" i="5" s="1"/>
  <c r="IW13" i="1"/>
  <c r="IW15" i="1"/>
  <c r="IW12" i="1"/>
  <c r="IY15" i="1"/>
  <c r="JC15" i="1" s="1"/>
  <c r="IV15" i="1"/>
  <c r="IV14" i="1"/>
  <c r="IV13" i="1"/>
  <c r="IW14" i="1"/>
  <c r="JD15" i="1"/>
  <c r="AJ5" i="5"/>
  <c r="AJ4" i="5"/>
  <c r="U4" i="5"/>
  <c r="U5" i="5"/>
  <c r="JD14" i="1"/>
  <c r="IY14" i="1"/>
  <c r="JC14" i="1" s="1"/>
  <c r="IV12" i="1"/>
  <c r="IW11" i="1"/>
  <c r="IW10" i="1"/>
  <c r="IY13" i="1"/>
  <c r="JC13" i="1" s="1"/>
  <c r="JD13" i="1"/>
  <c r="IV10" i="1"/>
  <c r="IY11" i="1"/>
  <c r="JC11" i="1" s="1"/>
  <c r="IY12" i="1"/>
  <c r="JC12" i="1" s="1"/>
  <c r="JD12" i="1"/>
  <c r="IV11" i="1"/>
  <c r="JD11" i="1"/>
  <c r="IY10" i="1"/>
  <c r="JC10" i="1" s="1"/>
  <c r="JD10" i="1"/>
  <c r="IP9" i="1"/>
  <c r="IQ9" i="1"/>
  <c r="IR9" i="1"/>
  <c r="IS9" i="1"/>
  <c r="IT9" i="1"/>
  <c r="IU9" i="1"/>
  <c r="ID9" i="1"/>
  <c r="IE9" i="1"/>
  <c r="IF9" i="1"/>
  <c r="IG9" i="1"/>
  <c r="IH9" i="1"/>
  <c r="II9" i="1"/>
  <c r="IJ9" i="1"/>
  <c r="IK9" i="1"/>
  <c r="IL9" i="1"/>
  <c r="IM9" i="1"/>
  <c r="IN9" i="1"/>
  <c r="IO9" i="1"/>
  <c r="IX9" i="1"/>
  <c r="IZ9" i="1"/>
  <c r="JA9" i="1"/>
  <c r="JB9" i="1"/>
  <c r="JE9" i="1"/>
  <c r="JF9" i="1"/>
  <c r="JG9" i="1"/>
  <c r="JH9" i="1"/>
  <c r="JI9" i="1"/>
  <c r="JL9" i="1"/>
  <c r="A4" i="8"/>
  <c r="S7" i="7"/>
  <c r="IY9" i="1" l="1"/>
  <c r="JC9" i="1" s="1"/>
  <c r="IW9" i="1"/>
  <c r="IV9" i="1"/>
  <c r="JD9" i="1"/>
  <c r="I5" i="7"/>
  <c r="I6" i="7"/>
  <c r="I7" i="7"/>
  <c r="O5" i="7"/>
  <c r="V5" i="7" s="1"/>
  <c r="O6" i="7"/>
  <c r="V6" i="7" s="1"/>
  <c r="O7" i="7"/>
  <c r="V7" i="7" s="1"/>
  <c r="IP6" i="1" l="1"/>
  <c r="IQ6" i="1"/>
  <c r="IR6" i="1"/>
  <c r="IS6" i="1"/>
  <c r="IT6" i="1"/>
  <c r="IU6" i="1"/>
  <c r="IP7" i="1"/>
  <c r="IQ7" i="1"/>
  <c r="IR7" i="1"/>
  <c r="IS7" i="1"/>
  <c r="IT7" i="1"/>
  <c r="IU7" i="1"/>
  <c r="IP8" i="1"/>
  <c r="IQ8" i="1"/>
  <c r="IR8" i="1"/>
  <c r="IS8" i="1"/>
  <c r="IT8" i="1"/>
  <c r="IU8" i="1"/>
  <c r="ID6" i="1"/>
  <c r="ID7" i="1"/>
  <c r="ID8" i="1"/>
  <c r="IE6" i="1"/>
  <c r="IE7" i="1"/>
  <c r="IE8" i="1"/>
  <c r="IF6" i="1"/>
  <c r="IF7" i="1"/>
  <c r="IF8" i="1"/>
  <c r="IG6" i="1"/>
  <c r="IG7" i="1"/>
  <c r="IG8" i="1"/>
  <c r="IH6" i="1"/>
  <c r="IH7" i="1"/>
  <c r="IH8" i="1"/>
  <c r="II6" i="1"/>
  <c r="II7" i="1"/>
  <c r="II8" i="1"/>
  <c r="IJ6" i="1"/>
  <c r="IJ7" i="1"/>
  <c r="IJ8" i="1"/>
  <c r="IK6" i="1"/>
  <c r="IK7" i="1"/>
  <c r="IK8" i="1"/>
  <c r="IL6" i="1"/>
  <c r="IL7" i="1"/>
  <c r="IL8" i="1"/>
  <c r="IM6" i="1"/>
  <c r="IM7" i="1"/>
  <c r="IM8" i="1"/>
  <c r="IN6" i="1"/>
  <c r="IN7" i="1"/>
  <c r="IN8" i="1"/>
  <c r="IO6" i="1"/>
  <c r="IO7" i="1"/>
  <c r="IO8" i="1"/>
  <c r="IX6" i="1"/>
  <c r="IX7" i="1"/>
  <c r="IX8" i="1"/>
  <c r="IZ6" i="1"/>
  <c r="IZ7" i="1"/>
  <c r="IZ8" i="1"/>
  <c r="JA6" i="1"/>
  <c r="JA7" i="1"/>
  <c r="JA8" i="1"/>
  <c r="JB6" i="1"/>
  <c r="JB7" i="1"/>
  <c r="JB8" i="1"/>
  <c r="JE6" i="1"/>
  <c r="JE7" i="1"/>
  <c r="JE8" i="1"/>
  <c r="JF6" i="1"/>
  <c r="JF7" i="1"/>
  <c r="JF8" i="1"/>
  <c r="JG6" i="1"/>
  <c r="JG7" i="1"/>
  <c r="JG8" i="1"/>
  <c r="JH6" i="1"/>
  <c r="JH7" i="1"/>
  <c r="JH8" i="1"/>
  <c r="JI6" i="1"/>
  <c r="JI7" i="1"/>
  <c r="JI8" i="1"/>
  <c r="JL6" i="1"/>
  <c r="JL7" i="1"/>
  <c r="JL8" i="1"/>
  <c r="IW6" i="1" l="1"/>
  <c r="IW7" i="1"/>
  <c r="IW8" i="1"/>
  <c r="IY7" i="1"/>
  <c r="JC7" i="1" s="1"/>
  <c r="IY6" i="1"/>
  <c r="JC6" i="1" s="1"/>
  <c r="IV6" i="1"/>
  <c r="IV7" i="1"/>
  <c r="IV8" i="1"/>
  <c r="JD8" i="1"/>
  <c r="IY8" i="1"/>
  <c r="JC8" i="1" s="1"/>
  <c r="JD7" i="1"/>
  <c r="JD6" i="1"/>
  <c r="O10" i="10" l="1"/>
  <c r="P10" i="10"/>
  <c r="C1" i="10"/>
  <c r="M4" i="10" s="1"/>
  <c r="C23" i="9" s="1"/>
  <c r="K40" i="20"/>
  <c r="K15" i="20"/>
  <c r="K27" i="20" s="1"/>
  <c r="K39" i="20" s="1"/>
  <c r="K16" i="20"/>
  <c r="K28" i="20" s="1"/>
  <c r="K17" i="20"/>
  <c r="K29" i="20" s="1"/>
  <c r="K41" i="20" s="1"/>
  <c r="K18" i="20"/>
  <c r="K30" i="20" s="1"/>
  <c r="K42" i="20" s="1"/>
  <c r="K19" i="20"/>
  <c r="K31" i="20" s="1"/>
  <c r="K43" i="20" s="1"/>
  <c r="K20" i="20"/>
  <c r="K32" i="20" s="1"/>
  <c r="K44" i="20" s="1"/>
  <c r="K21" i="20"/>
  <c r="K33" i="20" s="1"/>
  <c r="K45" i="20" s="1"/>
  <c r="K22" i="20"/>
  <c r="K34" i="20" s="1"/>
  <c r="K46" i="20" s="1"/>
  <c r="K23" i="20"/>
  <c r="K35" i="20" s="1"/>
  <c r="K47" i="20" s="1"/>
  <c r="K24" i="20"/>
  <c r="K36" i="20" s="1"/>
  <c r="K48" i="20" s="1"/>
  <c r="K25" i="20"/>
  <c r="K37" i="20" s="1"/>
  <c r="K49" i="20" s="1"/>
  <c r="K14" i="20"/>
  <c r="K26" i="20" s="1"/>
  <c r="K38" i="20" s="1"/>
  <c r="L15" i="20"/>
  <c r="L27" i="20" s="1"/>
  <c r="L39" i="20" s="1"/>
  <c r="L16" i="20"/>
  <c r="L28" i="20" s="1"/>
  <c r="L40" i="20" s="1"/>
  <c r="L17" i="20"/>
  <c r="L29" i="20" s="1"/>
  <c r="L41" i="20" s="1"/>
  <c r="L18" i="20"/>
  <c r="L19" i="20"/>
  <c r="L31" i="20" s="1"/>
  <c r="L43" i="20" s="1"/>
  <c r="L20" i="20"/>
  <c r="L32" i="20" s="1"/>
  <c r="L44" i="20" s="1"/>
  <c r="L21" i="20"/>
  <c r="L33" i="20" s="1"/>
  <c r="L45" i="20" s="1"/>
  <c r="L22" i="20"/>
  <c r="L34" i="20" s="1"/>
  <c r="L46" i="20" s="1"/>
  <c r="L23" i="20"/>
  <c r="L35" i="20" s="1"/>
  <c r="L47" i="20" s="1"/>
  <c r="L24" i="20"/>
  <c r="L36" i="20" s="1"/>
  <c r="L48" i="20" s="1"/>
  <c r="L25" i="20"/>
  <c r="L37" i="20" s="1"/>
  <c r="L49" i="20" s="1"/>
  <c r="L30" i="20"/>
  <c r="L42" i="20" s="1"/>
  <c r="L14" i="20"/>
  <c r="L26" i="20" s="1"/>
  <c r="L38" i="20" s="1"/>
  <c r="I15" i="20"/>
  <c r="I16" i="20"/>
  <c r="I17" i="20"/>
  <c r="I18" i="20"/>
  <c r="I19" i="20"/>
  <c r="I20" i="20"/>
  <c r="I21" i="20"/>
  <c r="I22" i="20"/>
  <c r="I23" i="20"/>
  <c r="I35" i="20" s="1"/>
  <c r="I24" i="20"/>
  <c r="I36" i="20" s="1"/>
  <c r="I25" i="20"/>
  <c r="I37" i="20" s="1"/>
  <c r="I14" i="20"/>
  <c r="I26" i="20" s="1"/>
  <c r="I38" i="20" s="1"/>
  <c r="O38" i="20" s="1"/>
  <c r="H15" i="20"/>
  <c r="H27" i="20" s="1"/>
  <c r="H39" i="20" s="1"/>
  <c r="H16" i="20"/>
  <c r="H28" i="20" s="1"/>
  <c r="H40" i="20" s="1"/>
  <c r="H17" i="20"/>
  <c r="H29" i="20" s="1"/>
  <c r="H41" i="20" s="1"/>
  <c r="H18" i="20"/>
  <c r="H30" i="20" s="1"/>
  <c r="H42" i="20" s="1"/>
  <c r="H19" i="20"/>
  <c r="H31" i="20" s="1"/>
  <c r="H43" i="20" s="1"/>
  <c r="H20" i="20"/>
  <c r="H32" i="20" s="1"/>
  <c r="H44" i="20" s="1"/>
  <c r="H21" i="20"/>
  <c r="H33" i="20" s="1"/>
  <c r="H45" i="20" s="1"/>
  <c r="H22" i="20"/>
  <c r="H34" i="20" s="1"/>
  <c r="H46" i="20" s="1"/>
  <c r="H23" i="20"/>
  <c r="H35" i="20" s="1"/>
  <c r="H47" i="20" s="1"/>
  <c r="H24" i="20"/>
  <c r="H36" i="20" s="1"/>
  <c r="H48" i="20" s="1"/>
  <c r="H25" i="20"/>
  <c r="H37" i="20" s="1"/>
  <c r="H49" i="20" s="1"/>
  <c r="H14" i="20"/>
  <c r="H26" i="20" s="1"/>
  <c r="H38" i="20" s="1"/>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T33" i="20" s="1"/>
  <c r="W33" i="20" s="1"/>
  <c r="G34" i="20"/>
  <c r="T34" i="20" s="1"/>
  <c r="W34" i="20" s="1"/>
  <c r="G35" i="20"/>
  <c r="T35" i="20" s="1"/>
  <c r="W35" i="20" s="1"/>
  <c r="G36" i="20"/>
  <c r="G37" i="20"/>
  <c r="T37" i="20" s="1"/>
  <c r="W37" i="20" s="1"/>
  <c r="G38" i="20"/>
  <c r="G39" i="20"/>
  <c r="G40" i="20"/>
  <c r="G41" i="20"/>
  <c r="T41" i="20" s="1"/>
  <c r="W41" i="20" s="1"/>
  <c r="G42" i="20"/>
  <c r="T42" i="20" s="1"/>
  <c r="W42" i="20" s="1"/>
  <c r="G43" i="20"/>
  <c r="G44" i="20"/>
  <c r="G45" i="20"/>
  <c r="T45" i="20" s="1"/>
  <c r="W45" i="20" s="1"/>
  <c r="G46" i="20"/>
  <c r="T46" i="20" s="1"/>
  <c r="W46" i="20" s="1"/>
  <c r="G47" i="20"/>
  <c r="T47" i="20" s="1"/>
  <c r="W47" i="20" s="1"/>
  <c r="G48" i="20"/>
  <c r="G49"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T30" i="20"/>
  <c r="W30" i="20" s="1"/>
  <c r="T31" i="20"/>
  <c r="W31" i="20" s="1"/>
  <c r="T32" i="20"/>
  <c r="W32" i="20" s="1"/>
  <c r="T38" i="20"/>
  <c r="T39" i="20"/>
  <c r="W39" i="20" s="1"/>
  <c r="T48" i="20"/>
  <c r="W48" i="20" s="1"/>
  <c r="T49" i="20"/>
  <c r="W49" i="20" s="1"/>
  <c r="C15" i="20"/>
  <c r="C27" i="20" s="1"/>
  <c r="C39" i="20" s="1"/>
  <c r="C16" i="20"/>
  <c r="C28" i="20" s="1"/>
  <c r="C40" i="20" s="1"/>
  <c r="C17" i="20"/>
  <c r="C29" i="20" s="1"/>
  <c r="C41" i="20" s="1"/>
  <c r="C18" i="20"/>
  <c r="C30" i="20" s="1"/>
  <c r="C42" i="20" s="1"/>
  <c r="C19" i="20"/>
  <c r="C31" i="20" s="1"/>
  <c r="C43" i="20" s="1"/>
  <c r="C20" i="20"/>
  <c r="C32" i="20" s="1"/>
  <c r="C44" i="20" s="1"/>
  <c r="C21" i="20"/>
  <c r="C33" i="20" s="1"/>
  <c r="C45" i="20" s="1"/>
  <c r="C22" i="20"/>
  <c r="C34" i="20" s="1"/>
  <c r="C46" i="20" s="1"/>
  <c r="C23" i="20"/>
  <c r="C35" i="20" s="1"/>
  <c r="C47" i="20" s="1"/>
  <c r="C24" i="20"/>
  <c r="C36" i="20" s="1"/>
  <c r="C48" i="20" s="1"/>
  <c r="C25" i="20"/>
  <c r="C37" i="20" s="1"/>
  <c r="C49" i="20" s="1"/>
  <c r="C14" i="20"/>
  <c r="C26" i="20" s="1"/>
  <c r="C38" i="20" s="1"/>
  <c r="B15" i="20"/>
  <c r="B27" i="20" s="1"/>
  <c r="B39" i="20" s="1"/>
  <c r="B16" i="20"/>
  <c r="B28" i="20" s="1"/>
  <c r="B40" i="20" s="1"/>
  <c r="B17" i="20"/>
  <c r="B29" i="20" s="1"/>
  <c r="B41" i="20" s="1"/>
  <c r="B18" i="20"/>
  <c r="B30" i="20" s="1"/>
  <c r="B42" i="20" s="1"/>
  <c r="B19" i="20"/>
  <c r="B31" i="20" s="1"/>
  <c r="B43" i="20" s="1"/>
  <c r="B20" i="20"/>
  <c r="B32" i="20" s="1"/>
  <c r="B44" i="20" s="1"/>
  <c r="B21" i="20"/>
  <c r="B33" i="20" s="1"/>
  <c r="B45" i="20" s="1"/>
  <c r="B22" i="20"/>
  <c r="B34" i="20" s="1"/>
  <c r="B46" i="20" s="1"/>
  <c r="B23" i="20"/>
  <c r="B35" i="20" s="1"/>
  <c r="B47" i="20" s="1"/>
  <c r="B24" i="20"/>
  <c r="B36" i="20" s="1"/>
  <c r="B48" i="20" s="1"/>
  <c r="B25" i="20"/>
  <c r="B37" i="20" s="1"/>
  <c r="B49" i="20" s="1"/>
  <c r="B14" i="20"/>
  <c r="B26" i="20" s="1"/>
  <c r="B38" i="20" s="1"/>
  <c r="I29" i="20" l="1"/>
  <c r="I28" i="20"/>
  <c r="I30" i="20"/>
  <c r="I34" i="20"/>
  <c r="O34" i="20" s="1"/>
  <c r="I27" i="20"/>
  <c r="I47" i="20"/>
  <c r="P47" i="20" s="1"/>
  <c r="P35" i="20"/>
  <c r="I49" i="20"/>
  <c r="P37" i="20"/>
  <c r="O37" i="20"/>
  <c r="I48" i="20"/>
  <c r="O48" i="20" s="1"/>
  <c r="O36" i="20"/>
  <c r="P36" i="20"/>
  <c r="I41" i="20"/>
  <c r="I33" i="20"/>
  <c r="I42" i="20"/>
  <c r="I32" i="20"/>
  <c r="T36" i="20"/>
  <c r="W36" i="20" s="1"/>
  <c r="T44" i="20"/>
  <c r="W44" i="20" s="1"/>
  <c r="T43" i="20"/>
  <c r="W43" i="20" s="1"/>
  <c r="I39" i="20"/>
  <c r="O39" i="20" s="1"/>
  <c r="I31" i="20"/>
  <c r="P31" i="20" s="1"/>
  <c r="C10" i="10"/>
  <c r="K4" i="10"/>
  <c r="C26" i="9" s="1"/>
  <c r="W38" i="20"/>
  <c r="O35" i="20"/>
  <c r="P39" i="20"/>
  <c r="P38" i="20"/>
  <c r="T40" i="20"/>
  <c r="I46" i="20" l="1"/>
  <c r="O46" i="20" s="1"/>
  <c r="O30" i="20"/>
  <c r="P30" i="20"/>
  <c r="O47" i="20"/>
  <c r="I40" i="20"/>
  <c r="P40" i="20" s="1"/>
  <c r="P34" i="20"/>
  <c r="I44" i="20"/>
  <c r="O32" i="20"/>
  <c r="O33" i="20"/>
  <c r="P33" i="20"/>
  <c r="I45" i="20"/>
  <c r="P41" i="20"/>
  <c r="O41" i="20"/>
  <c r="P46" i="20"/>
  <c r="P32" i="20"/>
  <c r="P48" i="20"/>
  <c r="P42" i="20"/>
  <c r="O42" i="20"/>
  <c r="P49" i="20"/>
  <c r="O49" i="20"/>
  <c r="O31" i="20"/>
  <c r="I43" i="20"/>
  <c r="W40" i="20"/>
  <c r="O40" i="20" l="1"/>
  <c r="O45" i="20"/>
  <c r="P45" i="20"/>
  <c r="O43" i="20"/>
  <c r="P43" i="20"/>
  <c r="O44" i="20"/>
  <c r="P44" i="20"/>
  <c r="O29" i="20"/>
  <c r="T29" i="20"/>
  <c r="W29" i="20" s="1"/>
  <c r="O28" i="20"/>
  <c r="T28" i="20"/>
  <c r="W28" i="20" s="1"/>
  <c r="O27" i="20"/>
  <c r="T27" i="20"/>
  <c r="W27" i="20" s="1"/>
  <c r="O26" i="20"/>
  <c r="T26" i="20"/>
  <c r="W26" i="20" s="1"/>
  <c r="O25" i="20"/>
  <c r="T25" i="20"/>
  <c r="W25" i="20" s="1"/>
  <c r="O24" i="20"/>
  <c r="T24" i="20"/>
  <c r="W24" i="20" s="1"/>
  <c r="O23" i="20"/>
  <c r="T23" i="20"/>
  <c r="W23" i="20" s="1"/>
  <c r="O22" i="20"/>
  <c r="T22" i="20"/>
  <c r="W22" i="20" s="1"/>
  <c r="O21" i="20"/>
  <c r="T21" i="20"/>
  <c r="W21" i="20" s="1"/>
  <c r="O20" i="20"/>
  <c r="T20" i="20"/>
  <c r="W20" i="20" s="1"/>
  <c r="O19" i="20"/>
  <c r="T19" i="20"/>
  <c r="W19" i="20" s="1"/>
  <c r="O18" i="20"/>
  <c r="T18" i="20"/>
  <c r="W18" i="20" s="1"/>
  <c r="O17" i="20"/>
  <c r="T17" i="20"/>
  <c r="W17" i="20" s="1"/>
  <c r="O16" i="20"/>
  <c r="O15" i="20"/>
  <c r="P15" i="20"/>
  <c r="O14" i="20"/>
  <c r="P13" i="20"/>
  <c r="O13" i="20"/>
  <c r="O12" i="20"/>
  <c r="P12" i="20"/>
  <c r="O11" i="20"/>
  <c r="T11" i="20"/>
  <c r="W11" i="20" s="1"/>
  <c r="O10" i="20"/>
  <c r="P10" i="20"/>
  <c r="O9" i="20"/>
  <c r="P9" i="20"/>
  <c r="O8" i="20"/>
  <c r="O7" i="20"/>
  <c r="P7" i="20"/>
  <c r="O6" i="20"/>
  <c r="P6" i="20"/>
  <c r="O5" i="20"/>
  <c r="O4" i="20"/>
  <c r="P4" i="20"/>
  <c r="O3" i="20"/>
  <c r="P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40" i="20" s="1"/>
  <c r="A41" i="20" s="1"/>
  <c r="A42" i="20" s="1"/>
  <c r="A43" i="20" s="1"/>
  <c r="A44" i="20" s="1"/>
  <c r="A45" i="20" s="1"/>
  <c r="A46" i="20" s="1"/>
  <c r="A47" i="20" s="1"/>
  <c r="A48" i="20" s="1"/>
  <c r="A49" i="20" s="1"/>
  <c r="O2" i="20"/>
  <c r="G2" i="20"/>
  <c r="E2" i="20"/>
  <c r="T15" i="20" l="1"/>
  <c r="W15" i="20" s="1"/>
  <c r="T9" i="20"/>
  <c r="W9" i="20" s="1"/>
  <c r="T3" i="20"/>
  <c r="W3" i="20" s="1"/>
  <c r="P18" i="20"/>
  <c r="P20" i="20"/>
  <c r="T12" i="20"/>
  <c r="W12" i="20" s="1"/>
  <c r="P22" i="20"/>
  <c r="P24" i="20"/>
  <c r="P16" i="20"/>
  <c r="T6" i="20"/>
  <c r="W6" i="20" s="1"/>
  <c r="P26" i="20"/>
  <c r="P28" i="20"/>
  <c r="P2" i="20"/>
  <c r="T4" i="20"/>
  <c r="W4" i="20" s="1"/>
  <c r="P5" i="20"/>
  <c r="T7" i="20"/>
  <c r="W7" i="20" s="1"/>
  <c r="P8" i="20"/>
  <c r="T10" i="20"/>
  <c r="W10" i="20" s="1"/>
  <c r="P11" i="20"/>
  <c r="T13" i="20"/>
  <c r="W13" i="20" s="1"/>
  <c r="P14" i="20"/>
  <c r="T16" i="20"/>
  <c r="W16" i="20" s="1"/>
  <c r="P17" i="20"/>
  <c r="P19" i="20"/>
  <c r="P21" i="20"/>
  <c r="P23" i="20"/>
  <c r="P25" i="20"/>
  <c r="P27" i="20"/>
  <c r="P29" i="20"/>
  <c r="T2" i="20"/>
  <c r="W2" i="20" s="1"/>
  <c r="T5" i="20"/>
  <c r="W5" i="20" s="1"/>
  <c r="T8" i="20"/>
  <c r="W8" i="20" s="1"/>
  <c r="T14" i="20"/>
  <c r="W14" i="20" s="1"/>
  <c r="A3" i="18" l="1"/>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A159" i="18"/>
  <c r="A160" i="18"/>
  <c r="A161" i="18"/>
  <c r="A162" i="18"/>
  <c r="A163" i="18"/>
  <c r="A164" i="18"/>
  <c r="A165" i="18"/>
  <c r="A166" i="18"/>
  <c r="A167" i="18"/>
  <c r="A168" i="18"/>
  <c r="A169" i="18"/>
  <c r="A170" i="18"/>
  <c r="A171" i="18"/>
  <c r="A172" i="18"/>
  <c r="A173" i="18"/>
  <c r="A174" i="18"/>
  <c r="A175" i="18"/>
  <c r="A176" i="18"/>
  <c r="A177" i="18"/>
  <c r="A178" i="18"/>
  <c r="A179" i="18"/>
  <c r="A180" i="18"/>
  <c r="A181" i="18"/>
  <c r="A182" i="18"/>
  <c r="A183" i="18"/>
  <c r="A184" i="18"/>
  <c r="A185" i="18"/>
  <c r="A186" i="18"/>
  <c r="A187" i="18"/>
  <c r="A188" i="18"/>
  <c r="A189" i="18"/>
  <c r="A190" i="18"/>
  <c r="A191" i="18"/>
  <c r="A192" i="18"/>
  <c r="A193" i="18"/>
  <c r="A194" i="18"/>
  <c r="A195" i="18"/>
  <c r="A196" i="18"/>
  <c r="A197" i="18"/>
  <c r="A198" i="18"/>
  <c r="A199" i="18"/>
  <c r="A200" i="18"/>
  <c r="A201" i="18"/>
  <c r="A202" i="18"/>
  <c r="A203" i="18"/>
  <c r="A204" i="18"/>
  <c r="A205" i="18"/>
  <c r="A206" i="18"/>
  <c r="A207" i="18"/>
  <c r="A208" i="18"/>
  <c r="A209" i="18"/>
  <c r="A210" i="18"/>
  <c r="A211" i="18"/>
  <c r="A212" i="18"/>
  <c r="A213" i="18"/>
  <c r="A214" i="18"/>
  <c r="A215" i="18"/>
  <c r="A216" i="18"/>
  <c r="A217" i="18"/>
  <c r="A218" i="18"/>
  <c r="A219" i="18"/>
  <c r="A220" i="18"/>
  <c r="A221" i="18"/>
  <c r="A222" i="18"/>
  <c r="A223" i="18"/>
  <c r="A224" i="18"/>
  <c r="A225" i="18"/>
  <c r="A226" i="18"/>
  <c r="A227" i="18"/>
  <c r="A228" i="18"/>
  <c r="A229" i="18"/>
  <c r="A230" i="18"/>
  <c r="A231" i="18"/>
  <c r="A232" i="18"/>
  <c r="A233" i="18"/>
  <c r="A234" i="18"/>
  <c r="A235" i="18"/>
  <c r="A236" i="18"/>
  <c r="A237" i="18"/>
  <c r="A238" i="18"/>
  <c r="A239" i="18"/>
  <c r="A240" i="18"/>
  <c r="A241" i="18"/>
  <c r="A242" i="18"/>
  <c r="A243" i="18"/>
  <c r="A244" i="18"/>
  <c r="A245" i="18"/>
  <c r="A246" i="18"/>
  <c r="A247" i="18"/>
  <c r="A248" i="18"/>
  <c r="A249" i="18"/>
  <c r="A250" i="18"/>
  <c r="A251" i="18"/>
  <c r="A252" i="18"/>
  <c r="A253" i="18"/>
  <c r="A254" i="18"/>
  <c r="A255" i="18"/>
  <c r="A256" i="18"/>
  <c r="A257" i="18"/>
  <c r="A258" i="18"/>
  <c r="A259" i="18"/>
  <c r="A260" i="18"/>
  <c r="A261" i="18"/>
  <c r="A262" i="18"/>
  <c r="A263" i="18"/>
  <c r="A264" i="18"/>
  <c r="A265" i="18"/>
  <c r="A266" i="18"/>
  <c r="A267" i="18"/>
  <c r="A268" i="18"/>
  <c r="A269" i="18"/>
  <c r="A270" i="18"/>
  <c r="A271" i="18"/>
  <c r="A272" i="18"/>
  <c r="A273" i="18"/>
  <c r="A274" i="18"/>
  <c r="A275" i="18"/>
  <c r="A276" i="18"/>
  <c r="A277" i="18"/>
  <c r="A278" i="18"/>
  <c r="A279" i="18"/>
  <c r="A280" i="18"/>
  <c r="A281" i="18"/>
  <c r="A282" i="18"/>
  <c r="A283" i="18"/>
  <c r="A284" i="18"/>
  <c r="A285" i="18"/>
  <c r="A286" i="18"/>
  <c r="A287" i="18"/>
  <c r="A288" i="18"/>
  <c r="A289" i="18"/>
  <c r="A290" i="18"/>
  <c r="A291" i="18"/>
  <c r="A292" i="18"/>
  <c r="A293" i="18"/>
  <c r="A294" i="18"/>
  <c r="A295" i="18"/>
  <c r="A296" i="18"/>
  <c r="A297" i="18"/>
  <c r="A298" i="18"/>
  <c r="A299" i="18"/>
  <c r="A300" i="18"/>
  <c r="A301" i="18"/>
  <c r="A302" i="18"/>
  <c r="A303" i="18"/>
  <c r="A304" i="18"/>
  <c r="A305" i="18"/>
  <c r="A306" i="18"/>
  <c r="A307" i="18"/>
  <c r="A308" i="18"/>
  <c r="A309" i="18"/>
  <c r="A310" i="18"/>
  <c r="A311" i="18"/>
  <c r="A312" i="18"/>
  <c r="A313" i="18"/>
  <c r="A2" i="18" l="1"/>
  <c r="C70" i="18" l="1"/>
  <c r="C82" i="18" s="1"/>
  <c r="C94" i="18" s="1"/>
  <c r="C106" i="18" s="1"/>
  <c r="C118" i="18" s="1"/>
  <c r="C130" i="18" s="1"/>
  <c r="C142" i="18" s="1"/>
  <c r="C154" i="18" s="1"/>
  <c r="C166" i="18" s="1"/>
  <c r="C178" i="18" s="1"/>
  <c r="C190" i="18" s="1"/>
  <c r="C202" i="18" s="1"/>
  <c r="C214" i="18" s="1"/>
  <c r="C226" i="18" s="1"/>
  <c r="C238" i="18" s="1"/>
  <c r="C250" i="18" s="1"/>
  <c r="C262" i="18" s="1"/>
  <c r="C274" i="18" s="1"/>
  <c r="C286" i="18" s="1"/>
  <c r="C298" i="18" s="1"/>
  <c r="C310" i="18" s="1"/>
  <c r="E61" i="18"/>
  <c r="E73" i="18" s="1"/>
  <c r="E85" i="18" s="1"/>
  <c r="E97" i="18" s="1"/>
  <c r="E109" i="18" s="1"/>
  <c r="E121" i="18" s="1"/>
  <c r="E133" i="18" s="1"/>
  <c r="E145" i="18" s="1"/>
  <c r="E157" i="18" s="1"/>
  <c r="E169" i="18" s="1"/>
  <c r="E181" i="18" s="1"/>
  <c r="E193" i="18" s="1"/>
  <c r="E205" i="18" s="1"/>
  <c r="E217" i="18" s="1"/>
  <c r="E229" i="18" s="1"/>
  <c r="E241" i="18" s="1"/>
  <c r="E253" i="18" s="1"/>
  <c r="E265" i="18" s="1"/>
  <c r="E277" i="18" s="1"/>
  <c r="E289" i="18" s="1"/>
  <c r="E301" i="18" s="1"/>
  <c r="E313" i="18" s="1"/>
  <c r="E60" i="18"/>
  <c r="E72" i="18" s="1"/>
  <c r="E84" i="18" s="1"/>
  <c r="E96" i="18" s="1"/>
  <c r="E108" i="18" s="1"/>
  <c r="E120" i="18" s="1"/>
  <c r="E132" i="18" s="1"/>
  <c r="E144" i="18" s="1"/>
  <c r="E156" i="18" s="1"/>
  <c r="E168" i="18" s="1"/>
  <c r="E180" i="18" s="1"/>
  <c r="E192" i="18" s="1"/>
  <c r="E204" i="18" s="1"/>
  <c r="E216" i="18" s="1"/>
  <c r="E228" i="18" s="1"/>
  <c r="E240" i="18" s="1"/>
  <c r="E252" i="18" s="1"/>
  <c r="E264" i="18" s="1"/>
  <c r="E276" i="18" s="1"/>
  <c r="E288" i="18" s="1"/>
  <c r="E300" i="18" s="1"/>
  <c r="E312" i="18" s="1"/>
  <c r="N59" i="18"/>
  <c r="N71" i="18" s="1"/>
  <c r="N83" i="18" s="1"/>
  <c r="N95" i="18" s="1"/>
  <c r="N107" i="18" s="1"/>
  <c r="N119" i="18" s="1"/>
  <c r="N131" i="18" s="1"/>
  <c r="N143" i="18" s="1"/>
  <c r="N155" i="18" s="1"/>
  <c r="N167" i="18" s="1"/>
  <c r="N179" i="18" s="1"/>
  <c r="N191" i="18" s="1"/>
  <c r="N203" i="18" s="1"/>
  <c r="N215" i="18" s="1"/>
  <c r="N227" i="18" s="1"/>
  <c r="N239" i="18" s="1"/>
  <c r="N251" i="18" s="1"/>
  <c r="N263" i="18" s="1"/>
  <c r="N275" i="18" s="1"/>
  <c r="N287" i="18" s="1"/>
  <c r="N299" i="18" s="1"/>
  <c r="N311" i="18" s="1"/>
  <c r="E54" i="18"/>
  <c r="E66" i="18" s="1"/>
  <c r="E78" i="18" s="1"/>
  <c r="E90" i="18" s="1"/>
  <c r="E102" i="18" s="1"/>
  <c r="E114" i="18" s="1"/>
  <c r="E126" i="18" s="1"/>
  <c r="E138" i="18" s="1"/>
  <c r="E150" i="18" s="1"/>
  <c r="E162" i="18" s="1"/>
  <c r="E174" i="18" s="1"/>
  <c r="E186" i="18" s="1"/>
  <c r="E198" i="18" s="1"/>
  <c r="E210" i="18" s="1"/>
  <c r="E222" i="18" s="1"/>
  <c r="E234" i="18" s="1"/>
  <c r="E246" i="18" s="1"/>
  <c r="E258" i="18" s="1"/>
  <c r="E270" i="18" s="1"/>
  <c r="E282" i="18" s="1"/>
  <c r="E294" i="18" s="1"/>
  <c r="E306" i="18" s="1"/>
  <c r="E53" i="18"/>
  <c r="E65" i="18" s="1"/>
  <c r="E77" i="18" s="1"/>
  <c r="E89" i="18" s="1"/>
  <c r="E101" i="18" s="1"/>
  <c r="E113" i="18" s="1"/>
  <c r="E125" i="18" s="1"/>
  <c r="E137" i="18" s="1"/>
  <c r="E149" i="18" s="1"/>
  <c r="E161" i="18" s="1"/>
  <c r="E173" i="18" s="1"/>
  <c r="E185" i="18" s="1"/>
  <c r="E197" i="18" s="1"/>
  <c r="E209" i="18" s="1"/>
  <c r="E221" i="18" s="1"/>
  <c r="E233" i="18" s="1"/>
  <c r="E245" i="18" s="1"/>
  <c r="E257" i="18" s="1"/>
  <c r="E269" i="18" s="1"/>
  <c r="E281" i="18" s="1"/>
  <c r="E293" i="18" s="1"/>
  <c r="E305" i="18" s="1"/>
  <c r="E52" i="18"/>
  <c r="E64" i="18" s="1"/>
  <c r="E76" i="18" s="1"/>
  <c r="E88" i="18" s="1"/>
  <c r="E100" i="18" s="1"/>
  <c r="E112" i="18" s="1"/>
  <c r="E124" i="18" s="1"/>
  <c r="E136" i="18" s="1"/>
  <c r="E148" i="18" s="1"/>
  <c r="E160" i="18" s="1"/>
  <c r="E172" i="18" s="1"/>
  <c r="E184" i="18" s="1"/>
  <c r="E196" i="18" s="1"/>
  <c r="E208" i="18" s="1"/>
  <c r="E220" i="18" s="1"/>
  <c r="E232" i="18" s="1"/>
  <c r="E244" i="18" s="1"/>
  <c r="E256" i="18" s="1"/>
  <c r="E268" i="18" s="1"/>
  <c r="E280" i="18" s="1"/>
  <c r="E292" i="18" s="1"/>
  <c r="E304" i="18" s="1"/>
  <c r="P49" i="18"/>
  <c r="P61" i="18" s="1"/>
  <c r="P73" i="18" s="1"/>
  <c r="P85" i="18" s="1"/>
  <c r="P97" i="18" s="1"/>
  <c r="P109" i="18" s="1"/>
  <c r="P121" i="18" s="1"/>
  <c r="P133" i="18" s="1"/>
  <c r="P145" i="18" s="1"/>
  <c r="P157" i="18" s="1"/>
  <c r="P169" i="18" s="1"/>
  <c r="P181" i="18" s="1"/>
  <c r="P193" i="18" s="1"/>
  <c r="P205" i="18" s="1"/>
  <c r="P217" i="18" s="1"/>
  <c r="P229" i="18" s="1"/>
  <c r="P241" i="18" s="1"/>
  <c r="P253" i="18" s="1"/>
  <c r="P265" i="18" s="1"/>
  <c r="P277" i="18" s="1"/>
  <c r="P289" i="18" s="1"/>
  <c r="P301" i="18" s="1"/>
  <c r="P313" i="18" s="1"/>
  <c r="E49" i="18"/>
  <c r="E48" i="18"/>
  <c r="R47" i="18"/>
  <c r="R59" i="18" s="1"/>
  <c r="R71" i="18" s="1"/>
  <c r="R83" i="18" s="1"/>
  <c r="R95" i="18" s="1"/>
  <c r="R107" i="18" s="1"/>
  <c r="R119" i="18" s="1"/>
  <c r="R131" i="18" s="1"/>
  <c r="R143" i="18" s="1"/>
  <c r="R155" i="18" s="1"/>
  <c r="R167" i="18" s="1"/>
  <c r="R179" i="18" s="1"/>
  <c r="R191" i="18" s="1"/>
  <c r="R203" i="18" s="1"/>
  <c r="R215" i="18" s="1"/>
  <c r="R227" i="18" s="1"/>
  <c r="R239" i="18" s="1"/>
  <c r="R251" i="18" s="1"/>
  <c r="R263" i="18" s="1"/>
  <c r="R275" i="18" s="1"/>
  <c r="R287" i="18" s="1"/>
  <c r="R299" i="18" s="1"/>
  <c r="R311" i="18" s="1"/>
  <c r="E47" i="18"/>
  <c r="E59" i="18" s="1"/>
  <c r="E71" i="18" s="1"/>
  <c r="E83" i="18" s="1"/>
  <c r="E95" i="18" s="1"/>
  <c r="E107" i="18" s="1"/>
  <c r="E119" i="18" s="1"/>
  <c r="E131" i="18" s="1"/>
  <c r="E143" i="18" s="1"/>
  <c r="E155" i="18" s="1"/>
  <c r="E167" i="18" s="1"/>
  <c r="E179" i="18" s="1"/>
  <c r="E191" i="18" s="1"/>
  <c r="E203" i="18" s="1"/>
  <c r="E215" i="18" s="1"/>
  <c r="E227" i="18" s="1"/>
  <c r="E239" i="18" s="1"/>
  <c r="E251" i="18" s="1"/>
  <c r="E263" i="18" s="1"/>
  <c r="E275" i="18" s="1"/>
  <c r="E287" i="18" s="1"/>
  <c r="E299" i="18" s="1"/>
  <c r="E311" i="18" s="1"/>
  <c r="E46" i="18"/>
  <c r="E58" i="18" s="1"/>
  <c r="E70" i="18" s="1"/>
  <c r="E82" i="18" s="1"/>
  <c r="E94" i="18" s="1"/>
  <c r="E106" i="18" s="1"/>
  <c r="E118" i="18" s="1"/>
  <c r="E130" i="18" s="1"/>
  <c r="E142" i="18" s="1"/>
  <c r="E154" i="18" s="1"/>
  <c r="E166" i="18" s="1"/>
  <c r="E178" i="18" s="1"/>
  <c r="E190" i="18" s="1"/>
  <c r="E202" i="18" s="1"/>
  <c r="E214" i="18" s="1"/>
  <c r="E226" i="18" s="1"/>
  <c r="E238" i="18" s="1"/>
  <c r="E250" i="18" s="1"/>
  <c r="E262" i="18" s="1"/>
  <c r="E274" i="18" s="1"/>
  <c r="E286" i="18" s="1"/>
  <c r="E298" i="18" s="1"/>
  <c r="E310" i="18" s="1"/>
  <c r="C46" i="18"/>
  <c r="C58" i="18" s="1"/>
  <c r="L45" i="18"/>
  <c r="L57" i="18" s="1"/>
  <c r="L69" i="18" s="1"/>
  <c r="L81" i="18" s="1"/>
  <c r="L93" i="18" s="1"/>
  <c r="L105" i="18" s="1"/>
  <c r="L117" i="18" s="1"/>
  <c r="L129" i="18" s="1"/>
  <c r="L141" i="18" s="1"/>
  <c r="L153" i="18" s="1"/>
  <c r="L165" i="18" s="1"/>
  <c r="L177" i="18" s="1"/>
  <c r="L189" i="18" s="1"/>
  <c r="L201" i="18" s="1"/>
  <c r="L213" i="18" s="1"/>
  <c r="L225" i="18" s="1"/>
  <c r="L237" i="18" s="1"/>
  <c r="L249" i="18" s="1"/>
  <c r="L261" i="18" s="1"/>
  <c r="L273" i="18" s="1"/>
  <c r="L285" i="18" s="1"/>
  <c r="L297" i="18" s="1"/>
  <c r="L309" i="18" s="1"/>
  <c r="E45" i="18"/>
  <c r="E57" i="18" s="1"/>
  <c r="E69" i="18" s="1"/>
  <c r="E81" i="18" s="1"/>
  <c r="E93" i="18" s="1"/>
  <c r="E105" i="18" s="1"/>
  <c r="E117" i="18" s="1"/>
  <c r="E129" i="18" s="1"/>
  <c r="E141" i="18" s="1"/>
  <c r="E153" i="18" s="1"/>
  <c r="E165" i="18" s="1"/>
  <c r="E177" i="18" s="1"/>
  <c r="E189" i="18" s="1"/>
  <c r="E201" i="18" s="1"/>
  <c r="E213" i="18" s="1"/>
  <c r="E225" i="18" s="1"/>
  <c r="E237" i="18" s="1"/>
  <c r="E249" i="18" s="1"/>
  <c r="E261" i="18" s="1"/>
  <c r="E273" i="18" s="1"/>
  <c r="E285" i="18" s="1"/>
  <c r="E297" i="18" s="1"/>
  <c r="E309" i="18" s="1"/>
  <c r="D45" i="18"/>
  <c r="D57" i="18" s="1"/>
  <c r="D69" i="18" s="1"/>
  <c r="D81" i="18" s="1"/>
  <c r="D93" i="18" s="1"/>
  <c r="D105" i="18" s="1"/>
  <c r="D117" i="18" s="1"/>
  <c r="D129" i="18" s="1"/>
  <c r="D141" i="18" s="1"/>
  <c r="D153" i="18" s="1"/>
  <c r="D165" i="18" s="1"/>
  <c r="D177" i="18" s="1"/>
  <c r="D189" i="18" s="1"/>
  <c r="D201" i="18" s="1"/>
  <c r="D213" i="18" s="1"/>
  <c r="D225" i="18" s="1"/>
  <c r="D237" i="18" s="1"/>
  <c r="D249" i="18" s="1"/>
  <c r="D261" i="18" s="1"/>
  <c r="D273" i="18" s="1"/>
  <c r="D285" i="18" s="1"/>
  <c r="D297" i="18" s="1"/>
  <c r="D309" i="18" s="1"/>
  <c r="M44" i="18"/>
  <c r="M56" i="18" s="1"/>
  <c r="M68" i="18" s="1"/>
  <c r="M80" i="18" s="1"/>
  <c r="M92" i="18" s="1"/>
  <c r="M104" i="18" s="1"/>
  <c r="M116" i="18" s="1"/>
  <c r="M128" i="18" s="1"/>
  <c r="M140" i="18" s="1"/>
  <c r="M152" i="18" s="1"/>
  <c r="M164" i="18" s="1"/>
  <c r="M176" i="18" s="1"/>
  <c r="M188" i="18" s="1"/>
  <c r="M200" i="18" s="1"/>
  <c r="M212" i="18" s="1"/>
  <c r="M224" i="18" s="1"/>
  <c r="M236" i="18" s="1"/>
  <c r="M248" i="18" s="1"/>
  <c r="M260" i="18" s="1"/>
  <c r="M272" i="18" s="1"/>
  <c r="M284" i="18" s="1"/>
  <c r="M296" i="18" s="1"/>
  <c r="M308" i="18" s="1"/>
  <c r="E44" i="18"/>
  <c r="E56" i="18" s="1"/>
  <c r="E68" i="18" s="1"/>
  <c r="E80" i="18" s="1"/>
  <c r="E92" i="18" s="1"/>
  <c r="E104" i="18" s="1"/>
  <c r="E116" i="18" s="1"/>
  <c r="E128" i="18" s="1"/>
  <c r="E140" i="18" s="1"/>
  <c r="E152" i="18" s="1"/>
  <c r="E164" i="18" s="1"/>
  <c r="E176" i="18" s="1"/>
  <c r="E188" i="18" s="1"/>
  <c r="E200" i="18" s="1"/>
  <c r="E212" i="18" s="1"/>
  <c r="E224" i="18" s="1"/>
  <c r="E236" i="18" s="1"/>
  <c r="E248" i="18" s="1"/>
  <c r="E260" i="18" s="1"/>
  <c r="E272" i="18" s="1"/>
  <c r="E284" i="18" s="1"/>
  <c r="E296" i="18" s="1"/>
  <c r="E308" i="18" s="1"/>
  <c r="F43" i="18"/>
  <c r="F55" i="18" s="1"/>
  <c r="F67" i="18" s="1"/>
  <c r="F79" i="18" s="1"/>
  <c r="F91" i="18" s="1"/>
  <c r="F103" i="18" s="1"/>
  <c r="F115" i="18" s="1"/>
  <c r="F127" i="18" s="1"/>
  <c r="F139" i="18" s="1"/>
  <c r="F151" i="18" s="1"/>
  <c r="F163" i="18" s="1"/>
  <c r="F175" i="18" s="1"/>
  <c r="F187" i="18" s="1"/>
  <c r="F199" i="18" s="1"/>
  <c r="F211" i="18" s="1"/>
  <c r="F223" i="18" s="1"/>
  <c r="F235" i="18" s="1"/>
  <c r="F247" i="18" s="1"/>
  <c r="F259" i="18" s="1"/>
  <c r="F271" i="18" s="1"/>
  <c r="F283" i="18" s="1"/>
  <c r="F295" i="18" s="1"/>
  <c r="F307" i="18" s="1"/>
  <c r="E43" i="18"/>
  <c r="E55" i="18" s="1"/>
  <c r="E67" i="18" s="1"/>
  <c r="E79" i="18" s="1"/>
  <c r="E91" i="18" s="1"/>
  <c r="E103" i="18" s="1"/>
  <c r="E115" i="18" s="1"/>
  <c r="E127" i="18" s="1"/>
  <c r="E139" i="18" s="1"/>
  <c r="E151" i="18" s="1"/>
  <c r="E163" i="18" s="1"/>
  <c r="E175" i="18" s="1"/>
  <c r="E187" i="18" s="1"/>
  <c r="E199" i="18" s="1"/>
  <c r="E211" i="18" s="1"/>
  <c r="E223" i="18" s="1"/>
  <c r="E235" i="18" s="1"/>
  <c r="E247" i="18" s="1"/>
  <c r="E259" i="18" s="1"/>
  <c r="E271" i="18" s="1"/>
  <c r="E283" i="18" s="1"/>
  <c r="E295" i="18" s="1"/>
  <c r="E307" i="18" s="1"/>
  <c r="P42" i="18"/>
  <c r="P54" i="18" s="1"/>
  <c r="P66" i="18" s="1"/>
  <c r="P78" i="18" s="1"/>
  <c r="P90" i="18" s="1"/>
  <c r="P102" i="18" s="1"/>
  <c r="P114" i="18" s="1"/>
  <c r="P126" i="18" s="1"/>
  <c r="P138" i="18" s="1"/>
  <c r="P150" i="18" s="1"/>
  <c r="P162" i="18" s="1"/>
  <c r="P174" i="18" s="1"/>
  <c r="P186" i="18" s="1"/>
  <c r="P198" i="18" s="1"/>
  <c r="P210" i="18" s="1"/>
  <c r="P222" i="18" s="1"/>
  <c r="P234" i="18" s="1"/>
  <c r="P246" i="18" s="1"/>
  <c r="P258" i="18" s="1"/>
  <c r="P270" i="18" s="1"/>
  <c r="P282" i="18" s="1"/>
  <c r="P294" i="18" s="1"/>
  <c r="P306" i="18" s="1"/>
  <c r="E42" i="18"/>
  <c r="P41" i="18"/>
  <c r="P53" i="18" s="1"/>
  <c r="P65" i="18" s="1"/>
  <c r="P77" i="18" s="1"/>
  <c r="P89" i="18" s="1"/>
  <c r="P101" i="18" s="1"/>
  <c r="P113" i="18" s="1"/>
  <c r="P125" i="18" s="1"/>
  <c r="P137" i="18" s="1"/>
  <c r="P149" i="18" s="1"/>
  <c r="P161" i="18" s="1"/>
  <c r="P173" i="18" s="1"/>
  <c r="P185" i="18" s="1"/>
  <c r="P197" i="18" s="1"/>
  <c r="P209" i="18" s="1"/>
  <c r="P221" i="18" s="1"/>
  <c r="P233" i="18" s="1"/>
  <c r="P245" i="18" s="1"/>
  <c r="P257" i="18" s="1"/>
  <c r="P269" i="18" s="1"/>
  <c r="P281" i="18" s="1"/>
  <c r="P293" i="18" s="1"/>
  <c r="P305" i="18" s="1"/>
  <c r="E41" i="18"/>
  <c r="E40" i="18"/>
  <c r="R39" i="18"/>
  <c r="R51" i="18" s="1"/>
  <c r="R63" i="18" s="1"/>
  <c r="R75" i="18" s="1"/>
  <c r="R87" i="18" s="1"/>
  <c r="R99" i="18" s="1"/>
  <c r="R111" i="18" s="1"/>
  <c r="R123" i="18" s="1"/>
  <c r="R135" i="18" s="1"/>
  <c r="R147" i="18" s="1"/>
  <c r="R159" i="18" s="1"/>
  <c r="R171" i="18" s="1"/>
  <c r="R183" i="18" s="1"/>
  <c r="R195" i="18" s="1"/>
  <c r="R207" i="18" s="1"/>
  <c r="R219" i="18" s="1"/>
  <c r="R231" i="18" s="1"/>
  <c r="R243" i="18" s="1"/>
  <c r="R255" i="18" s="1"/>
  <c r="R267" i="18" s="1"/>
  <c r="R279" i="18" s="1"/>
  <c r="R291" i="18" s="1"/>
  <c r="R303" i="18" s="1"/>
  <c r="E39" i="18"/>
  <c r="E51" i="18" s="1"/>
  <c r="E63" i="18" s="1"/>
  <c r="E75" i="18" s="1"/>
  <c r="E87" i="18" s="1"/>
  <c r="E99" i="18" s="1"/>
  <c r="E111" i="18" s="1"/>
  <c r="E123" i="18" s="1"/>
  <c r="E135" i="18" s="1"/>
  <c r="E147" i="18" s="1"/>
  <c r="E159" i="18" s="1"/>
  <c r="E171" i="18" s="1"/>
  <c r="E183" i="18" s="1"/>
  <c r="E195" i="18" s="1"/>
  <c r="E207" i="18" s="1"/>
  <c r="E219" i="18" s="1"/>
  <c r="E231" i="18" s="1"/>
  <c r="E243" i="18" s="1"/>
  <c r="E255" i="18" s="1"/>
  <c r="E267" i="18" s="1"/>
  <c r="E279" i="18" s="1"/>
  <c r="E291" i="18" s="1"/>
  <c r="E303" i="18" s="1"/>
  <c r="E38" i="18"/>
  <c r="E50" i="18" s="1"/>
  <c r="E62" i="18" s="1"/>
  <c r="E74" i="18" s="1"/>
  <c r="E86" i="18" s="1"/>
  <c r="E98" i="18" s="1"/>
  <c r="E110" i="18" s="1"/>
  <c r="E122" i="18" s="1"/>
  <c r="E134" i="18" s="1"/>
  <c r="E146" i="18" s="1"/>
  <c r="E158" i="18" s="1"/>
  <c r="E170" i="18" s="1"/>
  <c r="E182" i="18" s="1"/>
  <c r="E194" i="18" s="1"/>
  <c r="E206" i="18" s="1"/>
  <c r="E218" i="18" s="1"/>
  <c r="E230" i="18" s="1"/>
  <c r="E242" i="18" s="1"/>
  <c r="E254" i="18" s="1"/>
  <c r="E266" i="18" s="1"/>
  <c r="E278" i="18" s="1"/>
  <c r="E290" i="18" s="1"/>
  <c r="E302" i="18" s="1"/>
  <c r="L37" i="18"/>
  <c r="L49" i="18" s="1"/>
  <c r="L61" i="18" s="1"/>
  <c r="L73" i="18" s="1"/>
  <c r="L85" i="18" s="1"/>
  <c r="L97" i="18" s="1"/>
  <c r="L109" i="18" s="1"/>
  <c r="L121" i="18" s="1"/>
  <c r="L133" i="18" s="1"/>
  <c r="L145" i="18" s="1"/>
  <c r="L157" i="18" s="1"/>
  <c r="L169" i="18" s="1"/>
  <c r="L181" i="18" s="1"/>
  <c r="L193" i="18" s="1"/>
  <c r="L205" i="18" s="1"/>
  <c r="L217" i="18" s="1"/>
  <c r="L229" i="18" s="1"/>
  <c r="L241" i="18" s="1"/>
  <c r="L253" i="18" s="1"/>
  <c r="L265" i="18" s="1"/>
  <c r="L277" i="18" s="1"/>
  <c r="L289" i="18" s="1"/>
  <c r="L301" i="18" s="1"/>
  <c r="L313" i="18" s="1"/>
  <c r="C37" i="18"/>
  <c r="C49" i="18" s="1"/>
  <c r="C61" i="18" s="1"/>
  <c r="C73" i="18" s="1"/>
  <c r="C85" i="18" s="1"/>
  <c r="C97" i="18" s="1"/>
  <c r="C109" i="18" s="1"/>
  <c r="C121" i="18" s="1"/>
  <c r="C133" i="18" s="1"/>
  <c r="C145" i="18" s="1"/>
  <c r="C157" i="18" s="1"/>
  <c r="C169" i="18" s="1"/>
  <c r="C181" i="18" s="1"/>
  <c r="C193" i="18" s="1"/>
  <c r="C205" i="18" s="1"/>
  <c r="C217" i="18" s="1"/>
  <c r="C229" i="18" s="1"/>
  <c r="C241" i="18" s="1"/>
  <c r="C253" i="18" s="1"/>
  <c r="C265" i="18" s="1"/>
  <c r="C277" i="18" s="1"/>
  <c r="C289" i="18" s="1"/>
  <c r="C301" i="18" s="1"/>
  <c r="C313" i="18" s="1"/>
  <c r="P36" i="18"/>
  <c r="P48" i="18" s="1"/>
  <c r="P60" i="18" s="1"/>
  <c r="P72" i="18" s="1"/>
  <c r="P84" i="18" s="1"/>
  <c r="P96" i="18" s="1"/>
  <c r="P108" i="18" s="1"/>
  <c r="P120" i="18" s="1"/>
  <c r="P132" i="18" s="1"/>
  <c r="P144" i="18" s="1"/>
  <c r="P156" i="18" s="1"/>
  <c r="P168" i="18" s="1"/>
  <c r="P180" i="18" s="1"/>
  <c r="P192" i="18" s="1"/>
  <c r="P204" i="18" s="1"/>
  <c r="P216" i="18" s="1"/>
  <c r="P228" i="18" s="1"/>
  <c r="P240" i="18" s="1"/>
  <c r="P252" i="18" s="1"/>
  <c r="P264" i="18" s="1"/>
  <c r="P276" i="18" s="1"/>
  <c r="P288" i="18" s="1"/>
  <c r="P300" i="18" s="1"/>
  <c r="P312" i="18" s="1"/>
  <c r="L36" i="18"/>
  <c r="L48" i="18" s="1"/>
  <c r="L60" i="18" s="1"/>
  <c r="L72" i="18" s="1"/>
  <c r="L84" i="18" s="1"/>
  <c r="L96" i="18" s="1"/>
  <c r="L108" i="18" s="1"/>
  <c r="L120" i="18" s="1"/>
  <c r="L132" i="18" s="1"/>
  <c r="L144" i="18" s="1"/>
  <c r="L156" i="18" s="1"/>
  <c r="L168" i="18" s="1"/>
  <c r="L180" i="18" s="1"/>
  <c r="L192" i="18" s="1"/>
  <c r="L204" i="18" s="1"/>
  <c r="L216" i="18" s="1"/>
  <c r="L228" i="18" s="1"/>
  <c r="L240" i="18" s="1"/>
  <c r="L252" i="18" s="1"/>
  <c r="L264" i="18" s="1"/>
  <c r="L276" i="18" s="1"/>
  <c r="L288" i="18" s="1"/>
  <c r="L300" i="18" s="1"/>
  <c r="L312" i="18" s="1"/>
  <c r="H36" i="18"/>
  <c r="H48" i="18" s="1"/>
  <c r="H60" i="18" s="1"/>
  <c r="H72" i="18" s="1"/>
  <c r="H84" i="18" s="1"/>
  <c r="H96" i="18" s="1"/>
  <c r="H108" i="18" s="1"/>
  <c r="H120" i="18" s="1"/>
  <c r="H132" i="18" s="1"/>
  <c r="H144" i="18" s="1"/>
  <c r="H156" i="18" s="1"/>
  <c r="H168" i="18" s="1"/>
  <c r="H180" i="18" s="1"/>
  <c r="H192" i="18" s="1"/>
  <c r="H204" i="18" s="1"/>
  <c r="H216" i="18" s="1"/>
  <c r="H228" i="18" s="1"/>
  <c r="H240" i="18" s="1"/>
  <c r="H252" i="18" s="1"/>
  <c r="H264" i="18" s="1"/>
  <c r="H276" i="18" s="1"/>
  <c r="H288" i="18" s="1"/>
  <c r="H300" i="18" s="1"/>
  <c r="H312" i="18" s="1"/>
  <c r="D36" i="18"/>
  <c r="D48" i="18" s="1"/>
  <c r="D60" i="18" s="1"/>
  <c r="D72" i="18" s="1"/>
  <c r="D84" i="18" s="1"/>
  <c r="D96" i="18" s="1"/>
  <c r="D108" i="18" s="1"/>
  <c r="D120" i="18" s="1"/>
  <c r="D132" i="18" s="1"/>
  <c r="D144" i="18" s="1"/>
  <c r="D156" i="18" s="1"/>
  <c r="D168" i="18" s="1"/>
  <c r="D180" i="18" s="1"/>
  <c r="D192" i="18" s="1"/>
  <c r="D204" i="18" s="1"/>
  <c r="D216" i="18" s="1"/>
  <c r="D228" i="18" s="1"/>
  <c r="D240" i="18" s="1"/>
  <c r="D252" i="18" s="1"/>
  <c r="D264" i="18" s="1"/>
  <c r="D276" i="18" s="1"/>
  <c r="D288" i="18" s="1"/>
  <c r="D300" i="18" s="1"/>
  <c r="D312" i="18" s="1"/>
  <c r="C36" i="18"/>
  <c r="C48" i="18" s="1"/>
  <c r="C60" i="18" s="1"/>
  <c r="C72" i="18" s="1"/>
  <c r="C84" i="18" s="1"/>
  <c r="C96" i="18" s="1"/>
  <c r="C108" i="18" s="1"/>
  <c r="C120" i="18" s="1"/>
  <c r="C132" i="18" s="1"/>
  <c r="C144" i="18" s="1"/>
  <c r="C156" i="18" s="1"/>
  <c r="C168" i="18" s="1"/>
  <c r="C180" i="18" s="1"/>
  <c r="C192" i="18" s="1"/>
  <c r="C204" i="18" s="1"/>
  <c r="C216" i="18" s="1"/>
  <c r="C228" i="18" s="1"/>
  <c r="C240" i="18" s="1"/>
  <c r="C252" i="18" s="1"/>
  <c r="C264" i="18" s="1"/>
  <c r="C276" i="18" s="1"/>
  <c r="C288" i="18" s="1"/>
  <c r="C300" i="18" s="1"/>
  <c r="C312" i="18" s="1"/>
  <c r="P35" i="18"/>
  <c r="P47" i="18" s="1"/>
  <c r="P59" i="18" s="1"/>
  <c r="P71" i="18" s="1"/>
  <c r="P83" i="18" s="1"/>
  <c r="P95" i="18" s="1"/>
  <c r="P107" i="18" s="1"/>
  <c r="P119" i="18" s="1"/>
  <c r="P131" i="18" s="1"/>
  <c r="P143" i="18" s="1"/>
  <c r="P155" i="18" s="1"/>
  <c r="P167" i="18" s="1"/>
  <c r="P179" i="18" s="1"/>
  <c r="P191" i="18" s="1"/>
  <c r="P203" i="18" s="1"/>
  <c r="P215" i="18" s="1"/>
  <c r="P227" i="18" s="1"/>
  <c r="P239" i="18" s="1"/>
  <c r="P251" i="18" s="1"/>
  <c r="P263" i="18" s="1"/>
  <c r="P275" i="18" s="1"/>
  <c r="P287" i="18" s="1"/>
  <c r="P299" i="18" s="1"/>
  <c r="P311" i="18" s="1"/>
  <c r="M35" i="18"/>
  <c r="M47" i="18" s="1"/>
  <c r="M59" i="18" s="1"/>
  <c r="M71" i="18" s="1"/>
  <c r="M83" i="18" s="1"/>
  <c r="M95" i="18" s="1"/>
  <c r="M107" i="18" s="1"/>
  <c r="M119" i="18" s="1"/>
  <c r="M131" i="18" s="1"/>
  <c r="M143" i="18" s="1"/>
  <c r="M155" i="18" s="1"/>
  <c r="M167" i="18" s="1"/>
  <c r="M179" i="18" s="1"/>
  <c r="M191" i="18" s="1"/>
  <c r="M203" i="18" s="1"/>
  <c r="M215" i="18" s="1"/>
  <c r="M227" i="18" s="1"/>
  <c r="M239" i="18" s="1"/>
  <c r="M251" i="18" s="1"/>
  <c r="M263" i="18" s="1"/>
  <c r="M275" i="18" s="1"/>
  <c r="M287" i="18" s="1"/>
  <c r="M299" i="18" s="1"/>
  <c r="M311" i="18" s="1"/>
  <c r="L35" i="18"/>
  <c r="L47" i="18" s="1"/>
  <c r="L59" i="18" s="1"/>
  <c r="L71" i="18" s="1"/>
  <c r="L83" i="18" s="1"/>
  <c r="L95" i="18" s="1"/>
  <c r="L107" i="18" s="1"/>
  <c r="L119" i="18" s="1"/>
  <c r="L131" i="18" s="1"/>
  <c r="L143" i="18" s="1"/>
  <c r="L155" i="18" s="1"/>
  <c r="L167" i="18" s="1"/>
  <c r="L179" i="18" s="1"/>
  <c r="L191" i="18" s="1"/>
  <c r="L203" i="18" s="1"/>
  <c r="L215" i="18" s="1"/>
  <c r="L227" i="18" s="1"/>
  <c r="L239" i="18" s="1"/>
  <c r="L251" i="18" s="1"/>
  <c r="L263" i="18" s="1"/>
  <c r="L275" i="18" s="1"/>
  <c r="L287" i="18" s="1"/>
  <c r="L299" i="18" s="1"/>
  <c r="L311" i="18" s="1"/>
  <c r="H35" i="18"/>
  <c r="H47" i="18" s="1"/>
  <c r="H59" i="18" s="1"/>
  <c r="H71" i="18" s="1"/>
  <c r="H83" i="18" s="1"/>
  <c r="H95" i="18" s="1"/>
  <c r="H107" i="18" s="1"/>
  <c r="H119" i="18" s="1"/>
  <c r="H131" i="18" s="1"/>
  <c r="H143" i="18" s="1"/>
  <c r="H155" i="18" s="1"/>
  <c r="H167" i="18" s="1"/>
  <c r="H179" i="18" s="1"/>
  <c r="H191" i="18" s="1"/>
  <c r="H203" i="18" s="1"/>
  <c r="H215" i="18" s="1"/>
  <c r="H227" i="18" s="1"/>
  <c r="H239" i="18" s="1"/>
  <c r="H251" i="18" s="1"/>
  <c r="H263" i="18" s="1"/>
  <c r="H275" i="18" s="1"/>
  <c r="H287" i="18" s="1"/>
  <c r="H299" i="18" s="1"/>
  <c r="H311" i="18" s="1"/>
  <c r="D35" i="18"/>
  <c r="D47" i="18" s="1"/>
  <c r="D59" i="18" s="1"/>
  <c r="D71" i="18" s="1"/>
  <c r="D83" i="18" s="1"/>
  <c r="D95" i="18" s="1"/>
  <c r="D107" i="18" s="1"/>
  <c r="D119" i="18" s="1"/>
  <c r="D131" i="18" s="1"/>
  <c r="D143" i="18" s="1"/>
  <c r="D155" i="18" s="1"/>
  <c r="D167" i="18" s="1"/>
  <c r="D179" i="18" s="1"/>
  <c r="D191" i="18" s="1"/>
  <c r="D203" i="18" s="1"/>
  <c r="D215" i="18" s="1"/>
  <c r="D227" i="18" s="1"/>
  <c r="D239" i="18" s="1"/>
  <c r="D251" i="18" s="1"/>
  <c r="D263" i="18" s="1"/>
  <c r="D275" i="18" s="1"/>
  <c r="D287" i="18" s="1"/>
  <c r="D299" i="18" s="1"/>
  <c r="D311" i="18" s="1"/>
  <c r="C35" i="18"/>
  <c r="C47" i="18" s="1"/>
  <c r="C59" i="18" s="1"/>
  <c r="C71" i="18" s="1"/>
  <c r="C83" i="18" s="1"/>
  <c r="C95" i="18" s="1"/>
  <c r="C107" i="18" s="1"/>
  <c r="C119" i="18" s="1"/>
  <c r="C131" i="18" s="1"/>
  <c r="C143" i="18" s="1"/>
  <c r="C155" i="18" s="1"/>
  <c r="C167" i="18" s="1"/>
  <c r="C179" i="18" s="1"/>
  <c r="C191" i="18" s="1"/>
  <c r="C203" i="18" s="1"/>
  <c r="C215" i="18" s="1"/>
  <c r="C227" i="18" s="1"/>
  <c r="C239" i="18" s="1"/>
  <c r="C251" i="18" s="1"/>
  <c r="C263" i="18" s="1"/>
  <c r="C275" i="18" s="1"/>
  <c r="C287" i="18" s="1"/>
  <c r="C299" i="18" s="1"/>
  <c r="C311" i="18" s="1"/>
  <c r="M34" i="18"/>
  <c r="M46" i="18" s="1"/>
  <c r="M58" i="18" s="1"/>
  <c r="M70" i="18" s="1"/>
  <c r="M82" i="18" s="1"/>
  <c r="M94" i="18" s="1"/>
  <c r="M106" i="18" s="1"/>
  <c r="M118" i="18" s="1"/>
  <c r="M130" i="18" s="1"/>
  <c r="M142" i="18" s="1"/>
  <c r="M154" i="18" s="1"/>
  <c r="M166" i="18" s="1"/>
  <c r="M178" i="18" s="1"/>
  <c r="M190" i="18" s="1"/>
  <c r="M202" i="18" s="1"/>
  <c r="M214" i="18" s="1"/>
  <c r="M226" i="18" s="1"/>
  <c r="M238" i="18" s="1"/>
  <c r="M250" i="18" s="1"/>
  <c r="M262" i="18" s="1"/>
  <c r="M274" i="18" s="1"/>
  <c r="M286" i="18" s="1"/>
  <c r="M298" i="18" s="1"/>
  <c r="M310" i="18" s="1"/>
  <c r="L34" i="18"/>
  <c r="L46" i="18" s="1"/>
  <c r="L58" i="18" s="1"/>
  <c r="L70" i="18" s="1"/>
  <c r="L82" i="18" s="1"/>
  <c r="L94" i="18" s="1"/>
  <c r="L106" i="18" s="1"/>
  <c r="L118" i="18" s="1"/>
  <c r="L130" i="18" s="1"/>
  <c r="L142" i="18" s="1"/>
  <c r="L154" i="18" s="1"/>
  <c r="L166" i="18" s="1"/>
  <c r="L178" i="18" s="1"/>
  <c r="L190" i="18" s="1"/>
  <c r="L202" i="18" s="1"/>
  <c r="L214" i="18" s="1"/>
  <c r="L226" i="18" s="1"/>
  <c r="L238" i="18" s="1"/>
  <c r="L250" i="18" s="1"/>
  <c r="L262" i="18" s="1"/>
  <c r="L274" i="18" s="1"/>
  <c r="L286" i="18" s="1"/>
  <c r="L298" i="18" s="1"/>
  <c r="L310" i="18" s="1"/>
  <c r="D34" i="18"/>
  <c r="D46" i="18" s="1"/>
  <c r="D58" i="18" s="1"/>
  <c r="D70" i="18" s="1"/>
  <c r="D82" i="18" s="1"/>
  <c r="D94" i="18" s="1"/>
  <c r="D106" i="18" s="1"/>
  <c r="D118" i="18" s="1"/>
  <c r="D130" i="18" s="1"/>
  <c r="D142" i="18" s="1"/>
  <c r="D154" i="18" s="1"/>
  <c r="D166" i="18" s="1"/>
  <c r="D178" i="18" s="1"/>
  <c r="D190" i="18" s="1"/>
  <c r="D202" i="18" s="1"/>
  <c r="D214" i="18" s="1"/>
  <c r="D226" i="18" s="1"/>
  <c r="D238" i="18" s="1"/>
  <c r="D250" i="18" s="1"/>
  <c r="D262" i="18" s="1"/>
  <c r="D274" i="18" s="1"/>
  <c r="D286" i="18" s="1"/>
  <c r="D298" i="18" s="1"/>
  <c r="D310" i="18" s="1"/>
  <c r="C34" i="18"/>
  <c r="M33" i="18"/>
  <c r="M45" i="18" s="1"/>
  <c r="M57" i="18" s="1"/>
  <c r="M69" i="18" s="1"/>
  <c r="M81" i="18" s="1"/>
  <c r="M93" i="18" s="1"/>
  <c r="M105" i="18" s="1"/>
  <c r="M117" i="18" s="1"/>
  <c r="M129" i="18" s="1"/>
  <c r="M141" i="18" s="1"/>
  <c r="M153" i="18" s="1"/>
  <c r="M165" i="18" s="1"/>
  <c r="M177" i="18" s="1"/>
  <c r="M189" i="18" s="1"/>
  <c r="M201" i="18" s="1"/>
  <c r="M213" i="18" s="1"/>
  <c r="M225" i="18" s="1"/>
  <c r="M237" i="18" s="1"/>
  <c r="M249" i="18" s="1"/>
  <c r="M261" i="18" s="1"/>
  <c r="M273" i="18" s="1"/>
  <c r="M285" i="18" s="1"/>
  <c r="M297" i="18" s="1"/>
  <c r="M309" i="18" s="1"/>
  <c r="L33" i="18"/>
  <c r="D33" i="18"/>
  <c r="C33" i="18"/>
  <c r="C45" i="18" s="1"/>
  <c r="C57" i="18" s="1"/>
  <c r="C69" i="18" s="1"/>
  <c r="C81" i="18" s="1"/>
  <c r="C93" i="18" s="1"/>
  <c r="C105" i="18" s="1"/>
  <c r="C117" i="18" s="1"/>
  <c r="C129" i="18" s="1"/>
  <c r="C141" i="18" s="1"/>
  <c r="C153" i="18" s="1"/>
  <c r="C165" i="18" s="1"/>
  <c r="C177" i="18" s="1"/>
  <c r="C189" i="18" s="1"/>
  <c r="C201" i="18" s="1"/>
  <c r="C213" i="18" s="1"/>
  <c r="C225" i="18" s="1"/>
  <c r="C237" i="18" s="1"/>
  <c r="C249" i="18" s="1"/>
  <c r="C261" i="18" s="1"/>
  <c r="C273" i="18" s="1"/>
  <c r="C285" i="18" s="1"/>
  <c r="C297" i="18" s="1"/>
  <c r="C309" i="18" s="1"/>
  <c r="P32" i="18"/>
  <c r="P44" i="18" s="1"/>
  <c r="P56" i="18" s="1"/>
  <c r="P68" i="18" s="1"/>
  <c r="P80" i="18" s="1"/>
  <c r="P92" i="18" s="1"/>
  <c r="P104" i="18" s="1"/>
  <c r="P116" i="18" s="1"/>
  <c r="P128" i="18" s="1"/>
  <c r="P140" i="18" s="1"/>
  <c r="P152" i="18" s="1"/>
  <c r="P164" i="18" s="1"/>
  <c r="P176" i="18" s="1"/>
  <c r="P188" i="18" s="1"/>
  <c r="P200" i="18" s="1"/>
  <c r="P212" i="18" s="1"/>
  <c r="P224" i="18" s="1"/>
  <c r="P236" i="18" s="1"/>
  <c r="P248" i="18" s="1"/>
  <c r="P260" i="18" s="1"/>
  <c r="P272" i="18" s="1"/>
  <c r="P284" i="18" s="1"/>
  <c r="P296" i="18" s="1"/>
  <c r="P308" i="18" s="1"/>
  <c r="M32" i="18"/>
  <c r="L32" i="18"/>
  <c r="L44" i="18" s="1"/>
  <c r="L56" i="18" s="1"/>
  <c r="L68" i="18" s="1"/>
  <c r="L80" i="18" s="1"/>
  <c r="L92" i="18" s="1"/>
  <c r="L104" i="18" s="1"/>
  <c r="L116" i="18" s="1"/>
  <c r="L128" i="18" s="1"/>
  <c r="L140" i="18" s="1"/>
  <c r="L152" i="18" s="1"/>
  <c r="L164" i="18" s="1"/>
  <c r="L176" i="18" s="1"/>
  <c r="L188" i="18" s="1"/>
  <c r="L200" i="18" s="1"/>
  <c r="L212" i="18" s="1"/>
  <c r="L224" i="18" s="1"/>
  <c r="L236" i="18" s="1"/>
  <c r="L248" i="18" s="1"/>
  <c r="L260" i="18" s="1"/>
  <c r="L272" i="18" s="1"/>
  <c r="L284" i="18" s="1"/>
  <c r="L296" i="18" s="1"/>
  <c r="L308" i="18" s="1"/>
  <c r="H32" i="18"/>
  <c r="H44" i="18" s="1"/>
  <c r="H56" i="18" s="1"/>
  <c r="H68" i="18" s="1"/>
  <c r="H80" i="18" s="1"/>
  <c r="H92" i="18" s="1"/>
  <c r="H104" i="18" s="1"/>
  <c r="H116" i="18" s="1"/>
  <c r="H128" i="18" s="1"/>
  <c r="H140" i="18" s="1"/>
  <c r="H152" i="18" s="1"/>
  <c r="H164" i="18" s="1"/>
  <c r="H176" i="18" s="1"/>
  <c r="H188" i="18" s="1"/>
  <c r="H200" i="18" s="1"/>
  <c r="H212" i="18" s="1"/>
  <c r="H224" i="18" s="1"/>
  <c r="H236" i="18" s="1"/>
  <c r="H248" i="18" s="1"/>
  <c r="H260" i="18" s="1"/>
  <c r="H272" i="18" s="1"/>
  <c r="H284" i="18" s="1"/>
  <c r="H296" i="18" s="1"/>
  <c r="H308" i="18" s="1"/>
  <c r="D32" i="18"/>
  <c r="D44" i="18" s="1"/>
  <c r="D56" i="18" s="1"/>
  <c r="D68" i="18" s="1"/>
  <c r="D80" i="18" s="1"/>
  <c r="D92" i="18" s="1"/>
  <c r="D104" i="18" s="1"/>
  <c r="D116" i="18" s="1"/>
  <c r="D128" i="18" s="1"/>
  <c r="D140" i="18" s="1"/>
  <c r="D152" i="18" s="1"/>
  <c r="D164" i="18" s="1"/>
  <c r="D176" i="18" s="1"/>
  <c r="D188" i="18" s="1"/>
  <c r="D200" i="18" s="1"/>
  <c r="D212" i="18" s="1"/>
  <c r="D224" i="18" s="1"/>
  <c r="D236" i="18" s="1"/>
  <c r="D248" i="18" s="1"/>
  <c r="D260" i="18" s="1"/>
  <c r="D272" i="18" s="1"/>
  <c r="D284" i="18" s="1"/>
  <c r="D296" i="18" s="1"/>
  <c r="D308" i="18" s="1"/>
  <c r="C32" i="18"/>
  <c r="C44" i="18" s="1"/>
  <c r="C56" i="18" s="1"/>
  <c r="C68" i="18" s="1"/>
  <c r="C80" i="18" s="1"/>
  <c r="C92" i="18" s="1"/>
  <c r="C104" i="18" s="1"/>
  <c r="C116" i="18" s="1"/>
  <c r="C128" i="18" s="1"/>
  <c r="C140" i="18" s="1"/>
  <c r="C152" i="18" s="1"/>
  <c r="C164" i="18" s="1"/>
  <c r="C176" i="18" s="1"/>
  <c r="C188" i="18" s="1"/>
  <c r="C200" i="18" s="1"/>
  <c r="C212" i="18" s="1"/>
  <c r="C224" i="18" s="1"/>
  <c r="C236" i="18" s="1"/>
  <c r="C248" i="18" s="1"/>
  <c r="C260" i="18" s="1"/>
  <c r="C272" i="18" s="1"/>
  <c r="C284" i="18" s="1"/>
  <c r="C296" i="18" s="1"/>
  <c r="C308" i="18" s="1"/>
  <c r="P31" i="18"/>
  <c r="P43" i="18" s="1"/>
  <c r="P55" i="18" s="1"/>
  <c r="P67" i="18" s="1"/>
  <c r="P79" i="18" s="1"/>
  <c r="P91" i="18" s="1"/>
  <c r="P103" i="18" s="1"/>
  <c r="P115" i="18" s="1"/>
  <c r="P127" i="18" s="1"/>
  <c r="P139" i="18" s="1"/>
  <c r="P151" i="18" s="1"/>
  <c r="P163" i="18" s="1"/>
  <c r="P175" i="18" s="1"/>
  <c r="P187" i="18" s="1"/>
  <c r="P199" i="18" s="1"/>
  <c r="P211" i="18" s="1"/>
  <c r="P223" i="18" s="1"/>
  <c r="P235" i="18" s="1"/>
  <c r="P247" i="18" s="1"/>
  <c r="P259" i="18" s="1"/>
  <c r="P271" i="18" s="1"/>
  <c r="P283" i="18" s="1"/>
  <c r="P295" i="18" s="1"/>
  <c r="P307" i="18" s="1"/>
  <c r="M31" i="18"/>
  <c r="M43" i="18" s="1"/>
  <c r="M55" i="18" s="1"/>
  <c r="M67" i="18" s="1"/>
  <c r="M79" i="18" s="1"/>
  <c r="M91" i="18" s="1"/>
  <c r="M103" i="18" s="1"/>
  <c r="M115" i="18" s="1"/>
  <c r="M127" i="18" s="1"/>
  <c r="M139" i="18" s="1"/>
  <c r="M151" i="18" s="1"/>
  <c r="M163" i="18" s="1"/>
  <c r="M175" i="18" s="1"/>
  <c r="M187" i="18" s="1"/>
  <c r="M199" i="18" s="1"/>
  <c r="M211" i="18" s="1"/>
  <c r="M223" i="18" s="1"/>
  <c r="M235" i="18" s="1"/>
  <c r="M247" i="18" s="1"/>
  <c r="M259" i="18" s="1"/>
  <c r="M271" i="18" s="1"/>
  <c r="M283" i="18" s="1"/>
  <c r="M295" i="18" s="1"/>
  <c r="M307" i="18" s="1"/>
  <c r="L31" i="18"/>
  <c r="L43" i="18" s="1"/>
  <c r="L55" i="18" s="1"/>
  <c r="L67" i="18" s="1"/>
  <c r="L79" i="18" s="1"/>
  <c r="L91" i="18" s="1"/>
  <c r="L103" i="18" s="1"/>
  <c r="L115" i="18" s="1"/>
  <c r="L127" i="18" s="1"/>
  <c r="L139" i="18" s="1"/>
  <c r="L151" i="18" s="1"/>
  <c r="L163" i="18" s="1"/>
  <c r="L175" i="18" s="1"/>
  <c r="L187" i="18" s="1"/>
  <c r="L199" i="18" s="1"/>
  <c r="L211" i="18" s="1"/>
  <c r="L223" i="18" s="1"/>
  <c r="L235" i="18" s="1"/>
  <c r="L247" i="18" s="1"/>
  <c r="L259" i="18" s="1"/>
  <c r="L271" i="18" s="1"/>
  <c r="L283" i="18" s="1"/>
  <c r="L295" i="18" s="1"/>
  <c r="L307" i="18" s="1"/>
  <c r="H31" i="18"/>
  <c r="H43" i="18" s="1"/>
  <c r="H55" i="18" s="1"/>
  <c r="H67" i="18" s="1"/>
  <c r="H79" i="18" s="1"/>
  <c r="H91" i="18" s="1"/>
  <c r="H103" i="18" s="1"/>
  <c r="H115" i="18" s="1"/>
  <c r="H127" i="18" s="1"/>
  <c r="H139" i="18" s="1"/>
  <c r="H151" i="18" s="1"/>
  <c r="H163" i="18" s="1"/>
  <c r="H175" i="18" s="1"/>
  <c r="H187" i="18" s="1"/>
  <c r="H199" i="18" s="1"/>
  <c r="H211" i="18" s="1"/>
  <c r="H223" i="18" s="1"/>
  <c r="H235" i="18" s="1"/>
  <c r="H247" i="18" s="1"/>
  <c r="H259" i="18" s="1"/>
  <c r="H271" i="18" s="1"/>
  <c r="H283" i="18" s="1"/>
  <c r="H295" i="18" s="1"/>
  <c r="H307" i="18" s="1"/>
  <c r="D31" i="18"/>
  <c r="D43" i="18" s="1"/>
  <c r="D55" i="18" s="1"/>
  <c r="D67" i="18" s="1"/>
  <c r="D79" i="18" s="1"/>
  <c r="D91" i="18" s="1"/>
  <c r="D103" i="18" s="1"/>
  <c r="D115" i="18" s="1"/>
  <c r="D127" i="18" s="1"/>
  <c r="D139" i="18" s="1"/>
  <c r="D151" i="18" s="1"/>
  <c r="D163" i="18" s="1"/>
  <c r="D175" i="18" s="1"/>
  <c r="D187" i="18" s="1"/>
  <c r="D199" i="18" s="1"/>
  <c r="D211" i="18" s="1"/>
  <c r="D223" i="18" s="1"/>
  <c r="D235" i="18" s="1"/>
  <c r="D247" i="18" s="1"/>
  <c r="D259" i="18" s="1"/>
  <c r="D271" i="18" s="1"/>
  <c r="D283" i="18" s="1"/>
  <c r="D295" i="18" s="1"/>
  <c r="D307" i="18" s="1"/>
  <c r="C31" i="18"/>
  <c r="C43" i="18" s="1"/>
  <c r="C55" i="18" s="1"/>
  <c r="C67" i="18" s="1"/>
  <c r="C79" i="18" s="1"/>
  <c r="C91" i="18" s="1"/>
  <c r="C103" i="18" s="1"/>
  <c r="C115" i="18" s="1"/>
  <c r="C127" i="18" s="1"/>
  <c r="C139" i="18" s="1"/>
  <c r="C151" i="18" s="1"/>
  <c r="C163" i="18" s="1"/>
  <c r="C175" i="18" s="1"/>
  <c r="C187" i="18" s="1"/>
  <c r="C199" i="18" s="1"/>
  <c r="C211" i="18" s="1"/>
  <c r="C223" i="18" s="1"/>
  <c r="C235" i="18" s="1"/>
  <c r="C247" i="18" s="1"/>
  <c r="C259" i="18" s="1"/>
  <c r="C271" i="18" s="1"/>
  <c r="C283" i="18" s="1"/>
  <c r="C295" i="18" s="1"/>
  <c r="C307" i="18" s="1"/>
  <c r="P30" i="18"/>
  <c r="M30" i="18"/>
  <c r="M42" i="18" s="1"/>
  <c r="M54" i="18" s="1"/>
  <c r="M66" i="18" s="1"/>
  <c r="M78" i="18" s="1"/>
  <c r="M90" i="18" s="1"/>
  <c r="M102" i="18" s="1"/>
  <c r="M114" i="18" s="1"/>
  <c r="M126" i="18" s="1"/>
  <c r="M138" i="18" s="1"/>
  <c r="M150" i="18" s="1"/>
  <c r="M162" i="18" s="1"/>
  <c r="M174" i="18" s="1"/>
  <c r="M186" i="18" s="1"/>
  <c r="M198" i="18" s="1"/>
  <c r="M210" i="18" s="1"/>
  <c r="M222" i="18" s="1"/>
  <c r="M234" i="18" s="1"/>
  <c r="M246" i="18" s="1"/>
  <c r="M258" i="18" s="1"/>
  <c r="M270" i="18" s="1"/>
  <c r="M282" i="18" s="1"/>
  <c r="M294" i="18" s="1"/>
  <c r="M306" i="18" s="1"/>
  <c r="L30" i="18"/>
  <c r="L42" i="18" s="1"/>
  <c r="L54" i="18" s="1"/>
  <c r="L66" i="18" s="1"/>
  <c r="L78" i="18" s="1"/>
  <c r="L90" i="18" s="1"/>
  <c r="L102" i="18" s="1"/>
  <c r="L114" i="18" s="1"/>
  <c r="L126" i="18" s="1"/>
  <c r="L138" i="18" s="1"/>
  <c r="L150" i="18" s="1"/>
  <c r="L162" i="18" s="1"/>
  <c r="L174" i="18" s="1"/>
  <c r="L186" i="18" s="1"/>
  <c r="L198" i="18" s="1"/>
  <c r="L210" i="18" s="1"/>
  <c r="L222" i="18" s="1"/>
  <c r="L234" i="18" s="1"/>
  <c r="L246" i="18" s="1"/>
  <c r="L258" i="18" s="1"/>
  <c r="L270" i="18" s="1"/>
  <c r="L282" i="18" s="1"/>
  <c r="L294" i="18" s="1"/>
  <c r="L306" i="18" s="1"/>
  <c r="H30" i="18"/>
  <c r="H42" i="18" s="1"/>
  <c r="H54" i="18" s="1"/>
  <c r="H66" i="18" s="1"/>
  <c r="H78" i="18" s="1"/>
  <c r="H90" i="18" s="1"/>
  <c r="H102" i="18" s="1"/>
  <c r="H114" i="18" s="1"/>
  <c r="H126" i="18" s="1"/>
  <c r="H138" i="18" s="1"/>
  <c r="H150" i="18" s="1"/>
  <c r="H162" i="18" s="1"/>
  <c r="H174" i="18" s="1"/>
  <c r="H186" i="18" s="1"/>
  <c r="H198" i="18" s="1"/>
  <c r="H210" i="18" s="1"/>
  <c r="H222" i="18" s="1"/>
  <c r="H234" i="18" s="1"/>
  <c r="H246" i="18" s="1"/>
  <c r="H258" i="18" s="1"/>
  <c r="H270" i="18" s="1"/>
  <c r="H282" i="18" s="1"/>
  <c r="H294" i="18" s="1"/>
  <c r="H306" i="18" s="1"/>
  <c r="C29" i="18"/>
  <c r="C41" i="18" s="1"/>
  <c r="C53" i="18" s="1"/>
  <c r="C65" i="18" s="1"/>
  <c r="C77" i="18" s="1"/>
  <c r="C89" i="18" s="1"/>
  <c r="C101" i="18" s="1"/>
  <c r="C113" i="18" s="1"/>
  <c r="C125" i="18" s="1"/>
  <c r="C137" i="18" s="1"/>
  <c r="C149" i="18" s="1"/>
  <c r="C161" i="18" s="1"/>
  <c r="C173" i="18" s="1"/>
  <c r="C185" i="18" s="1"/>
  <c r="C197" i="18" s="1"/>
  <c r="C209" i="18" s="1"/>
  <c r="C221" i="18" s="1"/>
  <c r="C233" i="18" s="1"/>
  <c r="C245" i="18" s="1"/>
  <c r="C257" i="18" s="1"/>
  <c r="C269" i="18" s="1"/>
  <c r="C281" i="18" s="1"/>
  <c r="C293" i="18" s="1"/>
  <c r="C305" i="18" s="1"/>
  <c r="P28" i="18"/>
  <c r="P40" i="18" s="1"/>
  <c r="P52" i="18" s="1"/>
  <c r="P64" i="18" s="1"/>
  <c r="P76" i="18" s="1"/>
  <c r="P88" i="18" s="1"/>
  <c r="P100" i="18" s="1"/>
  <c r="P112" i="18" s="1"/>
  <c r="P124" i="18" s="1"/>
  <c r="P136" i="18" s="1"/>
  <c r="P148" i="18" s="1"/>
  <c r="P160" i="18" s="1"/>
  <c r="P172" i="18" s="1"/>
  <c r="P184" i="18" s="1"/>
  <c r="P196" i="18" s="1"/>
  <c r="P208" i="18" s="1"/>
  <c r="P220" i="18" s="1"/>
  <c r="P232" i="18" s="1"/>
  <c r="P244" i="18" s="1"/>
  <c r="P256" i="18" s="1"/>
  <c r="P268" i="18" s="1"/>
  <c r="P280" i="18" s="1"/>
  <c r="P292" i="18" s="1"/>
  <c r="P304" i="18" s="1"/>
  <c r="L28" i="18"/>
  <c r="L40" i="18" s="1"/>
  <c r="L52" i="18" s="1"/>
  <c r="L64" i="18" s="1"/>
  <c r="L76" i="18" s="1"/>
  <c r="L88" i="18" s="1"/>
  <c r="L100" i="18" s="1"/>
  <c r="L112" i="18" s="1"/>
  <c r="L124" i="18" s="1"/>
  <c r="L136" i="18" s="1"/>
  <c r="L148" i="18" s="1"/>
  <c r="L160" i="18" s="1"/>
  <c r="L172" i="18" s="1"/>
  <c r="L184" i="18" s="1"/>
  <c r="L196" i="18" s="1"/>
  <c r="L208" i="18" s="1"/>
  <c r="L220" i="18" s="1"/>
  <c r="L232" i="18" s="1"/>
  <c r="L244" i="18" s="1"/>
  <c r="L256" i="18" s="1"/>
  <c r="L268" i="18" s="1"/>
  <c r="L280" i="18" s="1"/>
  <c r="L292" i="18" s="1"/>
  <c r="L304" i="18" s="1"/>
  <c r="H28" i="18"/>
  <c r="H40" i="18" s="1"/>
  <c r="H52" i="18" s="1"/>
  <c r="H64" i="18" s="1"/>
  <c r="H76" i="18" s="1"/>
  <c r="H88" i="18" s="1"/>
  <c r="H100" i="18" s="1"/>
  <c r="H112" i="18" s="1"/>
  <c r="H124" i="18" s="1"/>
  <c r="H136" i="18" s="1"/>
  <c r="H148" i="18" s="1"/>
  <c r="H160" i="18" s="1"/>
  <c r="H172" i="18" s="1"/>
  <c r="H184" i="18" s="1"/>
  <c r="H196" i="18" s="1"/>
  <c r="H208" i="18" s="1"/>
  <c r="H220" i="18" s="1"/>
  <c r="H232" i="18" s="1"/>
  <c r="H244" i="18" s="1"/>
  <c r="H256" i="18" s="1"/>
  <c r="H268" i="18" s="1"/>
  <c r="H280" i="18" s="1"/>
  <c r="H292" i="18" s="1"/>
  <c r="H304" i="18" s="1"/>
  <c r="D28" i="18"/>
  <c r="D40" i="18" s="1"/>
  <c r="D52" i="18" s="1"/>
  <c r="D64" i="18" s="1"/>
  <c r="D76" i="18" s="1"/>
  <c r="D88" i="18" s="1"/>
  <c r="D100" i="18" s="1"/>
  <c r="D112" i="18" s="1"/>
  <c r="D124" i="18" s="1"/>
  <c r="D136" i="18" s="1"/>
  <c r="D148" i="18" s="1"/>
  <c r="D160" i="18" s="1"/>
  <c r="D172" i="18" s="1"/>
  <c r="D184" i="18" s="1"/>
  <c r="D196" i="18" s="1"/>
  <c r="D208" i="18" s="1"/>
  <c r="D220" i="18" s="1"/>
  <c r="D232" i="18" s="1"/>
  <c r="D244" i="18" s="1"/>
  <c r="D256" i="18" s="1"/>
  <c r="D268" i="18" s="1"/>
  <c r="D280" i="18" s="1"/>
  <c r="D292" i="18" s="1"/>
  <c r="D304" i="18" s="1"/>
  <c r="C28" i="18"/>
  <c r="C40" i="18" s="1"/>
  <c r="C52" i="18" s="1"/>
  <c r="C64" i="18" s="1"/>
  <c r="C76" i="18" s="1"/>
  <c r="C88" i="18" s="1"/>
  <c r="C100" i="18" s="1"/>
  <c r="C112" i="18" s="1"/>
  <c r="C124" i="18" s="1"/>
  <c r="C136" i="18" s="1"/>
  <c r="C148" i="18" s="1"/>
  <c r="C160" i="18" s="1"/>
  <c r="C172" i="18" s="1"/>
  <c r="C184" i="18" s="1"/>
  <c r="C196" i="18" s="1"/>
  <c r="C208" i="18" s="1"/>
  <c r="C220" i="18" s="1"/>
  <c r="C232" i="18" s="1"/>
  <c r="C244" i="18" s="1"/>
  <c r="C256" i="18" s="1"/>
  <c r="C268" i="18" s="1"/>
  <c r="C280" i="18" s="1"/>
  <c r="C292" i="18" s="1"/>
  <c r="C304" i="18" s="1"/>
  <c r="P27" i="18"/>
  <c r="P39" i="18" s="1"/>
  <c r="P51" i="18" s="1"/>
  <c r="P63" i="18" s="1"/>
  <c r="P75" i="18" s="1"/>
  <c r="P87" i="18" s="1"/>
  <c r="P99" i="18" s="1"/>
  <c r="P111" i="18" s="1"/>
  <c r="P123" i="18" s="1"/>
  <c r="P135" i="18" s="1"/>
  <c r="P147" i="18" s="1"/>
  <c r="P159" i="18" s="1"/>
  <c r="P171" i="18" s="1"/>
  <c r="P183" i="18" s="1"/>
  <c r="P195" i="18" s="1"/>
  <c r="P207" i="18" s="1"/>
  <c r="P219" i="18" s="1"/>
  <c r="P231" i="18" s="1"/>
  <c r="P243" i="18" s="1"/>
  <c r="P255" i="18" s="1"/>
  <c r="P267" i="18" s="1"/>
  <c r="P279" i="18" s="1"/>
  <c r="P291" i="18" s="1"/>
  <c r="P303" i="18" s="1"/>
  <c r="M27" i="18"/>
  <c r="M39" i="18" s="1"/>
  <c r="M51" i="18" s="1"/>
  <c r="M63" i="18" s="1"/>
  <c r="M75" i="18" s="1"/>
  <c r="M87" i="18" s="1"/>
  <c r="M99" i="18" s="1"/>
  <c r="M111" i="18" s="1"/>
  <c r="M123" i="18" s="1"/>
  <c r="M135" i="18" s="1"/>
  <c r="M147" i="18" s="1"/>
  <c r="M159" i="18" s="1"/>
  <c r="M171" i="18" s="1"/>
  <c r="M183" i="18" s="1"/>
  <c r="M195" i="18" s="1"/>
  <c r="M207" i="18" s="1"/>
  <c r="M219" i="18" s="1"/>
  <c r="M231" i="18" s="1"/>
  <c r="M243" i="18" s="1"/>
  <c r="M255" i="18" s="1"/>
  <c r="M267" i="18" s="1"/>
  <c r="M279" i="18" s="1"/>
  <c r="M291" i="18" s="1"/>
  <c r="M303" i="18" s="1"/>
  <c r="L27" i="18"/>
  <c r="L39" i="18" s="1"/>
  <c r="L51" i="18" s="1"/>
  <c r="L63" i="18" s="1"/>
  <c r="L75" i="18" s="1"/>
  <c r="L87" i="18" s="1"/>
  <c r="L99" i="18" s="1"/>
  <c r="L111" i="18" s="1"/>
  <c r="L123" i="18" s="1"/>
  <c r="L135" i="18" s="1"/>
  <c r="L147" i="18" s="1"/>
  <c r="L159" i="18" s="1"/>
  <c r="L171" i="18" s="1"/>
  <c r="L183" i="18" s="1"/>
  <c r="L195" i="18" s="1"/>
  <c r="L207" i="18" s="1"/>
  <c r="L219" i="18" s="1"/>
  <c r="L231" i="18" s="1"/>
  <c r="L243" i="18" s="1"/>
  <c r="L255" i="18" s="1"/>
  <c r="L267" i="18" s="1"/>
  <c r="L279" i="18" s="1"/>
  <c r="L291" i="18" s="1"/>
  <c r="L303" i="18" s="1"/>
  <c r="H27" i="18"/>
  <c r="H39" i="18" s="1"/>
  <c r="H51" i="18" s="1"/>
  <c r="H63" i="18" s="1"/>
  <c r="H75" i="18" s="1"/>
  <c r="H87" i="18" s="1"/>
  <c r="H99" i="18" s="1"/>
  <c r="H111" i="18" s="1"/>
  <c r="H123" i="18" s="1"/>
  <c r="H135" i="18" s="1"/>
  <c r="H147" i="18" s="1"/>
  <c r="H159" i="18" s="1"/>
  <c r="H171" i="18" s="1"/>
  <c r="H183" i="18" s="1"/>
  <c r="H195" i="18" s="1"/>
  <c r="H207" i="18" s="1"/>
  <c r="H219" i="18" s="1"/>
  <c r="H231" i="18" s="1"/>
  <c r="H243" i="18" s="1"/>
  <c r="H255" i="18" s="1"/>
  <c r="H267" i="18" s="1"/>
  <c r="H279" i="18" s="1"/>
  <c r="H291" i="18" s="1"/>
  <c r="H303" i="18" s="1"/>
  <c r="D27" i="18"/>
  <c r="D39" i="18" s="1"/>
  <c r="D51" i="18" s="1"/>
  <c r="D63" i="18" s="1"/>
  <c r="D75" i="18" s="1"/>
  <c r="D87" i="18" s="1"/>
  <c r="D99" i="18" s="1"/>
  <c r="D111" i="18" s="1"/>
  <c r="D123" i="18" s="1"/>
  <c r="D135" i="18" s="1"/>
  <c r="D147" i="18" s="1"/>
  <c r="D159" i="18" s="1"/>
  <c r="D171" i="18" s="1"/>
  <c r="D183" i="18" s="1"/>
  <c r="D195" i="18" s="1"/>
  <c r="D207" i="18" s="1"/>
  <c r="D219" i="18" s="1"/>
  <c r="D231" i="18" s="1"/>
  <c r="D243" i="18" s="1"/>
  <c r="D255" i="18" s="1"/>
  <c r="D267" i="18" s="1"/>
  <c r="D279" i="18" s="1"/>
  <c r="D291" i="18" s="1"/>
  <c r="D303" i="18" s="1"/>
  <c r="C27" i="18"/>
  <c r="C39" i="18" s="1"/>
  <c r="C51" i="18" s="1"/>
  <c r="C63" i="18" s="1"/>
  <c r="C75" i="18" s="1"/>
  <c r="C87" i="18" s="1"/>
  <c r="C99" i="18" s="1"/>
  <c r="C111" i="18" s="1"/>
  <c r="C123" i="18" s="1"/>
  <c r="C135" i="18" s="1"/>
  <c r="C147" i="18" s="1"/>
  <c r="C159" i="18" s="1"/>
  <c r="C171" i="18" s="1"/>
  <c r="C183" i="18" s="1"/>
  <c r="C195" i="18" s="1"/>
  <c r="C207" i="18" s="1"/>
  <c r="C219" i="18" s="1"/>
  <c r="C231" i="18" s="1"/>
  <c r="C243" i="18" s="1"/>
  <c r="C255" i="18" s="1"/>
  <c r="C267" i="18" s="1"/>
  <c r="C279" i="18" s="1"/>
  <c r="C291" i="18" s="1"/>
  <c r="C303" i="18" s="1"/>
  <c r="M26" i="18"/>
  <c r="M38" i="18" s="1"/>
  <c r="M50" i="18" s="1"/>
  <c r="M62" i="18" s="1"/>
  <c r="M74" i="18" s="1"/>
  <c r="M86" i="18" s="1"/>
  <c r="M98" i="18" s="1"/>
  <c r="M110" i="18" s="1"/>
  <c r="M122" i="18" s="1"/>
  <c r="M134" i="18" s="1"/>
  <c r="M146" i="18" s="1"/>
  <c r="M158" i="18" s="1"/>
  <c r="M170" i="18" s="1"/>
  <c r="M182" i="18" s="1"/>
  <c r="M194" i="18" s="1"/>
  <c r="M206" i="18" s="1"/>
  <c r="M218" i="18" s="1"/>
  <c r="M230" i="18" s="1"/>
  <c r="M242" i="18" s="1"/>
  <c r="M254" i="18" s="1"/>
  <c r="M266" i="18" s="1"/>
  <c r="M278" i="18" s="1"/>
  <c r="M290" i="18" s="1"/>
  <c r="M302" i="18" s="1"/>
  <c r="L26" i="18"/>
  <c r="L38" i="18" s="1"/>
  <c r="L50" i="18" s="1"/>
  <c r="L62" i="18" s="1"/>
  <c r="L74" i="18" s="1"/>
  <c r="L86" i="18" s="1"/>
  <c r="L98" i="18" s="1"/>
  <c r="L110" i="18" s="1"/>
  <c r="L122" i="18" s="1"/>
  <c r="L134" i="18" s="1"/>
  <c r="L146" i="18" s="1"/>
  <c r="L158" i="18" s="1"/>
  <c r="L170" i="18" s="1"/>
  <c r="L182" i="18" s="1"/>
  <c r="L194" i="18" s="1"/>
  <c r="L206" i="18" s="1"/>
  <c r="L218" i="18" s="1"/>
  <c r="L230" i="18" s="1"/>
  <c r="L242" i="18" s="1"/>
  <c r="L254" i="18" s="1"/>
  <c r="L266" i="18" s="1"/>
  <c r="L278" i="18" s="1"/>
  <c r="L290" i="18" s="1"/>
  <c r="L302" i="18" s="1"/>
  <c r="D26" i="18"/>
  <c r="D38" i="18" s="1"/>
  <c r="D50" i="18" s="1"/>
  <c r="D62" i="18" s="1"/>
  <c r="D74" i="18" s="1"/>
  <c r="D86" i="18" s="1"/>
  <c r="D98" i="18" s="1"/>
  <c r="D110" i="18" s="1"/>
  <c r="D122" i="18" s="1"/>
  <c r="D134" i="18" s="1"/>
  <c r="D146" i="18" s="1"/>
  <c r="D158" i="18" s="1"/>
  <c r="D170" i="18" s="1"/>
  <c r="D182" i="18" s="1"/>
  <c r="D194" i="18" s="1"/>
  <c r="D206" i="18" s="1"/>
  <c r="D218" i="18" s="1"/>
  <c r="D230" i="18" s="1"/>
  <c r="D242" i="18" s="1"/>
  <c r="D254" i="18" s="1"/>
  <c r="D266" i="18" s="1"/>
  <c r="D278" i="18" s="1"/>
  <c r="D290" i="18" s="1"/>
  <c r="D302" i="18" s="1"/>
  <c r="C26" i="18"/>
  <c r="C38" i="18" s="1"/>
  <c r="C50" i="18" s="1"/>
  <c r="C62" i="18" s="1"/>
  <c r="C74" i="18" s="1"/>
  <c r="C86" i="18" s="1"/>
  <c r="C98" i="18" s="1"/>
  <c r="C110" i="18" s="1"/>
  <c r="C122" i="18" s="1"/>
  <c r="C134" i="18" s="1"/>
  <c r="C146" i="18" s="1"/>
  <c r="C158" i="18" s="1"/>
  <c r="C170" i="18" s="1"/>
  <c r="C182" i="18" s="1"/>
  <c r="C194" i="18" s="1"/>
  <c r="C206" i="18" s="1"/>
  <c r="C218" i="18" s="1"/>
  <c r="C230" i="18" s="1"/>
  <c r="C242" i="18" s="1"/>
  <c r="C254" i="18" s="1"/>
  <c r="C266" i="18" s="1"/>
  <c r="C278" i="18" s="1"/>
  <c r="C290" i="18" s="1"/>
  <c r="C302" i="18" s="1"/>
  <c r="R25" i="18"/>
  <c r="R37" i="18" s="1"/>
  <c r="R49" i="18" s="1"/>
  <c r="R61" i="18" s="1"/>
  <c r="R73" i="18" s="1"/>
  <c r="R85" i="18" s="1"/>
  <c r="R97" i="18" s="1"/>
  <c r="R109" i="18" s="1"/>
  <c r="R121" i="18" s="1"/>
  <c r="R133" i="18" s="1"/>
  <c r="R145" i="18" s="1"/>
  <c r="R157" i="18" s="1"/>
  <c r="R169" i="18" s="1"/>
  <c r="R181" i="18" s="1"/>
  <c r="R193" i="18" s="1"/>
  <c r="R205" i="18" s="1"/>
  <c r="R217" i="18" s="1"/>
  <c r="R229" i="18" s="1"/>
  <c r="R241" i="18" s="1"/>
  <c r="R253" i="18" s="1"/>
  <c r="R265" i="18" s="1"/>
  <c r="R277" i="18" s="1"/>
  <c r="R289" i="18" s="1"/>
  <c r="R301" i="18" s="1"/>
  <c r="R313" i="18" s="1"/>
  <c r="Q25" i="18"/>
  <c r="Q37" i="18" s="1"/>
  <c r="Q49" i="18" s="1"/>
  <c r="Q61" i="18" s="1"/>
  <c r="Q73" i="18" s="1"/>
  <c r="Q85" i="18" s="1"/>
  <c r="Q97" i="18" s="1"/>
  <c r="Q109" i="18" s="1"/>
  <c r="Q121" i="18" s="1"/>
  <c r="Q133" i="18" s="1"/>
  <c r="Q145" i="18" s="1"/>
  <c r="Q157" i="18" s="1"/>
  <c r="Q169" i="18" s="1"/>
  <c r="Q181" i="18" s="1"/>
  <c r="Q193" i="18" s="1"/>
  <c r="Q205" i="18" s="1"/>
  <c r="Q217" i="18" s="1"/>
  <c r="Q229" i="18" s="1"/>
  <c r="Q241" i="18" s="1"/>
  <c r="Q253" i="18" s="1"/>
  <c r="Q265" i="18" s="1"/>
  <c r="Q277" i="18" s="1"/>
  <c r="Q289" i="18" s="1"/>
  <c r="Q301" i="18" s="1"/>
  <c r="Q313" i="18" s="1"/>
  <c r="P25" i="18"/>
  <c r="P37" i="18" s="1"/>
  <c r="O25" i="18"/>
  <c r="O37" i="18" s="1"/>
  <c r="O49" i="18" s="1"/>
  <c r="O61" i="18" s="1"/>
  <c r="O73" i="18" s="1"/>
  <c r="O85" i="18" s="1"/>
  <c r="O97" i="18" s="1"/>
  <c r="O109" i="18" s="1"/>
  <c r="O121" i="18" s="1"/>
  <c r="O133" i="18" s="1"/>
  <c r="O145" i="18" s="1"/>
  <c r="O157" i="18" s="1"/>
  <c r="O169" i="18" s="1"/>
  <c r="O181" i="18" s="1"/>
  <c r="O193" i="18" s="1"/>
  <c r="O205" i="18" s="1"/>
  <c r="O217" i="18" s="1"/>
  <c r="O229" i="18" s="1"/>
  <c r="O241" i="18" s="1"/>
  <c r="O253" i="18" s="1"/>
  <c r="O265" i="18" s="1"/>
  <c r="O277" i="18" s="1"/>
  <c r="O289" i="18" s="1"/>
  <c r="O301" i="18" s="1"/>
  <c r="O313" i="18" s="1"/>
  <c r="N25" i="18"/>
  <c r="N37" i="18" s="1"/>
  <c r="N49" i="18" s="1"/>
  <c r="N61" i="18" s="1"/>
  <c r="N73" i="18" s="1"/>
  <c r="N85" i="18" s="1"/>
  <c r="N97" i="18" s="1"/>
  <c r="N109" i="18" s="1"/>
  <c r="N121" i="18" s="1"/>
  <c r="N133" i="18" s="1"/>
  <c r="N145" i="18" s="1"/>
  <c r="N157" i="18" s="1"/>
  <c r="N169" i="18" s="1"/>
  <c r="N181" i="18" s="1"/>
  <c r="N193" i="18" s="1"/>
  <c r="N205" i="18" s="1"/>
  <c r="N217" i="18" s="1"/>
  <c r="N229" i="18" s="1"/>
  <c r="N241" i="18" s="1"/>
  <c r="N253" i="18" s="1"/>
  <c r="N265" i="18" s="1"/>
  <c r="N277" i="18" s="1"/>
  <c r="N289" i="18" s="1"/>
  <c r="N301" i="18" s="1"/>
  <c r="N313" i="18" s="1"/>
  <c r="M25" i="18"/>
  <c r="M37" i="18" s="1"/>
  <c r="M49" i="18" s="1"/>
  <c r="M61" i="18" s="1"/>
  <c r="M73" i="18" s="1"/>
  <c r="M85" i="18" s="1"/>
  <c r="M97" i="18" s="1"/>
  <c r="M109" i="18" s="1"/>
  <c r="M121" i="18" s="1"/>
  <c r="M133" i="18" s="1"/>
  <c r="M145" i="18" s="1"/>
  <c r="M157" i="18" s="1"/>
  <c r="M169" i="18" s="1"/>
  <c r="M181" i="18" s="1"/>
  <c r="M193" i="18" s="1"/>
  <c r="M205" i="18" s="1"/>
  <c r="M217" i="18" s="1"/>
  <c r="M229" i="18" s="1"/>
  <c r="M241" i="18" s="1"/>
  <c r="M253" i="18" s="1"/>
  <c r="M265" i="18" s="1"/>
  <c r="M277" i="18" s="1"/>
  <c r="M289" i="18" s="1"/>
  <c r="M301" i="18" s="1"/>
  <c r="M313" i="18" s="1"/>
  <c r="L25" i="18"/>
  <c r="K25" i="18"/>
  <c r="K37" i="18" s="1"/>
  <c r="K49" i="18" s="1"/>
  <c r="K61" i="18" s="1"/>
  <c r="K73" i="18" s="1"/>
  <c r="K85" i="18" s="1"/>
  <c r="K97" i="18" s="1"/>
  <c r="K109" i="18" s="1"/>
  <c r="K121" i="18" s="1"/>
  <c r="K133" i="18" s="1"/>
  <c r="K145" i="18" s="1"/>
  <c r="K157" i="18" s="1"/>
  <c r="K169" i="18" s="1"/>
  <c r="K181" i="18" s="1"/>
  <c r="K193" i="18" s="1"/>
  <c r="K205" i="18" s="1"/>
  <c r="K217" i="18" s="1"/>
  <c r="K229" i="18" s="1"/>
  <c r="K241" i="18" s="1"/>
  <c r="K253" i="18" s="1"/>
  <c r="K265" i="18" s="1"/>
  <c r="K277" i="18" s="1"/>
  <c r="K289" i="18" s="1"/>
  <c r="K301" i="18" s="1"/>
  <c r="K313" i="18" s="1"/>
  <c r="J25" i="18"/>
  <c r="J37" i="18" s="1"/>
  <c r="J49" i="18" s="1"/>
  <c r="J61" i="18" s="1"/>
  <c r="J73" i="18" s="1"/>
  <c r="J85" i="18" s="1"/>
  <c r="J97" i="18" s="1"/>
  <c r="J109" i="18" s="1"/>
  <c r="J121" i="18" s="1"/>
  <c r="J133" i="18" s="1"/>
  <c r="J145" i="18" s="1"/>
  <c r="J157" i="18" s="1"/>
  <c r="J169" i="18" s="1"/>
  <c r="J181" i="18" s="1"/>
  <c r="J193" i="18" s="1"/>
  <c r="J205" i="18" s="1"/>
  <c r="J217" i="18" s="1"/>
  <c r="J229" i="18" s="1"/>
  <c r="J241" i="18" s="1"/>
  <c r="J253" i="18" s="1"/>
  <c r="J265" i="18" s="1"/>
  <c r="J277" i="18" s="1"/>
  <c r="J289" i="18" s="1"/>
  <c r="J301" i="18" s="1"/>
  <c r="J313" i="18" s="1"/>
  <c r="I25" i="18"/>
  <c r="I37" i="18" s="1"/>
  <c r="I49" i="18" s="1"/>
  <c r="I61" i="18" s="1"/>
  <c r="I73" i="18" s="1"/>
  <c r="I85" i="18" s="1"/>
  <c r="I97" i="18" s="1"/>
  <c r="I109" i="18" s="1"/>
  <c r="I121" i="18" s="1"/>
  <c r="I133" i="18" s="1"/>
  <c r="I145" i="18" s="1"/>
  <c r="I157" i="18" s="1"/>
  <c r="I169" i="18" s="1"/>
  <c r="I181" i="18" s="1"/>
  <c r="I193" i="18" s="1"/>
  <c r="I205" i="18" s="1"/>
  <c r="I217" i="18" s="1"/>
  <c r="I229" i="18" s="1"/>
  <c r="I241" i="18" s="1"/>
  <c r="I253" i="18" s="1"/>
  <c r="I265" i="18" s="1"/>
  <c r="I277" i="18" s="1"/>
  <c r="I289" i="18" s="1"/>
  <c r="I301" i="18" s="1"/>
  <c r="I313" i="18" s="1"/>
  <c r="H25" i="18"/>
  <c r="H37" i="18" s="1"/>
  <c r="H49" i="18" s="1"/>
  <c r="H61" i="18" s="1"/>
  <c r="H73" i="18" s="1"/>
  <c r="H85" i="18" s="1"/>
  <c r="H97" i="18" s="1"/>
  <c r="H109" i="18" s="1"/>
  <c r="H121" i="18" s="1"/>
  <c r="H133" i="18" s="1"/>
  <c r="H145" i="18" s="1"/>
  <c r="H157" i="18" s="1"/>
  <c r="H169" i="18" s="1"/>
  <c r="H181" i="18" s="1"/>
  <c r="H193" i="18" s="1"/>
  <c r="H205" i="18" s="1"/>
  <c r="H217" i="18" s="1"/>
  <c r="H229" i="18" s="1"/>
  <c r="H241" i="18" s="1"/>
  <c r="H253" i="18" s="1"/>
  <c r="H265" i="18" s="1"/>
  <c r="H277" i="18" s="1"/>
  <c r="H289" i="18" s="1"/>
  <c r="H301" i="18" s="1"/>
  <c r="H313" i="18" s="1"/>
  <c r="G25" i="18"/>
  <c r="G37" i="18" s="1"/>
  <c r="G49" i="18" s="1"/>
  <c r="G61" i="18" s="1"/>
  <c r="G73" i="18" s="1"/>
  <c r="G85" i="18" s="1"/>
  <c r="G97" i="18" s="1"/>
  <c r="G109" i="18" s="1"/>
  <c r="G121" i="18" s="1"/>
  <c r="G133" i="18" s="1"/>
  <c r="G145" i="18" s="1"/>
  <c r="G157" i="18" s="1"/>
  <c r="G169" i="18" s="1"/>
  <c r="G181" i="18" s="1"/>
  <c r="G193" i="18" s="1"/>
  <c r="G205" i="18" s="1"/>
  <c r="G217" i="18" s="1"/>
  <c r="G229" i="18" s="1"/>
  <c r="G241" i="18" s="1"/>
  <c r="G253" i="18" s="1"/>
  <c r="G265" i="18" s="1"/>
  <c r="G277" i="18" s="1"/>
  <c r="G289" i="18" s="1"/>
  <c r="G301" i="18" s="1"/>
  <c r="G313" i="18" s="1"/>
  <c r="F25" i="18"/>
  <c r="F37" i="18" s="1"/>
  <c r="F49" i="18" s="1"/>
  <c r="F61" i="18" s="1"/>
  <c r="F73" i="18" s="1"/>
  <c r="F85" i="18" s="1"/>
  <c r="F97" i="18" s="1"/>
  <c r="F109" i="18" s="1"/>
  <c r="F121" i="18" s="1"/>
  <c r="F133" i="18" s="1"/>
  <c r="F145" i="18" s="1"/>
  <c r="F157" i="18" s="1"/>
  <c r="F169" i="18" s="1"/>
  <c r="F181" i="18" s="1"/>
  <c r="F193" i="18" s="1"/>
  <c r="F205" i="18" s="1"/>
  <c r="F217" i="18" s="1"/>
  <c r="F229" i="18" s="1"/>
  <c r="F241" i="18" s="1"/>
  <c r="F253" i="18" s="1"/>
  <c r="F265" i="18" s="1"/>
  <c r="F277" i="18" s="1"/>
  <c r="F289" i="18" s="1"/>
  <c r="F301" i="18" s="1"/>
  <c r="F313" i="18" s="1"/>
  <c r="E25" i="18"/>
  <c r="D25" i="18"/>
  <c r="D37" i="18" s="1"/>
  <c r="D49" i="18" s="1"/>
  <c r="D61" i="18" s="1"/>
  <c r="D73" i="18" s="1"/>
  <c r="D85" i="18" s="1"/>
  <c r="D97" i="18" s="1"/>
  <c r="D109" i="18" s="1"/>
  <c r="D121" i="18" s="1"/>
  <c r="D133" i="18" s="1"/>
  <c r="D145" i="18" s="1"/>
  <c r="D157" i="18" s="1"/>
  <c r="D169" i="18" s="1"/>
  <c r="D181" i="18" s="1"/>
  <c r="D193" i="18" s="1"/>
  <c r="D205" i="18" s="1"/>
  <c r="D217" i="18" s="1"/>
  <c r="D229" i="18" s="1"/>
  <c r="D241" i="18" s="1"/>
  <c r="D253" i="18" s="1"/>
  <c r="D265" i="18" s="1"/>
  <c r="D277" i="18" s="1"/>
  <c r="D289" i="18" s="1"/>
  <c r="D301" i="18" s="1"/>
  <c r="D313" i="18" s="1"/>
  <c r="C25" i="18"/>
  <c r="R24" i="18"/>
  <c r="R36" i="18" s="1"/>
  <c r="R48" i="18" s="1"/>
  <c r="R60" i="18" s="1"/>
  <c r="R72" i="18" s="1"/>
  <c r="R84" i="18" s="1"/>
  <c r="R96" i="18" s="1"/>
  <c r="R108" i="18" s="1"/>
  <c r="R120" i="18" s="1"/>
  <c r="R132" i="18" s="1"/>
  <c r="R144" i="18" s="1"/>
  <c r="R156" i="18" s="1"/>
  <c r="R168" i="18" s="1"/>
  <c r="R180" i="18" s="1"/>
  <c r="R192" i="18" s="1"/>
  <c r="R204" i="18" s="1"/>
  <c r="R216" i="18" s="1"/>
  <c r="R228" i="18" s="1"/>
  <c r="R240" i="18" s="1"/>
  <c r="R252" i="18" s="1"/>
  <c r="R264" i="18" s="1"/>
  <c r="R276" i="18" s="1"/>
  <c r="R288" i="18" s="1"/>
  <c r="R300" i="18" s="1"/>
  <c r="R312" i="18" s="1"/>
  <c r="Q24" i="18"/>
  <c r="Q36" i="18" s="1"/>
  <c r="Q48" i="18" s="1"/>
  <c r="Q60" i="18" s="1"/>
  <c r="Q72" i="18" s="1"/>
  <c r="Q84" i="18" s="1"/>
  <c r="Q96" i="18" s="1"/>
  <c r="Q108" i="18" s="1"/>
  <c r="Q120" i="18" s="1"/>
  <c r="Q132" i="18" s="1"/>
  <c r="Q144" i="18" s="1"/>
  <c r="Q156" i="18" s="1"/>
  <c r="Q168" i="18" s="1"/>
  <c r="Q180" i="18" s="1"/>
  <c r="Q192" i="18" s="1"/>
  <c r="Q204" i="18" s="1"/>
  <c r="Q216" i="18" s="1"/>
  <c r="Q228" i="18" s="1"/>
  <c r="Q240" i="18" s="1"/>
  <c r="Q252" i="18" s="1"/>
  <c r="Q264" i="18" s="1"/>
  <c r="Q276" i="18" s="1"/>
  <c r="Q288" i="18" s="1"/>
  <c r="Q300" i="18" s="1"/>
  <c r="Q312" i="18" s="1"/>
  <c r="P24" i="18"/>
  <c r="O24" i="18"/>
  <c r="O36" i="18" s="1"/>
  <c r="O48" i="18" s="1"/>
  <c r="O60" i="18" s="1"/>
  <c r="O72" i="18" s="1"/>
  <c r="O84" i="18" s="1"/>
  <c r="O96" i="18" s="1"/>
  <c r="O108" i="18" s="1"/>
  <c r="O120" i="18" s="1"/>
  <c r="O132" i="18" s="1"/>
  <c r="O144" i="18" s="1"/>
  <c r="O156" i="18" s="1"/>
  <c r="O168" i="18" s="1"/>
  <c r="O180" i="18" s="1"/>
  <c r="O192" i="18" s="1"/>
  <c r="O204" i="18" s="1"/>
  <c r="O216" i="18" s="1"/>
  <c r="O228" i="18" s="1"/>
  <c r="O240" i="18" s="1"/>
  <c r="O252" i="18" s="1"/>
  <c r="O264" i="18" s="1"/>
  <c r="O276" i="18" s="1"/>
  <c r="O288" i="18" s="1"/>
  <c r="O300" i="18" s="1"/>
  <c r="O312" i="18" s="1"/>
  <c r="N24" i="18"/>
  <c r="N36" i="18" s="1"/>
  <c r="N48" i="18" s="1"/>
  <c r="N60" i="18" s="1"/>
  <c r="N72" i="18" s="1"/>
  <c r="N84" i="18" s="1"/>
  <c r="N96" i="18" s="1"/>
  <c r="N108" i="18" s="1"/>
  <c r="N120" i="18" s="1"/>
  <c r="N132" i="18" s="1"/>
  <c r="N144" i="18" s="1"/>
  <c r="N156" i="18" s="1"/>
  <c r="N168" i="18" s="1"/>
  <c r="N180" i="18" s="1"/>
  <c r="N192" i="18" s="1"/>
  <c r="N204" i="18" s="1"/>
  <c r="N216" i="18" s="1"/>
  <c r="N228" i="18" s="1"/>
  <c r="N240" i="18" s="1"/>
  <c r="N252" i="18" s="1"/>
  <c r="N264" i="18" s="1"/>
  <c r="N276" i="18" s="1"/>
  <c r="N288" i="18" s="1"/>
  <c r="N300" i="18" s="1"/>
  <c r="N312" i="18" s="1"/>
  <c r="M24" i="18"/>
  <c r="M36" i="18" s="1"/>
  <c r="M48" i="18" s="1"/>
  <c r="M60" i="18" s="1"/>
  <c r="M72" i="18" s="1"/>
  <c r="M84" i="18" s="1"/>
  <c r="M96" i="18" s="1"/>
  <c r="M108" i="18" s="1"/>
  <c r="M120" i="18" s="1"/>
  <c r="M132" i="18" s="1"/>
  <c r="M144" i="18" s="1"/>
  <c r="M156" i="18" s="1"/>
  <c r="M168" i="18" s="1"/>
  <c r="M180" i="18" s="1"/>
  <c r="M192" i="18" s="1"/>
  <c r="M204" i="18" s="1"/>
  <c r="M216" i="18" s="1"/>
  <c r="M228" i="18" s="1"/>
  <c r="M240" i="18" s="1"/>
  <c r="M252" i="18" s="1"/>
  <c r="M264" i="18" s="1"/>
  <c r="M276" i="18" s="1"/>
  <c r="M288" i="18" s="1"/>
  <c r="M300" i="18" s="1"/>
  <c r="M312" i="18" s="1"/>
  <c r="L24" i="18"/>
  <c r="K24" i="18"/>
  <c r="K36" i="18" s="1"/>
  <c r="K48" i="18" s="1"/>
  <c r="K60" i="18" s="1"/>
  <c r="K72" i="18" s="1"/>
  <c r="K84" i="18" s="1"/>
  <c r="K96" i="18" s="1"/>
  <c r="K108" i="18" s="1"/>
  <c r="K120" i="18" s="1"/>
  <c r="K132" i="18" s="1"/>
  <c r="K144" i="18" s="1"/>
  <c r="K156" i="18" s="1"/>
  <c r="K168" i="18" s="1"/>
  <c r="K180" i="18" s="1"/>
  <c r="K192" i="18" s="1"/>
  <c r="K204" i="18" s="1"/>
  <c r="K216" i="18" s="1"/>
  <c r="K228" i="18" s="1"/>
  <c r="K240" i="18" s="1"/>
  <c r="K252" i="18" s="1"/>
  <c r="K264" i="18" s="1"/>
  <c r="K276" i="18" s="1"/>
  <c r="K288" i="18" s="1"/>
  <c r="K300" i="18" s="1"/>
  <c r="K312" i="18" s="1"/>
  <c r="J24" i="18"/>
  <c r="J36" i="18" s="1"/>
  <c r="J48" i="18" s="1"/>
  <c r="J60" i="18" s="1"/>
  <c r="J72" i="18" s="1"/>
  <c r="J84" i="18" s="1"/>
  <c r="J96" i="18" s="1"/>
  <c r="J108" i="18" s="1"/>
  <c r="J120" i="18" s="1"/>
  <c r="J132" i="18" s="1"/>
  <c r="J144" i="18" s="1"/>
  <c r="J156" i="18" s="1"/>
  <c r="J168" i="18" s="1"/>
  <c r="J180" i="18" s="1"/>
  <c r="J192" i="18" s="1"/>
  <c r="J204" i="18" s="1"/>
  <c r="J216" i="18" s="1"/>
  <c r="J228" i="18" s="1"/>
  <c r="J240" i="18" s="1"/>
  <c r="J252" i="18" s="1"/>
  <c r="J264" i="18" s="1"/>
  <c r="J276" i="18" s="1"/>
  <c r="J288" i="18" s="1"/>
  <c r="J300" i="18" s="1"/>
  <c r="J312" i="18" s="1"/>
  <c r="I24" i="18"/>
  <c r="I36" i="18" s="1"/>
  <c r="I48" i="18" s="1"/>
  <c r="I60" i="18" s="1"/>
  <c r="I72" i="18" s="1"/>
  <c r="I84" i="18" s="1"/>
  <c r="I96" i="18" s="1"/>
  <c r="I108" i="18" s="1"/>
  <c r="I120" i="18" s="1"/>
  <c r="I132" i="18" s="1"/>
  <c r="I144" i="18" s="1"/>
  <c r="I156" i="18" s="1"/>
  <c r="I168" i="18" s="1"/>
  <c r="I180" i="18" s="1"/>
  <c r="I192" i="18" s="1"/>
  <c r="I204" i="18" s="1"/>
  <c r="I216" i="18" s="1"/>
  <c r="I228" i="18" s="1"/>
  <c r="I240" i="18" s="1"/>
  <c r="I252" i="18" s="1"/>
  <c r="I264" i="18" s="1"/>
  <c r="I276" i="18" s="1"/>
  <c r="I288" i="18" s="1"/>
  <c r="I300" i="18" s="1"/>
  <c r="I312" i="18" s="1"/>
  <c r="H24" i="18"/>
  <c r="G24" i="18"/>
  <c r="G36" i="18" s="1"/>
  <c r="G48" i="18" s="1"/>
  <c r="G60" i="18" s="1"/>
  <c r="G72" i="18" s="1"/>
  <c r="G84" i="18" s="1"/>
  <c r="G96" i="18" s="1"/>
  <c r="G108" i="18" s="1"/>
  <c r="G120" i="18" s="1"/>
  <c r="G132" i="18" s="1"/>
  <c r="G144" i="18" s="1"/>
  <c r="G156" i="18" s="1"/>
  <c r="G168" i="18" s="1"/>
  <c r="G180" i="18" s="1"/>
  <c r="G192" i="18" s="1"/>
  <c r="G204" i="18" s="1"/>
  <c r="G216" i="18" s="1"/>
  <c r="G228" i="18" s="1"/>
  <c r="G240" i="18" s="1"/>
  <c r="G252" i="18" s="1"/>
  <c r="G264" i="18" s="1"/>
  <c r="G276" i="18" s="1"/>
  <c r="G288" i="18" s="1"/>
  <c r="G300" i="18" s="1"/>
  <c r="G312" i="18" s="1"/>
  <c r="F24" i="18"/>
  <c r="F36" i="18" s="1"/>
  <c r="F48" i="18" s="1"/>
  <c r="F60" i="18" s="1"/>
  <c r="F72" i="18" s="1"/>
  <c r="F84" i="18" s="1"/>
  <c r="F96" i="18" s="1"/>
  <c r="F108" i="18" s="1"/>
  <c r="F120" i="18" s="1"/>
  <c r="F132" i="18" s="1"/>
  <c r="F144" i="18" s="1"/>
  <c r="F156" i="18" s="1"/>
  <c r="F168" i="18" s="1"/>
  <c r="F180" i="18" s="1"/>
  <c r="F192" i="18" s="1"/>
  <c r="F204" i="18" s="1"/>
  <c r="F216" i="18" s="1"/>
  <c r="F228" i="18" s="1"/>
  <c r="F240" i="18" s="1"/>
  <c r="F252" i="18" s="1"/>
  <c r="F264" i="18" s="1"/>
  <c r="F276" i="18" s="1"/>
  <c r="F288" i="18" s="1"/>
  <c r="F300" i="18" s="1"/>
  <c r="F312" i="18" s="1"/>
  <c r="E24" i="18"/>
  <c r="D24" i="18"/>
  <c r="C24" i="18"/>
  <c r="R23" i="18"/>
  <c r="R35" i="18" s="1"/>
  <c r="Q23" i="18"/>
  <c r="Q35" i="18" s="1"/>
  <c r="Q47" i="18" s="1"/>
  <c r="Q59" i="18" s="1"/>
  <c r="Q71" i="18" s="1"/>
  <c r="Q83" i="18" s="1"/>
  <c r="Q95" i="18" s="1"/>
  <c r="Q107" i="18" s="1"/>
  <c r="Q119" i="18" s="1"/>
  <c r="Q131" i="18" s="1"/>
  <c r="Q143" i="18" s="1"/>
  <c r="Q155" i="18" s="1"/>
  <c r="Q167" i="18" s="1"/>
  <c r="Q179" i="18" s="1"/>
  <c r="Q191" i="18" s="1"/>
  <c r="Q203" i="18" s="1"/>
  <c r="Q215" i="18" s="1"/>
  <c r="Q227" i="18" s="1"/>
  <c r="Q239" i="18" s="1"/>
  <c r="Q251" i="18" s="1"/>
  <c r="Q263" i="18" s="1"/>
  <c r="Q275" i="18" s="1"/>
  <c r="Q287" i="18" s="1"/>
  <c r="Q299" i="18" s="1"/>
  <c r="Q311" i="18" s="1"/>
  <c r="P23" i="18"/>
  <c r="O23" i="18"/>
  <c r="O35" i="18" s="1"/>
  <c r="O47" i="18" s="1"/>
  <c r="O59" i="18" s="1"/>
  <c r="O71" i="18" s="1"/>
  <c r="O83" i="18" s="1"/>
  <c r="O95" i="18" s="1"/>
  <c r="O107" i="18" s="1"/>
  <c r="O119" i="18" s="1"/>
  <c r="O131" i="18" s="1"/>
  <c r="O143" i="18" s="1"/>
  <c r="O155" i="18" s="1"/>
  <c r="O167" i="18" s="1"/>
  <c r="O179" i="18" s="1"/>
  <c r="O191" i="18" s="1"/>
  <c r="O203" i="18" s="1"/>
  <c r="O215" i="18" s="1"/>
  <c r="O227" i="18" s="1"/>
  <c r="O239" i="18" s="1"/>
  <c r="O251" i="18" s="1"/>
  <c r="O263" i="18" s="1"/>
  <c r="O275" i="18" s="1"/>
  <c r="O287" i="18" s="1"/>
  <c r="O299" i="18" s="1"/>
  <c r="O311" i="18" s="1"/>
  <c r="N23" i="18"/>
  <c r="N35" i="18" s="1"/>
  <c r="N47" i="18" s="1"/>
  <c r="M23" i="18"/>
  <c r="L23" i="18"/>
  <c r="K23" i="18"/>
  <c r="K35" i="18" s="1"/>
  <c r="K47" i="18" s="1"/>
  <c r="K59" i="18" s="1"/>
  <c r="K71" i="18" s="1"/>
  <c r="K83" i="18" s="1"/>
  <c r="K95" i="18" s="1"/>
  <c r="K107" i="18" s="1"/>
  <c r="K119" i="18" s="1"/>
  <c r="K131" i="18" s="1"/>
  <c r="K143" i="18" s="1"/>
  <c r="K155" i="18" s="1"/>
  <c r="K167" i="18" s="1"/>
  <c r="K179" i="18" s="1"/>
  <c r="K191" i="18" s="1"/>
  <c r="K203" i="18" s="1"/>
  <c r="K215" i="18" s="1"/>
  <c r="K227" i="18" s="1"/>
  <c r="K239" i="18" s="1"/>
  <c r="K251" i="18" s="1"/>
  <c r="K263" i="18" s="1"/>
  <c r="K275" i="18" s="1"/>
  <c r="K287" i="18" s="1"/>
  <c r="K299" i="18" s="1"/>
  <c r="K311" i="18" s="1"/>
  <c r="J23" i="18"/>
  <c r="J35" i="18" s="1"/>
  <c r="J47" i="18" s="1"/>
  <c r="J59" i="18" s="1"/>
  <c r="J71" i="18" s="1"/>
  <c r="J83" i="18" s="1"/>
  <c r="J95" i="18" s="1"/>
  <c r="J107" i="18" s="1"/>
  <c r="J119" i="18" s="1"/>
  <c r="J131" i="18" s="1"/>
  <c r="J143" i="18" s="1"/>
  <c r="J155" i="18" s="1"/>
  <c r="J167" i="18" s="1"/>
  <c r="J179" i="18" s="1"/>
  <c r="J191" i="18" s="1"/>
  <c r="J203" i="18" s="1"/>
  <c r="J215" i="18" s="1"/>
  <c r="J227" i="18" s="1"/>
  <c r="J239" i="18" s="1"/>
  <c r="J251" i="18" s="1"/>
  <c r="J263" i="18" s="1"/>
  <c r="J275" i="18" s="1"/>
  <c r="J287" i="18" s="1"/>
  <c r="J299" i="18" s="1"/>
  <c r="J311" i="18" s="1"/>
  <c r="I23" i="18"/>
  <c r="I35" i="18" s="1"/>
  <c r="I47" i="18" s="1"/>
  <c r="I59" i="18" s="1"/>
  <c r="I71" i="18" s="1"/>
  <c r="I83" i="18" s="1"/>
  <c r="I95" i="18" s="1"/>
  <c r="I107" i="18" s="1"/>
  <c r="I119" i="18" s="1"/>
  <c r="I131" i="18" s="1"/>
  <c r="I143" i="18" s="1"/>
  <c r="I155" i="18" s="1"/>
  <c r="I167" i="18" s="1"/>
  <c r="I179" i="18" s="1"/>
  <c r="I191" i="18" s="1"/>
  <c r="I203" i="18" s="1"/>
  <c r="I215" i="18" s="1"/>
  <c r="I227" i="18" s="1"/>
  <c r="I239" i="18" s="1"/>
  <c r="I251" i="18" s="1"/>
  <c r="I263" i="18" s="1"/>
  <c r="I275" i="18" s="1"/>
  <c r="I287" i="18" s="1"/>
  <c r="I299" i="18" s="1"/>
  <c r="I311" i="18" s="1"/>
  <c r="H23" i="18"/>
  <c r="G23" i="18"/>
  <c r="G35" i="18" s="1"/>
  <c r="G47" i="18" s="1"/>
  <c r="G59" i="18" s="1"/>
  <c r="G71" i="18" s="1"/>
  <c r="G83" i="18" s="1"/>
  <c r="G95" i="18" s="1"/>
  <c r="G107" i="18" s="1"/>
  <c r="G119" i="18" s="1"/>
  <c r="G131" i="18" s="1"/>
  <c r="G143" i="18" s="1"/>
  <c r="G155" i="18" s="1"/>
  <c r="G167" i="18" s="1"/>
  <c r="G179" i="18" s="1"/>
  <c r="G191" i="18" s="1"/>
  <c r="G203" i="18" s="1"/>
  <c r="G215" i="18" s="1"/>
  <c r="G227" i="18" s="1"/>
  <c r="G239" i="18" s="1"/>
  <c r="G251" i="18" s="1"/>
  <c r="G263" i="18" s="1"/>
  <c r="G275" i="18" s="1"/>
  <c r="G287" i="18" s="1"/>
  <c r="G299" i="18" s="1"/>
  <c r="G311" i="18" s="1"/>
  <c r="F23" i="18"/>
  <c r="F35" i="18" s="1"/>
  <c r="F47" i="18" s="1"/>
  <c r="F59" i="18" s="1"/>
  <c r="F71" i="18" s="1"/>
  <c r="F83" i="18" s="1"/>
  <c r="F95" i="18" s="1"/>
  <c r="F107" i="18" s="1"/>
  <c r="F119" i="18" s="1"/>
  <c r="F131" i="18" s="1"/>
  <c r="F143" i="18" s="1"/>
  <c r="F155" i="18" s="1"/>
  <c r="F167" i="18" s="1"/>
  <c r="F179" i="18" s="1"/>
  <c r="F191" i="18" s="1"/>
  <c r="F203" i="18" s="1"/>
  <c r="F215" i="18" s="1"/>
  <c r="F227" i="18" s="1"/>
  <c r="F239" i="18" s="1"/>
  <c r="F251" i="18" s="1"/>
  <c r="F263" i="18" s="1"/>
  <c r="F275" i="18" s="1"/>
  <c r="F287" i="18" s="1"/>
  <c r="F299" i="18" s="1"/>
  <c r="F311" i="18" s="1"/>
  <c r="E23" i="18"/>
  <c r="D23" i="18"/>
  <c r="C23" i="18"/>
  <c r="R22" i="18"/>
  <c r="R34" i="18" s="1"/>
  <c r="R46" i="18" s="1"/>
  <c r="R58" i="18" s="1"/>
  <c r="R70" i="18" s="1"/>
  <c r="R82" i="18" s="1"/>
  <c r="R94" i="18" s="1"/>
  <c r="R106" i="18" s="1"/>
  <c r="R118" i="18" s="1"/>
  <c r="R130" i="18" s="1"/>
  <c r="R142" i="18" s="1"/>
  <c r="R154" i="18" s="1"/>
  <c r="R166" i="18" s="1"/>
  <c r="R178" i="18" s="1"/>
  <c r="R190" i="18" s="1"/>
  <c r="R202" i="18" s="1"/>
  <c r="R214" i="18" s="1"/>
  <c r="R226" i="18" s="1"/>
  <c r="R238" i="18" s="1"/>
  <c r="R250" i="18" s="1"/>
  <c r="R262" i="18" s="1"/>
  <c r="R274" i="18" s="1"/>
  <c r="R286" i="18" s="1"/>
  <c r="R298" i="18" s="1"/>
  <c r="R310" i="18" s="1"/>
  <c r="Q22" i="18"/>
  <c r="Q34" i="18" s="1"/>
  <c r="Q46" i="18" s="1"/>
  <c r="Q58" i="18" s="1"/>
  <c r="Q70" i="18" s="1"/>
  <c r="Q82" i="18" s="1"/>
  <c r="Q94" i="18" s="1"/>
  <c r="Q106" i="18" s="1"/>
  <c r="Q118" i="18" s="1"/>
  <c r="Q130" i="18" s="1"/>
  <c r="Q142" i="18" s="1"/>
  <c r="Q154" i="18" s="1"/>
  <c r="Q166" i="18" s="1"/>
  <c r="Q178" i="18" s="1"/>
  <c r="Q190" i="18" s="1"/>
  <c r="Q202" i="18" s="1"/>
  <c r="Q214" i="18" s="1"/>
  <c r="Q226" i="18" s="1"/>
  <c r="Q238" i="18" s="1"/>
  <c r="Q250" i="18" s="1"/>
  <c r="Q262" i="18" s="1"/>
  <c r="Q274" i="18" s="1"/>
  <c r="Q286" i="18" s="1"/>
  <c r="Q298" i="18" s="1"/>
  <c r="Q310" i="18" s="1"/>
  <c r="P22" i="18"/>
  <c r="P34" i="18" s="1"/>
  <c r="P46" i="18" s="1"/>
  <c r="P58" i="18" s="1"/>
  <c r="P70" i="18" s="1"/>
  <c r="P82" i="18" s="1"/>
  <c r="P94" i="18" s="1"/>
  <c r="P106" i="18" s="1"/>
  <c r="P118" i="18" s="1"/>
  <c r="P130" i="18" s="1"/>
  <c r="P142" i="18" s="1"/>
  <c r="P154" i="18" s="1"/>
  <c r="P166" i="18" s="1"/>
  <c r="P178" i="18" s="1"/>
  <c r="P190" i="18" s="1"/>
  <c r="P202" i="18" s="1"/>
  <c r="P214" i="18" s="1"/>
  <c r="P226" i="18" s="1"/>
  <c r="P238" i="18" s="1"/>
  <c r="P250" i="18" s="1"/>
  <c r="P262" i="18" s="1"/>
  <c r="P274" i="18" s="1"/>
  <c r="P286" i="18" s="1"/>
  <c r="P298" i="18" s="1"/>
  <c r="P310" i="18" s="1"/>
  <c r="O22" i="18"/>
  <c r="O34" i="18" s="1"/>
  <c r="O46" i="18" s="1"/>
  <c r="O58" i="18" s="1"/>
  <c r="O70" i="18" s="1"/>
  <c r="O82" i="18" s="1"/>
  <c r="O94" i="18" s="1"/>
  <c r="O106" i="18" s="1"/>
  <c r="O118" i="18" s="1"/>
  <c r="O130" i="18" s="1"/>
  <c r="O142" i="18" s="1"/>
  <c r="O154" i="18" s="1"/>
  <c r="O166" i="18" s="1"/>
  <c r="O178" i="18" s="1"/>
  <c r="O190" i="18" s="1"/>
  <c r="O202" i="18" s="1"/>
  <c r="O214" i="18" s="1"/>
  <c r="O226" i="18" s="1"/>
  <c r="O238" i="18" s="1"/>
  <c r="O250" i="18" s="1"/>
  <c r="O262" i="18" s="1"/>
  <c r="O274" i="18" s="1"/>
  <c r="O286" i="18" s="1"/>
  <c r="O298" i="18" s="1"/>
  <c r="O310" i="18" s="1"/>
  <c r="N22" i="18"/>
  <c r="N34" i="18" s="1"/>
  <c r="N46" i="18" s="1"/>
  <c r="N58" i="18" s="1"/>
  <c r="N70" i="18" s="1"/>
  <c r="N82" i="18" s="1"/>
  <c r="N94" i="18" s="1"/>
  <c r="N106" i="18" s="1"/>
  <c r="N118" i="18" s="1"/>
  <c r="N130" i="18" s="1"/>
  <c r="N142" i="18" s="1"/>
  <c r="N154" i="18" s="1"/>
  <c r="N166" i="18" s="1"/>
  <c r="N178" i="18" s="1"/>
  <c r="N190" i="18" s="1"/>
  <c r="N202" i="18" s="1"/>
  <c r="N214" i="18" s="1"/>
  <c r="N226" i="18" s="1"/>
  <c r="N238" i="18" s="1"/>
  <c r="N250" i="18" s="1"/>
  <c r="N262" i="18" s="1"/>
  <c r="N274" i="18" s="1"/>
  <c r="N286" i="18" s="1"/>
  <c r="N298" i="18" s="1"/>
  <c r="N310" i="18" s="1"/>
  <c r="M22" i="18"/>
  <c r="L22" i="18"/>
  <c r="K22" i="18"/>
  <c r="K34" i="18" s="1"/>
  <c r="K46" i="18" s="1"/>
  <c r="K58" i="18" s="1"/>
  <c r="K70" i="18" s="1"/>
  <c r="K82" i="18" s="1"/>
  <c r="K94" i="18" s="1"/>
  <c r="K106" i="18" s="1"/>
  <c r="K118" i="18" s="1"/>
  <c r="K130" i="18" s="1"/>
  <c r="K142" i="18" s="1"/>
  <c r="K154" i="18" s="1"/>
  <c r="K166" i="18" s="1"/>
  <c r="K178" i="18" s="1"/>
  <c r="K190" i="18" s="1"/>
  <c r="K202" i="18" s="1"/>
  <c r="K214" i="18" s="1"/>
  <c r="K226" i="18" s="1"/>
  <c r="K238" i="18" s="1"/>
  <c r="K250" i="18" s="1"/>
  <c r="K262" i="18" s="1"/>
  <c r="K274" i="18" s="1"/>
  <c r="K286" i="18" s="1"/>
  <c r="K298" i="18" s="1"/>
  <c r="K310" i="18" s="1"/>
  <c r="J22" i="18"/>
  <c r="J34" i="18" s="1"/>
  <c r="J46" i="18" s="1"/>
  <c r="J58" i="18" s="1"/>
  <c r="J70" i="18" s="1"/>
  <c r="J82" i="18" s="1"/>
  <c r="J94" i="18" s="1"/>
  <c r="J106" i="18" s="1"/>
  <c r="J118" i="18" s="1"/>
  <c r="J130" i="18" s="1"/>
  <c r="J142" i="18" s="1"/>
  <c r="J154" i="18" s="1"/>
  <c r="J166" i="18" s="1"/>
  <c r="J178" i="18" s="1"/>
  <c r="J190" i="18" s="1"/>
  <c r="J202" i="18" s="1"/>
  <c r="J214" i="18" s="1"/>
  <c r="J226" i="18" s="1"/>
  <c r="J238" i="18" s="1"/>
  <c r="J250" i="18" s="1"/>
  <c r="J262" i="18" s="1"/>
  <c r="J274" i="18" s="1"/>
  <c r="J286" i="18" s="1"/>
  <c r="J298" i="18" s="1"/>
  <c r="J310" i="18" s="1"/>
  <c r="I22" i="18"/>
  <c r="I34" i="18" s="1"/>
  <c r="I46" i="18" s="1"/>
  <c r="I58" i="18" s="1"/>
  <c r="I70" i="18" s="1"/>
  <c r="I82" i="18" s="1"/>
  <c r="I94" i="18" s="1"/>
  <c r="I106" i="18" s="1"/>
  <c r="I118" i="18" s="1"/>
  <c r="I130" i="18" s="1"/>
  <c r="I142" i="18" s="1"/>
  <c r="I154" i="18" s="1"/>
  <c r="I166" i="18" s="1"/>
  <c r="I178" i="18" s="1"/>
  <c r="I190" i="18" s="1"/>
  <c r="I202" i="18" s="1"/>
  <c r="I214" i="18" s="1"/>
  <c r="I226" i="18" s="1"/>
  <c r="I238" i="18" s="1"/>
  <c r="I250" i="18" s="1"/>
  <c r="I262" i="18" s="1"/>
  <c r="I274" i="18" s="1"/>
  <c r="I286" i="18" s="1"/>
  <c r="I298" i="18" s="1"/>
  <c r="I310" i="18" s="1"/>
  <c r="H22" i="18"/>
  <c r="H34" i="18" s="1"/>
  <c r="H46" i="18" s="1"/>
  <c r="H58" i="18" s="1"/>
  <c r="H70" i="18" s="1"/>
  <c r="H82" i="18" s="1"/>
  <c r="H94" i="18" s="1"/>
  <c r="H106" i="18" s="1"/>
  <c r="H118" i="18" s="1"/>
  <c r="H130" i="18" s="1"/>
  <c r="H142" i="18" s="1"/>
  <c r="H154" i="18" s="1"/>
  <c r="H166" i="18" s="1"/>
  <c r="H178" i="18" s="1"/>
  <c r="H190" i="18" s="1"/>
  <c r="H202" i="18" s="1"/>
  <c r="H214" i="18" s="1"/>
  <c r="H226" i="18" s="1"/>
  <c r="H238" i="18" s="1"/>
  <c r="H250" i="18" s="1"/>
  <c r="H262" i="18" s="1"/>
  <c r="H274" i="18" s="1"/>
  <c r="H286" i="18" s="1"/>
  <c r="H298" i="18" s="1"/>
  <c r="H310" i="18" s="1"/>
  <c r="G22" i="18"/>
  <c r="G34" i="18" s="1"/>
  <c r="G46" i="18" s="1"/>
  <c r="G58" i="18" s="1"/>
  <c r="G70" i="18" s="1"/>
  <c r="G82" i="18" s="1"/>
  <c r="G94" i="18" s="1"/>
  <c r="G106" i="18" s="1"/>
  <c r="G118" i="18" s="1"/>
  <c r="G130" i="18" s="1"/>
  <c r="G142" i="18" s="1"/>
  <c r="G154" i="18" s="1"/>
  <c r="G166" i="18" s="1"/>
  <c r="G178" i="18" s="1"/>
  <c r="G190" i="18" s="1"/>
  <c r="G202" i="18" s="1"/>
  <c r="G214" i="18" s="1"/>
  <c r="G226" i="18" s="1"/>
  <c r="G238" i="18" s="1"/>
  <c r="G250" i="18" s="1"/>
  <c r="G262" i="18" s="1"/>
  <c r="G274" i="18" s="1"/>
  <c r="G286" i="18" s="1"/>
  <c r="G298" i="18" s="1"/>
  <c r="G310" i="18" s="1"/>
  <c r="F22" i="18"/>
  <c r="F34" i="18" s="1"/>
  <c r="F46" i="18" s="1"/>
  <c r="F58" i="18" s="1"/>
  <c r="F70" i="18" s="1"/>
  <c r="F82" i="18" s="1"/>
  <c r="F94" i="18" s="1"/>
  <c r="F106" i="18" s="1"/>
  <c r="F118" i="18" s="1"/>
  <c r="F130" i="18" s="1"/>
  <c r="F142" i="18" s="1"/>
  <c r="F154" i="18" s="1"/>
  <c r="F166" i="18" s="1"/>
  <c r="F178" i="18" s="1"/>
  <c r="F190" i="18" s="1"/>
  <c r="F202" i="18" s="1"/>
  <c r="F214" i="18" s="1"/>
  <c r="F226" i="18" s="1"/>
  <c r="F238" i="18" s="1"/>
  <c r="F250" i="18" s="1"/>
  <c r="F262" i="18" s="1"/>
  <c r="F274" i="18" s="1"/>
  <c r="F286" i="18" s="1"/>
  <c r="F298" i="18" s="1"/>
  <c r="F310" i="18" s="1"/>
  <c r="E22" i="18"/>
  <c r="D22" i="18"/>
  <c r="C22" i="18"/>
  <c r="R21" i="18"/>
  <c r="R33" i="18" s="1"/>
  <c r="R45" i="18" s="1"/>
  <c r="R57" i="18" s="1"/>
  <c r="R69" i="18" s="1"/>
  <c r="R81" i="18" s="1"/>
  <c r="R93" i="18" s="1"/>
  <c r="R105" i="18" s="1"/>
  <c r="R117" i="18" s="1"/>
  <c r="R129" i="18" s="1"/>
  <c r="R141" i="18" s="1"/>
  <c r="R153" i="18" s="1"/>
  <c r="R165" i="18" s="1"/>
  <c r="R177" i="18" s="1"/>
  <c r="R189" i="18" s="1"/>
  <c r="R201" i="18" s="1"/>
  <c r="R213" i="18" s="1"/>
  <c r="R225" i="18" s="1"/>
  <c r="R237" i="18" s="1"/>
  <c r="R249" i="18" s="1"/>
  <c r="R261" i="18" s="1"/>
  <c r="R273" i="18" s="1"/>
  <c r="R285" i="18" s="1"/>
  <c r="R297" i="18" s="1"/>
  <c r="R309" i="18" s="1"/>
  <c r="Q21" i="18"/>
  <c r="Q33" i="18" s="1"/>
  <c r="Q45" i="18" s="1"/>
  <c r="Q57" i="18" s="1"/>
  <c r="Q69" i="18" s="1"/>
  <c r="Q81" i="18" s="1"/>
  <c r="Q93" i="18" s="1"/>
  <c r="Q105" i="18" s="1"/>
  <c r="Q117" i="18" s="1"/>
  <c r="Q129" i="18" s="1"/>
  <c r="Q141" i="18" s="1"/>
  <c r="Q153" i="18" s="1"/>
  <c r="Q165" i="18" s="1"/>
  <c r="Q177" i="18" s="1"/>
  <c r="Q189" i="18" s="1"/>
  <c r="Q201" i="18" s="1"/>
  <c r="Q213" i="18" s="1"/>
  <c r="Q225" i="18" s="1"/>
  <c r="Q237" i="18" s="1"/>
  <c r="Q249" i="18" s="1"/>
  <c r="Q261" i="18" s="1"/>
  <c r="Q273" i="18" s="1"/>
  <c r="Q285" i="18" s="1"/>
  <c r="Q297" i="18" s="1"/>
  <c r="Q309" i="18" s="1"/>
  <c r="P21" i="18"/>
  <c r="P33" i="18" s="1"/>
  <c r="P45" i="18" s="1"/>
  <c r="P57" i="18" s="1"/>
  <c r="P69" i="18" s="1"/>
  <c r="P81" i="18" s="1"/>
  <c r="P93" i="18" s="1"/>
  <c r="P105" i="18" s="1"/>
  <c r="P117" i="18" s="1"/>
  <c r="P129" i="18" s="1"/>
  <c r="P141" i="18" s="1"/>
  <c r="P153" i="18" s="1"/>
  <c r="P165" i="18" s="1"/>
  <c r="P177" i="18" s="1"/>
  <c r="P189" i="18" s="1"/>
  <c r="P201" i="18" s="1"/>
  <c r="P213" i="18" s="1"/>
  <c r="P225" i="18" s="1"/>
  <c r="P237" i="18" s="1"/>
  <c r="P249" i="18" s="1"/>
  <c r="P261" i="18" s="1"/>
  <c r="P273" i="18" s="1"/>
  <c r="P285" i="18" s="1"/>
  <c r="P297" i="18" s="1"/>
  <c r="P309" i="18" s="1"/>
  <c r="O21" i="18"/>
  <c r="O33" i="18" s="1"/>
  <c r="O45" i="18" s="1"/>
  <c r="O57" i="18" s="1"/>
  <c r="O69" i="18" s="1"/>
  <c r="O81" i="18" s="1"/>
  <c r="O93" i="18" s="1"/>
  <c r="O105" i="18" s="1"/>
  <c r="O117" i="18" s="1"/>
  <c r="O129" i="18" s="1"/>
  <c r="O141" i="18" s="1"/>
  <c r="O153" i="18" s="1"/>
  <c r="O165" i="18" s="1"/>
  <c r="O177" i="18" s="1"/>
  <c r="O189" i="18" s="1"/>
  <c r="O201" i="18" s="1"/>
  <c r="O213" i="18" s="1"/>
  <c r="O225" i="18" s="1"/>
  <c r="O237" i="18" s="1"/>
  <c r="O249" i="18" s="1"/>
  <c r="O261" i="18" s="1"/>
  <c r="O273" i="18" s="1"/>
  <c r="O285" i="18" s="1"/>
  <c r="O297" i="18" s="1"/>
  <c r="O309" i="18" s="1"/>
  <c r="N21" i="18"/>
  <c r="N33" i="18" s="1"/>
  <c r="N45" i="18" s="1"/>
  <c r="N57" i="18" s="1"/>
  <c r="N69" i="18" s="1"/>
  <c r="N81" i="18" s="1"/>
  <c r="N93" i="18" s="1"/>
  <c r="N105" i="18" s="1"/>
  <c r="N117" i="18" s="1"/>
  <c r="N129" i="18" s="1"/>
  <c r="N141" i="18" s="1"/>
  <c r="N153" i="18" s="1"/>
  <c r="N165" i="18" s="1"/>
  <c r="N177" i="18" s="1"/>
  <c r="N189" i="18" s="1"/>
  <c r="N201" i="18" s="1"/>
  <c r="N213" i="18" s="1"/>
  <c r="N225" i="18" s="1"/>
  <c r="N237" i="18" s="1"/>
  <c r="N249" i="18" s="1"/>
  <c r="N261" i="18" s="1"/>
  <c r="N273" i="18" s="1"/>
  <c r="N285" i="18" s="1"/>
  <c r="N297" i="18" s="1"/>
  <c r="N309" i="18" s="1"/>
  <c r="M21" i="18"/>
  <c r="L21" i="18"/>
  <c r="K21" i="18"/>
  <c r="K33" i="18" s="1"/>
  <c r="K45" i="18" s="1"/>
  <c r="K57" i="18" s="1"/>
  <c r="K69" i="18" s="1"/>
  <c r="K81" i="18" s="1"/>
  <c r="K93" i="18" s="1"/>
  <c r="K105" i="18" s="1"/>
  <c r="K117" i="18" s="1"/>
  <c r="K129" i="18" s="1"/>
  <c r="K141" i="18" s="1"/>
  <c r="K153" i="18" s="1"/>
  <c r="K165" i="18" s="1"/>
  <c r="K177" i="18" s="1"/>
  <c r="K189" i="18" s="1"/>
  <c r="K201" i="18" s="1"/>
  <c r="K213" i="18" s="1"/>
  <c r="K225" i="18" s="1"/>
  <c r="K237" i="18" s="1"/>
  <c r="K249" i="18" s="1"/>
  <c r="K261" i="18" s="1"/>
  <c r="K273" i="18" s="1"/>
  <c r="K285" i="18" s="1"/>
  <c r="K297" i="18" s="1"/>
  <c r="K309" i="18" s="1"/>
  <c r="J21" i="18"/>
  <c r="J33" i="18" s="1"/>
  <c r="J45" i="18" s="1"/>
  <c r="J57" i="18" s="1"/>
  <c r="J69" i="18" s="1"/>
  <c r="J81" i="18" s="1"/>
  <c r="J93" i="18" s="1"/>
  <c r="J105" i="18" s="1"/>
  <c r="J117" i="18" s="1"/>
  <c r="J129" i="18" s="1"/>
  <c r="J141" i="18" s="1"/>
  <c r="J153" i="18" s="1"/>
  <c r="J165" i="18" s="1"/>
  <c r="J177" i="18" s="1"/>
  <c r="J189" i="18" s="1"/>
  <c r="J201" i="18" s="1"/>
  <c r="J213" i="18" s="1"/>
  <c r="J225" i="18" s="1"/>
  <c r="J237" i="18" s="1"/>
  <c r="J249" i="18" s="1"/>
  <c r="J261" i="18" s="1"/>
  <c r="J273" i="18" s="1"/>
  <c r="J285" i="18" s="1"/>
  <c r="J297" i="18" s="1"/>
  <c r="J309" i="18" s="1"/>
  <c r="I21" i="18"/>
  <c r="I33" i="18" s="1"/>
  <c r="I45" i="18" s="1"/>
  <c r="I57" i="18" s="1"/>
  <c r="I69" i="18" s="1"/>
  <c r="I81" i="18" s="1"/>
  <c r="I93" i="18" s="1"/>
  <c r="I105" i="18" s="1"/>
  <c r="I117" i="18" s="1"/>
  <c r="I129" i="18" s="1"/>
  <c r="I141" i="18" s="1"/>
  <c r="I153" i="18" s="1"/>
  <c r="I165" i="18" s="1"/>
  <c r="I177" i="18" s="1"/>
  <c r="I189" i="18" s="1"/>
  <c r="I201" i="18" s="1"/>
  <c r="I213" i="18" s="1"/>
  <c r="I225" i="18" s="1"/>
  <c r="I237" i="18" s="1"/>
  <c r="I249" i="18" s="1"/>
  <c r="I261" i="18" s="1"/>
  <c r="I273" i="18" s="1"/>
  <c r="I285" i="18" s="1"/>
  <c r="I297" i="18" s="1"/>
  <c r="I309" i="18" s="1"/>
  <c r="H21" i="18"/>
  <c r="H33" i="18" s="1"/>
  <c r="H45" i="18" s="1"/>
  <c r="H57" i="18" s="1"/>
  <c r="H69" i="18" s="1"/>
  <c r="H81" i="18" s="1"/>
  <c r="H93" i="18" s="1"/>
  <c r="H105" i="18" s="1"/>
  <c r="H117" i="18" s="1"/>
  <c r="H129" i="18" s="1"/>
  <c r="H141" i="18" s="1"/>
  <c r="H153" i="18" s="1"/>
  <c r="H165" i="18" s="1"/>
  <c r="H177" i="18" s="1"/>
  <c r="H189" i="18" s="1"/>
  <c r="H201" i="18" s="1"/>
  <c r="H213" i="18" s="1"/>
  <c r="H225" i="18" s="1"/>
  <c r="H237" i="18" s="1"/>
  <c r="H249" i="18" s="1"/>
  <c r="H261" i="18" s="1"/>
  <c r="H273" i="18" s="1"/>
  <c r="H285" i="18" s="1"/>
  <c r="H297" i="18" s="1"/>
  <c r="H309" i="18" s="1"/>
  <c r="G21" i="18"/>
  <c r="G33" i="18" s="1"/>
  <c r="G45" i="18" s="1"/>
  <c r="G57" i="18" s="1"/>
  <c r="G69" i="18" s="1"/>
  <c r="G81" i="18" s="1"/>
  <c r="G93" i="18" s="1"/>
  <c r="G105" i="18" s="1"/>
  <c r="G117" i="18" s="1"/>
  <c r="G129" i="18" s="1"/>
  <c r="G141" i="18" s="1"/>
  <c r="G153" i="18" s="1"/>
  <c r="G165" i="18" s="1"/>
  <c r="G177" i="18" s="1"/>
  <c r="G189" i="18" s="1"/>
  <c r="G201" i="18" s="1"/>
  <c r="G213" i="18" s="1"/>
  <c r="G225" i="18" s="1"/>
  <c r="G237" i="18" s="1"/>
  <c r="G249" i="18" s="1"/>
  <c r="G261" i="18" s="1"/>
  <c r="G273" i="18" s="1"/>
  <c r="G285" i="18" s="1"/>
  <c r="G297" i="18" s="1"/>
  <c r="G309" i="18" s="1"/>
  <c r="F21" i="18"/>
  <c r="F33" i="18" s="1"/>
  <c r="F45" i="18" s="1"/>
  <c r="F57" i="18" s="1"/>
  <c r="F69" i="18" s="1"/>
  <c r="F81" i="18" s="1"/>
  <c r="F93" i="18" s="1"/>
  <c r="F105" i="18" s="1"/>
  <c r="F117" i="18" s="1"/>
  <c r="F129" i="18" s="1"/>
  <c r="F141" i="18" s="1"/>
  <c r="F153" i="18" s="1"/>
  <c r="F165" i="18" s="1"/>
  <c r="F177" i="18" s="1"/>
  <c r="F189" i="18" s="1"/>
  <c r="F201" i="18" s="1"/>
  <c r="F213" i="18" s="1"/>
  <c r="F225" i="18" s="1"/>
  <c r="F237" i="18" s="1"/>
  <c r="F249" i="18" s="1"/>
  <c r="F261" i="18" s="1"/>
  <c r="F273" i="18" s="1"/>
  <c r="F285" i="18" s="1"/>
  <c r="F297" i="18" s="1"/>
  <c r="F309" i="18" s="1"/>
  <c r="E21" i="18"/>
  <c r="D21" i="18"/>
  <c r="C21" i="18"/>
  <c r="R20" i="18"/>
  <c r="R32" i="18" s="1"/>
  <c r="R44" i="18" s="1"/>
  <c r="R56" i="18" s="1"/>
  <c r="R68" i="18" s="1"/>
  <c r="R80" i="18" s="1"/>
  <c r="R92" i="18" s="1"/>
  <c r="R104" i="18" s="1"/>
  <c r="R116" i="18" s="1"/>
  <c r="R128" i="18" s="1"/>
  <c r="R140" i="18" s="1"/>
  <c r="R152" i="18" s="1"/>
  <c r="R164" i="18" s="1"/>
  <c r="R176" i="18" s="1"/>
  <c r="R188" i="18" s="1"/>
  <c r="R200" i="18" s="1"/>
  <c r="R212" i="18" s="1"/>
  <c r="R224" i="18" s="1"/>
  <c r="R236" i="18" s="1"/>
  <c r="R248" i="18" s="1"/>
  <c r="R260" i="18" s="1"/>
  <c r="R272" i="18" s="1"/>
  <c r="R284" i="18" s="1"/>
  <c r="R296" i="18" s="1"/>
  <c r="R308" i="18" s="1"/>
  <c r="Q20" i="18"/>
  <c r="Q32" i="18" s="1"/>
  <c r="Q44" i="18" s="1"/>
  <c r="Q56" i="18" s="1"/>
  <c r="Q68" i="18" s="1"/>
  <c r="Q80" i="18" s="1"/>
  <c r="Q92" i="18" s="1"/>
  <c r="Q104" i="18" s="1"/>
  <c r="Q116" i="18" s="1"/>
  <c r="Q128" i="18" s="1"/>
  <c r="Q140" i="18" s="1"/>
  <c r="Q152" i="18" s="1"/>
  <c r="Q164" i="18" s="1"/>
  <c r="Q176" i="18" s="1"/>
  <c r="Q188" i="18" s="1"/>
  <c r="Q200" i="18" s="1"/>
  <c r="Q212" i="18" s="1"/>
  <c r="Q224" i="18" s="1"/>
  <c r="Q236" i="18" s="1"/>
  <c r="Q248" i="18" s="1"/>
  <c r="Q260" i="18" s="1"/>
  <c r="Q272" i="18" s="1"/>
  <c r="Q284" i="18" s="1"/>
  <c r="Q296" i="18" s="1"/>
  <c r="Q308" i="18" s="1"/>
  <c r="P20" i="18"/>
  <c r="O20" i="18"/>
  <c r="O32" i="18" s="1"/>
  <c r="O44" i="18" s="1"/>
  <c r="O56" i="18" s="1"/>
  <c r="O68" i="18" s="1"/>
  <c r="O80" i="18" s="1"/>
  <c r="O92" i="18" s="1"/>
  <c r="O104" i="18" s="1"/>
  <c r="O116" i="18" s="1"/>
  <c r="O128" i="18" s="1"/>
  <c r="O140" i="18" s="1"/>
  <c r="O152" i="18" s="1"/>
  <c r="O164" i="18" s="1"/>
  <c r="O176" i="18" s="1"/>
  <c r="O188" i="18" s="1"/>
  <c r="O200" i="18" s="1"/>
  <c r="O212" i="18" s="1"/>
  <c r="O224" i="18" s="1"/>
  <c r="O236" i="18" s="1"/>
  <c r="O248" i="18" s="1"/>
  <c r="O260" i="18" s="1"/>
  <c r="O272" i="18" s="1"/>
  <c r="O284" i="18" s="1"/>
  <c r="O296" i="18" s="1"/>
  <c r="O308" i="18" s="1"/>
  <c r="N20" i="18"/>
  <c r="N32" i="18" s="1"/>
  <c r="N44" i="18" s="1"/>
  <c r="N56" i="18" s="1"/>
  <c r="N68" i="18" s="1"/>
  <c r="N80" i="18" s="1"/>
  <c r="N92" i="18" s="1"/>
  <c r="N104" i="18" s="1"/>
  <c r="N116" i="18" s="1"/>
  <c r="N128" i="18" s="1"/>
  <c r="N140" i="18" s="1"/>
  <c r="N152" i="18" s="1"/>
  <c r="N164" i="18" s="1"/>
  <c r="N176" i="18" s="1"/>
  <c r="N188" i="18" s="1"/>
  <c r="N200" i="18" s="1"/>
  <c r="N212" i="18" s="1"/>
  <c r="N224" i="18" s="1"/>
  <c r="N236" i="18" s="1"/>
  <c r="N248" i="18" s="1"/>
  <c r="N260" i="18" s="1"/>
  <c r="N272" i="18" s="1"/>
  <c r="N284" i="18" s="1"/>
  <c r="N296" i="18" s="1"/>
  <c r="N308" i="18" s="1"/>
  <c r="M20" i="18"/>
  <c r="L20" i="18"/>
  <c r="K20" i="18"/>
  <c r="K32" i="18" s="1"/>
  <c r="K44" i="18" s="1"/>
  <c r="K56" i="18" s="1"/>
  <c r="K68" i="18" s="1"/>
  <c r="K80" i="18" s="1"/>
  <c r="K92" i="18" s="1"/>
  <c r="K104" i="18" s="1"/>
  <c r="K116" i="18" s="1"/>
  <c r="K128" i="18" s="1"/>
  <c r="K140" i="18" s="1"/>
  <c r="K152" i="18" s="1"/>
  <c r="K164" i="18" s="1"/>
  <c r="K176" i="18" s="1"/>
  <c r="K188" i="18" s="1"/>
  <c r="K200" i="18" s="1"/>
  <c r="K212" i="18" s="1"/>
  <c r="K224" i="18" s="1"/>
  <c r="K236" i="18" s="1"/>
  <c r="K248" i="18" s="1"/>
  <c r="K260" i="18" s="1"/>
  <c r="K272" i="18" s="1"/>
  <c r="K284" i="18" s="1"/>
  <c r="K296" i="18" s="1"/>
  <c r="K308" i="18" s="1"/>
  <c r="J20" i="18"/>
  <c r="J32" i="18" s="1"/>
  <c r="J44" i="18" s="1"/>
  <c r="J56" i="18" s="1"/>
  <c r="J68" i="18" s="1"/>
  <c r="J80" i="18" s="1"/>
  <c r="J92" i="18" s="1"/>
  <c r="J104" i="18" s="1"/>
  <c r="J116" i="18" s="1"/>
  <c r="J128" i="18" s="1"/>
  <c r="J140" i="18" s="1"/>
  <c r="J152" i="18" s="1"/>
  <c r="J164" i="18" s="1"/>
  <c r="J176" i="18" s="1"/>
  <c r="J188" i="18" s="1"/>
  <c r="J200" i="18" s="1"/>
  <c r="J212" i="18" s="1"/>
  <c r="J224" i="18" s="1"/>
  <c r="J236" i="18" s="1"/>
  <c r="J248" i="18" s="1"/>
  <c r="J260" i="18" s="1"/>
  <c r="J272" i="18" s="1"/>
  <c r="J284" i="18" s="1"/>
  <c r="J296" i="18" s="1"/>
  <c r="J308" i="18" s="1"/>
  <c r="I20" i="18"/>
  <c r="I32" i="18" s="1"/>
  <c r="I44" i="18" s="1"/>
  <c r="I56" i="18" s="1"/>
  <c r="I68" i="18" s="1"/>
  <c r="I80" i="18" s="1"/>
  <c r="I92" i="18" s="1"/>
  <c r="I104" i="18" s="1"/>
  <c r="I116" i="18" s="1"/>
  <c r="I128" i="18" s="1"/>
  <c r="I140" i="18" s="1"/>
  <c r="I152" i="18" s="1"/>
  <c r="I164" i="18" s="1"/>
  <c r="I176" i="18" s="1"/>
  <c r="I188" i="18" s="1"/>
  <c r="I200" i="18" s="1"/>
  <c r="I212" i="18" s="1"/>
  <c r="I224" i="18" s="1"/>
  <c r="I236" i="18" s="1"/>
  <c r="I248" i="18" s="1"/>
  <c r="I260" i="18" s="1"/>
  <c r="I272" i="18" s="1"/>
  <c r="I284" i="18" s="1"/>
  <c r="I296" i="18" s="1"/>
  <c r="I308" i="18" s="1"/>
  <c r="H20" i="18"/>
  <c r="G20" i="18"/>
  <c r="G32" i="18" s="1"/>
  <c r="G44" i="18" s="1"/>
  <c r="G56" i="18" s="1"/>
  <c r="G68" i="18" s="1"/>
  <c r="G80" i="18" s="1"/>
  <c r="G92" i="18" s="1"/>
  <c r="G104" i="18" s="1"/>
  <c r="G116" i="18" s="1"/>
  <c r="G128" i="18" s="1"/>
  <c r="G140" i="18" s="1"/>
  <c r="G152" i="18" s="1"/>
  <c r="G164" i="18" s="1"/>
  <c r="G176" i="18" s="1"/>
  <c r="G188" i="18" s="1"/>
  <c r="G200" i="18" s="1"/>
  <c r="G212" i="18" s="1"/>
  <c r="G224" i="18" s="1"/>
  <c r="G236" i="18" s="1"/>
  <c r="G248" i="18" s="1"/>
  <c r="G260" i="18" s="1"/>
  <c r="G272" i="18" s="1"/>
  <c r="G284" i="18" s="1"/>
  <c r="G296" i="18" s="1"/>
  <c r="G308" i="18" s="1"/>
  <c r="F20" i="18"/>
  <c r="F32" i="18" s="1"/>
  <c r="F44" i="18" s="1"/>
  <c r="F56" i="18" s="1"/>
  <c r="F68" i="18" s="1"/>
  <c r="F80" i="18" s="1"/>
  <c r="F92" i="18" s="1"/>
  <c r="F104" i="18" s="1"/>
  <c r="F116" i="18" s="1"/>
  <c r="F128" i="18" s="1"/>
  <c r="F140" i="18" s="1"/>
  <c r="F152" i="18" s="1"/>
  <c r="F164" i="18" s="1"/>
  <c r="F176" i="18" s="1"/>
  <c r="F188" i="18" s="1"/>
  <c r="F200" i="18" s="1"/>
  <c r="F212" i="18" s="1"/>
  <c r="F224" i="18" s="1"/>
  <c r="F236" i="18" s="1"/>
  <c r="F248" i="18" s="1"/>
  <c r="F260" i="18" s="1"/>
  <c r="F272" i="18" s="1"/>
  <c r="F284" i="18" s="1"/>
  <c r="F296" i="18" s="1"/>
  <c r="F308" i="18" s="1"/>
  <c r="E20" i="18"/>
  <c r="D20" i="18"/>
  <c r="C20" i="18"/>
  <c r="R19" i="18"/>
  <c r="R31" i="18" s="1"/>
  <c r="R43" i="18" s="1"/>
  <c r="R55" i="18" s="1"/>
  <c r="R67" i="18" s="1"/>
  <c r="R79" i="18" s="1"/>
  <c r="R91" i="18" s="1"/>
  <c r="R103" i="18" s="1"/>
  <c r="R115" i="18" s="1"/>
  <c r="R127" i="18" s="1"/>
  <c r="R139" i="18" s="1"/>
  <c r="R151" i="18" s="1"/>
  <c r="R163" i="18" s="1"/>
  <c r="R175" i="18" s="1"/>
  <c r="R187" i="18" s="1"/>
  <c r="R199" i="18" s="1"/>
  <c r="R211" i="18" s="1"/>
  <c r="R223" i="18" s="1"/>
  <c r="R235" i="18" s="1"/>
  <c r="R247" i="18" s="1"/>
  <c r="R259" i="18" s="1"/>
  <c r="R271" i="18" s="1"/>
  <c r="R283" i="18" s="1"/>
  <c r="R295" i="18" s="1"/>
  <c r="R307" i="18" s="1"/>
  <c r="Q19" i="18"/>
  <c r="Q31" i="18" s="1"/>
  <c r="Q43" i="18" s="1"/>
  <c r="Q55" i="18" s="1"/>
  <c r="Q67" i="18" s="1"/>
  <c r="Q79" i="18" s="1"/>
  <c r="Q91" i="18" s="1"/>
  <c r="Q103" i="18" s="1"/>
  <c r="Q115" i="18" s="1"/>
  <c r="Q127" i="18" s="1"/>
  <c r="Q139" i="18" s="1"/>
  <c r="Q151" i="18" s="1"/>
  <c r="Q163" i="18" s="1"/>
  <c r="Q175" i="18" s="1"/>
  <c r="Q187" i="18" s="1"/>
  <c r="Q199" i="18" s="1"/>
  <c r="Q211" i="18" s="1"/>
  <c r="Q223" i="18" s="1"/>
  <c r="Q235" i="18" s="1"/>
  <c r="Q247" i="18" s="1"/>
  <c r="Q259" i="18" s="1"/>
  <c r="Q271" i="18" s="1"/>
  <c r="Q283" i="18" s="1"/>
  <c r="Q295" i="18" s="1"/>
  <c r="Q307" i="18" s="1"/>
  <c r="P19" i="18"/>
  <c r="O19" i="18"/>
  <c r="O31" i="18" s="1"/>
  <c r="O43" i="18" s="1"/>
  <c r="O55" i="18" s="1"/>
  <c r="O67" i="18" s="1"/>
  <c r="O79" i="18" s="1"/>
  <c r="O91" i="18" s="1"/>
  <c r="O103" i="18" s="1"/>
  <c r="O115" i="18" s="1"/>
  <c r="O127" i="18" s="1"/>
  <c r="O139" i="18" s="1"/>
  <c r="O151" i="18" s="1"/>
  <c r="O163" i="18" s="1"/>
  <c r="O175" i="18" s="1"/>
  <c r="O187" i="18" s="1"/>
  <c r="O199" i="18" s="1"/>
  <c r="O211" i="18" s="1"/>
  <c r="O223" i="18" s="1"/>
  <c r="O235" i="18" s="1"/>
  <c r="O247" i="18" s="1"/>
  <c r="O259" i="18" s="1"/>
  <c r="O271" i="18" s="1"/>
  <c r="O283" i="18" s="1"/>
  <c r="O295" i="18" s="1"/>
  <c r="O307" i="18" s="1"/>
  <c r="N19" i="18"/>
  <c r="N31" i="18" s="1"/>
  <c r="N43" i="18" s="1"/>
  <c r="N55" i="18" s="1"/>
  <c r="N67" i="18" s="1"/>
  <c r="N79" i="18" s="1"/>
  <c r="N91" i="18" s="1"/>
  <c r="N103" i="18" s="1"/>
  <c r="N115" i="18" s="1"/>
  <c r="N127" i="18" s="1"/>
  <c r="N139" i="18" s="1"/>
  <c r="N151" i="18" s="1"/>
  <c r="N163" i="18" s="1"/>
  <c r="N175" i="18" s="1"/>
  <c r="N187" i="18" s="1"/>
  <c r="N199" i="18" s="1"/>
  <c r="N211" i="18" s="1"/>
  <c r="N223" i="18" s="1"/>
  <c r="N235" i="18" s="1"/>
  <c r="N247" i="18" s="1"/>
  <c r="N259" i="18" s="1"/>
  <c r="N271" i="18" s="1"/>
  <c r="N283" i="18" s="1"/>
  <c r="N295" i="18" s="1"/>
  <c r="N307" i="18" s="1"/>
  <c r="M19" i="18"/>
  <c r="L19" i="18"/>
  <c r="K19" i="18"/>
  <c r="K31" i="18" s="1"/>
  <c r="K43" i="18" s="1"/>
  <c r="K55" i="18" s="1"/>
  <c r="K67" i="18" s="1"/>
  <c r="K79" i="18" s="1"/>
  <c r="K91" i="18" s="1"/>
  <c r="K103" i="18" s="1"/>
  <c r="K115" i="18" s="1"/>
  <c r="K127" i="18" s="1"/>
  <c r="K139" i="18" s="1"/>
  <c r="K151" i="18" s="1"/>
  <c r="K163" i="18" s="1"/>
  <c r="K175" i="18" s="1"/>
  <c r="K187" i="18" s="1"/>
  <c r="K199" i="18" s="1"/>
  <c r="K211" i="18" s="1"/>
  <c r="K223" i="18" s="1"/>
  <c r="K235" i="18" s="1"/>
  <c r="K247" i="18" s="1"/>
  <c r="K259" i="18" s="1"/>
  <c r="K271" i="18" s="1"/>
  <c r="K283" i="18" s="1"/>
  <c r="K295" i="18" s="1"/>
  <c r="K307" i="18" s="1"/>
  <c r="J19" i="18"/>
  <c r="J31" i="18" s="1"/>
  <c r="J43" i="18" s="1"/>
  <c r="J55" i="18" s="1"/>
  <c r="J67" i="18" s="1"/>
  <c r="J79" i="18" s="1"/>
  <c r="J91" i="18" s="1"/>
  <c r="J103" i="18" s="1"/>
  <c r="J115" i="18" s="1"/>
  <c r="J127" i="18" s="1"/>
  <c r="J139" i="18" s="1"/>
  <c r="J151" i="18" s="1"/>
  <c r="J163" i="18" s="1"/>
  <c r="J175" i="18" s="1"/>
  <c r="J187" i="18" s="1"/>
  <c r="J199" i="18" s="1"/>
  <c r="J211" i="18" s="1"/>
  <c r="J223" i="18" s="1"/>
  <c r="J235" i="18" s="1"/>
  <c r="J247" i="18" s="1"/>
  <c r="J259" i="18" s="1"/>
  <c r="J271" i="18" s="1"/>
  <c r="J283" i="18" s="1"/>
  <c r="J295" i="18" s="1"/>
  <c r="J307" i="18" s="1"/>
  <c r="I19" i="18"/>
  <c r="I31" i="18" s="1"/>
  <c r="I43" i="18" s="1"/>
  <c r="I55" i="18" s="1"/>
  <c r="I67" i="18" s="1"/>
  <c r="I79" i="18" s="1"/>
  <c r="I91" i="18" s="1"/>
  <c r="I103" i="18" s="1"/>
  <c r="I115" i="18" s="1"/>
  <c r="I127" i="18" s="1"/>
  <c r="I139" i="18" s="1"/>
  <c r="I151" i="18" s="1"/>
  <c r="I163" i="18" s="1"/>
  <c r="I175" i="18" s="1"/>
  <c r="I187" i="18" s="1"/>
  <c r="I199" i="18" s="1"/>
  <c r="I211" i="18" s="1"/>
  <c r="I223" i="18" s="1"/>
  <c r="I235" i="18" s="1"/>
  <c r="I247" i="18" s="1"/>
  <c r="I259" i="18" s="1"/>
  <c r="I271" i="18" s="1"/>
  <c r="I283" i="18" s="1"/>
  <c r="I295" i="18" s="1"/>
  <c r="I307" i="18" s="1"/>
  <c r="H19" i="18"/>
  <c r="G19" i="18"/>
  <c r="G31" i="18" s="1"/>
  <c r="G43" i="18" s="1"/>
  <c r="G55" i="18" s="1"/>
  <c r="G67" i="18" s="1"/>
  <c r="G79" i="18" s="1"/>
  <c r="G91" i="18" s="1"/>
  <c r="G103" i="18" s="1"/>
  <c r="G115" i="18" s="1"/>
  <c r="G127" i="18" s="1"/>
  <c r="G139" i="18" s="1"/>
  <c r="G151" i="18" s="1"/>
  <c r="G163" i="18" s="1"/>
  <c r="G175" i="18" s="1"/>
  <c r="G187" i="18" s="1"/>
  <c r="G199" i="18" s="1"/>
  <c r="G211" i="18" s="1"/>
  <c r="G223" i="18" s="1"/>
  <c r="G235" i="18" s="1"/>
  <c r="G247" i="18" s="1"/>
  <c r="G259" i="18" s="1"/>
  <c r="G271" i="18" s="1"/>
  <c r="G283" i="18" s="1"/>
  <c r="G295" i="18" s="1"/>
  <c r="G307" i="18" s="1"/>
  <c r="F19" i="18"/>
  <c r="F31" i="18" s="1"/>
  <c r="E19" i="18"/>
  <c r="D19" i="18"/>
  <c r="C19" i="18"/>
  <c r="R18" i="18"/>
  <c r="R30" i="18" s="1"/>
  <c r="R42" i="18" s="1"/>
  <c r="R54" i="18" s="1"/>
  <c r="R66" i="18" s="1"/>
  <c r="R78" i="18" s="1"/>
  <c r="R90" i="18" s="1"/>
  <c r="R102" i="18" s="1"/>
  <c r="R114" i="18" s="1"/>
  <c r="R126" i="18" s="1"/>
  <c r="R138" i="18" s="1"/>
  <c r="R150" i="18" s="1"/>
  <c r="R162" i="18" s="1"/>
  <c r="R174" i="18" s="1"/>
  <c r="R186" i="18" s="1"/>
  <c r="R198" i="18" s="1"/>
  <c r="R210" i="18" s="1"/>
  <c r="R222" i="18" s="1"/>
  <c r="R234" i="18" s="1"/>
  <c r="R246" i="18" s="1"/>
  <c r="R258" i="18" s="1"/>
  <c r="R270" i="18" s="1"/>
  <c r="R282" i="18" s="1"/>
  <c r="R294" i="18" s="1"/>
  <c r="R306" i="18" s="1"/>
  <c r="Q18" i="18"/>
  <c r="Q30" i="18" s="1"/>
  <c r="Q42" i="18" s="1"/>
  <c r="Q54" i="18" s="1"/>
  <c r="Q66" i="18" s="1"/>
  <c r="Q78" i="18" s="1"/>
  <c r="Q90" i="18" s="1"/>
  <c r="Q102" i="18" s="1"/>
  <c r="Q114" i="18" s="1"/>
  <c r="Q126" i="18" s="1"/>
  <c r="Q138" i="18" s="1"/>
  <c r="Q150" i="18" s="1"/>
  <c r="Q162" i="18" s="1"/>
  <c r="Q174" i="18" s="1"/>
  <c r="Q186" i="18" s="1"/>
  <c r="Q198" i="18" s="1"/>
  <c r="Q210" i="18" s="1"/>
  <c r="Q222" i="18" s="1"/>
  <c r="Q234" i="18" s="1"/>
  <c r="Q246" i="18" s="1"/>
  <c r="Q258" i="18" s="1"/>
  <c r="Q270" i="18" s="1"/>
  <c r="Q282" i="18" s="1"/>
  <c r="Q294" i="18" s="1"/>
  <c r="Q306" i="18" s="1"/>
  <c r="P18" i="18"/>
  <c r="O18" i="18"/>
  <c r="O30" i="18" s="1"/>
  <c r="O42" i="18" s="1"/>
  <c r="O54" i="18" s="1"/>
  <c r="O66" i="18" s="1"/>
  <c r="O78" i="18" s="1"/>
  <c r="O90" i="18" s="1"/>
  <c r="O102" i="18" s="1"/>
  <c r="O114" i="18" s="1"/>
  <c r="O126" i="18" s="1"/>
  <c r="O138" i="18" s="1"/>
  <c r="O150" i="18" s="1"/>
  <c r="O162" i="18" s="1"/>
  <c r="O174" i="18" s="1"/>
  <c r="O186" i="18" s="1"/>
  <c r="O198" i="18" s="1"/>
  <c r="O210" i="18" s="1"/>
  <c r="O222" i="18" s="1"/>
  <c r="O234" i="18" s="1"/>
  <c r="O246" i="18" s="1"/>
  <c r="O258" i="18" s="1"/>
  <c r="O270" i="18" s="1"/>
  <c r="O282" i="18" s="1"/>
  <c r="O294" i="18" s="1"/>
  <c r="O306" i="18" s="1"/>
  <c r="N18" i="18"/>
  <c r="N30" i="18" s="1"/>
  <c r="N42" i="18" s="1"/>
  <c r="N54" i="18" s="1"/>
  <c r="N66" i="18" s="1"/>
  <c r="N78" i="18" s="1"/>
  <c r="N90" i="18" s="1"/>
  <c r="N102" i="18" s="1"/>
  <c r="N114" i="18" s="1"/>
  <c r="N126" i="18" s="1"/>
  <c r="N138" i="18" s="1"/>
  <c r="N150" i="18" s="1"/>
  <c r="N162" i="18" s="1"/>
  <c r="N174" i="18" s="1"/>
  <c r="N186" i="18" s="1"/>
  <c r="N198" i="18" s="1"/>
  <c r="N210" i="18" s="1"/>
  <c r="N222" i="18" s="1"/>
  <c r="N234" i="18" s="1"/>
  <c r="N246" i="18" s="1"/>
  <c r="N258" i="18" s="1"/>
  <c r="N270" i="18" s="1"/>
  <c r="N282" i="18" s="1"/>
  <c r="N294" i="18" s="1"/>
  <c r="N306" i="18" s="1"/>
  <c r="M18" i="18"/>
  <c r="L18" i="18"/>
  <c r="K18" i="18"/>
  <c r="K30" i="18" s="1"/>
  <c r="K42" i="18" s="1"/>
  <c r="K54" i="18" s="1"/>
  <c r="K66" i="18" s="1"/>
  <c r="K78" i="18" s="1"/>
  <c r="K90" i="18" s="1"/>
  <c r="K102" i="18" s="1"/>
  <c r="K114" i="18" s="1"/>
  <c r="K126" i="18" s="1"/>
  <c r="K138" i="18" s="1"/>
  <c r="K150" i="18" s="1"/>
  <c r="K162" i="18" s="1"/>
  <c r="K174" i="18" s="1"/>
  <c r="K186" i="18" s="1"/>
  <c r="K198" i="18" s="1"/>
  <c r="K210" i="18" s="1"/>
  <c r="K222" i="18" s="1"/>
  <c r="K234" i="18" s="1"/>
  <c r="K246" i="18" s="1"/>
  <c r="K258" i="18" s="1"/>
  <c r="K270" i="18" s="1"/>
  <c r="K282" i="18" s="1"/>
  <c r="K294" i="18" s="1"/>
  <c r="K306" i="18" s="1"/>
  <c r="J18" i="18"/>
  <c r="J30" i="18" s="1"/>
  <c r="J42" i="18" s="1"/>
  <c r="J54" i="18" s="1"/>
  <c r="J66" i="18" s="1"/>
  <c r="J78" i="18" s="1"/>
  <c r="J90" i="18" s="1"/>
  <c r="J102" i="18" s="1"/>
  <c r="J114" i="18" s="1"/>
  <c r="J126" i="18" s="1"/>
  <c r="J138" i="18" s="1"/>
  <c r="J150" i="18" s="1"/>
  <c r="J162" i="18" s="1"/>
  <c r="J174" i="18" s="1"/>
  <c r="J186" i="18" s="1"/>
  <c r="J198" i="18" s="1"/>
  <c r="J210" i="18" s="1"/>
  <c r="J222" i="18" s="1"/>
  <c r="J234" i="18" s="1"/>
  <c r="J246" i="18" s="1"/>
  <c r="J258" i="18" s="1"/>
  <c r="J270" i="18" s="1"/>
  <c r="J282" i="18" s="1"/>
  <c r="J294" i="18" s="1"/>
  <c r="J306" i="18" s="1"/>
  <c r="I18" i="18"/>
  <c r="I30" i="18" s="1"/>
  <c r="I42" i="18" s="1"/>
  <c r="I54" i="18" s="1"/>
  <c r="I66" i="18" s="1"/>
  <c r="I78" i="18" s="1"/>
  <c r="I90" i="18" s="1"/>
  <c r="I102" i="18" s="1"/>
  <c r="I114" i="18" s="1"/>
  <c r="I126" i="18" s="1"/>
  <c r="I138" i="18" s="1"/>
  <c r="I150" i="18" s="1"/>
  <c r="I162" i="18" s="1"/>
  <c r="I174" i="18" s="1"/>
  <c r="I186" i="18" s="1"/>
  <c r="I198" i="18" s="1"/>
  <c r="I210" i="18" s="1"/>
  <c r="I222" i="18" s="1"/>
  <c r="I234" i="18" s="1"/>
  <c r="I246" i="18" s="1"/>
  <c r="I258" i="18" s="1"/>
  <c r="I270" i="18" s="1"/>
  <c r="I282" i="18" s="1"/>
  <c r="I294" i="18" s="1"/>
  <c r="I306" i="18" s="1"/>
  <c r="H18" i="18"/>
  <c r="G18" i="18"/>
  <c r="G30" i="18" s="1"/>
  <c r="G42" i="18" s="1"/>
  <c r="G54" i="18" s="1"/>
  <c r="G66" i="18" s="1"/>
  <c r="G78" i="18" s="1"/>
  <c r="G90" i="18" s="1"/>
  <c r="G102" i="18" s="1"/>
  <c r="G114" i="18" s="1"/>
  <c r="G126" i="18" s="1"/>
  <c r="G138" i="18" s="1"/>
  <c r="G150" i="18" s="1"/>
  <c r="G162" i="18" s="1"/>
  <c r="G174" i="18" s="1"/>
  <c r="G186" i="18" s="1"/>
  <c r="G198" i="18" s="1"/>
  <c r="G210" i="18" s="1"/>
  <c r="G222" i="18" s="1"/>
  <c r="G234" i="18" s="1"/>
  <c r="G246" i="18" s="1"/>
  <c r="G258" i="18" s="1"/>
  <c r="G270" i="18" s="1"/>
  <c r="G282" i="18" s="1"/>
  <c r="G294" i="18" s="1"/>
  <c r="G306" i="18" s="1"/>
  <c r="F18" i="18"/>
  <c r="F30" i="18" s="1"/>
  <c r="F42" i="18" s="1"/>
  <c r="F54" i="18" s="1"/>
  <c r="F66" i="18" s="1"/>
  <c r="F78" i="18" s="1"/>
  <c r="F90" i="18" s="1"/>
  <c r="F102" i="18" s="1"/>
  <c r="F114" i="18" s="1"/>
  <c r="F126" i="18" s="1"/>
  <c r="F138" i="18" s="1"/>
  <c r="F150" i="18" s="1"/>
  <c r="F162" i="18" s="1"/>
  <c r="F174" i="18" s="1"/>
  <c r="F186" i="18" s="1"/>
  <c r="F198" i="18" s="1"/>
  <c r="F210" i="18" s="1"/>
  <c r="F222" i="18" s="1"/>
  <c r="F234" i="18" s="1"/>
  <c r="F246" i="18" s="1"/>
  <c r="F258" i="18" s="1"/>
  <c r="F270" i="18" s="1"/>
  <c r="F282" i="18" s="1"/>
  <c r="F294" i="18" s="1"/>
  <c r="F306" i="18" s="1"/>
  <c r="E18" i="18"/>
  <c r="D18" i="18"/>
  <c r="D30" i="18" s="1"/>
  <c r="D42" i="18" s="1"/>
  <c r="D54" i="18" s="1"/>
  <c r="D66" i="18" s="1"/>
  <c r="D78" i="18" s="1"/>
  <c r="D90" i="18" s="1"/>
  <c r="D102" i="18" s="1"/>
  <c r="D114" i="18" s="1"/>
  <c r="D126" i="18" s="1"/>
  <c r="D138" i="18" s="1"/>
  <c r="D150" i="18" s="1"/>
  <c r="D162" i="18" s="1"/>
  <c r="D174" i="18" s="1"/>
  <c r="D186" i="18" s="1"/>
  <c r="D198" i="18" s="1"/>
  <c r="D210" i="18" s="1"/>
  <c r="D222" i="18" s="1"/>
  <c r="D234" i="18" s="1"/>
  <c r="D246" i="18" s="1"/>
  <c r="D258" i="18" s="1"/>
  <c r="D270" i="18" s="1"/>
  <c r="D282" i="18" s="1"/>
  <c r="D294" i="18" s="1"/>
  <c r="D306" i="18" s="1"/>
  <c r="C18" i="18"/>
  <c r="C30" i="18" s="1"/>
  <c r="C42" i="18" s="1"/>
  <c r="C54" i="18" s="1"/>
  <c r="C66" i="18" s="1"/>
  <c r="C78" i="18" s="1"/>
  <c r="C90" i="18" s="1"/>
  <c r="C102" i="18" s="1"/>
  <c r="C114" i="18" s="1"/>
  <c r="C126" i="18" s="1"/>
  <c r="C138" i="18" s="1"/>
  <c r="C150" i="18" s="1"/>
  <c r="C162" i="18" s="1"/>
  <c r="C174" i="18" s="1"/>
  <c r="C186" i="18" s="1"/>
  <c r="C198" i="18" s="1"/>
  <c r="C210" i="18" s="1"/>
  <c r="C222" i="18" s="1"/>
  <c r="C234" i="18" s="1"/>
  <c r="C246" i="18" s="1"/>
  <c r="C258" i="18" s="1"/>
  <c r="C270" i="18" s="1"/>
  <c r="C282" i="18" s="1"/>
  <c r="C294" i="18" s="1"/>
  <c r="C306" i="18" s="1"/>
  <c r="R17" i="18"/>
  <c r="R29" i="18" s="1"/>
  <c r="R41" i="18" s="1"/>
  <c r="R53" i="18" s="1"/>
  <c r="R65" i="18" s="1"/>
  <c r="R77" i="18" s="1"/>
  <c r="R89" i="18" s="1"/>
  <c r="R101" i="18" s="1"/>
  <c r="R113" i="18" s="1"/>
  <c r="R125" i="18" s="1"/>
  <c r="R137" i="18" s="1"/>
  <c r="R149" i="18" s="1"/>
  <c r="R161" i="18" s="1"/>
  <c r="R173" i="18" s="1"/>
  <c r="R185" i="18" s="1"/>
  <c r="R197" i="18" s="1"/>
  <c r="R209" i="18" s="1"/>
  <c r="R221" i="18" s="1"/>
  <c r="R233" i="18" s="1"/>
  <c r="R245" i="18" s="1"/>
  <c r="R257" i="18" s="1"/>
  <c r="R269" i="18" s="1"/>
  <c r="R281" i="18" s="1"/>
  <c r="R293" i="18" s="1"/>
  <c r="R305" i="18" s="1"/>
  <c r="Q17" i="18"/>
  <c r="Q29" i="18" s="1"/>
  <c r="Q41" i="18" s="1"/>
  <c r="Q53" i="18" s="1"/>
  <c r="Q65" i="18" s="1"/>
  <c r="Q77" i="18" s="1"/>
  <c r="Q89" i="18" s="1"/>
  <c r="Q101" i="18" s="1"/>
  <c r="Q113" i="18" s="1"/>
  <c r="Q125" i="18" s="1"/>
  <c r="Q137" i="18" s="1"/>
  <c r="Q149" i="18" s="1"/>
  <c r="Q161" i="18" s="1"/>
  <c r="Q173" i="18" s="1"/>
  <c r="Q185" i="18" s="1"/>
  <c r="Q197" i="18" s="1"/>
  <c r="Q209" i="18" s="1"/>
  <c r="Q221" i="18" s="1"/>
  <c r="Q233" i="18" s="1"/>
  <c r="Q245" i="18" s="1"/>
  <c r="Q257" i="18" s="1"/>
  <c r="Q269" i="18" s="1"/>
  <c r="Q281" i="18" s="1"/>
  <c r="Q293" i="18" s="1"/>
  <c r="Q305" i="18" s="1"/>
  <c r="P17" i="18"/>
  <c r="P29" i="18" s="1"/>
  <c r="O17" i="18"/>
  <c r="O29" i="18" s="1"/>
  <c r="O41" i="18" s="1"/>
  <c r="O53" i="18" s="1"/>
  <c r="O65" i="18" s="1"/>
  <c r="O77" i="18" s="1"/>
  <c r="O89" i="18" s="1"/>
  <c r="O101" i="18" s="1"/>
  <c r="O113" i="18" s="1"/>
  <c r="O125" i="18" s="1"/>
  <c r="O137" i="18" s="1"/>
  <c r="O149" i="18" s="1"/>
  <c r="O161" i="18" s="1"/>
  <c r="O173" i="18" s="1"/>
  <c r="O185" i="18" s="1"/>
  <c r="O197" i="18" s="1"/>
  <c r="O209" i="18" s="1"/>
  <c r="O221" i="18" s="1"/>
  <c r="O233" i="18" s="1"/>
  <c r="O245" i="18" s="1"/>
  <c r="O257" i="18" s="1"/>
  <c r="O269" i="18" s="1"/>
  <c r="O281" i="18" s="1"/>
  <c r="O293" i="18" s="1"/>
  <c r="O305" i="18" s="1"/>
  <c r="N17" i="18"/>
  <c r="N29" i="18" s="1"/>
  <c r="N41" i="18" s="1"/>
  <c r="N53" i="18" s="1"/>
  <c r="N65" i="18" s="1"/>
  <c r="N77" i="18" s="1"/>
  <c r="N89" i="18" s="1"/>
  <c r="N101" i="18" s="1"/>
  <c r="N113" i="18" s="1"/>
  <c r="N125" i="18" s="1"/>
  <c r="N137" i="18" s="1"/>
  <c r="N149" i="18" s="1"/>
  <c r="N161" i="18" s="1"/>
  <c r="N173" i="18" s="1"/>
  <c r="N185" i="18" s="1"/>
  <c r="N197" i="18" s="1"/>
  <c r="N209" i="18" s="1"/>
  <c r="N221" i="18" s="1"/>
  <c r="N233" i="18" s="1"/>
  <c r="N245" i="18" s="1"/>
  <c r="N257" i="18" s="1"/>
  <c r="N269" i="18" s="1"/>
  <c r="N281" i="18" s="1"/>
  <c r="N293" i="18" s="1"/>
  <c r="N305" i="18" s="1"/>
  <c r="M17" i="18"/>
  <c r="M29" i="18" s="1"/>
  <c r="M41" i="18" s="1"/>
  <c r="M53" i="18" s="1"/>
  <c r="M65" i="18" s="1"/>
  <c r="M77" i="18" s="1"/>
  <c r="M89" i="18" s="1"/>
  <c r="M101" i="18" s="1"/>
  <c r="M113" i="18" s="1"/>
  <c r="M125" i="18" s="1"/>
  <c r="M137" i="18" s="1"/>
  <c r="M149" i="18" s="1"/>
  <c r="M161" i="18" s="1"/>
  <c r="M173" i="18" s="1"/>
  <c r="M185" i="18" s="1"/>
  <c r="M197" i="18" s="1"/>
  <c r="M209" i="18" s="1"/>
  <c r="M221" i="18" s="1"/>
  <c r="M233" i="18" s="1"/>
  <c r="M245" i="18" s="1"/>
  <c r="M257" i="18" s="1"/>
  <c r="M269" i="18" s="1"/>
  <c r="M281" i="18" s="1"/>
  <c r="M293" i="18" s="1"/>
  <c r="M305" i="18" s="1"/>
  <c r="L17" i="18"/>
  <c r="L29" i="18" s="1"/>
  <c r="L41" i="18" s="1"/>
  <c r="L53" i="18" s="1"/>
  <c r="L65" i="18" s="1"/>
  <c r="L77" i="18" s="1"/>
  <c r="L89" i="18" s="1"/>
  <c r="L101" i="18" s="1"/>
  <c r="L113" i="18" s="1"/>
  <c r="L125" i="18" s="1"/>
  <c r="L137" i="18" s="1"/>
  <c r="L149" i="18" s="1"/>
  <c r="L161" i="18" s="1"/>
  <c r="L173" i="18" s="1"/>
  <c r="L185" i="18" s="1"/>
  <c r="L197" i="18" s="1"/>
  <c r="L209" i="18" s="1"/>
  <c r="L221" i="18" s="1"/>
  <c r="L233" i="18" s="1"/>
  <c r="L245" i="18" s="1"/>
  <c r="L257" i="18" s="1"/>
  <c r="L269" i="18" s="1"/>
  <c r="L281" i="18" s="1"/>
  <c r="L293" i="18" s="1"/>
  <c r="L305" i="18" s="1"/>
  <c r="K17" i="18"/>
  <c r="K29" i="18" s="1"/>
  <c r="K41" i="18" s="1"/>
  <c r="K53" i="18" s="1"/>
  <c r="K65" i="18" s="1"/>
  <c r="K77" i="18" s="1"/>
  <c r="K89" i="18" s="1"/>
  <c r="K101" i="18" s="1"/>
  <c r="K113" i="18" s="1"/>
  <c r="K125" i="18" s="1"/>
  <c r="K137" i="18" s="1"/>
  <c r="K149" i="18" s="1"/>
  <c r="K161" i="18" s="1"/>
  <c r="K173" i="18" s="1"/>
  <c r="K185" i="18" s="1"/>
  <c r="K197" i="18" s="1"/>
  <c r="K209" i="18" s="1"/>
  <c r="K221" i="18" s="1"/>
  <c r="K233" i="18" s="1"/>
  <c r="K245" i="18" s="1"/>
  <c r="K257" i="18" s="1"/>
  <c r="K269" i="18" s="1"/>
  <c r="K281" i="18" s="1"/>
  <c r="K293" i="18" s="1"/>
  <c r="K305" i="18" s="1"/>
  <c r="J17" i="18"/>
  <c r="J29" i="18" s="1"/>
  <c r="J41" i="18" s="1"/>
  <c r="J53" i="18" s="1"/>
  <c r="J65" i="18" s="1"/>
  <c r="J77" i="18" s="1"/>
  <c r="J89" i="18" s="1"/>
  <c r="J101" i="18" s="1"/>
  <c r="J113" i="18" s="1"/>
  <c r="J125" i="18" s="1"/>
  <c r="J137" i="18" s="1"/>
  <c r="J149" i="18" s="1"/>
  <c r="J161" i="18" s="1"/>
  <c r="J173" i="18" s="1"/>
  <c r="J185" i="18" s="1"/>
  <c r="J197" i="18" s="1"/>
  <c r="J209" i="18" s="1"/>
  <c r="J221" i="18" s="1"/>
  <c r="J233" i="18" s="1"/>
  <c r="J245" i="18" s="1"/>
  <c r="J257" i="18" s="1"/>
  <c r="J269" i="18" s="1"/>
  <c r="J281" i="18" s="1"/>
  <c r="J293" i="18" s="1"/>
  <c r="J305" i="18" s="1"/>
  <c r="I17" i="18"/>
  <c r="I29" i="18" s="1"/>
  <c r="I41" i="18" s="1"/>
  <c r="I53" i="18" s="1"/>
  <c r="I65" i="18" s="1"/>
  <c r="I77" i="18" s="1"/>
  <c r="I89" i="18" s="1"/>
  <c r="I101" i="18" s="1"/>
  <c r="I113" i="18" s="1"/>
  <c r="I125" i="18" s="1"/>
  <c r="I137" i="18" s="1"/>
  <c r="I149" i="18" s="1"/>
  <c r="I161" i="18" s="1"/>
  <c r="I173" i="18" s="1"/>
  <c r="I185" i="18" s="1"/>
  <c r="I197" i="18" s="1"/>
  <c r="I209" i="18" s="1"/>
  <c r="I221" i="18" s="1"/>
  <c r="I233" i="18" s="1"/>
  <c r="I245" i="18" s="1"/>
  <c r="I257" i="18" s="1"/>
  <c r="I269" i="18" s="1"/>
  <c r="I281" i="18" s="1"/>
  <c r="I293" i="18" s="1"/>
  <c r="I305" i="18" s="1"/>
  <c r="H17" i="18"/>
  <c r="H29" i="18" s="1"/>
  <c r="H41" i="18" s="1"/>
  <c r="H53" i="18" s="1"/>
  <c r="H65" i="18" s="1"/>
  <c r="H77" i="18" s="1"/>
  <c r="H89" i="18" s="1"/>
  <c r="H101" i="18" s="1"/>
  <c r="H113" i="18" s="1"/>
  <c r="H125" i="18" s="1"/>
  <c r="H137" i="18" s="1"/>
  <c r="H149" i="18" s="1"/>
  <c r="H161" i="18" s="1"/>
  <c r="H173" i="18" s="1"/>
  <c r="H185" i="18" s="1"/>
  <c r="H197" i="18" s="1"/>
  <c r="H209" i="18" s="1"/>
  <c r="H221" i="18" s="1"/>
  <c r="H233" i="18" s="1"/>
  <c r="H245" i="18" s="1"/>
  <c r="H257" i="18" s="1"/>
  <c r="H269" i="18" s="1"/>
  <c r="H281" i="18" s="1"/>
  <c r="H293" i="18" s="1"/>
  <c r="H305" i="18" s="1"/>
  <c r="G17" i="18"/>
  <c r="G29" i="18" s="1"/>
  <c r="G41" i="18" s="1"/>
  <c r="G53" i="18" s="1"/>
  <c r="G65" i="18" s="1"/>
  <c r="G77" i="18" s="1"/>
  <c r="G89" i="18" s="1"/>
  <c r="G101" i="18" s="1"/>
  <c r="G113" i="18" s="1"/>
  <c r="G125" i="18" s="1"/>
  <c r="G137" i="18" s="1"/>
  <c r="G149" i="18" s="1"/>
  <c r="G161" i="18" s="1"/>
  <c r="G173" i="18" s="1"/>
  <c r="G185" i="18" s="1"/>
  <c r="G197" i="18" s="1"/>
  <c r="G209" i="18" s="1"/>
  <c r="G221" i="18" s="1"/>
  <c r="G233" i="18" s="1"/>
  <c r="G245" i="18" s="1"/>
  <c r="G257" i="18" s="1"/>
  <c r="G269" i="18" s="1"/>
  <c r="G281" i="18" s="1"/>
  <c r="G293" i="18" s="1"/>
  <c r="G305" i="18" s="1"/>
  <c r="F17" i="18"/>
  <c r="F29" i="18" s="1"/>
  <c r="F41" i="18" s="1"/>
  <c r="F53" i="18" s="1"/>
  <c r="F65" i="18" s="1"/>
  <c r="F77" i="18" s="1"/>
  <c r="F89" i="18" s="1"/>
  <c r="F101" i="18" s="1"/>
  <c r="F113" i="18" s="1"/>
  <c r="F125" i="18" s="1"/>
  <c r="F137" i="18" s="1"/>
  <c r="F149" i="18" s="1"/>
  <c r="F161" i="18" s="1"/>
  <c r="F173" i="18" s="1"/>
  <c r="F185" i="18" s="1"/>
  <c r="F197" i="18" s="1"/>
  <c r="F209" i="18" s="1"/>
  <c r="F221" i="18" s="1"/>
  <c r="F233" i="18" s="1"/>
  <c r="F245" i="18" s="1"/>
  <c r="F257" i="18" s="1"/>
  <c r="F269" i="18" s="1"/>
  <c r="F281" i="18" s="1"/>
  <c r="F293" i="18" s="1"/>
  <c r="F305" i="18" s="1"/>
  <c r="E17" i="18"/>
  <c r="D17" i="18"/>
  <c r="D29" i="18" s="1"/>
  <c r="D41" i="18" s="1"/>
  <c r="D53" i="18" s="1"/>
  <c r="D65" i="18" s="1"/>
  <c r="D77" i="18" s="1"/>
  <c r="D89" i="18" s="1"/>
  <c r="D101" i="18" s="1"/>
  <c r="D113" i="18" s="1"/>
  <c r="D125" i="18" s="1"/>
  <c r="D137" i="18" s="1"/>
  <c r="D149" i="18" s="1"/>
  <c r="D161" i="18" s="1"/>
  <c r="D173" i="18" s="1"/>
  <c r="D185" i="18" s="1"/>
  <c r="D197" i="18" s="1"/>
  <c r="D209" i="18" s="1"/>
  <c r="D221" i="18" s="1"/>
  <c r="D233" i="18" s="1"/>
  <c r="D245" i="18" s="1"/>
  <c r="D257" i="18" s="1"/>
  <c r="D269" i="18" s="1"/>
  <c r="D281" i="18" s="1"/>
  <c r="D293" i="18" s="1"/>
  <c r="D305" i="18" s="1"/>
  <c r="C17" i="18"/>
  <c r="R16" i="18"/>
  <c r="R28" i="18" s="1"/>
  <c r="R40" i="18" s="1"/>
  <c r="R52" i="18" s="1"/>
  <c r="R64" i="18" s="1"/>
  <c r="R76" i="18" s="1"/>
  <c r="R88" i="18" s="1"/>
  <c r="R100" i="18" s="1"/>
  <c r="R112" i="18" s="1"/>
  <c r="R124" i="18" s="1"/>
  <c r="R136" i="18" s="1"/>
  <c r="R148" i="18" s="1"/>
  <c r="R160" i="18" s="1"/>
  <c r="R172" i="18" s="1"/>
  <c r="R184" i="18" s="1"/>
  <c r="R196" i="18" s="1"/>
  <c r="R208" i="18" s="1"/>
  <c r="R220" i="18" s="1"/>
  <c r="R232" i="18" s="1"/>
  <c r="R244" i="18" s="1"/>
  <c r="R256" i="18" s="1"/>
  <c r="R268" i="18" s="1"/>
  <c r="R280" i="18" s="1"/>
  <c r="R292" i="18" s="1"/>
  <c r="R304" i="18" s="1"/>
  <c r="Q16" i="18"/>
  <c r="Q28" i="18" s="1"/>
  <c r="Q40" i="18" s="1"/>
  <c r="Q52" i="18" s="1"/>
  <c r="Q64" i="18" s="1"/>
  <c r="Q76" i="18" s="1"/>
  <c r="Q88" i="18" s="1"/>
  <c r="Q100" i="18" s="1"/>
  <c r="Q112" i="18" s="1"/>
  <c r="Q124" i="18" s="1"/>
  <c r="Q136" i="18" s="1"/>
  <c r="Q148" i="18" s="1"/>
  <c r="Q160" i="18" s="1"/>
  <c r="Q172" i="18" s="1"/>
  <c r="Q184" i="18" s="1"/>
  <c r="Q196" i="18" s="1"/>
  <c r="Q208" i="18" s="1"/>
  <c r="Q220" i="18" s="1"/>
  <c r="Q232" i="18" s="1"/>
  <c r="Q244" i="18" s="1"/>
  <c r="Q256" i="18" s="1"/>
  <c r="Q268" i="18" s="1"/>
  <c r="Q280" i="18" s="1"/>
  <c r="Q292" i="18" s="1"/>
  <c r="Q304" i="18" s="1"/>
  <c r="P16" i="18"/>
  <c r="O16" i="18"/>
  <c r="O28" i="18" s="1"/>
  <c r="O40" i="18" s="1"/>
  <c r="O52" i="18" s="1"/>
  <c r="O64" i="18" s="1"/>
  <c r="O76" i="18" s="1"/>
  <c r="O88" i="18" s="1"/>
  <c r="O100" i="18" s="1"/>
  <c r="O112" i="18" s="1"/>
  <c r="O124" i="18" s="1"/>
  <c r="O136" i="18" s="1"/>
  <c r="O148" i="18" s="1"/>
  <c r="O160" i="18" s="1"/>
  <c r="O172" i="18" s="1"/>
  <c r="O184" i="18" s="1"/>
  <c r="O196" i="18" s="1"/>
  <c r="O208" i="18" s="1"/>
  <c r="O220" i="18" s="1"/>
  <c r="O232" i="18" s="1"/>
  <c r="O244" i="18" s="1"/>
  <c r="O256" i="18" s="1"/>
  <c r="O268" i="18" s="1"/>
  <c r="O280" i="18" s="1"/>
  <c r="O292" i="18" s="1"/>
  <c r="O304" i="18" s="1"/>
  <c r="N16" i="18"/>
  <c r="N28" i="18" s="1"/>
  <c r="N40" i="18" s="1"/>
  <c r="N52" i="18" s="1"/>
  <c r="N64" i="18" s="1"/>
  <c r="N76" i="18" s="1"/>
  <c r="N88" i="18" s="1"/>
  <c r="N100" i="18" s="1"/>
  <c r="N112" i="18" s="1"/>
  <c r="N124" i="18" s="1"/>
  <c r="N136" i="18" s="1"/>
  <c r="N148" i="18" s="1"/>
  <c r="N160" i="18" s="1"/>
  <c r="N172" i="18" s="1"/>
  <c r="N184" i="18" s="1"/>
  <c r="N196" i="18" s="1"/>
  <c r="N208" i="18" s="1"/>
  <c r="N220" i="18" s="1"/>
  <c r="N232" i="18" s="1"/>
  <c r="N244" i="18" s="1"/>
  <c r="N256" i="18" s="1"/>
  <c r="N268" i="18" s="1"/>
  <c r="N280" i="18" s="1"/>
  <c r="N292" i="18" s="1"/>
  <c r="N304" i="18" s="1"/>
  <c r="M16" i="18"/>
  <c r="M28" i="18" s="1"/>
  <c r="M40" i="18" s="1"/>
  <c r="M52" i="18" s="1"/>
  <c r="M64" i="18" s="1"/>
  <c r="M76" i="18" s="1"/>
  <c r="M88" i="18" s="1"/>
  <c r="M100" i="18" s="1"/>
  <c r="M112" i="18" s="1"/>
  <c r="M124" i="18" s="1"/>
  <c r="M136" i="18" s="1"/>
  <c r="M148" i="18" s="1"/>
  <c r="M160" i="18" s="1"/>
  <c r="M172" i="18" s="1"/>
  <c r="M184" i="18" s="1"/>
  <c r="M196" i="18" s="1"/>
  <c r="M208" i="18" s="1"/>
  <c r="M220" i="18" s="1"/>
  <c r="M232" i="18" s="1"/>
  <c r="M244" i="18" s="1"/>
  <c r="M256" i="18" s="1"/>
  <c r="M268" i="18" s="1"/>
  <c r="M280" i="18" s="1"/>
  <c r="M292" i="18" s="1"/>
  <c r="M304" i="18" s="1"/>
  <c r="L16" i="18"/>
  <c r="K16" i="18"/>
  <c r="K28" i="18" s="1"/>
  <c r="K40" i="18" s="1"/>
  <c r="K52" i="18" s="1"/>
  <c r="K64" i="18" s="1"/>
  <c r="K76" i="18" s="1"/>
  <c r="K88" i="18" s="1"/>
  <c r="K100" i="18" s="1"/>
  <c r="K112" i="18" s="1"/>
  <c r="K124" i="18" s="1"/>
  <c r="K136" i="18" s="1"/>
  <c r="K148" i="18" s="1"/>
  <c r="K160" i="18" s="1"/>
  <c r="K172" i="18" s="1"/>
  <c r="K184" i="18" s="1"/>
  <c r="K196" i="18" s="1"/>
  <c r="K208" i="18" s="1"/>
  <c r="K220" i="18" s="1"/>
  <c r="K232" i="18" s="1"/>
  <c r="K244" i="18" s="1"/>
  <c r="K256" i="18" s="1"/>
  <c r="K268" i="18" s="1"/>
  <c r="K280" i="18" s="1"/>
  <c r="K292" i="18" s="1"/>
  <c r="K304" i="18" s="1"/>
  <c r="J16" i="18"/>
  <c r="J28" i="18" s="1"/>
  <c r="J40" i="18" s="1"/>
  <c r="J52" i="18" s="1"/>
  <c r="J64" i="18" s="1"/>
  <c r="J76" i="18" s="1"/>
  <c r="J88" i="18" s="1"/>
  <c r="J100" i="18" s="1"/>
  <c r="J112" i="18" s="1"/>
  <c r="J124" i="18" s="1"/>
  <c r="J136" i="18" s="1"/>
  <c r="J148" i="18" s="1"/>
  <c r="J160" i="18" s="1"/>
  <c r="J172" i="18" s="1"/>
  <c r="J184" i="18" s="1"/>
  <c r="J196" i="18" s="1"/>
  <c r="J208" i="18" s="1"/>
  <c r="J220" i="18" s="1"/>
  <c r="J232" i="18" s="1"/>
  <c r="J244" i="18" s="1"/>
  <c r="J256" i="18" s="1"/>
  <c r="J268" i="18" s="1"/>
  <c r="J280" i="18" s="1"/>
  <c r="J292" i="18" s="1"/>
  <c r="J304" i="18" s="1"/>
  <c r="I16" i="18"/>
  <c r="I28" i="18" s="1"/>
  <c r="I40" i="18" s="1"/>
  <c r="I52" i="18" s="1"/>
  <c r="I64" i="18" s="1"/>
  <c r="I76" i="18" s="1"/>
  <c r="I88" i="18" s="1"/>
  <c r="I100" i="18" s="1"/>
  <c r="I112" i="18" s="1"/>
  <c r="I124" i="18" s="1"/>
  <c r="I136" i="18" s="1"/>
  <c r="I148" i="18" s="1"/>
  <c r="I160" i="18" s="1"/>
  <c r="I172" i="18" s="1"/>
  <c r="I184" i="18" s="1"/>
  <c r="I196" i="18" s="1"/>
  <c r="I208" i="18" s="1"/>
  <c r="I220" i="18" s="1"/>
  <c r="I232" i="18" s="1"/>
  <c r="I244" i="18" s="1"/>
  <c r="I256" i="18" s="1"/>
  <c r="I268" i="18" s="1"/>
  <c r="I280" i="18" s="1"/>
  <c r="I292" i="18" s="1"/>
  <c r="I304" i="18" s="1"/>
  <c r="H16" i="18"/>
  <c r="G16" i="18"/>
  <c r="G28" i="18" s="1"/>
  <c r="G40" i="18" s="1"/>
  <c r="G52" i="18" s="1"/>
  <c r="G64" i="18" s="1"/>
  <c r="G76" i="18" s="1"/>
  <c r="G88" i="18" s="1"/>
  <c r="G100" i="18" s="1"/>
  <c r="G112" i="18" s="1"/>
  <c r="G124" i="18" s="1"/>
  <c r="G136" i="18" s="1"/>
  <c r="G148" i="18" s="1"/>
  <c r="G160" i="18" s="1"/>
  <c r="G172" i="18" s="1"/>
  <c r="G184" i="18" s="1"/>
  <c r="G196" i="18" s="1"/>
  <c r="G208" i="18" s="1"/>
  <c r="G220" i="18" s="1"/>
  <c r="G232" i="18" s="1"/>
  <c r="G244" i="18" s="1"/>
  <c r="G256" i="18" s="1"/>
  <c r="G268" i="18" s="1"/>
  <c r="G280" i="18" s="1"/>
  <c r="G292" i="18" s="1"/>
  <c r="G304" i="18" s="1"/>
  <c r="F16" i="18"/>
  <c r="F28" i="18" s="1"/>
  <c r="F40" i="18" s="1"/>
  <c r="F52" i="18" s="1"/>
  <c r="F64" i="18" s="1"/>
  <c r="F76" i="18" s="1"/>
  <c r="F88" i="18" s="1"/>
  <c r="F100" i="18" s="1"/>
  <c r="F112" i="18" s="1"/>
  <c r="F124" i="18" s="1"/>
  <c r="F136" i="18" s="1"/>
  <c r="F148" i="18" s="1"/>
  <c r="F160" i="18" s="1"/>
  <c r="F172" i="18" s="1"/>
  <c r="F184" i="18" s="1"/>
  <c r="F196" i="18" s="1"/>
  <c r="F208" i="18" s="1"/>
  <c r="F220" i="18" s="1"/>
  <c r="F232" i="18" s="1"/>
  <c r="F244" i="18" s="1"/>
  <c r="F256" i="18" s="1"/>
  <c r="F268" i="18" s="1"/>
  <c r="F280" i="18" s="1"/>
  <c r="F292" i="18" s="1"/>
  <c r="F304" i="18" s="1"/>
  <c r="E16" i="18"/>
  <c r="D16" i="18"/>
  <c r="C16" i="18"/>
  <c r="R15" i="18"/>
  <c r="R27" i="18" s="1"/>
  <c r="Q15" i="18"/>
  <c r="Q27" i="18" s="1"/>
  <c r="Q39" i="18" s="1"/>
  <c r="Q51" i="18" s="1"/>
  <c r="Q63" i="18" s="1"/>
  <c r="Q75" i="18" s="1"/>
  <c r="Q87" i="18" s="1"/>
  <c r="Q99" i="18" s="1"/>
  <c r="Q111" i="18" s="1"/>
  <c r="Q123" i="18" s="1"/>
  <c r="Q135" i="18" s="1"/>
  <c r="Q147" i="18" s="1"/>
  <c r="Q159" i="18" s="1"/>
  <c r="Q171" i="18" s="1"/>
  <c r="Q183" i="18" s="1"/>
  <c r="Q195" i="18" s="1"/>
  <c r="Q207" i="18" s="1"/>
  <c r="Q219" i="18" s="1"/>
  <c r="Q231" i="18" s="1"/>
  <c r="Q243" i="18" s="1"/>
  <c r="Q255" i="18" s="1"/>
  <c r="Q267" i="18" s="1"/>
  <c r="Q279" i="18" s="1"/>
  <c r="Q291" i="18" s="1"/>
  <c r="Q303" i="18" s="1"/>
  <c r="P15" i="18"/>
  <c r="O15" i="18"/>
  <c r="O27" i="18" s="1"/>
  <c r="O39" i="18" s="1"/>
  <c r="O51" i="18" s="1"/>
  <c r="O63" i="18" s="1"/>
  <c r="O75" i="18" s="1"/>
  <c r="O87" i="18" s="1"/>
  <c r="O99" i="18" s="1"/>
  <c r="O111" i="18" s="1"/>
  <c r="O123" i="18" s="1"/>
  <c r="O135" i="18" s="1"/>
  <c r="O147" i="18" s="1"/>
  <c r="O159" i="18" s="1"/>
  <c r="O171" i="18" s="1"/>
  <c r="O183" i="18" s="1"/>
  <c r="O195" i="18" s="1"/>
  <c r="O207" i="18" s="1"/>
  <c r="O219" i="18" s="1"/>
  <c r="O231" i="18" s="1"/>
  <c r="O243" i="18" s="1"/>
  <c r="O255" i="18" s="1"/>
  <c r="O267" i="18" s="1"/>
  <c r="O279" i="18" s="1"/>
  <c r="O291" i="18" s="1"/>
  <c r="O303" i="18" s="1"/>
  <c r="N15" i="18"/>
  <c r="N27" i="18" s="1"/>
  <c r="N39" i="18" s="1"/>
  <c r="N51" i="18" s="1"/>
  <c r="N63" i="18" s="1"/>
  <c r="N75" i="18" s="1"/>
  <c r="N87" i="18" s="1"/>
  <c r="N99" i="18" s="1"/>
  <c r="N111" i="18" s="1"/>
  <c r="N123" i="18" s="1"/>
  <c r="N135" i="18" s="1"/>
  <c r="N147" i="18" s="1"/>
  <c r="N159" i="18" s="1"/>
  <c r="N171" i="18" s="1"/>
  <c r="N183" i="18" s="1"/>
  <c r="N195" i="18" s="1"/>
  <c r="N207" i="18" s="1"/>
  <c r="N219" i="18" s="1"/>
  <c r="N231" i="18" s="1"/>
  <c r="N243" i="18" s="1"/>
  <c r="N255" i="18" s="1"/>
  <c r="N267" i="18" s="1"/>
  <c r="N279" i="18" s="1"/>
  <c r="N291" i="18" s="1"/>
  <c r="N303" i="18" s="1"/>
  <c r="M15" i="18"/>
  <c r="L15" i="18"/>
  <c r="K15" i="18"/>
  <c r="K27" i="18" s="1"/>
  <c r="K39" i="18" s="1"/>
  <c r="K51" i="18" s="1"/>
  <c r="K63" i="18" s="1"/>
  <c r="K75" i="18" s="1"/>
  <c r="K87" i="18" s="1"/>
  <c r="K99" i="18" s="1"/>
  <c r="K111" i="18" s="1"/>
  <c r="K123" i="18" s="1"/>
  <c r="K135" i="18" s="1"/>
  <c r="K147" i="18" s="1"/>
  <c r="K159" i="18" s="1"/>
  <c r="K171" i="18" s="1"/>
  <c r="K183" i="18" s="1"/>
  <c r="K195" i="18" s="1"/>
  <c r="K207" i="18" s="1"/>
  <c r="K219" i="18" s="1"/>
  <c r="K231" i="18" s="1"/>
  <c r="K243" i="18" s="1"/>
  <c r="K255" i="18" s="1"/>
  <c r="K267" i="18" s="1"/>
  <c r="K279" i="18" s="1"/>
  <c r="K291" i="18" s="1"/>
  <c r="K303" i="18" s="1"/>
  <c r="J15" i="18"/>
  <c r="J27" i="18" s="1"/>
  <c r="J39" i="18" s="1"/>
  <c r="J51" i="18" s="1"/>
  <c r="J63" i="18" s="1"/>
  <c r="J75" i="18" s="1"/>
  <c r="J87" i="18" s="1"/>
  <c r="J99" i="18" s="1"/>
  <c r="J111" i="18" s="1"/>
  <c r="J123" i="18" s="1"/>
  <c r="J135" i="18" s="1"/>
  <c r="J147" i="18" s="1"/>
  <c r="J159" i="18" s="1"/>
  <c r="J171" i="18" s="1"/>
  <c r="J183" i="18" s="1"/>
  <c r="J195" i="18" s="1"/>
  <c r="J207" i="18" s="1"/>
  <c r="J219" i="18" s="1"/>
  <c r="J231" i="18" s="1"/>
  <c r="J243" i="18" s="1"/>
  <c r="J255" i="18" s="1"/>
  <c r="J267" i="18" s="1"/>
  <c r="J279" i="18" s="1"/>
  <c r="J291" i="18" s="1"/>
  <c r="J303" i="18" s="1"/>
  <c r="I15" i="18"/>
  <c r="I27" i="18" s="1"/>
  <c r="I39" i="18" s="1"/>
  <c r="I51" i="18" s="1"/>
  <c r="I63" i="18" s="1"/>
  <c r="I75" i="18" s="1"/>
  <c r="I87" i="18" s="1"/>
  <c r="I99" i="18" s="1"/>
  <c r="I111" i="18" s="1"/>
  <c r="I123" i="18" s="1"/>
  <c r="I135" i="18" s="1"/>
  <c r="I147" i="18" s="1"/>
  <c r="I159" i="18" s="1"/>
  <c r="I171" i="18" s="1"/>
  <c r="I183" i="18" s="1"/>
  <c r="I195" i="18" s="1"/>
  <c r="I207" i="18" s="1"/>
  <c r="I219" i="18" s="1"/>
  <c r="I231" i="18" s="1"/>
  <c r="I243" i="18" s="1"/>
  <c r="I255" i="18" s="1"/>
  <c r="I267" i="18" s="1"/>
  <c r="I279" i="18" s="1"/>
  <c r="I291" i="18" s="1"/>
  <c r="I303" i="18" s="1"/>
  <c r="H15" i="18"/>
  <c r="G15" i="18"/>
  <c r="G27" i="18" s="1"/>
  <c r="G39" i="18" s="1"/>
  <c r="G51" i="18" s="1"/>
  <c r="G63" i="18" s="1"/>
  <c r="G75" i="18" s="1"/>
  <c r="G87" i="18" s="1"/>
  <c r="G99" i="18" s="1"/>
  <c r="G111" i="18" s="1"/>
  <c r="G123" i="18" s="1"/>
  <c r="G135" i="18" s="1"/>
  <c r="G147" i="18" s="1"/>
  <c r="G159" i="18" s="1"/>
  <c r="G171" i="18" s="1"/>
  <c r="G183" i="18" s="1"/>
  <c r="G195" i="18" s="1"/>
  <c r="G207" i="18" s="1"/>
  <c r="G219" i="18" s="1"/>
  <c r="G231" i="18" s="1"/>
  <c r="G243" i="18" s="1"/>
  <c r="G255" i="18" s="1"/>
  <c r="G267" i="18" s="1"/>
  <c r="G279" i="18" s="1"/>
  <c r="G291" i="18" s="1"/>
  <c r="G303" i="18" s="1"/>
  <c r="F15" i="18"/>
  <c r="F27" i="18" s="1"/>
  <c r="F39" i="18" s="1"/>
  <c r="F51" i="18" s="1"/>
  <c r="F63" i="18" s="1"/>
  <c r="F75" i="18" s="1"/>
  <c r="F87" i="18" s="1"/>
  <c r="F99" i="18" s="1"/>
  <c r="F111" i="18" s="1"/>
  <c r="F123" i="18" s="1"/>
  <c r="F135" i="18" s="1"/>
  <c r="F147" i="18" s="1"/>
  <c r="F159" i="18" s="1"/>
  <c r="F171" i="18" s="1"/>
  <c r="F183" i="18" s="1"/>
  <c r="F195" i="18" s="1"/>
  <c r="F207" i="18" s="1"/>
  <c r="F219" i="18" s="1"/>
  <c r="F231" i="18" s="1"/>
  <c r="F243" i="18" s="1"/>
  <c r="F255" i="18" s="1"/>
  <c r="F267" i="18" s="1"/>
  <c r="F279" i="18" s="1"/>
  <c r="F291" i="18" s="1"/>
  <c r="F303" i="18" s="1"/>
  <c r="E15" i="18"/>
  <c r="D15" i="18"/>
  <c r="C15" i="18"/>
  <c r="R14" i="18"/>
  <c r="R26" i="18" s="1"/>
  <c r="R38" i="18" s="1"/>
  <c r="R50" i="18" s="1"/>
  <c r="R62" i="18" s="1"/>
  <c r="R74" i="18" s="1"/>
  <c r="R86" i="18" s="1"/>
  <c r="R98" i="18" s="1"/>
  <c r="R110" i="18" s="1"/>
  <c r="R122" i="18" s="1"/>
  <c r="R134" i="18" s="1"/>
  <c r="R146" i="18" s="1"/>
  <c r="R158" i="18" s="1"/>
  <c r="R170" i="18" s="1"/>
  <c r="R182" i="18" s="1"/>
  <c r="R194" i="18" s="1"/>
  <c r="R206" i="18" s="1"/>
  <c r="R218" i="18" s="1"/>
  <c r="R230" i="18" s="1"/>
  <c r="R242" i="18" s="1"/>
  <c r="R254" i="18" s="1"/>
  <c r="R266" i="18" s="1"/>
  <c r="R278" i="18" s="1"/>
  <c r="R290" i="18" s="1"/>
  <c r="R302" i="18" s="1"/>
  <c r="Q14" i="18"/>
  <c r="Q26" i="18" s="1"/>
  <c r="Q38" i="18" s="1"/>
  <c r="Q50" i="18" s="1"/>
  <c r="Q62" i="18" s="1"/>
  <c r="Q74" i="18" s="1"/>
  <c r="Q86" i="18" s="1"/>
  <c r="Q98" i="18" s="1"/>
  <c r="Q110" i="18" s="1"/>
  <c r="Q122" i="18" s="1"/>
  <c r="Q134" i="18" s="1"/>
  <c r="Q146" i="18" s="1"/>
  <c r="Q158" i="18" s="1"/>
  <c r="Q170" i="18" s="1"/>
  <c r="Q182" i="18" s="1"/>
  <c r="Q194" i="18" s="1"/>
  <c r="Q206" i="18" s="1"/>
  <c r="Q218" i="18" s="1"/>
  <c r="Q230" i="18" s="1"/>
  <c r="Q242" i="18" s="1"/>
  <c r="Q254" i="18" s="1"/>
  <c r="Q266" i="18" s="1"/>
  <c r="Q278" i="18" s="1"/>
  <c r="Q290" i="18" s="1"/>
  <c r="Q302" i="18" s="1"/>
  <c r="P14" i="18"/>
  <c r="P26" i="18" s="1"/>
  <c r="P38" i="18" s="1"/>
  <c r="P50" i="18" s="1"/>
  <c r="P62" i="18" s="1"/>
  <c r="P74" i="18" s="1"/>
  <c r="P86" i="18" s="1"/>
  <c r="P98" i="18" s="1"/>
  <c r="P110" i="18" s="1"/>
  <c r="P122" i="18" s="1"/>
  <c r="P134" i="18" s="1"/>
  <c r="P146" i="18" s="1"/>
  <c r="P158" i="18" s="1"/>
  <c r="P170" i="18" s="1"/>
  <c r="P182" i="18" s="1"/>
  <c r="P194" i="18" s="1"/>
  <c r="P206" i="18" s="1"/>
  <c r="P218" i="18" s="1"/>
  <c r="P230" i="18" s="1"/>
  <c r="P242" i="18" s="1"/>
  <c r="P254" i="18" s="1"/>
  <c r="P266" i="18" s="1"/>
  <c r="P278" i="18" s="1"/>
  <c r="P290" i="18" s="1"/>
  <c r="P302" i="18" s="1"/>
  <c r="O14" i="18"/>
  <c r="O26" i="18" s="1"/>
  <c r="O38" i="18" s="1"/>
  <c r="O50" i="18" s="1"/>
  <c r="O62" i="18" s="1"/>
  <c r="O74" i="18" s="1"/>
  <c r="O86" i="18" s="1"/>
  <c r="O98" i="18" s="1"/>
  <c r="O110" i="18" s="1"/>
  <c r="O122" i="18" s="1"/>
  <c r="O134" i="18" s="1"/>
  <c r="O146" i="18" s="1"/>
  <c r="O158" i="18" s="1"/>
  <c r="O170" i="18" s="1"/>
  <c r="O182" i="18" s="1"/>
  <c r="O194" i="18" s="1"/>
  <c r="O206" i="18" s="1"/>
  <c r="O218" i="18" s="1"/>
  <c r="O230" i="18" s="1"/>
  <c r="O242" i="18" s="1"/>
  <c r="O254" i="18" s="1"/>
  <c r="O266" i="18" s="1"/>
  <c r="O278" i="18" s="1"/>
  <c r="O290" i="18" s="1"/>
  <c r="O302" i="18" s="1"/>
  <c r="N14" i="18"/>
  <c r="N26" i="18" s="1"/>
  <c r="N38" i="18" s="1"/>
  <c r="N50" i="18" s="1"/>
  <c r="N62" i="18" s="1"/>
  <c r="N74" i="18" s="1"/>
  <c r="N86" i="18" s="1"/>
  <c r="N98" i="18" s="1"/>
  <c r="N110" i="18" s="1"/>
  <c r="N122" i="18" s="1"/>
  <c r="N134" i="18" s="1"/>
  <c r="N146" i="18" s="1"/>
  <c r="N158" i="18" s="1"/>
  <c r="N170" i="18" s="1"/>
  <c r="N182" i="18" s="1"/>
  <c r="N194" i="18" s="1"/>
  <c r="N206" i="18" s="1"/>
  <c r="N218" i="18" s="1"/>
  <c r="N230" i="18" s="1"/>
  <c r="N242" i="18" s="1"/>
  <c r="N254" i="18" s="1"/>
  <c r="N266" i="18" s="1"/>
  <c r="N278" i="18" s="1"/>
  <c r="N290" i="18" s="1"/>
  <c r="N302" i="18" s="1"/>
  <c r="M14" i="18"/>
  <c r="L14" i="18"/>
  <c r="K14" i="18"/>
  <c r="K26" i="18" s="1"/>
  <c r="K38" i="18" s="1"/>
  <c r="K50" i="18" s="1"/>
  <c r="K62" i="18" s="1"/>
  <c r="K74" i="18" s="1"/>
  <c r="K86" i="18" s="1"/>
  <c r="K98" i="18" s="1"/>
  <c r="K110" i="18" s="1"/>
  <c r="K122" i="18" s="1"/>
  <c r="K134" i="18" s="1"/>
  <c r="K146" i="18" s="1"/>
  <c r="K158" i="18" s="1"/>
  <c r="K170" i="18" s="1"/>
  <c r="K182" i="18" s="1"/>
  <c r="K194" i="18" s="1"/>
  <c r="K206" i="18" s="1"/>
  <c r="K218" i="18" s="1"/>
  <c r="K230" i="18" s="1"/>
  <c r="K242" i="18" s="1"/>
  <c r="K254" i="18" s="1"/>
  <c r="K266" i="18" s="1"/>
  <c r="K278" i="18" s="1"/>
  <c r="K290" i="18" s="1"/>
  <c r="K302" i="18" s="1"/>
  <c r="J14" i="18"/>
  <c r="J26" i="18" s="1"/>
  <c r="J38" i="18" s="1"/>
  <c r="J50" i="18" s="1"/>
  <c r="J62" i="18" s="1"/>
  <c r="J74" i="18" s="1"/>
  <c r="J86" i="18" s="1"/>
  <c r="J98" i="18" s="1"/>
  <c r="J110" i="18" s="1"/>
  <c r="J122" i="18" s="1"/>
  <c r="J134" i="18" s="1"/>
  <c r="J146" i="18" s="1"/>
  <c r="J158" i="18" s="1"/>
  <c r="J170" i="18" s="1"/>
  <c r="J182" i="18" s="1"/>
  <c r="J194" i="18" s="1"/>
  <c r="J206" i="18" s="1"/>
  <c r="J218" i="18" s="1"/>
  <c r="J230" i="18" s="1"/>
  <c r="J242" i="18" s="1"/>
  <c r="J254" i="18" s="1"/>
  <c r="J266" i="18" s="1"/>
  <c r="J278" i="18" s="1"/>
  <c r="J290" i="18" s="1"/>
  <c r="J302" i="18" s="1"/>
  <c r="I14" i="18"/>
  <c r="I26" i="18" s="1"/>
  <c r="I38" i="18" s="1"/>
  <c r="I50" i="18" s="1"/>
  <c r="I62" i="18" s="1"/>
  <c r="I74" i="18" s="1"/>
  <c r="I86" i="18" s="1"/>
  <c r="I98" i="18" s="1"/>
  <c r="I110" i="18" s="1"/>
  <c r="I122" i="18" s="1"/>
  <c r="I134" i="18" s="1"/>
  <c r="I146" i="18" s="1"/>
  <c r="I158" i="18" s="1"/>
  <c r="I170" i="18" s="1"/>
  <c r="I182" i="18" s="1"/>
  <c r="I194" i="18" s="1"/>
  <c r="I206" i="18" s="1"/>
  <c r="I218" i="18" s="1"/>
  <c r="I230" i="18" s="1"/>
  <c r="I242" i="18" s="1"/>
  <c r="I254" i="18" s="1"/>
  <c r="I266" i="18" s="1"/>
  <c r="I278" i="18" s="1"/>
  <c r="I290" i="18" s="1"/>
  <c r="I302" i="18" s="1"/>
  <c r="H14" i="18"/>
  <c r="H26" i="18" s="1"/>
  <c r="H38" i="18" s="1"/>
  <c r="H50" i="18" s="1"/>
  <c r="H62" i="18" s="1"/>
  <c r="H74" i="18" s="1"/>
  <c r="H86" i="18" s="1"/>
  <c r="H98" i="18" s="1"/>
  <c r="H110" i="18" s="1"/>
  <c r="H122" i="18" s="1"/>
  <c r="H134" i="18" s="1"/>
  <c r="H146" i="18" s="1"/>
  <c r="H158" i="18" s="1"/>
  <c r="H170" i="18" s="1"/>
  <c r="H182" i="18" s="1"/>
  <c r="H194" i="18" s="1"/>
  <c r="H206" i="18" s="1"/>
  <c r="H218" i="18" s="1"/>
  <c r="H230" i="18" s="1"/>
  <c r="H242" i="18" s="1"/>
  <c r="H254" i="18" s="1"/>
  <c r="H266" i="18" s="1"/>
  <c r="H278" i="18" s="1"/>
  <c r="H290" i="18" s="1"/>
  <c r="H302" i="18" s="1"/>
  <c r="G14" i="18"/>
  <c r="G26" i="18" s="1"/>
  <c r="G38" i="18" s="1"/>
  <c r="G50" i="18" s="1"/>
  <c r="G62" i="18" s="1"/>
  <c r="G74" i="18" s="1"/>
  <c r="G86" i="18" s="1"/>
  <c r="G98" i="18" s="1"/>
  <c r="G110" i="18" s="1"/>
  <c r="G122" i="18" s="1"/>
  <c r="G134" i="18" s="1"/>
  <c r="G146" i="18" s="1"/>
  <c r="G158" i="18" s="1"/>
  <c r="G170" i="18" s="1"/>
  <c r="G182" i="18" s="1"/>
  <c r="G194" i="18" s="1"/>
  <c r="G206" i="18" s="1"/>
  <c r="G218" i="18" s="1"/>
  <c r="G230" i="18" s="1"/>
  <c r="G242" i="18" s="1"/>
  <c r="G254" i="18" s="1"/>
  <c r="G266" i="18" s="1"/>
  <c r="G278" i="18" s="1"/>
  <c r="G290" i="18" s="1"/>
  <c r="G302" i="18" s="1"/>
  <c r="F14" i="18"/>
  <c r="F26" i="18" s="1"/>
  <c r="F38" i="18" s="1"/>
  <c r="F50" i="18" s="1"/>
  <c r="F62" i="18" s="1"/>
  <c r="F74" i="18" s="1"/>
  <c r="F86" i="18" s="1"/>
  <c r="F98" i="18" s="1"/>
  <c r="F110" i="18" s="1"/>
  <c r="F122" i="18" s="1"/>
  <c r="F134" i="18" s="1"/>
  <c r="F146" i="18" s="1"/>
  <c r="F158" i="18" s="1"/>
  <c r="F170" i="18" s="1"/>
  <c r="F182" i="18" s="1"/>
  <c r="F194" i="18" s="1"/>
  <c r="F206" i="18" s="1"/>
  <c r="F218" i="18" s="1"/>
  <c r="F230" i="18" s="1"/>
  <c r="F242" i="18" s="1"/>
  <c r="F254" i="18" s="1"/>
  <c r="F266" i="18" s="1"/>
  <c r="F278" i="18" s="1"/>
  <c r="F290" i="18" s="1"/>
  <c r="F302" i="18" s="1"/>
  <c r="E14" i="18"/>
  <c r="D14" i="18"/>
  <c r="C14" i="18"/>
  <c r="J123" i="16" l="1"/>
  <c r="J135" i="16" s="1"/>
  <c r="J147" i="16" s="1"/>
  <c r="J159" i="16" s="1"/>
  <c r="J171" i="16" s="1"/>
  <c r="J183" i="16" s="1"/>
  <c r="J195" i="16" s="1"/>
  <c r="J207" i="16" s="1"/>
  <c r="J219" i="16" s="1"/>
  <c r="J231" i="16" s="1"/>
  <c r="J243" i="16" s="1"/>
  <c r="J255" i="16" s="1"/>
  <c r="J267" i="16" s="1"/>
  <c r="J279" i="16" s="1"/>
  <c r="J291" i="16" s="1"/>
  <c r="J303" i="16" s="1"/>
  <c r="R119" i="16"/>
  <c r="R131" i="16" s="1"/>
  <c r="R143" i="16" s="1"/>
  <c r="R155" i="16" s="1"/>
  <c r="R167" i="16" s="1"/>
  <c r="R179" i="16" s="1"/>
  <c r="R191" i="16" s="1"/>
  <c r="R203" i="16" s="1"/>
  <c r="R215" i="16" s="1"/>
  <c r="R227" i="16" s="1"/>
  <c r="R239" i="16" s="1"/>
  <c r="R251" i="16" s="1"/>
  <c r="R263" i="16" s="1"/>
  <c r="R275" i="16" s="1"/>
  <c r="R287" i="16" s="1"/>
  <c r="R299" i="16" s="1"/>
  <c r="R311" i="16" s="1"/>
  <c r="H116" i="16"/>
  <c r="H128" i="16" s="1"/>
  <c r="H140" i="16" s="1"/>
  <c r="H152" i="16" s="1"/>
  <c r="H164" i="16" s="1"/>
  <c r="H176" i="16" s="1"/>
  <c r="H188" i="16" s="1"/>
  <c r="H200" i="16" s="1"/>
  <c r="H212" i="16" s="1"/>
  <c r="H224" i="16" s="1"/>
  <c r="H236" i="16" s="1"/>
  <c r="H248" i="16" s="1"/>
  <c r="H260" i="16" s="1"/>
  <c r="H272" i="16" s="1"/>
  <c r="H284" i="16" s="1"/>
  <c r="H296" i="16" s="1"/>
  <c r="H308" i="16" s="1"/>
  <c r="F109" i="16"/>
  <c r="F121" i="16" s="1"/>
  <c r="F133" i="16" s="1"/>
  <c r="F145" i="16" s="1"/>
  <c r="F157" i="16" s="1"/>
  <c r="F169" i="16" s="1"/>
  <c r="F181" i="16" s="1"/>
  <c r="F193" i="16" s="1"/>
  <c r="F205" i="16" s="1"/>
  <c r="F217" i="16" s="1"/>
  <c r="F229" i="16" s="1"/>
  <c r="F241" i="16" s="1"/>
  <c r="F253" i="16" s="1"/>
  <c r="F265" i="16" s="1"/>
  <c r="F277" i="16" s="1"/>
  <c r="F289" i="16" s="1"/>
  <c r="F301" i="16" s="1"/>
  <c r="F313" i="16" s="1"/>
  <c r="F97" i="16"/>
  <c r="F93" i="16"/>
  <c r="F105" i="16" s="1"/>
  <c r="F117" i="16" s="1"/>
  <c r="F129" i="16" s="1"/>
  <c r="F141" i="16" s="1"/>
  <c r="F153" i="16" s="1"/>
  <c r="F165" i="16" s="1"/>
  <c r="F177" i="16" s="1"/>
  <c r="F189" i="16" s="1"/>
  <c r="F201" i="16" s="1"/>
  <c r="F213" i="16" s="1"/>
  <c r="F225" i="16" s="1"/>
  <c r="F237" i="16" s="1"/>
  <c r="F249" i="16" s="1"/>
  <c r="F261" i="16" s="1"/>
  <c r="F273" i="16" s="1"/>
  <c r="F285" i="16" s="1"/>
  <c r="F297" i="16" s="1"/>
  <c r="F309" i="16" s="1"/>
  <c r="H84" i="16"/>
  <c r="H96" i="16" s="1"/>
  <c r="H108" i="16" s="1"/>
  <c r="H120" i="16" s="1"/>
  <c r="H132" i="16" s="1"/>
  <c r="H144" i="16" s="1"/>
  <c r="H156" i="16" s="1"/>
  <c r="H168" i="16" s="1"/>
  <c r="H180" i="16" s="1"/>
  <c r="H192" i="16" s="1"/>
  <c r="H204" i="16" s="1"/>
  <c r="H216" i="16" s="1"/>
  <c r="H228" i="16" s="1"/>
  <c r="H240" i="16" s="1"/>
  <c r="H252" i="16" s="1"/>
  <c r="H264" i="16" s="1"/>
  <c r="H276" i="16" s="1"/>
  <c r="H288" i="16" s="1"/>
  <c r="H300" i="16" s="1"/>
  <c r="H312" i="16" s="1"/>
  <c r="L82" i="16"/>
  <c r="L94" i="16" s="1"/>
  <c r="L106" i="16" s="1"/>
  <c r="L118" i="16" s="1"/>
  <c r="L130" i="16" s="1"/>
  <c r="L142" i="16" s="1"/>
  <c r="L154" i="16" s="1"/>
  <c r="L166" i="16" s="1"/>
  <c r="L178" i="16" s="1"/>
  <c r="L190" i="16" s="1"/>
  <c r="L202" i="16" s="1"/>
  <c r="L214" i="16" s="1"/>
  <c r="L226" i="16" s="1"/>
  <c r="L238" i="16" s="1"/>
  <c r="L250" i="16" s="1"/>
  <c r="L262" i="16" s="1"/>
  <c r="L274" i="16" s="1"/>
  <c r="L286" i="16" s="1"/>
  <c r="L298" i="16" s="1"/>
  <c r="L310" i="16" s="1"/>
  <c r="R79" i="16"/>
  <c r="R91" i="16" s="1"/>
  <c r="R103" i="16" s="1"/>
  <c r="R115" i="16" s="1"/>
  <c r="R127" i="16" s="1"/>
  <c r="R139" i="16" s="1"/>
  <c r="R151" i="16" s="1"/>
  <c r="R163" i="16" s="1"/>
  <c r="R175" i="16" s="1"/>
  <c r="R187" i="16" s="1"/>
  <c r="R199" i="16" s="1"/>
  <c r="R211" i="16" s="1"/>
  <c r="R223" i="16" s="1"/>
  <c r="R235" i="16" s="1"/>
  <c r="R247" i="16" s="1"/>
  <c r="R259" i="16" s="1"/>
  <c r="R271" i="16" s="1"/>
  <c r="R283" i="16" s="1"/>
  <c r="R295" i="16" s="1"/>
  <c r="R307" i="16" s="1"/>
  <c r="N77" i="16"/>
  <c r="N89" i="16" s="1"/>
  <c r="N101" i="16" s="1"/>
  <c r="N113" i="16" s="1"/>
  <c r="N125" i="16" s="1"/>
  <c r="N137" i="16" s="1"/>
  <c r="N149" i="16" s="1"/>
  <c r="N161" i="16" s="1"/>
  <c r="N173" i="16" s="1"/>
  <c r="N185" i="16" s="1"/>
  <c r="N197" i="16" s="1"/>
  <c r="N209" i="16" s="1"/>
  <c r="N221" i="16" s="1"/>
  <c r="N233" i="16" s="1"/>
  <c r="N245" i="16" s="1"/>
  <c r="N257" i="16" s="1"/>
  <c r="N269" i="16" s="1"/>
  <c r="N281" i="16" s="1"/>
  <c r="N293" i="16" s="1"/>
  <c r="N305" i="16" s="1"/>
  <c r="T74" i="16"/>
  <c r="T86" i="16" s="1"/>
  <c r="T98" i="16" s="1"/>
  <c r="T110" i="16" s="1"/>
  <c r="T122" i="16" s="1"/>
  <c r="T134" i="16" s="1"/>
  <c r="T146" i="16" s="1"/>
  <c r="T158" i="16" s="1"/>
  <c r="T170" i="16" s="1"/>
  <c r="T182" i="16" s="1"/>
  <c r="T194" i="16" s="1"/>
  <c r="T206" i="16" s="1"/>
  <c r="T218" i="16" s="1"/>
  <c r="T230" i="16" s="1"/>
  <c r="T242" i="16" s="1"/>
  <c r="T254" i="16" s="1"/>
  <c r="T266" i="16" s="1"/>
  <c r="T278" i="16" s="1"/>
  <c r="T290" i="16" s="1"/>
  <c r="T302" i="16" s="1"/>
  <c r="P74" i="16"/>
  <c r="P86" i="16" s="1"/>
  <c r="P98" i="16" s="1"/>
  <c r="P110" i="16" s="1"/>
  <c r="P122" i="16" s="1"/>
  <c r="P134" i="16" s="1"/>
  <c r="P146" i="16" s="1"/>
  <c r="P158" i="16" s="1"/>
  <c r="P170" i="16" s="1"/>
  <c r="P182" i="16" s="1"/>
  <c r="P194" i="16" s="1"/>
  <c r="P206" i="16" s="1"/>
  <c r="P218" i="16" s="1"/>
  <c r="P230" i="16" s="1"/>
  <c r="P242" i="16" s="1"/>
  <c r="P254" i="16" s="1"/>
  <c r="P266" i="16" s="1"/>
  <c r="P278" i="16" s="1"/>
  <c r="P290" i="16" s="1"/>
  <c r="P302" i="16" s="1"/>
  <c r="G62" i="16"/>
  <c r="G74" i="16" s="1"/>
  <c r="G86" i="16" s="1"/>
  <c r="G98" i="16" s="1"/>
  <c r="G110" i="16" s="1"/>
  <c r="G122" i="16" s="1"/>
  <c r="G134" i="16" s="1"/>
  <c r="G146" i="16" s="1"/>
  <c r="G158" i="16" s="1"/>
  <c r="G170" i="16" s="1"/>
  <c r="G182" i="16" s="1"/>
  <c r="G194" i="16" s="1"/>
  <c r="G206" i="16" s="1"/>
  <c r="G218" i="16" s="1"/>
  <c r="G230" i="16" s="1"/>
  <c r="G242" i="16" s="1"/>
  <c r="G254" i="16" s="1"/>
  <c r="G266" i="16" s="1"/>
  <c r="G278" i="16" s="1"/>
  <c r="G290" i="16" s="1"/>
  <c r="G302" i="16" s="1"/>
  <c r="K60" i="16"/>
  <c r="K72" i="16" s="1"/>
  <c r="K84" i="16" s="1"/>
  <c r="K96" i="16" s="1"/>
  <c r="K108" i="16" s="1"/>
  <c r="K120" i="16" s="1"/>
  <c r="K132" i="16" s="1"/>
  <c r="K144" i="16" s="1"/>
  <c r="K156" i="16" s="1"/>
  <c r="K168" i="16" s="1"/>
  <c r="K180" i="16" s="1"/>
  <c r="K192" i="16" s="1"/>
  <c r="K204" i="16" s="1"/>
  <c r="K216" i="16" s="1"/>
  <c r="K228" i="16" s="1"/>
  <c r="K240" i="16" s="1"/>
  <c r="K252" i="16" s="1"/>
  <c r="K264" i="16" s="1"/>
  <c r="K276" i="16" s="1"/>
  <c r="K288" i="16" s="1"/>
  <c r="K300" i="16" s="1"/>
  <c r="K312" i="16" s="1"/>
  <c r="G55" i="16"/>
  <c r="G67" i="16" s="1"/>
  <c r="G79" i="16" s="1"/>
  <c r="G91" i="16" s="1"/>
  <c r="G103" i="16" s="1"/>
  <c r="G115" i="16" s="1"/>
  <c r="G127" i="16" s="1"/>
  <c r="G139" i="16" s="1"/>
  <c r="G151" i="16" s="1"/>
  <c r="G163" i="16" s="1"/>
  <c r="G175" i="16" s="1"/>
  <c r="G187" i="16" s="1"/>
  <c r="G199" i="16" s="1"/>
  <c r="G211" i="16" s="1"/>
  <c r="G223" i="16" s="1"/>
  <c r="G235" i="16" s="1"/>
  <c r="G247" i="16" s="1"/>
  <c r="G259" i="16" s="1"/>
  <c r="G271" i="16" s="1"/>
  <c r="G283" i="16" s="1"/>
  <c r="G295" i="16" s="1"/>
  <c r="G307" i="16" s="1"/>
  <c r="G54" i="16"/>
  <c r="G66" i="16" s="1"/>
  <c r="G78" i="16" s="1"/>
  <c r="G90" i="16" s="1"/>
  <c r="G102" i="16" s="1"/>
  <c r="G114" i="16" s="1"/>
  <c r="G126" i="16" s="1"/>
  <c r="G138" i="16" s="1"/>
  <c r="G150" i="16" s="1"/>
  <c r="G162" i="16" s="1"/>
  <c r="G174" i="16" s="1"/>
  <c r="G186" i="16" s="1"/>
  <c r="G198" i="16" s="1"/>
  <c r="G210" i="16" s="1"/>
  <c r="G222" i="16" s="1"/>
  <c r="G234" i="16" s="1"/>
  <c r="G246" i="16" s="1"/>
  <c r="G258" i="16" s="1"/>
  <c r="G270" i="16" s="1"/>
  <c r="G282" i="16" s="1"/>
  <c r="G294" i="16" s="1"/>
  <c r="G306" i="16" s="1"/>
  <c r="K52" i="16"/>
  <c r="K64" i="16" s="1"/>
  <c r="K76" i="16" s="1"/>
  <c r="K88" i="16" s="1"/>
  <c r="K100" i="16" s="1"/>
  <c r="K112" i="16" s="1"/>
  <c r="K124" i="16" s="1"/>
  <c r="K136" i="16" s="1"/>
  <c r="K148" i="16" s="1"/>
  <c r="K160" i="16" s="1"/>
  <c r="K172" i="16" s="1"/>
  <c r="K184" i="16" s="1"/>
  <c r="K196" i="16" s="1"/>
  <c r="K208" i="16" s="1"/>
  <c r="K220" i="16" s="1"/>
  <c r="K232" i="16" s="1"/>
  <c r="K244" i="16" s="1"/>
  <c r="K256" i="16" s="1"/>
  <c r="K268" i="16" s="1"/>
  <c r="K280" i="16" s="1"/>
  <c r="K292" i="16" s="1"/>
  <c r="K304" i="16" s="1"/>
  <c r="M51" i="16"/>
  <c r="M63" i="16" s="1"/>
  <c r="M75" i="16" s="1"/>
  <c r="M87" i="16" s="1"/>
  <c r="M99" i="16" s="1"/>
  <c r="M111" i="16" s="1"/>
  <c r="M123" i="16" s="1"/>
  <c r="M135" i="16" s="1"/>
  <c r="M147" i="16" s="1"/>
  <c r="M159" i="16" s="1"/>
  <c r="M171" i="16" s="1"/>
  <c r="M183" i="16" s="1"/>
  <c r="M195" i="16" s="1"/>
  <c r="M207" i="16" s="1"/>
  <c r="M219" i="16" s="1"/>
  <c r="M231" i="16" s="1"/>
  <c r="M243" i="16" s="1"/>
  <c r="M255" i="16" s="1"/>
  <c r="M267" i="16" s="1"/>
  <c r="M279" i="16" s="1"/>
  <c r="M291" i="16" s="1"/>
  <c r="M303" i="16" s="1"/>
  <c r="G50" i="16"/>
  <c r="S49" i="16"/>
  <c r="S61" i="16" s="1"/>
  <c r="S73" i="16" s="1"/>
  <c r="S85" i="16" s="1"/>
  <c r="S97" i="16" s="1"/>
  <c r="S109" i="16" s="1"/>
  <c r="S121" i="16" s="1"/>
  <c r="S133" i="16" s="1"/>
  <c r="S145" i="16" s="1"/>
  <c r="S157" i="16" s="1"/>
  <c r="S169" i="16" s="1"/>
  <c r="S181" i="16" s="1"/>
  <c r="S193" i="16" s="1"/>
  <c r="S205" i="16" s="1"/>
  <c r="S217" i="16" s="1"/>
  <c r="S229" i="16" s="1"/>
  <c r="S241" i="16" s="1"/>
  <c r="S253" i="16" s="1"/>
  <c r="S265" i="16" s="1"/>
  <c r="S277" i="16" s="1"/>
  <c r="S289" i="16" s="1"/>
  <c r="S301" i="16" s="1"/>
  <c r="S313" i="16" s="1"/>
  <c r="Q49" i="16"/>
  <c r="Q61" i="16" s="1"/>
  <c r="Q73" i="16" s="1"/>
  <c r="Q85" i="16" s="1"/>
  <c r="Q97" i="16" s="1"/>
  <c r="Q109" i="16" s="1"/>
  <c r="Q121" i="16" s="1"/>
  <c r="Q133" i="16" s="1"/>
  <c r="Q145" i="16" s="1"/>
  <c r="Q157" i="16" s="1"/>
  <c r="Q169" i="16" s="1"/>
  <c r="Q181" i="16" s="1"/>
  <c r="Q193" i="16" s="1"/>
  <c r="Q205" i="16" s="1"/>
  <c r="Q217" i="16" s="1"/>
  <c r="Q229" i="16" s="1"/>
  <c r="Q241" i="16" s="1"/>
  <c r="Q253" i="16" s="1"/>
  <c r="Q265" i="16" s="1"/>
  <c r="Q277" i="16" s="1"/>
  <c r="Q289" i="16" s="1"/>
  <c r="Q301" i="16" s="1"/>
  <c r="Q313" i="16" s="1"/>
  <c r="G49" i="16"/>
  <c r="G61" i="16" s="1"/>
  <c r="G73" i="16" s="1"/>
  <c r="G85" i="16" s="1"/>
  <c r="G97" i="16" s="1"/>
  <c r="G109" i="16" s="1"/>
  <c r="G121" i="16" s="1"/>
  <c r="G133" i="16" s="1"/>
  <c r="G145" i="16" s="1"/>
  <c r="G157" i="16" s="1"/>
  <c r="G169" i="16" s="1"/>
  <c r="G181" i="16" s="1"/>
  <c r="G193" i="16" s="1"/>
  <c r="G205" i="16" s="1"/>
  <c r="G217" i="16" s="1"/>
  <c r="G229" i="16" s="1"/>
  <c r="G241" i="16" s="1"/>
  <c r="G253" i="16" s="1"/>
  <c r="G265" i="16" s="1"/>
  <c r="G277" i="16" s="1"/>
  <c r="G289" i="16" s="1"/>
  <c r="G301" i="16" s="1"/>
  <c r="G313" i="16" s="1"/>
  <c r="K48" i="16"/>
  <c r="G48" i="16"/>
  <c r="G60" i="16" s="1"/>
  <c r="G72" i="16" s="1"/>
  <c r="G84" i="16" s="1"/>
  <c r="G96" i="16" s="1"/>
  <c r="G108" i="16" s="1"/>
  <c r="G120" i="16" s="1"/>
  <c r="G132" i="16" s="1"/>
  <c r="G144" i="16" s="1"/>
  <c r="G156" i="16" s="1"/>
  <c r="G168" i="16" s="1"/>
  <c r="G180" i="16" s="1"/>
  <c r="G192" i="16" s="1"/>
  <c r="G204" i="16" s="1"/>
  <c r="G216" i="16" s="1"/>
  <c r="G228" i="16" s="1"/>
  <c r="G240" i="16" s="1"/>
  <c r="G252" i="16" s="1"/>
  <c r="G264" i="16" s="1"/>
  <c r="G276" i="16" s="1"/>
  <c r="G288" i="16" s="1"/>
  <c r="G300" i="16" s="1"/>
  <c r="G312" i="16" s="1"/>
  <c r="M47" i="16"/>
  <c r="M59" i="16" s="1"/>
  <c r="M71" i="16" s="1"/>
  <c r="M83" i="16" s="1"/>
  <c r="M95" i="16" s="1"/>
  <c r="M107" i="16" s="1"/>
  <c r="M119" i="16" s="1"/>
  <c r="M131" i="16" s="1"/>
  <c r="M143" i="16" s="1"/>
  <c r="M155" i="16" s="1"/>
  <c r="M167" i="16" s="1"/>
  <c r="M179" i="16" s="1"/>
  <c r="M191" i="16" s="1"/>
  <c r="M203" i="16" s="1"/>
  <c r="M215" i="16" s="1"/>
  <c r="M227" i="16" s="1"/>
  <c r="M239" i="16" s="1"/>
  <c r="M251" i="16" s="1"/>
  <c r="M263" i="16" s="1"/>
  <c r="M275" i="16" s="1"/>
  <c r="M287" i="16" s="1"/>
  <c r="M299" i="16" s="1"/>
  <c r="M311" i="16" s="1"/>
  <c r="G47" i="16"/>
  <c r="G59" i="16" s="1"/>
  <c r="G71" i="16" s="1"/>
  <c r="G83" i="16" s="1"/>
  <c r="G95" i="16" s="1"/>
  <c r="G107" i="16" s="1"/>
  <c r="G119" i="16" s="1"/>
  <c r="G131" i="16" s="1"/>
  <c r="G143" i="16" s="1"/>
  <c r="G155" i="16" s="1"/>
  <c r="G167" i="16" s="1"/>
  <c r="G179" i="16" s="1"/>
  <c r="G191" i="16" s="1"/>
  <c r="G203" i="16" s="1"/>
  <c r="G215" i="16" s="1"/>
  <c r="G227" i="16" s="1"/>
  <c r="G239" i="16" s="1"/>
  <c r="G251" i="16" s="1"/>
  <c r="G263" i="16" s="1"/>
  <c r="G275" i="16" s="1"/>
  <c r="G287" i="16" s="1"/>
  <c r="G299" i="16" s="1"/>
  <c r="G311" i="16" s="1"/>
  <c r="E47" i="16"/>
  <c r="E59" i="16" s="1"/>
  <c r="E71" i="16" s="1"/>
  <c r="E83" i="16" s="1"/>
  <c r="E95" i="16" s="1"/>
  <c r="E107" i="16" s="1"/>
  <c r="E119" i="16" s="1"/>
  <c r="E131" i="16" s="1"/>
  <c r="E143" i="16" s="1"/>
  <c r="E155" i="16" s="1"/>
  <c r="E167" i="16" s="1"/>
  <c r="E179" i="16" s="1"/>
  <c r="E191" i="16" s="1"/>
  <c r="E203" i="16" s="1"/>
  <c r="E215" i="16" s="1"/>
  <c r="E227" i="16" s="1"/>
  <c r="E239" i="16" s="1"/>
  <c r="E251" i="16" s="1"/>
  <c r="E263" i="16" s="1"/>
  <c r="E275" i="16" s="1"/>
  <c r="E287" i="16" s="1"/>
  <c r="E299" i="16" s="1"/>
  <c r="E311" i="16" s="1"/>
  <c r="O46" i="16"/>
  <c r="O58" i="16" s="1"/>
  <c r="O70" i="16" s="1"/>
  <c r="O82" i="16" s="1"/>
  <c r="O94" i="16" s="1"/>
  <c r="O106" i="16" s="1"/>
  <c r="O118" i="16" s="1"/>
  <c r="O130" i="16" s="1"/>
  <c r="O142" i="16" s="1"/>
  <c r="O154" i="16" s="1"/>
  <c r="O166" i="16" s="1"/>
  <c r="O178" i="16" s="1"/>
  <c r="O190" i="16" s="1"/>
  <c r="O202" i="16" s="1"/>
  <c r="O214" i="16" s="1"/>
  <c r="O226" i="16" s="1"/>
  <c r="O238" i="16" s="1"/>
  <c r="O250" i="16" s="1"/>
  <c r="O262" i="16" s="1"/>
  <c r="O274" i="16" s="1"/>
  <c r="O286" i="16" s="1"/>
  <c r="O298" i="16" s="1"/>
  <c r="O310" i="16" s="1"/>
  <c r="G46" i="16"/>
  <c r="G58" i="16" s="1"/>
  <c r="G70" i="16" s="1"/>
  <c r="G82" i="16" s="1"/>
  <c r="G94" i="16" s="1"/>
  <c r="G106" i="16" s="1"/>
  <c r="G118" i="16" s="1"/>
  <c r="G130" i="16" s="1"/>
  <c r="G142" i="16" s="1"/>
  <c r="G154" i="16" s="1"/>
  <c r="G166" i="16" s="1"/>
  <c r="G178" i="16" s="1"/>
  <c r="G190" i="16" s="1"/>
  <c r="G202" i="16" s="1"/>
  <c r="G214" i="16" s="1"/>
  <c r="G226" i="16" s="1"/>
  <c r="G238" i="16" s="1"/>
  <c r="G250" i="16" s="1"/>
  <c r="G262" i="16" s="1"/>
  <c r="G274" i="16" s="1"/>
  <c r="G286" i="16" s="1"/>
  <c r="G298" i="16" s="1"/>
  <c r="G310" i="16" s="1"/>
  <c r="G45" i="16"/>
  <c r="G57" i="16" s="1"/>
  <c r="G69" i="16" s="1"/>
  <c r="G81" i="16" s="1"/>
  <c r="G93" i="16" s="1"/>
  <c r="G105" i="16" s="1"/>
  <c r="G117" i="16" s="1"/>
  <c r="G129" i="16" s="1"/>
  <c r="G141" i="16" s="1"/>
  <c r="G153" i="16" s="1"/>
  <c r="G165" i="16" s="1"/>
  <c r="G177" i="16" s="1"/>
  <c r="G189" i="16" s="1"/>
  <c r="G201" i="16" s="1"/>
  <c r="G213" i="16" s="1"/>
  <c r="G225" i="16" s="1"/>
  <c r="G237" i="16" s="1"/>
  <c r="G249" i="16" s="1"/>
  <c r="G261" i="16" s="1"/>
  <c r="G273" i="16" s="1"/>
  <c r="G285" i="16" s="1"/>
  <c r="G297" i="16" s="1"/>
  <c r="G309" i="16" s="1"/>
  <c r="B45" i="16"/>
  <c r="C45" i="16" s="1"/>
  <c r="G44" i="16"/>
  <c r="G56" i="16" s="1"/>
  <c r="G68" i="16" s="1"/>
  <c r="G80" i="16" s="1"/>
  <c r="G92" i="16" s="1"/>
  <c r="G104" i="16" s="1"/>
  <c r="G116" i="16" s="1"/>
  <c r="G128" i="16" s="1"/>
  <c r="G140" i="16" s="1"/>
  <c r="G152" i="16" s="1"/>
  <c r="G164" i="16" s="1"/>
  <c r="G176" i="16" s="1"/>
  <c r="G188" i="16" s="1"/>
  <c r="G200" i="16" s="1"/>
  <c r="G212" i="16" s="1"/>
  <c r="G224" i="16" s="1"/>
  <c r="G236" i="16" s="1"/>
  <c r="G248" i="16" s="1"/>
  <c r="G260" i="16" s="1"/>
  <c r="G272" i="16" s="1"/>
  <c r="G284" i="16" s="1"/>
  <c r="G296" i="16" s="1"/>
  <c r="G308" i="16" s="1"/>
  <c r="O43" i="16"/>
  <c r="O55" i="16" s="1"/>
  <c r="O67" i="16" s="1"/>
  <c r="O79" i="16" s="1"/>
  <c r="O91" i="16" s="1"/>
  <c r="O103" i="16" s="1"/>
  <c r="O115" i="16" s="1"/>
  <c r="O127" i="16" s="1"/>
  <c r="O139" i="16" s="1"/>
  <c r="O151" i="16" s="1"/>
  <c r="O163" i="16" s="1"/>
  <c r="O175" i="16" s="1"/>
  <c r="O187" i="16" s="1"/>
  <c r="O199" i="16" s="1"/>
  <c r="O211" i="16" s="1"/>
  <c r="O223" i="16" s="1"/>
  <c r="O235" i="16" s="1"/>
  <c r="O247" i="16" s="1"/>
  <c r="O259" i="16" s="1"/>
  <c r="O271" i="16" s="1"/>
  <c r="O283" i="16" s="1"/>
  <c r="O295" i="16" s="1"/>
  <c r="O307" i="16" s="1"/>
  <c r="G43" i="16"/>
  <c r="G42" i="16"/>
  <c r="S41" i="16"/>
  <c r="S53" i="16" s="1"/>
  <c r="S65" i="16" s="1"/>
  <c r="S77" i="16" s="1"/>
  <c r="S89" i="16" s="1"/>
  <c r="S101" i="16" s="1"/>
  <c r="S113" i="16" s="1"/>
  <c r="S125" i="16" s="1"/>
  <c r="S137" i="16" s="1"/>
  <c r="S149" i="16" s="1"/>
  <c r="S161" i="16" s="1"/>
  <c r="S173" i="16" s="1"/>
  <c r="S185" i="16" s="1"/>
  <c r="S197" i="16" s="1"/>
  <c r="S209" i="16" s="1"/>
  <c r="S221" i="16" s="1"/>
  <c r="S233" i="16" s="1"/>
  <c r="S245" i="16" s="1"/>
  <c r="S257" i="16" s="1"/>
  <c r="S269" i="16" s="1"/>
  <c r="S281" i="16" s="1"/>
  <c r="S293" i="16" s="1"/>
  <c r="S305" i="16" s="1"/>
  <c r="Q41" i="16"/>
  <c r="Q53" i="16" s="1"/>
  <c r="Q65" i="16" s="1"/>
  <c r="Q77" i="16" s="1"/>
  <c r="Q89" i="16" s="1"/>
  <c r="Q101" i="16" s="1"/>
  <c r="Q113" i="16" s="1"/>
  <c r="Q125" i="16" s="1"/>
  <c r="Q137" i="16" s="1"/>
  <c r="Q149" i="16" s="1"/>
  <c r="Q161" i="16" s="1"/>
  <c r="Q173" i="16" s="1"/>
  <c r="Q185" i="16" s="1"/>
  <c r="Q197" i="16" s="1"/>
  <c r="Q209" i="16" s="1"/>
  <c r="Q221" i="16" s="1"/>
  <c r="Q233" i="16" s="1"/>
  <c r="Q245" i="16" s="1"/>
  <c r="Q257" i="16" s="1"/>
  <c r="Q269" i="16" s="1"/>
  <c r="Q281" i="16" s="1"/>
  <c r="Q293" i="16" s="1"/>
  <c r="Q305" i="16" s="1"/>
  <c r="G41" i="16"/>
  <c r="G53" i="16" s="1"/>
  <c r="G65" i="16" s="1"/>
  <c r="G77" i="16" s="1"/>
  <c r="G89" i="16" s="1"/>
  <c r="G101" i="16" s="1"/>
  <c r="G113" i="16" s="1"/>
  <c r="G125" i="16" s="1"/>
  <c r="G137" i="16" s="1"/>
  <c r="G149" i="16" s="1"/>
  <c r="G161" i="16" s="1"/>
  <c r="G173" i="16" s="1"/>
  <c r="G185" i="16" s="1"/>
  <c r="G197" i="16" s="1"/>
  <c r="G209" i="16" s="1"/>
  <c r="G221" i="16" s="1"/>
  <c r="G233" i="16" s="1"/>
  <c r="G245" i="16" s="1"/>
  <c r="G257" i="16" s="1"/>
  <c r="G269" i="16" s="1"/>
  <c r="G281" i="16" s="1"/>
  <c r="G293" i="16" s="1"/>
  <c r="G305" i="16" s="1"/>
  <c r="K40" i="16"/>
  <c r="G40" i="16"/>
  <c r="G52" i="16" s="1"/>
  <c r="G64" i="16" s="1"/>
  <c r="G76" i="16" s="1"/>
  <c r="G88" i="16" s="1"/>
  <c r="G100" i="16" s="1"/>
  <c r="G112" i="16" s="1"/>
  <c r="G124" i="16" s="1"/>
  <c r="G136" i="16" s="1"/>
  <c r="G148" i="16" s="1"/>
  <c r="G160" i="16" s="1"/>
  <c r="G172" i="16" s="1"/>
  <c r="G184" i="16" s="1"/>
  <c r="G196" i="16" s="1"/>
  <c r="G208" i="16" s="1"/>
  <c r="G220" i="16" s="1"/>
  <c r="G232" i="16" s="1"/>
  <c r="G244" i="16" s="1"/>
  <c r="G256" i="16" s="1"/>
  <c r="G268" i="16" s="1"/>
  <c r="G280" i="16" s="1"/>
  <c r="G292" i="16" s="1"/>
  <c r="G304" i="16" s="1"/>
  <c r="M39" i="16"/>
  <c r="G39" i="16"/>
  <c r="G51" i="16" s="1"/>
  <c r="G63" i="16" s="1"/>
  <c r="G75" i="16" s="1"/>
  <c r="G87" i="16" s="1"/>
  <c r="G99" i="16" s="1"/>
  <c r="G111" i="16" s="1"/>
  <c r="G123" i="16" s="1"/>
  <c r="G135" i="16" s="1"/>
  <c r="G147" i="16" s="1"/>
  <c r="G159" i="16" s="1"/>
  <c r="G171" i="16" s="1"/>
  <c r="G183" i="16" s="1"/>
  <c r="G195" i="16" s="1"/>
  <c r="G207" i="16" s="1"/>
  <c r="G219" i="16" s="1"/>
  <c r="G231" i="16" s="1"/>
  <c r="G243" i="16" s="1"/>
  <c r="G255" i="16" s="1"/>
  <c r="G267" i="16" s="1"/>
  <c r="G279" i="16" s="1"/>
  <c r="G291" i="16" s="1"/>
  <c r="G303" i="16" s="1"/>
  <c r="O38" i="16"/>
  <c r="O50" i="16" s="1"/>
  <c r="O62" i="16" s="1"/>
  <c r="O74" i="16" s="1"/>
  <c r="O86" i="16" s="1"/>
  <c r="O98" i="16" s="1"/>
  <c r="O110" i="16" s="1"/>
  <c r="O122" i="16" s="1"/>
  <c r="O134" i="16" s="1"/>
  <c r="O146" i="16" s="1"/>
  <c r="O158" i="16" s="1"/>
  <c r="O170" i="16" s="1"/>
  <c r="O182" i="16" s="1"/>
  <c r="O194" i="16" s="1"/>
  <c r="O206" i="16" s="1"/>
  <c r="O218" i="16" s="1"/>
  <c r="O230" i="16" s="1"/>
  <c r="O242" i="16" s="1"/>
  <c r="O254" i="16" s="1"/>
  <c r="O266" i="16" s="1"/>
  <c r="O278" i="16" s="1"/>
  <c r="O290" i="16" s="1"/>
  <c r="O302" i="16" s="1"/>
  <c r="G38" i="16"/>
  <c r="S37" i="16"/>
  <c r="Q37" i="16"/>
  <c r="K37" i="16"/>
  <c r="K49" i="16" s="1"/>
  <c r="K61" i="16" s="1"/>
  <c r="K73" i="16" s="1"/>
  <c r="K85" i="16" s="1"/>
  <c r="K97" i="16" s="1"/>
  <c r="K109" i="16" s="1"/>
  <c r="K121" i="16" s="1"/>
  <c r="K133" i="16" s="1"/>
  <c r="K145" i="16" s="1"/>
  <c r="K157" i="16" s="1"/>
  <c r="K169" i="16" s="1"/>
  <c r="K181" i="16" s="1"/>
  <c r="K193" i="16" s="1"/>
  <c r="K205" i="16" s="1"/>
  <c r="K217" i="16" s="1"/>
  <c r="K229" i="16" s="1"/>
  <c r="K241" i="16" s="1"/>
  <c r="K253" i="16" s="1"/>
  <c r="K265" i="16" s="1"/>
  <c r="K277" i="16" s="1"/>
  <c r="K289" i="16" s="1"/>
  <c r="K301" i="16" s="1"/>
  <c r="K313" i="16" s="1"/>
  <c r="I37" i="16"/>
  <c r="I49" i="16" s="1"/>
  <c r="I61" i="16" s="1"/>
  <c r="I73" i="16" s="1"/>
  <c r="I85" i="16" s="1"/>
  <c r="I97" i="16" s="1"/>
  <c r="I109" i="16" s="1"/>
  <c r="I121" i="16" s="1"/>
  <c r="I133" i="16" s="1"/>
  <c r="I145" i="16" s="1"/>
  <c r="I157" i="16" s="1"/>
  <c r="I169" i="16" s="1"/>
  <c r="I181" i="16" s="1"/>
  <c r="I193" i="16" s="1"/>
  <c r="I205" i="16" s="1"/>
  <c r="I217" i="16" s="1"/>
  <c r="I229" i="16" s="1"/>
  <c r="I241" i="16" s="1"/>
  <c r="I253" i="16" s="1"/>
  <c r="I265" i="16" s="1"/>
  <c r="I277" i="16" s="1"/>
  <c r="I289" i="16" s="1"/>
  <c r="I301" i="16" s="1"/>
  <c r="I313" i="16" s="1"/>
  <c r="T36" i="16"/>
  <c r="T48" i="16" s="1"/>
  <c r="T60" i="16" s="1"/>
  <c r="T72" i="16" s="1"/>
  <c r="T84" i="16" s="1"/>
  <c r="T96" i="16" s="1"/>
  <c r="T108" i="16" s="1"/>
  <c r="T120" i="16" s="1"/>
  <c r="T132" i="16" s="1"/>
  <c r="T144" i="16" s="1"/>
  <c r="T156" i="16" s="1"/>
  <c r="T168" i="16" s="1"/>
  <c r="T180" i="16" s="1"/>
  <c r="T192" i="16" s="1"/>
  <c r="T204" i="16" s="1"/>
  <c r="T216" i="16" s="1"/>
  <c r="T228" i="16" s="1"/>
  <c r="T240" i="16" s="1"/>
  <c r="T252" i="16" s="1"/>
  <c r="T264" i="16" s="1"/>
  <c r="T276" i="16" s="1"/>
  <c r="T288" i="16" s="1"/>
  <c r="T300" i="16" s="1"/>
  <c r="T312" i="16" s="1"/>
  <c r="R36" i="16"/>
  <c r="R48" i="16" s="1"/>
  <c r="R60" i="16" s="1"/>
  <c r="R72" i="16" s="1"/>
  <c r="R84" i="16" s="1"/>
  <c r="R96" i="16" s="1"/>
  <c r="R108" i="16" s="1"/>
  <c r="R120" i="16" s="1"/>
  <c r="R132" i="16" s="1"/>
  <c r="R144" i="16" s="1"/>
  <c r="R156" i="16" s="1"/>
  <c r="R168" i="16" s="1"/>
  <c r="R180" i="16" s="1"/>
  <c r="R192" i="16" s="1"/>
  <c r="R204" i="16" s="1"/>
  <c r="R216" i="16" s="1"/>
  <c r="R228" i="16" s="1"/>
  <c r="R240" i="16" s="1"/>
  <c r="R252" i="16" s="1"/>
  <c r="R264" i="16" s="1"/>
  <c r="R276" i="16" s="1"/>
  <c r="R288" i="16" s="1"/>
  <c r="R300" i="16" s="1"/>
  <c r="R312" i="16" s="1"/>
  <c r="L36" i="16"/>
  <c r="L48" i="16" s="1"/>
  <c r="L60" i="16" s="1"/>
  <c r="L72" i="16" s="1"/>
  <c r="L84" i="16" s="1"/>
  <c r="L96" i="16" s="1"/>
  <c r="L108" i="16" s="1"/>
  <c r="L120" i="16" s="1"/>
  <c r="L132" i="16" s="1"/>
  <c r="L144" i="16" s="1"/>
  <c r="L156" i="16" s="1"/>
  <c r="L168" i="16" s="1"/>
  <c r="L180" i="16" s="1"/>
  <c r="L192" i="16" s="1"/>
  <c r="L204" i="16" s="1"/>
  <c r="L216" i="16" s="1"/>
  <c r="L228" i="16" s="1"/>
  <c r="L240" i="16" s="1"/>
  <c r="L252" i="16" s="1"/>
  <c r="L264" i="16" s="1"/>
  <c r="L276" i="16" s="1"/>
  <c r="L288" i="16" s="1"/>
  <c r="L300" i="16" s="1"/>
  <c r="L312" i="16" s="1"/>
  <c r="J36" i="16"/>
  <c r="J48" i="16" s="1"/>
  <c r="J60" i="16" s="1"/>
  <c r="J72" i="16" s="1"/>
  <c r="J84" i="16" s="1"/>
  <c r="J96" i="16" s="1"/>
  <c r="J108" i="16" s="1"/>
  <c r="J120" i="16" s="1"/>
  <c r="J132" i="16" s="1"/>
  <c r="J144" i="16" s="1"/>
  <c r="J156" i="16" s="1"/>
  <c r="J168" i="16" s="1"/>
  <c r="J180" i="16" s="1"/>
  <c r="J192" i="16" s="1"/>
  <c r="J204" i="16" s="1"/>
  <c r="J216" i="16" s="1"/>
  <c r="J228" i="16" s="1"/>
  <c r="J240" i="16" s="1"/>
  <c r="J252" i="16" s="1"/>
  <c r="J264" i="16" s="1"/>
  <c r="J276" i="16" s="1"/>
  <c r="J288" i="16" s="1"/>
  <c r="J300" i="16" s="1"/>
  <c r="J312" i="16" s="1"/>
  <c r="B36" i="16"/>
  <c r="C36" i="16" s="1"/>
  <c r="M35" i="16"/>
  <c r="T34" i="16"/>
  <c r="T46" i="16" s="1"/>
  <c r="T58" i="16" s="1"/>
  <c r="T70" i="16" s="1"/>
  <c r="T82" i="16" s="1"/>
  <c r="T94" i="16" s="1"/>
  <c r="T106" i="16" s="1"/>
  <c r="T118" i="16" s="1"/>
  <c r="T130" i="16" s="1"/>
  <c r="T142" i="16" s="1"/>
  <c r="T154" i="16" s="1"/>
  <c r="T166" i="16" s="1"/>
  <c r="T178" i="16" s="1"/>
  <c r="T190" i="16" s="1"/>
  <c r="T202" i="16" s="1"/>
  <c r="T214" i="16" s="1"/>
  <c r="T226" i="16" s="1"/>
  <c r="T238" i="16" s="1"/>
  <c r="T250" i="16" s="1"/>
  <c r="T262" i="16" s="1"/>
  <c r="T274" i="16" s="1"/>
  <c r="T286" i="16" s="1"/>
  <c r="T298" i="16" s="1"/>
  <c r="T310" i="16" s="1"/>
  <c r="N34" i="16"/>
  <c r="N46" i="16" s="1"/>
  <c r="N58" i="16" s="1"/>
  <c r="N70" i="16" s="1"/>
  <c r="N82" i="16" s="1"/>
  <c r="N94" i="16" s="1"/>
  <c r="N106" i="16" s="1"/>
  <c r="N118" i="16" s="1"/>
  <c r="N130" i="16" s="1"/>
  <c r="N142" i="16" s="1"/>
  <c r="N154" i="16" s="1"/>
  <c r="N166" i="16" s="1"/>
  <c r="N178" i="16" s="1"/>
  <c r="N190" i="16" s="1"/>
  <c r="N202" i="16" s="1"/>
  <c r="N214" i="16" s="1"/>
  <c r="N226" i="16" s="1"/>
  <c r="N238" i="16" s="1"/>
  <c r="N250" i="16" s="1"/>
  <c r="N262" i="16" s="1"/>
  <c r="N274" i="16" s="1"/>
  <c r="N286" i="16" s="1"/>
  <c r="N298" i="16" s="1"/>
  <c r="N310" i="16" s="1"/>
  <c r="L34" i="16"/>
  <c r="L46" i="16" s="1"/>
  <c r="L58" i="16" s="1"/>
  <c r="L70" i="16" s="1"/>
  <c r="F33" i="16"/>
  <c r="F45" i="16" s="1"/>
  <c r="F57" i="16" s="1"/>
  <c r="F69" i="16" s="1"/>
  <c r="F81" i="16" s="1"/>
  <c r="C33" i="16"/>
  <c r="P32" i="16"/>
  <c r="P44" i="16" s="1"/>
  <c r="P56" i="16" s="1"/>
  <c r="P68" i="16" s="1"/>
  <c r="P80" i="16" s="1"/>
  <c r="P92" i="16" s="1"/>
  <c r="P104" i="16" s="1"/>
  <c r="P116" i="16" s="1"/>
  <c r="P128" i="16" s="1"/>
  <c r="P140" i="16" s="1"/>
  <c r="P152" i="16" s="1"/>
  <c r="P164" i="16" s="1"/>
  <c r="P176" i="16" s="1"/>
  <c r="P188" i="16" s="1"/>
  <c r="P200" i="16" s="1"/>
  <c r="P212" i="16" s="1"/>
  <c r="P224" i="16" s="1"/>
  <c r="P236" i="16" s="1"/>
  <c r="P248" i="16" s="1"/>
  <c r="P260" i="16" s="1"/>
  <c r="P272" i="16" s="1"/>
  <c r="P284" i="16" s="1"/>
  <c r="P296" i="16" s="1"/>
  <c r="P308" i="16" s="1"/>
  <c r="N32" i="16"/>
  <c r="N44" i="16" s="1"/>
  <c r="N56" i="16" s="1"/>
  <c r="N68" i="16" s="1"/>
  <c r="N80" i="16" s="1"/>
  <c r="N92" i="16" s="1"/>
  <c r="N104" i="16" s="1"/>
  <c r="N116" i="16" s="1"/>
  <c r="N128" i="16" s="1"/>
  <c r="N140" i="16" s="1"/>
  <c r="N152" i="16" s="1"/>
  <c r="N164" i="16" s="1"/>
  <c r="N176" i="16" s="1"/>
  <c r="N188" i="16" s="1"/>
  <c r="N200" i="16" s="1"/>
  <c r="N212" i="16" s="1"/>
  <c r="N224" i="16" s="1"/>
  <c r="N236" i="16" s="1"/>
  <c r="N248" i="16" s="1"/>
  <c r="N260" i="16" s="1"/>
  <c r="N272" i="16" s="1"/>
  <c r="N284" i="16" s="1"/>
  <c r="N296" i="16" s="1"/>
  <c r="N308" i="16" s="1"/>
  <c r="H32" i="16"/>
  <c r="H44" i="16" s="1"/>
  <c r="H56" i="16" s="1"/>
  <c r="H68" i="16" s="1"/>
  <c r="H80" i="16" s="1"/>
  <c r="H92" i="16" s="1"/>
  <c r="H104" i="16" s="1"/>
  <c r="E32" i="16"/>
  <c r="E44" i="16" s="1"/>
  <c r="E56" i="16" s="1"/>
  <c r="E68" i="16" s="1"/>
  <c r="E80" i="16" s="1"/>
  <c r="E92" i="16" s="1"/>
  <c r="E104" i="16" s="1"/>
  <c r="E116" i="16" s="1"/>
  <c r="E128" i="16" s="1"/>
  <c r="E140" i="16" s="1"/>
  <c r="E152" i="16" s="1"/>
  <c r="E164" i="16" s="1"/>
  <c r="E176" i="16" s="1"/>
  <c r="E188" i="16" s="1"/>
  <c r="E200" i="16" s="1"/>
  <c r="E212" i="16" s="1"/>
  <c r="E224" i="16" s="1"/>
  <c r="E236" i="16" s="1"/>
  <c r="E248" i="16" s="1"/>
  <c r="E260" i="16" s="1"/>
  <c r="E272" i="16" s="1"/>
  <c r="E284" i="16" s="1"/>
  <c r="E296" i="16" s="1"/>
  <c r="E308" i="16" s="1"/>
  <c r="O31" i="16"/>
  <c r="F31" i="16"/>
  <c r="F43" i="16" s="1"/>
  <c r="F55" i="16" s="1"/>
  <c r="F67" i="16" s="1"/>
  <c r="F79" i="16" s="1"/>
  <c r="F91" i="16" s="1"/>
  <c r="F103" i="16" s="1"/>
  <c r="F115" i="16" s="1"/>
  <c r="F127" i="16" s="1"/>
  <c r="F139" i="16" s="1"/>
  <c r="F151" i="16" s="1"/>
  <c r="F163" i="16" s="1"/>
  <c r="F175" i="16" s="1"/>
  <c r="F187" i="16" s="1"/>
  <c r="F199" i="16" s="1"/>
  <c r="F211" i="16" s="1"/>
  <c r="F223" i="16" s="1"/>
  <c r="F235" i="16" s="1"/>
  <c r="F247" i="16" s="1"/>
  <c r="F259" i="16" s="1"/>
  <c r="F271" i="16" s="1"/>
  <c r="F283" i="16" s="1"/>
  <c r="F295" i="16" s="1"/>
  <c r="F307" i="16" s="1"/>
  <c r="R30" i="16"/>
  <c r="R42" i="16" s="1"/>
  <c r="R54" i="16" s="1"/>
  <c r="R66" i="16" s="1"/>
  <c r="R78" i="16" s="1"/>
  <c r="R90" i="16" s="1"/>
  <c r="R102" i="16" s="1"/>
  <c r="R114" i="16" s="1"/>
  <c r="R126" i="16" s="1"/>
  <c r="R138" i="16" s="1"/>
  <c r="R150" i="16" s="1"/>
  <c r="R162" i="16" s="1"/>
  <c r="R174" i="16" s="1"/>
  <c r="R186" i="16" s="1"/>
  <c r="R198" i="16" s="1"/>
  <c r="R210" i="16" s="1"/>
  <c r="R222" i="16" s="1"/>
  <c r="R234" i="16" s="1"/>
  <c r="R246" i="16" s="1"/>
  <c r="R258" i="16" s="1"/>
  <c r="R270" i="16" s="1"/>
  <c r="R282" i="16" s="1"/>
  <c r="R294" i="16" s="1"/>
  <c r="R306" i="16" s="1"/>
  <c r="P30" i="16"/>
  <c r="P42" i="16" s="1"/>
  <c r="P54" i="16" s="1"/>
  <c r="P66" i="16" s="1"/>
  <c r="P78" i="16" s="1"/>
  <c r="P90" i="16" s="1"/>
  <c r="P102" i="16" s="1"/>
  <c r="P114" i="16" s="1"/>
  <c r="P126" i="16" s="1"/>
  <c r="P138" i="16" s="1"/>
  <c r="P150" i="16" s="1"/>
  <c r="P162" i="16" s="1"/>
  <c r="P174" i="16" s="1"/>
  <c r="P186" i="16" s="1"/>
  <c r="P198" i="16" s="1"/>
  <c r="P210" i="16" s="1"/>
  <c r="P222" i="16" s="1"/>
  <c r="P234" i="16" s="1"/>
  <c r="P246" i="16" s="1"/>
  <c r="P258" i="16" s="1"/>
  <c r="P270" i="16" s="1"/>
  <c r="P282" i="16" s="1"/>
  <c r="P294" i="16" s="1"/>
  <c r="P306" i="16" s="1"/>
  <c r="J30" i="16"/>
  <c r="J42" i="16" s="1"/>
  <c r="J54" i="16" s="1"/>
  <c r="J66" i="16" s="1"/>
  <c r="J78" i="16" s="1"/>
  <c r="J90" i="16" s="1"/>
  <c r="J102" i="16" s="1"/>
  <c r="J114" i="16" s="1"/>
  <c r="J126" i="16" s="1"/>
  <c r="J138" i="16" s="1"/>
  <c r="J150" i="16" s="1"/>
  <c r="J162" i="16" s="1"/>
  <c r="J174" i="16" s="1"/>
  <c r="J186" i="16" s="1"/>
  <c r="J198" i="16" s="1"/>
  <c r="J210" i="16" s="1"/>
  <c r="J222" i="16" s="1"/>
  <c r="J234" i="16" s="1"/>
  <c r="J246" i="16" s="1"/>
  <c r="J258" i="16" s="1"/>
  <c r="J270" i="16" s="1"/>
  <c r="J282" i="16" s="1"/>
  <c r="J294" i="16" s="1"/>
  <c r="J306" i="16" s="1"/>
  <c r="H30" i="16"/>
  <c r="H42" i="16" s="1"/>
  <c r="H54" i="16" s="1"/>
  <c r="H66" i="16" s="1"/>
  <c r="H78" i="16" s="1"/>
  <c r="H90" i="16" s="1"/>
  <c r="H102" i="16" s="1"/>
  <c r="H114" i="16" s="1"/>
  <c r="H126" i="16" s="1"/>
  <c r="H138" i="16" s="1"/>
  <c r="H150" i="16" s="1"/>
  <c r="H162" i="16" s="1"/>
  <c r="H174" i="16" s="1"/>
  <c r="H186" i="16" s="1"/>
  <c r="H198" i="16" s="1"/>
  <c r="H210" i="16" s="1"/>
  <c r="H222" i="16" s="1"/>
  <c r="H234" i="16" s="1"/>
  <c r="H246" i="16" s="1"/>
  <c r="H258" i="16" s="1"/>
  <c r="H270" i="16" s="1"/>
  <c r="H282" i="16" s="1"/>
  <c r="H294" i="16" s="1"/>
  <c r="H306" i="16" s="1"/>
  <c r="S29" i="16"/>
  <c r="Q29" i="16"/>
  <c r="K29" i="16"/>
  <c r="K41" i="16" s="1"/>
  <c r="K53" i="16" s="1"/>
  <c r="K65" i="16" s="1"/>
  <c r="K77" i="16" s="1"/>
  <c r="K89" i="16" s="1"/>
  <c r="K101" i="16" s="1"/>
  <c r="K113" i="16" s="1"/>
  <c r="K125" i="16" s="1"/>
  <c r="K137" i="16" s="1"/>
  <c r="K149" i="16" s="1"/>
  <c r="K161" i="16" s="1"/>
  <c r="K173" i="16" s="1"/>
  <c r="K185" i="16" s="1"/>
  <c r="K197" i="16" s="1"/>
  <c r="K209" i="16" s="1"/>
  <c r="K221" i="16" s="1"/>
  <c r="K233" i="16" s="1"/>
  <c r="K245" i="16" s="1"/>
  <c r="K257" i="16" s="1"/>
  <c r="K269" i="16" s="1"/>
  <c r="K281" i="16" s="1"/>
  <c r="K293" i="16" s="1"/>
  <c r="K305" i="16" s="1"/>
  <c r="I29" i="16"/>
  <c r="I41" i="16" s="1"/>
  <c r="I53" i="16" s="1"/>
  <c r="I65" i="16" s="1"/>
  <c r="I77" i="16" s="1"/>
  <c r="I89" i="16" s="1"/>
  <c r="I101" i="16" s="1"/>
  <c r="I113" i="16" s="1"/>
  <c r="I125" i="16" s="1"/>
  <c r="I137" i="16" s="1"/>
  <c r="I149" i="16" s="1"/>
  <c r="I161" i="16" s="1"/>
  <c r="I173" i="16" s="1"/>
  <c r="I185" i="16" s="1"/>
  <c r="I197" i="16" s="1"/>
  <c r="I209" i="16" s="1"/>
  <c r="I221" i="16" s="1"/>
  <c r="I233" i="16" s="1"/>
  <c r="I245" i="16" s="1"/>
  <c r="I257" i="16" s="1"/>
  <c r="I269" i="16" s="1"/>
  <c r="I281" i="16" s="1"/>
  <c r="I293" i="16" s="1"/>
  <c r="I305" i="16" s="1"/>
  <c r="T28" i="16"/>
  <c r="T40" i="16" s="1"/>
  <c r="T52" i="16" s="1"/>
  <c r="T64" i="16" s="1"/>
  <c r="T76" i="16" s="1"/>
  <c r="T88" i="16" s="1"/>
  <c r="T100" i="16" s="1"/>
  <c r="T112" i="16" s="1"/>
  <c r="T124" i="16" s="1"/>
  <c r="T136" i="16" s="1"/>
  <c r="T148" i="16" s="1"/>
  <c r="T160" i="16" s="1"/>
  <c r="T172" i="16" s="1"/>
  <c r="T184" i="16" s="1"/>
  <c r="T196" i="16" s="1"/>
  <c r="T208" i="16" s="1"/>
  <c r="T220" i="16" s="1"/>
  <c r="T232" i="16" s="1"/>
  <c r="T244" i="16" s="1"/>
  <c r="T256" i="16" s="1"/>
  <c r="T268" i="16" s="1"/>
  <c r="T280" i="16" s="1"/>
  <c r="T292" i="16" s="1"/>
  <c r="T304" i="16" s="1"/>
  <c r="R28" i="16"/>
  <c r="R40" i="16" s="1"/>
  <c r="R52" i="16" s="1"/>
  <c r="R64" i="16" s="1"/>
  <c r="R76" i="16" s="1"/>
  <c r="R88" i="16" s="1"/>
  <c r="R100" i="16" s="1"/>
  <c r="R112" i="16" s="1"/>
  <c r="R124" i="16" s="1"/>
  <c r="R136" i="16" s="1"/>
  <c r="R148" i="16" s="1"/>
  <c r="R160" i="16" s="1"/>
  <c r="R172" i="16" s="1"/>
  <c r="R184" i="16" s="1"/>
  <c r="R196" i="16" s="1"/>
  <c r="R208" i="16" s="1"/>
  <c r="R220" i="16" s="1"/>
  <c r="R232" i="16" s="1"/>
  <c r="R244" i="16" s="1"/>
  <c r="R256" i="16" s="1"/>
  <c r="R268" i="16" s="1"/>
  <c r="R280" i="16" s="1"/>
  <c r="R292" i="16" s="1"/>
  <c r="R304" i="16" s="1"/>
  <c r="L28" i="16"/>
  <c r="L40" i="16" s="1"/>
  <c r="L52" i="16" s="1"/>
  <c r="L64" i="16" s="1"/>
  <c r="L76" i="16" s="1"/>
  <c r="L88" i="16" s="1"/>
  <c r="L100" i="16" s="1"/>
  <c r="L112" i="16" s="1"/>
  <c r="L124" i="16" s="1"/>
  <c r="L136" i="16" s="1"/>
  <c r="L148" i="16" s="1"/>
  <c r="L160" i="16" s="1"/>
  <c r="L172" i="16" s="1"/>
  <c r="L184" i="16" s="1"/>
  <c r="L196" i="16" s="1"/>
  <c r="L208" i="16" s="1"/>
  <c r="L220" i="16" s="1"/>
  <c r="L232" i="16" s="1"/>
  <c r="L244" i="16" s="1"/>
  <c r="L256" i="16" s="1"/>
  <c r="L268" i="16" s="1"/>
  <c r="L280" i="16" s="1"/>
  <c r="L292" i="16" s="1"/>
  <c r="L304" i="16" s="1"/>
  <c r="J28" i="16"/>
  <c r="J40" i="16" s="1"/>
  <c r="J52" i="16" s="1"/>
  <c r="J64" i="16" s="1"/>
  <c r="J76" i="16" s="1"/>
  <c r="J88" i="16" s="1"/>
  <c r="J100" i="16" s="1"/>
  <c r="J112" i="16" s="1"/>
  <c r="J124" i="16" s="1"/>
  <c r="J136" i="16" s="1"/>
  <c r="J148" i="16" s="1"/>
  <c r="J160" i="16" s="1"/>
  <c r="J172" i="16" s="1"/>
  <c r="J184" i="16" s="1"/>
  <c r="J196" i="16" s="1"/>
  <c r="J208" i="16" s="1"/>
  <c r="J220" i="16" s="1"/>
  <c r="J232" i="16" s="1"/>
  <c r="J244" i="16" s="1"/>
  <c r="J256" i="16" s="1"/>
  <c r="J268" i="16" s="1"/>
  <c r="J280" i="16" s="1"/>
  <c r="J292" i="16" s="1"/>
  <c r="J304" i="16" s="1"/>
  <c r="B28" i="16"/>
  <c r="C28" i="16" s="1"/>
  <c r="M27" i="16"/>
  <c r="T26" i="16"/>
  <c r="T38" i="16" s="1"/>
  <c r="T50" i="16" s="1"/>
  <c r="T62" i="16" s="1"/>
  <c r="N26" i="16"/>
  <c r="N38" i="16" s="1"/>
  <c r="N50" i="16" s="1"/>
  <c r="N62" i="16" s="1"/>
  <c r="N74" i="16" s="1"/>
  <c r="N86" i="16" s="1"/>
  <c r="N98" i="16" s="1"/>
  <c r="N110" i="16" s="1"/>
  <c r="N122" i="16" s="1"/>
  <c r="N134" i="16" s="1"/>
  <c r="N146" i="16" s="1"/>
  <c r="N158" i="16" s="1"/>
  <c r="N170" i="16" s="1"/>
  <c r="N182" i="16" s="1"/>
  <c r="N194" i="16" s="1"/>
  <c r="N206" i="16" s="1"/>
  <c r="N218" i="16" s="1"/>
  <c r="N230" i="16" s="1"/>
  <c r="N242" i="16" s="1"/>
  <c r="N254" i="16" s="1"/>
  <c r="N266" i="16" s="1"/>
  <c r="N278" i="16" s="1"/>
  <c r="N290" i="16" s="1"/>
  <c r="N302" i="16" s="1"/>
  <c r="L26" i="16"/>
  <c r="L38" i="16" s="1"/>
  <c r="L50" i="16" s="1"/>
  <c r="L62" i="16" s="1"/>
  <c r="L74" i="16" s="1"/>
  <c r="L86" i="16" s="1"/>
  <c r="L98" i="16" s="1"/>
  <c r="L110" i="16" s="1"/>
  <c r="L122" i="16" s="1"/>
  <c r="L134" i="16" s="1"/>
  <c r="L146" i="16" s="1"/>
  <c r="L158" i="16" s="1"/>
  <c r="L170" i="16" s="1"/>
  <c r="L182" i="16" s="1"/>
  <c r="L194" i="16" s="1"/>
  <c r="L206" i="16" s="1"/>
  <c r="L218" i="16" s="1"/>
  <c r="L230" i="16" s="1"/>
  <c r="L242" i="16" s="1"/>
  <c r="L254" i="16" s="1"/>
  <c r="L266" i="16" s="1"/>
  <c r="L278" i="16" s="1"/>
  <c r="L290" i="16" s="1"/>
  <c r="L302" i="16" s="1"/>
  <c r="T25" i="16"/>
  <c r="T37" i="16" s="1"/>
  <c r="T49" i="16" s="1"/>
  <c r="T61" i="16" s="1"/>
  <c r="T73" i="16" s="1"/>
  <c r="T85" i="16" s="1"/>
  <c r="T97" i="16" s="1"/>
  <c r="T109" i="16" s="1"/>
  <c r="T121" i="16" s="1"/>
  <c r="T133" i="16" s="1"/>
  <c r="T145" i="16" s="1"/>
  <c r="T157" i="16" s="1"/>
  <c r="T169" i="16" s="1"/>
  <c r="T181" i="16" s="1"/>
  <c r="T193" i="16" s="1"/>
  <c r="T205" i="16" s="1"/>
  <c r="T217" i="16" s="1"/>
  <c r="T229" i="16" s="1"/>
  <c r="T241" i="16" s="1"/>
  <c r="T253" i="16" s="1"/>
  <c r="T265" i="16" s="1"/>
  <c r="T277" i="16" s="1"/>
  <c r="T289" i="16" s="1"/>
  <c r="T301" i="16" s="1"/>
  <c r="T313" i="16" s="1"/>
  <c r="S25" i="16"/>
  <c r="R25" i="16"/>
  <c r="R37" i="16" s="1"/>
  <c r="R49" i="16" s="1"/>
  <c r="R61" i="16" s="1"/>
  <c r="R73" i="16" s="1"/>
  <c r="R85" i="16" s="1"/>
  <c r="R97" i="16" s="1"/>
  <c r="R109" i="16" s="1"/>
  <c r="R121" i="16" s="1"/>
  <c r="R133" i="16" s="1"/>
  <c r="R145" i="16" s="1"/>
  <c r="R157" i="16" s="1"/>
  <c r="R169" i="16" s="1"/>
  <c r="R181" i="16" s="1"/>
  <c r="R193" i="16" s="1"/>
  <c r="R205" i="16" s="1"/>
  <c r="R217" i="16" s="1"/>
  <c r="R229" i="16" s="1"/>
  <c r="R241" i="16" s="1"/>
  <c r="R253" i="16" s="1"/>
  <c r="R265" i="16" s="1"/>
  <c r="R277" i="16" s="1"/>
  <c r="R289" i="16" s="1"/>
  <c r="R301" i="16" s="1"/>
  <c r="R313" i="16" s="1"/>
  <c r="Q25" i="16"/>
  <c r="P25" i="16"/>
  <c r="P37" i="16" s="1"/>
  <c r="P49" i="16" s="1"/>
  <c r="P61" i="16" s="1"/>
  <c r="P73" i="16" s="1"/>
  <c r="P85" i="16" s="1"/>
  <c r="P97" i="16" s="1"/>
  <c r="P109" i="16" s="1"/>
  <c r="P121" i="16" s="1"/>
  <c r="P133" i="16" s="1"/>
  <c r="P145" i="16" s="1"/>
  <c r="P157" i="16" s="1"/>
  <c r="P169" i="16" s="1"/>
  <c r="P181" i="16" s="1"/>
  <c r="P193" i="16" s="1"/>
  <c r="P205" i="16" s="1"/>
  <c r="P217" i="16" s="1"/>
  <c r="P229" i="16" s="1"/>
  <c r="P241" i="16" s="1"/>
  <c r="P253" i="16" s="1"/>
  <c r="P265" i="16" s="1"/>
  <c r="P277" i="16" s="1"/>
  <c r="P289" i="16" s="1"/>
  <c r="P301" i="16" s="1"/>
  <c r="P313" i="16" s="1"/>
  <c r="O25" i="16"/>
  <c r="O37" i="16" s="1"/>
  <c r="O49" i="16" s="1"/>
  <c r="O61" i="16" s="1"/>
  <c r="O73" i="16" s="1"/>
  <c r="O85" i="16" s="1"/>
  <c r="O97" i="16" s="1"/>
  <c r="O109" i="16" s="1"/>
  <c r="O121" i="16" s="1"/>
  <c r="O133" i="16" s="1"/>
  <c r="O145" i="16" s="1"/>
  <c r="O157" i="16" s="1"/>
  <c r="O169" i="16" s="1"/>
  <c r="O181" i="16" s="1"/>
  <c r="O193" i="16" s="1"/>
  <c r="O205" i="16" s="1"/>
  <c r="O217" i="16" s="1"/>
  <c r="O229" i="16" s="1"/>
  <c r="O241" i="16" s="1"/>
  <c r="O253" i="16" s="1"/>
  <c r="O265" i="16" s="1"/>
  <c r="O277" i="16" s="1"/>
  <c r="O289" i="16" s="1"/>
  <c r="O301" i="16" s="1"/>
  <c r="O313" i="16" s="1"/>
  <c r="N25" i="16"/>
  <c r="N37" i="16" s="1"/>
  <c r="N49" i="16" s="1"/>
  <c r="N61" i="16" s="1"/>
  <c r="N73" i="16" s="1"/>
  <c r="N85" i="16" s="1"/>
  <c r="N97" i="16" s="1"/>
  <c r="N109" i="16" s="1"/>
  <c r="N121" i="16" s="1"/>
  <c r="N133" i="16" s="1"/>
  <c r="N145" i="16" s="1"/>
  <c r="N157" i="16" s="1"/>
  <c r="N169" i="16" s="1"/>
  <c r="N181" i="16" s="1"/>
  <c r="N193" i="16" s="1"/>
  <c r="N205" i="16" s="1"/>
  <c r="N217" i="16" s="1"/>
  <c r="N229" i="16" s="1"/>
  <c r="N241" i="16" s="1"/>
  <c r="N253" i="16" s="1"/>
  <c r="N265" i="16" s="1"/>
  <c r="N277" i="16" s="1"/>
  <c r="N289" i="16" s="1"/>
  <c r="N301" i="16" s="1"/>
  <c r="N313" i="16" s="1"/>
  <c r="M25" i="16"/>
  <c r="M37" i="16" s="1"/>
  <c r="M49" i="16" s="1"/>
  <c r="M61" i="16" s="1"/>
  <c r="M73" i="16" s="1"/>
  <c r="M85" i="16" s="1"/>
  <c r="M97" i="16" s="1"/>
  <c r="M109" i="16" s="1"/>
  <c r="M121" i="16" s="1"/>
  <c r="M133" i="16" s="1"/>
  <c r="M145" i="16" s="1"/>
  <c r="M157" i="16" s="1"/>
  <c r="M169" i="16" s="1"/>
  <c r="M181" i="16" s="1"/>
  <c r="M193" i="16" s="1"/>
  <c r="M205" i="16" s="1"/>
  <c r="M217" i="16" s="1"/>
  <c r="M229" i="16" s="1"/>
  <c r="M241" i="16" s="1"/>
  <c r="M253" i="16" s="1"/>
  <c r="M265" i="16" s="1"/>
  <c r="M277" i="16" s="1"/>
  <c r="M289" i="16" s="1"/>
  <c r="M301" i="16" s="1"/>
  <c r="M313" i="16" s="1"/>
  <c r="L25" i="16"/>
  <c r="L37" i="16" s="1"/>
  <c r="L49" i="16" s="1"/>
  <c r="L61" i="16" s="1"/>
  <c r="L73" i="16" s="1"/>
  <c r="L85" i="16" s="1"/>
  <c r="L97" i="16" s="1"/>
  <c r="L109" i="16" s="1"/>
  <c r="L121" i="16" s="1"/>
  <c r="L133" i="16" s="1"/>
  <c r="L145" i="16" s="1"/>
  <c r="L157" i="16" s="1"/>
  <c r="L169" i="16" s="1"/>
  <c r="L181" i="16" s="1"/>
  <c r="L193" i="16" s="1"/>
  <c r="L205" i="16" s="1"/>
  <c r="L217" i="16" s="1"/>
  <c r="L229" i="16" s="1"/>
  <c r="L241" i="16" s="1"/>
  <c r="L253" i="16" s="1"/>
  <c r="L265" i="16" s="1"/>
  <c r="L277" i="16" s="1"/>
  <c r="L289" i="16" s="1"/>
  <c r="L301" i="16" s="1"/>
  <c r="L313" i="16" s="1"/>
  <c r="K25" i="16"/>
  <c r="J25" i="16"/>
  <c r="J37" i="16" s="1"/>
  <c r="J49" i="16" s="1"/>
  <c r="J61" i="16" s="1"/>
  <c r="J73" i="16" s="1"/>
  <c r="J85" i="16" s="1"/>
  <c r="J97" i="16" s="1"/>
  <c r="J109" i="16" s="1"/>
  <c r="J121" i="16" s="1"/>
  <c r="J133" i="16" s="1"/>
  <c r="J145" i="16" s="1"/>
  <c r="J157" i="16" s="1"/>
  <c r="J169" i="16" s="1"/>
  <c r="J181" i="16" s="1"/>
  <c r="J193" i="16" s="1"/>
  <c r="J205" i="16" s="1"/>
  <c r="J217" i="16" s="1"/>
  <c r="J229" i="16" s="1"/>
  <c r="J241" i="16" s="1"/>
  <c r="J253" i="16" s="1"/>
  <c r="J265" i="16" s="1"/>
  <c r="J277" i="16" s="1"/>
  <c r="J289" i="16" s="1"/>
  <c r="J301" i="16" s="1"/>
  <c r="J313" i="16" s="1"/>
  <c r="I25" i="16"/>
  <c r="H25" i="16"/>
  <c r="H37" i="16" s="1"/>
  <c r="H49" i="16" s="1"/>
  <c r="H61" i="16" s="1"/>
  <c r="H73" i="16" s="1"/>
  <c r="H85" i="16" s="1"/>
  <c r="H97" i="16" s="1"/>
  <c r="H109" i="16" s="1"/>
  <c r="H121" i="16" s="1"/>
  <c r="H133" i="16" s="1"/>
  <c r="H145" i="16" s="1"/>
  <c r="H157" i="16" s="1"/>
  <c r="H169" i="16" s="1"/>
  <c r="H181" i="16" s="1"/>
  <c r="H193" i="16" s="1"/>
  <c r="H205" i="16" s="1"/>
  <c r="H217" i="16" s="1"/>
  <c r="H229" i="16" s="1"/>
  <c r="H241" i="16" s="1"/>
  <c r="H253" i="16" s="1"/>
  <c r="H265" i="16" s="1"/>
  <c r="H277" i="16" s="1"/>
  <c r="H289" i="16" s="1"/>
  <c r="H301" i="16" s="1"/>
  <c r="H313" i="16" s="1"/>
  <c r="G25" i="16"/>
  <c r="F25" i="16"/>
  <c r="F37" i="16" s="1"/>
  <c r="F49" i="16" s="1"/>
  <c r="F61" i="16" s="1"/>
  <c r="F73" i="16" s="1"/>
  <c r="F85" i="16" s="1"/>
  <c r="E25" i="16"/>
  <c r="E37" i="16" s="1"/>
  <c r="E49" i="16" s="1"/>
  <c r="E61" i="16" s="1"/>
  <c r="E73" i="16" s="1"/>
  <c r="E85" i="16" s="1"/>
  <c r="E97" i="16" s="1"/>
  <c r="E109" i="16" s="1"/>
  <c r="E121" i="16" s="1"/>
  <c r="E133" i="16" s="1"/>
  <c r="E145" i="16" s="1"/>
  <c r="E157" i="16" s="1"/>
  <c r="E169" i="16" s="1"/>
  <c r="E181" i="16" s="1"/>
  <c r="E193" i="16" s="1"/>
  <c r="E205" i="16" s="1"/>
  <c r="E217" i="16" s="1"/>
  <c r="E229" i="16" s="1"/>
  <c r="E241" i="16" s="1"/>
  <c r="E253" i="16" s="1"/>
  <c r="E265" i="16" s="1"/>
  <c r="E277" i="16" s="1"/>
  <c r="E289" i="16" s="1"/>
  <c r="E301" i="16" s="1"/>
  <c r="E313" i="16" s="1"/>
  <c r="C25" i="16"/>
  <c r="B25" i="16"/>
  <c r="B37" i="16" s="1"/>
  <c r="C37" i="16" s="1"/>
  <c r="T24" i="16"/>
  <c r="S24" i="16"/>
  <c r="S36" i="16" s="1"/>
  <c r="S48" i="16" s="1"/>
  <c r="S60" i="16" s="1"/>
  <c r="S72" i="16" s="1"/>
  <c r="S84" i="16" s="1"/>
  <c r="S96" i="16" s="1"/>
  <c r="S108" i="16" s="1"/>
  <c r="S120" i="16" s="1"/>
  <c r="S132" i="16" s="1"/>
  <c r="S144" i="16" s="1"/>
  <c r="S156" i="16" s="1"/>
  <c r="S168" i="16" s="1"/>
  <c r="S180" i="16" s="1"/>
  <c r="S192" i="16" s="1"/>
  <c r="S204" i="16" s="1"/>
  <c r="S216" i="16" s="1"/>
  <c r="S228" i="16" s="1"/>
  <c r="S240" i="16" s="1"/>
  <c r="S252" i="16" s="1"/>
  <c r="S264" i="16" s="1"/>
  <c r="S276" i="16" s="1"/>
  <c r="S288" i="16" s="1"/>
  <c r="S300" i="16" s="1"/>
  <c r="S312" i="16" s="1"/>
  <c r="R24" i="16"/>
  <c r="Q24" i="16"/>
  <c r="Q36" i="16" s="1"/>
  <c r="Q48" i="16" s="1"/>
  <c r="Q60" i="16" s="1"/>
  <c r="Q72" i="16" s="1"/>
  <c r="Q84" i="16" s="1"/>
  <c r="Q96" i="16" s="1"/>
  <c r="Q108" i="16" s="1"/>
  <c r="Q120" i="16" s="1"/>
  <c r="Q132" i="16" s="1"/>
  <c r="Q144" i="16" s="1"/>
  <c r="Q156" i="16" s="1"/>
  <c r="Q168" i="16" s="1"/>
  <c r="Q180" i="16" s="1"/>
  <c r="Q192" i="16" s="1"/>
  <c r="Q204" i="16" s="1"/>
  <c r="Q216" i="16" s="1"/>
  <c r="Q228" i="16" s="1"/>
  <c r="Q240" i="16" s="1"/>
  <c r="Q252" i="16" s="1"/>
  <c r="Q264" i="16" s="1"/>
  <c r="Q276" i="16" s="1"/>
  <c r="Q288" i="16" s="1"/>
  <c r="Q300" i="16" s="1"/>
  <c r="Q312" i="16" s="1"/>
  <c r="P24" i="16"/>
  <c r="P36" i="16" s="1"/>
  <c r="P48" i="16" s="1"/>
  <c r="P60" i="16" s="1"/>
  <c r="P72" i="16" s="1"/>
  <c r="P84" i="16" s="1"/>
  <c r="P96" i="16" s="1"/>
  <c r="P108" i="16" s="1"/>
  <c r="P120" i="16" s="1"/>
  <c r="P132" i="16" s="1"/>
  <c r="P144" i="16" s="1"/>
  <c r="P156" i="16" s="1"/>
  <c r="P168" i="16" s="1"/>
  <c r="P180" i="16" s="1"/>
  <c r="P192" i="16" s="1"/>
  <c r="P204" i="16" s="1"/>
  <c r="P216" i="16" s="1"/>
  <c r="P228" i="16" s="1"/>
  <c r="P240" i="16" s="1"/>
  <c r="P252" i="16" s="1"/>
  <c r="P264" i="16" s="1"/>
  <c r="P276" i="16" s="1"/>
  <c r="P288" i="16" s="1"/>
  <c r="P300" i="16" s="1"/>
  <c r="P312" i="16" s="1"/>
  <c r="O24" i="16"/>
  <c r="O36" i="16" s="1"/>
  <c r="O48" i="16" s="1"/>
  <c r="O60" i="16" s="1"/>
  <c r="O72" i="16" s="1"/>
  <c r="O84" i="16" s="1"/>
  <c r="O96" i="16" s="1"/>
  <c r="O108" i="16" s="1"/>
  <c r="O120" i="16" s="1"/>
  <c r="O132" i="16" s="1"/>
  <c r="O144" i="16" s="1"/>
  <c r="O156" i="16" s="1"/>
  <c r="O168" i="16" s="1"/>
  <c r="O180" i="16" s="1"/>
  <c r="O192" i="16" s="1"/>
  <c r="O204" i="16" s="1"/>
  <c r="O216" i="16" s="1"/>
  <c r="O228" i="16" s="1"/>
  <c r="O240" i="16" s="1"/>
  <c r="O252" i="16" s="1"/>
  <c r="O264" i="16" s="1"/>
  <c r="O276" i="16" s="1"/>
  <c r="O288" i="16" s="1"/>
  <c r="O300" i="16" s="1"/>
  <c r="O312" i="16" s="1"/>
  <c r="N24" i="16"/>
  <c r="N36" i="16" s="1"/>
  <c r="N48" i="16" s="1"/>
  <c r="N60" i="16" s="1"/>
  <c r="N72" i="16" s="1"/>
  <c r="N84" i="16" s="1"/>
  <c r="N96" i="16" s="1"/>
  <c r="N108" i="16" s="1"/>
  <c r="N120" i="16" s="1"/>
  <c r="N132" i="16" s="1"/>
  <c r="N144" i="16" s="1"/>
  <c r="N156" i="16" s="1"/>
  <c r="N168" i="16" s="1"/>
  <c r="N180" i="16" s="1"/>
  <c r="N192" i="16" s="1"/>
  <c r="N204" i="16" s="1"/>
  <c r="N216" i="16" s="1"/>
  <c r="N228" i="16" s="1"/>
  <c r="N240" i="16" s="1"/>
  <c r="N252" i="16" s="1"/>
  <c r="N264" i="16" s="1"/>
  <c r="N276" i="16" s="1"/>
  <c r="N288" i="16" s="1"/>
  <c r="N300" i="16" s="1"/>
  <c r="N312" i="16" s="1"/>
  <c r="M24" i="16"/>
  <c r="M36" i="16" s="1"/>
  <c r="M48" i="16" s="1"/>
  <c r="M60" i="16" s="1"/>
  <c r="M72" i="16" s="1"/>
  <c r="M84" i="16" s="1"/>
  <c r="M96" i="16" s="1"/>
  <c r="M108" i="16" s="1"/>
  <c r="M120" i="16" s="1"/>
  <c r="M132" i="16" s="1"/>
  <c r="M144" i="16" s="1"/>
  <c r="M156" i="16" s="1"/>
  <c r="M168" i="16" s="1"/>
  <c r="M180" i="16" s="1"/>
  <c r="M192" i="16" s="1"/>
  <c r="M204" i="16" s="1"/>
  <c r="M216" i="16" s="1"/>
  <c r="M228" i="16" s="1"/>
  <c r="M240" i="16" s="1"/>
  <c r="M252" i="16" s="1"/>
  <c r="M264" i="16" s="1"/>
  <c r="M276" i="16" s="1"/>
  <c r="M288" i="16" s="1"/>
  <c r="M300" i="16" s="1"/>
  <c r="M312" i="16" s="1"/>
  <c r="L24" i="16"/>
  <c r="K24" i="16"/>
  <c r="K36" i="16" s="1"/>
  <c r="J24" i="16"/>
  <c r="I24" i="16"/>
  <c r="I36" i="16" s="1"/>
  <c r="I48" i="16" s="1"/>
  <c r="I60" i="16" s="1"/>
  <c r="I72" i="16" s="1"/>
  <c r="I84" i="16" s="1"/>
  <c r="I96" i="16" s="1"/>
  <c r="I108" i="16" s="1"/>
  <c r="I120" i="16" s="1"/>
  <c r="I132" i="16" s="1"/>
  <c r="I144" i="16" s="1"/>
  <c r="I156" i="16" s="1"/>
  <c r="I168" i="16" s="1"/>
  <c r="I180" i="16" s="1"/>
  <c r="I192" i="16" s="1"/>
  <c r="I204" i="16" s="1"/>
  <c r="I216" i="16" s="1"/>
  <c r="I228" i="16" s="1"/>
  <c r="I240" i="16" s="1"/>
  <c r="I252" i="16" s="1"/>
  <c r="I264" i="16" s="1"/>
  <c r="I276" i="16" s="1"/>
  <c r="I288" i="16" s="1"/>
  <c r="I300" i="16" s="1"/>
  <c r="I312" i="16" s="1"/>
  <c r="H24" i="16"/>
  <c r="H36" i="16" s="1"/>
  <c r="H48" i="16" s="1"/>
  <c r="H60" i="16" s="1"/>
  <c r="H72" i="16" s="1"/>
  <c r="G24" i="16"/>
  <c r="F24" i="16"/>
  <c r="F36" i="16" s="1"/>
  <c r="F48" i="16" s="1"/>
  <c r="F60" i="16" s="1"/>
  <c r="F72" i="16" s="1"/>
  <c r="F84" i="16" s="1"/>
  <c r="F96" i="16" s="1"/>
  <c r="F108" i="16" s="1"/>
  <c r="F120" i="16" s="1"/>
  <c r="F132" i="16" s="1"/>
  <c r="F144" i="16" s="1"/>
  <c r="F156" i="16" s="1"/>
  <c r="F168" i="16" s="1"/>
  <c r="F180" i="16" s="1"/>
  <c r="F192" i="16" s="1"/>
  <c r="F204" i="16" s="1"/>
  <c r="F216" i="16" s="1"/>
  <c r="F228" i="16" s="1"/>
  <c r="F240" i="16" s="1"/>
  <c r="F252" i="16" s="1"/>
  <c r="F264" i="16" s="1"/>
  <c r="F276" i="16" s="1"/>
  <c r="F288" i="16" s="1"/>
  <c r="F300" i="16" s="1"/>
  <c r="F312" i="16" s="1"/>
  <c r="E24" i="16"/>
  <c r="E36" i="16" s="1"/>
  <c r="E48" i="16" s="1"/>
  <c r="E60" i="16" s="1"/>
  <c r="E72" i="16" s="1"/>
  <c r="E84" i="16" s="1"/>
  <c r="E96" i="16" s="1"/>
  <c r="E108" i="16" s="1"/>
  <c r="E120" i="16" s="1"/>
  <c r="E132" i="16" s="1"/>
  <c r="E144" i="16" s="1"/>
  <c r="E156" i="16" s="1"/>
  <c r="E168" i="16" s="1"/>
  <c r="E180" i="16" s="1"/>
  <c r="E192" i="16" s="1"/>
  <c r="E204" i="16" s="1"/>
  <c r="E216" i="16" s="1"/>
  <c r="E228" i="16" s="1"/>
  <c r="E240" i="16" s="1"/>
  <c r="E252" i="16" s="1"/>
  <c r="E264" i="16" s="1"/>
  <c r="E276" i="16" s="1"/>
  <c r="E288" i="16" s="1"/>
  <c r="E300" i="16" s="1"/>
  <c r="E312" i="16" s="1"/>
  <c r="C24" i="16"/>
  <c r="B24" i="16"/>
  <c r="T23" i="16"/>
  <c r="T35" i="16" s="1"/>
  <c r="T47" i="16" s="1"/>
  <c r="T59" i="16" s="1"/>
  <c r="T71" i="16" s="1"/>
  <c r="T83" i="16" s="1"/>
  <c r="T95" i="16" s="1"/>
  <c r="T107" i="16" s="1"/>
  <c r="T119" i="16" s="1"/>
  <c r="T131" i="16" s="1"/>
  <c r="T143" i="16" s="1"/>
  <c r="T155" i="16" s="1"/>
  <c r="T167" i="16" s="1"/>
  <c r="T179" i="16" s="1"/>
  <c r="T191" i="16" s="1"/>
  <c r="T203" i="16" s="1"/>
  <c r="T215" i="16" s="1"/>
  <c r="T227" i="16" s="1"/>
  <c r="T239" i="16" s="1"/>
  <c r="T251" i="16" s="1"/>
  <c r="T263" i="16" s="1"/>
  <c r="T275" i="16" s="1"/>
  <c r="T287" i="16" s="1"/>
  <c r="T299" i="16" s="1"/>
  <c r="T311" i="16" s="1"/>
  <c r="S23" i="16"/>
  <c r="S35" i="16" s="1"/>
  <c r="S47" i="16" s="1"/>
  <c r="S59" i="16" s="1"/>
  <c r="S71" i="16" s="1"/>
  <c r="S83" i="16" s="1"/>
  <c r="S95" i="16" s="1"/>
  <c r="S107" i="16" s="1"/>
  <c r="S119" i="16" s="1"/>
  <c r="S131" i="16" s="1"/>
  <c r="S143" i="16" s="1"/>
  <c r="S155" i="16" s="1"/>
  <c r="S167" i="16" s="1"/>
  <c r="S179" i="16" s="1"/>
  <c r="S191" i="16" s="1"/>
  <c r="S203" i="16" s="1"/>
  <c r="S215" i="16" s="1"/>
  <c r="S227" i="16" s="1"/>
  <c r="S239" i="16" s="1"/>
  <c r="S251" i="16" s="1"/>
  <c r="S263" i="16" s="1"/>
  <c r="S275" i="16" s="1"/>
  <c r="S287" i="16" s="1"/>
  <c r="S299" i="16" s="1"/>
  <c r="S311" i="16" s="1"/>
  <c r="R23" i="16"/>
  <c r="R35" i="16" s="1"/>
  <c r="R47" i="16" s="1"/>
  <c r="R59" i="16" s="1"/>
  <c r="R71" i="16" s="1"/>
  <c r="R83" i="16" s="1"/>
  <c r="R95" i="16" s="1"/>
  <c r="R107" i="16" s="1"/>
  <c r="Q23" i="16"/>
  <c r="Q35" i="16" s="1"/>
  <c r="Q47" i="16" s="1"/>
  <c r="Q59" i="16" s="1"/>
  <c r="Q71" i="16" s="1"/>
  <c r="Q83" i="16" s="1"/>
  <c r="Q95" i="16" s="1"/>
  <c r="Q107" i="16" s="1"/>
  <c r="Q119" i="16" s="1"/>
  <c r="Q131" i="16" s="1"/>
  <c r="Q143" i="16" s="1"/>
  <c r="Q155" i="16" s="1"/>
  <c r="Q167" i="16" s="1"/>
  <c r="Q179" i="16" s="1"/>
  <c r="Q191" i="16" s="1"/>
  <c r="Q203" i="16" s="1"/>
  <c r="Q215" i="16" s="1"/>
  <c r="Q227" i="16" s="1"/>
  <c r="Q239" i="16" s="1"/>
  <c r="Q251" i="16" s="1"/>
  <c r="Q263" i="16" s="1"/>
  <c r="Q275" i="16" s="1"/>
  <c r="Q287" i="16" s="1"/>
  <c r="Q299" i="16" s="1"/>
  <c r="Q311" i="16" s="1"/>
  <c r="P23" i="16"/>
  <c r="P35" i="16" s="1"/>
  <c r="P47" i="16" s="1"/>
  <c r="P59" i="16" s="1"/>
  <c r="P71" i="16" s="1"/>
  <c r="P83" i="16" s="1"/>
  <c r="P95" i="16" s="1"/>
  <c r="P107" i="16" s="1"/>
  <c r="P119" i="16" s="1"/>
  <c r="P131" i="16" s="1"/>
  <c r="P143" i="16" s="1"/>
  <c r="P155" i="16" s="1"/>
  <c r="P167" i="16" s="1"/>
  <c r="P179" i="16" s="1"/>
  <c r="P191" i="16" s="1"/>
  <c r="P203" i="16" s="1"/>
  <c r="P215" i="16" s="1"/>
  <c r="P227" i="16" s="1"/>
  <c r="P239" i="16" s="1"/>
  <c r="P251" i="16" s="1"/>
  <c r="P263" i="16" s="1"/>
  <c r="P275" i="16" s="1"/>
  <c r="P287" i="16" s="1"/>
  <c r="P299" i="16" s="1"/>
  <c r="P311" i="16" s="1"/>
  <c r="O23" i="16"/>
  <c r="O35" i="16" s="1"/>
  <c r="O47" i="16" s="1"/>
  <c r="O59" i="16" s="1"/>
  <c r="O71" i="16" s="1"/>
  <c r="O83" i="16" s="1"/>
  <c r="O95" i="16" s="1"/>
  <c r="O107" i="16" s="1"/>
  <c r="O119" i="16" s="1"/>
  <c r="O131" i="16" s="1"/>
  <c r="O143" i="16" s="1"/>
  <c r="O155" i="16" s="1"/>
  <c r="O167" i="16" s="1"/>
  <c r="O179" i="16" s="1"/>
  <c r="O191" i="16" s="1"/>
  <c r="O203" i="16" s="1"/>
  <c r="O215" i="16" s="1"/>
  <c r="O227" i="16" s="1"/>
  <c r="O239" i="16" s="1"/>
  <c r="O251" i="16" s="1"/>
  <c r="O263" i="16" s="1"/>
  <c r="O275" i="16" s="1"/>
  <c r="O287" i="16" s="1"/>
  <c r="O299" i="16" s="1"/>
  <c r="O311" i="16" s="1"/>
  <c r="N23" i="16"/>
  <c r="N35" i="16" s="1"/>
  <c r="N47" i="16" s="1"/>
  <c r="N59" i="16" s="1"/>
  <c r="N71" i="16" s="1"/>
  <c r="N83" i="16" s="1"/>
  <c r="N95" i="16" s="1"/>
  <c r="N107" i="16" s="1"/>
  <c r="N119" i="16" s="1"/>
  <c r="N131" i="16" s="1"/>
  <c r="N143" i="16" s="1"/>
  <c r="N155" i="16" s="1"/>
  <c r="N167" i="16" s="1"/>
  <c r="N179" i="16" s="1"/>
  <c r="N191" i="16" s="1"/>
  <c r="N203" i="16" s="1"/>
  <c r="N215" i="16" s="1"/>
  <c r="N227" i="16" s="1"/>
  <c r="N239" i="16" s="1"/>
  <c r="N251" i="16" s="1"/>
  <c r="N263" i="16" s="1"/>
  <c r="N275" i="16" s="1"/>
  <c r="N287" i="16" s="1"/>
  <c r="N299" i="16" s="1"/>
  <c r="N311" i="16" s="1"/>
  <c r="M23" i="16"/>
  <c r="L23" i="16"/>
  <c r="L35" i="16" s="1"/>
  <c r="L47" i="16" s="1"/>
  <c r="L59" i="16" s="1"/>
  <c r="L71" i="16" s="1"/>
  <c r="L83" i="16" s="1"/>
  <c r="L95" i="16" s="1"/>
  <c r="L107" i="16" s="1"/>
  <c r="L119" i="16" s="1"/>
  <c r="L131" i="16" s="1"/>
  <c r="L143" i="16" s="1"/>
  <c r="L155" i="16" s="1"/>
  <c r="L167" i="16" s="1"/>
  <c r="L179" i="16" s="1"/>
  <c r="L191" i="16" s="1"/>
  <c r="L203" i="16" s="1"/>
  <c r="L215" i="16" s="1"/>
  <c r="L227" i="16" s="1"/>
  <c r="L239" i="16" s="1"/>
  <c r="L251" i="16" s="1"/>
  <c r="L263" i="16" s="1"/>
  <c r="L275" i="16" s="1"/>
  <c r="L287" i="16" s="1"/>
  <c r="L299" i="16" s="1"/>
  <c r="L311" i="16" s="1"/>
  <c r="K23" i="16"/>
  <c r="K35" i="16" s="1"/>
  <c r="K47" i="16" s="1"/>
  <c r="K59" i="16" s="1"/>
  <c r="K71" i="16" s="1"/>
  <c r="K83" i="16" s="1"/>
  <c r="K95" i="16" s="1"/>
  <c r="K107" i="16" s="1"/>
  <c r="K119" i="16" s="1"/>
  <c r="K131" i="16" s="1"/>
  <c r="K143" i="16" s="1"/>
  <c r="K155" i="16" s="1"/>
  <c r="K167" i="16" s="1"/>
  <c r="K179" i="16" s="1"/>
  <c r="K191" i="16" s="1"/>
  <c r="K203" i="16" s="1"/>
  <c r="K215" i="16" s="1"/>
  <c r="K227" i="16" s="1"/>
  <c r="K239" i="16" s="1"/>
  <c r="K251" i="16" s="1"/>
  <c r="K263" i="16" s="1"/>
  <c r="K275" i="16" s="1"/>
  <c r="K287" i="16" s="1"/>
  <c r="K299" i="16" s="1"/>
  <c r="K311" i="16" s="1"/>
  <c r="J23" i="16"/>
  <c r="J35" i="16" s="1"/>
  <c r="J47" i="16" s="1"/>
  <c r="J59" i="16" s="1"/>
  <c r="J71" i="16" s="1"/>
  <c r="J83" i="16" s="1"/>
  <c r="J95" i="16" s="1"/>
  <c r="J107" i="16" s="1"/>
  <c r="J119" i="16" s="1"/>
  <c r="J131" i="16" s="1"/>
  <c r="J143" i="16" s="1"/>
  <c r="J155" i="16" s="1"/>
  <c r="J167" i="16" s="1"/>
  <c r="J179" i="16" s="1"/>
  <c r="J191" i="16" s="1"/>
  <c r="J203" i="16" s="1"/>
  <c r="J215" i="16" s="1"/>
  <c r="J227" i="16" s="1"/>
  <c r="J239" i="16" s="1"/>
  <c r="J251" i="16" s="1"/>
  <c r="J263" i="16" s="1"/>
  <c r="J275" i="16" s="1"/>
  <c r="J287" i="16" s="1"/>
  <c r="J299" i="16" s="1"/>
  <c r="J311" i="16" s="1"/>
  <c r="I23" i="16"/>
  <c r="I35" i="16" s="1"/>
  <c r="I47" i="16" s="1"/>
  <c r="I59" i="16" s="1"/>
  <c r="I71" i="16" s="1"/>
  <c r="I83" i="16" s="1"/>
  <c r="I95" i="16" s="1"/>
  <c r="I107" i="16" s="1"/>
  <c r="I119" i="16" s="1"/>
  <c r="I131" i="16" s="1"/>
  <c r="I143" i="16" s="1"/>
  <c r="I155" i="16" s="1"/>
  <c r="I167" i="16" s="1"/>
  <c r="I179" i="16" s="1"/>
  <c r="I191" i="16" s="1"/>
  <c r="I203" i="16" s="1"/>
  <c r="I215" i="16" s="1"/>
  <c r="I227" i="16" s="1"/>
  <c r="I239" i="16" s="1"/>
  <c r="I251" i="16" s="1"/>
  <c r="I263" i="16" s="1"/>
  <c r="I275" i="16" s="1"/>
  <c r="I287" i="16" s="1"/>
  <c r="I299" i="16" s="1"/>
  <c r="I311" i="16" s="1"/>
  <c r="H23" i="16"/>
  <c r="H35" i="16" s="1"/>
  <c r="H47" i="16" s="1"/>
  <c r="H59" i="16" s="1"/>
  <c r="H71" i="16" s="1"/>
  <c r="H83" i="16" s="1"/>
  <c r="H95" i="16" s="1"/>
  <c r="H107" i="16" s="1"/>
  <c r="H119" i="16" s="1"/>
  <c r="H131" i="16" s="1"/>
  <c r="H143" i="16" s="1"/>
  <c r="H155" i="16" s="1"/>
  <c r="H167" i="16" s="1"/>
  <c r="H179" i="16" s="1"/>
  <c r="H191" i="16" s="1"/>
  <c r="H203" i="16" s="1"/>
  <c r="H215" i="16" s="1"/>
  <c r="H227" i="16" s="1"/>
  <c r="H239" i="16" s="1"/>
  <c r="H251" i="16" s="1"/>
  <c r="H263" i="16" s="1"/>
  <c r="H275" i="16" s="1"/>
  <c r="H287" i="16" s="1"/>
  <c r="H299" i="16" s="1"/>
  <c r="H311" i="16" s="1"/>
  <c r="G23" i="16"/>
  <c r="F23" i="16"/>
  <c r="F35" i="16" s="1"/>
  <c r="F47" i="16" s="1"/>
  <c r="F59" i="16" s="1"/>
  <c r="F71" i="16" s="1"/>
  <c r="F83" i="16" s="1"/>
  <c r="F95" i="16" s="1"/>
  <c r="F107" i="16" s="1"/>
  <c r="F119" i="16" s="1"/>
  <c r="F131" i="16" s="1"/>
  <c r="F143" i="16" s="1"/>
  <c r="F155" i="16" s="1"/>
  <c r="F167" i="16" s="1"/>
  <c r="F179" i="16" s="1"/>
  <c r="F191" i="16" s="1"/>
  <c r="F203" i="16" s="1"/>
  <c r="F215" i="16" s="1"/>
  <c r="F227" i="16" s="1"/>
  <c r="F239" i="16" s="1"/>
  <c r="F251" i="16" s="1"/>
  <c r="F263" i="16" s="1"/>
  <c r="F275" i="16" s="1"/>
  <c r="F287" i="16" s="1"/>
  <c r="F299" i="16" s="1"/>
  <c r="F311" i="16" s="1"/>
  <c r="E23" i="16"/>
  <c r="E35" i="16" s="1"/>
  <c r="B23" i="16"/>
  <c r="T22" i="16"/>
  <c r="S22" i="16"/>
  <c r="S34" i="16" s="1"/>
  <c r="S46" i="16" s="1"/>
  <c r="S58" i="16" s="1"/>
  <c r="S70" i="16" s="1"/>
  <c r="S82" i="16" s="1"/>
  <c r="S94" i="16" s="1"/>
  <c r="S106" i="16" s="1"/>
  <c r="S118" i="16" s="1"/>
  <c r="S130" i="16" s="1"/>
  <c r="S142" i="16" s="1"/>
  <c r="S154" i="16" s="1"/>
  <c r="S166" i="16" s="1"/>
  <c r="S178" i="16" s="1"/>
  <c r="S190" i="16" s="1"/>
  <c r="S202" i="16" s="1"/>
  <c r="S214" i="16" s="1"/>
  <c r="S226" i="16" s="1"/>
  <c r="S238" i="16" s="1"/>
  <c r="S250" i="16" s="1"/>
  <c r="S262" i="16" s="1"/>
  <c r="S274" i="16" s="1"/>
  <c r="S286" i="16" s="1"/>
  <c r="S298" i="16" s="1"/>
  <c r="S310" i="16" s="1"/>
  <c r="R22" i="16"/>
  <c r="R34" i="16" s="1"/>
  <c r="R46" i="16" s="1"/>
  <c r="R58" i="16" s="1"/>
  <c r="R70" i="16" s="1"/>
  <c r="R82" i="16" s="1"/>
  <c r="R94" i="16" s="1"/>
  <c r="R106" i="16" s="1"/>
  <c r="R118" i="16" s="1"/>
  <c r="R130" i="16" s="1"/>
  <c r="R142" i="16" s="1"/>
  <c r="R154" i="16" s="1"/>
  <c r="R166" i="16" s="1"/>
  <c r="R178" i="16" s="1"/>
  <c r="R190" i="16" s="1"/>
  <c r="R202" i="16" s="1"/>
  <c r="R214" i="16" s="1"/>
  <c r="R226" i="16" s="1"/>
  <c r="R238" i="16" s="1"/>
  <c r="R250" i="16" s="1"/>
  <c r="R262" i="16" s="1"/>
  <c r="R274" i="16" s="1"/>
  <c r="R286" i="16" s="1"/>
  <c r="R298" i="16" s="1"/>
  <c r="R310" i="16" s="1"/>
  <c r="Q22" i="16"/>
  <c r="Q34" i="16" s="1"/>
  <c r="Q46" i="16" s="1"/>
  <c r="Q58" i="16" s="1"/>
  <c r="Q70" i="16" s="1"/>
  <c r="Q82" i="16" s="1"/>
  <c r="Q94" i="16" s="1"/>
  <c r="Q106" i="16" s="1"/>
  <c r="Q118" i="16" s="1"/>
  <c r="Q130" i="16" s="1"/>
  <c r="Q142" i="16" s="1"/>
  <c r="Q154" i="16" s="1"/>
  <c r="Q166" i="16" s="1"/>
  <c r="Q178" i="16" s="1"/>
  <c r="Q190" i="16" s="1"/>
  <c r="Q202" i="16" s="1"/>
  <c r="Q214" i="16" s="1"/>
  <c r="Q226" i="16" s="1"/>
  <c r="Q238" i="16" s="1"/>
  <c r="Q250" i="16" s="1"/>
  <c r="Q262" i="16" s="1"/>
  <c r="Q274" i="16" s="1"/>
  <c r="Q286" i="16" s="1"/>
  <c r="Q298" i="16" s="1"/>
  <c r="Q310" i="16" s="1"/>
  <c r="P22" i="16"/>
  <c r="P34" i="16" s="1"/>
  <c r="P46" i="16" s="1"/>
  <c r="P58" i="16" s="1"/>
  <c r="P70" i="16" s="1"/>
  <c r="P82" i="16" s="1"/>
  <c r="P94" i="16" s="1"/>
  <c r="P106" i="16" s="1"/>
  <c r="P118" i="16" s="1"/>
  <c r="P130" i="16" s="1"/>
  <c r="P142" i="16" s="1"/>
  <c r="P154" i="16" s="1"/>
  <c r="P166" i="16" s="1"/>
  <c r="P178" i="16" s="1"/>
  <c r="P190" i="16" s="1"/>
  <c r="P202" i="16" s="1"/>
  <c r="P214" i="16" s="1"/>
  <c r="P226" i="16" s="1"/>
  <c r="P238" i="16" s="1"/>
  <c r="P250" i="16" s="1"/>
  <c r="P262" i="16" s="1"/>
  <c r="P274" i="16" s="1"/>
  <c r="P286" i="16" s="1"/>
  <c r="P298" i="16" s="1"/>
  <c r="P310" i="16" s="1"/>
  <c r="O22" i="16"/>
  <c r="O34" i="16" s="1"/>
  <c r="N22" i="16"/>
  <c r="M22" i="16"/>
  <c r="M34" i="16" s="1"/>
  <c r="M46" i="16" s="1"/>
  <c r="M58" i="16" s="1"/>
  <c r="M70" i="16" s="1"/>
  <c r="M82" i="16" s="1"/>
  <c r="M94" i="16" s="1"/>
  <c r="M106" i="16" s="1"/>
  <c r="M118" i="16" s="1"/>
  <c r="M130" i="16" s="1"/>
  <c r="M142" i="16" s="1"/>
  <c r="M154" i="16" s="1"/>
  <c r="M166" i="16" s="1"/>
  <c r="M178" i="16" s="1"/>
  <c r="M190" i="16" s="1"/>
  <c r="M202" i="16" s="1"/>
  <c r="M214" i="16" s="1"/>
  <c r="M226" i="16" s="1"/>
  <c r="M238" i="16" s="1"/>
  <c r="M250" i="16" s="1"/>
  <c r="M262" i="16" s="1"/>
  <c r="M274" i="16" s="1"/>
  <c r="M286" i="16" s="1"/>
  <c r="M298" i="16" s="1"/>
  <c r="M310" i="16" s="1"/>
  <c r="L22" i="16"/>
  <c r="K22" i="16"/>
  <c r="K34" i="16" s="1"/>
  <c r="K46" i="16" s="1"/>
  <c r="K58" i="16" s="1"/>
  <c r="K70" i="16" s="1"/>
  <c r="K82" i="16" s="1"/>
  <c r="K94" i="16" s="1"/>
  <c r="K106" i="16" s="1"/>
  <c r="K118" i="16" s="1"/>
  <c r="K130" i="16" s="1"/>
  <c r="K142" i="16" s="1"/>
  <c r="K154" i="16" s="1"/>
  <c r="K166" i="16" s="1"/>
  <c r="K178" i="16" s="1"/>
  <c r="K190" i="16" s="1"/>
  <c r="K202" i="16" s="1"/>
  <c r="K214" i="16" s="1"/>
  <c r="K226" i="16" s="1"/>
  <c r="K238" i="16" s="1"/>
  <c r="K250" i="16" s="1"/>
  <c r="K262" i="16" s="1"/>
  <c r="K274" i="16" s="1"/>
  <c r="K286" i="16" s="1"/>
  <c r="K298" i="16" s="1"/>
  <c r="K310" i="16" s="1"/>
  <c r="J22" i="16"/>
  <c r="J34" i="16" s="1"/>
  <c r="J46" i="16" s="1"/>
  <c r="J58" i="16" s="1"/>
  <c r="J70" i="16" s="1"/>
  <c r="J82" i="16" s="1"/>
  <c r="J94" i="16" s="1"/>
  <c r="J106" i="16" s="1"/>
  <c r="J118" i="16" s="1"/>
  <c r="J130" i="16" s="1"/>
  <c r="J142" i="16" s="1"/>
  <c r="J154" i="16" s="1"/>
  <c r="J166" i="16" s="1"/>
  <c r="J178" i="16" s="1"/>
  <c r="J190" i="16" s="1"/>
  <c r="J202" i="16" s="1"/>
  <c r="J214" i="16" s="1"/>
  <c r="J226" i="16" s="1"/>
  <c r="J238" i="16" s="1"/>
  <c r="J250" i="16" s="1"/>
  <c r="J262" i="16" s="1"/>
  <c r="J274" i="16" s="1"/>
  <c r="J286" i="16" s="1"/>
  <c r="J298" i="16" s="1"/>
  <c r="J310" i="16" s="1"/>
  <c r="I22" i="16"/>
  <c r="I34" i="16" s="1"/>
  <c r="I46" i="16" s="1"/>
  <c r="I58" i="16" s="1"/>
  <c r="I70" i="16" s="1"/>
  <c r="I82" i="16" s="1"/>
  <c r="I94" i="16" s="1"/>
  <c r="I106" i="16" s="1"/>
  <c r="I118" i="16" s="1"/>
  <c r="I130" i="16" s="1"/>
  <c r="I142" i="16" s="1"/>
  <c r="I154" i="16" s="1"/>
  <c r="I166" i="16" s="1"/>
  <c r="I178" i="16" s="1"/>
  <c r="I190" i="16" s="1"/>
  <c r="I202" i="16" s="1"/>
  <c r="I214" i="16" s="1"/>
  <c r="I226" i="16" s="1"/>
  <c r="I238" i="16" s="1"/>
  <c r="I250" i="16" s="1"/>
  <c r="I262" i="16" s="1"/>
  <c r="I274" i="16" s="1"/>
  <c r="I286" i="16" s="1"/>
  <c r="I298" i="16" s="1"/>
  <c r="I310" i="16" s="1"/>
  <c r="H22" i="16"/>
  <c r="H34" i="16" s="1"/>
  <c r="H46" i="16" s="1"/>
  <c r="H58" i="16" s="1"/>
  <c r="H70" i="16" s="1"/>
  <c r="H82" i="16" s="1"/>
  <c r="H94" i="16" s="1"/>
  <c r="H106" i="16" s="1"/>
  <c r="H118" i="16" s="1"/>
  <c r="H130" i="16" s="1"/>
  <c r="H142" i="16" s="1"/>
  <c r="H154" i="16" s="1"/>
  <c r="H166" i="16" s="1"/>
  <c r="H178" i="16" s="1"/>
  <c r="H190" i="16" s="1"/>
  <c r="H202" i="16" s="1"/>
  <c r="H214" i="16" s="1"/>
  <c r="H226" i="16" s="1"/>
  <c r="H238" i="16" s="1"/>
  <c r="H250" i="16" s="1"/>
  <c r="H262" i="16" s="1"/>
  <c r="H274" i="16" s="1"/>
  <c r="H286" i="16" s="1"/>
  <c r="H298" i="16" s="1"/>
  <c r="H310" i="16" s="1"/>
  <c r="G22" i="16"/>
  <c r="F22" i="16"/>
  <c r="F34" i="16" s="1"/>
  <c r="F46" i="16" s="1"/>
  <c r="F58" i="16" s="1"/>
  <c r="F70" i="16" s="1"/>
  <c r="F82" i="16" s="1"/>
  <c r="F94" i="16" s="1"/>
  <c r="F106" i="16" s="1"/>
  <c r="F118" i="16" s="1"/>
  <c r="F130" i="16" s="1"/>
  <c r="F142" i="16" s="1"/>
  <c r="F154" i="16" s="1"/>
  <c r="F166" i="16" s="1"/>
  <c r="F178" i="16" s="1"/>
  <c r="F190" i="16" s="1"/>
  <c r="F202" i="16" s="1"/>
  <c r="F214" i="16" s="1"/>
  <c r="F226" i="16" s="1"/>
  <c r="F238" i="16" s="1"/>
  <c r="F250" i="16" s="1"/>
  <c r="F262" i="16" s="1"/>
  <c r="F274" i="16" s="1"/>
  <c r="F286" i="16" s="1"/>
  <c r="F298" i="16" s="1"/>
  <c r="F310" i="16" s="1"/>
  <c r="E22" i="16"/>
  <c r="E34" i="16" s="1"/>
  <c r="E46" i="16" s="1"/>
  <c r="E58" i="16" s="1"/>
  <c r="E70" i="16" s="1"/>
  <c r="E82" i="16" s="1"/>
  <c r="E94" i="16" s="1"/>
  <c r="E106" i="16" s="1"/>
  <c r="E118" i="16" s="1"/>
  <c r="E130" i="16" s="1"/>
  <c r="E142" i="16" s="1"/>
  <c r="E154" i="16" s="1"/>
  <c r="E166" i="16" s="1"/>
  <c r="E178" i="16" s="1"/>
  <c r="E190" i="16" s="1"/>
  <c r="E202" i="16" s="1"/>
  <c r="E214" i="16" s="1"/>
  <c r="E226" i="16" s="1"/>
  <c r="E238" i="16" s="1"/>
  <c r="E250" i="16" s="1"/>
  <c r="E262" i="16" s="1"/>
  <c r="E274" i="16" s="1"/>
  <c r="E286" i="16" s="1"/>
  <c r="E298" i="16" s="1"/>
  <c r="E310" i="16" s="1"/>
  <c r="B22" i="16"/>
  <c r="C22" i="16" s="1"/>
  <c r="T21" i="16"/>
  <c r="T33" i="16" s="1"/>
  <c r="T45" i="16" s="1"/>
  <c r="T57" i="16" s="1"/>
  <c r="T69" i="16" s="1"/>
  <c r="T81" i="16" s="1"/>
  <c r="T93" i="16" s="1"/>
  <c r="T105" i="16" s="1"/>
  <c r="T117" i="16" s="1"/>
  <c r="T129" i="16" s="1"/>
  <c r="T141" i="16" s="1"/>
  <c r="T153" i="16" s="1"/>
  <c r="T165" i="16" s="1"/>
  <c r="T177" i="16" s="1"/>
  <c r="T189" i="16" s="1"/>
  <c r="T201" i="16" s="1"/>
  <c r="T213" i="16" s="1"/>
  <c r="T225" i="16" s="1"/>
  <c r="T237" i="16" s="1"/>
  <c r="T249" i="16" s="1"/>
  <c r="T261" i="16" s="1"/>
  <c r="T273" i="16" s="1"/>
  <c r="T285" i="16" s="1"/>
  <c r="T297" i="16" s="1"/>
  <c r="T309" i="16" s="1"/>
  <c r="S21" i="16"/>
  <c r="S33" i="16" s="1"/>
  <c r="S45" i="16" s="1"/>
  <c r="S57" i="16" s="1"/>
  <c r="S69" i="16" s="1"/>
  <c r="S81" i="16" s="1"/>
  <c r="S93" i="16" s="1"/>
  <c r="S105" i="16" s="1"/>
  <c r="S117" i="16" s="1"/>
  <c r="S129" i="16" s="1"/>
  <c r="S141" i="16" s="1"/>
  <c r="S153" i="16" s="1"/>
  <c r="S165" i="16" s="1"/>
  <c r="S177" i="16" s="1"/>
  <c r="S189" i="16" s="1"/>
  <c r="S201" i="16" s="1"/>
  <c r="S213" i="16" s="1"/>
  <c r="S225" i="16" s="1"/>
  <c r="S237" i="16" s="1"/>
  <c r="S249" i="16" s="1"/>
  <c r="S261" i="16" s="1"/>
  <c r="S273" i="16" s="1"/>
  <c r="S285" i="16" s="1"/>
  <c r="S297" i="16" s="1"/>
  <c r="S309" i="16" s="1"/>
  <c r="R21" i="16"/>
  <c r="R33" i="16" s="1"/>
  <c r="R45" i="16" s="1"/>
  <c r="R57" i="16" s="1"/>
  <c r="R69" i="16" s="1"/>
  <c r="R81" i="16" s="1"/>
  <c r="R93" i="16" s="1"/>
  <c r="R105" i="16" s="1"/>
  <c r="R117" i="16" s="1"/>
  <c r="R129" i="16" s="1"/>
  <c r="R141" i="16" s="1"/>
  <c r="R153" i="16" s="1"/>
  <c r="R165" i="16" s="1"/>
  <c r="R177" i="16" s="1"/>
  <c r="R189" i="16" s="1"/>
  <c r="R201" i="16" s="1"/>
  <c r="R213" i="16" s="1"/>
  <c r="R225" i="16" s="1"/>
  <c r="R237" i="16" s="1"/>
  <c r="R249" i="16" s="1"/>
  <c r="R261" i="16" s="1"/>
  <c r="R273" i="16" s="1"/>
  <c r="R285" i="16" s="1"/>
  <c r="R297" i="16" s="1"/>
  <c r="R309" i="16" s="1"/>
  <c r="Q21" i="16"/>
  <c r="Q33" i="16" s="1"/>
  <c r="Q45" i="16" s="1"/>
  <c r="Q57" i="16" s="1"/>
  <c r="Q69" i="16" s="1"/>
  <c r="Q81" i="16" s="1"/>
  <c r="Q93" i="16" s="1"/>
  <c r="Q105" i="16" s="1"/>
  <c r="Q117" i="16" s="1"/>
  <c r="Q129" i="16" s="1"/>
  <c r="Q141" i="16" s="1"/>
  <c r="Q153" i="16" s="1"/>
  <c r="Q165" i="16" s="1"/>
  <c r="Q177" i="16" s="1"/>
  <c r="Q189" i="16" s="1"/>
  <c r="Q201" i="16" s="1"/>
  <c r="Q213" i="16" s="1"/>
  <c r="Q225" i="16" s="1"/>
  <c r="Q237" i="16" s="1"/>
  <c r="Q249" i="16" s="1"/>
  <c r="Q261" i="16" s="1"/>
  <c r="Q273" i="16" s="1"/>
  <c r="Q285" i="16" s="1"/>
  <c r="Q297" i="16" s="1"/>
  <c r="Q309" i="16" s="1"/>
  <c r="P21" i="16"/>
  <c r="P33" i="16" s="1"/>
  <c r="P45" i="16" s="1"/>
  <c r="P57" i="16" s="1"/>
  <c r="P69" i="16" s="1"/>
  <c r="P81" i="16" s="1"/>
  <c r="P93" i="16" s="1"/>
  <c r="P105" i="16" s="1"/>
  <c r="P117" i="16" s="1"/>
  <c r="P129" i="16" s="1"/>
  <c r="P141" i="16" s="1"/>
  <c r="P153" i="16" s="1"/>
  <c r="P165" i="16" s="1"/>
  <c r="P177" i="16" s="1"/>
  <c r="P189" i="16" s="1"/>
  <c r="P201" i="16" s="1"/>
  <c r="P213" i="16" s="1"/>
  <c r="P225" i="16" s="1"/>
  <c r="P237" i="16" s="1"/>
  <c r="P249" i="16" s="1"/>
  <c r="P261" i="16" s="1"/>
  <c r="P273" i="16" s="1"/>
  <c r="P285" i="16" s="1"/>
  <c r="P297" i="16" s="1"/>
  <c r="P309" i="16" s="1"/>
  <c r="O21" i="16"/>
  <c r="O33" i="16" s="1"/>
  <c r="O45" i="16" s="1"/>
  <c r="O57" i="16" s="1"/>
  <c r="O69" i="16" s="1"/>
  <c r="O81" i="16" s="1"/>
  <c r="O93" i="16" s="1"/>
  <c r="O105" i="16" s="1"/>
  <c r="O117" i="16" s="1"/>
  <c r="O129" i="16" s="1"/>
  <c r="O141" i="16" s="1"/>
  <c r="O153" i="16" s="1"/>
  <c r="O165" i="16" s="1"/>
  <c r="O177" i="16" s="1"/>
  <c r="O189" i="16" s="1"/>
  <c r="O201" i="16" s="1"/>
  <c r="O213" i="16" s="1"/>
  <c r="O225" i="16" s="1"/>
  <c r="O237" i="16" s="1"/>
  <c r="O249" i="16" s="1"/>
  <c r="O261" i="16" s="1"/>
  <c r="O273" i="16" s="1"/>
  <c r="O285" i="16" s="1"/>
  <c r="O297" i="16" s="1"/>
  <c r="O309" i="16" s="1"/>
  <c r="N21" i="16"/>
  <c r="N33" i="16" s="1"/>
  <c r="N45" i="16" s="1"/>
  <c r="N57" i="16" s="1"/>
  <c r="N69" i="16" s="1"/>
  <c r="N81" i="16" s="1"/>
  <c r="N93" i="16" s="1"/>
  <c r="N105" i="16" s="1"/>
  <c r="N117" i="16" s="1"/>
  <c r="N129" i="16" s="1"/>
  <c r="N141" i="16" s="1"/>
  <c r="N153" i="16" s="1"/>
  <c r="N165" i="16" s="1"/>
  <c r="N177" i="16" s="1"/>
  <c r="N189" i="16" s="1"/>
  <c r="N201" i="16" s="1"/>
  <c r="N213" i="16" s="1"/>
  <c r="N225" i="16" s="1"/>
  <c r="N237" i="16" s="1"/>
  <c r="N249" i="16" s="1"/>
  <c r="N261" i="16" s="1"/>
  <c r="N273" i="16" s="1"/>
  <c r="N285" i="16" s="1"/>
  <c r="N297" i="16" s="1"/>
  <c r="N309" i="16" s="1"/>
  <c r="M21" i="16"/>
  <c r="M33" i="16" s="1"/>
  <c r="M45" i="16" s="1"/>
  <c r="M57" i="16" s="1"/>
  <c r="M69" i="16" s="1"/>
  <c r="M81" i="16" s="1"/>
  <c r="M93" i="16" s="1"/>
  <c r="M105" i="16" s="1"/>
  <c r="M117" i="16" s="1"/>
  <c r="M129" i="16" s="1"/>
  <c r="M141" i="16" s="1"/>
  <c r="M153" i="16" s="1"/>
  <c r="M165" i="16" s="1"/>
  <c r="M177" i="16" s="1"/>
  <c r="M189" i="16" s="1"/>
  <c r="M201" i="16" s="1"/>
  <c r="M213" i="16" s="1"/>
  <c r="M225" i="16" s="1"/>
  <c r="M237" i="16" s="1"/>
  <c r="M249" i="16" s="1"/>
  <c r="M261" i="16" s="1"/>
  <c r="M273" i="16" s="1"/>
  <c r="M285" i="16" s="1"/>
  <c r="M297" i="16" s="1"/>
  <c r="M309" i="16" s="1"/>
  <c r="L21" i="16"/>
  <c r="L33" i="16" s="1"/>
  <c r="L45" i="16" s="1"/>
  <c r="L57" i="16" s="1"/>
  <c r="L69" i="16" s="1"/>
  <c r="L81" i="16" s="1"/>
  <c r="L93" i="16" s="1"/>
  <c r="L105" i="16" s="1"/>
  <c r="L117" i="16" s="1"/>
  <c r="L129" i="16" s="1"/>
  <c r="L141" i="16" s="1"/>
  <c r="L153" i="16" s="1"/>
  <c r="L165" i="16" s="1"/>
  <c r="L177" i="16" s="1"/>
  <c r="L189" i="16" s="1"/>
  <c r="L201" i="16" s="1"/>
  <c r="L213" i="16" s="1"/>
  <c r="L225" i="16" s="1"/>
  <c r="L237" i="16" s="1"/>
  <c r="L249" i="16" s="1"/>
  <c r="L261" i="16" s="1"/>
  <c r="L273" i="16" s="1"/>
  <c r="L285" i="16" s="1"/>
  <c r="L297" i="16" s="1"/>
  <c r="L309" i="16" s="1"/>
  <c r="K21" i="16"/>
  <c r="K33" i="16" s="1"/>
  <c r="K45" i="16" s="1"/>
  <c r="K57" i="16" s="1"/>
  <c r="K69" i="16" s="1"/>
  <c r="K81" i="16" s="1"/>
  <c r="K93" i="16" s="1"/>
  <c r="K105" i="16" s="1"/>
  <c r="K117" i="16" s="1"/>
  <c r="K129" i="16" s="1"/>
  <c r="K141" i="16" s="1"/>
  <c r="K153" i="16" s="1"/>
  <c r="K165" i="16" s="1"/>
  <c r="K177" i="16" s="1"/>
  <c r="K189" i="16" s="1"/>
  <c r="K201" i="16" s="1"/>
  <c r="K213" i="16" s="1"/>
  <c r="K225" i="16" s="1"/>
  <c r="K237" i="16" s="1"/>
  <c r="K249" i="16" s="1"/>
  <c r="K261" i="16" s="1"/>
  <c r="K273" i="16" s="1"/>
  <c r="K285" i="16" s="1"/>
  <c r="K297" i="16" s="1"/>
  <c r="K309" i="16" s="1"/>
  <c r="J21" i="16"/>
  <c r="J33" i="16" s="1"/>
  <c r="J45" i="16" s="1"/>
  <c r="J57" i="16" s="1"/>
  <c r="J69" i="16" s="1"/>
  <c r="J81" i="16" s="1"/>
  <c r="J93" i="16" s="1"/>
  <c r="J105" i="16" s="1"/>
  <c r="J117" i="16" s="1"/>
  <c r="J129" i="16" s="1"/>
  <c r="J141" i="16" s="1"/>
  <c r="J153" i="16" s="1"/>
  <c r="J165" i="16" s="1"/>
  <c r="J177" i="16" s="1"/>
  <c r="J189" i="16" s="1"/>
  <c r="J201" i="16" s="1"/>
  <c r="J213" i="16" s="1"/>
  <c r="J225" i="16" s="1"/>
  <c r="J237" i="16" s="1"/>
  <c r="J249" i="16" s="1"/>
  <c r="J261" i="16" s="1"/>
  <c r="J273" i="16" s="1"/>
  <c r="J285" i="16" s="1"/>
  <c r="J297" i="16" s="1"/>
  <c r="J309" i="16" s="1"/>
  <c r="I21" i="16"/>
  <c r="I33" i="16" s="1"/>
  <c r="I45" i="16" s="1"/>
  <c r="I57" i="16" s="1"/>
  <c r="I69" i="16" s="1"/>
  <c r="I81" i="16" s="1"/>
  <c r="I93" i="16" s="1"/>
  <c r="I105" i="16" s="1"/>
  <c r="I117" i="16" s="1"/>
  <c r="I129" i="16" s="1"/>
  <c r="I141" i="16" s="1"/>
  <c r="I153" i="16" s="1"/>
  <c r="I165" i="16" s="1"/>
  <c r="I177" i="16" s="1"/>
  <c r="I189" i="16" s="1"/>
  <c r="I201" i="16" s="1"/>
  <c r="I213" i="16" s="1"/>
  <c r="I225" i="16" s="1"/>
  <c r="I237" i="16" s="1"/>
  <c r="I249" i="16" s="1"/>
  <c r="I261" i="16" s="1"/>
  <c r="I273" i="16" s="1"/>
  <c r="I285" i="16" s="1"/>
  <c r="I297" i="16" s="1"/>
  <c r="I309" i="16" s="1"/>
  <c r="H21" i="16"/>
  <c r="H33" i="16" s="1"/>
  <c r="H45" i="16" s="1"/>
  <c r="H57" i="16" s="1"/>
  <c r="H69" i="16" s="1"/>
  <c r="H81" i="16" s="1"/>
  <c r="H93" i="16" s="1"/>
  <c r="H105" i="16" s="1"/>
  <c r="H117" i="16" s="1"/>
  <c r="H129" i="16" s="1"/>
  <c r="H141" i="16" s="1"/>
  <c r="H153" i="16" s="1"/>
  <c r="H165" i="16" s="1"/>
  <c r="H177" i="16" s="1"/>
  <c r="H189" i="16" s="1"/>
  <c r="H201" i="16" s="1"/>
  <c r="H213" i="16" s="1"/>
  <c r="H225" i="16" s="1"/>
  <c r="H237" i="16" s="1"/>
  <c r="H249" i="16" s="1"/>
  <c r="H261" i="16" s="1"/>
  <c r="H273" i="16" s="1"/>
  <c r="H285" i="16" s="1"/>
  <c r="H297" i="16" s="1"/>
  <c r="H309" i="16" s="1"/>
  <c r="G21" i="16"/>
  <c r="F21" i="16"/>
  <c r="E21" i="16"/>
  <c r="E33" i="16" s="1"/>
  <c r="E45" i="16" s="1"/>
  <c r="E57" i="16" s="1"/>
  <c r="E69" i="16" s="1"/>
  <c r="E81" i="16" s="1"/>
  <c r="E93" i="16" s="1"/>
  <c r="E105" i="16" s="1"/>
  <c r="E117" i="16" s="1"/>
  <c r="E129" i="16" s="1"/>
  <c r="E141" i="16" s="1"/>
  <c r="E153" i="16" s="1"/>
  <c r="E165" i="16" s="1"/>
  <c r="E177" i="16" s="1"/>
  <c r="E189" i="16" s="1"/>
  <c r="E201" i="16" s="1"/>
  <c r="E213" i="16" s="1"/>
  <c r="E225" i="16" s="1"/>
  <c r="E237" i="16" s="1"/>
  <c r="E249" i="16" s="1"/>
  <c r="E261" i="16" s="1"/>
  <c r="E273" i="16" s="1"/>
  <c r="E285" i="16" s="1"/>
  <c r="E297" i="16" s="1"/>
  <c r="E309" i="16" s="1"/>
  <c r="C21" i="16"/>
  <c r="B21" i="16"/>
  <c r="B33" i="16" s="1"/>
  <c r="T20" i="16"/>
  <c r="T32" i="16" s="1"/>
  <c r="T44" i="16" s="1"/>
  <c r="T56" i="16" s="1"/>
  <c r="T68" i="16" s="1"/>
  <c r="T80" i="16" s="1"/>
  <c r="T92" i="16" s="1"/>
  <c r="T104" i="16" s="1"/>
  <c r="T116" i="16" s="1"/>
  <c r="T128" i="16" s="1"/>
  <c r="T140" i="16" s="1"/>
  <c r="T152" i="16" s="1"/>
  <c r="T164" i="16" s="1"/>
  <c r="T176" i="16" s="1"/>
  <c r="T188" i="16" s="1"/>
  <c r="T200" i="16" s="1"/>
  <c r="T212" i="16" s="1"/>
  <c r="T224" i="16" s="1"/>
  <c r="T236" i="16" s="1"/>
  <c r="T248" i="16" s="1"/>
  <c r="T260" i="16" s="1"/>
  <c r="T272" i="16" s="1"/>
  <c r="T284" i="16" s="1"/>
  <c r="T296" i="16" s="1"/>
  <c r="T308" i="16" s="1"/>
  <c r="S20" i="16"/>
  <c r="S32" i="16" s="1"/>
  <c r="S44" i="16" s="1"/>
  <c r="S56" i="16" s="1"/>
  <c r="S68" i="16" s="1"/>
  <c r="S80" i="16" s="1"/>
  <c r="S92" i="16" s="1"/>
  <c r="S104" i="16" s="1"/>
  <c r="S116" i="16" s="1"/>
  <c r="S128" i="16" s="1"/>
  <c r="S140" i="16" s="1"/>
  <c r="S152" i="16" s="1"/>
  <c r="S164" i="16" s="1"/>
  <c r="S176" i="16" s="1"/>
  <c r="S188" i="16" s="1"/>
  <c r="S200" i="16" s="1"/>
  <c r="S212" i="16" s="1"/>
  <c r="S224" i="16" s="1"/>
  <c r="S236" i="16" s="1"/>
  <c r="S248" i="16" s="1"/>
  <c r="S260" i="16" s="1"/>
  <c r="S272" i="16" s="1"/>
  <c r="S284" i="16" s="1"/>
  <c r="S296" i="16" s="1"/>
  <c r="S308" i="16" s="1"/>
  <c r="R20" i="16"/>
  <c r="R32" i="16" s="1"/>
  <c r="R44" i="16" s="1"/>
  <c r="R56" i="16" s="1"/>
  <c r="R68" i="16" s="1"/>
  <c r="R80" i="16" s="1"/>
  <c r="R92" i="16" s="1"/>
  <c r="R104" i="16" s="1"/>
  <c r="R116" i="16" s="1"/>
  <c r="R128" i="16" s="1"/>
  <c r="R140" i="16" s="1"/>
  <c r="R152" i="16" s="1"/>
  <c r="R164" i="16" s="1"/>
  <c r="R176" i="16" s="1"/>
  <c r="R188" i="16" s="1"/>
  <c r="R200" i="16" s="1"/>
  <c r="R212" i="16" s="1"/>
  <c r="R224" i="16" s="1"/>
  <c r="R236" i="16" s="1"/>
  <c r="R248" i="16" s="1"/>
  <c r="R260" i="16" s="1"/>
  <c r="R272" i="16" s="1"/>
  <c r="R284" i="16" s="1"/>
  <c r="R296" i="16" s="1"/>
  <c r="R308" i="16" s="1"/>
  <c r="Q20" i="16"/>
  <c r="Q32" i="16" s="1"/>
  <c r="Q44" i="16" s="1"/>
  <c r="Q56" i="16" s="1"/>
  <c r="Q68" i="16" s="1"/>
  <c r="Q80" i="16" s="1"/>
  <c r="Q92" i="16" s="1"/>
  <c r="Q104" i="16" s="1"/>
  <c r="Q116" i="16" s="1"/>
  <c r="Q128" i="16" s="1"/>
  <c r="Q140" i="16" s="1"/>
  <c r="Q152" i="16" s="1"/>
  <c r="Q164" i="16" s="1"/>
  <c r="Q176" i="16" s="1"/>
  <c r="Q188" i="16" s="1"/>
  <c r="Q200" i="16" s="1"/>
  <c r="Q212" i="16" s="1"/>
  <c r="Q224" i="16" s="1"/>
  <c r="Q236" i="16" s="1"/>
  <c r="Q248" i="16" s="1"/>
  <c r="Q260" i="16" s="1"/>
  <c r="Q272" i="16" s="1"/>
  <c r="Q284" i="16" s="1"/>
  <c r="Q296" i="16" s="1"/>
  <c r="Q308" i="16" s="1"/>
  <c r="P20" i="16"/>
  <c r="O20" i="16"/>
  <c r="O32" i="16" s="1"/>
  <c r="O44" i="16" s="1"/>
  <c r="O56" i="16" s="1"/>
  <c r="O68" i="16" s="1"/>
  <c r="O80" i="16" s="1"/>
  <c r="O92" i="16" s="1"/>
  <c r="O104" i="16" s="1"/>
  <c r="O116" i="16" s="1"/>
  <c r="O128" i="16" s="1"/>
  <c r="O140" i="16" s="1"/>
  <c r="O152" i="16" s="1"/>
  <c r="O164" i="16" s="1"/>
  <c r="O176" i="16" s="1"/>
  <c r="O188" i="16" s="1"/>
  <c r="O200" i="16" s="1"/>
  <c r="O212" i="16" s="1"/>
  <c r="O224" i="16" s="1"/>
  <c r="O236" i="16" s="1"/>
  <c r="O248" i="16" s="1"/>
  <c r="O260" i="16" s="1"/>
  <c r="O272" i="16" s="1"/>
  <c r="O284" i="16" s="1"/>
  <c r="O296" i="16" s="1"/>
  <c r="O308" i="16" s="1"/>
  <c r="N20" i="16"/>
  <c r="M20" i="16"/>
  <c r="M32" i="16" s="1"/>
  <c r="M44" i="16" s="1"/>
  <c r="M56" i="16" s="1"/>
  <c r="M68" i="16" s="1"/>
  <c r="M80" i="16" s="1"/>
  <c r="M92" i="16" s="1"/>
  <c r="M104" i="16" s="1"/>
  <c r="M116" i="16" s="1"/>
  <c r="M128" i="16" s="1"/>
  <c r="M140" i="16" s="1"/>
  <c r="M152" i="16" s="1"/>
  <c r="M164" i="16" s="1"/>
  <c r="M176" i="16" s="1"/>
  <c r="M188" i="16" s="1"/>
  <c r="M200" i="16" s="1"/>
  <c r="M212" i="16" s="1"/>
  <c r="M224" i="16" s="1"/>
  <c r="M236" i="16" s="1"/>
  <c r="M248" i="16" s="1"/>
  <c r="M260" i="16" s="1"/>
  <c r="M272" i="16" s="1"/>
  <c r="M284" i="16" s="1"/>
  <c r="M296" i="16" s="1"/>
  <c r="M308" i="16" s="1"/>
  <c r="L20" i="16"/>
  <c r="L32" i="16" s="1"/>
  <c r="L44" i="16" s="1"/>
  <c r="L56" i="16" s="1"/>
  <c r="L68" i="16" s="1"/>
  <c r="L80" i="16" s="1"/>
  <c r="L92" i="16" s="1"/>
  <c r="L104" i="16" s="1"/>
  <c r="L116" i="16" s="1"/>
  <c r="L128" i="16" s="1"/>
  <c r="L140" i="16" s="1"/>
  <c r="L152" i="16" s="1"/>
  <c r="L164" i="16" s="1"/>
  <c r="L176" i="16" s="1"/>
  <c r="L188" i="16" s="1"/>
  <c r="L200" i="16" s="1"/>
  <c r="L212" i="16" s="1"/>
  <c r="L224" i="16" s="1"/>
  <c r="L236" i="16" s="1"/>
  <c r="L248" i="16" s="1"/>
  <c r="L260" i="16" s="1"/>
  <c r="L272" i="16" s="1"/>
  <c r="L284" i="16" s="1"/>
  <c r="L296" i="16" s="1"/>
  <c r="L308" i="16" s="1"/>
  <c r="K20" i="16"/>
  <c r="K32" i="16" s="1"/>
  <c r="K44" i="16" s="1"/>
  <c r="K56" i="16" s="1"/>
  <c r="K68" i="16" s="1"/>
  <c r="K80" i="16" s="1"/>
  <c r="K92" i="16" s="1"/>
  <c r="K104" i="16" s="1"/>
  <c r="K116" i="16" s="1"/>
  <c r="K128" i="16" s="1"/>
  <c r="K140" i="16" s="1"/>
  <c r="K152" i="16" s="1"/>
  <c r="K164" i="16" s="1"/>
  <c r="K176" i="16" s="1"/>
  <c r="K188" i="16" s="1"/>
  <c r="K200" i="16" s="1"/>
  <c r="K212" i="16" s="1"/>
  <c r="K224" i="16" s="1"/>
  <c r="K236" i="16" s="1"/>
  <c r="K248" i="16" s="1"/>
  <c r="K260" i="16" s="1"/>
  <c r="K272" i="16" s="1"/>
  <c r="K284" i="16" s="1"/>
  <c r="K296" i="16" s="1"/>
  <c r="K308" i="16" s="1"/>
  <c r="J20" i="16"/>
  <c r="J32" i="16" s="1"/>
  <c r="J44" i="16" s="1"/>
  <c r="J56" i="16" s="1"/>
  <c r="J68" i="16" s="1"/>
  <c r="J80" i="16" s="1"/>
  <c r="J92" i="16" s="1"/>
  <c r="J104" i="16" s="1"/>
  <c r="J116" i="16" s="1"/>
  <c r="J128" i="16" s="1"/>
  <c r="J140" i="16" s="1"/>
  <c r="J152" i="16" s="1"/>
  <c r="J164" i="16" s="1"/>
  <c r="J176" i="16" s="1"/>
  <c r="J188" i="16" s="1"/>
  <c r="J200" i="16" s="1"/>
  <c r="J212" i="16" s="1"/>
  <c r="J224" i="16" s="1"/>
  <c r="J236" i="16" s="1"/>
  <c r="J248" i="16" s="1"/>
  <c r="J260" i="16" s="1"/>
  <c r="J272" i="16" s="1"/>
  <c r="J284" i="16" s="1"/>
  <c r="J296" i="16" s="1"/>
  <c r="J308" i="16" s="1"/>
  <c r="I20" i="16"/>
  <c r="I32" i="16" s="1"/>
  <c r="I44" i="16" s="1"/>
  <c r="I56" i="16" s="1"/>
  <c r="I68" i="16" s="1"/>
  <c r="I80" i="16" s="1"/>
  <c r="I92" i="16" s="1"/>
  <c r="I104" i="16" s="1"/>
  <c r="I116" i="16" s="1"/>
  <c r="I128" i="16" s="1"/>
  <c r="I140" i="16" s="1"/>
  <c r="I152" i="16" s="1"/>
  <c r="I164" i="16" s="1"/>
  <c r="I176" i="16" s="1"/>
  <c r="I188" i="16" s="1"/>
  <c r="I200" i="16" s="1"/>
  <c r="I212" i="16" s="1"/>
  <c r="I224" i="16" s="1"/>
  <c r="I236" i="16" s="1"/>
  <c r="I248" i="16" s="1"/>
  <c r="I260" i="16" s="1"/>
  <c r="I272" i="16" s="1"/>
  <c r="I284" i="16" s="1"/>
  <c r="I296" i="16" s="1"/>
  <c r="I308" i="16" s="1"/>
  <c r="H20" i="16"/>
  <c r="G20" i="16"/>
  <c r="F20" i="16"/>
  <c r="F32" i="16" s="1"/>
  <c r="F44" i="16" s="1"/>
  <c r="F56" i="16" s="1"/>
  <c r="F68" i="16" s="1"/>
  <c r="F80" i="16" s="1"/>
  <c r="F92" i="16" s="1"/>
  <c r="F104" i="16" s="1"/>
  <c r="F116" i="16" s="1"/>
  <c r="F128" i="16" s="1"/>
  <c r="F140" i="16" s="1"/>
  <c r="F152" i="16" s="1"/>
  <c r="F164" i="16" s="1"/>
  <c r="F176" i="16" s="1"/>
  <c r="F188" i="16" s="1"/>
  <c r="F200" i="16" s="1"/>
  <c r="F212" i="16" s="1"/>
  <c r="F224" i="16" s="1"/>
  <c r="F236" i="16" s="1"/>
  <c r="F248" i="16" s="1"/>
  <c r="F260" i="16" s="1"/>
  <c r="F272" i="16" s="1"/>
  <c r="F284" i="16" s="1"/>
  <c r="F296" i="16" s="1"/>
  <c r="F308" i="16" s="1"/>
  <c r="E20" i="16"/>
  <c r="C20" i="16"/>
  <c r="B20" i="16"/>
  <c r="B32" i="16" s="1"/>
  <c r="C32" i="16" s="1"/>
  <c r="T19" i="16"/>
  <c r="T31" i="16" s="1"/>
  <c r="T43" i="16" s="1"/>
  <c r="T55" i="16" s="1"/>
  <c r="T67" i="16" s="1"/>
  <c r="T79" i="16" s="1"/>
  <c r="T91" i="16" s="1"/>
  <c r="T103" i="16" s="1"/>
  <c r="T115" i="16" s="1"/>
  <c r="T127" i="16" s="1"/>
  <c r="T139" i="16" s="1"/>
  <c r="T151" i="16" s="1"/>
  <c r="T163" i="16" s="1"/>
  <c r="T175" i="16" s="1"/>
  <c r="T187" i="16" s="1"/>
  <c r="T199" i="16" s="1"/>
  <c r="T211" i="16" s="1"/>
  <c r="T223" i="16" s="1"/>
  <c r="T235" i="16" s="1"/>
  <c r="T247" i="16" s="1"/>
  <c r="T259" i="16" s="1"/>
  <c r="T271" i="16" s="1"/>
  <c r="T283" i="16" s="1"/>
  <c r="T295" i="16" s="1"/>
  <c r="T307" i="16" s="1"/>
  <c r="S19" i="16"/>
  <c r="S31" i="16" s="1"/>
  <c r="S43" i="16" s="1"/>
  <c r="S55" i="16" s="1"/>
  <c r="S67" i="16" s="1"/>
  <c r="S79" i="16" s="1"/>
  <c r="S91" i="16" s="1"/>
  <c r="S103" i="16" s="1"/>
  <c r="S115" i="16" s="1"/>
  <c r="S127" i="16" s="1"/>
  <c r="S139" i="16" s="1"/>
  <c r="S151" i="16" s="1"/>
  <c r="S163" i="16" s="1"/>
  <c r="S175" i="16" s="1"/>
  <c r="S187" i="16" s="1"/>
  <c r="S199" i="16" s="1"/>
  <c r="S211" i="16" s="1"/>
  <c r="S223" i="16" s="1"/>
  <c r="S235" i="16" s="1"/>
  <c r="S247" i="16" s="1"/>
  <c r="S259" i="16" s="1"/>
  <c r="S271" i="16" s="1"/>
  <c r="S283" i="16" s="1"/>
  <c r="S295" i="16" s="1"/>
  <c r="S307" i="16" s="1"/>
  <c r="R19" i="16"/>
  <c r="R31" i="16" s="1"/>
  <c r="R43" i="16" s="1"/>
  <c r="R55" i="16" s="1"/>
  <c r="R67" i="16" s="1"/>
  <c r="Q19" i="16"/>
  <c r="Q31" i="16" s="1"/>
  <c r="Q43" i="16" s="1"/>
  <c r="Q55" i="16" s="1"/>
  <c r="Q67" i="16" s="1"/>
  <c r="Q79" i="16" s="1"/>
  <c r="Q91" i="16" s="1"/>
  <c r="Q103" i="16" s="1"/>
  <c r="Q115" i="16" s="1"/>
  <c r="Q127" i="16" s="1"/>
  <c r="Q139" i="16" s="1"/>
  <c r="Q151" i="16" s="1"/>
  <c r="Q163" i="16" s="1"/>
  <c r="Q175" i="16" s="1"/>
  <c r="Q187" i="16" s="1"/>
  <c r="Q199" i="16" s="1"/>
  <c r="Q211" i="16" s="1"/>
  <c r="Q223" i="16" s="1"/>
  <c r="Q235" i="16" s="1"/>
  <c r="Q247" i="16" s="1"/>
  <c r="Q259" i="16" s="1"/>
  <c r="Q271" i="16" s="1"/>
  <c r="Q283" i="16" s="1"/>
  <c r="Q295" i="16" s="1"/>
  <c r="Q307" i="16" s="1"/>
  <c r="P19" i="16"/>
  <c r="P31" i="16" s="1"/>
  <c r="P43" i="16" s="1"/>
  <c r="P55" i="16" s="1"/>
  <c r="P67" i="16" s="1"/>
  <c r="P79" i="16" s="1"/>
  <c r="P91" i="16" s="1"/>
  <c r="P103" i="16" s="1"/>
  <c r="P115" i="16" s="1"/>
  <c r="P127" i="16" s="1"/>
  <c r="P139" i="16" s="1"/>
  <c r="P151" i="16" s="1"/>
  <c r="P163" i="16" s="1"/>
  <c r="P175" i="16" s="1"/>
  <c r="P187" i="16" s="1"/>
  <c r="P199" i="16" s="1"/>
  <c r="P211" i="16" s="1"/>
  <c r="P223" i="16" s="1"/>
  <c r="P235" i="16" s="1"/>
  <c r="P247" i="16" s="1"/>
  <c r="P259" i="16" s="1"/>
  <c r="P271" i="16" s="1"/>
  <c r="P283" i="16" s="1"/>
  <c r="P295" i="16" s="1"/>
  <c r="P307" i="16" s="1"/>
  <c r="O19" i="16"/>
  <c r="N19" i="16"/>
  <c r="N31" i="16" s="1"/>
  <c r="N43" i="16" s="1"/>
  <c r="N55" i="16" s="1"/>
  <c r="N67" i="16" s="1"/>
  <c r="N79" i="16" s="1"/>
  <c r="N91" i="16" s="1"/>
  <c r="N103" i="16" s="1"/>
  <c r="N115" i="16" s="1"/>
  <c r="N127" i="16" s="1"/>
  <c r="N139" i="16" s="1"/>
  <c r="N151" i="16" s="1"/>
  <c r="N163" i="16" s="1"/>
  <c r="N175" i="16" s="1"/>
  <c r="N187" i="16" s="1"/>
  <c r="N199" i="16" s="1"/>
  <c r="N211" i="16" s="1"/>
  <c r="N223" i="16" s="1"/>
  <c r="N235" i="16" s="1"/>
  <c r="N247" i="16" s="1"/>
  <c r="N259" i="16" s="1"/>
  <c r="N271" i="16" s="1"/>
  <c r="N283" i="16" s="1"/>
  <c r="N295" i="16" s="1"/>
  <c r="N307" i="16" s="1"/>
  <c r="M19" i="16"/>
  <c r="M31" i="16" s="1"/>
  <c r="M43" i="16" s="1"/>
  <c r="M55" i="16" s="1"/>
  <c r="M67" i="16" s="1"/>
  <c r="M79" i="16" s="1"/>
  <c r="M91" i="16" s="1"/>
  <c r="M103" i="16" s="1"/>
  <c r="M115" i="16" s="1"/>
  <c r="M127" i="16" s="1"/>
  <c r="M139" i="16" s="1"/>
  <c r="M151" i="16" s="1"/>
  <c r="M163" i="16" s="1"/>
  <c r="M175" i="16" s="1"/>
  <c r="M187" i="16" s="1"/>
  <c r="M199" i="16" s="1"/>
  <c r="M211" i="16" s="1"/>
  <c r="M223" i="16" s="1"/>
  <c r="M235" i="16" s="1"/>
  <c r="M247" i="16" s="1"/>
  <c r="M259" i="16" s="1"/>
  <c r="M271" i="16" s="1"/>
  <c r="M283" i="16" s="1"/>
  <c r="M295" i="16" s="1"/>
  <c r="M307" i="16" s="1"/>
  <c r="L19" i="16"/>
  <c r="L31" i="16" s="1"/>
  <c r="L43" i="16" s="1"/>
  <c r="L55" i="16" s="1"/>
  <c r="L67" i="16" s="1"/>
  <c r="L79" i="16" s="1"/>
  <c r="L91" i="16" s="1"/>
  <c r="L103" i="16" s="1"/>
  <c r="L115" i="16" s="1"/>
  <c r="L127" i="16" s="1"/>
  <c r="L139" i="16" s="1"/>
  <c r="L151" i="16" s="1"/>
  <c r="L163" i="16" s="1"/>
  <c r="L175" i="16" s="1"/>
  <c r="L187" i="16" s="1"/>
  <c r="L199" i="16" s="1"/>
  <c r="L211" i="16" s="1"/>
  <c r="L223" i="16" s="1"/>
  <c r="L235" i="16" s="1"/>
  <c r="L247" i="16" s="1"/>
  <c r="L259" i="16" s="1"/>
  <c r="L271" i="16" s="1"/>
  <c r="L283" i="16" s="1"/>
  <c r="L295" i="16" s="1"/>
  <c r="L307" i="16" s="1"/>
  <c r="K19" i="16"/>
  <c r="K31" i="16" s="1"/>
  <c r="K43" i="16" s="1"/>
  <c r="K55" i="16" s="1"/>
  <c r="K67" i="16" s="1"/>
  <c r="K79" i="16" s="1"/>
  <c r="K91" i="16" s="1"/>
  <c r="K103" i="16" s="1"/>
  <c r="K115" i="16" s="1"/>
  <c r="K127" i="16" s="1"/>
  <c r="K139" i="16" s="1"/>
  <c r="K151" i="16" s="1"/>
  <c r="K163" i="16" s="1"/>
  <c r="K175" i="16" s="1"/>
  <c r="K187" i="16" s="1"/>
  <c r="K199" i="16" s="1"/>
  <c r="K211" i="16" s="1"/>
  <c r="K223" i="16" s="1"/>
  <c r="K235" i="16" s="1"/>
  <c r="K247" i="16" s="1"/>
  <c r="K259" i="16" s="1"/>
  <c r="K271" i="16" s="1"/>
  <c r="K283" i="16" s="1"/>
  <c r="K295" i="16" s="1"/>
  <c r="K307" i="16" s="1"/>
  <c r="J19" i="16"/>
  <c r="J31" i="16" s="1"/>
  <c r="J43" i="16" s="1"/>
  <c r="J55" i="16" s="1"/>
  <c r="J67" i="16" s="1"/>
  <c r="J79" i="16" s="1"/>
  <c r="J91" i="16" s="1"/>
  <c r="J103" i="16" s="1"/>
  <c r="J115" i="16" s="1"/>
  <c r="J127" i="16" s="1"/>
  <c r="J139" i="16" s="1"/>
  <c r="J151" i="16" s="1"/>
  <c r="J163" i="16" s="1"/>
  <c r="J175" i="16" s="1"/>
  <c r="J187" i="16" s="1"/>
  <c r="J199" i="16" s="1"/>
  <c r="J211" i="16" s="1"/>
  <c r="J223" i="16" s="1"/>
  <c r="J235" i="16" s="1"/>
  <c r="J247" i="16" s="1"/>
  <c r="J259" i="16" s="1"/>
  <c r="J271" i="16" s="1"/>
  <c r="J283" i="16" s="1"/>
  <c r="J295" i="16" s="1"/>
  <c r="J307" i="16" s="1"/>
  <c r="I19" i="16"/>
  <c r="I31" i="16" s="1"/>
  <c r="I43" i="16" s="1"/>
  <c r="I55" i="16" s="1"/>
  <c r="I67" i="16" s="1"/>
  <c r="I79" i="16" s="1"/>
  <c r="I91" i="16" s="1"/>
  <c r="I103" i="16" s="1"/>
  <c r="I115" i="16" s="1"/>
  <c r="I127" i="16" s="1"/>
  <c r="I139" i="16" s="1"/>
  <c r="I151" i="16" s="1"/>
  <c r="I163" i="16" s="1"/>
  <c r="I175" i="16" s="1"/>
  <c r="I187" i="16" s="1"/>
  <c r="I199" i="16" s="1"/>
  <c r="I211" i="16" s="1"/>
  <c r="I223" i="16" s="1"/>
  <c r="I235" i="16" s="1"/>
  <c r="I247" i="16" s="1"/>
  <c r="I259" i="16" s="1"/>
  <c r="I271" i="16" s="1"/>
  <c r="I283" i="16" s="1"/>
  <c r="I295" i="16" s="1"/>
  <c r="I307" i="16" s="1"/>
  <c r="H19" i="16"/>
  <c r="H31" i="16" s="1"/>
  <c r="H43" i="16" s="1"/>
  <c r="H55" i="16" s="1"/>
  <c r="H67" i="16" s="1"/>
  <c r="H79" i="16" s="1"/>
  <c r="H91" i="16" s="1"/>
  <c r="H103" i="16" s="1"/>
  <c r="H115" i="16" s="1"/>
  <c r="H127" i="16" s="1"/>
  <c r="H139" i="16" s="1"/>
  <c r="H151" i="16" s="1"/>
  <c r="H163" i="16" s="1"/>
  <c r="H175" i="16" s="1"/>
  <c r="H187" i="16" s="1"/>
  <c r="H199" i="16" s="1"/>
  <c r="H211" i="16" s="1"/>
  <c r="H223" i="16" s="1"/>
  <c r="H235" i="16" s="1"/>
  <c r="H247" i="16" s="1"/>
  <c r="H259" i="16" s="1"/>
  <c r="H271" i="16" s="1"/>
  <c r="H283" i="16" s="1"/>
  <c r="H295" i="16" s="1"/>
  <c r="H307" i="16" s="1"/>
  <c r="G19" i="16"/>
  <c r="F19" i="16"/>
  <c r="E19" i="16"/>
  <c r="E31" i="16" s="1"/>
  <c r="E43" i="16" s="1"/>
  <c r="E55" i="16" s="1"/>
  <c r="E67" i="16" s="1"/>
  <c r="E79" i="16" s="1"/>
  <c r="E91" i="16" s="1"/>
  <c r="E103" i="16" s="1"/>
  <c r="E115" i="16" s="1"/>
  <c r="E127" i="16" s="1"/>
  <c r="E139" i="16" s="1"/>
  <c r="E151" i="16" s="1"/>
  <c r="E163" i="16" s="1"/>
  <c r="E175" i="16" s="1"/>
  <c r="E187" i="16" s="1"/>
  <c r="E199" i="16" s="1"/>
  <c r="E211" i="16" s="1"/>
  <c r="E223" i="16" s="1"/>
  <c r="E235" i="16" s="1"/>
  <c r="E247" i="16" s="1"/>
  <c r="E259" i="16" s="1"/>
  <c r="E271" i="16" s="1"/>
  <c r="E283" i="16" s="1"/>
  <c r="E295" i="16" s="1"/>
  <c r="E307" i="16" s="1"/>
  <c r="B19" i="16"/>
  <c r="T18" i="16"/>
  <c r="T30" i="16" s="1"/>
  <c r="T42" i="16" s="1"/>
  <c r="T54" i="16" s="1"/>
  <c r="T66" i="16" s="1"/>
  <c r="T78" i="16" s="1"/>
  <c r="T90" i="16" s="1"/>
  <c r="T102" i="16" s="1"/>
  <c r="T114" i="16" s="1"/>
  <c r="T126" i="16" s="1"/>
  <c r="T138" i="16" s="1"/>
  <c r="T150" i="16" s="1"/>
  <c r="T162" i="16" s="1"/>
  <c r="T174" i="16" s="1"/>
  <c r="T186" i="16" s="1"/>
  <c r="T198" i="16" s="1"/>
  <c r="T210" i="16" s="1"/>
  <c r="T222" i="16" s="1"/>
  <c r="T234" i="16" s="1"/>
  <c r="T246" i="16" s="1"/>
  <c r="T258" i="16" s="1"/>
  <c r="T270" i="16" s="1"/>
  <c r="T282" i="16" s="1"/>
  <c r="T294" i="16" s="1"/>
  <c r="T306" i="16" s="1"/>
  <c r="S18" i="16"/>
  <c r="S30" i="16" s="1"/>
  <c r="S42" i="16" s="1"/>
  <c r="S54" i="16" s="1"/>
  <c r="S66" i="16" s="1"/>
  <c r="S78" i="16" s="1"/>
  <c r="S90" i="16" s="1"/>
  <c r="S102" i="16" s="1"/>
  <c r="S114" i="16" s="1"/>
  <c r="S126" i="16" s="1"/>
  <c r="S138" i="16" s="1"/>
  <c r="S150" i="16" s="1"/>
  <c r="S162" i="16" s="1"/>
  <c r="S174" i="16" s="1"/>
  <c r="S186" i="16" s="1"/>
  <c r="S198" i="16" s="1"/>
  <c r="S210" i="16" s="1"/>
  <c r="S222" i="16" s="1"/>
  <c r="S234" i="16" s="1"/>
  <c r="S246" i="16" s="1"/>
  <c r="S258" i="16" s="1"/>
  <c r="S270" i="16" s="1"/>
  <c r="S282" i="16" s="1"/>
  <c r="S294" i="16" s="1"/>
  <c r="S306" i="16" s="1"/>
  <c r="R18" i="16"/>
  <c r="Q18" i="16"/>
  <c r="Q30" i="16" s="1"/>
  <c r="Q42" i="16" s="1"/>
  <c r="Q54" i="16" s="1"/>
  <c r="Q66" i="16" s="1"/>
  <c r="Q78" i="16" s="1"/>
  <c r="Q90" i="16" s="1"/>
  <c r="Q102" i="16" s="1"/>
  <c r="Q114" i="16" s="1"/>
  <c r="Q126" i="16" s="1"/>
  <c r="Q138" i="16" s="1"/>
  <c r="Q150" i="16" s="1"/>
  <c r="Q162" i="16" s="1"/>
  <c r="Q174" i="16" s="1"/>
  <c r="Q186" i="16" s="1"/>
  <c r="Q198" i="16" s="1"/>
  <c r="Q210" i="16" s="1"/>
  <c r="Q222" i="16" s="1"/>
  <c r="Q234" i="16" s="1"/>
  <c r="Q246" i="16" s="1"/>
  <c r="Q258" i="16" s="1"/>
  <c r="Q270" i="16" s="1"/>
  <c r="Q282" i="16" s="1"/>
  <c r="Q294" i="16" s="1"/>
  <c r="Q306" i="16" s="1"/>
  <c r="P18" i="16"/>
  <c r="O18" i="16"/>
  <c r="O30" i="16" s="1"/>
  <c r="O42" i="16" s="1"/>
  <c r="O54" i="16" s="1"/>
  <c r="O66" i="16" s="1"/>
  <c r="O78" i="16" s="1"/>
  <c r="O90" i="16" s="1"/>
  <c r="O102" i="16" s="1"/>
  <c r="O114" i="16" s="1"/>
  <c r="O126" i="16" s="1"/>
  <c r="O138" i="16" s="1"/>
  <c r="O150" i="16" s="1"/>
  <c r="O162" i="16" s="1"/>
  <c r="O174" i="16" s="1"/>
  <c r="O186" i="16" s="1"/>
  <c r="O198" i="16" s="1"/>
  <c r="O210" i="16" s="1"/>
  <c r="O222" i="16" s="1"/>
  <c r="O234" i="16" s="1"/>
  <c r="O246" i="16" s="1"/>
  <c r="O258" i="16" s="1"/>
  <c r="O270" i="16" s="1"/>
  <c r="O282" i="16" s="1"/>
  <c r="O294" i="16" s="1"/>
  <c r="O306" i="16" s="1"/>
  <c r="N18" i="16"/>
  <c r="N30" i="16" s="1"/>
  <c r="N42" i="16" s="1"/>
  <c r="N54" i="16" s="1"/>
  <c r="N66" i="16" s="1"/>
  <c r="N78" i="16" s="1"/>
  <c r="N90" i="16" s="1"/>
  <c r="N102" i="16" s="1"/>
  <c r="N114" i="16" s="1"/>
  <c r="N126" i="16" s="1"/>
  <c r="N138" i="16" s="1"/>
  <c r="N150" i="16" s="1"/>
  <c r="N162" i="16" s="1"/>
  <c r="N174" i="16" s="1"/>
  <c r="N186" i="16" s="1"/>
  <c r="N198" i="16" s="1"/>
  <c r="N210" i="16" s="1"/>
  <c r="N222" i="16" s="1"/>
  <c r="N234" i="16" s="1"/>
  <c r="N246" i="16" s="1"/>
  <c r="N258" i="16" s="1"/>
  <c r="N270" i="16" s="1"/>
  <c r="N282" i="16" s="1"/>
  <c r="N294" i="16" s="1"/>
  <c r="N306" i="16" s="1"/>
  <c r="M18" i="16"/>
  <c r="M30" i="16" s="1"/>
  <c r="M42" i="16" s="1"/>
  <c r="M54" i="16" s="1"/>
  <c r="M66" i="16" s="1"/>
  <c r="M78" i="16" s="1"/>
  <c r="M90" i="16" s="1"/>
  <c r="M102" i="16" s="1"/>
  <c r="M114" i="16" s="1"/>
  <c r="M126" i="16" s="1"/>
  <c r="M138" i="16" s="1"/>
  <c r="M150" i="16" s="1"/>
  <c r="M162" i="16" s="1"/>
  <c r="M174" i="16" s="1"/>
  <c r="M186" i="16" s="1"/>
  <c r="M198" i="16" s="1"/>
  <c r="M210" i="16" s="1"/>
  <c r="M222" i="16" s="1"/>
  <c r="M234" i="16" s="1"/>
  <c r="M246" i="16" s="1"/>
  <c r="M258" i="16" s="1"/>
  <c r="M270" i="16" s="1"/>
  <c r="M282" i="16" s="1"/>
  <c r="M294" i="16" s="1"/>
  <c r="M306" i="16" s="1"/>
  <c r="L18" i="16"/>
  <c r="L30" i="16" s="1"/>
  <c r="L42" i="16" s="1"/>
  <c r="L54" i="16" s="1"/>
  <c r="L66" i="16" s="1"/>
  <c r="L78" i="16" s="1"/>
  <c r="L90" i="16" s="1"/>
  <c r="L102" i="16" s="1"/>
  <c r="L114" i="16" s="1"/>
  <c r="L126" i="16" s="1"/>
  <c r="L138" i="16" s="1"/>
  <c r="L150" i="16" s="1"/>
  <c r="L162" i="16" s="1"/>
  <c r="L174" i="16" s="1"/>
  <c r="L186" i="16" s="1"/>
  <c r="L198" i="16" s="1"/>
  <c r="L210" i="16" s="1"/>
  <c r="L222" i="16" s="1"/>
  <c r="L234" i="16" s="1"/>
  <c r="L246" i="16" s="1"/>
  <c r="L258" i="16" s="1"/>
  <c r="L270" i="16" s="1"/>
  <c r="L282" i="16" s="1"/>
  <c r="L294" i="16" s="1"/>
  <c r="L306" i="16" s="1"/>
  <c r="K18" i="16"/>
  <c r="K30" i="16" s="1"/>
  <c r="K42" i="16" s="1"/>
  <c r="K54" i="16" s="1"/>
  <c r="K66" i="16" s="1"/>
  <c r="K78" i="16" s="1"/>
  <c r="K90" i="16" s="1"/>
  <c r="K102" i="16" s="1"/>
  <c r="K114" i="16" s="1"/>
  <c r="K126" i="16" s="1"/>
  <c r="K138" i="16" s="1"/>
  <c r="K150" i="16" s="1"/>
  <c r="K162" i="16" s="1"/>
  <c r="K174" i="16" s="1"/>
  <c r="K186" i="16" s="1"/>
  <c r="K198" i="16" s="1"/>
  <c r="K210" i="16" s="1"/>
  <c r="K222" i="16" s="1"/>
  <c r="K234" i="16" s="1"/>
  <c r="K246" i="16" s="1"/>
  <c r="K258" i="16" s="1"/>
  <c r="K270" i="16" s="1"/>
  <c r="K282" i="16" s="1"/>
  <c r="K294" i="16" s="1"/>
  <c r="K306" i="16" s="1"/>
  <c r="J18" i="16"/>
  <c r="I18" i="16"/>
  <c r="I30" i="16" s="1"/>
  <c r="I42" i="16" s="1"/>
  <c r="I54" i="16" s="1"/>
  <c r="I66" i="16" s="1"/>
  <c r="I78" i="16" s="1"/>
  <c r="I90" i="16" s="1"/>
  <c r="I102" i="16" s="1"/>
  <c r="I114" i="16" s="1"/>
  <c r="I126" i="16" s="1"/>
  <c r="I138" i="16" s="1"/>
  <c r="I150" i="16" s="1"/>
  <c r="I162" i="16" s="1"/>
  <c r="I174" i="16" s="1"/>
  <c r="I186" i="16" s="1"/>
  <c r="I198" i="16" s="1"/>
  <c r="I210" i="16" s="1"/>
  <c r="I222" i="16" s="1"/>
  <c r="I234" i="16" s="1"/>
  <c r="I246" i="16" s="1"/>
  <c r="I258" i="16" s="1"/>
  <c r="I270" i="16" s="1"/>
  <c r="I282" i="16" s="1"/>
  <c r="I294" i="16" s="1"/>
  <c r="I306" i="16" s="1"/>
  <c r="H18" i="16"/>
  <c r="G18" i="16"/>
  <c r="F18" i="16"/>
  <c r="F30" i="16" s="1"/>
  <c r="F42" i="16" s="1"/>
  <c r="F54" i="16" s="1"/>
  <c r="F66" i="16" s="1"/>
  <c r="F78" i="16" s="1"/>
  <c r="F90" i="16" s="1"/>
  <c r="F102" i="16" s="1"/>
  <c r="F114" i="16" s="1"/>
  <c r="F126" i="16" s="1"/>
  <c r="F138" i="16" s="1"/>
  <c r="F150" i="16" s="1"/>
  <c r="F162" i="16" s="1"/>
  <c r="F174" i="16" s="1"/>
  <c r="F186" i="16" s="1"/>
  <c r="F198" i="16" s="1"/>
  <c r="F210" i="16" s="1"/>
  <c r="F222" i="16" s="1"/>
  <c r="F234" i="16" s="1"/>
  <c r="F246" i="16" s="1"/>
  <c r="F258" i="16" s="1"/>
  <c r="F270" i="16" s="1"/>
  <c r="F282" i="16" s="1"/>
  <c r="F294" i="16" s="1"/>
  <c r="F306" i="16" s="1"/>
  <c r="E18" i="16"/>
  <c r="E30" i="16" s="1"/>
  <c r="E42" i="16" s="1"/>
  <c r="E54" i="16" s="1"/>
  <c r="E66" i="16" s="1"/>
  <c r="E78" i="16" s="1"/>
  <c r="E90" i="16" s="1"/>
  <c r="E102" i="16" s="1"/>
  <c r="E114" i="16" s="1"/>
  <c r="E126" i="16" s="1"/>
  <c r="E138" i="16" s="1"/>
  <c r="E150" i="16" s="1"/>
  <c r="E162" i="16" s="1"/>
  <c r="E174" i="16" s="1"/>
  <c r="E186" i="16" s="1"/>
  <c r="E198" i="16" s="1"/>
  <c r="E210" i="16" s="1"/>
  <c r="E222" i="16" s="1"/>
  <c r="E234" i="16" s="1"/>
  <c r="E246" i="16" s="1"/>
  <c r="E258" i="16" s="1"/>
  <c r="E270" i="16" s="1"/>
  <c r="E282" i="16" s="1"/>
  <c r="E294" i="16" s="1"/>
  <c r="E306" i="16" s="1"/>
  <c r="B18" i="16"/>
  <c r="T17" i="16"/>
  <c r="T29" i="16" s="1"/>
  <c r="T41" i="16" s="1"/>
  <c r="T53" i="16" s="1"/>
  <c r="T65" i="16" s="1"/>
  <c r="T77" i="16" s="1"/>
  <c r="T89" i="16" s="1"/>
  <c r="T101" i="16" s="1"/>
  <c r="T113" i="16" s="1"/>
  <c r="T125" i="16" s="1"/>
  <c r="T137" i="16" s="1"/>
  <c r="T149" i="16" s="1"/>
  <c r="T161" i="16" s="1"/>
  <c r="T173" i="16" s="1"/>
  <c r="T185" i="16" s="1"/>
  <c r="T197" i="16" s="1"/>
  <c r="T209" i="16" s="1"/>
  <c r="T221" i="16" s="1"/>
  <c r="T233" i="16" s="1"/>
  <c r="T245" i="16" s="1"/>
  <c r="T257" i="16" s="1"/>
  <c r="T269" i="16" s="1"/>
  <c r="T281" i="16" s="1"/>
  <c r="T293" i="16" s="1"/>
  <c r="T305" i="16" s="1"/>
  <c r="S17" i="16"/>
  <c r="R17" i="16"/>
  <c r="R29" i="16" s="1"/>
  <c r="R41" i="16" s="1"/>
  <c r="R53" i="16" s="1"/>
  <c r="R65" i="16" s="1"/>
  <c r="R77" i="16" s="1"/>
  <c r="R89" i="16" s="1"/>
  <c r="R101" i="16" s="1"/>
  <c r="R113" i="16" s="1"/>
  <c r="R125" i="16" s="1"/>
  <c r="R137" i="16" s="1"/>
  <c r="R149" i="16" s="1"/>
  <c r="R161" i="16" s="1"/>
  <c r="R173" i="16" s="1"/>
  <c r="R185" i="16" s="1"/>
  <c r="R197" i="16" s="1"/>
  <c r="R209" i="16" s="1"/>
  <c r="R221" i="16" s="1"/>
  <c r="R233" i="16" s="1"/>
  <c r="R245" i="16" s="1"/>
  <c r="R257" i="16" s="1"/>
  <c r="R269" i="16" s="1"/>
  <c r="R281" i="16" s="1"/>
  <c r="R293" i="16" s="1"/>
  <c r="R305" i="16" s="1"/>
  <c r="Q17" i="16"/>
  <c r="P17" i="16"/>
  <c r="P29" i="16" s="1"/>
  <c r="P41" i="16" s="1"/>
  <c r="P53" i="16" s="1"/>
  <c r="P65" i="16" s="1"/>
  <c r="P77" i="16" s="1"/>
  <c r="P89" i="16" s="1"/>
  <c r="P101" i="16" s="1"/>
  <c r="P113" i="16" s="1"/>
  <c r="P125" i="16" s="1"/>
  <c r="P137" i="16" s="1"/>
  <c r="P149" i="16" s="1"/>
  <c r="P161" i="16" s="1"/>
  <c r="P173" i="16" s="1"/>
  <c r="P185" i="16" s="1"/>
  <c r="P197" i="16" s="1"/>
  <c r="P209" i="16" s="1"/>
  <c r="P221" i="16" s="1"/>
  <c r="P233" i="16" s="1"/>
  <c r="P245" i="16" s="1"/>
  <c r="P257" i="16" s="1"/>
  <c r="P269" i="16" s="1"/>
  <c r="P281" i="16" s="1"/>
  <c r="P293" i="16" s="1"/>
  <c r="P305" i="16" s="1"/>
  <c r="O17" i="16"/>
  <c r="O29" i="16" s="1"/>
  <c r="O41" i="16" s="1"/>
  <c r="O53" i="16" s="1"/>
  <c r="O65" i="16" s="1"/>
  <c r="O77" i="16" s="1"/>
  <c r="O89" i="16" s="1"/>
  <c r="O101" i="16" s="1"/>
  <c r="O113" i="16" s="1"/>
  <c r="O125" i="16" s="1"/>
  <c r="O137" i="16" s="1"/>
  <c r="O149" i="16" s="1"/>
  <c r="O161" i="16" s="1"/>
  <c r="O173" i="16" s="1"/>
  <c r="O185" i="16" s="1"/>
  <c r="O197" i="16" s="1"/>
  <c r="O209" i="16" s="1"/>
  <c r="O221" i="16" s="1"/>
  <c r="O233" i="16" s="1"/>
  <c r="O245" i="16" s="1"/>
  <c r="O257" i="16" s="1"/>
  <c r="O269" i="16" s="1"/>
  <c r="O281" i="16" s="1"/>
  <c r="O293" i="16" s="1"/>
  <c r="O305" i="16" s="1"/>
  <c r="N17" i="16"/>
  <c r="N29" i="16" s="1"/>
  <c r="N41" i="16" s="1"/>
  <c r="N53" i="16" s="1"/>
  <c r="N65" i="16" s="1"/>
  <c r="M17" i="16"/>
  <c r="M29" i="16" s="1"/>
  <c r="M41" i="16" s="1"/>
  <c r="M53" i="16" s="1"/>
  <c r="M65" i="16" s="1"/>
  <c r="M77" i="16" s="1"/>
  <c r="M89" i="16" s="1"/>
  <c r="M101" i="16" s="1"/>
  <c r="M113" i="16" s="1"/>
  <c r="M125" i="16" s="1"/>
  <c r="M137" i="16" s="1"/>
  <c r="M149" i="16" s="1"/>
  <c r="M161" i="16" s="1"/>
  <c r="M173" i="16" s="1"/>
  <c r="M185" i="16" s="1"/>
  <c r="M197" i="16" s="1"/>
  <c r="M209" i="16" s="1"/>
  <c r="M221" i="16" s="1"/>
  <c r="M233" i="16" s="1"/>
  <c r="M245" i="16" s="1"/>
  <c r="M257" i="16" s="1"/>
  <c r="M269" i="16" s="1"/>
  <c r="M281" i="16" s="1"/>
  <c r="M293" i="16" s="1"/>
  <c r="M305" i="16" s="1"/>
  <c r="L17" i="16"/>
  <c r="L29" i="16" s="1"/>
  <c r="L41" i="16" s="1"/>
  <c r="L53" i="16" s="1"/>
  <c r="L65" i="16" s="1"/>
  <c r="L77" i="16" s="1"/>
  <c r="L89" i="16" s="1"/>
  <c r="L101" i="16" s="1"/>
  <c r="L113" i="16" s="1"/>
  <c r="L125" i="16" s="1"/>
  <c r="L137" i="16" s="1"/>
  <c r="L149" i="16" s="1"/>
  <c r="L161" i="16" s="1"/>
  <c r="L173" i="16" s="1"/>
  <c r="L185" i="16" s="1"/>
  <c r="L197" i="16" s="1"/>
  <c r="L209" i="16" s="1"/>
  <c r="L221" i="16" s="1"/>
  <c r="L233" i="16" s="1"/>
  <c r="L245" i="16" s="1"/>
  <c r="L257" i="16" s="1"/>
  <c r="L269" i="16" s="1"/>
  <c r="L281" i="16" s="1"/>
  <c r="L293" i="16" s="1"/>
  <c r="L305" i="16" s="1"/>
  <c r="K17" i="16"/>
  <c r="J17" i="16"/>
  <c r="J29" i="16" s="1"/>
  <c r="J41" i="16" s="1"/>
  <c r="J53" i="16" s="1"/>
  <c r="J65" i="16" s="1"/>
  <c r="J77" i="16" s="1"/>
  <c r="J89" i="16" s="1"/>
  <c r="J101" i="16" s="1"/>
  <c r="J113" i="16" s="1"/>
  <c r="J125" i="16" s="1"/>
  <c r="J137" i="16" s="1"/>
  <c r="J149" i="16" s="1"/>
  <c r="J161" i="16" s="1"/>
  <c r="J173" i="16" s="1"/>
  <c r="J185" i="16" s="1"/>
  <c r="J197" i="16" s="1"/>
  <c r="J209" i="16" s="1"/>
  <c r="J221" i="16" s="1"/>
  <c r="J233" i="16" s="1"/>
  <c r="J245" i="16" s="1"/>
  <c r="J257" i="16" s="1"/>
  <c r="J269" i="16" s="1"/>
  <c r="J281" i="16" s="1"/>
  <c r="J293" i="16" s="1"/>
  <c r="J305" i="16" s="1"/>
  <c r="I17" i="16"/>
  <c r="H17" i="16"/>
  <c r="H29" i="16" s="1"/>
  <c r="H41" i="16" s="1"/>
  <c r="H53" i="16" s="1"/>
  <c r="H65" i="16" s="1"/>
  <c r="H77" i="16" s="1"/>
  <c r="H89" i="16" s="1"/>
  <c r="H101" i="16" s="1"/>
  <c r="H113" i="16" s="1"/>
  <c r="H125" i="16" s="1"/>
  <c r="H137" i="16" s="1"/>
  <c r="H149" i="16" s="1"/>
  <c r="H161" i="16" s="1"/>
  <c r="H173" i="16" s="1"/>
  <c r="H185" i="16" s="1"/>
  <c r="H197" i="16" s="1"/>
  <c r="H209" i="16" s="1"/>
  <c r="H221" i="16" s="1"/>
  <c r="H233" i="16" s="1"/>
  <c r="H245" i="16" s="1"/>
  <c r="H257" i="16" s="1"/>
  <c r="H269" i="16" s="1"/>
  <c r="H281" i="16" s="1"/>
  <c r="H293" i="16" s="1"/>
  <c r="H305" i="16" s="1"/>
  <c r="G17" i="16"/>
  <c r="F17" i="16"/>
  <c r="F29" i="16" s="1"/>
  <c r="F41" i="16" s="1"/>
  <c r="F53" i="16" s="1"/>
  <c r="F65" i="16" s="1"/>
  <c r="F77" i="16" s="1"/>
  <c r="F89" i="16" s="1"/>
  <c r="F101" i="16" s="1"/>
  <c r="F113" i="16" s="1"/>
  <c r="F125" i="16" s="1"/>
  <c r="F137" i="16" s="1"/>
  <c r="F149" i="16" s="1"/>
  <c r="F161" i="16" s="1"/>
  <c r="F173" i="16" s="1"/>
  <c r="F185" i="16" s="1"/>
  <c r="F197" i="16" s="1"/>
  <c r="F209" i="16" s="1"/>
  <c r="F221" i="16" s="1"/>
  <c r="F233" i="16" s="1"/>
  <c r="F245" i="16" s="1"/>
  <c r="F257" i="16" s="1"/>
  <c r="F269" i="16" s="1"/>
  <c r="F281" i="16" s="1"/>
  <c r="F293" i="16" s="1"/>
  <c r="F305" i="16" s="1"/>
  <c r="E17" i="16"/>
  <c r="E29" i="16" s="1"/>
  <c r="E41" i="16" s="1"/>
  <c r="E53" i="16" s="1"/>
  <c r="E65" i="16" s="1"/>
  <c r="E77" i="16" s="1"/>
  <c r="E89" i="16" s="1"/>
  <c r="E101" i="16" s="1"/>
  <c r="E113" i="16" s="1"/>
  <c r="E125" i="16" s="1"/>
  <c r="E137" i="16" s="1"/>
  <c r="E149" i="16" s="1"/>
  <c r="E161" i="16" s="1"/>
  <c r="E173" i="16" s="1"/>
  <c r="E185" i="16" s="1"/>
  <c r="E197" i="16" s="1"/>
  <c r="E209" i="16" s="1"/>
  <c r="E221" i="16" s="1"/>
  <c r="E233" i="16" s="1"/>
  <c r="E245" i="16" s="1"/>
  <c r="E257" i="16" s="1"/>
  <c r="E269" i="16" s="1"/>
  <c r="E281" i="16" s="1"/>
  <c r="E293" i="16" s="1"/>
  <c r="E305" i="16" s="1"/>
  <c r="C17" i="16"/>
  <c r="B17" i="16"/>
  <c r="B29" i="16" s="1"/>
  <c r="C29" i="16" s="1"/>
  <c r="T16" i="16"/>
  <c r="S16" i="16"/>
  <c r="S28" i="16" s="1"/>
  <c r="S40" i="16" s="1"/>
  <c r="S52" i="16" s="1"/>
  <c r="S64" i="16" s="1"/>
  <c r="S76" i="16" s="1"/>
  <c r="S88" i="16" s="1"/>
  <c r="S100" i="16" s="1"/>
  <c r="S112" i="16" s="1"/>
  <c r="S124" i="16" s="1"/>
  <c r="S136" i="16" s="1"/>
  <c r="S148" i="16" s="1"/>
  <c r="S160" i="16" s="1"/>
  <c r="S172" i="16" s="1"/>
  <c r="S184" i="16" s="1"/>
  <c r="S196" i="16" s="1"/>
  <c r="S208" i="16" s="1"/>
  <c r="S220" i="16" s="1"/>
  <c r="S232" i="16" s="1"/>
  <c r="S244" i="16" s="1"/>
  <c r="S256" i="16" s="1"/>
  <c r="S268" i="16" s="1"/>
  <c r="S280" i="16" s="1"/>
  <c r="S292" i="16" s="1"/>
  <c r="S304" i="16" s="1"/>
  <c r="R16" i="16"/>
  <c r="Q16" i="16"/>
  <c r="Q28" i="16" s="1"/>
  <c r="Q40" i="16" s="1"/>
  <c r="Q52" i="16" s="1"/>
  <c r="Q64" i="16" s="1"/>
  <c r="Q76" i="16" s="1"/>
  <c r="Q88" i="16" s="1"/>
  <c r="Q100" i="16" s="1"/>
  <c r="Q112" i="16" s="1"/>
  <c r="Q124" i="16" s="1"/>
  <c r="Q136" i="16" s="1"/>
  <c r="Q148" i="16" s="1"/>
  <c r="Q160" i="16" s="1"/>
  <c r="Q172" i="16" s="1"/>
  <c r="Q184" i="16" s="1"/>
  <c r="Q196" i="16" s="1"/>
  <c r="Q208" i="16" s="1"/>
  <c r="Q220" i="16" s="1"/>
  <c r="Q232" i="16" s="1"/>
  <c r="Q244" i="16" s="1"/>
  <c r="Q256" i="16" s="1"/>
  <c r="Q268" i="16" s="1"/>
  <c r="Q280" i="16" s="1"/>
  <c r="Q292" i="16" s="1"/>
  <c r="Q304" i="16" s="1"/>
  <c r="P16" i="16"/>
  <c r="P28" i="16" s="1"/>
  <c r="P40" i="16" s="1"/>
  <c r="P52" i="16" s="1"/>
  <c r="P64" i="16" s="1"/>
  <c r="P76" i="16" s="1"/>
  <c r="P88" i="16" s="1"/>
  <c r="P100" i="16" s="1"/>
  <c r="P112" i="16" s="1"/>
  <c r="P124" i="16" s="1"/>
  <c r="P136" i="16" s="1"/>
  <c r="P148" i="16" s="1"/>
  <c r="P160" i="16" s="1"/>
  <c r="P172" i="16" s="1"/>
  <c r="P184" i="16" s="1"/>
  <c r="P196" i="16" s="1"/>
  <c r="P208" i="16" s="1"/>
  <c r="P220" i="16" s="1"/>
  <c r="P232" i="16" s="1"/>
  <c r="P244" i="16" s="1"/>
  <c r="P256" i="16" s="1"/>
  <c r="P268" i="16" s="1"/>
  <c r="P280" i="16" s="1"/>
  <c r="P292" i="16" s="1"/>
  <c r="P304" i="16" s="1"/>
  <c r="O16" i="16"/>
  <c r="O28" i="16" s="1"/>
  <c r="O40" i="16" s="1"/>
  <c r="O52" i="16" s="1"/>
  <c r="O64" i="16" s="1"/>
  <c r="O76" i="16" s="1"/>
  <c r="O88" i="16" s="1"/>
  <c r="O100" i="16" s="1"/>
  <c r="O112" i="16" s="1"/>
  <c r="O124" i="16" s="1"/>
  <c r="O136" i="16" s="1"/>
  <c r="O148" i="16" s="1"/>
  <c r="O160" i="16" s="1"/>
  <c r="O172" i="16" s="1"/>
  <c r="O184" i="16" s="1"/>
  <c r="O196" i="16" s="1"/>
  <c r="O208" i="16" s="1"/>
  <c r="O220" i="16" s="1"/>
  <c r="O232" i="16" s="1"/>
  <c r="O244" i="16" s="1"/>
  <c r="O256" i="16" s="1"/>
  <c r="O268" i="16" s="1"/>
  <c r="O280" i="16" s="1"/>
  <c r="O292" i="16" s="1"/>
  <c r="O304" i="16" s="1"/>
  <c r="N16" i="16"/>
  <c r="N28" i="16" s="1"/>
  <c r="N40" i="16" s="1"/>
  <c r="N52" i="16" s="1"/>
  <c r="N64" i="16" s="1"/>
  <c r="N76" i="16" s="1"/>
  <c r="N88" i="16" s="1"/>
  <c r="N100" i="16" s="1"/>
  <c r="N112" i="16" s="1"/>
  <c r="N124" i="16" s="1"/>
  <c r="N136" i="16" s="1"/>
  <c r="N148" i="16" s="1"/>
  <c r="N160" i="16" s="1"/>
  <c r="N172" i="16" s="1"/>
  <c r="N184" i="16" s="1"/>
  <c r="N196" i="16" s="1"/>
  <c r="N208" i="16" s="1"/>
  <c r="N220" i="16" s="1"/>
  <c r="N232" i="16" s="1"/>
  <c r="N244" i="16" s="1"/>
  <c r="N256" i="16" s="1"/>
  <c r="N268" i="16" s="1"/>
  <c r="N280" i="16" s="1"/>
  <c r="N292" i="16" s="1"/>
  <c r="N304" i="16" s="1"/>
  <c r="M16" i="16"/>
  <c r="M28" i="16" s="1"/>
  <c r="M40" i="16" s="1"/>
  <c r="M52" i="16" s="1"/>
  <c r="M64" i="16" s="1"/>
  <c r="M76" i="16" s="1"/>
  <c r="M88" i="16" s="1"/>
  <c r="M100" i="16" s="1"/>
  <c r="M112" i="16" s="1"/>
  <c r="M124" i="16" s="1"/>
  <c r="M136" i="16" s="1"/>
  <c r="M148" i="16" s="1"/>
  <c r="M160" i="16" s="1"/>
  <c r="M172" i="16" s="1"/>
  <c r="M184" i="16" s="1"/>
  <c r="M196" i="16" s="1"/>
  <c r="M208" i="16" s="1"/>
  <c r="M220" i="16" s="1"/>
  <c r="M232" i="16" s="1"/>
  <c r="M244" i="16" s="1"/>
  <c r="M256" i="16" s="1"/>
  <c r="M268" i="16" s="1"/>
  <c r="M280" i="16" s="1"/>
  <c r="M292" i="16" s="1"/>
  <c r="M304" i="16" s="1"/>
  <c r="L16" i="16"/>
  <c r="K16" i="16"/>
  <c r="K28" i="16" s="1"/>
  <c r="J16" i="16"/>
  <c r="I16" i="16"/>
  <c r="I28" i="16" s="1"/>
  <c r="I40" i="16" s="1"/>
  <c r="I52" i="16" s="1"/>
  <c r="I64" i="16" s="1"/>
  <c r="I76" i="16" s="1"/>
  <c r="I88" i="16" s="1"/>
  <c r="I100" i="16" s="1"/>
  <c r="I112" i="16" s="1"/>
  <c r="I124" i="16" s="1"/>
  <c r="I136" i="16" s="1"/>
  <c r="I148" i="16" s="1"/>
  <c r="I160" i="16" s="1"/>
  <c r="I172" i="16" s="1"/>
  <c r="I184" i="16" s="1"/>
  <c r="I196" i="16" s="1"/>
  <c r="I208" i="16" s="1"/>
  <c r="I220" i="16" s="1"/>
  <c r="I232" i="16" s="1"/>
  <c r="I244" i="16" s="1"/>
  <c r="I256" i="16" s="1"/>
  <c r="I268" i="16" s="1"/>
  <c r="I280" i="16" s="1"/>
  <c r="I292" i="16" s="1"/>
  <c r="I304" i="16" s="1"/>
  <c r="H16" i="16"/>
  <c r="H28" i="16" s="1"/>
  <c r="H40" i="16" s="1"/>
  <c r="H52" i="16" s="1"/>
  <c r="H64" i="16" s="1"/>
  <c r="H76" i="16" s="1"/>
  <c r="H88" i="16" s="1"/>
  <c r="H100" i="16" s="1"/>
  <c r="H112" i="16" s="1"/>
  <c r="H124" i="16" s="1"/>
  <c r="H136" i="16" s="1"/>
  <c r="H148" i="16" s="1"/>
  <c r="H160" i="16" s="1"/>
  <c r="H172" i="16" s="1"/>
  <c r="H184" i="16" s="1"/>
  <c r="H196" i="16" s="1"/>
  <c r="H208" i="16" s="1"/>
  <c r="H220" i="16" s="1"/>
  <c r="H232" i="16" s="1"/>
  <c r="H244" i="16" s="1"/>
  <c r="H256" i="16" s="1"/>
  <c r="H268" i="16" s="1"/>
  <c r="H280" i="16" s="1"/>
  <c r="H292" i="16" s="1"/>
  <c r="H304" i="16" s="1"/>
  <c r="G16" i="16"/>
  <c r="F16" i="16"/>
  <c r="F28" i="16" s="1"/>
  <c r="F40" i="16" s="1"/>
  <c r="F52" i="16" s="1"/>
  <c r="F64" i="16" s="1"/>
  <c r="F76" i="16" s="1"/>
  <c r="F88" i="16" s="1"/>
  <c r="F100" i="16" s="1"/>
  <c r="F112" i="16" s="1"/>
  <c r="F124" i="16" s="1"/>
  <c r="F136" i="16" s="1"/>
  <c r="F148" i="16" s="1"/>
  <c r="F160" i="16" s="1"/>
  <c r="F172" i="16" s="1"/>
  <c r="F184" i="16" s="1"/>
  <c r="F196" i="16" s="1"/>
  <c r="F208" i="16" s="1"/>
  <c r="F220" i="16" s="1"/>
  <c r="F232" i="16" s="1"/>
  <c r="F244" i="16" s="1"/>
  <c r="F256" i="16" s="1"/>
  <c r="F268" i="16" s="1"/>
  <c r="F280" i="16" s="1"/>
  <c r="F292" i="16" s="1"/>
  <c r="F304" i="16" s="1"/>
  <c r="E16" i="16"/>
  <c r="E28" i="16" s="1"/>
  <c r="E40" i="16" s="1"/>
  <c r="E52" i="16" s="1"/>
  <c r="E64" i="16" s="1"/>
  <c r="E76" i="16" s="1"/>
  <c r="E88" i="16" s="1"/>
  <c r="E100" i="16" s="1"/>
  <c r="E112" i="16" s="1"/>
  <c r="E124" i="16" s="1"/>
  <c r="E136" i="16" s="1"/>
  <c r="E148" i="16" s="1"/>
  <c r="E160" i="16" s="1"/>
  <c r="E172" i="16" s="1"/>
  <c r="E184" i="16" s="1"/>
  <c r="E196" i="16" s="1"/>
  <c r="E208" i="16" s="1"/>
  <c r="E220" i="16" s="1"/>
  <c r="E232" i="16" s="1"/>
  <c r="E244" i="16" s="1"/>
  <c r="E256" i="16" s="1"/>
  <c r="E268" i="16" s="1"/>
  <c r="E280" i="16" s="1"/>
  <c r="E292" i="16" s="1"/>
  <c r="E304" i="16" s="1"/>
  <c r="C16" i="16"/>
  <c r="B16" i="16"/>
  <c r="T15" i="16"/>
  <c r="T27" i="16" s="1"/>
  <c r="T39" i="16" s="1"/>
  <c r="T51" i="16" s="1"/>
  <c r="T63" i="16" s="1"/>
  <c r="T75" i="16" s="1"/>
  <c r="T87" i="16" s="1"/>
  <c r="T99" i="16" s="1"/>
  <c r="T111" i="16" s="1"/>
  <c r="T123" i="16" s="1"/>
  <c r="T135" i="16" s="1"/>
  <c r="T147" i="16" s="1"/>
  <c r="T159" i="16" s="1"/>
  <c r="T171" i="16" s="1"/>
  <c r="T183" i="16" s="1"/>
  <c r="T195" i="16" s="1"/>
  <c r="T207" i="16" s="1"/>
  <c r="T219" i="16" s="1"/>
  <c r="T231" i="16" s="1"/>
  <c r="T243" i="16" s="1"/>
  <c r="T255" i="16" s="1"/>
  <c r="T267" i="16" s="1"/>
  <c r="T279" i="16" s="1"/>
  <c r="T291" i="16" s="1"/>
  <c r="T303" i="16" s="1"/>
  <c r="S15" i="16"/>
  <c r="S27" i="16" s="1"/>
  <c r="S39" i="16" s="1"/>
  <c r="S51" i="16" s="1"/>
  <c r="S63" i="16" s="1"/>
  <c r="S75" i="16" s="1"/>
  <c r="S87" i="16" s="1"/>
  <c r="S99" i="16" s="1"/>
  <c r="S111" i="16" s="1"/>
  <c r="S123" i="16" s="1"/>
  <c r="S135" i="16" s="1"/>
  <c r="S147" i="16" s="1"/>
  <c r="S159" i="16" s="1"/>
  <c r="S171" i="16" s="1"/>
  <c r="S183" i="16" s="1"/>
  <c r="S195" i="16" s="1"/>
  <c r="S207" i="16" s="1"/>
  <c r="S219" i="16" s="1"/>
  <c r="S231" i="16" s="1"/>
  <c r="S243" i="16" s="1"/>
  <c r="S255" i="16" s="1"/>
  <c r="S267" i="16" s="1"/>
  <c r="S279" i="16" s="1"/>
  <c r="S291" i="16" s="1"/>
  <c r="S303" i="16" s="1"/>
  <c r="R15" i="16"/>
  <c r="R27" i="16" s="1"/>
  <c r="R39" i="16" s="1"/>
  <c r="R51" i="16" s="1"/>
  <c r="R63" i="16" s="1"/>
  <c r="R75" i="16" s="1"/>
  <c r="R87" i="16" s="1"/>
  <c r="R99" i="16" s="1"/>
  <c r="R111" i="16" s="1"/>
  <c r="R123" i="16" s="1"/>
  <c r="R135" i="16" s="1"/>
  <c r="R147" i="16" s="1"/>
  <c r="R159" i="16" s="1"/>
  <c r="R171" i="16" s="1"/>
  <c r="R183" i="16" s="1"/>
  <c r="R195" i="16" s="1"/>
  <c r="R207" i="16" s="1"/>
  <c r="R219" i="16" s="1"/>
  <c r="R231" i="16" s="1"/>
  <c r="R243" i="16" s="1"/>
  <c r="R255" i="16" s="1"/>
  <c r="R267" i="16" s="1"/>
  <c r="R279" i="16" s="1"/>
  <c r="R291" i="16" s="1"/>
  <c r="R303" i="16" s="1"/>
  <c r="Q15" i="16"/>
  <c r="Q27" i="16" s="1"/>
  <c r="Q39" i="16" s="1"/>
  <c r="Q51" i="16" s="1"/>
  <c r="Q63" i="16" s="1"/>
  <c r="Q75" i="16" s="1"/>
  <c r="Q87" i="16" s="1"/>
  <c r="Q99" i="16" s="1"/>
  <c r="Q111" i="16" s="1"/>
  <c r="Q123" i="16" s="1"/>
  <c r="Q135" i="16" s="1"/>
  <c r="Q147" i="16" s="1"/>
  <c r="Q159" i="16" s="1"/>
  <c r="Q171" i="16" s="1"/>
  <c r="Q183" i="16" s="1"/>
  <c r="Q195" i="16" s="1"/>
  <c r="Q207" i="16" s="1"/>
  <c r="Q219" i="16" s="1"/>
  <c r="Q231" i="16" s="1"/>
  <c r="Q243" i="16" s="1"/>
  <c r="Q255" i="16" s="1"/>
  <c r="Q267" i="16" s="1"/>
  <c r="Q279" i="16" s="1"/>
  <c r="Q291" i="16" s="1"/>
  <c r="Q303" i="16" s="1"/>
  <c r="P15" i="16"/>
  <c r="P27" i="16" s="1"/>
  <c r="P39" i="16" s="1"/>
  <c r="P51" i="16" s="1"/>
  <c r="P63" i="16" s="1"/>
  <c r="P75" i="16" s="1"/>
  <c r="P87" i="16" s="1"/>
  <c r="P99" i="16" s="1"/>
  <c r="P111" i="16" s="1"/>
  <c r="P123" i="16" s="1"/>
  <c r="P135" i="16" s="1"/>
  <c r="P147" i="16" s="1"/>
  <c r="P159" i="16" s="1"/>
  <c r="P171" i="16" s="1"/>
  <c r="P183" i="16" s="1"/>
  <c r="P195" i="16" s="1"/>
  <c r="P207" i="16" s="1"/>
  <c r="P219" i="16" s="1"/>
  <c r="P231" i="16" s="1"/>
  <c r="P243" i="16" s="1"/>
  <c r="P255" i="16" s="1"/>
  <c r="P267" i="16" s="1"/>
  <c r="P279" i="16" s="1"/>
  <c r="P291" i="16" s="1"/>
  <c r="P303" i="16" s="1"/>
  <c r="O15" i="16"/>
  <c r="O27" i="16" s="1"/>
  <c r="O39" i="16" s="1"/>
  <c r="O51" i="16" s="1"/>
  <c r="O63" i="16" s="1"/>
  <c r="O75" i="16" s="1"/>
  <c r="O87" i="16" s="1"/>
  <c r="O99" i="16" s="1"/>
  <c r="O111" i="16" s="1"/>
  <c r="O123" i="16" s="1"/>
  <c r="O135" i="16" s="1"/>
  <c r="O147" i="16" s="1"/>
  <c r="O159" i="16" s="1"/>
  <c r="O171" i="16" s="1"/>
  <c r="O183" i="16" s="1"/>
  <c r="O195" i="16" s="1"/>
  <c r="O207" i="16" s="1"/>
  <c r="O219" i="16" s="1"/>
  <c r="O231" i="16" s="1"/>
  <c r="O243" i="16" s="1"/>
  <c r="O255" i="16" s="1"/>
  <c r="O267" i="16" s="1"/>
  <c r="O279" i="16" s="1"/>
  <c r="O291" i="16" s="1"/>
  <c r="O303" i="16" s="1"/>
  <c r="N15" i="16"/>
  <c r="N27" i="16" s="1"/>
  <c r="N39" i="16" s="1"/>
  <c r="N51" i="16" s="1"/>
  <c r="N63" i="16" s="1"/>
  <c r="N75" i="16" s="1"/>
  <c r="N87" i="16" s="1"/>
  <c r="N99" i="16" s="1"/>
  <c r="N111" i="16" s="1"/>
  <c r="N123" i="16" s="1"/>
  <c r="N135" i="16" s="1"/>
  <c r="N147" i="16" s="1"/>
  <c r="N159" i="16" s="1"/>
  <c r="N171" i="16" s="1"/>
  <c r="N183" i="16" s="1"/>
  <c r="N195" i="16" s="1"/>
  <c r="N207" i="16" s="1"/>
  <c r="N219" i="16" s="1"/>
  <c r="N231" i="16" s="1"/>
  <c r="N243" i="16" s="1"/>
  <c r="N255" i="16" s="1"/>
  <c r="N267" i="16" s="1"/>
  <c r="N279" i="16" s="1"/>
  <c r="N291" i="16" s="1"/>
  <c r="N303" i="16" s="1"/>
  <c r="M15" i="16"/>
  <c r="L15" i="16"/>
  <c r="L27" i="16" s="1"/>
  <c r="L39" i="16" s="1"/>
  <c r="L51" i="16" s="1"/>
  <c r="L63" i="16" s="1"/>
  <c r="L75" i="16" s="1"/>
  <c r="L87" i="16" s="1"/>
  <c r="L99" i="16" s="1"/>
  <c r="L111" i="16" s="1"/>
  <c r="L123" i="16" s="1"/>
  <c r="L135" i="16" s="1"/>
  <c r="L147" i="16" s="1"/>
  <c r="L159" i="16" s="1"/>
  <c r="L171" i="16" s="1"/>
  <c r="L183" i="16" s="1"/>
  <c r="L195" i="16" s="1"/>
  <c r="L207" i="16" s="1"/>
  <c r="L219" i="16" s="1"/>
  <c r="L231" i="16" s="1"/>
  <c r="L243" i="16" s="1"/>
  <c r="L255" i="16" s="1"/>
  <c r="L267" i="16" s="1"/>
  <c r="L279" i="16" s="1"/>
  <c r="L291" i="16" s="1"/>
  <c r="L303" i="16" s="1"/>
  <c r="K15" i="16"/>
  <c r="K27" i="16" s="1"/>
  <c r="K39" i="16" s="1"/>
  <c r="K51" i="16" s="1"/>
  <c r="K63" i="16" s="1"/>
  <c r="K75" i="16" s="1"/>
  <c r="K87" i="16" s="1"/>
  <c r="K99" i="16" s="1"/>
  <c r="K111" i="16" s="1"/>
  <c r="K123" i="16" s="1"/>
  <c r="K135" i="16" s="1"/>
  <c r="K147" i="16" s="1"/>
  <c r="K159" i="16" s="1"/>
  <c r="K171" i="16" s="1"/>
  <c r="K183" i="16" s="1"/>
  <c r="K195" i="16" s="1"/>
  <c r="K207" i="16" s="1"/>
  <c r="K219" i="16" s="1"/>
  <c r="K231" i="16" s="1"/>
  <c r="K243" i="16" s="1"/>
  <c r="K255" i="16" s="1"/>
  <c r="K267" i="16" s="1"/>
  <c r="K279" i="16" s="1"/>
  <c r="K291" i="16" s="1"/>
  <c r="K303" i="16" s="1"/>
  <c r="J15" i="16"/>
  <c r="J27" i="16" s="1"/>
  <c r="J39" i="16" s="1"/>
  <c r="J51" i="16" s="1"/>
  <c r="J63" i="16" s="1"/>
  <c r="J75" i="16" s="1"/>
  <c r="J87" i="16" s="1"/>
  <c r="J99" i="16" s="1"/>
  <c r="J111" i="16" s="1"/>
  <c r="I15" i="16"/>
  <c r="I27" i="16" s="1"/>
  <c r="I39" i="16" s="1"/>
  <c r="I51" i="16" s="1"/>
  <c r="I63" i="16" s="1"/>
  <c r="I75" i="16" s="1"/>
  <c r="I87" i="16" s="1"/>
  <c r="I99" i="16" s="1"/>
  <c r="I111" i="16" s="1"/>
  <c r="I123" i="16" s="1"/>
  <c r="I135" i="16" s="1"/>
  <c r="I147" i="16" s="1"/>
  <c r="I159" i="16" s="1"/>
  <c r="I171" i="16" s="1"/>
  <c r="I183" i="16" s="1"/>
  <c r="I195" i="16" s="1"/>
  <c r="I207" i="16" s="1"/>
  <c r="I219" i="16" s="1"/>
  <c r="I231" i="16" s="1"/>
  <c r="I243" i="16" s="1"/>
  <c r="I255" i="16" s="1"/>
  <c r="I267" i="16" s="1"/>
  <c r="I279" i="16" s="1"/>
  <c r="I291" i="16" s="1"/>
  <c r="I303" i="16" s="1"/>
  <c r="H15" i="16"/>
  <c r="H27" i="16" s="1"/>
  <c r="H39" i="16" s="1"/>
  <c r="H51" i="16" s="1"/>
  <c r="H63" i="16" s="1"/>
  <c r="H75" i="16" s="1"/>
  <c r="H87" i="16" s="1"/>
  <c r="H99" i="16" s="1"/>
  <c r="H111" i="16" s="1"/>
  <c r="H123" i="16" s="1"/>
  <c r="H135" i="16" s="1"/>
  <c r="H147" i="16" s="1"/>
  <c r="H159" i="16" s="1"/>
  <c r="H171" i="16" s="1"/>
  <c r="H183" i="16" s="1"/>
  <c r="H195" i="16" s="1"/>
  <c r="H207" i="16" s="1"/>
  <c r="H219" i="16" s="1"/>
  <c r="H231" i="16" s="1"/>
  <c r="H243" i="16" s="1"/>
  <c r="H255" i="16" s="1"/>
  <c r="H267" i="16" s="1"/>
  <c r="H279" i="16" s="1"/>
  <c r="H291" i="16" s="1"/>
  <c r="H303" i="16" s="1"/>
  <c r="G15" i="16"/>
  <c r="F15" i="16"/>
  <c r="F27" i="16" s="1"/>
  <c r="F39" i="16" s="1"/>
  <c r="F51" i="16" s="1"/>
  <c r="F63" i="16" s="1"/>
  <c r="F75" i="16" s="1"/>
  <c r="F87" i="16" s="1"/>
  <c r="F99" i="16" s="1"/>
  <c r="F111" i="16" s="1"/>
  <c r="F123" i="16" s="1"/>
  <c r="F135" i="16" s="1"/>
  <c r="F147" i="16" s="1"/>
  <c r="F159" i="16" s="1"/>
  <c r="F171" i="16" s="1"/>
  <c r="F183" i="16" s="1"/>
  <c r="F195" i="16" s="1"/>
  <c r="F207" i="16" s="1"/>
  <c r="F219" i="16" s="1"/>
  <c r="F231" i="16" s="1"/>
  <c r="F243" i="16" s="1"/>
  <c r="F255" i="16" s="1"/>
  <c r="F267" i="16" s="1"/>
  <c r="F279" i="16" s="1"/>
  <c r="F291" i="16" s="1"/>
  <c r="F303" i="16" s="1"/>
  <c r="E15" i="16"/>
  <c r="E27" i="16" s="1"/>
  <c r="E39" i="16" s="1"/>
  <c r="E51" i="16" s="1"/>
  <c r="E63" i="16" s="1"/>
  <c r="E75" i="16" s="1"/>
  <c r="E87" i="16" s="1"/>
  <c r="E99" i="16" s="1"/>
  <c r="E111" i="16" s="1"/>
  <c r="E123" i="16" s="1"/>
  <c r="E135" i="16" s="1"/>
  <c r="E147" i="16" s="1"/>
  <c r="E159" i="16" s="1"/>
  <c r="E171" i="16" s="1"/>
  <c r="E183" i="16" s="1"/>
  <c r="E195" i="16" s="1"/>
  <c r="E207" i="16" s="1"/>
  <c r="E219" i="16" s="1"/>
  <c r="E231" i="16" s="1"/>
  <c r="E243" i="16" s="1"/>
  <c r="E255" i="16" s="1"/>
  <c r="E267" i="16" s="1"/>
  <c r="E279" i="16" s="1"/>
  <c r="E291" i="16" s="1"/>
  <c r="E303" i="16" s="1"/>
  <c r="B15" i="16"/>
  <c r="T14" i="16"/>
  <c r="S14" i="16"/>
  <c r="S26" i="16" s="1"/>
  <c r="S38" i="16" s="1"/>
  <c r="S50" i="16" s="1"/>
  <c r="S62" i="16" s="1"/>
  <c r="S74" i="16" s="1"/>
  <c r="S86" i="16" s="1"/>
  <c r="S98" i="16" s="1"/>
  <c r="S110" i="16" s="1"/>
  <c r="S122" i="16" s="1"/>
  <c r="S134" i="16" s="1"/>
  <c r="S146" i="16" s="1"/>
  <c r="S158" i="16" s="1"/>
  <c r="S170" i="16" s="1"/>
  <c r="S182" i="16" s="1"/>
  <c r="S194" i="16" s="1"/>
  <c r="S206" i="16" s="1"/>
  <c r="S218" i="16" s="1"/>
  <c r="S230" i="16" s="1"/>
  <c r="S242" i="16" s="1"/>
  <c r="S254" i="16" s="1"/>
  <c r="S266" i="16" s="1"/>
  <c r="S278" i="16" s="1"/>
  <c r="S290" i="16" s="1"/>
  <c r="S302" i="16" s="1"/>
  <c r="R14" i="16"/>
  <c r="R26" i="16" s="1"/>
  <c r="R38" i="16" s="1"/>
  <c r="R50" i="16" s="1"/>
  <c r="R62" i="16" s="1"/>
  <c r="R74" i="16" s="1"/>
  <c r="R86" i="16" s="1"/>
  <c r="R98" i="16" s="1"/>
  <c r="R110" i="16" s="1"/>
  <c r="R122" i="16" s="1"/>
  <c r="R134" i="16" s="1"/>
  <c r="R146" i="16" s="1"/>
  <c r="R158" i="16" s="1"/>
  <c r="R170" i="16" s="1"/>
  <c r="R182" i="16" s="1"/>
  <c r="R194" i="16" s="1"/>
  <c r="R206" i="16" s="1"/>
  <c r="R218" i="16" s="1"/>
  <c r="R230" i="16" s="1"/>
  <c r="R242" i="16" s="1"/>
  <c r="R254" i="16" s="1"/>
  <c r="R266" i="16" s="1"/>
  <c r="R278" i="16" s="1"/>
  <c r="R290" i="16" s="1"/>
  <c r="R302" i="16" s="1"/>
  <c r="Q14" i="16"/>
  <c r="Q26" i="16" s="1"/>
  <c r="Q38" i="16" s="1"/>
  <c r="Q50" i="16" s="1"/>
  <c r="Q62" i="16" s="1"/>
  <c r="Q74" i="16" s="1"/>
  <c r="Q86" i="16" s="1"/>
  <c r="Q98" i="16" s="1"/>
  <c r="Q110" i="16" s="1"/>
  <c r="Q122" i="16" s="1"/>
  <c r="Q134" i="16" s="1"/>
  <c r="Q146" i="16" s="1"/>
  <c r="Q158" i="16" s="1"/>
  <c r="Q170" i="16" s="1"/>
  <c r="Q182" i="16" s="1"/>
  <c r="Q194" i="16" s="1"/>
  <c r="Q206" i="16" s="1"/>
  <c r="Q218" i="16" s="1"/>
  <c r="Q230" i="16" s="1"/>
  <c r="Q242" i="16" s="1"/>
  <c r="Q254" i="16" s="1"/>
  <c r="Q266" i="16" s="1"/>
  <c r="Q278" i="16" s="1"/>
  <c r="Q290" i="16" s="1"/>
  <c r="Q302" i="16" s="1"/>
  <c r="P14" i="16"/>
  <c r="P26" i="16" s="1"/>
  <c r="P38" i="16" s="1"/>
  <c r="P50" i="16" s="1"/>
  <c r="P62" i="16" s="1"/>
  <c r="O14" i="16"/>
  <c r="O26" i="16" s="1"/>
  <c r="N14" i="16"/>
  <c r="M14" i="16"/>
  <c r="M26" i="16" s="1"/>
  <c r="M38" i="16" s="1"/>
  <c r="M50" i="16" s="1"/>
  <c r="M62" i="16" s="1"/>
  <c r="M74" i="16" s="1"/>
  <c r="M86" i="16" s="1"/>
  <c r="M98" i="16" s="1"/>
  <c r="M110" i="16" s="1"/>
  <c r="M122" i="16" s="1"/>
  <c r="M134" i="16" s="1"/>
  <c r="M146" i="16" s="1"/>
  <c r="M158" i="16" s="1"/>
  <c r="M170" i="16" s="1"/>
  <c r="M182" i="16" s="1"/>
  <c r="M194" i="16" s="1"/>
  <c r="M206" i="16" s="1"/>
  <c r="M218" i="16" s="1"/>
  <c r="M230" i="16" s="1"/>
  <c r="M242" i="16" s="1"/>
  <c r="M254" i="16" s="1"/>
  <c r="M266" i="16" s="1"/>
  <c r="M278" i="16" s="1"/>
  <c r="M290" i="16" s="1"/>
  <c r="M302" i="16" s="1"/>
  <c r="L14" i="16"/>
  <c r="K14" i="16"/>
  <c r="K26" i="16" s="1"/>
  <c r="K38" i="16" s="1"/>
  <c r="K50" i="16" s="1"/>
  <c r="K62" i="16" s="1"/>
  <c r="K74" i="16" s="1"/>
  <c r="K86" i="16" s="1"/>
  <c r="K98" i="16" s="1"/>
  <c r="K110" i="16" s="1"/>
  <c r="K122" i="16" s="1"/>
  <c r="K134" i="16" s="1"/>
  <c r="K146" i="16" s="1"/>
  <c r="K158" i="16" s="1"/>
  <c r="K170" i="16" s="1"/>
  <c r="K182" i="16" s="1"/>
  <c r="K194" i="16" s="1"/>
  <c r="K206" i="16" s="1"/>
  <c r="K218" i="16" s="1"/>
  <c r="K230" i="16" s="1"/>
  <c r="K242" i="16" s="1"/>
  <c r="K254" i="16" s="1"/>
  <c r="K266" i="16" s="1"/>
  <c r="K278" i="16" s="1"/>
  <c r="K290" i="16" s="1"/>
  <c r="K302" i="16" s="1"/>
  <c r="J14" i="16"/>
  <c r="J26" i="16" s="1"/>
  <c r="J38" i="16" s="1"/>
  <c r="J50" i="16" s="1"/>
  <c r="J62" i="16" s="1"/>
  <c r="J74" i="16" s="1"/>
  <c r="J86" i="16" s="1"/>
  <c r="J98" i="16" s="1"/>
  <c r="J110" i="16" s="1"/>
  <c r="J122" i="16" s="1"/>
  <c r="J134" i="16" s="1"/>
  <c r="J146" i="16" s="1"/>
  <c r="J158" i="16" s="1"/>
  <c r="J170" i="16" s="1"/>
  <c r="J182" i="16" s="1"/>
  <c r="J194" i="16" s="1"/>
  <c r="J206" i="16" s="1"/>
  <c r="J218" i="16" s="1"/>
  <c r="J230" i="16" s="1"/>
  <c r="J242" i="16" s="1"/>
  <c r="J254" i="16" s="1"/>
  <c r="J266" i="16" s="1"/>
  <c r="J278" i="16" s="1"/>
  <c r="J290" i="16" s="1"/>
  <c r="J302" i="16" s="1"/>
  <c r="I14" i="16"/>
  <c r="I26" i="16" s="1"/>
  <c r="I38" i="16" s="1"/>
  <c r="I50" i="16" s="1"/>
  <c r="I62" i="16" s="1"/>
  <c r="I74" i="16" s="1"/>
  <c r="I86" i="16" s="1"/>
  <c r="I98" i="16" s="1"/>
  <c r="I110" i="16" s="1"/>
  <c r="I122" i="16" s="1"/>
  <c r="I134" i="16" s="1"/>
  <c r="I146" i="16" s="1"/>
  <c r="I158" i="16" s="1"/>
  <c r="I170" i="16" s="1"/>
  <c r="I182" i="16" s="1"/>
  <c r="I194" i="16" s="1"/>
  <c r="I206" i="16" s="1"/>
  <c r="I218" i="16" s="1"/>
  <c r="I230" i="16" s="1"/>
  <c r="I242" i="16" s="1"/>
  <c r="I254" i="16" s="1"/>
  <c r="I266" i="16" s="1"/>
  <c r="I278" i="16" s="1"/>
  <c r="I290" i="16" s="1"/>
  <c r="I302" i="16" s="1"/>
  <c r="H14" i="16"/>
  <c r="H26" i="16" s="1"/>
  <c r="H38" i="16" s="1"/>
  <c r="H50" i="16" s="1"/>
  <c r="H62" i="16" s="1"/>
  <c r="H74" i="16" s="1"/>
  <c r="H86" i="16" s="1"/>
  <c r="H98" i="16" s="1"/>
  <c r="H110" i="16" s="1"/>
  <c r="H122" i="16" s="1"/>
  <c r="H134" i="16" s="1"/>
  <c r="H146" i="16" s="1"/>
  <c r="H158" i="16" s="1"/>
  <c r="H170" i="16" s="1"/>
  <c r="H182" i="16" s="1"/>
  <c r="H194" i="16" s="1"/>
  <c r="H206" i="16" s="1"/>
  <c r="H218" i="16" s="1"/>
  <c r="H230" i="16" s="1"/>
  <c r="H242" i="16" s="1"/>
  <c r="H254" i="16" s="1"/>
  <c r="H266" i="16" s="1"/>
  <c r="H278" i="16" s="1"/>
  <c r="H290" i="16" s="1"/>
  <c r="H302" i="16" s="1"/>
  <c r="G14" i="16"/>
  <c r="F14" i="16"/>
  <c r="F26" i="16" s="1"/>
  <c r="F38" i="16" s="1"/>
  <c r="F50" i="16" s="1"/>
  <c r="F62" i="16" s="1"/>
  <c r="F74" i="16" s="1"/>
  <c r="F86" i="16" s="1"/>
  <c r="F98" i="16" s="1"/>
  <c r="F110" i="16" s="1"/>
  <c r="F122" i="16" s="1"/>
  <c r="F134" i="16" s="1"/>
  <c r="F146" i="16" s="1"/>
  <c r="F158" i="16" s="1"/>
  <c r="F170" i="16" s="1"/>
  <c r="F182" i="16" s="1"/>
  <c r="F194" i="16" s="1"/>
  <c r="F206" i="16" s="1"/>
  <c r="F218" i="16" s="1"/>
  <c r="F230" i="16" s="1"/>
  <c r="F242" i="16" s="1"/>
  <c r="F254" i="16" s="1"/>
  <c r="F266" i="16" s="1"/>
  <c r="F278" i="16" s="1"/>
  <c r="F290" i="16" s="1"/>
  <c r="F302" i="16" s="1"/>
  <c r="E14" i="16"/>
  <c r="E26" i="16" s="1"/>
  <c r="E38" i="16" s="1"/>
  <c r="E50" i="16" s="1"/>
  <c r="E62" i="16" s="1"/>
  <c r="E74" i="16" s="1"/>
  <c r="E86" i="16" s="1"/>
  <c r="E98" i="16" s="1"/>
  <c r="E110" i="16" s="1"/>
  <c r="E122" i="16" s="1"/>
  <c r="E134" i="16" s="1"/>
  <c r="E146" i="16" s="1"/>
  <c r="E158" i="16" s="1"/>
  <c r="E170" i="16" s="1"/>
  <c r="E182" i="16" s="1"/>
  <c r="E194" i="16" s="1"/>
  <c r="E206" i="16" s="1"/>
  <c r="E218" i="16" s="1"/>
  <c r="E230" i="16" s="1"/>
  <c r="E242" i="16" s="1"/>
  <c r="E254" i="16" s="1"/>
  <c r="E266" i="16" s="1"/>
  <c r="E278" i="16" s="1"/>
  <c r="E290" i="16" s="1"/>
  <c r="E302" i="16" s="1"/>
  <c r="B14" i="16"/>
  <c r="C14" i="16" s="1"/>
  <c r="C13" i="16"/>
  <c r="C12" i="16"/>
  <c r="C11" i="16"/>
  <c r="C10" i="16"/>
  <c r="C9" i="16"/>
  <c r="C8" i="16"/>
  <c r="C7" i="16"/>
  <c r="C6" i="16"/>
  <c r="C5" i="16"/>
  <c r="C4" i="16"/>
  <c r="C3" i="16"/>
  <c r="C2" i="16"/>
  <c r="B57" i="16" l="1"/>
  <c r="B26" i="16"/>
  <c r="B44" i="16"/>
  <c r="C15" i="16"/>
  <c r="B27" i="16"/>
  <c r="C23" i="16"/>
  <c r="B35" i="16"/>
  <c r="B34" i="16"/>
  <c r="B41" i="16"/>
  <c r="B49" i="16"/>
  <c r="B30" i="16"/>
  <c r="C18" i="16"/>
  <c r="B40" i="16"/>
  <c r="B48" i="16"/>
  <c r="B31" i="16"/>
  <c r="C19" i="16"/>
  <c r="B46" i="16" l="1"/>
  <c r="C34" i="16"/>
  <c r="C40" i="16"/>
  <c r="B52" i="16"/>
  <c r="B47" i="16"/>
  <c r="C35" i="16"/>
  <c r="C48" i="16"/>
  <c r="B60" i="16"/>
  <c r="B39" i="16"/>
  <c r="C27" i="16"/>
  <c r="B43" i="16"/>
  <c r="C31" i="16"/>
  <c r="B38" i="16"/>
  <c r="C26" i="16"/>
  <c r="C30" i="16"/>
  <c r="B42" i="16"/>
  <c r="C44" i="16"/>
  <c r="B56" i="16"/>
  <c r="C49" i="16"/>
  <c r="B61" i="16"/>
  <c r="C41" i="16"/>
  <c r="B53" i="16"/>
  <c r="C57" i="16"/>
  <c r="B69" i="16"/>
  <c r="C60" i="16" l="1"/>
  <c r="B72" i="16"/>
  <c r="C53" i="16"/>
  <c r="B65" i="16"/>
  <c r="C38" i="16"/>
  <c r="B50" i="16"/>
  <c r="C47" i="16"/>
  <c r="B59" i="16"/>
  <c r="C42" i="16"/>
  <c r="B54" i="16"/>
  <c r="B81" i="16"/>
  <c r="C69" i="16"/>
  <c r="C52" i="16"/>
  <c r="B64" i="16"/>
  <c r="C61" i="16"/>
  <c r="B73" i="16"/>
  <c r="C43" i="16"/>
  <c r="B55" i="16"/>
  <c r="C56" i="16"/>
  <c r="B68" i="16"/>
  <c r="C39" i="16"/>
  <c r="B51" i="16"/>
  <c r="C46" i="16"/>
  <c r="B58" i="16"/>
  <c r="C51" i="16" l="1"/>
  <c r="B63" i="16"/>
  <c r="B76" i="16"/>
  <c r="C64" i="16"/>
  <c r="C50" i="16"/>
  <c r="B62" i="16"/>
  <c r="C58" i="16"/>
  <c r="B70" i="16"/>
  <c r="B85" i="16"/>
  <c r="C73" i="16"/>
  <c r="C59" i="16"/>
  <c r="B71" i="16"/>
  <c r="C81" i="16"/>
  <c r="B93" i="16"/>
  <c r="C55" i="16"/>
  <c r="B67" i="16"/>
  <c r="C54" i="16"/>
  <c r="B66" i="16"/>
  <c r="B84" i="16"/>
  <c r="C72" i="16"/>
  <c r="B80" i="16"/>
  <c r="C68" i="16"/>
  <c r="C65" i="16"/>
  <c r="B77" i="16"/>
  <c r="C77" i="16" l="1"/>
  <c r="B89" i="16"/>
  <c r="C62" i="16"/>
  <c r="B74" i="16"/>
  <c r="B92" i="16"/>
  <c r="C80" i="16"/>
  <c r="B82" i="16"/>
  <c r="C70" i="16"/>
  <c r="C93" i="16"/>
  <c r="B105" i="16"/>
  <c r="B83" i="16"/>
  <c r="C71" i="16"/>
  <c r="B79" i="16"/>
  <c r="C67" i="16"/>
  <c r="C84" i="16"/>
  <c r="B96" i="16"/>
  <c r="B88" i="16"/>
  <c r="C76" i="16"/>
  <c r="B78" i="16"/>
  <c r="C66" i="16"/>
  <c r="C63" i="16"/>
  <c r="B75" i="16"/>
  <c r="C85" i="16"/>
  <c r="B97" i="16"/>
  <c r="B94" i="16" l="1"/>
  <c r="C82" i="16"/>
  <c r="B91" i="16"/>
  <c r="C79" i="16"/>
  <c r="C92" i="16"/>
  <c r="B104" i="16"/>
  <c r="C97" i="16"/>
  <c r="B109" i="16"/>
  <c r="C96" i="16"/>
  <c r="B108" i="16"/>
  <c r="B90" i="16"/>
  <c r="C78" i="16"/>
  <c r="C105" i="16"/>
  <c r="B117" i="16"/>
  <c r="C89" i="16"/>
  <c r="B101" i="16"/>
  <c r="B87" i="16"/>
  <c r="C75" i="16"/>
  <c r="B86" i="16"/>
  <c r="C74" i="16"/>
  <c r="B95" i="16"/>
  <c r="C83" i="16"/>
  <c r="C88" i="16"/>
  <c r="B100" i="16"/>
  <c r="C101" i="16" l="1"/>
  <c r="B113" i="16"/>
  <c r="B129" i="16"/>
  <c r="C117" i="16"/>
  <c r="B98" i="16"/>
  <c r="C86" i="16"/>
  <c r="B102" i="16"/>
  <c r="C90" i="16"/>
  <c r="B103" i="16"/>
  <c r="C91" i="16"/>
  <c r="C100" i="16"/>
  <c r="B112" i="16"/>
  <c r="C109" i="16"/>
  <c r="B121" i="16"/>
  <c r="C104" i="16"/>
  <c r="B116" i="16"/>
  <c r="B107" i="16"/>
  <c r="C95" i="16"/>
  <c r="C108" i="16"/>
  <c r="B120" i="16"/>
  <c r="B99" i="16"/>
  <c r="C87" i="16"/>
  <c r="B106" i="16"/>
  <c r="C94" i="16"/>
  <c r="B118" i="16" l="1"/>
  <c r="C106" i="16"/>
  <c r="B114" i="16"/>
  <c r="C102" i="16"/>
  <c r="C112" i="16"/>
  <c r="B124" i="16"/>
  <c r="C129" i="16"/>
  <c r="B141" i="16"/>
  <c r="C116" i="16"/>
  <c r="B128" i="16"/>
  <c r="B111" i="16"/>
  <c r="C99" i="16"/>
  <c r="C120" i="16"/>
  <c r="B132" i="16"/>
  <c r="C113" i="16"/>
  <c r="B125" i="16"/>
  <c r="B133" i="16"/>
  <c r="C121" i="16"/>
  <c r="B110" i="16"/>
  <c r="C98" i="16"/>
  <c r="B119" i="16"/>
  <c r="C107" i="16"/>
  <c r="B115" i="16"/>
  <c r="C103" i="16"/>
  <c r="B137" i="16" l="1"/>
  <c r="C125" i="16"/>
  <c r="B144" i="16"/>
  <c r="C132" i="16"/>
  <c r="B122" i="16"/>
  <c r="C110" i="16"/>
  <c r="B123" i="16"/>
  <c r="C111" i="16"/>
  <c r="B126" i="16"/>
  <c r="C114" i="16"/>
  <c r="C128" i="16"/>
  <c r="B140" i="16"/>
  <c r="C141" i="16"/>
  <c r="B153" i="16"/>
  <c r="B127" i="16"/>
  <c r="C115" i="16"/>
  <c r="B136" i="16"/>
  <c r="C124" i="16"/>
  <c r="B131" i="16"/>
  <c r="C119" i="16"/>
  <c r="C133" i="16"/>
  <c r="B145" i="16"/>
  <c r="B130" i="16"/>
  <c r="C118" i="16"/>
  <c r="C130" i="16" l="1"/>
  <c r="B142" i="16"/>
  <c r="B139" i="16"/>
  <c r="C127" i="16"/>
  <c r="B135" i="16"/>
  <c r="C123" i="16"/>
  <c r="C145" i="16"/>
  <c r="B157" i="16"/>
  <c r="C153" i="16"/>
  <c r="B165" i="16"/>
  <c r="B134" i="16"/>
  <c r="C122" i="16"/>
  <c r="C140" i="16"/>
  <c r="B152" i="16"/>
  <c r="B143" i="16"/>
  <c r="C131" i="16"/>
  <c r="C144" i="16"/>
  <c r="B156" i="16"/>
  <c r="C136" i="16"/>
  <c r="B148" i="16"/>
  <c r="B138" i="16"/>
  <c r="C126" i="16"/>
  <c r="C137" i="16"/>
  <c r="B149" i="16"/>
  <c r="C149" i="16" l="1"/>
  <c r="B161" i="16"/>
  <c r="C143" i="16"/>
  <c r="B155" i="16"/>
  <c r="C139" i="16"/>
  <c r="B151" i="16"/>
  <c r="C165" i="16"/>
  <c r="B177" i="16"/>
  <c r="C142" i="16"/>
  <c r="B154" i="16"/>
  <c r="C157" i="16"/>
  <c r="B169" i="16"/>
  <c r="C152" i="16"/>
  <c r="B164" i="16"/>
  <c r="C138" i="16"/>
  <c r="B150" i="16"/>
  <c r="C135" i="16"/>
  <c r="B147" i="16"/>
  <c r="C148" i="16"/>
  <c r="B160" i="16"/>
  <c r="C134" i="16"/>
  <c r="B146" i="16"/>
  <c r="C156" i="16"/>
  <c r="B168" i="16"/>
  <c r="C177" i="16" l="1"/>
  <c r="B189" i="16"/>
  <c r="C146" i="16"/>
  <c r="B158" i="16"/>
  <c r="C160" i="16"/>
  <c r="B172" i="16"/>
  <c r="C169" i="16"/>
  <c r="B181" i="16"/>
  <c r="C155" i="16"/>
  <c r="B167" i="16"/>
  <c r="C168" i="16"/>
  <c r="B180" i="16"/>
  <c r="C150" i="16"/>
  <c r="B162" i="16"/>
  <c r="C151" i="16"/>
  <c r="B163" i="16"/>
  <c r="C147" i="16"/>
  <c r="B159" i="16"/>
  <c r="C154" i="16"/>
  <c r="B166" i="16"/>
  <c r="C161" i="16"/>
  <c r="B173" i="16"/>
  <c r="C164" i="16"/>
  <c r="B176" i="16"/>
  <c r="C163" i="16" l="1"/>
  <c r="B175" i="16"/>
  <c r="C166" i="16"/>
  <c r="B178" i="16"/>
  <c r="B192" i="16"/>
  <c r="C180" i="16"/>
  <c r="C158" i="16"/>
  <c r="B170" i="16"/>
  <c r="C162" i="16"/>
  <c r="B174" i="16"/>
  <c r="B193" i="16"/>
  <c r="C181" i="16"/>
  <c r="C173" i="16"/>
  <c r="B185" i="16"/>
  <c r="C172" i="16"/>
  <c r="B184" i="16"/>
  <c r="C159" i="16"/>
  <c r="B171" i="16"/>
  <c r="C167" i="16"/>
  <c r="B179" i="16"/>
  <c r="B201" i="16"/>
  <c r="C189" i="16"/>
  <c r="C176" i="16"/>
  <c r="B188" i="16"/>
  <c r="C170" i="16" l="1"/>
  <c r="B182" i="16"/>
  <c r="B200" i="16"/>
  <c r="C188" i="16"/>
  <c r="B197" i="16"/>
  <c r="C185" i="16"/>
  <c r="B205" i="16"/>
  <c r="C193" i="16"/>
  <c r="C171" i="16"/>
  <c r="B183" i="16"/>
  <c r="C174" i="16"/>
  <c r="B186" i="16"/>
  <c r="C175" i="16"/>
  <c r="B187" i="16"/>
  <c r="B196" i="16"/>
  <c r="C184" i="16"/>
  <c r="B213" i="16"/>
  <c r="C201" i="16"/>
  <c r="B204" i="16"/>
  <c r="C192" i="16"/>
  <c r="C179" i="16"/>
  <c r="B191" i="16"/>
  <c r="C178" i="16"/>
  <c r="B190" i="16"/>
  <c r="B209" i="16" l="1"/>
  <c r="C197" i="16"/>
  <c r="C190" i="16"/>
  <c r="B202" i="16"/>
  <c r="B217" i="16"/>
  <c r="C205" i="16"/>
  <c r="C186" i="16"/>
  <c r="B198" i="16"/>
  <c r="B208" i="16"/>
  <c r="C196" i="16"/>
  <c r="B216" i="16"/>
  <c r="C204" i="16"/>
  <c r="C200" i="16"/>
  <c r="B212" i="16"/>
  <c r="B199" i="16"/>
  <c r="C187" i="16"/>
  <c r="B195" i="16"/>
  <c r="C183" i="16"/>
  <c r="C182" i="16"/>
  <c r="B194" i="16"/>
  <c r="B203" i="16"/>
  <c r="C191" i="16"/>
  <c r="C213" i="16"/>
  <c r="B225" i="16"/>
  <c r="B214" i="16" l="1"/>
  <c r="C202" i="16"/>
  <c r="C199" i="16"/>
  <c r="B211" i="16"/>
  <c r="B224" i="16"/>
  <c r="C212" i="16"/>
  <c r="C225" i="16"/>
  <c r="B237" i="16"/>
  <c r="C198" i="16"/>
  <c r="B210" i="16"/>
  <c r="B215" i="16"/>
  <c r="C203" i="16"/>
  <c r="B229" i="16"/>
  <c r="C217" i="16"/>
  <c r="B206" i="16"/>
  <c r="C194" i="16"/>
  <c r="B228" i="16"/>
  <c r="C216" i="16"/>
  <c r="B207" i="16"/>
  <c r="C195" i="16"/>
  <c r="C208" i="16"/>
  <c r="B220" i="16"/>
  <c r="C209" i="16"/>
  <c r="B221" i="16"/>
  <c r="C237" i="16" l="1"/>
  <c r="B249" i="16"/>
  <c r="C220" i="16"/>
  <c r="B232" i="16"/>
  <c r="C229" i="16"/>
  <c r="B241" i="16"/>
  <c r="B219" i="16"/>
  <c r="C207" i="16"/>
  <c r="B233" i="16"/>
  <c r="C221" i="16"/>
  <c r="B223" i="16"/>
  <c r="C211" i="16"/>
  <c r="C215" i="16"/>
  <c r="B227" i="16"/>
  <c r="B218" i="16"/>
  <c r="C206" i="16"/>
  <c r="C224" i="16"/>
  <c r="B236" i="16"/>
  <c r="B222" i="16"/>
  <c r="C210" i="16"/>
  <c r="C228" i="16"/>
  <c r="B240" i="16"/>
  <c r="C214" i="16"/>
  <c r="B226" i="16"/>
  <c r="C226" i="16" l="1"/>
  <c r="B238" i="16"/>
  <c r="C218" i="16"/>
  <c r="B230" i="16"/>
  <c r="C219" i="16"/>
  <c r="B231" i="16"/>
  <c r="C227" i="16"/>
  <c r="B239" i="16"/>
  <c r="C232" i="16"/>
  <c r="B244" i="16"/>
  <c r="C222" i="16"/>
  <c r="B234" i="16"/>
  <c r="C223" i="16"/>
  <c r="B235" i="16"/>
  <c r="B252" i="16"/>
  <c r="C240" i="16"/>
  <c r="C236" i="16"/>
  <c r="B248" i="16"/>
  <c r="B261" i="16"/>
  <c r="C249" i="16"/>
  <c r="B253" i="16"/>
  <c r="C241" i="16"/>
  <c r="C233" i="16"/>
  <c r="B245" i="16"/>
  <c r="C239" i="16" l="1"/>
  <c r="B251" i="16"/>
  <c r="C231" i="16"/>
  <c r="B243" i="16"/>
  <c r="C253" i="16"/>
  <c r="B265" i="16"/>
  <c r="C234" i="16"/>
  <c r="B246" i="16"/>
  <c r="B273" i="16"/>
  <c r="C261" i="16"/>
  <c r="C245" i="16"/>
  <c r="B257" i="16"/>
  <c r="B260" i="16"/>
  <c r="C248" i="16"/>
  <c r="B256" i="16"/>
  <c r="C244" i="16"/>
  <c r="C238" i="16"/>
  <c r="B250" i="16"/>
  <c r="B264" i="16"/>
  <c r="C252" i="16"/>
  <c r="C235" i="16"/>
  <c r="B247" i="16"/>
  <c r="C230" i="16"/>
  <c r="B242" i="16"/>
  <c r="B268" i="16" l="1"/>
  <c r="C256" i="16"/>
  <c r="B285" i="16"/>
  <c r="C273" i="16"/>
  <c r="B254" i="16"/>
  <c r="C242" i="16"/>
  <c r="B258" i="16"/>
  <c r="C246" i="16"/>
  <c r="B259" i="16"/>
  <c r="C247" i="16"/>
  <c r="B277" i="16"/>
  <c r="C265" i="16"/>
  <c r="B269" i="16"/>
  <c r="C257" i="16"/>
  <c r="B255" i="16"/>
  <c r="C243" i="16"/>
  <c r="B272" i="16"/>
  <c r="C260" i="16"/>
  <c r="B276" i="16"/>
  <c r="C264" i="16"/>
  <c r="B262" i="16"/>
  <c r="C250" i="16"/>
  <c r="B263" i="16"/>
  <c r="C251" i="16"/>
  <c r="C262" i="16" l="1"/>
  <c r="B274" i="16"/>
  <c r="B281" i="16"/>
  <c r="C269" i="16"/>
  <c r="B266" i="16"/>
  <c r="C254" i="16"/>
  <c r="C263" i="16"/>
  <c r="B275" i="16"/>
  <c r="C255" i="16"/>
  <c r="B267" i="16"/>
  <c r="B270" i="16"/>
  <c r="C258" i="16"/>
  <c r="B288" i="16"/>
  <c r="C276" i="16"/>
  <c r="C277" i="16"/>
  <c r="B289" i="16"/>
  <c r="C285" i="16"/>
  <c r="B297" i="16"/>
  <c r="B284" i="16"/>
  <c r="C272" i="16"/>
  <c r="C259" i="16"/>
  <c r="B271" i="16"/>
  <c r="B280" i="16"/>
  <c r="C268" i="16"/>
  <c r="C275" i="16" l="1"/>
  <c r="B287" i="16"/>
  <c r="C288" i="16"/>
  <c r="B300" i="16"/>
  <c r="B278" i="16"/>
  <c r="C266" i="16"/>
  <c r="C289" i="16"/>
  <c r="B301" i="16"/>
  <c r="B292" i="16"/>
  <c r="C280" i="16"/>
  <c r="C271" i="16"/>
  <c r="B283" i="16"/>
  <c r="B296" i="16"/>
  <c r="C284" i="16"/>
  <c r="C270" i="16"/>
  <c r="B282" i="16"/>
  <c r="C297" i="16"/>
  <c r="B309" i="16"/>
  <c r="C309" i="16" s="1"/>
  <c r="C267" i="16"/>
  <c r="B279" i="16"/>
  <c r="B286" i="16"/>
  <c r="C274" i="16"/>
  <c r="C281" i="16"/>
  <c r="B293" i="16"/>
  <c r="B294" i="16" l="1"/>
  <c r="C282" i="16"/>
  <c r="C286" i="16"/>
  <c r="B298" i="16"/>
  <c r="C296" i="16"/>
  <c r="B308" i="16"/>
  <c r="C308" i="16" s="1"/>
  <c r="B290" i="16"/>
  <c r="C278" i="16"/>
  <c r="B291" i="16"/>
  <c r="C279" i="16"/>
  <c r="C283" i="16"/>
  <c r="B295" i="16"/>
  <c r="C300" i="16"/>
  <c r="B312" i="16"/>
  <c r="C312" i="16" s="1"/>
  <c r="C292" i="16"/>
  <c r="B304" i="16"/>
  <c r="C304" i="16" s="1"/>
  <c r="C293" i="16"/>
  <c r="B305" i="16"/>
  <c r="C305" i="16" s="1"/>
  <c r="C301" i="16"/>
  <c r="B313" i="16"/>
  <c r="C313" i="16" s="1"/>
  <c r="C287" i="16"/>
  <c r="B299" i="16"/>
  <c r="C290" i="16" l="1"/>
  <c r="B302" i="16"/>
  <c r="C302" i="16" s="1"/>
  <c r="C299" i="16"/>
  <c r="B311" i="16"/>
  <c r="C311" i="16" s="1"/>
  <c r="C295" i="16"/>
  <c r="B307" i="16"/>
  <c r="C307" i="16" s="1"/>
  <c r="C298" i="16"/>
  <c r="B310" i="16"/>
  <c r="C310" i="16" s="1"/>
  <c r="C291" i="16"/>
  <c r="B303" i="16"/>
  <c r="C303" i="16" s="1"/>
  <c r="C294" i="16"/>
  <c r="B306" i="16"/>
  <c r="C306" i="16" s="1"/>
  <c r="B4" i="13" l="1"/>
  <c r="B5" i="13" l="1"/>
  <c r="B6" i="13" l="1"/>
  <c r="B7" i="13" l="1"/>
  <c r="B8" i="13" l="1"/>
  <c r="B9" i="13" l="1"/>
  <c r="B10" i="13" l="1"/>
  <c r="B11" i="13" l="1"/>
  <c r="B12" i="13" l="1"/>
  <c r="B13" i="13" l="1"/>
  <c r="B14" i="13" l="1"/>
  <c r="B15" i="13" l="1"/>
  <c r="B16" i="13" l="1"/>
  <c r="B17" i="13" l="1"/>
  <c r="B18" i="13" l="1"/>
  <c r="B19" i="13" l="1"/>
  <c r="B20" i="13" l="1"/>
  <c r="B21" i="13" l="1"/>
  <c r="B22" i="13" l="1"/>
  <c r="B23" i="13" l="1"/>
  <c r="B24" i="13" l="1"/>
  <c r="B25" i="13" l="1"/>
  <c r="B26" i="13" l="1"/>
  <c r="B27" i="13" l="1"/>
  <c r="B28" i="13" l="1"/>
  <c r="B29" i="13" l="1"/>
  <c r="B30" i="13" l="1"/>
  <c r="B31" i="13" l="1"/>
  <c r="B32" i="13" l="1"/>
  <c r="B33" i="13" l="1"/>
  <c r="B34" i="13" l="1"/>
  <c r="B35" i="13" l="1"/>
  <c r="B36" i="13" s="1"/>
  <c r="B4" i="12" l="1"/>
  <c r="B5" i="12" l="1"/>
  <c r="B6" i="12" l="1"/>
  <c r="B7" i="12" l="1"/>
  <c r="B8" i="12" l="1"/>
  <c r="B9" i="12" l="1"/>
  <c r="B10" i="12" l="1"/>
  <c r="B11" i="12" l="1"/>
  <c r="B12" i="12" l="1"/>
  <c r="B1" i="8"/>
  <c r="B13" i="12" l="1"/>
  <c r="B14" i="12" l="1"/>
  <c r="B15" i="12" l="1"/>
  <c r="B1" i="10"/>
  <c r="A4" i="10" s="1"/>
  <c r="B16" i="12" l="1"/>
  <c r="B4" i="10"/>
  <c r="B17" i="12" l="1"/>
  <c r="B18" i="12" l="1"/>
  <c r="B19" i="12" l="1"/>
  <c r="B20" i="12" l="1"/>
  <c r="B21" i="12" l="1"/>
  <c r="B22" i="12" l="1"/>
  <c r="B23" i="12" l="1"/>
  <c r="B24" i="12" l="1"/>
  <c r="B25" i="12" l="1"/>
  <c r="B26" i="12" l="1"/>
  <c r="B27" i="12" l="1"/>
  <c r="B28" i="12" l="1"/>
  <c r="B29" i="12" l="1"/>
  <c r="B30" i="12" l="1"/>
  <c r="B31" i="12" l="1"/>
  <c r="B32" i="12" l="1"/>
  <c r="B33" i="12" l="1"/>
  <c r="A11" i="8"/>
  <c r="D3" i="7"/>
  <c r="E3" i="7" s="1"/>
  <c r="F3" i="7" s="1"/>
  <c r="G3" i="7" s="1"/>
  <c r="H3" i="7" s="1"/>
  <c r="I3" i="7" s="1"/>
  <c r="J3" i="7" s="1"/>
  <c r="K3" i="7" s="1"/>
  <c r="L3" i="7" s="1"/>
  <c r="M3" i="7" s="1"/>
  <c r="N3" i="7" s="1"/>
  <c r="O3" i="7" s="1"/>
  <c r="P3" i="7" s="1"/>
  <c r="Q3" i="7" s="1"/>
  <c r="R3" i="7" s="1"/>
  <c r="S3" i="7" s="1"/>
  <c r="T3" i="7" s="1"/>
  <c r="U3" i="7" s="1"/>
  <c r="V3" i="7" s="1"/>
  <c r="W3" i="7" s="1"/>
  <c r="X3" i="7" s="1"/>
  <c r="C2" i="5"/>
  <c r="D2" i="5" s="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M11" i="8" l="1"/>
  <c r="K11" i="8"/>
  <c r="B34" i="12"/>
  <c r="B4" i="8"/>
  <c r="B8" i="8"/>
  <c r="B7" i="8" s="1"/>
  <c r="B35" i="12" l="1"/>
  <c r="B36" i="12" s="1"/>
  <c r="B37" i="12" l="1"/>
  <c r="B11" i="8"/>
  <c r="B38" i="12" l="1"/>
  <c r="C1838" i="3"/>
  <c r="C1839" i="3"/>
  <c r="C1840" i="3"/>
  <c r="C1841" i="3"/>
  <c r="C1842" i="3"/>
  <c r="C1843" i="3"/>
  <c r="C1844" i="3"/>
  <c r="C1845" i="3"/>
  <c r="C1846" i="3"/>
  <c r="C1837" i="3"/>
  <c r="B1836" i="3"/>
  <c r="C1836" i="3" s="1"/>
  <c r="C1835" i="3"/>
  <c r="C1834" i="3"/>
  <c r="C1832" i="3"/>
  <c r="C1833" i="3"/>
  <c r="C1822" i="3"/>
  <c r="C1823" i="3"/>
  <c r="C1824" i="3"/>
  <c r="C1825" i="3"/>
  <c r="C1826" i="3"/>
  <c r="C1827" i="3"/>
  <c r="C1828" i="3"/>
  <c r="C1829" i="3"/>
  <c r="C1830" i="3"/>
  <c r="C1831" i="3"/>
  <c r="C1802" i="3"/>
  <c r="C1803" i="3"/>
  <c r="C1804" i="3"/>
  <c r="C1805" i="3"/>
  <c r="C1806" i="3"/>
  <c r="C1807" i="3"/>
  <c r="C1808" i="3"/>
  <c r="C1809" i="3"/>
  <c r="C1810" i="3"/>
  <c r="C1811" i="3"/>
  <c r="C1812" i="3"/>
  <c r="C1813" i="3"/>
  <c r="C1814" i="3"/>
  <c r="C1815" i="3"/>
  <c r="C1816" i="3"/>
  <c r="C1817" i="3"/>
  <c r="C1818" i="3"/>
  <c r="C1819" i="3"/>
  <c r="C1820" i="3"/>
  <c r="C1821" i="3"/>
  <c r="C1782" i="3"/>
  <c r="C1783" i="3"/>
  <c r="C1784" i="3"/>
  <c r="C1785" i="3"/>
  <c r="C1786" i="3"/>
  <c r="C1787" i="3"/>
  <c r="C1788" i="3"/>
  <c r="C1789" i="3"/>
  <c r="C1790" i="3"/>
  <c r="C1791" i="3"/>
  <c r="C1792" i="3"/>
  <c r="C1793" i="3"/>
  <c r="C1794" i="3"/>
  <c r="C1795" i="3"/>
  <c r="C1796" i="3"/>
  <c r="C1797" i="3"/>
  <c r="C1798" i="3"/>
  <c r="C1799" i="3"/>
  <c r="C1800" i="3"/>
  <c r="C1801" i="3"/>
  <c r="C1762" i="3"/>
  <c r="C1763" i="3"/>
  <c r="C1764" i="3"/>
  <c r="C1765" i="3"/>
  <c r="C1766" i="3"/>
  <c r="C1767" i="3"/>
  <c r="C1768" i="3"/>
  <c r="C1769" i="3"/>
  <c r="C1770" i="3"/>
  <c r="C1771" i="3"/>
  <c r="C1772" i="3"/>
  <c r="C1773" i="3"/>
  <c r="C1774" i="3"/>
  <c r="C1775" i="3"/>
  <c r="C1776" i="3"/>
  <c r="C1777" i="3"/>
  <c r="C1778" i="3"/>
  <c r="C1779" i="3"/>
  <c r="C1780" i="3"/>
  <c r="C178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2" i="3"/>
  <c r="B39" i="12" l="1"/>
  <c r="C3" i="1"/>
  <c r="D3" i="1" l="1"/>
  <c r="E3" i="1" s="1"/>
  <c r="F3" i="1" s="1"/>
  <c r="G3" i="1" s="1"/>
  <c r="B40" i="12"/>
  <c r="H3" i="1" l="1"/>
  <c r="I3" i="1" s="1"/>
  <c r="J3" i="1" s="1"/>
  <c r="K3" i="1" s="1"/>
  <c r="L3" i="1" s="1"/>
  <c r="M3" i="1" s="1"/>
  <c r="N3" i="1" s="1"/>
  <c r="O3" i="1" s="1"/>
  <c r="P3" i="1" s="1"/>
  <c r="Q3" i="1" s="1"/>
  <c r="R3" i="1" s="1"/>
  <c r="S3" i="1" s="1"/>
  <c r="T3" i="1" s="1"/>
  <c r="U3" i="1" s="1"/>
  <c r="V3" i="1" s="1"/>
  <c r="W3" i="1" s="1"/>
  <c r="X3" i="1" s="1"/>
  <c r="Y3" i="1" s="1"/>
  <c r="Z3" i="1" s="1"/>
  <c r="AA3" i="1" s="1"/>
  <c r="AB3" i="1" s="1"/>
  <c r="AC3" i="1" s="1"/>
  <c r="AD3" i="1" s="1"/>
  <c r="AE3" i="1" s="1"/>
  <c r="AF3" i="1" s="1"/>
  <c r="AG3" i="1" s="1"/>
  <c r="AH3" i="1" s="1"/>
  <c r="AI3" i="1" s="1"/>
  <c r="AJ3" i="1" s="1"/>
  <c r="AK3" i="1" s="1"/>
  <c r="AL3" i="1" s="1"/>
  <c r="AM3" i="1" s="1"/>
  <c r="AN3" i="1" s="1"/>
  <c r="AO3" i="1" s="1"/>
  <c r="AP3" i="1" s="1"/>
  <c r="AQ3" i="1" s="1"/>
  <c r="AR3" i="1" s="1"/>
  <c r="AS3" i="1" s="1"/>
  <c r="AT3" i="1" s="1"/>
  <c r="AU3" i="1" s="1"/>
  <c r="AV3" i="1" s="1"/>
  <c r="AW3" i="1" s="1"/>
  <c r="AX3" i="1" s="1"/>
  <c r="AY3" i="1" s="1"/>
  <c r="AZ3" i="1" s="1"/>
  <c r="BA3" i="1" s="1"/>
  <c r="BB3" i="1" s="1"/>
  <c r="BC3" i="1" s="1"/>
  <c r="BD3" i="1" s="1"/>
  <c r="BE3" i="1" s="1"/>
  <c r="BF3" i="1" s="1"/>
  <c r="BG3" i="1" s="1"/>
  <c r="BH3" i="1" s="1"/>
  <c r="BI3" i="1" s="1"/>
  <c r="BJ3" i="1" s="1"/>
  <c r="BK3" i="1" s="1"/>
  <c r="BL3" i="1" s="1"/>
  <c r="BM3" i="1" s="1"/>
  <c r="BN3" i="1" s="1"/>
  <c r="BO3" i="1" s="1"/>
  <c r="BP3" i="1" s="1"/>
  <c r="BQ3" i="1" s="1"/>
  <c r="BR3" i="1" s="1"/>
  <c r="BS3" i="1" s="1"/>
  <c r="BT3" i="1" s="1"/>
  <c r="BU3" i="1" s="1"/>
  <c r="BV3" i="1" s="1"/>
  <c r="BW3" i="1" s="1"/>
  <c r="BX3" i="1" s="1"/>
  <c r="BY3" i="1" s="1"/>
  <c r="BZ3" i="1" s="1"/>
  <c r="CA3" i="1" s="1"/>
  <c r="CB3" i="1" s="1"/>
  <c r="CC3" i="1" s="1"/>
  <c r="CD3" i="1" s="1"/>
  <c r="CE3" i="1" s="1"/>
  <c r="CF3" i="1" s="1"/>
  <c r="CG3" i="1" s="1"/>
  <c r="CH3" i="1" s="1"/>
  <c r="CI3" i="1" s="1"/>
  <c r="CJ3" i="1" s="1"/>
  <c r="CK3" i="1" s="1"/>
  <c r="CL3" i="1" s="1"/>
  <c r="CM3" i="1" s="1"/>
  <c r="CN3" i="1" s="1"/>
  <c r="CO3" i="1" s="1"/>
  <c r="CP3" i="1" s="1"/>
  <c r="CQ3" i="1" s="1"/>
  <c r="CR3" i="1" s="1"/>
  <c r="CS3" i="1" s="1"/>
  <c r="CT3" i="1" s="1"/>
  <c r="CU3" i="1" s="1"/>
  <c r="CV3" i="1" s="1"/>
  <c r="CW3" i="1" s="1"/>
  <c r="CX3" i="1" s="1"/>
  <c r="CY3" i="1" s="1"/>
  <c r="CZ3" i="1" s="1"/>
  <c r="DA3" i="1" s="1"/>
  <c r="DB3" i="1" s="1"/>
  <c r="DC3" i="1" s="1"/>
  <c r="DD3" i="1" s="1"/>
  <c r="DE3" i="1" s="1"/>
  <c r="DF3" i="1" s="1"/>
  <c r="DG3" i="1" s="1"/>
  <c r="DH3" i="1" s="1"/>
  <c r="DI3" i="1" s="1"/>
  <c r="DJ3" i="1" s="1"/>
  <c r="DK3" i="1" s="1"/>
  <c r="DL3" i="1" s="1"/>
  <c r="DM3" i="1" s="1"/>
  <c r="DN3" i="1" s="1"/>
  <c r="DO3" i="1" s="1"/>
  <c r="DP3" i="1" s="1"/>
  <c r="DQ3" i="1" s="1"/>
  <c r="DR3" i="1" s="1"/>
  <c r="DS3" i="1" s="1"/>
  <c r="DT3" i="1" s="1"/>
  <c r="DU3" i="1" s="1"/>
  <c r="DV3" i="1" s="1"/>
  <c r="DW3" i="1" s="1"/>
  <c r="DX3" i="1" s="1"/>
  <c r="DY3" i="1" s="1"/>
  <c r="DZ3" i="1" s="1"/>
  <c r="EA3" i="1" s="1"/>
  <c r="EB3" i="1" s="1"/>
  <c r="EC3" i="1" s="1"/>
  <c r="ED3" i="1" s="1"/>
  <c r="EE3" i="1" s="1"/>
  <c r="EF3" i="1" s="1"/>
  <c r="EG3" i="1" s="1"/>
  <c r="EH3" i="1" s="1"/>
  <c r="EI3" i="1" s="1"/>
  <c r="EJ3" i="1" s="1"/>
  <c r="EK3" i="1" s="1"/>
  <c r="EL3" i="1" s="1"/>
  <c r="EM3" i="1" s="1"/>
  <c r="EN3" i="1" s="1"/>
  <c r="EO3" i="1" s="1"/>
  <c r="EP3" i="1" s="1"/>
  <c r="EQ3" i="1" s="1"/>
  <c r="ER3" i="1" s="1"/>
  <c r="ES3" i="1" s="1"/>
  <c r="ET3" i="1" s="1"/>
  <c r="EU3" i="1" s="1"/>
  <c r="EV3" i="1" s="1"/>
  <c r="EW3" i="1" s="1"/>
  <c r="EX3" i="1" s="1"/>
  <c r="EY3" i="1" s="1"/>
  <c r="EZ3" i="1" s="1"/>
  <c r="FA3" i="1" s="1"/>
  <c r="FB3" i="1" s="1"/>
  <c r="FC3" i="1" s="1"/>
  <c r="FD3" i="1" s="1"/>
  <c r="FE3" i="1" s="1"/>
  <c r="FF3" i="1" s="1"/>
  <c r="FG3" i="1" s="1"/>
  <c r="FH3" i="1" s="1"/>
  <c r="FI3" i="1" s="1"/>
  <c r="FJ3" i="1" s="1"/>
  <c r="FK3" i="1" s="1"/>
  <c r="FL3" i="1" s="1"/>
  <c r="FM3" i="1" s="1"/>
  <c r="FN3" i="1" s="1"/>
  <c r="FO3" i="1" s="1"/>
  <c r="FP3" i="1" s="1"/>
  <c r="FQ3" i="1" s="1"/>
  <c r="FR3" i="1" s="1"/>
  <c r="FS3" i="1" s="1"/>
  <c r="FT3" i="1" s="1"/>
  <c r="FU3" i="1" s="1"/>
  <c r="FV3" i="1" s="1"/>
  <c r="FW3" i="1" s="1"/>
  <c r="FX3" i="1" s="1"/>
  <c r="FY3" i="1" s="1"/>
  <c r="FZ3" i="1" s="1"/>
  <c r="GA3" i="1" s="1"/>
  <c r="GB3" i="1" s="1"/>
  <c r="GC3" i="1" s="1"/>
  <c r="GD3" i="1" s="1"/>
  <c r="GE3" i="1" s="1"/>
  <c r="GF3" i="1" s="1"/>
  <c r="GG3" i="1" s="1"/>
  <c r="GH3" i="1" s="1"/>
  <c r="GI3" i="1" s="1"/>
  <c r="GJ3" i="1" s="1"/>
  <c r="GK3" i="1" s="1"/>
  <c r="GL3" i="1" s="1"/>
  <c r="GM3" i="1" s="1"/>
  <c r="GN3" i="1" s="1"/>
  <c r="GO3" i="1" s="1"/>
  <c r="GP3" i="1" s="1"/>
  <c r="GQ3" i="1" s="1"/>
  <c r="GR3" i="1" s="1"/>
  <c r="GS3" i="1" s="1"/>
  <c r="GT3" i="1" s="1"/>
  <c r="GU3" i="1" s="1"/>
  <c r="GV3" i="1" s="1"/>
  <c r="GW3" i="1" s="1"/>
  <c r="GX3" i="1" s="1"/>
  <c r="GY3" i="1" s="1"/>
  <c r="GZ3" i="1" s="1"/>
  <c r="HA3" i="1" s="1"/>
  <c r="HB3" i="1" s="1"/>
  <c r="HC3" i="1" s="1"/>
  <c r="HD3" i="1" s="1"/>
  <c r="HE3" i="1" s="1"/>
  <c r="HF3" i="1" s="1"/>
  <c r="HG3" i="1" s="1"/>
  <c r="HH3" i="1" s="1"/>
  <c r="HI3" i="1" s="1"/>
  <c r="HJ3" i="1" s="1"/>
  <c r="HK3" i="1" s="1"/>
  <c r="HL3" i="1" s="1"/>
  <c r="HM3" i="1" s="1"/>
  <c r="HN3" i="1" s="1"/>
  <c r="HO3" i="1" s="1"/>
  <c r="HP3" i="1" s="1"/>
  <c r="HQ3" i="1" s="1"/>
  <c r="HR3" i="1" s="1"/>
  <c r="HS3" i="1" s="1"/>
  <c r="HT3" i="1" s="1"/>
  <c r="HU3" i="1" s="1"/>
  <c r="HV3" i="1" s="1"/>
  <c r="HW3" i="1" s="1"/>
  <c r="HX3" i="1" s="1"/>
  <c r="HY3" i="1" s="1"/>
  <c r="HZ3" i="1" s="1"/>
  <c r="IA3" i="1" s="1"/>
  <c r="IB3" i="1" s="1"/>
  <c r="IC3" i="1" s="1"/>
  <c r="ID3" i="1" s="1"/>
  <c r="IE3" i="1" s="1"/>
  <c r="IF3" i="1" s="1"/>
  <c r="IG3" i="1" s="1"/>
  <c r="IH3" i="1" s="1"/>
  <c r="II3" i="1" s="1"/>
  <c r="IJ3" i="1" s="1"/>
  <c r="IK3" i="1" s="1"/>
  <c r="IL3" i="1" s="1"/>
  <c r="IM3" i="1" s="1"/>
  <c r="IN3" i="1" s="1"/>
  <c r="IO3" i="1" s="1"/>
  <c r="IP3" i="1" s="1"/>
  <c r="IQ3" i="1" s="1"/>
  <c r="IR3" i="1" s="1"/>
  <c r="IS3" i="1" s="1"/>
  <c r="IT3" i="1" s="1"/>
  <c r="IU3" i="1" s="1"/>
  <c r="IV3" i="1" s="1"/>
  <c r="IW3" i="1" s="1"/>
  <c r="IX3" i="1" s="1"/>
  <c r="IY3" i="1" s="1"/>
  <c r="IZ3" i="1" s="1"/>
  <c r="JA3" i="1" s="1"/>
  <c r="JB3" i="1" s="1"/>
  <c r="JC3" i="1" s="1"/>
  <c r="JD3" i="1" s="1"/>
  <c r="JE3" i="1" s="1"/>
  <c r="JF3" i="1" s="1"/>
  <c r="JG3" i="1" s="1"/>
  <c r="JH3" i="1" s="1"/>
  <c r="JI3" i="1" s="1"/>
  <c r="JJ3" i="1" s="1"/>
  <c r="JK3" i="1" s="1"/>
  <c r="JL3" i="1" s="1"/>
  <c r="P4" i="8"/>
  <c r="O4" i="8"/>
  <c r="B41" i="12"/>
  <c r="D28" i="9" l="1"/>
  <c r="B42" i="12"/>
  <c r="B43" i="12" l="1"/>
  <c r="B44" i="12" l="1"/>
  <c r="B45" i="12" l="1"/>
  <c r="B46" i="12" l="1"/>
  <c r="B47" i="12" l="1"/>
  <c r="B48" i="12" l="1"/>
  <c r="B49" i="12" l="1"/>
  <c r="B50" i="12" l="1"/>
  <c r="B51" i="12" l="1"/>
  <c r="B52" i="12" l="1"/>
  <c r="B53" i="12" l="1"/>
  <c r="A3" i="19" l="1"/>
  <c r="D2" i="19"/>
  <c r="E2" i="19"/>
  <c r="B2" i="19"/>
  <c r="C2" i="19"/>
  <c r="AR2" i="19" l="1"/>
  <c r="AD2" i="19"/>
  <c r="AH2" i="19"/>
  <c r="AG2" i="19"/>
  <c r="AE2" i="19"/>
  <c r="AF2" i="19"/>
  <c r="AC2" i="19"/>
  <c r="A4" i="19"/>
  <c r="C3" i="19"/>
  <c r="B3" i="19"/>
  <c r="E3" i="19"/>
  <c r="D3" i="19"/>
  <c r="AR3" i="19" l="1"/>
  <c r="AD3" i="19"/>
  <c r="AH3" i="19"/>
  <c r="AG3" i="19"/>
  <c r="AF3" i="19"/>
  <c r="AE3" i="19"/>
  <c r="AC3" i="19"/>
  <c r="A5" i="19"/>
  <c r="D4" i="19"/>
  <c r="C4" i="19"/>
  <c r="E4" i="19"/>
  <c r="B4" i="19"/>
  <c r="AR4" i="19" l="1"/>
  <c r="AD4" i="19"/>
  <c r="AH4" i="19"/>
  <c r="AG4" i="19"/>
  <c r="AF4" i="19"/>
  <c r="AE4" i="19"/>
  <c r="AC4" i="19"/>
  <c r="A6" i="19"/>
  <c r="B5" i="19"/>
  <c r="E5" i="19"/>
  <c r="D5" i="19"/>
  <c r="C5" i="19"/>
  <c r="AR5" i="19" l="1"/>
  <c r="AD5" i="19"/>
  <c r="AH5" i="19"/>
  <c r="AG5" i="19"/>
  <c r="AC5" i="19"/>
  <c r="AE5" i="19"/>
  <c r="AF5" i="19"/>
  <c r="A7" i="19"/>
  <c r="E6" i="19"/>
  <c r="C6" i="19"/>
  <c r="B6" i="19"/>
  <c r="D6" i="19"/>
  <c r="AR6" i="19" l="1"/>
  <c r="AD6" i="19"/>
  <c r="AH6" i="19"/>
  <c r="AG6" i="19"/>
  <c r="AC6" i="19"/>
  <c r="AE6" i="19"/>
  <c r="AF6" i="19"/>
  <c r="A8" i="19"/>
  <c r="D7" i="19"/>
  <c r="C7" i="19"/>
  <c r="B7" i="19"/>
  <c r="E7" i="19"/>
  <c r="AR7" i="19" l="1"/>
  <c r="AD7" i="19"/>
  <c r="AH7" i="19"/>
  <c r="AG7" i="19"/>
  <c r="AC7" i="19"/>
  <c r="AE7" i="19"/>
  <c r="AF7" i="19"/>
  <c r="A9" i="19"/>
  <c r="C8" i="19"/>
  <c r="D8" i="19"/>
  <c r="B8" i="19"/>
  <c r="E8" i="19"/>
  <c r="AR8" i="19" l="1"/>
  <c r="AD8" i="19"/>
  <c r="AH8" i="19"/>
  <c r="AG8" i="19"/>
  <c r="AC8" i="19"/>
  <c r="AE8" i="19"/>
  <c r="AF8" i="19"/>
  <c r="A10" i="19"/>
  <c r="B9" i="19"/>
  <c r="D9" i="19"/>
  <c r="C9" i="19"/>
  <c r="E9" i="19"/>
  <c r="AR9" i="19" l="1"/>
  <c r="AD9" i="19"/>
  <c r="AH9" i="19"/>
  <c r="AG9" i="19"/>
  <c r="AC9" i="19"/>
  <c r="AE9" i="19"/>
  <c r="AF9" i="19"/>
  <c r="A11" i="19"/>
  <c r="E10" i="19"/>
  <c r="B10" i="19"/>
  <c r="D10" i="19"/>
  <c r="C10" i="19"/>
  <c r="AR10" i="19" l="1"/>
  <c r="AD10" i="19"/>
  <c r="AH10" i="19"/>
  <c r="AG10" i="19"/>
  <c r="AC10" i="19"/>
  <c r="AE10" i="19"/>
  <c r="AF10" i="19"/>
  <c r="A12" i="19"/>
  <c r="D11" i="19"/>
  <c r="E11" i="19"/>
  <c r="C11" i="19"/>
  <c r="B11" i="19"/>
  <c r="AR11" i="19" l="1"/>
  <c r="AD11" i="19"/>
  <c r="AH11" i="19"/>
  <c r="AG11" i="19"/>
  <c r="AC11" i="19"/>
  <c r="AE11" i="19"/>
  <c r="AF11" i="19"/>
  <c r="A13" i="19"/>
  <c r="C12" i="19"/>
  <c r="B12" i="19"/>
  <c r="D12" i="19"/>
  <c r="E12" i="19"/>
  <c r="AR12" i="19" l="1"/>
  <c r="AD12" i="19"/>
  <c r="AG12" i="19"/>
  <c r="AH12" i="19"/>
  <c r="AC12" i="19"/>
  <c r="AE12" i="19"/>
  <c r="AF12" i="19"/>
  <c r="A14" i="19"/>
  <c r="E13" i="19"/>
  <c r="D13" i="19"/>
  <c r="C13" i="19"/>
  <c r="B13" i="19"/>
  <c r="AR13" i="19" l="1"/>
  <c r="AD13" i="19"/>
  <c r="AH13" i="19"/>
  <c r="AG13" i="19"/>
  <c r="AC13" i="19"/>
  <c r="AE13" i="19"/>
  <c r="AF13" i="19"/>
  <c r="A15" i="19"/>
  <c r="B14" i="19"/>
  <c r="D14" i="19"/>
  <c r="C14" i="19"/>
  <c r="E14" i="19"/>
  <c r="AR14" i="19" l="1"/>
  <c r="AD14" i="19"/>
  <c r="AH14" i="19"/>
  <c r="AG14" i="19"/>
  <c r="AC14" i="19"/>
  <c r="AE14" i="19"/>
  <c r="AF14" i="19"/>
  <c r="A16" i="19"/>
  <c r="D15" i="19"/>
  <c r="C15" i="19"/>
  <c r="B15" i="19"/>
  <c r="E15" i="19"/>
  <c r="AR15" i="19" l="1"/>
  <c r="AD15" i="19"/>
  <c r="AH15" i="19"/>
  <c r="AG15" i="19"/>
  <c r="AC15" i="19"/>
  <c r="AE15" i="19"/>
  <c r="AF15" i="19"/>
  <c r="A17" i="19"/>
  <c r="D16" i="19"/>
  <c r="C16" i="19"/>
  <c r="E16" i="19"/>
  <c r="B16" i="19"/>
  <c r="AR16" i="19" l="1"/>
  <c r="AD16" i="19"/>
  <c r="AH16" i="19"/>
  <c r="AG16" i="19"/>
  <c r="AC16" i="19"/>
  <c r="AE16" i="19"/>
  <c r="AF16" i="19"/>
  <c r="A18" i="19"/>
  <c r="D17" i="19"/>
  <c r="C17" i="19"/>
  <c r="B17" i="19"/>
  <c r="E17" i="19"/>
  <c r="AR17" i="19" l="1"/>
  <c r="AD17" i="19"/>
  <c r="AH17" i="19"/>
  <c r="AG17" i="19"/>
  <c r="AE17" i="19"/>
  <c r="AC17" i="19"/>
  <c r="AF17" i="19"/>
  <c r="A19" i="19"/>
  <c r="B18" i="19"/>
  <c r="C18" i="19"/>
  <c r="E18" i="19"/>
  <c r="D18" i="19"/>
  <c r="AR18" i="19" l="1"/>
  <c r="AD18" i="19"/>
  <c r="AH18" i="19"/>
  <c r="AG18" i="19"/>
  <c r="AE18" i="19"/>
  <c r="AC18" i="19"/>
  <c r="AF18" i="19"/>
  <c r="A20" i="19"/>
  <c r="D19" i="19"/>
  <c r="C19" i="19"/>
  <c r="B19" i="19"/>
  <c r="E19" i="19"/>
  <c r="AR19" i="19" l="1"/>
  <c r="AD19" i="19"/>
  <c r="AH19" i="19"/>
  <c r="AG19" i="19"/>
  <c r="AC19" i="19"/>
  <c r="AE19" i="19"/>
  <c r="AF19" i="19"/>
  <c r="A21" i="19"/>
  <c r="B20" i="19"/>
  <c r="E20" i="19"/>
  <c r="C20" i="19"/>
  <c r="D20" i="19"/>
  <c r="AR20" i="19" l="1"/>
  <c r="AD20" i="19"/>
  <c r="AH20" i="19"/>
  <c r="AG20" i="19"/>
  <c r="AC20" i="19"/>
  <c r="AE20" i="19"/>
  <c r="AF20" i="19"/>
  <c r="A22" i="19"/>
  <c r="D21" i="19"/>
  <c r="E21" i="19"/>
  <c r="B21" i="19"/>
  <c r="C21" i="19"/>
  <c r="AR21" i="19" l="1"/>
  <c r="AD21" i="19"/>
  <c r="AH21" i="19"/>
  <c r="AG21" i="19"/>
  <c r="AC21" i="19"/>
  <c r="AE21" i="19"/>
  <c r="AF21" i="19"/>
  <c r="A23" i="19"/>
  <c r="B22" i="19"/>
  <c r="E22" i="19"/>
  <c r="C22" i="19"/>
  <c r="D22" i="19"/>
  <c r="AR22" i="19" l="1"/>
  <c r="AD22" i="19"/>
  <c r="AH22" i="19"/>
  <c r="AG22" i="19"/>
  <c r="AC22" i="19"/>
  <c r="AE22" i="19"/>
  <c r="AF22" i="19"/>
  <c r="A24" i="19"/>
  <c r="B23" i="19"/>
  <c r="D23" i="19"/>
  <c r="E23" i="19"/>
  <c r="C23" i="19"/>
  <c r="AR23" i="19" l="1"/>
  <c r="AD23" i="19"/>
  <c r="AH23" i="19"/>
  <c r="AG23" i="19"/>
  <c r="AC23" i="19"/>
  <c r="AE23" i="19"/>
  <c r="AF23" i="19"/>
  <c r="A25" i="19"/>
  <c r="D24" i="19"/>
  <c r="E24" i="19"/>
  <c r="C24" i="19"/>
  <c r="B24" i="19"/>
  <c r="AR24" i="19" l="1"/>
  <c r="AD24" i="19"/>
  <c r="AH24" i="19"/>
  <c r="AG24" i="19"/>
  <c r="AC24" i="19"/>
  <c r="AE24" i="19"/>
  <c r="AF24" i="19"/>
  <c r="A26" i="19"/>
  <c r="C25" i="19"/>
  <c r="E25" i="19"/>
  <c r="B25" i="19"/>
  <c r="D25" i="19"/>
  <c r="AR25" i="19" l="1"/>
  <c r="AD25" i="19"/>
  <c r="AG25" i="19"/>
  <c r="AH25" i="19"/>
  <c r="AC25" i="19"/>
  <c r="AE25" i="19"/>
  <c r="AF25" i="19"/>
  <c r="A27" i="19"/>
  <c r="E26" i="19"/>
  <c r="C26" i="19"/>
  <c r="B26" i="19"/>
  <c r="D26" i="19"/>
  <c r="AR26" i="19" l="1"/>
  <c r="AD26" i="19"/>
  <c r="AH26" i="19"/>
  <c r="AG26" i="19"/>
  <c r="AC26" i="19"/>
  <c r="AE26" i="19"/>
  <c r="AF26" i="19"/>
  <c r="A28" i="19"/>
  <c r="E27" i="19"/>
  <c r="B27" i="19"/>
  <c r="D27" i="19"/>
  <c r="C27" i="19"/>
  <c r="AR27" i="19" l="1"/>
  <c r="AD27" i="19"/>
  <c r="AH27" i="19"/>
  <c r="AG27" i="19"/>
  <c r="AC27" i="19"/>
  <c r="AE27" i="19"/>
  <c r="AF27" i="19"/>
  <c r="A29" i="19"/>
  <c r="B28" i="19"/>
  <c r="E28" i="19"/>
  <c r="D28" i="19"/>
  <c r="C28" i="19"/>
  <c r="AR28" i="19" l="1"/>
  <c r="AD28" i="19"/>
  <c r="AH28" i="19"/>
  <c r="AG28" i="19"/>
  <c r="AC28" i="19"/>
  <c r="AE28" i="19"/>
  <c r="AF28" i="19"/>
  <c r="A30" i="19"/>
  <c r="E29" i="19"/>
  <c r="D29" i="19"/>
  <c r="C29" i="19"/>
  <c r="B29" i="19"/>
  <c r="AR29" i="19" l="1"/>
  <c r="AD29" i="19"/>
  <c r="AH29" i="19"/>
  <c r="AG29" i="19"/>
  <c r="AC29" i="19"/>
  <c r="AE29" i="19"/>
  <c r="AF29" i="19"/>
  <c r="A31" i="19"/>
  <c r="B30" i="19"/>
  <c r="C30" i="19"/>
  <c r="D30" i="19"/>
  <c r="E30" i="19"/>
  <c r="AR30" i="19" l="1"/>
  <c r="AD30" i="19"/>
  <c r="AH30" i="19"/>
  <c r="AG30" i="19"/>
  <c r="AC30" i="19"/>
  <c r="AE30" i="19"/>
  <c r="AF30" i="19"/>
  <c r="A32" i="19"/>
  <c r="C31" i="19"/>
  <c r="B31" i="19"/>
  <c r="E31" i="19"/>
  <c r="D31" i="19"/>
  <c r="AR31" i="19" l="1"/>
  <c r="AD31" i="19"/>
  <c r="AH31" i="19"/>
  <c r="AG31" i="19"/>
  <c r="AC31" i="19"/>
  <c r="AE31" i="19"/>
  <c r="AF31" i="19"/>
  <c r="A33" i="19"/>
  <c r="D32" i="19"/>
  <c r="C32" i="19"/>
  <c r="E32" i="19"/>
  <c r="B32" i="19"/>
  <c r="AR32" i="19" l="1"/>
  <c r="AD32" i="19"/>
  <c r="AH32" i="19"/>
  <c r="AG32" i="19"/>
  <c r="AC32" i="19"/>
  <c r="AE32" i="19"/>
  <c r="AF32" i="19"/>
  <c r="A34" i="19"/>
  <c r="B33" i="19"/>
  <c r="C33" i="19"/>
  <c r="D33" i="19"/>
  <c r="E33" i="19"/>
  <c r="AR33" i="19" l="1"/>
  <c r="AD33" i="19"/>
  <c r="AH33" i="19"/>
  <c r="AG33" i="19"/>
  <c r="AC33" i="19"/>
  <c r="AE33" i="19"/>
  <c r="AF33" i="19"/>
  <c r="A35" i="19"/>
  <c r="E34" i="19"/>
  <c r="C34" i="19"/>
  <c r="D34" i="19"/>
  <c r="B34" i="19"/>
  <c r="AR34" i="19" l="1"/>
  <c r="AD34" i="19"/>
  <c r="AH34" i="19"/>
  <c r="AG34" i="19"/>
  <c r="AC34" i="19"/>
  <c r="AE34" i="19"/>
  <c r="AF34" i="19"/>
  <c r="A36" i="19"/>
  <c r="E35" i="19"/>
  <c r="B35" i="19"/>
  <c r="C35" i="19"/>
  <c r="D35" i="19"/>
  <c r="AR35" i="19" l="1"/>
  <c r="AD35" i="19"/>
  <c r="AH35" i="19"/>
  <c r="AG35" i="19"/>
  <c r="AC35" i="19"/>
  <c r="AF35" i="19"/>
  <c r="AE35" i="19"/>
  <c r="A37" i="19"/>
  <c r="E36" i="19"/>
  <c r="B36" i="19"/>
  <c r="C36" i="19"/>
  <c r="D36" i="19"/>
  <c r="AR36" i="19" l="1"/>
  <c r="AD36" i="19"/>
  <c r="AH36" i="19"/>
  <c r="AG36" i="19"/>
  <c r="AF36" i="19"/>
  <c r="AC36" i="19"/>
  <c r="AE36" i="19"/>
  <c r="A38" i="19"/>
  <c r="D37" i="19"/>
  <c r="B37" i="19"/>
  <c r="C37" i="19"/>
  <c r="E37" i="19"/>
  <c r="AR37" i="19" l="1"/>
  <c r="AD37" i="19"/>
  <c r="AH37" i="19"/>
  <c r="AG37" i="19"/>
  <c r="AC37" i="19"/>
  <c r="AE37" i="19"/>
  <c r="AF37" i="19"/>
  <c r="A39" i="19"/>
  <c r="B38" i="19"/>
  <c r="C38" i="19"/>
  <c r="E38" i="19"/>
  <c r="D38" i="19"/>
  <c r="AR38" i="19" l="1"/>
  <c r="AD38" i="19"/>
  <c r="AH38" i="19"/>
  <c r="AG38" i="19"/>
  <c r="AC38" i="19"/>
  <c r="AE38" i="19"/>
  <c r="AF38" i="19"/>
  <c r="A40" i="19"/>
  <c r="E39" i="19"/>
  <c r="C39" i="19"/>
  <c r="D39" i="19"/>
  <c r="B39" i="19"/>
  <c r="AR39" i="19" l="1"/>
  <c r="AD39" i="19"/>
  <c r="AH39" i="19"/>
  <c r="AG39" i="19"/>
  <c r="AC39" i="19"/>
  <c r="AF39" i="19"/>
  <c r="AE39" i="19"/>
  <c r="A41" i="19"/>
  <c r="C40" i="19"/>
  <c r="E40" i="19"/>
  <c r="B40" i="19"/>
  <c r="D40" i="19"/>
  <c r="AR40" i="19" l="1"/>
  <c r="AD40" i="19"/>
  <c r="AH40" i="19"/>
  <c r="AG40" i="19"/>
  <c r="AC40" i="19"/>
  <c r="AE40" i="19"/>
  <c r="AF40" i="19"/>
  <c r="A42" i="19"/>
  <c r="B41" i="19"/>
  <c r="D41" i="19"/>
  <c r="C41" i="19"/>
  <c r="E41" i="19"/>
  <c r="AR41" i="19" l="1"/>
  <c r="AD41" i="19"/>
  <c r="AH41" i="19"/>
  <c r="AG41" i="19"/>
  <c r="AC41" i="19"/>
  <c r="AE41" i="19"/>
  <c r="AF41" i="19"/>
  <c r="A43" i="19"/>
  <c r="E42" i="19"/>
  <c r="B42" i="19"/>
  <c r="C42" i="19"/>
  <c r="D42" i="19"/>
  <c r="AR42" i="19" l="1"/>
  <c r="AD42" i="19"/>
  <c r="AH42" i="19"/>
  <c r="AG42" i="19"/>
  <c r="AC42" i="19"/>
  <c r="AE42" i="19"/>
  <c r="AF42" i="19"/>
  <c r="A44" i="19"/>
  <c r="D43" i="19"/>
  <c r="E43" i="19"/>
  <c r="B43" i="19"/>
  <c r="C43" i="19"/>
  <c r="AR43" i="19" l="1"/>
  <c r="AD43" i="19"/>
  <c r="AH43" i="19"/>
  <c r="AG43" i="19"/>
  <c r="AC43" i="19"/>
  <c r="AF43" i="19"/>
  <c r="AE43" i="19"/>
  <c r="A45" i="19"/>
  <c r="D44" i="19"/>
  <c r="B44" i="19"/>
  <c r="C44" i="19"/>
  <c r="E44" i="19"/>
  <c r="AR44" i="19" l="1"/>
  <c r="AD44" i="19"/>
  <c r="AH44" i="19"/>
  <c r="AG44" i="19"/>
  <c r="AC44" i="19"/>
  <c r="AE44" i="19"/>
  <c r="AF44" i="19"/>
  <c r="A46" i="19"/>
  <c r="C45" i="19"/>
  <c r="B45" i="19"/>
  <c r="D45" i="19"/>
  <c r="E45" i="19"/>
  <c r="AR45" i="19" l="1"/>
  <c r="AD45" i="19"/>
  <c r="AH45" i="19"/>
  <c r="AG45" i="19"/>
  <c r="AC45" i="19"/>
  <c r="AE45" i="19"/>
  <c r="AF45" i="19"/>
  <c r="A47" i="19"/>
  <c r="E46" i="19"/>
  <c r="C46" i="19"/>
  <c r="B46" i="19"/>
  <c r="D46" i="19"/>
  <c r="AR46" i="19" l="1"/>
  <c r="AD46" i="19"/>
  <c r="AH46" i="19"/>
  <c r="AG46" i="19"/>
  <c r="AC46" i="19"/>
  <c r="AE46" i="19"/>
  <c r="AF46" i="19"/>
  <c r="A48" i="19"/>
  <c r="B47" i="19"/>
  <c r="D47" i="19"/>
  <c r="C47" i="19"/>
  <c r="E47" i="19"/>
  <c r="AR47" i="19" l="1"/>
  <c r="AD47" i="19"/>
  <c r="AH47" i="19"/>
  <c r="AG47" i="19"/>
  <c r="AC47" i="19"/>
  <c r="AF47" i="19"/>
  <c r="AE47" i="19"/>
  <c r="A49" i="19"/>
  <c r="E48" i="19"/>
  <c r="D48" i="19"/>
  <c r="B48" i="19"/>
  <c r="C48" i="19"/>
  <c r="AR48" i="19" l="1"/>
  <c r="AD48" i="19"/>
  <c r="AH48" i="19"/>
  <c r="AG48" i="19"/>
  <c r="AC48" i="19"/>
  <c r="AE48" i="19"/>
  <c r="AF48" i="19"/>
  <c r="A50" i="19"/>
  <c r="E49" i="19"/>
  <c r="D49" i="19"/>
  <c r="B49" i="19"/>
  <c r="C49" i="19"/>
  <c r="AR49" i="19" l="1"/>
  <c r="AD49" i="19"/>
  <c r="AG49" i="19"/>
  <c r="AH49" i="19"/>
  <c r="AC49" i="19"/>
  <c r="AE49" i="19"/>
  <c r="AF49" i="19"/>
  <c r="A51" i="19"/>
  <c r="D50" i="19"/>
  <c r="B50" i="19"/>
  <c r="C50" i="19"/>
  <c r="E50" i="19"/>
  <c r="AR50" i="19" l="1"/>
  <c r="AD50" i="19"/>
  <c r="AH50" i="19"/>
  <c r="AG50" i="19"/>
  <c r="AC50" i="19"/>
  <c r="AF50" i="19"/>
  <c r="AE50" i="19"/>
  <c r="A52" i="19"/>
  <c r="E51" i="19"/>
  <c r="D51" i="19"/>
  <c r="B51" i="19"/>
  <c r="C51" i="19"/>
  <c r="AR51" i="19" l="1"/>
  <c r="AD51" i="19"/>
  <c r="AH51" i="19"/>
  <c r="AG51" i="19"/>
  <c r="AC51" i="19"/>
  <c r="AF51" i="19"/>
  <c r="AE51" i="19"/>
  <c r="A53" i="19"/>
  <c r="D52" i="19"/>
  <c r="E52" i="19"/>
  <c r="B52" i="19"/>
  <c r="C52" i="19"/>
  <c r="AR52" i="19" l="1"/>
  <c r="AD52" i="19"/>
  <c r="AG52" i="19"/>
  <c r="AH52" i="19"/>
  <c r="AC52" i="19"/>
  <c r="AF52" i="19"/>
  <c r="AE52" i="19"/>
  <c r="A54" i="19"/>
  <c r="B53" i="19"/>
  <c r="C53" i="19"/>
  <c r="E53" i="19"/>
  <c r="D53" i="19"/>
  <c r="AR53" i="19" l="1"/>
  <c r="AD53" i="19"/>
  <c r="AH53" i="19"/>
  <c r="AG53" i="19"/>
  <c r="AE53" i="19"/>
  <c r="AC53" i="19"/>
  <c r="AF53" i="19"/>
  <c r="A55" i="19"/>
  <c r="C54" i="19"/>
  <c r="D54" i="19"/>
  <c r="B54" i="19"/>
  <c r="E54" i="19"/>
  <c r="AR54" i="19" l="1"/>
  <c r="AD54" i="19"/>
  <c r="AG54" i="19"/>
  <c r="AH54" i="19"/>
  <c r="AE54" i="19"/>
  <c r="AC54" i="19"/>
  <c r="AF54" i="19"/>
  <c r="A56" i="19"/>
  <c r="E55" i="19"/>
  <c r="D55" i="19"/>
  <c r="B55" i="19"/>
  <c r="C55" i="19"/>
  <c r="AR55" i="19" l="1"/>
  <c r="AD55" i="19"/>
  <c r="AH55" i="19"/>
  <c r="AG55" i="19"/>
  <c r="AC55" i="19"/>
  <c r="AE55" i="19"/>
  <c r="AF55" i="19"/>
  <c r="A57" i="19"/>
  <c r="B56" i="19"/>
  <c r="C56" i="19"/>
  <c r="E56" i="19"/>
  <c r="D56" i="19"/>
  <c r="AR56" i="19" l="1"/>
  <c r="AD56" i="19"/>
  <c r="AH56" i="19"/>
  <c r="AG56" i="19"/>
  <c r="AC56" i="19"/>
  <c r="AE56" i="19"/>
  <c r="AF56" i="19"/>
  <c r="A58" i="19"/>
  <c r="E57" i="19"/>
  <c r="B57" i="19"/>
  <c r="C57" i="19"/>
  <c r="D57" i="19"/>
  <c r="AR57" i="19" l="1"/>
  <c r="AD57" i="19"/>
  <c r="AH57" i="19"/>
  <c r="AG57" i="19"/>
  <c r="AC57" i="19"/>
  <c r="AE57" i="19"/>
  <c r="AF57" i="19"/>
  <c r="A59" i="19"/>
  <c r="D58" i="19"/>
  <c r="E58" i="19"/>
  <c r="B58" i="19"/>
  <c r="C58" i="19"/>
  <c r="AR58" i="19" l="1"/>
  <c r="AD58" i="19"/>
  <c r="AH58" i="19"/>
  <c r="AG58" i="19"/>
  <c r="AC58" i="19"/>
  <c r="AE58" i="19"/>
  <c r="AF58" i="19"/>
  <c r="A60" i="19"/>
  <c r="E59" i="19"/>
  <c r="C59" i="19"/>
  <c r="B59" i="19"/>
  <c r="D59" i="19"/>
  <c r="AR59" i="19" l="1"/>
  <c r="AD59" i="19"/>
  <c r="AH59" i="19"/>
  <c r="AG59" i="19"/>
  <c r="AC59" i="19"/>
  <c r="AF59" i="19"/>
  <c r="AE59" i="19"/>
  <c r="A61" i="19"/>
  <c r="E60" i="19"/>
  <c r="D60" i="19"/>
  <c r="C60" i="19"/>
  <c r="B60" i="19"/>
  <c r="AR60" i="19" l="1"/>
  <c r="AD60" i="19"/>
  <c r="AH60" i="19"/>
  <c r="AG60" i="19"/>
  <c r="AC60" i="19"/>
  <c r="AE60" i="19"/>
  <c r="AF60" i="19"/>
  <c r="A62" i="19"/>
  <c r="E61" i="19"/>
  <c r="C61" i="19"/>
  <c r="B61" i="19"/>
  <c r="D61" i="19"/>
  <c r="AR61" i="19" l="1"/>
  <c r="AD61" i="19"/>
  <c r="AH61" i="19"/>
  <c r="AG61" i="19"/>
  <c r="AC61" i="19"/>
  <c r="AE61" i="19"/>
  <c r="AF61" i="19"/>
  <c r="A63" i="19"/>
  <c r="E62" i="19"/>
  <c r="C62" i="19"/>
  <c r="D62" i="19"/>
  <c r="B62" i="19"/>
  <c r="AR62" i="19" l="1"/>
  <c r="AD62" i="19"/>
  <c r="AH62" i="19"/>
  <c r="AG62" i="19"/>
  <c r="AC62" i="19"/>
  <c r="AF62" i="19"/>
  <c r="AE62" i="19"/>
  <c r="A64" i="19"/>
  <c r="C63" i="19"/>
  <c r="B63" i="19"/>
  <c r="D63" i="19"/>
  <c r="E63" i="19"/>
  <c r="AR63" i="19" l="1"/>
  <c r="AD63" i="19"/>
  <c r="AH63" i="19"/>
  <c r="AG63" i="19"/>
  <c r="AC63" i="19"/>
  <c r="AF63" i="19"/>
  <c r="AE63" i="19"/>
  <c r="A65" i="19"/>
  <c r="B64" i="19"/>
  <c r="D64" i="19"/>
  <c r="E64" i="19"/>
  <c r="C64" i="19"/>
  <c r="AR64" i="19" l="1"/>
  <c r="AD64" i="19"/>
  <c r="AG64" i="19"/>
  <c r="AH64" i="19"/>
  <c r="AC64" i="19"/>
  <c r="AE64" i="19"/>
  <c r="AF64" i="19"/>
  <c r="A66" i="19"/>
  <c r="B65" i="19"/>
  <c r="C65" i="19"/>
  <c r="D65" i="19"/>
  <c r="E65" i="19"/>
  <c r="AR65" i="19" l="1"/>
  <c r="AD65" i="19"/>
  <c r="AH65" i="19"/>
  <c r="AG65" i="19"/>
  <c r="AC65" i="19"/>
  <c r="AE65" i="19"/>
  <c r="AF65" i="19"/>
  <c r="A67" i="19"/>
  <c r="E66" i="19"/>
  <c r="D66" i="19"/>
  <c r="C66" i="19"/>
  <c r="B66" i="19"/>
  <c r="AR66" i="19" l="1"/>
  <c r="AD66" i="19"/>
  <c r="AH66" i="19"/>
  <c r="AG66" i="19"/>
  <c r="AC66" i="19"/>
  <c r="AE66" i="19"/>
  <c r="AF66" i="19"/>
  <c r="A68" i="19"/>
  <c r="B67" i="19"/>
  <c r="E67" i="19"/>
  <c r="D67" i="19"/>
  <c r="C67" i="19"/>
  <c r="AR67" i="19" l="1"/>
  <c r="AD67" i="19"/>
  <c r="AH67" i="19"/>
  <c r="AG67" i="19"/>
  <c r="AC67" i="19"/>
  <c r="AE67" i="19"/>
  <c r="AF67" i="19"/>
  <c r="A69" i="19"/>
  <c r="B68" i="19"/>
  <c r="D68" i="19"/>
  <c r="C68" i="19"/>
  <c r="E68" i="19"/>
  <c r="AR68" i="19" l="1"/>
  <c r="AD68" i="19"/>
  <c r="AH68" i="19"/>
  <c r="AG68" i="19"/>
  <c r="AC68" i="19"/>
  <c r="AE68" i="19"/>
  <c r="AF68" i="19"/>
  <c r="A70" i="19"/>
  <c r="D69" i="19"/>
  <c r="B69" i="19"/>
  <c r="E69" i="19"/>
  <c r="C69" i="19"/>
  <c r="AR69" i="19" l="1"/>
  <c r="AD69" i="19"/>
  <c r="AH69" i="19"/>
  <c r="AG69" i="19"/>
  <c r="AC69" i="19"/>
  <c r="AE69" i="19"/>
  <c r="AF69" i="19"/>
  <c r="A71" i="19"/>
  <c r="C70" i="19"/>
  <c r="E70" i="19"/>
  <c r="B70" i="19"/>
  <c r="D70" i="19"/>
  <c r="AR70" i="19" l="1"/>
  <c r="AD70" i="19"/>
  <c r="AH70" i="19"/>
  <c r="AG70" i="19"/>
  <c r="AC70" i="19"/>
  <c r="AE70" i="19"/>
  <c r="AF70" i="19"/>
  <c r="A72" i="19"/>
  <c r="D71" i="19"/>
  <c r="B71" i="19"/>
  <c r="C71" i="19"/>
  <c r="E71" i="19"/>
  <c r="AR71" i="19" l="1"/>
  <c r="AD71" i="19"/>
  <c r="AH71" i="19"/>
  <c r="AG71" i="19"/>
  <c r="AC71" i="19"/>
  <c r="AE71" i="19"/>
  <c r="AF71" i="19"/>
  <c r="A73" i="19"/>
  <c r="D72" i="19"/>
  <c r="C72" i="19"/>
  <c r="B72" i="19"/>
  <c r="E72" i="19"/>
  <c r="AR72" i="19" l="1"/>
  <c r="AD72" i="19"/>
  <c r="AH72" i="19"/>
  <c r="AG72" i="19"/>
  <c r="AC72" i="19"/>
  <c r="AE72" i="19"/>
  <c r="AF72" i="19"/>
  <c r="A74" i="19"/>
  <c r="E73" i="19"/>
  <c r="B73" i="19"/>
  <c r="D73" i="19"/>
  <c r="C73" i="19"/>
  <c r="AR73" i="19" l="1"/>
  <c r="AD73" i="19"/>
  <c r="AH73" i="19"/>
  <c r="AG73" i="19"/>
  <c r="AC73" i="19"/>
  <c r="AE73" i="19"/>
  <c r="AF73" i="19"/>
  <c r="A75" i="19"/>
  <c r="C74" i="19"/>
  <c r="E74" i="19"/>
  <c r="D74" i="19"/>
  <c r="B74" i="19"/>
  <c r="AR74" i="19" l="1"/>
  <c r="AD74" i="19"/>
  <c r="AH74" i="19"/>
  <c r="AG74" i="19"/>
  <c r="AC74" i="19"/>
  <c r="AE74" i="19"/>
  <c r="AF74" i="19"/>
  <c r="A76" i="19"/>
  <c r="C75" i="19"/>
  <c r="D75" i="19"/>
  <c r="B75" i="19"/>
  <c r="E75" i="19"/>
  <c r="AR75" i="19" l="1"/>
  <c r="AD75" i="19"/>
  <c r="AH75" i="19"/>
  <c r="AG75" i="19"/>
  <c r="AC75" i="19"/>
  <c r="AE75" i="19"/>
  <c r="AF75" i="19"/>
  <c r="A77" i="19"/>
  <c r="E76" i="19"/>
  <c r="B76" i="19"/>
  <c r="C76" i="19"/>
  <c r="D76" i="19"/>
  <c r="AR76" i="19" l="1"/>
  <c r="AD76" i="19"/>
  <c r="AH76" i="19"/>
  <c r="AG76" i="19"/>
  <c r="AC76" i="19"/>
  <c r="AE76" i="19"/>
  <c r="AF76" i="19"/>
  <c r="A78" i="19"/>
  <c r="B77" i="19"/>
  <c r="C77" i="19"/>
  <c r="D77" i="19"/>
  <c r="E77" i="19"/>
  <c r="AR77" i="19" l="1"/>
  <c r="AD77" i="19"/>
  <c r="AH77" i="19"/>
  <c r="AG77" i="19"/>
  <c r="AC77" i="19"/>
  <c r="AE77" i="19"/>
  <c r="AF77" i="19"/>
  <c r="A79" i="19"/>
  <c r="E78" i="19"/>
  <c r="B78" i="19"/>
  <c r="C78" i="19"/>
  <c r="D78" i="19"/>
  <c r="AR78" i="19" l="1"/>
  <c r="AD78" i="19"/>
  <c r="AH78" i="19"/>
  <c r="AG78" i="19"/>
  <c r="AC78" i="19"/>
  <c r="AE78" i="19"/>
  <c r="AF78" i="19"/>
  <c r="A80" i="19"/>
  <c r="B79" i="19"/>
  <c r="D79" i="19"/>
  <c r="E79" i="19"/>
  <c r="C79" i="19"/>
  <c r="AR79" i="19" l="1"/>
  <c r="AD79" i="19"/>
  <c r="AH79" i="19"/>
  <c r="AG79" i="19"/>
  <c r="AC79" i="19"/>
  <c r="AE79" i="19"/>
  <c r="AF79" i="19"/>
  <c r="A81" i="19"/>
  <c r="B80" i="19"/>
  <c r="E80" i="19"/>
  <c r="C80" i="19"/>
  <c r="D80" i="19"/>
  <c r="AR80" i="19" l="1"/>
  <c r="AD80" i="19"/>
  <c r="AH80" i="19"/>
  <c r="AG80" i="19"/>
  <c r="AC80" i="19"/>
  <c r="AE80" i="19"/>
  <c r="AF80" i="19"/>
  <c r="A82" i="19"/>
  <c r="E81" i="19"/>
  <c r="C81" i="19"/>
  <c r="B81" i="19"/>
  <c r="D81" i="19"/>
  <c r="AR81" i="19" l="1"/>
  <c r="AD81" i="19"/>
  <c r="AH81" i="19"/>
  <c r="AG81" i="19"/>
  <c r="AC81" i="19"/>
  <c r="AE81" i="19"/>
  <c r="AF81" i="19"/>
  <c r="A83" i="19"/>
  <c r="C82" i="19"/>
  <c r="E82" i="19"/>
  <c r="B82" i="19"/>
  <c r="D82" i="19"/>
  <c r="AR82" i="19" l="1"/>
  <c r="AD82" i="19"/>
  <c r="AH82" i="19"/>
  <c r="AG82" i="19"/>
  <c r="AC82" i="19"/>
  <c r="AE82" i="19"/>
  <c r="AF82" i="19"/>
  <c r="A84" i="19"/>
  <c r="E83" i="19"/>
  <c r="C83" i="19"/>
  <c r="D83" i="19"/>
  <c r="B83" i="19"/>
  <c r="AR83" i="19" l="1"/>
  <c r="AD83" i="19"/>
  <c r="AH83" i="19"/>
  <c r="AG83" i="19"/>
  <c r="AC83" i="19"/>
  <c r="AE83" i="19"/>
  <c r="AF83" i="19"/>
  <c r="A85" i="19"/>
  <c r="C84" i="19"/>
  <c r="D84" i="19"/>
  <c r="B84" i="19"/>
  <c r="E84" i="19"/>
  <c r="AR84" i="19" l="1"/>
  <c r="AD84" i="19"/>
  <c r="AH84" i="19"/>
  <c r="AG84" i="19"/>
  <c r="AC84" i="19"/>
  <c r="AE84" i="19"/>
  <c r="AF84" i="19"/>
  <c r="A86" i="19"/>
  <c r="C85" i="19"/>
  <c r="E85" i="19"/>
  <c r="B85" i="19"/>
  <c r="D85" i="19"/>
  <c r="AR85" i="19" l="1"/>
  <c r="AD85" i="19"/>
  <c r="AH85" i="19"/>
  <c r="AG85" i="19"/>
  <c r="AC85" i="19"/>
  <c r="AE85" i="19"/>
  <c r="AF85" i="19"/>
  <c r="A87" i="19"/>
  <c r="B86" i="19"/>
  <c r="D86" i="19"/>
  <c r="C86" i="19"/>
  <c r="E86" i="19"/>
  <c r="AR86" i="19" l="1"/>
  <c r="AD86" i="19"/>
  <c r="AH86" i="19"/>
  <c r="AG86" i="19"/>
  <c r="AC86" i="19"/>
  <c r="AE86" i="19"/>
  <c r="AF86" i="19"/>
  <c r="A88" i="19"/>
  <c r="B87" i="19"/>
  <c r="C87" i="19"/>
  <c r="D87" i="19"/>
  <c r="E87" i="19"/>
  <c r="AR87" i="19" l="1"/>
  <c r="AD87" i="19"/>
  <c r="AH87" i="19"/>
  <c r="AG87" i="19"/>
  <c r="AC87" i="19"/>
  <c r="AE87" i="19"/>
  <c r="AF87" i="19"/>
  <c r="A89" i="19"/>
  <c r="D88" i="19"/>
  <c r="E88" i="19"/>
  <c r="B88" i="19"/>
  <c r="C88" i="19"/>
  <c r="AR88" i="19" l="1"/>
  <c r="AD88" i="19"/>
  <c r="AH88" i="19"/>
  <c r="AG88" i="19"/>
  <c r="AC88" i="19"/>
  <c r="AE88" i="19"/>
  <c r="AF88" i="19"/>
  <c r="A90" i="19"/>
  <c r="B89" i="19"/>
  <c r="C89" i="19"/>
  <c r="E89" i="19"/>
  <c r="D89" i="19"/>
  <c r="AR89" i="19" l="1"/>
  <c r="AD89" i="19"/>
  <c r="AH89" i="19"/>
  <c r="AG89" i="19"/>
  <c r="AE89" i="19"/>
  <c r="AC89" i="19"/>
  <c r="AF89" i="19"/>
  <c r="A91" i="19"/>
  <c r="E90" i="19"/>
  <c r="D90" i="19"/>
  <c r="B90" i="19"/>
  <c r="C90" i="19"/>
  <c r="AR90" i="19" l="1"/>
  <c r="AD90" i="19"/>
  <c r="AH90" i="19"/>
  <c r="AG90" i="19"/>
  <c r="AE90" i="19"/>
  <c r="AC90" i="19"/>
  <c r="AF90" i="19"/>
  <c r="A92" i="19"/>
  <c r="E91" i="19"/>
  <c r="D91" i="19"/>
  <c r="C91" i="19"/>
  <c r="B91" i="19"/>
  <c r="AR91" i="19" l="1"/>
  <c r="AD91" i="19"/>
  <c r="AH91" i="19"/>
  <c r="AG91" i="19"/>
  <c r="AC91" i="19"/>
  <c r="AE91" i="19"/>
  <c r="AF91" i="19"/>
  <c r="A93" i="19"/>
  <c r="E92" i="19"/>
  <c r="B92" i="19"/>
  <c r="C92" i="19"/>
  <c r="D92" i="19"/>
  <c r="AR92" i="19" l="1"/>
  <c r="AD92" i="19"/>
  <c r="AH92" i="19"/>
  <c r="AG92" i="19"/>
  <c r="AC92" i="19"/>
  <c r="AE92" i="19"/>
  <c r="AF92" i="19"/>
  <c r="A94" i="19"/>
  <c r="B93" i="19"/>
  <c r="D93" i="19"/>
  <c r="E93" i="19"/>
  <c r="C93" i="19"/>
  <c r="AR93" i="19" l="1"/>
  <c r="AD93" i="19"/>
  <c r="AH93" i="19"/>
  <c r="AG93" i="19"/>
  <c r="AC93" i="19"/>
  <c r="AE93" i="19"/>
  <c r="AF93" i="19"/>
  <c r="A95" i="19"/>
  <c r="B94" i="19"/>
  <c r="D94" i="19"/>
  <c r="C94" i="19"/>
  <c r="E94" i="19"/>
  <c r="AR94" i="19" l="1"/>
  <c r="AD94" i="19"/>
  <c r="AH94" i="19"/>
  <c r="AG94" i="19"/>
  <c r="AC94" i="19"/>
  <c r="AE94" i="19"/>
  <c r="AF94" i="19"/>
  <c r="A96" i="19"/>
  <c r="B95" i="19"/>
  <c r="E95" i="19"/>
  <c r="D95" i="19"/>
  <c r="C95" i="19"/>
  <c r="AR95" i="19" l="1"/>
  <c r="AD95" i="19"/>
  <c r="AG95" i="19"/>
  <c r="AH95" i="19"/>
  <c r="AC95" i="19"/>
  <c r="AE95" i="19"/>
  <c r="AF95" i="19"/>
  <c r="A97" i="19"/>
  <c r="E96" i="19"/>
  <c r="D96" i="19"/>
  <c r="B96" i="19"/>
  <c r="C96" i="19"/>
  <c r="AR96" i="19" l="1"/>
  <c r="AD96" i="19"/>
  <c r="AH96" i="19"/>
  <c r="AG96" i="19"/>
  <c r="AC96" i="19"/>
  <c r="AE96" i="19"/>
  <c r="AF96" i="19"/>
  <c r="A98" i="19"/>
  <c r="B97" i="19"/>
  <c r="C97" i="19"/>
  <c r="D97" i="19"/>
  <c r="E97" i="19"/>
  <c r="AR97" i="19" l="1"/>
  <c r="AD97" i="19"/>
  <c r="AH97" i="19"/>
  <c r="AG97" i="19"/>
  <c r="AC97" i="19"/>
  <c r="AF97" i="19"/>
  <c r="AE97" i="19"/>
  <c r="A99" i="19"/>
  <c r="E98" i="19"/>
  <c r="B98" i="19"/>
  <c r="D98" i="19"/>
  <c r="C98" i="19"/>
  <c r="AR98" i="19" l="1"/>
  <c r="AD98" i="19"/>
  <c r="AG98" i="19"/>
  <c r="AH98" i="19"/>
  <c r="AC98" i="19"/>
  <c r="AE98" i="19"/>
  <c r="AF98" i="19"/>
  <c r="E99" i="19"/>
  <c r="C99" i="19"/>
  <c r="D99" i="19"/>
  <c r="A100" i="19"/>
  <c r="B99" i="19"/>
  <c r="AR99" i="19" l="1"/>
  <c r="AD99" i="19"/>
  <c r="AH99" i="19"/>
  <c r="AG99" i="19"/>
  <c r="AC99" i="19"/>
  <c r="AF99" i="19"/>
  <c r="AE99" i="19"/>
  <c r="A101" i="19"/>
  <c r="D100" i="19"/>
  <c r="B100" i="19"/>
  <c r="C100" i="19"/>
  <c r="E100" i="19"/>
  <c r="AR100" i="19" l="1"/>
  <c r="AD100" i="19"/>
  <c r="AH100" i="19"/>
  <c r="AG100" i="19"/>
  <c r="AC100" i="19"/>
  <c r="AF100" i="19"/>
  <c r="AE100" i="19"/>
  <c r="A102" i="19"/>
  <c r="B101" i="19"/>
  <c r="D101" i="19"/>
  <c r="C101" i="19"/>
  <c r="E101" i="19"/>
  <c r="AR101" i="19" l="1"/>
  <c r="AD101" i="19"/>
  <c r="AH101" i="19"/>
  <c r="AG101" i="19"/>
  <c r="AC101" i="19"/>
  <c r="AE101" i="19"/>
  <c r="AF101" i="19"/>
  <c r="A103" i="19"/>
  <c r="B102" i="19"/>
  <c r="C102" i="19"/>
  <c r="D102" i="19"/>
  <c r="E102" i="19"/>
  <c r="AR102" i="19" l="1"/>
  <c r="AD102" i="19"/>
  <c r="AH102" i="19"/>
  <c r="AG102" i="19"/>
  <c r="AC102" i="19"/>
  <c r="AE102" i="19"/>
  <c r="AF102" i="19"/>
  <c r="A104" i="19"/>
  <c r="C103" i="19"/>
  <c r="B103" i="19"/>
  <c r="E103" i="19"/>
  <c r="D103" i="19"/>
  <c r="AR103" i="19" l="1"/>
  <c r="AD103" i="19"/>
  <c r="AH103" i="19"/>
  <c r="AG103" i="19"/>
  <c r="AC103" i="19"/>
  <c r="AE103" i="19"/>
  <c r="AF103" i="19"/>
  <c r="A105" i="19"/>
  <c r="D104" i="19"/>
  <c r="C104" i="19"/>
  <c r="B104" i="19"/>
  <c r="E104" i="19"/>
  <c r="AR104" i="19" l="1"/>
  <c r="AD104" i="19"/>
  <c r="AH104" i="19"/>
  <c r="AG104" i="19"/>
  <c r="AC104" i="19"/>
  <c r="AF104" i="19"/>
  <c r="AE104" i="19"/>
  <c r="A106" i="19"/>
  <c r="B105" i="19"/>
  <c r="C105" i="19"/>
  <c r="E105" i="19"/>
  <c r="D105" i="19"/>
  <c r="AR105" i="19" l="1"/>
  <c r="AD105" i="19"/>
  <c r="AH105" i="19"/>
  <c r="AG105" i="19"/>
  <c r="AC105" i="19"/>
  <c r="AF105" i="19"/>
  <c r="AE105" i="19"/>
  <c r="A107" i="19"/>
  <c r="B106" i="19"/>
  <c r="E106" i="19"/>
  <c r="D106" i="19"/>
  <c r="C106" i="19"/>
  <c r="AR106" i="19" l="1"/>
  <c r="AD106" i="19"/>
  <c r="AH106" i="19"/>
  <c r="AG106" i="19"/>
  <c r="AC106" i="19"/>
  <c r="AF106" i="19"/>
  <c r="AE106" i="19"/>
  <c r="C107" i="19"/>
  <c r="A108" i="19"/>
  <c r="B107" i="19"/>
  <c r="E107" i="19"/>
  <c r="D107" i="19"/>
  <c r="AR107" i="19" l="1"/>
  <c r="AD107" i="19"/>
  <c r="AH107" i="19"/>
  <c r="AG107" i="19"/>
  <c r="AC107" i="19"/>
  <c r="AE107" i="19"/>
  <c r="AF107" i="19"/>
  <c r="C108" i="19"/>
  <c r="A109" i="19"/>
  <c r="D108" i="19"/>
  <c r="B108" i="19"/>
  <c r="E108" i="19"/>
  <c r="AR108" i="19" l="1"/>
  <c r="AD108" i="19"/>
  <c r="AH108" i="19"/>
  <c r="AG108" i="19"/>
  <c r="AF108" i="19"/>
  <c r="AC108" i="19"/>
  <c r="AE108" i="19"/>
  <c r="A110" i="19"/>
  <c r="D109" i="19"/>
  <c r="B109" i="19"/>
  <c r="E109" i="19"/>
  <c r="C109" i="19"/>
  <c r="AR109" i="19" l="1"/>
  <c r="AD109" i="19"/>
  <c r="AH109" i="19"/>
  <c r="AG109" i="19"/>
  <c r="AC109" i="19"/>
  <c r="AF109" i="19"/>
  <c r="AE109" i="19"/>
  <c r="A111" i="19"/>
  <c r="D110" i="19"/>
  <c r="C110" i="19"/>
  <c r="E110" i="19"/>
  <c r="B110" i="19"/>
  <c r="AR110" i="19" l="1"/>
  <c r="AD110" i="19"/>
  <c r="AH110" i="19"/>
  <c r="AG110" i="19"/>
  <c r="AC110" i="19"/>
  <c r="AE110" i="19"/>
  <c r="AF110" i="19"/>
  <c r="A112" i="19"/>
  <c r="C111" i="19"/>
  <c r="E111" i="19"/>
  <c r="B111" i="19"/>
  <c r="D111" i="19"/>
  <c r="AR111" i="19" l="1"/>
  <c r="AD111" i="19"/>
  <c r="AH111" i="19"/>
  <c r="AG111" i="19"/>
  <c r="AC111" i="19"/>
  <c r="AF111" i="19"/>
  <c r="AE111" i="19"/>
  <c r="A113" i="19"/>
  <c r="D112" i="19"/>
  <c r="B112" i="19"/>
  <c r="C112" i="19"/>
  <c r="E112" i="19"/>
  <c r="AR112" i="19" l="1"/>
  <c r="AD112" i="19"/>
  <c r="AG112" i="19"/>
  <c r="AH112" i="19"/>
  <c r="AC112" i="19"/>
  <c r="AE112" i="19"/>
  <c r="AF112" i="19"/>
  <c r="A114" i="19"/>
  <c r="B113" i="19"/>
  <c r="C113" i="19"/>
  <c r="D113" i="19"/>
  <c r="E113" i="19"/>
  <c r="AR113" i="19" l="1"/>
  <c r="AD113" i="19"/>
  <c r="AH113" i="19"/>
  <c r="AG113" i="19"/>
  <c r="AC113" i="19"/>
  <c r="AE113" i="19"/>
  <c r="AF113" i="19"/>
  <c r="A115" i="19"/>
  <c r="D114" i="19"/>
  <c r="E114" i="19"/>
  <c r="C114" i="19"/>
  <c r="B114" i="19"/>
  <c r="AR114" i="19" l="1"/>
  <c r="AD114" i="19"/>
  <c r="AH114" i="19"/>
  <c r="AG114" i="19"/>
  <c r="AC114" i="19"/>
  <c r="AF114" i="19"/>
  <c r="AE114" i="19"/>
  <c r="A116" i="19"/>
  <c r="C115" i="19"/>
  <c r="D115" i="19"/>
  <c r="B115" i="19"/>
  <c r="E115" i="19"/>
  <c r="AR115" i="19" l="1"/>
  <c r="AD115" i="19"/>
  <c r="AH115" i="19"/>
  <c r="AG115" i="19"/>
  <c r="AC115" i="19"/>
  <c r="AF115" i="19"/>
  <c r="AE115" i="19"/>
  <c r="A117" i="19"/>
  <c r="E116" i="19"/>
  <c r="D116" i="19"/>
  <c r="B116" i="19"/>
  <c r="C116" i="19"/>
  <c r="AR116" i="19" l="1"/>
  <c r="AD116" i="19"/>
  <c r="AH116" i="19"/>
  <c r="AG116" i="19"/>
  <c r="AC116" i="19"/>
  <c r="AF116" i="19"/>
  <c r="AE116" i="19"/>
  <c r="A118" i="19"/>
  <c r="C117" i="19"/>
  <c r="D117" i="19"/>
  <c r="B117" i="19"/>
  <c r="E117" i="19"/>
  <c r="AR117" i="19" l="1"/>
  <c r="AD117" i="19"/>
  <c r="AH117" i="19"/>
  <c r="AG117" i="19"/>
  <c r="AC117" i="19"/>
  <c r="AE117" i="19"/>
  <c r="AF117" i="19"/>
  <c r="A119" i="19"/>
  <c r="D118" i="19"/>
  <c r="E118" i="19"/>
  <c r="C118" i="19"/>
  <c r="B118" i="19"/>
  <c r="AR118" i="19" l="1"/>
  <c r="AD118" i="19"/>
  <c r="AH118" i="19"/>
  <c r="AG118" i="19"/>
  <c r="AC118" i="19"/>
  <c r="AE118" i="19"/>
  <c r="AF118" i="19"/>
  <c r="A120" i="19"/>
  <c r="B119" i="19"/>
  <c r="C119" i="19"/>
  <c r="D119" i="19"/>
  <c r="E119" i="19"/>
  <c r="AR119" i="19" l="1"/>
  <c r="AD119" i="19"/>
  <c r="AG119" i="19"/>
  <c r="AH119" i="19"/>
  <c r="AF119" i="19"/>
  <c r="AC119" i="19"/>
  <c r="AE119" i="19"/>
  <c r="A121" i="19"/>
  <c r="B120" i="19"/>
  <c r="E120" i="19"/>
  <c r="C120" i="19"/>
  <c r="D120" i="19"/>
  <c r="AR120" i="19" l="1"/>
  <c r="AD120" i="19"/>
  <c r="AH120" i="19"/>
  <c r="AG120" i="19"/>
  <c r="AC120" i="19"/>
  <c r="AF120" i="19"/>
  <c r="AE120" i="19"/>
  <c r="D121" i="19"/>
  <c r="A122" i="19"/>
  <c r="B121" i="19"/>
  <c r="E121" i="19"/>
  <c r="C121" i="19"/>
  <c r="AR121" i="19" l="1"/>
  <c r="AD121" i="19"/>
  <c r="AH121" i="19"/>
  <c r="AG121" i="19"/>
  <c r="AC121" i="19"/>
  <c r="AE121" i="19"/>
  <c r="AF121" i="19"/>
  <c r="A123" i="19"/>
  <c r="B122" i="19"/>
  <c r="C122" i="19"/>
  <c r="D122" i="19"/>
  <c r="E122" i="19"/>
  <c r="AR122" i="19" l="1"/>
  <c r="AD122" i="19"/>
  <c r="AG122" i="19"/>
  <c r="AH122" i="19"/>
  <c r="AC122" i="19"/>
  <c r="AE122" i="19"/>
  <c r="AF122" i="19"/>
  <c r="A124" i="19"/>
  <c r="B123" i="19"/>
  <c r="D123" i="19"/>
  <c r="E123" i="19"/>
  <c r="C123" i="19"/>
  <c r="AR123" i="19" l="1"/>
  <c r="AD123" i="19"/>
  <c r="AG123" i="19"/>
  <c r="AH123" i="19"/>
  <c r="AC123" i="19"/>
  <c r="AF123" i="19"/>
  <c r="AE123" i="19"/>
  <c r="D124" i="19"/>
  <c r="E124" i="19"/>
  <c r="B124" i="19"/>
  <c r="C124" i="19"/>
  <c r="A125" i="19"/>
  <c r="AR124" i="19" l="1"/>
  <c r="AD124" i="19"/>
  <c r="AG124" i="19"/>
  <c r="AH124" i="19"/>
  <c r="AC124" i="19"/>
  <c r="AF124" i="19"/>
  <c r="AE124" i="19"/>
  <c r="C125" i="19"/>
  <c r="D125" i="19"/>
  <c r="B125" i="19"/>
  <c r="A126" i="19"/>
  <c r="E125" i="19"/>
  <c r="AR125" i="19" l="1"/>
  <c r="AD125" i="19"/>
  <c r="AG125" i="19"/>
  <c r="AH125" i="19"/>
  <c r="AE125" i="19"/>
  <c r="AC125" i="19"/>
  <c r="AF125" i="19"/>
  <c r="D126" i="19"/>
  <c r="B126" i="19"/>
  <c r="A127" i="19"/>
  <c r="E126" i="19"/>
  <c r="C126" i="19"/>
  <c r="AR126" i="19" l="1"/>
  <c r="AD126" i="19"/>
  <c r="AH126" i="19"/>
  <c r="AG126" i="19"/>
  <c r="AE126" i="19"/>
  <c r="AC126" i="19"/>
  <c r="AF126" i="19"/>
  <c r="A128" i="19"/>
  <c r="C127" i="19"/>
  <c r="E127" i="19"/>
  <c r="B127" i="19"/>
  <c r="D127" i="19"/>
  <c r="AR127" i="19" l="1"/>
  <c r="AD127" i="19"/>
  <c r="AH127" i="19"/>
  <c r="AG127" i="19"/>
  <c r="AC127" i="19"/>
  <c r="AE127" i="19"/>
  <c r="AF127" i="19"/>
  <c r="A129" i="19"/>
  <c r="D128" i="19"/>
  <c r="B128" i="19"/>
  <c r="C128" i="19"/>
  <c r="E128" i="19"/>
  <c r="AR128" i="19" l="1"/>
  <c r="AD128" i="19"/>
  <c r="AH128" i="19"/>
  <c r="AG128" i="19"/>
  <c r="AC128" i="19"/>
  <c r="AE128" i="19"/>
  <c r="AF128" i="19"/>
  <c r="D129" i="19"/>
  <c r="A130" i="19"/>
  <c r="E129" i="19"/>
  <c r="C129" i="19"/>
  <c r="B129" i="19"/>
  <c r="AR129" i="19" l="1"/>
  <c r="AD129" i="19"/>
  <c r="AH129" i="19"/>
  <c r="AG129" i="19"/>
  <c r="AC129" i="19"/>
  <c r="AF129" i="19"/>
  <c r="AE129" i="19"/>
  <c r="A131" i="19"/>
  <c r="E130" i="19"/>
  <c r="B130" i="19"/>
  <c r="D130" i="19"/>
  <c r="C130" i="19"/>
  <c r="AR130" i="19" l="1"/>
  <c r="AD130" i="19"/>
  <c r="AH130" i="19"/>
  <c r="AG130" i="19"/>
  <c r="AC130" i="19"/>
  <c r="AE130" i="19"/>
  <c r="AF130" i="19"/>
  <c r="D131" i="19"/>
  <c r="A132" i="19"/>
  <c r="C131" i="19"/>
  <c r="B131" i="19"/>
  <c r="E131" i="19"/>
  <c r="AR131" i="19" l="1"/>
  <c r="AD131" i="19"/>
  <c r="AH131" i="19"/>
  <c r="AG131" i="19"/>
  <c r="AC131" i="19"/>
  <c r="AE131" i="19"/>
  <c r="AF131" i="19"/>
  <c r="A133" i="19"/>
  <c r="D132" i="19"/>
  <c r="E132" i="19"/>
  <c r="B132" i="19"/>
  <c r="C132" i="19"/>
  <c r="AR132" i="19" l="1"/>
  <c r="AD132" i="19"/>
  <c r="AH132" i="19"/>
  <c r="AG132" i="19"/>
  <c r="AC132" i="19"/>
  <c r="AE132" i="19"/>
  <c r="AF132" i="19"/>
  <c r="A134" i="19"/>
  <c r="B133" i="19"/>
  <c r="C133" i="19"/>
  <c r="E133" i="19"/>
  <c r="D133" i="19"/>
  <c r="AR133" i="19" l="1"/>
  <c r="AD133" i="19"/>
  <c r="AH133" i="19"/>
  <c r="AG133" i="19"/>
  <c r="AC133" i="19"/>
  <c r="AE133" i="19"/>
  <c r="AF133" i="19"/>
  <c r="A135" i="19"/>
  <c r="B134" i="19"/>
  <c r="D134" i="19"/>
  <c r="C134" i="19"/>
  <c r="E134" i="19"/>
  <c r="AR134" i="19" l="1"/>
  <c r="AD134" i="19"/>
  <c r="AH134" i="19"/>
  <c r="AG134" i="19"/>
  <c r="AC134" i="19"/>
  <c r="AF134" i="19"/>
  <c r="AE134" i="19"/>
  <c r="E135" i="19"/>
  <c r="A136" i="19"/>
  <c r="C135" i="19"/>
  <c r="B135" i="19"/>
  <c r="D135" i="19"/>
  <c r="AR135" i="19" l="1"/>
  <c r="AD135" i="19"/>
  <c r="AH135" i="19"/>
  <c r="AG135" i="19"/>
  <c r="AC135" i="19"/>
  <c r="AF135" i="19"/>
  <c r="AE135" i="19"/>
  <c r="A137" i="19"/>
  <c r="E136" i="19"/>
  <c r="B136" i="19"/>
  <c r="C136" i="19"/>
  <c r="D136" i="19"/>
  <c r="AR136" i="19" l="1"/>
  <c r="AD136" i="19"/>
  <c r="AH136" i="19"/>
  <c r="AG136" i="19"/>
  <c r="AC136" i="19"/>
  <c r="AE136" i="19"/>
  <c r="AF136" i="19"/>
  <c r="A138" i="19"/>
  <c r="C137" i="19"/>
  <c r="B137" i="19"/>
  <c r="E137" i="19"/>
  <c r="D137" i="19"/>
  <c r="AR137" i="19" l="1"/>
  <c r="AD137" i="19"/>
  <c r="AG137" i="19"/>
  <c r="AH137" i="19"/>
  <c r="AC137" i="19"/>
  <c r="AF137" i="19"/>
  <c r="AE137" i="19"/>
  <c r="A139" i="19"/>
  <c r="B138" i="19"/>
  <c r="C138" i="19"/>
  <c r="E138" i="19"/>
  <c r="D138" i="19"/>
  <c r="AR138" i="19" l="1"/>
  <c r="AD138" i="19"/>
  <c r="AG138" i="19"/>
  <c r="AH138" i="19"/>
  <c r="AC138" i="19"/>
  <c r="AF138" i="19"/>
  <c r="AE138" i="19"/>
  <c r="A140" i="19"/>
  <c r="B139" i="19"/>
  <c r="C139" i="19"/>
  <c r="D139" i="19"/>
  <c r="E139" i="19"/>
  <c r="AR139" i="19" l="1"/>
  <c r="AD139" i="19"/>
  <c r="AG139" i="19"/>
  <c r="AH139" i="19"/>
  <c r="AC139" i="19"/>
  <c r="AE139" i="19"/>
  <c r="AF139" i="19"/>
  <c r="A141" i="19"/>
  <c r="E140" i="19"/>
  <c r="C140" i="19"/>
  <c r="B140" i="19"/>
  <c r="D140" i="19"/>
  <c r="AR140" i="19" l="1"/>
  <c r="AD140" i="19"/>
  <c r="AH140" i="19"/>
  <c r="AG140" i="19"/>
  <c r="AC140" i="19"/>
  <c r="AE140" i="19"/>
  <c r="AF140" i="19"/>
  <c r="A142" i="19"/>
  <c r="B141" i="19"/>
  <c r="E141" i="19"/>
  <c r="C141" i="19"/>
  <c r="D141" i="19"/>
  <c r="AR141" i="19" l="1"/>
  <c r="AD141" i="19"/>
  <c r="AH141" i="19"/>
  <c r="AG141" i="19"/>
  <c r="AC141" i="19"/>
  <c r="AF141" i="19"/>
  <c r="AE141" i="19"/>
  <c r="A143" i="19"/>
  <c r="C142" i="19"/>
  <c r="D142" i="19"/>
  <c r="B142" i="19"/>
  <c r="E142" i="19"/>
  <c r="AR142" i="19" l="1"/>
  <c r="AD142" i="19"/>
  <c r="AH142" i="19"/>
  <c r="AG142" i="19"/>
  <c r="AC142" i="19"/>
  <c r="AE142" i="19"/>
  <c r="AF142" i="19"/>
  <c r="A144" i="19"/>
  <c r="B143" i="19"/>
  <c r="E143" i="19"/>
  <c r="C143" i="19"/>
  <c r="D143" i="19"/>
  <c r="AR143" i="19" l="1"/>
  <c r="AD143" i="19"/>
  <c r="AH143" i="19"/>
  <c r="AG143" i="19"/>
  <c r="AC143" i="19"/>
  <c r="AE143" i="19"/>
  <c r="AF143" i="19"/>
  <c r="A145" i="19"/>
  <c r="C144" i="19"/>
  <c r="D144" i="19"/>
  <c r="B144" i="19"/>
  <c r="E144" i="19"/>
  <c r="AR144" i="19" l="1"/>
  <c r="AD144" i="19"/>
  <c r="AH144" i="19"/>
  <c r="AG144" i="19"/>
  <c r="AC144" i="19"/>
  <c r="AF144" i="19"/>
  <c r="AE144" i="19"/>
  <c r="A146" i="19"/>
  <c r="B145" i="19"/>
  <c r="C145" i="19"/>
  <c r="E145" i="19"/>
  <c r="D145" i="19"/>
  <c r="AR145" i="19" l="1"/>
  <c r="AD145" i="19"/>
  <c r="AH145" i="19"/>
  <c r="AG145" i="19"/>
  <c r="AC145" i="19"/>
  <c r="AE145" i="19"/>
  <c r="AF145" i="19"/>
  <c r="A147" i="19"/>
  <c r="D146" i="19"/>
  <c r="E146" i="19"/>
  <c r="C146" i="19"/>
  <c r="B146" i="19"/>
  <c r="AR146" i="19" l="1"/>
  <c r="AD146" i="19"/>
  <c r="AG146" i="19"/>
  <c r="AH146" i="19"/>
  <c r="AC146" i="19"/>
  <c r="AF146" i="19"/>
  <c r="AE146" i="19"/>
  <c r="A148" i="19"/>
  <c r="E147" i="19"/>
  <c r="D147" i="19"/>
  <c r="B147" i="19"/>
  <c r="C147" i="19"/>
  <c r="AR147" i="19" l="1"/>
  <c r="AD147" i="19"/>
  <c r="AH147" i="19"/>
  <c r="AG147" i="19"/>
  <c r="AC147" i="19"/>
  <c r="AF147" i="19"/>
  <c r="AE147" i="19"/>
  <c r="A149" i="19"/>
  <c r="B148" i="19"/>
  <c r="C148" i="19"/>
  <c r="D148" i="19"/>
  <c r="E148" i="19"/>
  <c r="AR148" i="19" l="1"/>
  <c r="AD148" i="19"/>
  <c r="AH148" i="19"/>
  <c r="AG148" i="19"/>
  <c r="AC148" i="19"/>
  <c r="AE148" i="19"/>
  <c r="AF148" i="19"/>
  <c r="A150" i="19"/>
  <c r="D149" i="19"/>
  <c r="C149" i="19"/>
  <c r="E149" i="19"/>
  <c r="B149" i="19"/>
  <c r="AR149" i="19" l="1"/>
  <c r="AD149" i="19"/>
  <c r="AH149" i="19"/>
  <c r="AG149" i="19"/>
  <c r="AC149" i="19"/>
  <c r="AF149" i="19"/>
  <c r="AE149" i="19"/>
  <c r="A151" i="19"/>
  <c r="B150" i="19"/>
  <c r="D150" i="19"/>
  <c r="C150" i="19"/>
  <c r="E150" i="19"/>
  <c r="AR150" i="19" l="1"/>
  <c r="AD150" i="19"/>
  <c r="AH150" i="19"/>
  <c r="AG150" i="19"/>
  <c r="AC150" i="19"/>
  <c r="AF150" i="19"/>
  <c r="AE150" i="19"/>
  <c r="A152" i="19"/>
  <c r="E151" i="19"/>
  <c r="B151" i="19"/>
  <c r="D151" i="19"/>
  <c r="C151" i="19"/>
  <c r="AR151" i="19" l="1"/>
  <c r="AD151" i="19"/>
  <c r="AH151" i="19"/>
  <c r="AG151" i="19"/>
  <c r="AC151" i="19"/>
  <c r="AE151" i="19"/>
  <c r="AF151" i="19"/>
  <c r="A153" i="19"/>
  <c r="B152" i="19"/>
  <c r="C152" i="19"/>
  <c r="D152" i="19"/>
  <c r="E152" i="19"/>
  <c r="AR152" i="19" l="1"/>
  <c r="AD152" i="19"/>
  <c r="AH152" i="19"/>
  <c r="AG152" i="19"/>
  <c r="AC152" i="19"/>
  <c r="AE152" i="19"/>
  <c r="AF152" i="19"/>
  <c r="A154" i="19"/>
  <c r="E153" i="19"/>
  <c r="B153" i="19"/>
  <c r="D153" i="19"/>
  <c r="C153" i="19"/>
  <c r="AR153" i="19" l="1"/>
  <c r="AD153" i="19"/>
  <c r="AH153" i="19"/>
  <c r="AG153" i="19"/>
  <c r="AC153" i="19"/>
  <c r="AF153" i="19"/>
  <c r="AE153" i="19"/>
  <c r="A155" i="19"/>
  <c r="D154" i="19"/>
  <c r="B154" i="19"/>
  <c r="E154" i="19"/>
  <c r="C154" i="19"/>
  <c r="AR154" i="19" l="1"/>
  <c r="AD154" i="19"/>
  <c r="AH154" i="19"/>
  <c r="AG154" i="19"/>
  <c r="AC154" i="19"/>
  <c r="AE154" i="19"/>
  <c r="AF154" i="19"/>
  <c r="A156" i="19"/>
  <c r="E155" i="19"/>
  <c r="C155" i="19"/>
  <c r="D155" i="19"/>
  <c r="B155" i="19"/>
  <c r="AR155" i="19" l="1"/>
  <c r="AD155" i="19"/>
  <c r="AH155" i="19"/>
  <c r="AG155" i="19"/>
  <c r="AC155" i="19"/>
  <c r="AE155" i="19"/>
  <c r="AF155" i="19"/>
  <c r="A157" i="19"/>
  <c r="E156" i="19"/>
  <c r="B156" i="19"/>
  <c r="C156" i="19"/>
  <c r="D156" i="19"/>
  <c r="AR156" i="19" l="1"/>
  <c r="AD156" i="19"/>
  <c r="AH156" i="19"/>
  <c r="AG156" i="19"/>
  <c r="AE156" i="19"/>
  <c r="AC156" i="19"/>
  <c r="AF156" i="19"/>
  <c r="A158" i="19"/>
  <c r="D157" i="19"/>
  <c r="C157" i="19"/>
  <c r="E157" i="19"/>
  <c r="B157" i="19"/>
  <c r="AR157" i="19" l="1"/>
  <c r="AD157" i="19"/>
  <c r="AG157" i="19"/>
  <c r="AH157" i="19"/>
  <c r="AE157" i="19"/>
  <c r="AC157" i="19"/>
  <c r="AF157" i="19"/>
  <c r="A159" i="19"/>
  <c r="C158" i="19"/>
  <c r="D158" i="19"/>
  <c r="E158" i="19"/>
  <c r="B158" i="19"/>
  <c r="AR158" i="19" l="1"/>
  <c r="AD158" i="19"/>
  <c r="AG158" i="19"/>
  <c r="AH158" i="19"/>
  <c r="AC158" i="19"/>
  <c r="AE158" i="19"/>
  <c r="AF158" i="19"/>
  <c r="A160" i="19"/>
  <c r="E159" i="19"/>
  <c r="B159" i="19"/>
  <c r="D159" i="19"/>
  <c r="C159" i="19"/>
  <c r="AR159" i="19" l="1"/>
  <c r="AD159" i="19"/>
  <c r="AG159" i="19"/>
  <c r="AH159" i="19"/>
  <c r="AC159" i="19"/>
  <c r="AE159" i="19"/>
  <c r="AF159" i="19"/>
  <c r="A161" i="19"/>
  <c r="D160" i="19"/>
  <c r="B160" i="19"/>
  <c r="C160" i="19"/>
  <c r="E160" i="19"/>
  <c r="AR160" i="19" l="1"/>
  <c r="AD160" i="19"/>
  <c r="AH160" i="19"/>
  <c r="AG160" i="19"/>
  <c r="AC160" i="19"/>
  <c r="AE160" i="19"/>
  <c r="AF160" i="19"/>
  <c r="A162" i="19"/>
  <c r="E161" i="19"/>
  <c r="B161" i="19"/>
  <c r="C161" i="19"/>
  <c r="D161" i="19"/>
  <c r="AR161" i="19" l="1"/>
  <c r="AD161" i="19"/>
  <c r="AH161" i="19"/>
  <c r="AG161" i="19"/>
  <c r="AC161" i="19"/>
  <c r="AE161" i="19"/>
  <c r="AF161" i="19"/>
  <c r="A163" i="19"/>
  <c r="D162" i="19"/>
  <c r="B162" i="19"/>
  <c r="C162" i="19"/>
  <c r="E162" i="19"/>
  <c r="AR162" i="19" l="1"/>
  <c r="AD162" i="19"/>
  <c r="AG162" i="19"/>
  <c r="AH162" i="19"/>
  <c r="AC162" i="19"/>
  <c r="AE162" i="19"/>
  <c r="AF162" i="19"/>
  <c r="A164" i="19"/>
  <c r="C163" i="19"/>
  <c r="E163" i="19"/>
  <c r="D163" i="19"/>
  <c r="B163" i="19"/>
  <c r="AR163" i="19" l="1"/>
  <c r="AD163" i="19"/>
  <c r="AH163" i="19"/>
  <c r="AG163" i="19"/>
  <c r="AC163" i="19"/>
  <c r="AE163" i="19"/>
  <c r="AF163" i="19"/>
  <c r="A165" i="19"/>
  <c r="B164" i="19"/>
  <c r="D164" i="19"/>
  <c r="C164" i="19"/>
  <c r="E164" i="19"/>
  <c r="AR164" i="19" l="1"/>
  <c r="AD164" i="19"/>
  <c r="AG164" i="19"/>
  <c r="AH164" i="19"/>
  <c r="AC164" i="19"/>
  <c r="AE164" i="19"/>
  <c r="AF164" i="19"/>
  <c r="A166" i="19"/>
  <c r="C165" i="19"/>
  <c r="B165" i="19"/>
  <c r="D165" i="19"/>
  <c r="E165" i="19"/>
  <c r="AR165" i="19" l="1"/>
  <c r="AD165" i="19"/>
  <c r="AH165" i="19"/>
  <c r="AG165" i="19"/>
  <c r="AC165" i="19"/>
  <c r="AE165" i="19"/>
  <c r="AF165" i="19"/>
  <c r="A167" i="19"/>
  <c r="E166" i="19"/>
  <c r="D166" i="19"/>
  <c r="B166" i="19"/>
  <c r="C166" i="19"/>
  <c r="AR166" i="19" l="1"/>
  <c r="AD166" i="19"/>
  <c r="AH166" i="19"/>
  <c r="AG166" i="19"/>
  <c r="AC166" i="19"/>
  <c r="AE166" i="19"/>
  <c r="AF166" i="19"/>
  <c r="A168" i="19"/>
  <c r="B167" i="19"/>
  <c r="E167" i="19"/>
  <c r="C167" i="19"/>
  <c r="D167" i="19"/>
  <c r="AR167" i="19" l="1"/>
  <c r="AD167" i="19"/>
  <c r="AH167" i="19"/>
  <c r="AG167" i="19"/>
  <c r="AC167" i="19"/>
  <c r="AE167" i="19"/>
  <c r="AF167" i="19"/>
  <c r="A169" i="19"/>
  <c r="E168" i="19"/>
  <c r="B168" i="19"/>
  <c r="C168" i="19"/>
  <c r="D168" i="19"/>
  <c r="AR168" i="19" l="1"/>
  <c r="AD168" i="19"/>
  <c r="AH168" i="19"/>
  <c r="AG168" i="19"/>
  <c r="AC168" i="19"/>
  <c r="AE168" i="19"/>
  <c r="AF168" i="19"/>
  <c r="A170" i="19"/>
  <c r="E169" i="19"/>
  <c r="D169" i="19"/>
  <c r="B169" i="19"/>
  <c r="C169" i="19"/>
  <c r="AR169" i="19" l="1"/>
  <c r="AD169" i="19"/>
  <c r="AG169" i="19"/>
  <c r="AH169" i="19"/>
  <c r="AC169" i="19"/>
  <c r="AE169" i="19"/>
  <c r="AF169" i="19"/>
  <c r="A171" i="19"/>
  <c r="B170" i="19"/>
  <c r="D170" i="19"/>
  <c r="E170" i="19"/>
  <c r="C170" i="19"/>
  <c r="AR170" i="19" l="1"/>
  <c r="AD170" i="19"/>
  <c r="AH170" i="19"/>
  <c r="AG170" i="19"/>
  <c r="AC170" i="19"/>
  <c r="AE170" i="19"/>
  <c r="AF170" i="19"/>
  <c r="A172" i="19"/>
  <c r="D171" i="19"/>
  <c r="C171" i="19"/>
  <c r="B171" i="19"/>
  <c r="E171" i="19"/>
  <c r="AR171" i="19" l="1"/>
  <c r="AD171" i="19"/>
  <c r="AH171" i="19"/>
  <c r="AG171" i="19"/>
  <c r="AC171" i="19"/>
  <c r="AE171" i="19"/>
  <c r="AF171" i="19"/>
  <c r="A173" i="19"/>
  <c r="C172" i="19"/>
  <c r="E172" i="19"/>
  <c r="B172" i="19"/>
  <c r="D172" i="19"/>
  <c r="AR172" i="19" l="1"/>
  <c r="AD172" i="19"/>
  <c r="AH172" i="19"/>
  <c r="AG172" i="19"/>
  <c r="AC172" i="19"/>
  <c r="AE172" i="19"/>
  <c r="AF172" i="19"/>
  <c r="A174" i="19"/>
  <c r="E173" i="19"/>
  <c r="B173" i="19"/>
  <c r="D173" i="19"/>
  <c r="C173" i="19"/>
  <c r="AR173" i="19" l="1"/>
  <c r="AD173" i="19"/>
  <c r="AH173" i="19"/>
  <c r="AG173" i="19"/>
  <c r="AC173" i="19"/>
  <c r="AE173" i="19"/>
  <c r="AF173" i="19"/>
  <c r="A175" i="19"/>
  <c r="B174" i="19"/>
  <c r="D174" i="19"/>
  <c r="C174" i="19"/>
  <c r="E174" i="19"/>
  <c r="AR174" i="19" l="1"/>
  <c r="AD174" i="19"/>
  <c r="AH174" i="19"/>
  <c r="AG174" i="19"/>
  <c r="AC174" i="19"/>
  <c r="AE174" i="19"/>
  <c r="AF174" i="19"/>
  <c r="A176" i="19"/>
  <c r="D175" i="19"/>
  <c r="E175" i="19"/>
  <c r="B175" i="19"/>
  <c r="C175" i="19"/>
  <c r="AR175" i="19" l="1"/>
  <c r="AD175" i="19"/>
  <c r="AG175" i="19"/>
  <c r="AH175" i="19"/>
  <c r="AC175" i="19"/>
  <c r="AE175" i="19"/>
  <c r="AF175" i="19"/>
  <c r="A177" i="19"/>
  <c r="B176" i="19"/>
  <c r="C176" i="19"/>
  <c r="E176" i="19"/>
  <c r="D176" i="19"/>
  <c r="AR176" i="19" l="1"/>
  <c r="AD176" i="19"/>
  <c r="AH176" i="19"/>
  <c r="AG176" i="19"/>
  <c r="AC176" i="19"/>
  <c r="AE176" i="19"/>
  <c r="AF176" i="19"/>
  <c r="A178" i="19"/>
  <c r="D177" i="19"/>
  <c r="E177" i="19"/>
  <c r="B177" i="19"/>
  <c r="C177" i="19"/>
  <c r="AR177" i="19" l="1"/>
  <c r="AD177" i="19"/>
  <c r="AH177" i="19"/>
  <c r="AC177" i="19"/>
  <c r="AG177" i="19"/>
  <c r="AE177" i="19"/>
  <c r="AF177" i="19"/>
  <c r="A179" i="19"/>
  <c r="D178" i="19"/>
  <c r="C178" i="19"/>
  <c r="E178" i="19"/>
  <c r="B178" i="19"/>
  <c r="AR178" i="19" l="1"/>
  <c r="AD178" i="19"/>
  <c r="AH178" i="19"/>
  <c r="AG178" i="19"/>
  <c r="AC178" i="19"/>
  <c r="AE178" i="19"/>
  <c r="AF178" i="19"/>
  <c r="A180" i="19"/>
  <c r="B179" i="19"/>
  <c r="C179" i="19"/>
  <c r="E179" i="19"/>
  <c r="D179" i="19"/>
  <c r="AR179" i="19" l="1"/>
  <c r="AD179" i="19"/>
  <c r="AH179" i="19"/>
  <c r="AG179" i="19"/>
  <c r="AC179" i="19"/>
  <c r="AE179" i="19"/>
  <c r="AF179" i="19"/>
  <c r="A181" i="19"/>
  <c r="C180" i="19"/>
  <c r="E180" i="19"/>
  <c r="D180" i="19"/>
  <c r="B180" i="19"/>
  <c r="AR180" i="19" l="1"/>
  <c r="AD180" i="19"/>
  <c r="AH180" i="19"/>
  <c r="AG180" i="19"/>
  <c r="AC180" i="19"/>
  <c r="AE180" i="19"/>
  <c r="AF180" i="19"/>
  <c r="A182" i="19"/>
  <c r="D181" i="19"/>
  <c r="C181" i="19"/>
  <c r="E181" i="19"/>
  <c r="B181" i="19"/>
  <c r="AR181" i="19" l="1"/>
  <c r="AD181" i="19"/>
  <c r="AH181" i="19"/>
  <c r="AG181" i="19"/>
  <c r="AC181" i="19"/>
  <c r="AE181" i="19"/>
  <c r="AF181" i="19"/>
  <c r="A183" i="19"/>
  <c r="B182" i="19"/>
  <c r="D182" i="19"/>
  <c r="C182" i="19"/>
  <c r="E182" i="19"/>
  <c r="AR182" i="19" l="1"/>
  <c r="AD182" i="19"/>
  <c r="AG182" i="19"/>
  <c r="AH182" i="19"/>
  <c r="AC182" i="19"/>
  <c r="AE182" i="19"/>
  <c r="AF182" i="19"/>
  <c r="A184" i="19"/>
  <c r="C183" i="19"/>
  <c r="B183" i="19"/>
  <c r="E183" i="19"/>
  <c r="D183" i="19"/>
  <c r="AR183" i="19" l="1"/>
  <c r="AD183" i="19"/>
  <c r="AH183" i="19"/>
  <c r="AG183" i="19"/>
  <c r="AC183" i="19"/>
  <c r="AE183" i="19"/>
  <c r="AF183" i="19"/>
  <c r="A185" i="19"/>
  <c r="C184" i="19"/>
  <c r="D184" i="19"/>
  <c r="B184" i="19"/>
  <c r="E184" i="19"/>
  <c r="AR184" i="19" l="1"/>
  <c r="AD184" i="19"/>
  <c r="AH184" i="19"/>
  <c r="AG184" i="19"/>
  <c r="AE184" i="19"/>
  <c r="AC184" i="19"/>
  <c r="AF184" i="19"/>
  <c r="A186" i="19"/>
  <c r="C185" i="19"/>
  <c r="B185" i="19"/>
  <c r="D185" i="19"/>
  <c r="E185" i="19"/>
  <c r="AR185" i="19" l="1"/>
  <c r="AD185" i="19"/>
  <c r="AH185" i="19"/>
  <c r="AG185" i="19"/>
  <c r="AE185" i="19"/>
  <c r="AC185" i="19"/>
  <c r="AF185" i="19"/>
  <c r="A187" i="19"/>
  <c r="C186" i="19"/>
  <c r="D186" i="19"/>
  <c r="B186" i="19"/>
  <c r="E186" i="19"/>
  <c r="AR186" i="19" l="1"/>
  <c r="AD186" i="19"/>
  <c r="AH186" i="19"/>
  <c r="AG186" i="19"/>
  <c r="AC186" i="19"/>
  <c r="AE186" i="19"/>
  <c r="AF186" i="19"/>
  <c r="A188" i="19"/>
  <c r="C187" i="19"/>
  <c r="D187" i="19"/>
  <c r="B187" i="19"/>
  <c r="E187" i="19"/>
  <c r="AR187" i="19" l="1"/>
  <c r="AD187" i="19"/>
  <c r="AH187" i="19"/>
  <c r="AG187" i="19"/>
  <c r="AC187" i="19"/>
  <c r="AE187" i="19"/>
  <c r="AF187" i="19"/>
  <c r="A189" i="19"/>
  <c r="C188" i="19"/>
  <c r="D188" i="19"/>
  <c r="E188" i="19"/>
  <c r="B188" i="19"/>
  <c r="AR188" i="19" l="1"/>
  <c r="AD188" i="19"/>
  <c r="AH188" i="19"/>
  <c r="AG188" i="19"/>
  <c r="AC188" i="19"/>
  <c r="AE188" i="19"/>
  <c r="AF188" i="19"/>
  <c r="A190" i="19"/>
  <c r="E189" i="19"/>
  <c r="B189" i="19"/>
  <c r="C189" i="19"/>
  <c r="D189" i="19"/>
  <c r="AR189" i="19" l="1"/>
  <c r="AD189" i="19"/>
  <c r="AH189" i="19"/>
  <c r="AG189" i="19"/>
  <c r="AC189" i="19"/>
  <c r="AE189" i="19"/>
  <c r="AF189" i="19"/>
  <c r="A191" i="19"/>
  <c r="E190" i="19"/>
  <c r="C190" i="19"/>
  <c r="B190" i="19"/>
  <c r="D190" i="19"/>
  <c r="AR190" i="19" l="1"/>
  <c r="AD190" i="19"/>
  <c r="AH190" i="19"/>
  <c r="AG190" i="19"/>
  <c r="AC190" i="19"/>
  <c r="AE190" i="19"/>
  <c r="AF190" i="19"/>
  <c r="A192" i="19"/>
  <c r="E191" i="19"/>
  <c r="B191" i="19"/>
  <c r="D191" i="19"/>
  <c r="C191" i="19"/>
  <c r="AR191" i="19" l="1"/>
  <c r="AD191" i="19"/>
  <c r="AH191" i="19"/>
  <c r="AG191" i="19"/>
  <c r="AC191" i="19"/>
  <c r="AE191" i="19"/>
  <c r="AF191" i="19"/>
  <c r="A193" i="19"/>
  <c r="B192" i="19"/>
  <c r="E192" i="19"/>
  <c r="C192" i="19"/>
  <c r="D192" i="19"/>
  <c r="AR192" i="19" l="1"/>
  <c r="AD192" i="19"/>
  <c r="AH192" i="19"/>
  <c r="AG192" i="19"/>
  <c r="AC192" i="19"/>
  <c r="AE192" i="19"/>
  <c r="AF192" i="19"/>
  <c r="A194" i="19"/>
  <c r="D193" i="19"/>
  <c r="C193" i="19"/>
  <c r="E193" i="19"/>
  <c r="B193" i="19"/>
  <c r="AR193" i="19" l="1"/>
  <c r="AD193" i="19"/>
  <c r="AH193" i="19"/>
  <c r="AG193" i="19"/>
  <c r="AC193" i="19"/>
  <c r="AE193" i="19"/>
  <c r="AF193" i="19"/>
  <c r="A195" i="19"/>
  <c r="B194" i="19"/>
  <c r="C194" i="19"/>
  <c r="D194" i="19"/>
  <c r="E194" i="19"/>
  <c r="AR194" i="19" l="1"/>
  <c r="AD194" i="19"/>
  <c r="AG194" i="19"/>
  <c r="AH194" i="19"/>
  <c r="AC194" i="19"/>
  <c r="AE194" i="19"/>
  <c r="AF194" i="19"/>
  <c r="A196" i="19"/>
  <c r="D195" i="19"/>
  <c r="C195" i="19"/>
  <c r="E195" i="19"/>
  <c r="B195" i="19"/>
  <c r="AR195" i="19" l="1"/>
  <c r="AD195" i="19"/>
  <c r="AG195" i="19"/>
  <c r="AH195" i="19"/>
  <c r="AC195" i="19"/>
  <c r="AE195" i="19"/>
  <c r="AF195" i="19"/>
  <c r="A197" i="19"/>
  <c r="C196" i="19"/>
  <c r="E196" i="19"/>
  <c r="D196" i="19"/>
  <c r="B196" i="19"/>
  <c r="AR196" i="19" l="1"/>
  <c r="AD196" i="19"/>
  <c r="AH196" i="19"/>
  <c r="AG196" i="19"/>
  <c r="AC196" i="19"/>
  <c r="AE196" i="19"/>
  <c r="AF196" i="19"/>
  <c r="A198" i="19"/>
  <c r="E197" i="19"/>
  <c r="B197" i="19"/>
  <c r="D197" i="19"/>
  <c r="C197" i="19"/>
  <c r="AR197" i="19" l="1"/>
  <c r="AD197" i="19"/>
  <c r="AG197" i="19"/>
  <c r="AH197" i="19"/>
  <c r="AC197" i="19"/>
  <c r="AE197" i="19"/>
  <c r="AF197" i="19"/>
  <c r="D198" i="19"/>
  <c r="A199" i="19"/>
  <c r="B198" i="19"/>
  <c r="E198" i="19"/>
  <c r="C198" i="19"/>
  <c r="AR198" i="19" l="1"/>
  <c r="AD198" i="19"/>
  <c r="AH198" i="19"/>
  <c r="AG198" i="19"/>
  <c r="AC198" i="19"/>
  <c r="AE198" i="19"/>
  <c r="AF198" i="19"/>
  <c r="A200" i="19"/>
  <c r="B199" i="19"/>
  <c r="E199" i="19"/>
  <c r="D199" i="19"/>
  <c r="C199" i="19"/>
  <c r="AR199" i="19" l="1"/>
  <c r="AD199" i="19"/>
  <c r="AH199" i="19"/>
  <c r="AG199" i="19"/>
  <c r="AC199" i="19"/>
  <c r="AE199" i="19"/>
  <c r="AF199" i="19"/>
  <c r="B200" i="19"/>
  <c r="D200" i="19"/>
  <c r="A201" i="19"/>
  <c r="C200" i="19"/>
  <c r="E200" i="19"/>
  <c r="AR200" i="19" l="1"/>
  <c r="AD200" i="19"/>
  <c r="AH200" i="19"/>
  <c r="AG200" i="19"/>
  <c r="AC200" i="19"/>
  <c r="AE200" i="19"/>
  <c r="AF200" i="19"/>
  <c r="A202" i="19"/>
  <c r="B201" i="19"/>
  <c r="C201" i="19"/>
  <c r="D201" i="19"/>
  <c r="E201" i="19"/>
  <c r="AR201" i="19" l="1"/>
  <c r="AD201" i="19"/>
  <c r="AH201" i="19"/>
  <c r="AG201" i="19"/>
  <c r="AC201" i="19"/>
  <c r="AE201" i="19"/>
  <c r="AF201" i="19"/>
  <c r="A203" i="19"/>
  <c r="E202" i="19"/>
  <c r="C202" i="19"/>
  <c r="D202" i="19"/>
  <c r="B202" i="19"/>
  <c r="AR202" i="19" l="1"/>
  <c r="AD202" i="19"/>
  <c r="AH202" i="19"/>
  <c r="AG202" i="19"/>
  <c r="AC202" i="19"/>
  <c r="AE202" i="19"/>
  <c r="AF202" i="19"/>
  <c r="C203" i="19"/>
  <c r="B203" i="19"/>
  <c r="A204" i="19"/>
  <c r="E203" i="19"/>
  <c r="D203" i="19"/>
  <c r="AR203" i="19" l="1"/>
  <c r="AD203" i="19"/>
  <c r="AH203" i="19"/>
  <c r="AG203" i="19"/>
  <c r="AC203" i="19"/>
  <c r="AE203" i="19"/>
  <c r="AF203" i="19"/>
  <c r="B204" i="19"/>
  <c r="C204" i="19"/>
  <c r="D204" i="19"/>
  <c r="A205" i="19"/>
  <c r="E204" i="19"/>
  <c r="AR204" i="19" l="1"/>
  <c r="AD204" i="19"/>
  <c r="AG204" i="19"/>
  <c r="AH204" i="19"/>
  <c r="AC204" i="19"/>
  <c r="AE204" i="19"/>
  <c r="AF204" i="19"/>
  <c r="D205" i="19"/>
  <c r="C205" i="19"/>
  <c r="B205" i="19"/>
  <c r="E205" i="19"/>
  <c r="A206" i="19"/>
  <c r="AR205" i="19" l="1"/>
  <c r="AD205" i="19"/>
  <c r="AG205" i="19"/>
  <c r="AH205" i="19"/>
  <c r="AC205" i="19"/>
  <c r="AE205" i="19"/>
  <c r="AF205" i="19"/>
  <c r="C206" i="19"/>
  <c r="B206" i="19"/>
  <c r="E206" i="19"/>
  <c r="D206" i="19"/>
  <c r="A207" i="19"/>
  <c r="AR206" i="19" l="1"/>
  <c r="AD206" i="19"/>
  <c r="AG206" i="19"/>
  <c r="AH206" i="19"/>
  <c r="AC206" i="19"/>
  <c r="AE206" i="19"/>
  <c r="AF206" i="19"/>
  <c r="B207" i="19"/>
  <c r="E207" i="19"/>
  <c r="D207" i="19"/>
  <c r="A208" i="19"/>
  <c r="C207" i="19"/>
  <c r="AR207" i="19" l="1"/>
  <c r="AD207" i="19"/>
  <c r="AH207" i="19"/>
  <c r="AG207" i="19"/>
  <c r="AC207" i="19"/>
  <c r="AE207" i="19"/>
  <c r="AF207" i="19"/>
  <c r="D208" i="19"/>
  <c r="C208" i="19"/>
  <c r="E208" i="19"/>
  <c r="B208" i="19"/>
  <c r="A209" i="19"/>
  <c r="AR208" i="19" l="1"/>
  <c r="AD208" i="19"/>
  <c r="AH208" i="19"/>
  <c r="AG208" i="19"/>
  <c r="AC208" i="19"/>
  <c r="AE208" i="19"/>
  <c r="AF208" i="19"/>
  <c r="D209" i="19"/>
  <c r="A210" i="19"/>
  <c r="B209" i="19"/>
  <c r="C209" i="19"/>
  <c r="E209" i="19"/>
  <c r="AR209" i="19" l="1"/>
  <c r="AD209" i="19"/>
  <c r="AH209" i="19"/>
  <c r="AG209" i="19"/>
  <c r="AC209" i="19"/>
  <c r="AE209" i="19"/>
  <c r="AF209" i="19"/>
  <c r="E210" i="19"/>
  <c r="D210" i="19"/>
  <c r="A211" i="19"/>
  <c r="B210" i="19"/>
  <c r="C210" i="19"/>
  <c r="AR210" i="19" l="1"/>
  <c r="AD210" i="19"/>
  <c r="AH210" i="19"/>
  <c r="AG210" i="19"/>
  <c r="AE210" i="19"/>
  <c r="AC210" i="19"/>
  <c r="AF210" i="19"/>
  <c r="B211" i="19"/>
  <c r="A212" i="19"/>
  <c r="E211" i="19"/>
  <c r="C211" i="19"/>
  <c r="D211" i="19"/>
  <c r="AR211" i="19" l="1"/>
  <c r="AD211" i="19"/>
  <c r="AH211" i="19"/>
  <c r="AG211" i="19"/>
  <c r="AC211" i="19"/>
  <c r="AE211" i="19"/>
  <c r="AF211" i="19"/>
  <c r="B212" i="19"/>
  <c r="A213" i="19"/>
  <c r="D212" i="19"/>
  <c r="E212" i="19"/>
  <c r="C212" i="19"/>
  <c r="AR212" i="19" l="1"/>
  <c r="AD212" i="19"/>
  <c r="AH212" i="19"/>
  <c r="AG212" i="19"/>
  <c r="AC212" i="19"/>
  <c r="AE212" i="19"/>
  <c r="AF212" i="19"/>
  <c r="A214" i="19"/>
  <c r="B213" i="19"/>
  <c r="E213" i="19"/>
  <c r="C213" i="19"/>
  <c r="D213" i="19"/>
  <c r="AR213" i="19" l="1"/>
  <c r="AD213" i="19"/>
  <c r="AH213" i="19"/>
  <c r="AG213" i="19"/>
  <c r="AC213" i="19"/>
  <c r="AE213" i="19"/>
  <c r="AF213" i="19"/>
  <c r="A215" i="19"/>
  <c r="B214" i="19"/>
  <c r="C214" i="19"/>
  <c r="D214" i="19"/>
  <c r="E214" i="19"/>
  <c r="AR214" i="19" l="1"/>
  <c r="AD214" i="19"/>
  <c r="AH214" i="19"/>
  <c r="AG214" i="19"/>
  <c r="AC214" i="19"/>
  <c r="AE214" i="19"/>
  <c r="AF214" i="19"/>
  <c r="A216" i="19"/>
  <c r="D215" i="19"/>
  <c r="E215" i="19"/>
  <c r="C215" i="19"/>
  <c r="B215" i="19"/>
  <c r="AR215" i="19" l="1"/>
  <c r="AD215" i="19"/>
  <c r="AH215" i="19"/>
  <c r="AG215" i="19"/>
  <c r="AC215" i="19"/>
  <c r="AE215" i="19"/>
  <c r="AF215" i="19"/>
  <c r="D216" i="19"/>
  <c r="E216" i="19"/>
  <c r="A217" i="19"/>
  <c r="C216" i="19"/>
  <c r="B216" i="19"/>
  <c r="AR216" i="19" l="1"/>
  <c r="AD216" i="19"/>
  <c r="AH216" i="19"/>
  <c r="AG216" i="19"/>
  <c r="AE216" i="19"/>
  <c r="AC216" i="19"/>
  <c r="AF216" i="19"/>
  <c r="A218" i="19"/>
  <c r="E217" i="19"/>
  <c r="D217" i="19"/>
  <c r="C217" i="19"/>
  <c r="B217" i="19"/>
  <c r="AR217" i="19" l="1"/>
  <c r="AD217" i="19"/>
  <c r="AG217" i="19"/>
  <c r="AH217" i="19"/>
  <c r="AC217" i="19"/>
  <c r="AE217" i="19"/>
  <c r="AF217" i="19"/>
  <c r="E218" i="19"/>
  <c r="B218" i="19"/>
  <c r="D218" i="19"/>
  <c r="A219" i="19"/>
  <c r="C218" i="19"/>
  <c r="AR218" i="19" l="1"/>
  <c r="AD218" i="19"/>
  <c r="AH218" i="19"/>
  <c r="AG218" i="19"/>
  <c r="AC218" i="19"/>
  <c r="AE218" i="19"/>
  <c r="AF218" i="19"/>
  <c r="C219" i="19"/>
  <c r="E219" i="19"/>
  <c r="A220" i="19"/>
  <c r="D219" i="19"/>
  <c r="B219" i="19"/>
  <c r="AR219" i="19" l="1"/>
  <c r="AD219" i="19"/>
  <c r="AH219" i="19"/>
  <c r="AG219" i="19"/>
  <c r="AC219" i="19"/>
  <c r="AE219" i="19"/>
  <c r="AF219" i="19"/>
  <c r="D220" i="19"/>
  <c r="C220" i="19"/>
  <c r="E220" i="19"/>
  <c r="B220" i="19"/>
  <c r="A221" i="19"/>
  <c r="AR220" i="19" l="1"/>
  <c r="AD220" i="19"/>
  <c r="AH220" i="19"/>
  <c r="AG220" i="19"/>
  <c r="AC220" i="19"/>
  <c r="AE220" i="19"/>
  <c r="AF220" i="19"/>
  <c r="E221" i="19"/>
  <c r="A222" i="19"/>
  <c r="D221" i="19"/>
  <c r="B221" i="19"/>
  <c r="C221" i="19"/>
  <c r="AR221" i="19" l="1"/>
  <c r="AD221" i="19"/>
  <c r="AH221" i="19"/>
  <c r="AG221" i="19"/>
  <c r="AC221" i="19"/>
  <c r="AF221" i="19"/>
  <c r="AE221" i="19"/>
  <c r="E222" i="19"/>
  <c r="A223" i="19"/>
  <c r="D222" i="19"/>
  <c r="B222" i="19"/>
  <c r="C222" i="19"/>
  <c r="AR222" i="19" l="1"/>
  <c r="AD222" i="19"/>
  <c r="AH222" i="19"/>
  <c r="AG222" i="19"/>
  <c r="AC222" i="19"/>
  <c r="AF222" i="19"/>
  <c r="AE222" i="19"/>
  <c r="B223" i="19"/>
  <c r="C223" i="19"/>
  <c r="D223" i="19"/>
  <c r="A224" i="19"/>
  <c r="E223" i="19"/>
  <c r="AR223" i="19" l="1"/>
  <c r="AD223" i="19"/>
  <c r="AH223" i="19"/>
  <c r="AG223" i="19"/>
  <c r="AC223" i="19"/>
  <c r="AF223" i="19"/>
  <c r="AE223" i="19"/>
  <c r="A225" i="19"/>
  <c r="B224" i="19"/>
  <c r="D224" i="19"/>
  <c r="C224" i="19"/>
  <c r="E224" i="19"/>
  <c r="AR224" i="19" l="1"/>
  <c r="AD224" i="19"/>
  <c r="AH224" i="19"/>
  <c r="AG224" i="19"/>
  <c r="AC224" i="19"/>
  <c r="AE224" i="19"/>
  <c r="AF224" i="19"/>
  <c r="E225" i="19"/>
  <c r="D225" i="19"/>
  <c r="A226" i="19"/>
  <c r="B225" i="19"/>
  <c r="C225" i="19"/>
  <c r="AR225" i="19" l="1"/>
  <c r="AD225" i="19"/>
  <c r="AH225" i="19"/>
  <c r="AG225" i="19"/>
  <c r="AC225" i="19"/>
  <c r="AF225" i="19"/>
  <c r="AE225" i="19"/>
  <c r="A227" i="19"/>
  <c r="C226" i="19"/>
  <c r="B226" i="19"/>
  <c r="D226" i="19"/>
  <c r="E226" i="19"/>
  <c r="AR226" i="19" l="1"/>
  <c r="AD226" i="19"/>
  <c r="AH226" i="19"/>
  <c r="AG226" i="19"/>
  <c r="AC226" i="19"/>
  <c r="AF226" i="19"/>
  <c r="AE226" i="19"/>
  <c r="B227" i="19"/>
  <c r="E227" i="19"/>
  <c r="D227" i="19"/>
  <c r="A228" i="19"/>
  <c r="C227" i="19"/>
  <c r="AR227" i="19" l="1"/>
  <c r="AD227" i="19"/>
  <c r="AH227" i="19"/>
  <c r="AG227" i="19"/>
  <c r="AC227" i="19"/>
  <c r="AF227" i="19"/>
  <c r="AE227" i="19"/>
  <c r="C228" i="19"/>
  <c r="D228" i="19"/>
  <c r="A229" i="19"/>
  <c r="B228" i="19"/>
  <c r="E228" i="19"/>
  <c r="AR228" i="19" l="1"/>
  <c r="AD228" i="19"/>
  <c r="AH228" i="19"/>
  <c r="AG228" i="19"/>
  <c r="AC228" i="19"/>
  <c r="AF228" i="19"/>
  <c r="AE228" i="19"/>
  <c r="E229" i="19"/>
  <c r="B229" i="19"/>
  <c r="D229" i="19"/>
  <c r="C229" i="19"/>
  <c r="A230" i="19"/>
  <c r="AR229" i="19" l="1"/>
  <c r="AD229" i="19"/>
  <c r="AH229" i="19"/>
  <c r="AG229" i="19"/>
  <c r="AC229" i="19"/>
  <c r="AF229" i="19"/>
  <c r="AE229" i="19"/>
  <c r="E230" i="19"/>
  <c r="B230" i="19"/>
  <c r="A231" i="19"/>
  <c r="D230" i="19"/>
  <c r="C230" i="19"/>
  <c r="AR230" i="19" l="1"/>
  <c r="AD230" i="19"/>
  <c r="AH230" i="19"/>
  <c r="AG230" i="19"/>
  <c r="AC230" i="19"/>
  <c r="AE230" i="19"/>
  <c r="AF230" i="19"/>
  <c r="C231" i="19"/>
  <c r="D231" i="19"/>
  <c r="A232" i="19"/>
  <c r="E231" i="19"/>
  <c r="B231" i="19"/>
  <c r="AR231" i="19" l="1"/>
  <c r="AD231" i="19"/>
  <c r="AH231" i="19"/>
  <c r="AG231" i="19"/>
  <c r="AC231" i="19"/>
  <c r="AE231" i="19"/>
  <c r="AF231" i="19"/>
  <c r="A233" i="19"/>
  <c r="E232" i="19"/>
  <c r="B232" i="19"/>
  <c r="D232" i="19"/>
  <c r="C232" i="19"/>
  <c r="AR232" i="19" l="1"/>
  <c r="AD232" i="19"/>
  <c r="AH232" i="19"/>
  <c r="AG232" i="19"/>
  <c r="AC232" i="19"/>
  <c r="AE232" i="19"/>
  <c r="AF232" i="19"/>
  <c r="C233" i="19"/>
  <c r="E233" i="19"/>
  <c r="D233" i="19"/>
  <c r="B233" i="19"/>
  <c r="A234" i="19"/>
  <c r="AR233" i="19" l="1"/>
  <c r="AD233" i="19"/>
  <c r="AG233" i="19"/>
  <c r="AH233" i="19"/>
  <c r="AC233" i="19"/>
  <c r="AF233" i="19"/>
  <c r="AE233" i="19"/>
  <c r="A235" i="19"/>
  <c r="C234" i="19"/>
  <c r="E234" i="19"/>
  <c r="D234" i="19"/>
  <c r="B234" i="19"/>
  <c r="AR234" i="19" l="1"/>
  <c r="AD234" i="19"/>
  <c r="AG234" i="19"/>
  <c r="AH234" i="19"/>
  <c r="AC234" i="19"/>
  <c r="AE234" i="19"/>
  <c r="AF234" i="19"/>
  <c r="A236" i="19"/>
  <c r="E235" i="19"/>
  <c r="B235" i="19"/>
  <c r="C235" i="19"/>
  <c r="D235" i="19"/>
  <c r="AR235" i="19" l="1"/>
  <c r="AD235" i="19"/>
  <c r="AG235" i="19"/>
  <c r="AH235" i="19"/>
  <c r="AC235" i="19"/>
  <c r="AF235" i="19"/>
  <c r="AE235" i="19"/>
  <c r="C236" i="19"/>
  <c r="D236" i="19"/>
  <c r="A237" i="19"/>
  <c r="E236" i="19"/>
  <c r="B236" i="19"/>
  <c r="AR236" i="19" l="1"/>
  <c r="AD236" i="19"/>
  <c r="AH236" i="19"/>
  <c r="AG236" i="19"/>
  <c r="AC236" i="19"/>
  <c r="AF236" i="19"/>
  <c r="AE236" i="19"/>
  <c r="A238" i="19"/>
  <c r="B237" i="19"/>
  <c r="C237" i="19"/>
  <c r="D237" i="19"/>
  <c r="E237" i="19"/>
  <c r="AR237" i="19" l="1"/>
  <c r="AD237" i="19"/>
  <c r="AH237" i="19"/>
  <c r="AG237" i="19"/>
  <c r="AC237" i="19"/>
  <c r="AE237" i="19"/>
  <c r="AF237" i="19"/>
  <c r="D238" i="19"/>
  <c r="E238" i="19"/>
  <c r="A239" i="19"/>
  <c r="C238" i="19"/>
  <c r="B238" i="19"/>
  <c r="AR238" i="19" l="1"/>
  <c r="AD238" i="19"/>
  <c r="AH238" i="19"/>
  <c r="AG238" i="19"/>
  <c r="AC238" i="19"/>
  <c r="AE238" i="19"/>
  <c r="AF238" i="19"/>
  <c r="A240" i="19"/>
  <c r="C239" i="19"/>
  <c r="E239" i="19"/>
  <c r="D239" i="19"/>
  <c r="B239" i="19"/>
  <c r="AR239" i="19" l="1"/>
  <c r="AD239" i="19"/>
  <c r="AH239" i="19"/>
  <c r="AG239" i="19"/>
  <c r="AC239" i="19"/>
  <c r="AF239" i="19"/>
  <c r="AE239" i="19"/>
  <c r="E240" i="19"/>
  <c r="B240" i="19"/>
  <c r="A241" i="19"/>
  <c r="C240" i="19"/>
  <c r="D240" i="19"/>
  <c r="AR240" i="19" l="1"/>
  <c r="AD240" i="19"/>
  <c r="AG240" i="19"/>
  <c r="AH240" i="19"/>
  <c r="AC240" i="19"/>
  <c r="AF240" i="19"/>
  <c r="AE240" i="19"/>
  <c r="D241" i="19"/>
  <c r="B241" i="19"/>
  <c r="C241" i="19"/>
  <c r="E241" i="19"/>
  <c r="A242" i="19"/>
  <c r="AR241" i="19" l="1"/>
  <c r="AD241" i="19"/>
  <c r="AG241" i="19"/>
  <c r="AH241" i="19"/>
  <c r="AE241" i="19"/>
  <c r="AC241" i="19"/>
  <c r="AF241" i="19"/>
  <c r="E242" i="19"/>
  <c r="D242" i="19"/>
  <c r="A243" i="19"/>
  <c r="C242" i="19"/>
  <c r="B242" i="19"/>
  <c r="AR242" i="19" l="1"/>
  <c r="AD242" i="19"/>
  <c r="AH242" i="19"/>
  <c r="AG242" i="19"/>
  <c r="AC242" i="19"/>
  <c r="AE242" i="19"/>
  <c r="AF242" i="19"/>
  <c r="D243" i="19"/>
  <c r="B243" i="19"/>
  <c r="E243" i="19"/>
  <c r="C243" i="19"/>
  <c r="A244" i="19"/>
  <c r="AR243" i="19" l="1"/>
  <c r="AD243" i="19"/>
  <c r="AG243" i="19"/>
  <c r="AH243" i="19"/>
  <c r="AC243" i="19"/>
  <c r="AF243" i="19"/>
  <c r="AE243" i="19"/>
  <c r="C244" i="19"/>
  <c r="B244" i="19"/>
  <c r="A245" i="19"/>
  <c r="D244" i="19"/>
  <c r="E244" i="19"/>
  <c r="AR244" i="19" l="1"/>
  <c r="AD244" i="19"/>
  <c r="AH244" i="19"/>
  <c r="AG244" i="19"/>
  <c r="AC244" i="19"/>
  <c r="AE244" i="19"/>
  <c r="AF244" i="19"/>
  <c r="D245" i="19"/>
  <c r="A246" i="19"/>
  <c r="B245" i="19"/>
  <c r="E245" i="19"/>
  <c r="C245" i="19"/>
  <c r="AR245" i="19" l="1"/>
  <c r="AD245" i="19"/>
  <c r="AH245" i="19"/>
  <c r="AG245" i="19"/>
  <c r="AC245" i="19"/>
  <c r="AF245" i="19"/>
  <c r="AE245" i="19"/>
  <c r="B246" i="19"/>
  <c r="E246" i="19"/>
  <c r="A247" i="19"/>
  <c r="D246" i="19"/>
  <c r="C246" i="19"/>
  <c r="AR246" i="19" l="1"/>
  <c r="AD246" i="19"/>
  <c r="AH246" i="19"/>
  <c r="AG246" i="19"/>
  <c r="AC246" i="19"/>
  <c r="AE246" i="19"/>
  <c r="AF246" i="19"/>
  <c r="C247" i="19"/>
  <c r="A248" i="19"/>
  <c r="B247" i="19"/>
  <c r="E247" i="19"/>
  <c r="D247" i="19"/>
  <c r="AR247" i="19" l="1"/>
  <c r="AD247" i="19"/>
  <c r="AH247" i="19"/>
  <c r="AG247" i="19"/>
  <c r="AC247" i="19"/>
  <c r="AF247" i="19"/>
  <c r="AE247" i="19"/>
  <c r="C248" i="19"/>
  <c r="D248" i="19"/>
  <c r="A249" i="19"/>
  <c r="B248" i="19"/>
  <c r="E248" i="19"/>
  <c r="AR248" i="19" l="1"/>
  <c r="AD248" i="19"/>
  <c r="AH248" i="19"/>
  <c r="AG248" i="19"/>
  <c r="AC248" i="19"/>
  <c r="AF248" i="19"/>
  <c r="AE248" i="19"/>
  <c r="A250" i="19"/>
  <c r="B249" i="19"/>
  <c r="C249" i="19"/>
  <c r="E249" i="19"/>
  <c r="D249" i="19"/>
  <c r="AR249" i="19" l="1"/>
  <c r="AD249" i="19"/>
  <c r="AH249" i="19"/>
  <c r="AG249" i="19"/>
  <c r="AC249" i="19"/>
  <c r="AF249" i="19"/>
  <c r="AE249" i="19"/>
  <c r="E250" i="19"/>
  <c r="C250" i="19"/>
  <c r="B250" i="19"/>
  <c r="A251" i="19"/>
  <c r="D250" i="19"/>
  <c r="AR250" i="19" l="1"/>
  <c r="AD250" i="19"/>
  <c r="AH250" i="19"/>
  <c r="AG250" i="19"/>
  <c r="AC250" i="19"/>
  <c r="AE250" i="19"/>
  <c r="AF250" i="19"/>
  <c r="B251" i="19"/>
  <c r="C251" i="19"/>
  <c r="E251" i="19"/>
  <c r="D251" i="19"/>
  <c r="A252" i="19"/>
  <c r="AR251" i="19" l="1"/>
  <c r="AD251" i="19"/>
  <c r="AH251" i="19"/>
  <c r="AG251" i="19"/>
  <c r="AC251" i="19"/>
  <c r="AF251" i="19"/>
  <c r="AE251" i="19"/>
  <c r="E252" i="19"/>
  <c r="B252" i="19"/>
  <c r="C252" i="19"/>
  <c r="D252" i="19"/>
  <c r="A253" i="19"/>
  <c r="AR252" i="19" l="1"/>
  <c r="AD252" i="19"/>
  <c r="AH252" i="19"/>
  <c r="AG252" i="19"/>
  <c r="AF252" i="19"/>
  <c r="AC252" i="19"/>
  <c r="AE252" i="19"/>
  <c r="E253" i="19"/>
  <c r="A254" i="19"/>
  <c r="C253" i="19"/>
  <c r="B253" i="19"/>
  <c r="D253" i="19"/>
  <c r="AR253" i="19" l="1"/>
  <c r="AD253" i="19"/>
  <c r="AH253" i="19"/>
  <c r="AG253" i="19"/>
  <c r="AC253" i="19"/>
  <c r="AF253" i="19"/>
  <c r="AE253" i="19"/>
  <c r="E254" i="19"/>
  <c r="B254" i="19"/>
  <c r="D254" i="19"/>
  <c r="A255" i="19"/>
  <c r="C254" i="19"/>
  <c r="AR254" i="19" l="1"/>
  <c r="AD254" i="19"/>
  <c r="AH254" i="19"/>
  <c r="AG254" i="19"/>
  <c r="AC254" i="19"/>
  <c r="AF254" i="19"/>
  <c r="AE254" i="19"/>
  <c r="B255" i="19"/>
  <c r="A256" i="19"/>
  <c r="E255" i="19"/>
  <c r="C255" i="19"/>
  <c r="D255" i="19"/>
  <c r="AR255" i="19" l="1"/>
  <c r="AD255" i="19"/>
  <c r="AH255" i="19"/>
  <c r="AG255" i="19"/>
  <c r="AC255" i="19"/>
  <c r="AE255" i="19"/>
  <c r="AF255" i="19"/>
  <c r="D256" i="19"/>
  <c r="A257" i="19"/>
  <c r="C256" i="19"/>
  <c r="B256" i="19"/>
  <c r="E256" i="19"/>
  <c r="AR256" i="19" l="1"/>
  <c r="AD256" i="19"/>
  <c r="AH256" i="19"/>
  <c r="AG256" i="19"/>
  <c r="AC256" i="19"/>
  <c r="AF256" i="19"/>
  <c r="AE256" i="19"/>
  <c r="B257" i="19"/>
  <c r="C257" i="19"/>
  <c r="D257" i="19"/>
  <c r="A258" i="19"/>
  <c r="E257" i="19"/>
  <c r="AR257" i="19" l="1"/>
  <c r="AD257" i="19"/>
  <c r="AH257" i="19"/>
  <c r="AG257" i="19"/>
  <c r="AC257" i="19"/>
  <c r="AF257" i="19"/>
  <c r="AE257" i="19"/>
  <c r="E258" i="19"/>
  <c r="B258" i="19"/>
  <c r="C258" i="19"/>
  <c r="A259" i="19"/>
  <c r="D258" i="19"/>
  <c r="AR258" i="19" l="1"/>
  <c r="AD258" i="19"/>
  <c r="AH258" i="19"/>
  <c r="AG258" i="19"/>
  <c r="AC258" i="19"/>
  <c r="AE258" i="19"/>
  <c r="AF258" i="19"/>
  <c r="D259" i="19"/>
  <c r="A260" i="19"/>
  <c r="E259" i="19"/>
  <c r="B259" i="19"/>
  <c r="C259" i="19"/>
  <c r="AR259" i="19" l="1"/>
  <c r="AD259" i="19"/>
  <c r="AH259" i="19"/>
  <c r="AG259" i="19"/>
  <c r="AC259" i="19"/>
  <c r="AF259" i="19"/>
  <c r="AE259" i="19"/>
  <c r="B260" i="19"/>
  <c r="E260" i="19"/>
  <c r="D260" i="19"/>
  <c r="C260" i="19"/>
  <c r="A261" i="19"/>
  <c r="AR260" i="19" l="1"/>
  <c r="AD260" i="19"/>
  <c r="AH260" i="19"/>
  <c r="AG260" i="19"/>
  <c r="AC260" i="19"/>
  <c r="AF260" i="19"/>
  <c r="AE260" i="19"/>
  <c r="E261" i="19"/>
  <c r="A262" i="19"/>
  <c r="C261" i="19"/>
  <c r="B261" i="19"/>
  <c r="D261" i="19"/>
  <c r="AR261" i="19" l="1"/>
  <c r="AD261" i="19"/>
  <c r="AH261" i="19"/>
  <c r="AG261" i="19"/>
  <c r="AC261" i="19"/>
  <c r="AE261" i="19"/>
  <c r="AF261" i="19"/>
  <c r="A263" i="19"/>
  <c r="B262" i="19"/>
  <c r="E262" i="19"/>
  <c r="C262" i="19"/>
  <c r="D262" i="19"/>
  <c r="AR262" i="19" l="1"/>
  <c r="AD262" i="19"/>
  <c r="AH262" i="19"/>
  <c r="AG262" i="19"/>
  <c r="AC262" i="19"/>
  <c r="AE262" i="19"/>
  <c r="AF262" i="19"/>
  <c r="A264" i="19"/>
  <c r="D263" i="19"/>
  <c r="C263" i="19"/>
  <c r="B263" i="19"/>
  <c r="E263" i="19"/>
  <c r="AR263" i="19" l="1"/>
  <c r="AD263" i="19"/>
  <c r="AH263" i="19"/>
  <c r="AG263" i="19"/>
  <c r="AF263" i="19"/>
  <c r="AC263" i="19"/>
  <c r="AE263" i="19"/>
  <c r="E264" i="19"/>
  <c r="D264" i="19"/>
  <c r="B264" i="19"/>
  <c r="C264" i="19"/>
  <c r="A265" i="19"/>
  <c r="AR264" i="19" l="1"/>
  <c r="AD264" i="19"/>
  <c r="AH264" i="19"/>
  <c r="AG264" i="19"/>
  <c r="AC264" i="19"/>
  <c r="AF264" i="19"/>
  <c r="AE264" i="19"/>
  <c r="B265" i="19"/>
  <c r="A266" i="19"/>
  <c r="C265" i="19"/>
  <c r="D265" i="19"/>
  <c r="E265" i="19"/>
  <c r="AR265" i="19" l="1"/>
  <c r="AD265" i="19"/>
  <c r="AG265" i="19"/>
  <c r="AH265" i="19"/>
  <c r="AC265" i="19"/>
  <c r="AF265" i="19"/>
  <c r="AE265" i="19"/>
  <c r="E266" i="19"/>
  <c r="D266" i="19"/>
  <c r="B266" i="19"/>
  <c r="C266" i="19"/>
  <c r="A267" i="19"/>
  <c r="AR266" i="19" l="1"/>
  <c r="AD266" i="19"/>
  <c r="AH266" i="19"/>
  <c r="AG266" i="19"/>
  <c r="AC266" i="19"/>
  <c r="AE266" i="19"/>
  <c r="AF266" i="19"/>
  <c r="D267" i="19"/>
  <c r="C267" i="19"/>
  <c r="A268" i="19"/>
  <c r="B267" i="19"/>
  <c r="E267" i="19"/>
  <c r="AR267" i="19" l="1"/>
  <c r="AD267" i="19"/>
  <c r="AH267" i="19"/>
  <c r="AG267" i="19"/>
  <c r="AC267" i="19"/>
  <c r="AE267" i="19"/>
  <c r="AF267" i="19"/>
  <c r="B268" i="19"/>
  <c r="A269" i="19"/>
  <c r="D268" i="19"/>
  <c r="E268" i="19"/>
  <c r="C268" i="19"/>
  <c r="AR268" i="19" l="1"/>
  <c r="AD268" i="19"/>
  <c r="AH268" i="19"/>
  <c r="AG268" i="19"/>
  <c r="AC268" i="19"/>
  <c r="AF268" i="19"/>
  <c r="AE268" i="19"/>
  <c r="C269" i="19"/>
  <c r="A270" i="19"/>
  <c r="E269" i="19"/>
  <c r="B269" i="19"/>
  <c r="D269" i="19"/>
  <c r="AR269" i="19" l="1"/>
  <c r="AD269" i="19"/>
  <c r="AH269" i="19"/>
  <c r="AG269" i="19"/>
  <c r="AE269" i="19"/>
  <c r="AC269" i="19"/>
  <c r="AF269" i="19"/>
  <c r="E270" i="19"/>
  <c r="A271" i="19"/>
  <c r="D270" i="19"/>
  <c r="C270" i="19"/>
  <c r="B270" i="19"/>
  <c r="AR270" i="19" l="1"/>
  <c r="AD270" i="19"/>
  <c r="AH270" i="19"/>
  <c r="AG270" i="19"/>
  <c r="AE270" i="19"/>
  <c r="AC270" i="19"/>
  <c r="AF270" i="19"/>
  <c r="E271" i="19"/>
  <c r="A272" i="19"/>
  <c r="B271" i="19"/>
  <c r="D271" i="19"/>
  <c r="C271" i="19"/>
  <c r="AR271" i="19" l="1"/>
  <c r="AD271" i="19"/>
  <c r="AG271" i="19"/>
  <c r="AH271" i="19"/>
  <c r="AC271" i="19"/>
  <c r="AF271" i="19"/>
  <c r="AE271" i="19"/>
  <c r="C272" i="19"/>
  <c r="A273" i="19"/>
  <c r="E272" i="19"/>
  <c r="D272" i="19"/>
  <c r="B272" i="19"/>
  <c r="AR272" i="19" l="1"/>
  <c r="AD272" i="19"/>
  <c r="AH272" i="19"/>
  <c r="AG272" i="19"/>
  <c r="AC272" i="19"/>
  <c r="AF272" i="19"/>
  <c r="AE272" i="19"/>
  <c r="E273" i="19"/>
  <c r="C273" i="19"/>
  <c r="A274" i="19"/>
  <c r="D273" i="19"/>
  <c r="B273" i="19"/>
  <c r="AR273" i="19" l="1"/>
  <c r="AD273" i="19"/>
  <c r="AH273" i="19"/>
  <c r="AG273" i="19"/>
  <c r="AC273" i="19"/>
  <c r="AE273" i="19"/>
  <c r="AF273" i="19"/>
  <c r="B274" i="19"/>
  <c r="C274" i="19"/>
  <c r="A275" i="19"/>
  <c r="D274" i="19"/>
  <c r="E274" i="19"/>
  <c r="AR274" i="19" l="1"/>
  <c r="AD274" i="19"/>
  <c r="AH274" i="19"/>
  <c r="AG274" i="19"/>
  <c r="AC274" i="19"/>
  <c r="AF274" i="19"/>
  <c r="AE274" i="19"/>
  <c r="D275" i="19"/>
  <c r="B275" i="19"/>
  <c r="C275" i="19"/>
  <c r="A276" i="19"/>
  <c r="E275" i="19"/>
  <c r="AR275" i="19" l="1"/>
  <c r="AD275" i="19"/>
  <c r="AH275" i="19"/>
  <c r="AG275" i="19"/>
  <c r="AC275" i="19"/>
  <c r="AE275" i="19"/>
  <c r="AF275" i="19"/>
  <c r="B276" i="19"/>
  <c r="C276" i="19"/>
  <c r="D276" i="19"/>
  <c r="A277" i="19"/>
  <c r="E276" i="19"/>
  <c r="AR276" i="19" l="1"/>
  <c r="AD276" i="19"/>
  <c r="AH276" i="19"/>
  <c r="AG276" i="19"/>
  <c r="AC276" i="19"/>
  <c r="AE276" i="19"/>
  <c r="AF276" i="19"/>
  <c r="B277" i="19"/>
  <c r="A278" i="19"/>
  <c r="C277" i="19"/>
  <c r="D277" i="19"/>
  <c r="E277" i="19"/>
  <c r="AR277" i="19" l="1"/>
  <c r="AD277" i="19"/>
  <c r="AH277" i="19"/>
  <c r="AG277" i="19"/>
  <c r="AC277" i="19"/>
  <c r="AF277" i="19"/>
  <c r="AE277" i="19"/>
  <c r="C278" i="19"/>
  <c r="E278" i="19"/>
  <c r="B278" i="19"/>
  <c r="D278" i="19"/>
  <c r="A279" i="19"/>
  <c r="AR278" i="19" l="1"/>
  <c r="AD278" i="19"/>
  <c r="AH278" i="19"/>
  <c r="AG278" i="19"/>
  <c r="AC278" i="19"/>
  <c r="AE278" i="19"/>
  <c r="AF278" i="19"/>
  <c r="B279" i="19"/>
  <c r="D279" i="19"/>
  <c r="A280" i="19"/>
  <c r="C279" i="19"/>
  <c r="E279" i="19"/>
  <c r="AR279" i="19" l="1"/>
  <c r="AD279" i="19"/>
  <c r="AH279" i="19"/>
  <c r="AG279" i="19"/>
  <c r="AC279" i="19"/>
  <c r="AE279" i="19"/>
  <c r="AF279" i="19"/>
  <c r="B280" i="19"/>
  <c r="D280" i="19"/>
  <c r="C280" i="19"/>
  <c r="E280" i="19"/>
  <c r="A281" i="19"/>
  <c r="AR280" i="19" l="1"/>
  <c r="AD280" i="19"/>
  <c r="AG280" i="19"/>
  <c r="AH280" i="19"/>
  <c r="AC280" i="19"/>
  <c r="AF280" i="19"/>
  <c r="AE280" i="19"/>
  <c r="B281" i="19"/>
  <c r="C281" i="19"/>
  <c r="E281" i="19"/>
  <c r="D281" i="19"/>
  <c r="A282" i="19"/>
  <c r="AR281" i="19" l="1"/>
  <c r="AD281" i="19"/>
  <c r="AH281" i="19"/>
  <c r="AG281" i="19"/>
  <c r="AC281" i="19"/>
  <c r="AF281" i="19"/>
  <c r="AE281" i="19"/>
  <c r="E282" i="19"/>
  <c r="B282" i="19"/>
  <c r="C282" i="19"/>
  <c r="A283" i="19"/>
  <c r="D282" i="19"/>
  <c r="AR282" i="19" l="1"/>
  <c r="AD282" i="19"/>
  <c r="AH282" i="19"/>
  <c r="AG282" i="19"/>
  <c r="AC282" i="19"/>
  <c r="AF282" i="19"/>
  <c r="AE282" i="19"/>
  <c r="C283" i="19"/>
  <c r="D283" i="19"/>
  <c r="A284" i="19"/>
  <c r="E283" i="19"/>
  <c r="B283" i="19"/>
  <c r="AR283" i="19" l="1"/>
  <c r="AD283" i="19"/>
  <c r="AH283" i="19"/>
  <c r="AG283" i="19"/>
  <c r="AC283" i="19"/>
  <c r="AF283" i="19"/>
  <c r="AE283" i="19"/>
  <c r="A285" i="19"/>
  <c r="C284" i="19"/>
  <c r="E284" i="19"/>
  <c r="B284" i="19"/>
  <c r="D284" i="19"/>
  <c r="AR284" i="19" l="1"/>
  <c r="AD284" i="19"/>
  <c r="AH284" i="19"/>
  <c r="AG284" i="19"/>
  <c r="AC284" i="19"/>
  <c r="AF284" i="19"/>
  <c r="AE284" i="19"/>
  <c r="A286" i="19"/>
  <c r="B285" i="19"/>
  <c r="E285" i="19"/>
  <c r="D285" i="19"/>
  <c r="C285" i="19"/>
  <c r="AR285" i="19" l="1"/>
  <c r="AD285" i="19"/>
  <c r="AH285" i="19"/>
  <c r="AG285" i="19"/>
  <c r="AC285" i="19"/>
  <c r="AF285" i="19"/>
  <c r="AE285" i="19"/>
  <c r="A287" i="19"/>
  <c r="B286" i="19"/>
  <c r="E286" i="19"/>
  <c r="C286" i="19"/>
  <c r="D286" i="19"/>
  <c r="AR286" i="19" l="1"/>
  <c r="AD286" i="19"/>
  <c r="AH286" i="19"/>
  <c r="AG286" i="19"/>
  <c r="AC286" i="19"/>
  <c r="AF286" i="19"/>
  <c r="AE286" i="19"/>
  <c r="E287" i="19"/>
  <c r="C287" i="19"/>
  <c r="A288" i="19"/>
  <c r="B287" i="19"/>
  <c r="D287" i="19"/>
  <c r="AR287" i="19" l="1"/>
  <c r="AD287" i="19"/>
  <c r="AH287" i="19"/>
  <c r="AG287" i="19"/>
  <c r="AC287" i="19"/>
  <c r="AF287" i="19"/>
  <c r="AE287" i="19"/>
  <c r="D288" i="19"/>
  <c r="A289" i="19"/>
  <c r="C288" i="19"/>
  <c r="E288" i="19"/>
  <c r="B288" i="19"/>
  <c r="AR288" i="19" l="1"/>
  <c r="AD288" i="19"/>
  <c r="AH288" i="19"/>
  <c r="AG288" i="19"/>
  <c r="AC288" i="19"/>
  <c r="AF288" i="19"/>
  <c r="AE288" i="19"/>
  <c r="B289" i="19"/>
  <c r="C289" i="19"/>
  <c r="A290" i="19"/>
  <c r="D289" i="19"/>
  <c r="E289" i="19"/>
  <c r="AR289" i="19" l="1"/>
  <c r="AD289" i="19"/>
  <c r="AH289" i="19"/>
  <c r="AG289" i="19"/>
  <c r="AC289" i="19"/>
  <c r="AF289" i="19"/>
  <c r="AE289" i="19"/>
  <c r="E290" i="19"/>
  <c r="A291" i="19"/>
  <c r="C290" i="19"/>
  <c r="B290" i="19"/>
  <c r="D290" i="19"/>
  <c r="AR290" i="19" l="1"/>
  <c r="AD290" i="19"/>
  <c r="AG290" i="19"/>
  <c r="AH290" i="19"/>
  <c r="AC290" i="19"/>
  <c r="AF290" i="19"/>
  <c r="AE290" i="19"/>
  <c r="D291" i="19"/>
  <c r="A292" i="19"/>
  <c r="C291" i="19"/>
  <c r="B291" i="19"/>
  <c r="E291" i="19"/>
  <c r="AR291" i="19" l="1"/>
  <c r="AD291" i="19"/>
  <c r="AG291" i="19"/>
  <c r="AH291" i="19"/>
  <c r="AC291" i="19"/>
  <c r="AF291" i="19"/>
  <c r="AE291" i="19"/>
  <c r="A293" i="19"/>
  <c r="E292" i="19"/>
  <c r="D292" i="19"/>
  <c r="B292" i="19"/>
  <c r="C292" i="19"/>
  <c r="AR292" i="19" l="1"/>
  <c r="AD292" i="19"/>
  <c r="AH292" i="19"/>
  <c r="AG292" i="19"/>
  <c r="AC292" i="19"/>
  <c r="AF292" i="19"/>
  <c r="AE292" i="19"/>
  <c r="A294" i="19"/>
  <c r="D293" i="19"/>
  <c r="B293" i="19"/>
  <c r="C293" i="19"/>
  <c r="E293" i="19"/>
  <c r="AR293" i="19" l="1"/>
  <c r="AD293" i="19"/>
  <c r="AH293" i="19"/>
  <c r="AG293" i="19"/>
  <c r="AC293" i="19"/>
  <c r="AF293" i="19"/>
  <c r="AE293" i="19"/>
  <c r="D294" i="19"/>
  <c r="C294" i="19"/>
  <c r="A295" i="19"/>
  <c r="B294" i="19"/>
  <c r="E294" i="19"/>
  <c r="AR294" i="19" l="1"/>
  <c r="AD294" i="19"/>
  <c r="AH294" i="19"/>
  <c r="AG294" i="19"/>
  <c r="AC294" i="19"/>
  <c r="AF294" i="19"/>
  <c r="AE294" i="19"/>
  <c r="C295" i="19"/>
  <c r="D295" i="19"/>
  <c r="E295" i="19"/>
  <c r="A296" i="19"/>
  <c r="B295" i="19"/>
  <c r="AR295" i="19" l="1"/>
  <c r="AD295" i="19"/>
  <c r="AH295" i="19"/>
  <c r="AG295" i="19"/>
  <c r="AC295" i="19"/>
  <c r="AF295" i="19"/>
  <c r="AE295" i="19"/>
  <c r="D296" i="19"/>
  <c r="A297" i="19"/>
  <c r="B296" i="19"/>
  <c r="E296" i="19"/>
  <c r="C296" i="19"/>
  <c r="AR296" i="19" l="1"/>
  <c r="AD296" i="19"/>
  <c r="AG296" i="19"/>
  <c r="AH296" i="19"/>
  <c r="AC296" i="19"/>
  <c r="AF296" i="19"/>
  <c r="AE296" i="19"/>
  <c r="A298" i="19"/>
  <c r="C297" i="19"/>
  <c r="D297" i="19"/>
  <c r="E297" i="19"/>
  <c r="B297" i="19"/>
  <c r="AR297" i="19" l="1"/>
  <c r="AD297" i="19"/>
  <c r="AH297" i="19"/>
  <c r="AG297" i="19"/>
  <c r="AC297" i="19"/>
  <c r="AF297" i="19"/>
  <c r="AE297" i="19"/>
  <c r="A299" i="19"/>
  <c r="B298" i="19"/>
  <c r="D298" i="19"/>
  <c r="C298" i="19"/>
  <c r="E298" i="19"/>
  <c r="AR298" i="19" l="1"/>
  <c r="AD298" i="19"/>
  <c r="AH298" i="19"/>
  <c r="AG298" i="19"/>
  <c r="AC298" i="19"/>
  <c r="AF298" i="19"/>
  <c r="AE298" i="19"/>
  <c r="B299" i="19"/>
  <c r="A300" i="19"/>
  <c r="E299" i="19"/>
  <c r="D299" i="19"/>
  <c r="C299" i="19"/>
  <c r="AR299" i="19" l="1"/>
  <c r="AD299" i="19"/>
  <c r="AH299" i="19"/>
  <c r="AG299" i="19"/>
  <c r="AC299" i="19"/>
  <c r="AF299" i="19"/>
  <c r="AE299" i="19"/>
  <c r="C300" i="19"/>
  <c r="A301" i="19"/>
  <c r="D300" i="19"/>
  <c r="B300" i="19"/>
  <c r="E300" i="19"/>
  <c r="AR300" i="19" l="1"/>
  <c r="AD300" i="19"/>
  <c r="AG300" i="19"/>
  <c r="AH300" i="19"/>
  <c r="AC300" i="19"/>
  <c r="AF300" i="19"/>
  <c r="AE300" i="19"/>
  <c r="D301" i="19"/>
  <c r="C301" i="19"/>
  <c r="E301" i="19"/>
  <c r="A302" i="19"/>
  <c r="B301" i="19"/>
  <c r="AR301" i="19" l="1"/>
  <c r="AD301" i="19"/>
  <c r="AG301" i="19"/>
  <c r="AH301" i="19"/>
  <c r="AC301" i="19"/>
  <c r="AF301" i="19"/>
  <c r="AE301" i="19"/>
  <c r="A303" i="19"/>
  <c r="B302" i="19"/>
  <c r="D302" i="19"/>
  <c r="C302" i="19"/>
  <c r="E302" i="19"/>
  <c r="AR302" i="19" l="1"/>
  <c r="AD302" i="19"/>
  <c r="AG302" i="19"/>
  <c r="AH302" i="19"/>
  <c r="AC302" i="19"/>
  <c r="AF302" i="19"/>
  <c r="AE302" i="19"/>
  <c r="D303" i="19"/>
  <c r="A304" i="19"/>
  <c r="E303" i="19"/>
  <c r="B303" i="19"/>
  <c r="C303" i="19"/>
  <c r="AR303" i="19" l="1"/>
  <c r="AD303" i="19"/>
  <c r="AH303" i="19"/>
  <c r="AG303" i="19"/>
  <c r="AC303" i="19"/>
  <c r="AF303" i="19"/>
  <c r="AE303" i="19"/>
  <c r="D304" i="19"/>
  <c r="A305" i="19"/>
  <c r="B304" i="19"/>
  <c r="C304" i="19"/>
  <c r="E304" i="19"/>
  <c r="AR304" i="19" l="1"/>
  <c r="AD304" i="19"/>
  <c r="AH304" i="19"/>
  <c r="AG304" i="19"/>
  <c r="AC304" i="19"/>
  <c r="AF304" i="19"/>
  <c r="AE304" i="19"/>
  <c r="B305" i="19"/>
  <c r="A306" i="19"/>
  <c r="D305" i="19"/>
  <c r="C305" i="19"/>
  <c r="E305" i="19"/>
  <c r="AR305" i="19" l="1"/>
  <c r="AD305" i="19"/>
  <c r="AH305" i="19"/>
  <c r="AG305" i="19"/>
  <c r="AC305" i="19"/>
  <c r="AF305" i="19"/>
  <c r="AE305" i="19"/>
  <c r="C306" i="19"/>
  <c r="D306" i="19"/>
  <c r="B306" i="19"/>
  <c r="E306" i="19"/>
  <c r="A307" i="19"/>
  <c r="AR306" i="19" l="1"/>
  <c r="AD306" i="19"/>
  <c r="AH306" i="19"/>
  <c r="AG306" i="19"/>
  <c r="AC306" i="19"/>
  <c r="AF306" i="19"/>
  <c r="AE306" i="19"/>
  <c r="C307" i="19"/>
  <c r="D307" i="19"/>
  <c r="A308" i="19"/>
  <c r="B307" i="19"/>
  <c r="E307" i="19"/>
  <c r="AR307" i="19" l="1"/>
  <c r="AD307" i="19"/>
  <c r="AH307" i="19"/>
  <c r="AG307" i="19"/>
  <c r="AC307" i="19"/>
  <c r="AF307" i="19"/>
  <c r="AE307" i="19"/>
  <c r="A309" i="19"/>
  <c r="B308" i="19"/>
  <c r="E308" i="19"/>
  <c r="D308" i="19"/>
  <c r="C308" i="19"/>
  <c r="AR308" i="19" l="1"/>
  <c r="AD308" i="19"/>
  <c r="AG308" i="19"/>
  <c r="AH308" i="19"/>
  <c r="AC308" i="19"/>
  <c r="AF308" i="19"/>
  <c r="AE308" i="19"/>
  <c r="B309" i="19"/>
  <c r="E309" i="19"/>
  <c r="C309" i="19"/>
  <c r="A310" i="19"/>
  <c r="D309" i="19"/>
  <c r="AR309" i="19" l="1"/>
  <c r="AD309" i="19"/>
  <c r="AH309" i="19"/>
  <c r="AG309" i="19"/>
  <c r="AC309" i="19"/>
  <c r="AF309" i="19"/>
  <c r="AE309" i="19"/>
  <c r="A311" i="19"/>
  <c r="C310" i="19"/>
  <c r="E310" i="19"/>
  <c r="B310" i="19"/>
  <c r="D310" i="19"/>
  <c r="AR310" i="19" l="1"/>
  <c r="AD310" i="19"/>
  <c r="AH310" i="19"/>
  <c r="AG310" i="19"/>
  <c r="AC310" i="19"/>
  <c r="AF310" i="19"/>
  <c r="AE310" i="19"/>
  <c r="A312" i="19"/>
  <c r="C311" i="19"/>
  <c r="B311" i="19"/>
  <c r="D311" i="19"/>
  <c r="E311" i="19"/>
  <c r="AR311" i="19" l="1"/>
  <c r="AD311" i="19"/>
  <c r="AH311" i="19"/>
  <c r="AG311" i="19"/>
  <c r="AC311" i="19"/>
  <c r="AF311" i="19"/>
  <c r="AE311" i="19"/>
  <c r="D312" i="19"/>
  <c r="E312" i="19"/>
  <c r="B312" i="19"/>
  <c r="C312" i="19"/>
  <c r="A313" i="19"/>
  <c r="AR312" i="19" l="1"/>
  <c r="AD312" i="19"/>
  <c r="AH312" i="19"/>
  <c r="AG312" i="19"/>
  <c r="AC312" i="19"/>
  <c r="AF312" i="19"/>
  <c r="AE312" i="19"/>
  <c r="B313" i="19"/>
  <c r="D313" i="19"/>
  <c r="A314" i="19"/>
  <c r="C313" i="19"/>
  <c r="E313" i="19"/>
  <c r="AR313" i="19" l="1"/>
  <c r="AD313" i="19"/>
  <c r="AH313" i="19"/>
  <c r="AG313" i="19"/>
  <c r="AC313" i="19"/>
  <c r="AF313" i="19"/>
  <c r="AE313" i="19"/>
  <c r="C314" i="19"/>
  <c r="E314" i="19"/>
  <c r="D314" i="19"/>
  <c r="B314" i="19"/>
  <c r="A315" i="19"/>
  <c r="AR314" i="19" l="1"/>
  <c r="AD314" i="19"/>
  <c r="AG314" i="19"/>
  <c r="AH314" i="19"/>
  <c r="AC314" i="19"/>
  <c r="AF314" i="19"/>
  <c r="AE314" i="19"/>
  <c r="E315" i="19"/>
  <c r="B315" i="19"/>
  <c r="D315" i="19"/>
  <c r="A316" i="19"/>
  <c r="C315" i="19"/>
  <c r="AR315" i="19" l="1"/>
  <c r="AD315" i="19"/>
  <c r="AH315" i="19"/>
  <c r="AG315" i="19"/>
  <c r="AC315" i="19"/>
  <c r="AF315" i="19"/>
  <c r="AE315" i="19"/>
  <c r="D316" i="19"/>
  <c r="B316" i="19"/>
  <c r="A317" i="19"/>
  <c r="C316" i="19"/>
  <c r="E316" i="19"/>
  <c r="AR316" i="19" l="1"/>
  <c r="AD316" i="19"/>
  <c r="AH316" i="19"/>
  <c r="AG316" i="19"/>
  <c r="AC316" i="19"/>
  <c r="AE316" i="19"/>
  <c r="AF316" i="19"/>
  <c r="B317" i="19"/>
  <c r="E317" i="19"/>
  <c r="C317" i="19"/>
  <c r="D317" i="19"/>
  <c r="A318" i="19"/>
  <c r="AR317" i="19" l="1"/>
  <c r="AD317" i="19"/>
  <c r="AH317" i="19"/>
  <c r="AG317" i="19"/>
  <c r="AC317" i="19"/>
  <c r="AF317" i="19"/>
  <c r="AE317" i="19"/>
  <c r="B318" i="19"/>
  <c r="E318" i="19"/>
  <c r="A319" i="19"/>
  <c r="C318" i="19"/>
  <c r="D318" i="19"/>
  <c r="AR318" i="19" l="1"/>
  <c r="AD318" i="19"/>
  <c r="AH318" i="19"/>
  <c r="AG318" i="19"/>
  <c r="AC318" i="19"/>
  <c r="AF318" i="19"/>
  <c r="AE318" i="19"/>
  <c r="C319" i="19"/>
  <c r="D319" i="19"/>
  <c r="A320" i="19"/>
  <c r="B319" i="19"/>
  <c r="E319" i="19"/>
  <c r="AR319" i="19" l="1"/>
  <c r="AD319" i="19"/>
  <c r="AH319" i="19"/>
  <c r="AG319" i="19"/>
  <c r="AC319" i="19"/>
  <c r="AE319" i="19"/>
  <c r="AF319" i="19"/>
  <c r="A321" i="19"/>
  <c r="B320" i="19"/>
  <c r="E320" i="19"/>
  <c r="C320" i="19"/>
  <c r="D320" i="19"/>
  <c r="AR320" i="19" l="1"/>
  <c r="AD320" i="19"/>
  <c r="AH320" i="19"/>
  <c r="AG320" i="19"/>
  <c r="AC320" i="19"/>
  <c r="AE320" i="19"/>
  <c r="AF320" i="19"/>
  <c r="A322" i="19"/>
  <c r="C321" i="19"/>
  <c r="D321" i="19"/>
  <c r="E321" i="19"/>
  <c r="B321" i="19"/>
  <c r="AR321" i="19" l="1"/>
  <c r="AD321" i="19"/>
  <c r="AH321" i="19"/>
  <c r="AG321" i="19"/>
  <c r="AC321" i="19"/>
  <c r="AE321" i="19"/>
  <c r="AF321" i="19"/>
  <c r="C322" i="19"/>
  <c r="A323" i="19"/>
  <c r="B322" i="19"/>
  <c r="D322" i="19"/>
  <c r="E322" i="19"/>
  <c r="AR322" i="19" l="1"/>
  <c r="AD322" i="19"/>
  <c r="AH322" i="19"/>
  <c r="AG322" i="19"/>
  <c r="AC322" i="19"/>
  <c r="AF322" i="19"/>
  <c r="AE322" i="19"/>
  <c r="C323" i="19"/>
  <c r="A324" i="19"/>
  <c r="E323" i="19"/>
  <c r="B323" i="19"/>
  <c r="D323" i="19"/>
  <c r="AR323" i="19" l="1"/>
  <c r="AD323" i="19"/>
  <c r="AH323" i="19"/>
  <c r="AG323" i="19"/>
  <c r="AC323" i="19"/>
  <c r="AF323" i="19"/>
  <c r="AE323" i="19"/>
  <c r="E324" i="19"/>
  <c r="B324" i="19"/>
  <c r="A325" i="19"/>
  <c r="D324" i="19"/>
  <c r="C324" i="19"/>
  <c r="AR324" i="19" l="1"/>
  <c r="AD324" i="19"/>
  <c r="AH324" i="19"/>
  <c r="AG324" i="19"/>
  <c r="AF324" i="19"/>
  <c r="AC324" i="19"/>
  <c r="AE324" i="19"/>
  <c r="A326" i="19"/>
  <c r="B325" i="19"/>
  <c r="D325" i="19"/>
  <c r="C325" i="19"/>
  <c r="E325" i="19"/>
  <c r="AR325" i="19" l="1"/>
  <c r="AD325" i="19"/>
  <c r="AH325" i="19"/>
  <c r="AG325" i="19"/>
  <c r="AC325" i="19"/>
  <c r="AF325" i="19"/>
  <c r="AE325" i="19"/>
  <c r="A327" i="19"/>
  <c r="B326" i="19"/>
  <c r="E326" i="19"/>
  <c r="C326" i="19"/>
  <c r="D326" i="19"/>
  <c r="AR326" i="19" l="1"/>
  <c r="AD326" i="19"/>
  <c r="AH326" i="19"/>
  <c r="AG326" i="19"/>
  <c r="AC326" i="19"/>
  <c r="AF326" i="19"/>
  <c r="AE326" i="19"/>
  <c r="A328" i="19"/>
  <c r="E327" i="19"/>
  <c r="C327" i="19"/>
  <c r="B327" i="19"/>
  <c r="D327" i="19"/>
  <c r="AR327" i="19" l="1"/>
  <c r="AD327" i="19"/>
  <c r="AH327" i="19"/>
  <c r="AG327" i="19"/>
  <c r="AC327" i="19"/>
  <c r="AF327" i="19"/>
  <c r="AE327" i="19"/>
  <c r="C328" i="19"/>
  <c r="B328" i="19"/>
  <c r="A329" i="19"/>
  <c r="E328" i="19"/>
  <c r="D328" i="19"/>
  <c r="AR328" i="19" l="1"/>
  <c r="AD328" i="19"/>
  <c r="AH328" i="19"/>
  <c r="AG328" i="19"/>
  <c r="AE328" i="19"/>
  <c r="AC328" i="19"/>
  <c r="AF328" i="19"/>
  <c r="B329" i="19"/>
  <c r="C329" i="19"/>
  <c r="D329" i="19"/>
  <c r="A330" i="19"/>
  <c r="E329" i="19"/>
  <c r="AR329" i="19" l="1"/>
  <c r="AD329" i="19"/>
  <c r="AH329" i="19"/>
  <c r="AG329" i="19"/>
  <c r="AE329" i="19"/>
  <c r="AC329" i="19"/>
  <c r="AF329" i="19"/>
  <c r="D330" i="19"/>
  <c r="B330" i="19"/>
  <c r="E330" i="19"/>
  <c r="A331" i="19"/>
  <c r="C330" i="19"/>
  <c r="AR330" i="19" l="1"/>
  <c r="AD330" i="19"/>
  <c r="AH330" i="19"/>
  <c r="AG330" i="19"/>
  <c r="AC330" i="19"/>
  <c r="AE330" i="19"/>
  <c r="AF330" i="19"/>
  <c r="D331" i="19"/>
  <c r="B331" i="19"/>
  <c r="E331" i="19"/>
  <c r="A332" i="19"/>
  <c r="C331" i="19"/>
  <c r="AR331" i="19" l="1"/>
  <c r="AD331" i="19"/>
  <c r="AH331" i="19"/>
  <c r="AG331" i="19"/>
  <c r="AC331" i="19"/>
  <c r="AE331" i="19"/>
  <c r="AF331" i="19"/>
  <c r="A333" i="19"/>
  <c r="B332" i="19"/>
  <c r="D332" i="19"/>
  <c r="E332" i="19"/>
  <c r="C332" i="19"/>
  <c r="AR332" i="19" l="1"/>
  <c r="AD332" i="19"/>
  <c r="AH332" i="19"/>
  <c r="AG332" i="19"/>
  <c r="AC332" i="19"/>
  <c r="AE332" i="19"/>
  <c r="AF332" i="19"/>
  <c r="C333" i="19"/>
  <c r="B333" i="19"/>
  <c r="A334" i="19"/>
  <c r="D333" i="19"/>
  <c r="E333" i="19"/>
  <c r="AR333" i="19" l="1"/>
  <c r="AD333" i="19"/>
  <c r="AH333" i="19"/>
  <c r="AG333" i="19"/>
  <c r="AC333" i="19"/>
  <c r="AE333" i="19"/>
  <c r="AF333" i="19"/>
  <c r="D334" i="19"/>
  <c r="A335" i="19"/>
  <c r="C334" i="19"/>
  <c r="B334" i="19"/>
  <c r="E334" i="19"/>
  <c r="AR334" i="19" l="1"/>
  <c r="AD334" i="19"/>
  <c r="AH334" i="19"/>
  <c r="AG334" i="19"/>
  <c r="AC334" i="19"/>
  <c r="AF334" i="19"/>
  <c r="AE334" i="19"/>
  <c r="A336" i="19"/>
  <c r="C335" i="19"/>
  <c r="E335" i="19"/>
  <c r="D335" i="19"/>
  <c r="B335" i="19"/>
  <c r="AR335" i="19" l="1"/>
  <c r="AD335" i="19"/>
  <c r="AH335" i="19"/>
  <c r="AG335" i="19"/>
  <c r="AF335" i="19"/>
  <c r="AC335" i="19"/>
  <c r="AE335" i="19"/>
  <c r="E336" i="19"/>
  <c r="C336" i="19"/>
  <c r="A337" i="19"/>
  <c r="B336" i="19"/>
  <c r="D336" i="19"/>
  <c r="AR336" i="19" l="1"/>
  <c r="AD336" i="19"/>
  <c r="AH336" i="19"/>
  <c r="AG336" i="19"/>
  <c r="AC336" i="19"/>
  <c r="AE336" i="19"/>
  <c r="AF336" i="19"/>
  <c r="A338" i="19"/>
  <c r="E337" i="19"/>
  <c r="B337" i="19"/>
  <c r="D337" i="19"/>
  <c r="C337" i="19"/>
  <c r="AR337" i="19" l="1"/>
  <c r="AD337" i="19"/>
  <c r="AG337" i="19"/>
  <c r="AH337" i="19"/>
  <c r="AC337" i="19"/>
  <c r="AF337" i="19"/>
  <c r="AE337" i="19"/>
  <c r="E338" i="19"/>
  <c r="B338" i="19"/>
  <c r="C338" i="19"/>
  <c r="D338" i="19"/>
  <c r="A339" i="19"/>
  <c r="AR338" i="19" l="1"/>
  <c r="AD338" i="19"/>
  <c r="AG338" i="19"/>
  <c r="AH338" i="19"/>
  <c r="AC338" i="19"/>
  <c r="AF338" i="19"/>
  <c r="AE338" i="19"/>
  <c r="D339" i="19"/>
  <c r="B339" i="19"/>
  <c r="E339" i="19"/>
  <c r="C339" i="19"/>
  <c r="A340" i="19"/>
  <c r="AR339" i="19" l="1"/>
  <c r="AD339" i="19"/>
  <c r="AH339" i="19"/>
  <c r="AG339" i="19"/>
  <c r="AC339" i="19"/>
  <c r="AF339" i="19"/>
  <c r="AE339" i="19"/>
  <c r="A341" i="19"/>
  <c r="D340" i="19"/>
  <c r="C340" i="19"/>
  <c r="E340" i="19"/>
  <c r="B340" i="19"/>
  <c r="AR340" i="19" l="1"/>
  <c r="AD340" i="19"/>
  <c r="AH340" i="19"/>
  <c r="AG340" i="19"/>
  <c r="AC340" i="19"/>
  <c r="AF340" i="19"/>
  <c r="AE340" i="19"/>
  <c r="E341" i="19"/>
  <c r="A342" i="19"/>
  <c r="B341" i="19"/>
  <c r="C341" i="19"/>
  <c r="D341" i="19"/>
  <c r="AR341" i="19" l="1"/>
  <c r="AD341" i="19"/>
  <c r="AH341" i="19"/>
  <c r="AG341" i="19"/>
  <c r="AC341" i="19"/>
  <c r="AF341" i="19"/>
  <c r="AE341" i="19"/>
  <c r="B342" i="19"/>
  <c r="E342" i="19"/>
  <c r="C342" i="19"/>
  <c r="D342" i="19"/>
  <c r="A343" i="19"/>
  <c r="AR342" i="19" l="1"/>
  <c r="AD342" i="19"/>
  <c r="AH342" i="19"/>
  <c r="AG342" i="19"/>
  <c r="AC342" i="19"/>
  <c r="AE342" i="19"/>
  <c r="AF342" i="19"/>
  <c r="A344" i="19"/>
  <c r="B343" i="19"/>
  <c r="E343" i="19"/>
  <c r="C343" i="19"/>
  <c r="D343" i="19"/>
  <c r="AR343" i="19" l="1"/>
  <c r="AD343" i="19"/>
  <c r="AH343" i="19"/>
  <c r="AG343" i="19"/>
  <c r="AC343" i="19"/>
  <c r="AE343" i="19"/>
  <c r="AF343" i="19"/>
  <c r="A345" i="19"/>
  <c r="E344" i="19"/>
  <c r="D344" i="19"/>
  <c r="B344" i="19"/>
  <c r="C344" i="19"/>
  <c r="AR344" i="19" l="1"/>
  <c r="AD344" i="19"/>
  <c r="AH344" i="19"/>
  <c r="AG344" i="19"/>
  <c r="AC344" i="19"/>
  <c r="AE344" i="19"/>
  <c r="AF344" i="19"/>
  <c r="A346" i="19"/>
  <c r="C345" i="19"/>
  <c r="E345" i="19"/>
  <c r="B345" i="19"/>
  <c r="D345" i="19"/>
  <c r="AR345" i="19" l="1"/>
  <c r="AD345" i="19"/>
  <c r="AH345" i="19"/>
  <c r="AG345" i="19"/>
  <c r="AC345" i="19"/>
  <c r="AF345" i="19"/>
  <c r="AE345" i="19"/>
  <c r="B346" i="19"/>
  <c r="E346" i="19"/>
  <c r="C346" i="19"/>
  <c r="A347" i="19"/>
  <c r="D346" i="19"/>
  <c r="AR346" i="19" l="1"/>
  <c r="AD346" i="19"/>
  <c r="AH346" i="19"/>
  <c r="AG346" i="19"/>
  <c r="AC346" i="19"/>
  <c r="AE346" i="19"/>
  <c r="AF346" i="19"/>
  <c r="C347" i="19"/>
  <c r="A348" i="19"/>
  <c r="E347" i="19"/>
  <c r="B347" i="19"/>
  <c r="D347" i="19"/>
  <c r="AR347" i="19" l="1"/>
  <c r="AD347" i="19"/>
  <c r="AH347" i="19"/>
  <c r="AG347" i="19"/>
  <c r="AC347" i="19"/>
  <c r="AF347" i="19"/>
  <c r="AE347" i="19"/>
  <c r="E348" i="19"/>
  <c r="B348" i="19"/>
  <c r="A349" i="19"/>
  <c r="C348" i="19"/>
  <c r="D348" i="19"/>
  <c r="AR348" i="19" l="1"/>
  <c r="AD348" i="19"/>
  <c r="AH348" i="19"/>
  <c r="AG348" i="19"/>
  <c r="AC348" i="19"/>
  <c r="AF348" i="19"/>
  <c r="AE348" i="19"/>
  <c r="D349" i="19"/>
  <c r="C349" i="19"/>
  <c r="E349" i="19"/>
  <c r="B349" i="19"/>
  <c r="A350" i="19"/>
  <c r="AR349" i="19" l="1"/>
  <c r="AD349" i="19"/>
  <c r="AG349" i="19"/>
  <c r="AH349" i="19"/>
  <c r="AC349" i="19"/>
  <c r="AE349" i="19"/>
  <c r="AF349" i="19"/>
  <c r="D350" i="19"/>
  <c r="E350" i="19"/>
  <c r="A351" i="19"/>
  <c r="B350" i="19"/>
  <c r="C350" i="19"/>
  <c r="AR350" i="19" l="1"/>
  <c r="AD350" i="19"/>
  <c r="AH350" i="19"/>
  <c r="AG350" i="19"/>
  <c r="AC350" i="19"/>
  <c r="AF350" i="19"/>
  <c r="AE350" i="19"/>
  <c r="D351" i="19"/>
  <c r="C351" i="19"/>
  <c r="A352" i="19"/>
  <c r="E351" i="19"/>
  <c r="B351" i="19"/>
  <c r="AR351" i="19" l="1"/>
  <c r="AD351" i="19"/>
  <c r="AH351" i="19"/>
  <c r="AG351" i="19"/>
  <c r="AC351" i="19"/>
  <c r="AE351" i="19"/>
  <c r="AF351" i="19"/>
  <c r="C352" i="19"/>
  <c r="D352" i="19"/>
  <c r="A353" i="19"/>
  <c r="E352" i="19"/>
  <c r="B352" i="19"/>
  <c r="AR352" i="19" l="1"/>
  <c r="AD352" i="19"/>
  <c r="AH352" i="19"/>
  <c r="AG352" i="19"/>
  <c r="AC352" i="19"/>
  <c r="AF352" i="19"/>
  <c r="AE352" i="19"/>
  <c r="E353" i="19"/>
  <c r="B353" i="19"/>
  <c r="D353" i="19"/>
  <c r="C353" i="19"/>
  <c r="A354" i="19"/>
  <c r="AR353" i="19" l="1"/>
  <c r="AD353" i="19"/>
  <c r="AH353" i="19"/>
  <c r="AG353" i="19"/>
  <c r="AC353" i="19"/>
  <c r="AE353" i="19"/>
  <c r="AF353" i="19"/>
  <c r="B354" i="19"/>
  <c r="D354" i="19"/>
  <c r="C354" i="19"/>
  <c r="E354" i="19"/>
  <c r="A355" i="19"/>
  <c r="AR354" i="19" l="1"/>
  <c r="AD354" i="19"/>
  <c r="AH354" i="19"/>
  <c r="AG354" i="19"/>
  <c r="AC354" i="19"/>
  <c r="AE354" i="19"/>
  <c r="AF354" i="19"/>
  <c r="B355" i="19"/>
  <c r="C355" i="19"/>
  <c r="D355" i="19"/>
  <c r="E355" i="19"/>
  <c r="A356" i="19"/>
  <c r="AR355" i="19" l="1"/>
  <c r="AD355" i="19"/>
  <c r="AH355" i="19"/>
  <c r="AG355" i="19"/>
  <c r="AC355" i="19"/>
  <c r="AE355" i="19"/>
  <c r="AF355" i="19"/>
  <c r="D356" i="19"/>
  <c r="A357" i="19"/>
  <c r="B356" i="19"/>
  <c r="E356" i="19"/>
  <c r="C356" i="19"/>
  <c r="AR356" i="19" l="1"/>
  <c r="AD356" i="19"/>
  <c r="AH356" i="19"/>
  <c r="AG356" i="19"/>
  <c r="AC356" i="19"/>
  <c r="AF356" i="19"/>
  <c r="AE356" i="19"/>
  <c r="A358" i="19"/>
  <c r="C357" i="19"/>
  <c r="B357" i="19"/>
  <c r="D357" i="19"/>
  <c r="E357" i="19"/>
  <c r="AR357" i="19" l="1"/>
  <c r="AD357" i="19"/>
  <c r="AH357" i="19"/>
  <c r="AG357" i="19"/>
  <c r="AC357" i="19"/>
  <c r="AF357" i="19"/>
  <c r="AE357" i="19"/>
  <c r="C358" i="19"/>
  <c r="B358" i="19"/>
  <c r="D358" i="19"/>
  <c r="A359" i="19"/>
  <c r="E358" i="19"/>
  <c r="AR358" i="19" l="1"/>
  <c r="AD358" i="19"/>
  <c r="AH358" i="19"/>
  <c r="AG358" i="19"/>
  <c r="AC358" i="19"/>
  <c r="AE358" i="19"/>
  <c r="AF358" i="19"/>
  <c r="B359" i="19"/>
  <c r="A360" i="19"/>
  <c r="D359" i="19"/>
  <c r="E359" i="19"/>
  <c r="C359" i="19"/>
  <c r="AR359" i="19" l="1"/>
  <c r="AD359" i="19"/>
  <c r="AH359" i="19"/>
  <c r="AG359" i="19"/>
  <c r="AC359" i="19"/>
  <c r="AE359" i="19"/>
  <c r="AF359" i="19"/>
  <c r="A361" i="19"/>
  <c r="E360" i="19"/>
  <c r="D360" i="19"/>
  <c r="B360" i="19"/>
  <c r="C360" i="19"/>
  <c r="AR360" i="19" l="1"/>
  <c r="AD360" i="19"/>
  <c r="AH360" i="19"/>
  <c r="AG360" i="19"/>
  <c r="AE360" i="19"/>
  <c r="AC360" i="19"/>
  <c r="AF360" i="19"/>
  <c r="E361" i="19"/>
  <c r="C361" i="19"/>
  <c r="D361" i="19"/>
  <c r="A362" i="19"/>
  <c r="B361" i="19"/>
  <c r="AR361" i="19" l="1"/>
  <c r="AD361" i="19"/>
  <c r="AG361" i="19"/>
  <c r="AH361" i="19"/>
  <c r="AC361" i="19"/>
  <c r="AE361" i="19"/>
  <c r="AF361" i="19"/>
  <c r="D362" i="19"/>
  <c r="C362" i="19"/>
  <c r="B362" i="19"/>
  <c r="E362" i="19"/>
  <c r="A363" i="19"/>
  <c r="AR362" i="19" l="1"/>
  <c r="AD362" i="19"/>
  <c r="AH362" i="19"/>
  <c r="AG362" i="19"/>
  <c r="AC362" i="19"/>
  <c r="AE362" i="19"/>
  <c r="AF362" i="19"/>
  <c r="E363" i="19"/>
  <c r="D363" i="19"/>
  <c r="C363" i="19"/>
  <c r="B363" i="19"/>
  <c r="A364" i="19"/>
  <c r="AR363" i="19" l="1"/>
  <c r="AD363" i="19"/>
  <c r="AH363" i="19"/>
  <c r="AG363" i="19"/>
  <c r="AC363" i="19"/>
  <c r="AF363" i="19"/>
  <c r="AE363" i="19"/>
  <c r="A365" i="19"/>
  <c r="D364" i="19"/>
  <c r="E364" i="19"/>
  <c r="B364" i="19"/>
  <c r="C364" i="19"/>
  <c r="AR364" i="19" l="1"/>
  <c r="AD364" i="19"/>
  <c r="AH364" i="19"/>
  <c r="AG364" i="19"/>
  <c r="AC364" i="19"/>
  <c r="AF364" i="19"/>
  <c r="AE364" i="19"/>
  <c r="A366" i="19"/>
  <c r="C365" i="19"/>
  <c r="B365" i="19"/>
  <c r="E365" i="19"/>
  <c r="D365" i="19"/>
  <c r="AR365" i="19" l="1"/>
  <c r="AD365" i="19"/>
  <c r="AH365" i="19"/>
  <c r="AG365" i="19"/>
  <c r="AC365" i="19"/>
  <c r="AE365" i="19"/>
  <c r="AF365" i="19"/>
  <c r="C366" i="19"/>
  <c r="E366" i="19"/>
  <c r="A367" i="19"/>
  <c r="D366" i="19"/>
  <c r="B366" i="19"/>
  <c r="AR366" i="19" l="1"/>
  <c r="AD366" i="19"/>
  <c r="AH366" i="19"/>
  <c r="AG366" i="19"/>
  <c r="AC366" i="19"/>
  <c r="AF366" i="19"/>
  <c r="AE366" i="19"/>
  <c r="A368" i="19"/>
  <c r="B367" i="19"/>
  <c r="E367" i="19"/>
  <c r="C367" i="19"/>
  <c r="D367" i="19"/>
  <c r="AR367" i="19" l="1"/>
  <c r="AD367" i="19"/>
  <c r="AG367" i="19"/>
  <c r="AH367" i="19"/>
  <c r="AC367" i="19"/>
  <c r="AE367" i="19"/>
  <c r="AF367" i="19"/>
  <c r="E368" i="19"/>
  <c r="D368" i="19"/>
  <c r="A369" i="19"/>
  <c r="C368" i="19"/>
  <c r="B368" i="19"/>
  <c r="AR368" i="19" l="1"/>
  <c r="AD368" i="19"/>
  <c r="AG368" i="19"/>
  <c r="AH368" i="19"/>
  <c r="AC368" i="19"/>
  <c r="AF368" i="19"/>
  <c r="AE368" i="19"/>
  <c r="B369" i="19"/>
  <c r="E369" i="19"/>
  <c r="D369" i="19"/>
  <c r="C369" i="19"/>
  <c r="AR369" i="19" l="1"/>
  <c r="AD369" i="19"/>
  <c r="AH369" i="19"/>
  <c r="AG369" i="19"/>
  <c r="AC369" i="19"/>
  <c r="AF369" i="19"/>
  <c r="AE369" i="19"/>
  <c r="C6" i="1" l="1"/>
  <c r="B7" i="1"/>
  <c r="H6" i="1"/>
  <c r="D6" i="1"/>
  <c r="J2" i="19"/>
  <c r="N2" i="19"/>
  <c r="F2" i="19"/>
  <c r="L2" i="19"/>
  <c r="G2" i="19"/>
  <c r="I2" i="19"/>
  <c r="M2" i="19"/>
  <c r="Z2" i="19"/>
  <c r="AB2" i="19"/>
  <c r="K2" i="19"/>
  <c r="V2" i="19"/>
  <c r="H2" i="19"/>
  <c r="Y2" i="19"/>
  <c r="X2" i="19"/>
  <c r="AA2" i="19"/>
  <c r="W2" i="19" l="1"/>
  <c r="U2" i="19"/>
  <c r="O2" i="19"/>
  <c r="R2" i="19"/>
  <c r="AB3" i="19"/>
  <c r="N3" i="19"/>
  <c r="G3" i="19"/>
  <c r="Z3" i="19"/>
  <c r="X3" i="19"/>
  <c r="H3" i="19"/>
  <c r="F3" i="19"/>
  <c r="AA3" i="19"/>
  <c r="V3" i="19"/>
  <c r="J3" i="19"/>
  <c r="M3" i="19"/>
  <c r="L3" i="19"/>
  <c r="I3" i="19"/>
  <c r="Y3" i="19"/>
  <c r="K3" i="19"/>
  <c r="C7" i="1"/>
  <c r="B8" i="1"/>
  <c r="H7" i="1"/>
  <c r="D7" i="1"/>
  <c r="W3" i="19" l="1"/>
  <c r="U3" i="19"/>
  <c r="O3" i="19"/>
  <c r="R3" i="19"/>
  <c r="C8" i="1"/>
  <c r="B9" i="1"/>
  <c r="H8" i="1"/>
  <c r="D8" i="1"/>
  <c r="K4" i="19"/>
  <c r="M4" i="19"/>
  <c r="J4" i="19"/>
  <c r="X4" i="19"/>
  <c r="V4" i="19"/>
  <c r="AB4" i="19"/>
  <c r="F4" i="19"/>
  <c r="N4" i="19"/>
  <c r="AA4" i="19"/>
  <c r="G4" i="19"/>
  <c r="I4" i="19"/>
  <c r="Y4" i="19"/>
  <c r="Z4" i="19"/>
  <c r="H4" i="19"/>
  <c r="L4" i="19"/>
  <c r="W4" i="19" l="1"/>
  <c r="U4" i="19"/>
  <c r="G5" i="19"/>
  <c r="O4" i="19"/>
  <c r="R4" i="19"/>
  <c r="L5" i="19"/>
  <c r="X5" i="19"/>
  <c r="Y5" i="19"/>
  <c r="J5" i="19"/>
  <c r="F5" i="19"/>
  <c r="AA5" i="19"/>
  <c r="I5" i="19"/>
  <c r="H5" i="19"/>
  <c r="M5" i="19"/>
  <c r="N5" i="19"/>
  <c r="Z5" i="19"/>
  <c r="AB5" i="19"/>
  <c r="K5" i="19"/>
  <c r="V5" i="19"/>
  <c r="C9" i="1"/>
  <c r="B10" i="1"/>
  <c r="D9" i="1"/>
  <c r="H9" i="1"/>
  <c r="W5" i="19" l="1"/>
  <c r="U5" i="19"/>
  <c r="O5" i="19"/>
  <c r="R5" i="19"/>
  <c r="B11" i="1"/>
  <c r="H10" i="1"/>
  <c r="C10" i="1"/>
  <c r="D10" i="1"/>
  <c r="X6" i="19"/>
  <c r="G6" i="19"/>
  <c r="Z6" i="19"/>
  <c r="N6" i="19"/>
  <c r="V6" i="19"/>
  <c r="J6" i="19"/>
  <c r="F6" i="19"/>
  <c r="L6" i="19"/>
  <c r="AA6" i="19"/>
  <c r="AB6" i="19"/>
  <c r="M6" i="19"/>
  <c r="Y6" i="19"/>
  <c r="K6" i="19"/>
  <c r="H6" i="19"/>
  <c r="I6" i="19"/>
  <c r="W6" i="19" l="1"/>
  <c r="U6" i="19"/>
  <c r="O6" i="19"/>
  <c r="R6" i="19"/>
  <c r="F7" i="19"/>
  <c r="AA7" i="19"/>
  <c r="H7" i="19"/>
  <c r="N7" i="19"/>
  <c r="X7" i="19"/>
  <c r="Z7" i="19"/>
  <c r="Y7" i="19"/>
  <c r="L7" i="19"/>
  <c r="I7" i="19"/>
  <c r="V7" i="19"/>
  <c r="G7" i="19"/>
  <c r="M7" i="19"/>
  <c r="J7" i="19"/>
  <c r="K7" i="19"/>
  <c r="B12" i="1"/>
  <c r="C11" i="1"/>
  <c r="D11" i="1"/>
  <c r="H11" i="1"/>
  <c r="AB7" i="19"/>
  <c r="W7" i="19" l="1"/>
  <c r="U7" i="19"/>
  <c r="O7" i="19"/>
  <c r="R7" i="19"/>
  <c r="B13" i="1"/>
  <c r="C12" i="1"/>
  <c r="D12" i="1"/>
  <c r="H12" i="1"/>
  <c r="H8" i="19"/>
  <c r="X8" i="19"/>
  <c r="I8" i="19"/>
  <c r="Z8" i="19"/>
  <c r="AA8" i="19"/>
  <c r="F8" i="19"/>
  <c r="Y8" i="19"/>
  <c r="M8" i="19"/>
  <c r="J8" i="19"/>
  <c r="G8" i="19"/>
  <c r="L8" i="19"/>
  <c r="N8" i="19"/>
  <c r="K8" i="19"/>
  <c r="AB8" i="19"/>
  <c r="V8" i="19"/>
  <c r="W8" i="19" l="1"/>
  <c r="U8" i="19"/>
  <c r="O8" i="19"/>
  <c r="R8" i="19"/>
  <c r="X9" i="19"/>
  <c r="G9" i="19"/>
  <c r="Y9" i="19"/>
  <c r="J9" i="19"/>
  <c r="M9" i="19"/>
  <c r="AB9" i="19"/>
  <c r="K9" i="19"/>
  <c r="Z9" i="19"/>
  <c r="N9" i="19"/>
  <c r="H9" i="19"/>
  <c r="L9" i="19"/>
  <c r="AA9" i="19"/>
  <c r="F9" i="19"/>
  <c r="I9" i="19"/>
  <c r="V9" i="19"/>
  <c r="B14" i="1"/>
  <c r="C13" i="1"/>
  <c r="D13" i="1"/>
  <c r="H13" i="1"/>
  <c r="W9" i="19" l="1"/>
  <c r="U9" i="19"/>
  <c r="O9" i="19"/>
  <c r="R9" i="19"/>
  <c r="B15" i="1"/>
  <c r="AA11" i="19" s="1"/>
  <c r="C14" i="1"/>
  <c r="D14" i="1"/>
  <c r="H14" i="1"/>
  <c r="Y10" i="19"/>
  <c r="Z10" i="19"/>
  <c r="I10" i="19"/>
  <c r="X10" i="19"/>
  <c r="F10" i="19"/>
  <c r="AA10" i="19"/>
  <c r="M10" i="19"/>
  <c r="AB10" i="19"/>
  <c r="N10" i="19"/>
  <c r="V10" i="19"/>
  <c r="K10" i="19"/>
  <c r="J10" i="19"/>
  <c r="G10" i="19"/>
  <c r="L10" i="19"/>
  <c r="H10" i="19"/>
  <c r="W11" i="19" l="1"/>
  <c r="W10" i="19"/>
  <c r="U10" i="19"/>
  <c r="R10" i="19"/>
  <c r="O11" i="19"/>
  <c r="R11" i="19"/>
  <c r="I11" i="19"/>
  <c r="U11" i="19" s="1"/>
  <c r="H11" i="19"/>
  <c r="M11" i="19"/>
  <c r="AB11" i="19"/>
  <c r="J11" i="19"/>
  <c r="L11" i="19"/>
  <c r="V11" i="19"/>
  <c r="G11" i="19"/>
  <c r="Y11" i="19"/>
  <c r="N11" i="19"/>
  <c r="X11" i="19"/>
  <c r="Z11" i="19"/>
  <c r="F11" i="19"/>
  <c r="K11" i="19"/>
  <c r="B16" i="1"/>
  <c r="C15" i="1"/>
  <c r="D15" i="1"/>
  <c r="H15" i="1"/>
  <c r="J5" i="5"/>
  <c r="I5" i="5"/>
  <c r="I4" i="5"/>
  <c r="J4" i="5"/>
  <c r="B17" i="1" l="1"/>
  <c r="C16" i="1"/>
  <c r="D16" i="1"/>
  <c r="H16" i="1"/>
  <c r="X12" i="19"/>
  <c r="I12" i="19"/>
  <c r="K12" i="19"/>
  <c r="AB12" i="19"/>
  <c r="G12" i="19"/>
  <c r="L12" i="19"/>
  <c r="H12" i="19"/>
  <c r="Y12" i="19"/>
  <c r="V12" i="19"/>
  <c r="Z12" i="19"/>
  <c r="N12" i="19"/>
  <c r="F12" i="19"/>
  <c r="J12" i="19"/>
  <c r="M12" i="19"/>
  <c r="AA12" i="19"/>
  <c r="K5" i="5"/>
  <c r="K4" i="5"/>
  <c r="W12" i="19" l="1"/>
  <c r="U12" i="19"/>
  <c r="O12" i="19"/>
  <c r="R12" i="19"/>
  <c r="K13" i="19"/>
  <c r="V13" i="19"/>
  <c r="H13" i="19"/>
  <c r="M13" i="19"/>
  <c r="Z13" i="19"/>
  <c r="F13" i="19"/>
  <c r="Y13" i="19"/>
  <c r="L13" i="19"/>
  <c r="N13" i="19"/>
  <c r="X13" i="19"/>
  <c r="AB13" i="19"/>
  <c r="J13" i="19"/>
  <c r="G13" i="19"/>
  <c r="I13" i="19"/>
  <c r="AA13" i="19"/>
  <c r="B18" i="1"/>
  <c r="D17" i="1"/>
  <c r="H17" i="1"/>
  <c r="C17" i="1"/>
  <c r="W13" i="19" l="1"/>
  <c r="U13" i="19"/>
  <c r="O13" i="19"/>
  <c r="R13" i="19"/>
  <c r="B19" i="1"/>
  <c r="C18" i="1"/>
  <c r="D18" i="1"/>
  <c r="H18" i="1"/>
  <c r="J14" i="19"/>
  <c r="K14" i="19"/>
  <c r="F14" i="19"/>
  <c r="V14" i="19"/>
  <c r="AB14" i="19"/>
  <c r="N14" i="19"/>
  <c r="H14" i="19"/>
  <c r="G14" i="19"/>
  <c r="Z14" i="19"/>
  <c r="X14" i="19"/>
  <c r="M14" i="19"/>
  <c r="I14" i="19"/>
  <c r="L14" i="19"/>
  <c r="Y14" i="19"/>
  <c r="AA14" i="19"/>
  <c r="W14" i="19" l="1"/>
  <c r="U14" i="19"/>
  <c r="Y15" i="19"/>
  <c r="O14" i="19"/>
  <c r="R14" i="19"/>
  <c r="F15" i="19"/>
  <c r="AA15" i="19"/>
  <c r="V15" i="19"/>
  <c r="H15" i="19"/>
  <c r="L15" i="19"/>
  <c r="N15" i="19"/>
  <c r="X15" i="19"/>
  <c r="G15" i="19"/>
  <c r="J15" i="19"/>
  <c r="I15" i="19"/>
  <c r="AB15" i="19"/>
  <c r="K15" i="19"/>
  <c r="M15" i="19"/>
  <c r="Z15" i="19"/>
  <c r="B20" i="1"/>
  <c r="C19" i="1"/>
  <c r="D19" i="1"/>
  <c r="H19" i="1"/>
  <c r="W15" i="19" l="1"/>
  <c r="U15" i="19"/>
  <c r="O15" i="19"/>
  <c r="R15" i="19"/>
  <c r="B21" i="1"/>
  <c r="C20" i="1"/>
  <c r="H20" i="1"/>
  <c r="D20" i="1"/>
  <c r="K16" i="19"/>
  <c r="J16" i="19"/>
  <c r="N16" i="19"/>
  <c r="Y16" i="19"/>
  <c r="AB16" i="19"/>
  <c r="I16" i="19"/>
  <c r="M16" i="19"/>
  <c r="G16" i="19"/>
  <c r="L16" i="19"/>
  <c r="AA16" i="19"/>
  <c r="V16" i="19"/>
  <c r="Z16" i="19"/>
  <c r="H16" i="19"/>
  <c r="X16" i="19"/>
  <c r="F16" i="19"/>
  <c r="W16" i="19" l="1"/>
  <c r="U16" i="19"/>
  <c r="O16" i="19"/>
  <c r="R16" i="19"/>
  <c r="Y17" i="19"/>
  <c r="V17" i="19"/>
  <c r="L17" i="19"/>
  <c r="I17" i="19"/>
  <c r="AB17" i="19"/>
  <c r="G17" i="19"/>
  <c r="K17" i="19"/>
  <c r="M17" i="19"/>
  <c r="Z17" i="19"/>
  <c r="N17" i="19"/>
  <c r="H17" i="19"/>
  <c r="AA17" i="19"/>
  <c r="J17" i="19"/>
  <c r="X17" i="19"/>
  <c r="F17" i="19"/>
  <c r="B22" i="1"/>
  <c r="H21" i="1"/>
  <c r="C21" i="1"/>
  <c r="D21" i="1"/>
  <c r="W17" i="19" l="1"/>
  <c r="U17" i="19"/>
  <c r="O17" i="19"/>
  <c r="R17" i="19"/>
  <c r="B23" i="1"/>
  <c r="C22" i="1"/>
  <c r="D22" i="1"/>
  <c r="H22" i="1"/>
  <c r="AB18" i="19"/>
  <c r="M18" i="19"/>
  <c r="H18" i="19"/>
  <c r="AA18" i="19"/>
  <c r="Y18" i="19"/>
  <c r="N18" i="19"/>
  <c r="I18" i="19"/>
  <c r="L18" i="19"/>
  <c r="J18" i="19"/>
  <c r="X18" i="19"/>
  <c r="Z18" i="19"/>
  <c r="K18" i="19"/>
  <c r="K19" i="19"/>
  <c r="V18" i="19"/>
  <c r="F18" i="19"/>
  <c r="G18" i="19"/>
  <c r="W18" i="19" l="1"/>
  <c r="U18" i="19"/>
  <c r="Y19" i="19"/>
  <c r="Z19" i="19"/>
  <c r="O18" i="19"/>
  <c r="R18" i="19"/>
  <c r="M19" i="19"/>
  <c r="N19" i="19"/>
  <c r="I19" i="19"/>
  <c r="X19" i="19"/>
  <c r="L19" i="19"/>
  <c r="H19" i="19"/>
  <c r="AA19" i="19"/>
  <c r="G19" i="19"/>
  <c r="F19" i="19"/>
  <c r="J19" i="19"/>
  <c r="V19" i="19"/>
  <c r="AB19" i="19"/>
  <c r="B24" i="1"/>
  <c r="C23" i="1"/>
  <c r="D23" i="1"/>
  <c r="H23" i="1"/>
  <c r="J6" i="5"/>
  <c r="I7" i="5"/>
  <c r="J8" i="5"/>
  <c r="I8" i="5"/>
  <c r="J7" i="5"/>
  <c r="I6" i="5"/>
  <c r="W19" i="19" l="1"/>
  <c r="U19" i="19"/>
  <c r="R19" i="19"/>
  <c r="B25" i="1"/>
  <c r="H21" i="19" s="1"/>
  <c r="C24" i="1"/>
  <c r="D24" i="1"/>
  <c r="H24" i="1"/>
  <c r="K7" i="5"/>
  <c r="K8" i="5"/>
  <c r="L20" i="19"/>
  <c r="J20" i="19"/>
  <c r="AA20" i="19"/>
  <c r="I20" i="19"/>
  <c r="X20" i="19"/>
  <c r="AB20" i="19"/>
  <c r="Z20" i="19"/>
  <c r="N20" i="19"/>
  <c r="K20" i="19"/>
  <c r="H20" i="19"/>
  <c r="M20" i="19"/>
  <c r="F20" i="19"/>
  <c r="Y20" i="19"/>
  <c r="G20" i="19"/>
  <c r="V20" i="19"/>
  <c r="K6" i="5"/>
  <c r="W20" i="19" l="1"/>
  <c r="U20" i="19"/>
  <c r="N21" i="19"/>
  <c r="V21" i="19"/>
  <c r="F21" i="19"/>
  <c r="G21" i="19"/>
  <c r="Y21" i="19"/>
  <c r="AB21" i="19"/>
  <c r="M21" i="19"/>
  <c r="X21" i="19"/>
  <c r="K21" i="19"/>
  <c r="Z21" i="19"/>
  <c r="I21" i="19"/>
  <c r="R20" i="19"/>
  <c r="J21" i="19"/>
  <c r="AA21" i="19"/>
  <c r="L21" i="19"/>
  <c r="B26" i="1"/>
  <c r="C25" i="1"/>
  <c r="D25" i="1"/>
  <c r="H25" i="1"/>
  <c r="I9" i="5"/>
  <c r="J9" i="5"/>
  <c r="W21" i="19" l="1"/>
  <c r="U21" i="19"/>
  <c r="O21" i="19"/>
  <c r="R21" i="19"/>
  <c r="B27" i="1"/>
  <c r="D26" i="1"/>
  <c r="H26" i="1"/>
  <c r="C26" i="1"/>
  <c r="AA22" i="19"/>
  <c r="K22" i="19"/>
  <c r="X22" i="19"/>
  <c r="Y22" i="19"/>
  <c r="N22" i="19"/>
  <c r="V22" i="19"/>
  <c r="G22" i="19"/>
  <c r="L22" i="19"/>
  <c r="J22" i="19"/>
  <c r="M22" i="19"/>
  <c r="H22" i="19"/>
  <c r="AB22" i="19"/>
  <c r="F22" i="19"/>
  <c r="I22" i="19"/>
  <c r="Z22" i="19"/>
  <c r="K9" i="5"/>
  <c r="W22" i="19" l="1"/>
  <c r="U22" i="19"/>
  <c r="H23" i="19"/>
  <c r="N23" i="19"/>
  <c r="AA23" i="19"/>
  <c r="Z23" i="19"/>
  <c r="L23" i="19"/>
  <c r="AB23" i="19"/>
  <c r="X23" i="19"/>
  <c r="G23" i="19"/>
  <c r="J23" i="19"/>
  <c r="I23" i="19"/>
  <c r="V23" i="19"/>
  <c r="F23" i="19"/>
  <c r="M23" i="19"/>
  <c r="Y23" i="19"/>
  <c r="K23" i="19"/>
  <c r="O22" i="19"/>
  <c r="R22" i="19"/>
  <c r="B28" i="1"/>
  <c r="D27" i="1"/>
  <c r="H27" i="1"/>
  <c r="C27" i="1"/>
  <c r="O23" i="19" l="1"/>
  <c r="U23" i="19"/>
  <c r="R23" i="19"/>
  <c r="W23" i="19"/>
  <c r="B29" i="1"/>
  <c r="D28" i="1"/>
  <c r="H28" i="1"/>
  <c r="C28" i="1"/>
  <c r="M24" i="19"/>
  <c r="X24" i="19"/>
  <c r="AA24" i="19"/>
  <c r="Y24" i="19"/>
  <c r="L24" i="19"/>
  <c r="F24" i="19"/>
  <c r="I24" i="19"/>
  <c r="AB24" i="19"/>
  <c r="G24" i="19"/>
  <c r="J24" i="19"/>
  <c r="V24" i="19"/>
  <c r="K24" i="19"/>
  <c r="Z24" i="19"/>
  <c r="N24" i="19"/>
  <c r="H24" i="19"/>
  <c r="W24" i="19" l="1"/>
  <c r="U24" i="19"/>
  <c r="N25" i="19"/>
  <c r="Y25" i="19"/>
  <c r="X25" i="19"/>
  <c r="K25" i="19"/>
  <c r="V25" i="19"/>
  <c r="AA25" i="19"/>
  <c r="AB25" i="19"/>
  <c r="M25" i="19"/>
  <c r="G25" i="19"/>
  <c r="F25" i="19"/>
  <c r="L25" i="19"/>
  <c r="H25" i="19"/>
  <c r="I25" i="19"/>
  <c r="J25" i="19"/>
  <c r="Z25" i="19"/>
  <c r="D29" i="1"/>
  <c r="H29" i="1"/>
  <c r="C29" i="1"/>
  <c r="B30" i="1"/>
  <c r="O24" i="19"/>
  <c r="R24" i="19"/>
  <c r="W25" i="19" l="1"/>
  <c r="U25" i="19"/>
  <c r="R25" i="19"/>
  <c r="O25" i="19"/>
  <c r="D30" i="1"/>
  <c r="C30" i="1"/>
  <c r="H30" i="1"/>
  <c r="B31" i="1"/>
  <c r="AB26" i="19"/>
  <c r="M26" i="19"/>
  <c r="F26" i="19"/>
  <c r="AA26" i="19"/>
  <c r="N26" i="19"/>
  <c r="V26" i="19"/>
  <c r="X26" i="19"/>
  <c r="K26" i="19"/>
  <c r="J26" i="19"/>
  <c r="Z26" i="19"/>
  <c r="H26" i="19"/>
  <c r="G26" i="19"/>
  <c r="L26" i="19"/>
  <c r="Y26" i="19"/>
  <c r="I26" i="19"/>
  <c r="W26" i="19" l="1"/>
  <c r="U26" i="19"/>
  <c r="G27" i="19"/>
  <c r="H27" i="19"/>
  <c r="I27" i="19"/>
  <c r="V27" i="19"/>
  <c r="Z27" i="19"/>
  <c r="F27" i="19"/>
  <c r="J27" i="19"/>
  <c r="L27" i="19"/>
  <c r="X27" i="19"/>
  <c r="M27" i="19"/>
  <c r="AB27" i="19"/>
  <c r="Y27" i="19"/>
  <c r="N27" i="19"/>
  <c r="K27" i="19"/>
  <c r="AA27" i="19"/>
  <c r="B32" i="1"/>
  <c r="C31" i="1"/>
  <c r="D31" i="1"/>
  <c r="H31" i="1"/>
  <c r="R26" i="19"/>
  <c r="O26" i="19"/>
  <c r="O27" i="19" l="1"/>
  <c r="U27" i="19"/>
  <c r="R27" i="19"/>
  <c r="W27" i="19"/>
  <c r="B33" i="1"/>
  <c r="D32" i="1"/>
  <c r="H32" i="1"/>
  <c r="C32" i="1"/>
  <c r="F28" i="19"/>
  <c r="AA28" i="19"/>
  <c r="X28" i="19"/>
  <c r="V28" i="19"/>
  <c r="K28" i="19"/>
  <c r="G28" i="19"/>
  <c r="L28" i="19"/>
  <c r="H28" i="19"/>
  <c r="N28" i="19"/>
  <c r="Y28" i="19"/>
  <c r="M28" i="19"/>
  <c r="I28" i="19"/>
  <c r="J28" i="19"/>
  <c r="Z28" i="19"/>
  <c r="AB28" i="19"/>
  <c r="W28" i="19" l="1"/>
  <c r="U28" i="19"/>
  <c r="AB29" i="19"/>
  <c r="N29" i="19"/>
  <c r="G29" i="19"/>
  <c r="I29" i="19"/>
  <c r="J29" i="19"/>
  <c r="H29" i="19"/>
  <c r="Z29" i="19"/>
  <c r="L29" i="19"/>
  <c r="M29" i="19"/>
  <c r="F29" i="19"/>
  <c r="K29" i="19"/>
  <c r="V29" i="19"/>
  <c r="AA29" i="19"/>
  <c r="X29" i="19"/>
  <c r="Y29" i="19"/>
  <c r="B34" i="1"/>
  <c r="C33" i="1"/>
  <c r="D33" i="1"/>
  <c r="H33" i="1"/>
  <c r="J21" i="5"/>
  <c r="J15" i="5"/>
  <c r="J18" i="5"/>
  <c r="I17" i="5"/>
  <c r="J16" i="5"/>
  <c r="I21" i="5"/>
  <c r="J14" i="5"/>
  <c r="I19" i="5"/>
  <c r="I12" i="5"/>
  <c r="I18" i="5"/>
  <c r="I10" i="5"/>
  <c r="I16" i="5"/>
  <c r="I15" i="5"/>
  <c r="J20" i="5"/>
  <c r="I11" i="5"/>
  <c r="J11" i="5"/>
  <c r="I13" i="5"/>
  <c r="J17" i="5"/>
  <c r="J13" i="5"/>
  <c r="I20" i="5"/>
  <c r="J10" i="5"/>
  <c r="J19" i="5"/>
  <c r="J12" i="5"/>
  <c r="I14" i="5"/>
  <c r="R28" i="19"/>
  <c r="W29" i="19" l="1"/>
  <c r="U29" i="19"/>
  <c r="R29" i="19"/>
  <c r="B35" i="1"/>
  <c r="C34" i="1"/>
  <c r="D34" i="1"/>
  <c r="H34" i="1"/>
  <c r="AA30" i="19"/>
  <c r="X30" i="19"/>
  <c r="N30" i="19"/>
  <c r="M30" i="19"/>
  <c r="AB30" i="19"/>
  <c r="Y30" i="19"/>
  <c r="G30" i="19"/>
  <c r="J30" i="19"/>
  <c r="V30" i="19"/>
  <c r="F30" i="19"/>
  <c r="K30" i="19"/>
  <c r="I30" i="19"/>
  <c r="Z30" i="19"/>
  <c r="L30" i="19"/>
  <c r="H30" i="19"/>
  <c r="I32" i="5"/>
  <c r="J33" i="5"/>
  <c r="I26" i="5"/>
  <c r="J31" i="5"/>
  <c r="J25" i="5"/>
  <c r="I31" i="5"/>
  <c r="J32" i="5"/>
  <c r="J22" i="5"/>
  <c r="J29" i="5"/>
  <c r="I23" i="5"/>
  <c r="I22" i="5"/>
  <c r="I25" i="5"/>
  <c r="I29" i="5"/>
  <c r="I24" i="5"/>
  <c r="J30" i="5"/>
  <c r="I28" i="5"/>
  <c r="J26" i="5"/>
  <c r="J24" i="5"/>
  <c r="J23" i="5"/>
  <c r="I30" i="5"/>
  <c r="I27" i="5"/>
  <c r="I33" i="5"/>
  <c r="J28" i="5"/>
  <c r="J27" i="5"/>
  <c r="K12" i="5"/>
  <c r="K10" i="5"/>
  <c r="K13" i="5"/>
  <c r="K17" i="5"/>
  <c r="K14" i="5"/>
  <c r="K19" i="5"/>
  <c r="K20" i="5"/>
  <c r="K16" i="5"/>
  <c r="K18" i="5"/>
  <c r="K15" i="5"/>
  <c r="K21" i="5"/>
  <c r="K11" i="5"/>
  <c r="W30" i="19" l="1"/>
  <c r="U30" i="19"/>
  <c r="K31" i="19"/>
  <c r="F31" i="19"/>
  <c r="AA31" i="19"/>
  <c r="H31" i="19"/>
  <c r="V31" i="19"/>
  <c r="M31" i="19"/>
  <c r="Z31" i="19"/>
  <c r="L31" i="19"/>
  <c r="G31" i="19"/>
  <c r="X31" i="19"/>
  <c r="J31" i="19"/>
  <c r="Y31" i="19"/>
  <c r="I31" i="19"/>
  <c r="AB31" i="19"/>
  <c r="N31" i="19"/>
  <c r="B36" i="1"/>
  <c r="D35" i="1"/>
  <c r="H35" i="1"/>
  <c r="C35" i="1"/>
  <c r="I37" i="5"/>
  <c r="I34" i="5"/>
  <c r="J34" i="5"/>
  <c r="J37" i="5"/>
  <c r="J38" i="5"/>
  <c r="J35" i="5"/>
  <c r="J39" i="5"/>
  <c r="I42" i="5"/>
  <c r="I41" i="5"/>
  <c r="I36" i="5"/>
  <c r="J41" i="5"/>
  <c r="J36" i="5"/>
  <c r="J40" i="5"/>
  <c r="I40" i="5"/>
  <c r="I39" i="5"/>
  <c r="J42" i="5"/>
  <c r="I35" i="5"/>
  <c r="I38" i="5"/>
  <c r="K25" i="5"/>
  <c r="K26" i="5"/>
  <c r="K22" i="5"/>
  <c r="K32" i="5"/>
  <c r="K31" i="5"/>
  <c r="K29" i="5"/>
  <c r="K23" i="5"/>
  <c r="K24" i="5"/>
  <c r="K33" i="5"/>
  <c r="K30" i="5"/>
  <c r="K27" i="5"/>
  <c r="K28" i="5"/>
  <c r="R30" i="19"/>
  <c r="W31" i="19" l="1"/>
  <c r="U31" i="19"/>
  <c r="O31" i="19"/>
  <c r="R31" i="19"/>
  <c r="B37" i="1"/>
  <c r="H36" i="1"/>
  <c r="D36" i="1"/>
  <c r="C36" i="1"/>
  <c r="H32" i="19"/>
  <c r="V32" i="19"/>
  <c r="X32" i="19"/>
  <c r="Z32" i="19"/>
  <c r="I32" i="19"/>
  <c r="N32" i="19"/>
  <c r="Y32" i="19"/>
  <c r="G32" i="19"/>
  <c r="AA32" i="19"/>
  <c r="U32" i="19" s="1"/>
  <c r="L32" i="19"/>
  <c r="AB32" i="19"/>
  <c r="M32" i="19"/>
  <c r="J32" i="19"/>
  <c r="K32" i="19"/>
  <c r="F32" i="19"/>
  <c r="K37" i="5"/>
  <c r="K36" i="5"/>
  <c r="K41" i="5"/>
  <c r="K42" i="5"/>
  <c r="K35" i="5"/>
  <c r="K34" i="5"/>
  <c r="K39" i="5"/>
  <c r="K40" i="5"/>
  <c r="K38" i="5"/>
  <c r="F33" i="19" l="1"/>
  <c r="L33" i="19"/>
  <c r="Y33" i="19"/>
  <c r="I33" i="19"/>
  <c r="Z33" i="19"/>
  <c r="X33" i="19"/>
  <c r="N33" i="19"/>
  <c r="G33" i="19"/>
  <c r="K33" i="19"/>
  <c r="AA33" i="19"/>
  <c r="V33" i="19"/>
  <c r="AB33" i="19"/>
  <c r="J33" i="19"/>
  <c r="H33" i="19"/>
  <c r="B38" i="1"/>
  <c r="C37" i="1"/>
  <c r="D37" i="1"/>
  <c r="H37" i="1"/>
  <c r="J47" i="5"/>
  <c r="I44" i="5"/>
  <c r="I49" i="5"/>
  <c r="J48" i="5"/>
  <c r="I45" i="5"/>
  <c r="J44" i="5"/>
  <c r="J50" i="5"/>
  <c r="I50" i="5"/>
  <c r="I48" i="5"/>
  <c r="J46" i="5"/>
  <c r="J45" i="5"/>
  <c r="J43" i="5"/>
  <c r="I43" i="5"/>
  <c r="I46" i="5"/>
  <c r="I47" i="5"/>
  <c r="J49" i="5"/>
  <c r="M33" i="19"/>
  <c r="W32" i="19"/>
  <c r="R32" i="19"/>
  <c r="U33" i="19" l="1"/>
  <c r="W33" i="19"/>
  <c r="R33" i="19"/>
  <c r="B39" i="1"/>
  <c r="C38" i="1"/>
  <c r="D38" i="1"/>
  <c r="H38" i="1"/>
  <c r="I56" i="5"/>
  <c r="J51" i="5"/>
  <c r="J56" i="5"/>
  <c r="J58" i="5"/>
  <c r="I52" i="5"/>
  <c r="J59" i="5"/>
  <c r="J55" i="5"/>
  <c r="J53" i="5"/>
  <c r="J60" i="5"/>
  <c r="J54" i="5"/>
  <c r="J52" i="5"/>
  <c r="I54" i="5"/>
  <c r="J57" i="5"/>
  <c r="I53" i="5"/>
  <c r="I51" i="5"/>
  <c r="I59" i="5"/>
  <c r="I61" i="5"/>
  <c r="I60" i="5"/>
  <c r="I58" i="5"/>
  <c r="J61" i="5"/>
  <c r="I57" i="5"/>
  <c r="I55" i="5"/>
  <c r="I34" i="19"/>
  <c r="Z34" i="19"/>
  <c r="Y34" i="19"/>
  <c r="N34" i="19"/>
  <c r="K34" i="19"/>
  <c r="AA34" i="19"/>
  <c r="U34" i="19" s="1"/>
  <c r="J34" i="19"/>
  <c r="X34" i="19"/>
  <c r="M34" i="19"/>
  <c r="F34" i="19"/>
  <c r="AB34" i="19"/>
  <c r="G34" i="19"/>
  <c r="V34" i="19"/>
  <c r="H34" i="19"/>
  <c r="L34" i="19"/>
  <c r="K50" i="5"/>
  <c r="K49" i="5"/>
  <c r="K44" i="5"/>
  <c r="K45" i="5"/>
  <c r="K43" i="5"/>
  <c r="K48" i="5"/>
  <c r="K46" i="5"/>
  <c r="K47" i="5"/>
  <c r="G35" i="19" l="1"/>
  <c r="J35" i="19"/>
  <c r="V35" i="19"/>
  <c r="K35" i="19"/>
  <c r="X35" i="19"/>
  <c r="F35" i="19"/>
  <c r="Z35" i="19"/>
  <c r="H35" i="19"/>
  <c r="Y35" i="19"/>
  <c r="M35" i="19"/>
  <c r="I35" i="19"/>
  <c r="N35" i="19"/>
  <c r="AB35" i="19"/>
  <c r="L35" i="19"/>
  <c r="AA35" i="19"/>
  <c r="B40" i="1"/>
  <c r="H39" i="1"/>
  <c r="C39" i="1"/>
  <c r="D39" i="1"/>
  <c r="K60" i="5"/>
  <c r="K56" i="5"/>
  <c r="K59" i="5"/>
  <c r="K57" i="5"/>
  <c r="K61" i="5"/>
  <c r="K58" i="5"/>
  <c r="K52" i="5"/>
  <c r="K54" i="5"/>
  <c r="K51" i="5"/>
  <c r="O34" i="19"/>
  <c r="W34" i="19"/>
  <c r="R34" i="19"/>
  <c r="K53" i="5"/>
  <c r="K55" i="5"/>
  <c r="W35" i="19" l="1"/>
  <c r="U35" i="19"/>
  <c r="R35" i="19"/>
  <c r="B41" i="1"/>
  <c r="C40" i="1"/>
  <c r="D40" i="1"/>
  <c r="H40" i="1"/>
  <c r="J68" i="5"/>
  <c r="J69" i="5"/>
  <c r="I69" i="5"/>
  <c r="J63" i="5"/>
  <c r="J67" i="5"/>
  <c r="I64" i="5"/>
  <c r="I67" i="5"/>
  <c r="I62" i="5"/>
  <c r="J65" i="5"/>
  <c r="J62" i="5"/>
  <c r="J66" i="5"/>
  <c r="I68" i="5"/>
  <c r="I66" i="5"/>
  <c r="J64" i="5"/>
  <c r="I63" i="5"/>
  <c r="I65" i="5"/>
  <c r="G36" i="19"/>
  <c r="K36" i="19"/>
  <c r="J36" i="19"/>
  <c r="L36" i="19"/>
  <c r="AA36" i="19"/>
  <c r="Y36" i="19"/>
  <c r="N36" i="19"/>
  <c r="F36" i="19"/>
  <c r="Z36" i="19"/>
  <c r="I36" i="19"/>
  <c r="V36" i="19"/>
  <c r="H36" i="19"/>
  <c r="M36" i="19"/>
  <c r="AB36" i="19"/>
  <c r="X36" i="19"/>
  <c r="U36" i="19" l="1"/>
  <c r="Z37" i="19"/>
  <c r="AB37" i="19"/>
  <c r="K37" i="19"/>
  <c r="I37" i="19"/>
  <c r="G37" i="19"/>
  <c r="L37" i="19"/>
  <c r="Y37" i="19"/>
  <c r="X37" i="19"/>
  <c r="AA37" i="19"/>
  <c r="M37" i="19"/>
  <c r="J37" i="19"/>
  <c r="N37" i="19"/>
  <c r="H37" i="19"/>
  <c r="F37" i="19"/>
  <c r="V37" i="19"/>
  <c r="B42" i="1"/>
  <c r="H41" i="1"/>
  <c r="D41" i="1"/>
  <c r="C41" i="1"/>
  <c r="J77" i="5"/>
  <c r="I85" i="5"/>
  <c r="I79" i="5"/>
  <c r="J70" i="5"/>
  <c r="I75" i="5"/>
  <c r="J75" i="5"/>
  <c r="I87" i="5"/>
  <c r="I74" i="5"/>
  <c r="J83" i="5"/>
  <c r="I77" i="5"/>
  <c r="I71" i="5"/>
  <c r="I73" i="5"/>
  <c r="J80" i="5"/>
  <c r="I84" i="5"/>
  <c r="J82" i="5"/>
  <c r="J84" i="5"/>
  <c r="J74" i="5"/>
  <c r="I70" i="5"/>
  <c r="J88" i="5"/>
  <c r="J79" i="5"/>
  <c r="J81" i="5"/>
  <c r="J87" i="5"/>
  <c r="J72" i="5"/>
  <c r="I86" i="5"/>
  <c r="I72" i="5"/>
  <c r="J76" i="5"/>
  <c r="I78" i="5"/>
  <c r="J71" i="5"/>
  <c r="I83" i="5"/>
  <c r="I81" i="5"/>
  <c r="I82" i="5"/>
  <c r="I80" i="5"/>
  <c r="J78" i="5"/>
  <c r="I88" i="5"/>
  <c r="J73" i="5"/>
  <c r="I76" i="5"/>
  <c r="J85" i="5"/>
  <c r="J86" i="5"/>
  <c r="K64" i="5"/>
  <c r="K69" i="5"/>
  <c r="K62" i="5"/>
  <c r="K65" i="5"/>
  <c r="K63" i="5"/>
  <c r="K66" i="5"/>
  <c r="K68" i="5"/>
  <c r="R36" i="19"/>
  <c r="W36" i="19"/>
  <c r="K67" i="5"/>
  <c r="R37" i="19" l="1"/>
  <c r="U37" i="19"/>
  <c r="M38" i="19"/>
  <c r="W37" i="19"/>
  <c r="B43" i="1"/>
  <c r="C42" i="1"/>
  <c r="D42" i="1"/>
  <c r="H42" i="1"/>
  <c r="J89" i="5"/>
  <c r="I89" i="5"/>
  <c r="J90" i="5"/>
  <c r="I90" i="5"/>
  <c r="I38" i="19"/>
  <c r="J38" i="19"/>
  <c r="N38" i="19"/>
  <c r="L38" i="19"/>
  <c r="AA38" i="19"/>
  <c r="X38" i="19"/>
  <c r="Y38" i="19"/>
  <c r="G38" i="19"/>
  <c r="Z38" i="19"/>
  <c r="AB38" i="19"/>
  <c r="V38" i="19"/>
  <c r="F38" i="19"/>
  <c r="K38" i="19"/>
  <c r="H38" i="19"/>
  <c r="K73" i="5"/>
  <c r="K85" i="5"/>
  <c r="K71" i="5"/>
  <c r="K79" i="5"/>
  <c r="K72" i="5"/>
  <c r="K84" i="5"/>
  <c r="K81" i="5"/>
  <c r="K70" i="5"/>
  <c r="K88" i="5"/>
  <c r="K76" i="5"/>
  <c r="K78" i="5"/>
  <c r="K74" i="5"/>
  <c r="K83" i="5"/>
  <c r="K77" i="5"/>
  <c r="K82" i="5"/>
  <c r="K86" i="5"/>
  <c r="K87" i="5"/>
  <c r="K75" i="5"/>
  <c r="K80" i="5"/>
  <c r="U38" i="19" l="1"/>
  <c r="Z39" i="19"/>
  <c r="M39" i="19"/>
  <c r="V39" i="19"/>
  <c r="G39" i="19"/>
  <c r="X39" i="19"/>
  <c r="L39" i="19"/>
  <c r="AA39" i="19"/>
  <c r="I39" i="19"/>
  <c r="F39" i="19"/>
  <c r="AB39" i="19"/>
  <c r="Y39" i="19"/>
  <c r="H39" i="19"/>
  <c r="N39" i="19"/>
  <c r="J39" i="19"/>
  <c r="B44" i="1"/>
  <c r="C43" i="1"/>
  <c r="D43" i="1"/>
  <c r="H43" i="1"/>
  <c r="I93" i="5"/>
  <c r="I91" i="5"/>
  <c r="J93" i="5"/>
  <c r="J92" i="5"/>
  <c r="J91" i="5"/>
  <c r="I92" i="5"/>
  <c r="K39" i="19"/>
  <c r="K90" i="5"/>
  <c r="K89" i="5"/>
  <c r="W38" i="19"/>
  <c r="R38" i="19"/>
  <c r="W39" i="19" l="1"/>
  <c r="U39" i="19"/>
  <c r="R39" i="19"/>
  <c r="B45" i="1"/>
  <c r="C44" i="1"/>
  <c r="D44" i="1"/>
  <c r="H44" i="1"/>
  <c r="I97" i="5"/>
  <c r="I94" i="5"/>
  <c r="J95" i="5"/>
  <c r="I95" i="5"/>
  <c r="I96" i="5"/>
  <c r="J96" i="5"/>
  <c r="I98" i="5"/>
  <c r="J98" i="5"/>
  <c r="J97" i="5"/>
  <c r="J94" i="5"/>
  <c r="V40" i="19"/>
  <c r="AB40" i="19"/>
  <c r="Y40" i="19"/>
  <c r="G40" i="19"/>
  <c r="Z40" i="19"/>
  <c r="H40" i="19"/>
  <c r="K40" i="19"/>
  <c r="J40" i="19"/>
  <c r="M40" i="19"/>
  <c r="N40" i="19"/>
  <c r="I40" i="19"/>
  <c r="L40" i="19"/>
  <c r="F40" i="19"/>
  <c r="X40" i="19"/>
  <c r="AA40" i="19"/>
  <c r="K93" i="5"/>
  <c r="K91" i="5"/>
  <c r="K92" i="5"/>
  <c r="U40" i="19" l="1"/>
  <c r="I41" i="19"/>
  <c r="J41" i="19"/>
  <c r="H41" i="19"/>
  <c r="K41" i="19"/>
  <c r="X41" i="19"/>
  <c r="V41" i="19"/>
  <c r="Y41" i="19"/>
  <c r="AA41" i="19"/>
  <c r="M41" i="19"/>
  <c r="G41" i="19"/>
  <c r="F41" i="19"/>
  <c r="AB41" i="19"/>
  <c r="L41" i="19"/>
  <c r="N41" i="19"/>
  <c r="Z41" i="19"/>
  <c r="K94" i="5"/>
  <c r="B46" i="1"/>
  <c r="C45" i="1"/>
  <c r="D45" i="1"/>
  <c r="H45" i="1"/>
  <c r="K97" i="5"/>
  <c r="K98" i="5"/>
  <c r="K95" i="5"/>
  <c r="W40" i="19"/>
  <c r="O40" i="19"/>
  <c r="R40" i="19"/>
  <c r="K96" i="5"/>
  <c r="R41" i="19" l="1"/>
  <c r="U41" i="19"/>
  <c r="W41" i="19"/>
  <c r="B47" i="1"/>
  <c r="C46" i="1"/>
  <c r="D46" i="1"/>
  <c r="H46" i="1"/>
  <c r="J99" i="5"/>
  <c r="J100" i="5"/>
  <c r="J103" i="5"/>
  <c r="I104" i="5"/>
  <c r="J101" i="5"/>
  <c r="I101" i="5"/>
  <c r="J104" i="5"/>
  <c r="I107" i="5"/>
  <c r="I105" i="5"/>
  <c r="I111" i="5"/>
  <c r="J105" i="5"/>
  <c r="J109" i="5"/>
  <c r="J108" i="5"/>
  <c r="J110" i="5"/>
  <c r="J107" i="5"/>
  <c r="I99" i="5"/>
  <c r="I109" i="5"/>
  <c r="I102" i="5"/>
  <c r="I100" i="5"/>
  <c r="J106" i="5"/>
  <c r="J102" i="5"/>
  <c r="I103" i="5"/>
  <c r="I106" i="5"/>
  <c r="I110" i="5"/>
  <c r="I108" i="5"/>
  <c r="J111" i="5"/>
  <c r="AA42" i="19"/>
  <c r="U42" i="19" s="1"/>
  <c r="Y42" i="19"/>
  <c r="G42" i="19"/>
  <c r="K42" i="19"/>
  <c r="J42" i="19"/>
  <c r="V42" i="19"/>
  <c r="X42" i="19"/>
  <c r="Z42" i="19"/>
  <c r="I42" i="19"/>
  <c r="AB42" i="19"/>
  <c r="F42" i="19"/>
  <c r="M42" i="19"/>
  <c r="L42" i="19"/>
  <c r="H42" i="19"/>
  <c r="N42" i="19"/>
  <c r="J43" i="19" l="1"/>
  <c r="V43" i="19"/>
  <c r="AB43" i="19"/>
  <c r="H43" i="19"/>
  <c r="I43" i="19"/>
  <c r="M43" i="19"/>
  <c r="G43" i="19"/>
  <c r="F43" i="19"/>
  <c r="X43" i="19"/>
  <c r="L43" i="19"/>
  <c r="K43" i="19"/>
  <c r="N43" i="19"/>
  <c r="AA43" i="19"/>
  <c r="Z43" i="19"/>
  <c r="Y43" i="19"/>
  <c r="K111" i="5"/>
  <c r="B48" i="1"/>
  <c r="C47" i="1"/>
  <c r="H47" i="1"/>
  <c r="D47" i="1"/>
  <c r="I116" i="5"/>
  <c r="J113" i="5"/>
  <c r="J116" i="5"/>
  <c r="I115" i="5"/>
  <c r="I114" i="5"/>
  <c r="I113" i="5"/>
  <c r="I112" i="5"/>
  <c r="J112" i="5"/>
  <c r="J114" i="5"/>
  <c r="J115" i="5"/>
  <c r="K102" i="5"/>
  <c r="K106" i="5"/>
  <c r="K109" i="5"/>
  <c r="K107" i="5"/>
  <c r="K99" i="5"/>
  <c r="K104" i="5"/>
  <c r="K110" i="5"/>
  <c r="W42" i="19"/>
  <c r="R42" i="19"/>
  <c r="K100" i="5"/>
  <c r="K108" i="5"/>
  <c r="K101" i="5"/>
  <c r="K105" i="5"/>
  <c r="K103" i="5"/>
  <c r="U43" i="19" l="1"/>
  <c r="W43" i="19"/>
  <c r="R43" i="19"/>
  <c r="B49" i="1"/>
  <c r="C48" i="1"/>
  <c r="D48" i="1"/>
  <c r="H48" i="1"/>
  <c r="J118" i="5"/>
  <c r="J119" i="5"/>
  <c r="I118" i="5"/>
  <c r="J117" i="5"/>
  <c r="I117" i="5"/>
  <c r="I119" i="5"/>
  <c r="Z44" i="19"/>
  <c r="H44" i="19"/>
  <c r="V44" i="19"/>
  <c r="I44" i="19"/>
  <c r="N44" i="19"/>
  <c r="F44" i="19"/>
  <c r="M44" i="19"/>
  <c r="G44" i="19"/>
  <c r="Y44" i="19"/>
  <c r="K44" i="19"/>
  <c r="J44" i="19"/>
  <c r="AB44" i="19"/>
  <c r="X44" i="19"/>
  <c r="L44" i="19"/>
  <c r="AA44" i="19"/>
  <c r="K112" i="5"/>
  <c r="K116" i="5"/>
  <c r="K115" i="5"/>
  <c r="K113" i="5"/>
  <c r="K114" i="5"/>
  <c r="U44" i="19" l="1"/>
  <c r="X45" i="19"/>
  <c r="G45" i="19"/>
  <c r="AB45" i="19"/>
  <c r="H45" i="19"/>
  <c r="F45" i="19"/>
  <c r="AA45" i="19"/>
  <c r="M45" i="19"/>
  <c r="V45" i="19"/>
  <c r="K45" i="19"/>
  <c r="L45" i="19"/>
  <c r="N45" i="19"/>
  <c r="J45" i="19"/>
  <c r="Y45" i="19"/>
  <c r="Z45" i="19"/>
  <c r="I45" i="19"/>
  <c r="B50" i="1"/>
  <c r="D49" i="1"/>
  <c r="H49" i="1"/>
  <c r="C49" i="1"/>
  <c r="K118" i="5"/>
  <c r="K117" i="5"/>
  <c r="K119" i="5"/>
  <c r="R44" i="19"/>
  <c r="W44" i="19"/>
  <c r="O44" i="19"/>
  <c r="W45" i="19" l="1"/>
  <c r="U45" i="19"/>
  <c r="O45" i="19"/>
  <c r="R45" i="19"/>
  <c r="B51" i="1"/>
  <c r="C50" i="1"/>
  <c r="D50" i="1"/>
  <c r="H50" i="1"/>
  <c r="G46" i="19"/>
  <c r="H46" i="19"/>
  <c r="F46" i="19"/>
  <c r="J46" i="19"/>
  <c r="N46" i="19"/>
  <c r="AB46" i="19"/>
  <c r="V46" i="19"/>
  <c r="K46" i="19"/>
  <c r="AA46" i="19"/>
  <c r="I46" i="19"/>
  <c r="L46" i="19"/>
  <c r="Z46" i="19"/>
  <c r="M46" i="19"/>
  <c r="X46" i="19"/>
  <c r="Y46" i="19"/>
  <c r="U46" i="19" l="1"/>
  <c r="AA47" i="19"/>
  <c r="K47" i="19"/>
  <c r="V47" i="19"/>
  <c r="H47" i="19"/>
  <c r="Z47" i="19"/>
  <c r="N47" i="19"/>
  <c r="X47" i="19"/>
  <c r="I47" i="19"/>
  <c r="L47" i="19"/>
  <c r="Y47" i="19"/>
  <c r="M47" i="19"/>
  <c r="F47" i="19"/>
  <c r="AB47" i="19"/>
  <c r="J47" i="19"/>
  <c r="B52" i="1"/>
  <c r="C51" i="1"/>
  <c r="H51" i="1"/>
  <c r="D51" i="1"/>
  <c r="G47" i="19"/>
  <c r="O46" i="19"/>
  <c r="R46" i="19"/>
  <c r="W46" i="19"/>
  <c r="O47" i="19" l="1"/>
  <c r="U47" i="19"/>
  <c r="W47" i="19"/>
  <c r="R47" i="19"/>
  <c r="B53" i="1"/>
  <c r="C52" i="1"/>
  <c r="D52" i="1"/>
  <c r="H52" i="1"/>
  <c r="V48" i="19"/>
  <c r="J48" i="19"/>
  <c r="X48" i="19"/>
  <c r="F48" i="19"/>
  <c r="AB48" i="19"/>
  <c r="I48" i="19"/>
  <c r="H48" i="19"/>
  <c r="N48" i="19"/>
  <c r="AA48" i="19"/>
  <c r="M48" i="19"/>
  <c r="K48" i="19"/>
  <c r="L48" i="19"/>
  <c r="Y48" i="19"/>
  <c r="Z48" i="19"/>
  <c r="G48" i="19"/>
  <c r="U48" i="19" l="1"/>
  <c r="F49" i="19"/>
  <c r="Z49" i="19"/>
  <c r="I49" i="19"/>
  <c r="AA49" i="19"/>
  <c r="G49" i="19"/>
  <c r="L49" i="19"/>
  <c r="K49" i="19"/>
  <c r="H49" i="19"/>
  <c r="J49" i="19"/>
  <c r="M49" i="19"/>
  <c r="Y49" i="19"/>
  <c r="X49" i="19"/>
  <c r="N49" i="19"/>
  <c r="V49" i="19"/>
  <c r="AB49" i="19"/>
  <c r="B54" i="1"/>
  <c r="C53" i="1"/>
  <c r="D53" i="1"/>
  <c r="H53" i="1"/>
  <c r="W48" i="19"/>
  <c r="R48" i="19"/>
  <c r="U49" i="19" l="1"/>
  <c r="R49" i="19"/>
  <c r="W49" i="19"/>
  <c r="B55" i="1"/>
  <c r="C54" i="1"/>
  <c r="D54" i="1"/>
  <c r="H54" i="1"/>
  <c r="I123" i="5"/>
  <c r="J123" i="5"/>
  <c r="J122" i="5"/>
  <c r="I122" i="5"/>
  <c r="X50" i="19"/>
  <c r="G50" i="19"/>
  <c r="N50" i="19"/>
  <c r="I50" i="19"/>
  <c r="K50" i="19"/>
  <c r="Z50" i="19"/>
  <c r="V50" i="19"/>
  <c r="H50" i="19"/>
  <c r="J50" i="19"/>
  <c r="L50" i="19"/>
  <c r="F50" i="19"/>
  <c r="Y50" i="19"/>
  <c r="AA50" i="19"/>
  <c r="AB50" i="19"/>
  <c r="M50" i="19"/>
  <c r="J120" i="5"/>
  <c r="I120" i="5"/>
  <c r="J121" i="5"/>
  <c r="I121" i="5"/>
  <c r="U50" i="19" l="1"/>
  <c r="L51" i="19"/>
  <c r="K51" i="19"/>
  <c r="F51" i="19"/>
  <c r="I51" i="19"/>
  <c r="Y51" i="19"/>
  <c r="H51" i="19"/>
  <c r="Z51" i="19"/>
  <c r="J51" i="19"/>
  <c r="AB51" i="19"/>
  <c r="V51" i="19"/>
  <c r="N51" i="19"/>
  <c r="M51" i="19"/>
  <c r="X51" i="19"/>
  <c r="AA51" i="19"/>
  <c r="G51" i="19"/>
  <c r="B56" i="1"/>
  <c r="D55" i="1"/>
  <c r="H55" i="1"/>
  <c r="C55" i="1"/>
  <c r="K122" i="5"/>
  <c r="O50" i="19"/>
  <c r="W50" i="19"/>
  <c r="R50" i="19"/>
  <c r="K123" i="5"/>
  <c r="K121" i="5"/>
  <c r="K120" i="5"/>
  <c r="U51" i="19" l="1"/>
  <c r="O51" i="19"/>
  <c r="R51" i="19"/>
  <c r="W51" i="19"/>
  <c r="B57" i="1"/>
  <c r="C56" i="1"/>
  <c r="D56" i="1"/>
  <c r="H56" i="1"/>
  <c r="X52" i="19"/>
  <c r="J52" i="19"/>
  <c r="N52" i="19"/>
  <c r="M52" i="19"/>
  <c r="I52" i="19"/>
  <c r="K52" i="19"/>
  <c r="G52" i="19"/>
  <c r="AB52" i="19"/>
  <c r="L52" i="19"/>
  <c r="AA52" i="19"/>
  <c r="H52" i="19"/>
  <c r="F52" i="19"/>
  <c r="V52" i="19"/>
  <c r="Y52" i="19"/>
  <c r="Z52" i="19"/>
  <c r="U52" i="19" l="1"/>
  <c r="M53" i="19"/>
  <c r="Z53" i="19"/>
  <c r="F53" i="19"/>
  <c r="J53" i="19"/>
  <c r="AA53" i="19"/>
  <c r="V53" i="19"/>
  <c r="N53" i="19"/>
  <c r="X53" i="19"/>
  <c r="H53" i="19"/>
  <c r="Y53" i="19"/>
  <c r="L53" i="19"/>
  <c r="G53" i="19"/>
  <c r="I53" i="19"/>
  <c r="K53" i="19"/>
  <c r="AB53" i="19"/>
  <c r="B58" i="1"/>
  <c r="H57" i="1"/>
  <c r="C57" i="1"/>
  <c r="D57" i="1"/>
  <c r="I129" i="5"/>
  <c r="I126" i="5"/>
  <c r="J124" i="5"/>
  <c r="J127" i="5"/>
  <c r="J128" i="5"/>
  <c r="I125" i="5"/>
  <c r="J130" i="5"/>
  <c r="J125" i="5"/>
  <c r="I124" i="5"/>
  <c r="I128" i="5"/>
  <c r="I130" i="5"/>
  <c r="J126" i="5"/>
  <c r="I127" i="5"/>
  <c r="J129" i="5"/>
  <c r="W52" i="19"/>
  <c r="R52" i="19"/>
  <c r="W53" i="19" l="1"/>
  <c r="U53" i="19"/>
  <c r="R53" i="19"/>
  <c r="B59" i="1"/>
  <c r="H58" i="1"/>
  <c r="C58" i="1"/>
  <c r="D58" i="1"/>
  <c r="J54" i="19"/>
  <c r="Z54" i="19"/>
  <c r="AB54" i="19"/>
  <c r="N54" i="19"/>
  <c r="G54" i="19"/>
  <c r="AA54" i="19"/>
  <c r="M54" i="19"/>
  <c r="F54" i="19"/>
  <c r="V54" i="19"/>
  <c r="I54" i="19"/>
  <c r="X54" i="19"/>
  <c r="Y54" i="19"/>
  <c r="L54" i="19"/>
  <c r="H54" i="19"/>
  <c r="K54" i="19"/>
  <c r="J133" i="5"/>
  <c r="I137" i="5"/>
  <c r="I135" i="5"/>
  <c r="J136" i="5"/>
  <c r="I136" i="5"/>
  <c r="J132" i="5"/>
  <c r="J135" i="5"/>
  <c r="I132" i="5"/>
  <c r="I138" i="5"/>
  <c r="I134" i="5"/>
  <c r="I131" i="5"/>
  <c r="J134" i="5"/>
  <c r="J137" i="5"/>
  <c r="J138" i="5"/>
  <c r="J131" i="5"/>
  <c r="I133" i="5"/>
  <c r="K126" i="5"/>
  <c r="K127" i="5"/>
  <c r="K125" i="5"/>
  <c r="K124" i="5"/>
  <c r="K130" i="5"/>
  <c r="K129" i="5"/>
  <c r="K128" i="5"/>
  <c r="U54" i="19" l="1"/>
  <c r="AB55" i="19"/>
  <c r="Z55" i="19"/>
  <c r="I55" i="19"/>
  <c r="Y55" i="19"/>
  <c r="V55" i="19"/>
  <c r="G55" i="19"/>
  <c r="K55" i="19"/>
  <c r="X55" i="19"/>
  <c r="M55" i="19"/>
  <c r="L55" i="19"/>
  <c r="J55" i="19"/>
  <c r="F55" i="19"/>
  <c r="AA55" i="19"/>
  <c r="H55" i="19"/>
  <c r="B60" i="1"/>
  <c r="H59" i="1"/>
  <c r="C59" i="1"/>
  <c r="D59" i="1"/>
  <c r="I147" i="5"/>
  <c r="I146" i="5"/>
  <c r="I151" i="5"/>
  <c r="J140" i="5"/>
  <c r="I145" i="5"/>
  <c r="J150" i="5"/>
  <c r="I152" i="5"/>
  <c r="I142" i="5"/>
  <c r="J145" i="5"/>
  <c r="I139" i="5"/>
  <c r="I148" i="5"/>
  <c r="J152" i="5"/>
  <c r="J146" i="5"/>
  <c r="I144" i="5"/>
  <c r="I149" i="5"/>
  <c r="I141" i="5"/>
  <c r="I140" i="5"/>
  <c r="J142" i="5"/>
  <c r="J141" i="5"/>
  <c r="I143" i="5"/>
  <c r="I150" i="5"/>
  <c r="J147" i="5"/>
  <c r="J143" i="5"/>
  <c r="J149" i="5"/>
  <c r="J153" i="5"/>
  <c r="J151" i="5"/>
  <c r="J144" i="5"/>
  <c r="J148" i="5"/>
  <c r="J139" i="5"/>
  <c r="I153" i="5"/>
  <c r="N55" i="19"/>
  <c r="K137" i="5"/>
  <c r="K134" i="5"/>
  <c r="K136" i="5"/>
  <c r="K133" i="5"/>
  <c r="K132" i="5"/>
  <c r="K131" i="5"/>
  <c r="K135" i="5"/>
  <c r="K138" i="5"/>
  <c r="W54" i="19"/>
  <c r="R54" i="19"/>
  <c r="R55" i="19" l="1"/>
  <c r="U55" i="19"/>
  <c r="W55" i="19"/>
  <c r="B61" i="1"/>
  <c r="H60" i="1"/>
  <c r="C60" i="1"/>
  <c r="D60" i="1"/>
  <c r="I166" i="5"/>
  <c r="I161" i="5"/>
  <c r="J160" i="5"/>
  <c r="J156" i="5"/>
  <c r="I159" i="5"/>
  <c r="I165" i="5"/>
  <c r="I167" i="5"/>
  <c r="I158" i="5"/>
  <c r="J155" i="5"/>
  <c r="J167" i="5"/>
  <c r="J157" i="5"/>
  <c r="I160" i="5"/>
  <c r="J161" i="5"/>
  <c r="I155" i="5"/>
  <c r="J159" i="5"/>
  <c r="I154" i="5"/>
  <c r="I162" i="5"/>
  <c r="J158" i="5"/>
  <c r="J168" i="5"/>
  <c r="I156" i="5"/>
  <c r="J162" i="5"/>
  <c r="J166" i="5"/>
  <c r="J163" i="5"/>
  <c r="J165" i="5"/>
  <c r="I157" i="5"/>
  <c r="J164" i="5"/>
  <c r="I164" i="5"/>
  <c r="I168" i="5"/>
  <c r="I163" i="5"/>
  <c r="J154" i="5"/>
  <c r="K56" i="19"/>
  <c r="X56" i="19"/>
  <c r="M56" i="19"/>
  <c r="G56" i="19"/>
  <c r="Z56" i="19"/>
  <c r="N56" i="19"/>
  <c r="H56" i="19"/>
  <c r="J56" i="19"/>
  <c r="V56" i="19"/>
  <c r="AB56" i="19"/>
  <c r="I56" i="19"/>
  <c r="AA56" i="19"/>
  <c r="F56" i="19"/>
  <c r="Y56" i="19"/>
  <c r="L56" i="19"/>
  <c r="K143" i="5"/>
  <c r="K144" i="5"/>
  <c r="K145" i="5"/>
  <c r="K148" i="5"/>
  <c r="K151" i="5"/>
  <c r="K153" i="5"/>
  <c r="K147" i="5"/>
  <c r="K149" i="5"/>
  <c r="K139" i="5"/>
  <c r="K146" i="5"/>
  <c r="K150" i="5"/>
  <c r="K152" i="5"/>
  <c r="K140" i="5"/>
  <c r="K141" i="5"/>
  <c r="K142" i="5"/>
  <c r="U56" i="19" l="1"/>
  <c r="I57" i="19"/>
  <c r="K57" i="19"/>
  <c r="M57" i="19"/>
  <c r="F57" i="19"/>
  <c r="J57" i="19"/>
  <c r="AB57" i="19"/>
  <c r="N57" i="19"/>
  <c r="H57" i="19"/>
  <c r="Y57" i="19"/>
  <c r="Z57" i="19"/>
  <c r="AA57" i="19"/>
  <c r="X57" i="19"/>
  <c r="G57" i="19"/>
  <c r="L57" i="19"/>
  <c r="V57" i="19"/>
  <c r="B62" i="1"/>
  <c r="C61" i="1"/>
  <c r="D61" i="1"/>
  <c r="H61" i="1"/>
  <c r="J182" i="5"/>
  <c r="I184" i="5"/>
  <c r="J177" i="5"/>
  <c r="I176" i="5"/>
  <c r="I179" i="5"/>
  <c r="I169" i="5"/>
  <c r="J170" i="5"/>
  <c r="J176" i="5"/>
  <c r="I174" i="5"/>
  <c r="J169" i="5"/>
  <c r="I185" i="5"/>
  <c r="I175" i="5"/>
  <c r="I171" i="5"/>
  <c r="I173" i="5"/>
  <c r="J181" i="5"/>
  <c r="J174" i="5"/>
  <c r="J173" i="5"/>
  <c r="J185" i="5"/>
  <c r="I177" i="5"/>
  <c r="I183" i="5"/>
  <c r="J180" i="5"/>
  <c r="J179" i="5"/>
  <c r="J175" i="5"/>
  <c r="J184" i="5"/>
  <c r="J171" i="5"/>
  <c r="I178" i="5"/>
  <c r="I170" i="5"/>
  <c r="I172" i="5"/>
  <c r="I182" i="5"/>
  <c r="J172" i="5"/>
  <c r="J183" i="5"/>
  <c r="I180" i="5"/>
  <c r="I181" i="5"/>
  <c r="J178" i="5"/>
  <c r="K159" i="5"/>
  <c r="K158" i="5"/>
  <c r="K167" i="5"/>
  <c r="K155" i="5"/>
  <c r="K165" i="5"/>
  <c r="K164" i="5"/>
  <c r="K163" i="5"/>
  <c r="K154" i="5"/>
  <c r="K166" i="5"/>
  <c r="K162" i="5"/>
  <c r="K161" i="5"/>
  <c r="W56" i="19"/>
  <c r="R56" i="19"/>
  <c r="K156" i="5"/>
  <c r="K168" i="5"/>
  <c r="K157" i="5"/>
  <c r="K160" i="5"/>
  <c r="R57" i="19" l="1"/>
  <c r="U57" i="19"/>
  <c r="W57" i="19"/>
  <c r="B63" i="1"/>
  <c r="C62" i="1"/>
  <c r="D62" i="1"/>
  <c r="H62" i="1"/>
  <c r="K178" i="5"/>
  <c r="I194" i="5"/>
  <c r="J187" i="5"/>
  <c r="J189" i="5"/>
  <c r="I195" i="5"/>
  <c r="I200" i="5"/>
  <c r="I187" i="5"/>
  <c r="J198" i="5"/>
  <c r="I189" i="5"/>
  <c r="I192" i="5"/>
  <c r="I199" i="5"/>
  <c r="J193" i="5"/>
  <c r="I198" i="5"/>
  <c r="I191" i="5"/>
  <c r="I190" i="5"/>
  <c r="J195" i="5"/>
  <c r="I186" i="5"/>
  <c r="J190" i="5"/>
  <c r="J200" i="5"/>
  <c r="I193" i="5"/>
  <c r="I188" i="5"/>
  <c r="J191" i="5"/>
  <c r="J197" i="5"/>
  <c r="J188" i="5"/>
  <c r="I197" i="5"/>
  <c r="I196" i="5"/>
  <c r="J186" i="5"/>
  <c r="J194" i="5"/>
  <c r="J196" i="5"/>
  <c r="J199" i="5"/>
  <c r="J192" i="5"/>
  <c r="AA58" i="19"/>
  <c r="U58" i="19" s="1"/>
  <c r="K58" i="19"/>
  <c r="Y58" i="19"/>
  <c r="Z58" i="19"/>
  <c r="F58" i="19"/>
  <c r="X58" i="19"/>
  <c r="L58" i="19"/>
  <c r="G58" i="19"/>
  <c r="N58" i="19"/>
  <c r="M58" i="19"/>
  <c r="I58" i="19"/>
  <c r="H58" i="19"/>
  <c r="V58" i="19"/>
  <c r="I59" i="19"/>
  <c r="J58" i="19"/>
  <c r="AB58" i="19"/>
  <c r="K176" i="5"/>
  <c r="K183" i="5"/>
  <c r="K175" i="5"/>
  <c r="K185" i="5"/>
  <c r="K169" i="5"/>
  <c r="K179" i="5"/>
  <c r="K184" i="5"/>
  <c r="K171" i="5"/>
  <c r="K173" i="5"/>
  <c r="K172" i="5"/>
  <c r="K177" i="5"/>
  <c r="K182" i="5"/>
  <c r="K174" i="5"/>
  <c r="K181" i="5"/>
  <c r="K170" i="5"/>
  <c r="K180" i="5"/>
  <c r="L59" i="19" l="1"/>
  <c r="AB59" i="19"/>
  <c r="X59" i="19"/>
  <c r="AA59" i="19"/>
  <c r="G59" i="19"/>
  <c r="K59" i="19"/>
  <c r="H59" i="19"/>
  <c r="F59" i="19"/>
  <c r="Y59" i="19"/>
  <c r="V59" i="19"/>
  <c r="M59" i="19"/>
  <c r="Z59" i="19"/>
  <c r="J59" i="19"/>
  <c r="N59" i="19"/>
  <c r="K191" i="5"/>
  <c r="B64" i="1"/>
  <c r="C63" i="1"/>
  <c r="D63" i="1"/>
  <c r="H63" i="1"/>
  <c r="J212" i="5"/>
  <c r="J211" i="5"/>
  <c r="I208" i="5"/>
  <c r="I206" i="5"/>
  <c r="I207" i="5"/>
  <c r="I205" i="5"/>
  <c r="J208" i="5"/>
  <c r="I210" i="5"/>
  <c r="I203" i="5"/>
  <c r="I209" i="5"/>
  <c r="J209" i="5"/>
  <c r="I212" i="5"/>
  <c r="J202" i="5"/>
  <c r="J210" i="5"/>
  <c r="J204" i="5"/>
  <c r="J206" i="5"/>
  <c r="J207" i="5"/>
  <c r="J201" i="5"/>
  <c r="J205" i="5"/>
  <c r="I202" i="5"/>
  <c r="I211" i="5"/>
  <c r="I204" i="5"/>
  <c r="I201" i="5"/>
  <c r="J203" i="5"/>
  <c r="K194" i="5"/>
  <c r="K200" i="5"/>
  <c r="K188" i="5"/>
  <c r="K195" i="5"/>
  <c r="K198" i="5"/>
  <c r="K187" i="5"/>
  <c r="K190" i="5"/>
  <c r="K192" i="5"/>
  <c r="K197" i="5"/>
  <c r="W58" i="19"/>
  <c r="R58" i="19"/>
  <c r="K199" i="5"/>
  <c r="K196" i="5"/>
  <c r="K193" i="5"/>
  <c r="K189" i="5"/>
  <c r="K186" i="5"/>
  <c r="W59" i="19" l="1"/>
  <c r="U59" i="19"/>
  <c r="R59" i="19"/>
  <c r="B65" i="1"/>
  <c r="C64" i="1"/>
  <c r="D64" i="1"/>
  <c r="H64" i="1"/>
  <c r="J213" i="5"/>
  <c r="J217" i="5"/>
  <c r="I218" i="5"/>
  <c r="J215" i="5"/>
  <c r="I222" i="5"/>
  <c r="I214" i="5"/>
  <c r="J222" i="5"/>
  <c r="J219" i="5"/>
  <c r="I216" i="5"/>
  <c r="I213" i="5"/>
  <c r="J221" i="5"/>
  <c r="I219" i="5"/>
  <c r="J216" i="5"/>
  <c r="J220" i="5"/>
  <c r="I221" i="5"/>
  <c r="I220" i="5"/>
  <c r="I217" i="5"/>
  <c r="J214" i="5"/>
  <c r="I215" i="5"/>
  <c r="J218" i="5"/>
  <c r="X61" i="19"/>
  <c r="K60" i="19"/>
  <c r="AB60" i="19"/>
  <c r="L60" i="19"/>
  <c r="X60" i="19"/>
  <c r="N60" i="19"/>
  <c r="I60" i="19"/>
  <c r="H60" i="19"/>
  <c r="J60" i="19"/>
  <c r="F60" i="19"/>
  <c r="V60" i="19"/>
  <c r="AA60" i="19"/>
  <c r="Y60" i="19"/>
  <c r="M60" i="19"/>
  <c r="Z60" i="19"/>
  <c r="G60" i="19"/>
  <c r="K205" i="5"/>
  <c r="K202" i="5"/>
  <c r="K207" i="5"/>
  <c r="K212" i="5"/>
  <c r="K206" i="5"/>
  <c r="K204" i="5"/>
  <c r="K209" i="5"/>
  <c r="K210" i="5"/>
  <c r="K201" i="5"/>
  <c r="K211" i="5"/>
  <c r="K203" i="5"/>
  <c r="K208" i="5"/>
  <c r="U60" i="19" l="1"/>
  <c r="H61" i="19"/>
  <c r="AB61" i="19"/>
  <c r="L61" i="19"/>
  <c r="F61" i="19"/>
  <c r="Z61" i="19"/>
  <c r="G61" i="19"/>
  <c r="I61" i="19"/>
  <c r="J61" i="19"/>
  <c r="K61" i="19"/>
  <c r="AA61" i="19"/>
  <c r="N61" i="19"/>
  <c r="M61" i="19"/>
  <c r="V61" i="19"/>
  <c r="Y61" i="19"/>
  <c r="D65" i="1"/>
  <c r="H65" i="1"/>
  <c r="C65" i="1"/>
  <c r="B66" i="1"/>
  <c r="K221" i="5"/>
  <c r="K214" i="5"/>
  <c r="K219" i="5"/>
  <c r="K222" i="5"/>
  <c r="K217" i="5"/>
  <c r="K213" i="5"/>
  <c r="K220" i="5"/>
  <c r="K216" i="5"/>
  <c r="K218" i="5"/>
  <c r="K215" i="5"/>
  <c r="O60" i="19"/>
  <c r="W60" i="19"/>
  <c r="R60" i="19"/>
  <c r="R61" i="19" l="1"/>
  <c r="U61" i="19"/>
  <c r="O61" i="19"/>
  <c r="W61" i="19"/>
  <c r="B67" i="1"/>
  <c r="C66" i="1"/>
  <c r="D66" i="1"/>
  <c r="H66" i="1"/>
  <c r="L62" i="19"/>
  <c r="X62" i="19"/>
  <c r="H62" i="19"/>
  <c r="AA62" i="19"/>
  <c r="U62" i="19" s="1"/>
  <c r="Y62" i="19"/>
  <c r="K62" i="19"/>
  <c r="F62" i="19"/>
  <c r="AB62" i="19"/>
  <c r="V62" i="19"/>
  <c r="N62" i="19"/>
  <c r="G62" i="19"/>
  <c r="M62" i="19"/>
  <c r="J62" i="19"/>
  <c r="I62" i="19"/>
  <c r="Z62" i="19"/>
  <c r="AB63" i="19" l="1"/>
  <c r="H63" i="19"/>
  <c r="F63" i="19"/>
  <c r="K63" i="19"/>
  <c r="G63" i="19"/>
  <c r="J63" i="19"/>
  <c r="M63" i="19"/>
  <c r="L63" i="19"/>
  <c r="Z63" i="19"/>
  <c r="I63" i="19"/>
  <c r="X63" i="19"/>
  <c r="V63" i="19"/>
  <c r="Y63" i="19"/>
  <c r="N63" i="19"/>
  <c r="AA63" i="19"/>
  <c r="B68" i="1"/>
  <c r="H67" i="1"/>
  <c r="C67" i="1"/>
  <c r="D67" i="1"/>
  <c r="W62" i="19"/>
  <c r="R62" i="19"/>
  <c r="I228" i="5"/>
  <c r="I225" i="5"/>
  <c r="J227" i="5"/>
  <c r="J226" i="5"/>
  <c r="J224" i="5"/>
  <c r="I224" i="5"/>
  <c r="I229" i="5"/>
  <c r="I230" i="5"/>
  <c r="J223" i="5"/>
  <c r="I226" i="5"/>
  <c r="J228" i="5"/>
  <c r="J225" i="5"/>
  <c r="J230" i="5"/>
  <c r="J229" i="5"/>
  <c r="I227" i="5"/>
  <c r="I223" i="5"/>
  <c r="W63" i="19" l="1"/>
  <c r="U63" i="19"/>
  <c r="R63" i="19"/>
  <c r="B69" i="1"/>
  <c r="H68" i="1"/>
  <c r="D68" i="1"/>
  <c r="C68" i="1"/>
  <c r="I233" i="5"/>
  <c r="J232" i="5"/>
  <c r="I231" i="5"/>
  <c r="J233" i="5"/>
  <c r="J231" i="5"/>
  <c r="I232" i="5"/>
  <c r="Z64" i="19"/>
  <c r="F64" i="19"/>
  <c r="G64" i="19"/>
  <c r="K64" i="19"/>
  <c r="Y64" i="19"/>
  <c r="J64" i="19"/>
  <c r="AA64" i="19"/>
  <c r="AB64" i="19"/>
  <c r="V64" i="19"/>
  <c r="I64" i="19"/>
  <c r="H64" i="19"/>
  <c r="N64" i="19"/>
  <c r="L64" i="19"/>
  <c r="M64" i="19"/>
  <c r="X64" i="19"/>
  <c r="K229" i="5"/>
  <c r="K230" i="5"/>
  <c r="K225" i="5"/>
  <c r="K226" i="5"/>
  <c r="K224" i="5"/>
  <c r="K223" i="5"/>
  <c r="K228" i="5"/>
  <c r="K227" i="5"/>
  <c r="U64" i="19" l="1"/>
  <c r="V65" i="19"/>
  <c r="F65" i="19"/>
  <c r="Y65" i="19"/>
  <c r="AA65" i="19"/>
  <c r="X65" i="19"/>
  <c r="H65" i="19"/>
  <c r="I65" i="19"/>
  <c r="L65" i="19"/>
  <c r="J65" i="19"/>
  <c r="M65" i="19"/>
  <c r="G65" i="19"/>
  <c r="K65" i="19"/>
  <c r="AB65" i="19"/>
  <c r="Z65" i="19"/>
  <c r="N65" i="19"/>
  <c r="B70" i="1"/>
  <c r="C69" i="1"/>
  <c r="H69" i="1"/>
  <c r="D69" i="1"/>
  <c r="K233" i="5"/>
  <c r="I235" i="5"/>
  <c r="I234" i="5"/>
  <c r="J235" i="5"/>
  <c r="J236" i="5"/>
  <c r="J234" i="5"/>
  <c r="I236" i="5"/>
  <c r="K232" i="5"/>
  <c r="K231" i="5"/>
  <c r="W64" i="19"/>
  <c r="R64" i="19"/>
  <c r="W65" i="19" l="1"/>
  <c r="U65" i="19"/>
  <c r="R65" i="19"/>
  <c r="B71" i="1"/>
  <c r="H70" i="1"/>
  <c r="D70" i="1"/>
  <c r="C70" i="1"/>
  <c r="I237" i="5"/>
  <c r="J238" i="5"/>
  <c r="I238" i="5"/>
  <c r="I239" i="5"/>
  <c r="J239" i="5"/>
  <c r="J237" i="5"/>
  <c r="J66" i="19"/>
  <c r="X66" i="19"/>
  <c r="Z66" i="19"/>
  <c r="L66" i="19"/>
  <c r="M66" i="19"/>
  <c r="G66" i="19"/>
  <c r="F66" i="19"/>
  <c r="V66" i="19"/>
  <c r="Y66" i="19"/>
  <c r="K66" i="19"/>
  <c r="H66" i="19"/>
  <c r="AB66" i="19"/>
  <c r="AA66" i="19"/>
  <c r="N66" i="19"/>
  <c r="I66" i="19"/>
  <c r="K235" i="5"/>
  <c r="K234" i="5"/>
  <c r="K236" i="5"/>
  <c r="U66" i="19" l="1"/>
  <c r="M67" i="19"/>
  <c r="Z67" i="19"/>
  <c r="K67" i="19"/>
  <c r="G67" i="19"/>
  <c r="V67" i="19"/>
  <c r="X67" i="19"/>
  <c r="AA67" i="19"/>
  <c r="I67" i="19"/>
  <c r="N67" i="19"/>
  <c r="F67" i="19"/>
  <c r="Y67" i="19"/>
  <c r="L67" i="19"/>
  <c r="J67" i="19"/>
  <c r="H67" i="19"/>
  <c r="AB67" i="19"/>
  <c r="B72" i="1"/>
  <c r="C71" i="1"/>
  <c r="D71" i="1"/>
  <c r="H71" i="1"/>
  <c r="I240" i="5"/>
  <c r="J240" i="5"/>
  <c r="K238" i="5"/>
  <c r="K239" i="5"/>
  <c r="K237" i="5"/>
  <c r="R66" i="19"/>
  <c r="W66" i="19"/>
  <c r="O66" i="19"/>
  <c r="R67" i="19" l="1"/>
  <c r="U67" i="19"/>
  <c r="W67" i="19"/>
  <c r="O67" i="19"/>
  <c r="B73" i="1"/>
  <c r="C72" i="1"/>
  <c r="D72" i="1"/>
  <c r="H72" i="1"/>
  <c r="I68" i="19"/>
  <c r="M68" i="19"/>
  <c r="AB68" i="19"/>
  <c r="L68" i="19"/>
  <c r="Y68" i="19"/>
  <c r="J68" i="19"/>
  <c r="F68" i="19"/>
  <c r="N68" i="19"/>
  <c r="H68" i="19"/>
  <c r="V68" i="19"/>
  <c r="K68" i="19"/>
  <c r="AA68" i="19"/>
  <c r="X68" i="19"/>
  <c r="Z68" i="19"/>
  <c r="G68" i="19"/>
  <c r="K240" i="5"/>
  <c r="U68" i="19" l="1"/>
  <c r="AB69" i="19"/>
  <c r="AA69" i="19"/>
  <c r="N69" i="19"/>
  <c r="Z69" i="19"/>
  <c r="L69" i="19"/>
  <c r="V69" i="19"/>
  <c r="J69" i="19"/>
  <c r="K69" i="19"/>
  <c r="I69" i="19"/>
  <c r="H69" i="19"/>
  <c r="G69" i="19"/>
  <c r="F69" i="19"/>
  <c r="Y69" i="19"/>
  <c r="X69" i="19"/>
  <c r="M69" i="19"/>
  <c r="B74" i="1"/>
  <c r="C73" i="1"/>
  <c r="D73" i="1"/>
  <c r="H73" i="1"/>
  <c r="J241" i="5"/>
  <c r="I241" i="5"/>
  <c r="R68" i="19"/>
  <c r="W68" i="19"/>
  <c r="R69" i="19" l="1"/>
  <c r="U69" i="19"/>
  <c r="W69" i="19"/>
  <c r="O69" i="19"/>
  <c r="B75" i="1"/>
  <c r="H74" i="1"/>
  <c r="D74" i="1"/>
  <c r="C74" i="1"/>
  <c r="I70" i="19"/>
  <c r="M70" i="19"/>
  <c r="J70" i="19"/>
  <c r="V70" i="19"/>
  <c r="Y70" i="19"/>
  <c r="AB70" i="19"/>
  <c r="K70" i="19"/>
  <c r="H70" i="19"/>
  <c r="AA70" i="19"/>
  <c r="L70" i="19"/>
  <c r="F70" i="19"/>
  <c r="X70" i="19"/>
  <c r="N70" i="19"/>
  <c r="G70" i="19"/>
  <c r="Z70" i="19"/>
  <c r="K241" i="5"/>
  <c r="U70" i="19" l="1"/>
  <c r="I71" i="19"/>
  <c r="H71" i="19"/>
  <c r="F71" i="19"/>
  <c r="N71" i="19"/>
  <c r="G71" i="19"/>
  <c r="J71" i="19"/>
  <c r="V71" i="19"/>
  <c r="AA71" i="19"/>
  <c r="L71" i="19"/>
  <c r="Y71" i="19"/>
  <c r="K71" i="19"/>
  <c r="AB71" i="19"/>
  <c r="X71" i="19"/>
  <c r="M71" i="19"/>
  <c r="Z71" i="19"/>
  <c r="B76" i="1"/>
  <c r="C75" i="1"/>
  <c r="D75" i="1"/>
  <c r="H75" i="1"/>
  <c r="J245" i="5"/>
  <c r="I247" i="5"/>
  <c r="I245" i="5"/>
  <c r="J246" i="5"/>
  <c r="J247" i="5"/>
  <c r="I248" i="5"/>
  <c r="J248" i="5"/>
  <c r="I242" i="5"/>
  <c r="J243" i="5"/>
  <c r="J242" i="5"/>
  <c r="J244" i="5"/>
  <c r="I243" i="5"/>
  <c r="I244" i="5"/>
  <c r="I246" i="5"/>
  <c r="W70" i="19"/>
  <c r="R70" i="19"/>
  <c r="R71" i="19" l="1"/>
  <c r="U71" i="19"/>
  <c r="W71" i="19"/>
  <c r="B77" i="1"/>
  <c r="D76" i="1"/>
  <c r="H76" i="1"/>
  <c r="C76" i="1"/>
  <c r="I253" i="5"/>
  <c r="J256" i="5"/>
  <c r="I251" i="5"/>
  <c r="J254" i="5"/>
  <c r="J253" i="5"/>
  <c r="J251" i="5"/>
  <c r="I257" i="5"/>
  <c r="J255" i="5"/>
  <c r="J259" i="5"/>
  <c r="J257" i="5"/>
  <c r="I258" i="5"/>
  <c r="I249" i="5"/>
  <c r="I250" i="5"/>
  <c r="I254" i="5"/>
  <c r="I256" i="5"/>
  <c r="J249" i="5"/>
  <c r="J250" i="5"/>
  <c r="I252" i="5"/>
  <c r="I255" i="5"/>
  <c r="J252" i="5"/>
  <c r="J258" i="5"/>
  <c r="I259" i="5"/>
  <c r="J72" i="19"/>
  <c r="G72" i="19"/>
  <c r="F72" i="19"/>
  <c r="AA72" i="19"/>
  <c r="U72" i="19" s="1"/>
  <c r="N72" i="19"/>
  <c r="H72" i="19"/>
  <c r="M72" i="19"/>
  <c r="AB72" i="19"/>
  <c r="X72" i="19"/>
  <c r="K72" i="19"/>
  <c r="I72" i="19"/>
  <c r="Y72" i="19"/>
  <c r="V72" i="19"/>
  <c r="L72" i="19"/>
  <c r="Z72" i="19"/>
  <c r="K247" i="5"/>
  <c r="K246" i="5"/>
  <c r="K244" i="5"/>
  <c r="K242" i="5"/>
  <c r="K243" i="5"/>
  <c r="K245" i="5"/>
  <c r="K248" i="5"/>
  <c r="J73" i="19" l="1"/>
  <c r="L73" i="19"/>
  <c r="AA73" i="19"/>
  <c r="V73" i="19"/>
  <c r="N73" i="19"/>
  <c r="G73" i="19"/>
  <c r="Z73" i="19"/>
  <c r="F73" i="19"/>
  <c r="I73" i="19"/>
  <c r="AB73" i="19"/>
  <c r="M73" i="19"/>
  <c r="K73" i="19"/>
  <c r="X73" i="19"/>
  <c r="H73" i="19"/>
  <c r="Y73" i="19"/>
  <c r="B78" i="1"/>
  <c r="C77" i="1"/>
  <c r="D77" i="1"/>
  <c r="H77" i="1"/>
  <c r="K253" i="5"/>
  <c r="I260" i="5"/>
  <c r="J262" i="5"/>
  <c r="J264" i="5"/>
  <c r="I265" i="5"/>
  <c r="I261" i="5"/>
  <c r="J261" i="5"/>
  <c r="J268" i="5"/>
  <c r="I262" i="5"/>
  <c r="I266" i="5"/>
  <c r="J260" i="5"/>
  <c r="J263" i="5"/>
  <c r="I268" i="5"/>
  <c r="J266" i="5"/>
  <c r="I264" i="5"/>
  <c r="I267" i="5"/>
  <c r="J265" i="5"/>
  <c r="I263" i="5"/>
  <c r="J267" i="5"/>
  <c r="K249" i="5"/>
  <c r="K251" i="5"/>
  <c r="K258" i="5"/>
  <c r="K257" i="5"/>
  <c r="K255" i="5"/>
  <c r="K252" i="5"/>
  <c r="K254" i="5"/>
  <c r="W72" i="19"/>
  <c r="R72" i="19"/>
  <c r="K256" i="5"/>
  <c r="K250" i="5"/>
  <c r="K259" i="5"/>
  <c r="W73" i="19" l="1"/>
  <c r="U73" i="19"/>
  <c r="R73" i="19"/>
  <c r="B79" i="1"/>
  <c r="C78" i="1"/>
  <c r="D78" i="1"/>
  <c r="H78" i="1"/>
  <c r="I269" i="5"/>
  <c r="J272" i="5"/>
  <c r="I275" i="5"/>
  <c r="I271" i="5"/>
  <c r="J271" i="5"/>
  <c r="J273" i="5"/>
  <c r="J275" i="5"/>
  <c r="I273" i="5"/>
  <c r="I274" i="5"/>
  <c r="J269" i="5"/>
  <c r="I270" i="5"/>
  <c r="J274" i="5"/>
  <c r="J270" i="5"/>
  <c r="I272" i="5"/>
  <c r="K74" i="19"/>
  <c r="J74" i="19"/>
  <c r="N74" i="19"/>
  <c r="X74" i="19"/>
  <c r="AA74" i="19"/>
  <c r="G74" i="19"/>
  <c r="AB74" i="19"/>
  <c r="I74" i="19"/>
  <c r="Y74" i="19"/>
  <c r="Z74" i="19"/>
  <c r="F74" i="19"/>
  <c r="L74" i="19"/>
  <c r="V74" i="19"/>
  <c r="H74" i="19"/>
  <c r="M74" i="19"/>
  <c r="K261" i="5"/>
  <c r="K266" i="5"/>
  <c r="K263" i="5"/>
  <c r="K267" i="5"/>
  <c r="K262" i="5"/>
  <c r="K264" i="5"/>
  <c r="K260" i="5"/>
  <c r="K265" i="5"/>
  <c r="K268" i="5"/>
  <c r="U74" i="19" l="1"/>
  <c r="K75" i="19"/>
  <c r="J75" i="19"/>
  <c r="G75" i="19"/>
  <c r="M75" i="19"/>
  <c r="AB75" i="19"/>
  <c r="L75" i="19"/>
  <c r="V75" i="19"/>
  <c r="F75" i="19"/>
  <c r="Z75" i="19"/>
  <c r="N75" i="19"/>
  <c r="Y75" i="19"/>
  <c r="H75" i="19"/>
  <c r="AA75" i="19"/>
  <c r="X75" i="19"/>
  <c r="I75" i="19"/>
  <c r="B80" i="1"/>
  <c r="D79" i="1"/>
  <c r="H79" i="1"/>
  <c r="C79" i="1"/>
  <c r="I277" i="5"/>
  <c r="I276" i="5"/>
  <c r="J280" i="5"/>
  <c r="I280" i="5"/>
  <c r="J282" i="5"/>
  <c r="I282" i="5"/>
  <c r="J277" i="5"/>
  <c r="I281" i="5"/>
  <c r="J279" i="5"/>
  <c r="J278" i="5"/>
  <c r="I279" i="5"/>
  <c r="J276" i="5"/>
  <c r="J281" i="5"/>
  <c r="I278" i="5"/>
  <c r="K269" i="5"/>
  <c r="K274" i="5"/>
  <c r="K272" i="5"/>
  <c r="K275" i="5"/>
  <c r="K273" i="5"/>
  <c r="K270" i="5"/>
  <c r="K271" i="5"/>
  <c r="R74" i="19"/>
  <c r="W74" i="19"/>
  <c r="U75" i="19" l="1"/>
  <c r="W75" i="19"/>
  <c r="R75" i="19"/>
  <c r="B81" i="1"/>
  <c r="C80" i="1"/>
  <c r="D80" i="1"/>
  <c r="H80" i="1"/>
  <c r="AB76" i="19"/>
  <c r="G76" i="19"/>
  <c r="K76" i="19"/>
  <c r="J76" i="19"/>
  <c r="H76" i="19"/>
  <c r="L76" i="19"/>
  <c r="AA76" i="19"/>
  <c r="Z76" i="19"/>
  <c r="N76" i="19"/>
  <c r="Y76" i="19"/>
  <c r="M76" i="19"/>
  <c r="X76" i="19"/>
  <c r="V76" i="19"/>
  <c r="I76" i="19"/>
  <c r="F76" i="19"/>
  <c r="I283" i="5"/>
  <c r="I284" i="5"/>
  <c r="J283" i="5"/>
  <c r="J284" i="5"/>
  <c r="K281" i="5"/>
  <c r="K279" i="5"/>
  <c r="K276" i="5"/>
  <c r="K277" i="5"/>
  <c r="K282" i="5"/>
  <c r="K278" i="5"/>
  <c r="K280" i="5"/>
  <c r="U76" i="19" l="1"/>
  <c r="K77" i="19"/>
  <c r="H77" i="19"/>
  <c r="AA77" i="19"/>
  <c r="G77" i="19"/>
  <c r="X77" i="19"/>
  <c r="Z77" i="19"/>
  <c r="M77" i="19"/>
  <c r="L77" i="19"/>
  <c r="Y77" i="19"/>
  <c r="F77" i="19"/>
  <c r="I77" i="19"/>
  <c r="AB77" i="19"/>
  <c r="N77" i="19"/>
  <c r="J77" i="19"/>
  <c r="V77" i="19"/>
  <c r="B82" i="1"/>
  <c r="H81" i="1"/>
  <c r="C81" i="1"/>
  <c r="D81" i="1"/>
  <c r="J286" i="5"/>
  <c r="I286" i="5"/>
  <c r="I285" i="5"/>
  <c r="I287" i="5"/>
  <c r="J287" i="5"/>
  <c r="J285" i="5"/>
  <c r="K283" i="5"/>
  <c r="K284" i="5"/>
  <c r="W76" i="19"/>
  <c r="R76" i="19"/>
  <c r="R77" i="19" l="1"/>
  <c r="U77" i="19"/>
  <c r="W77" i="19"/>
  <c r="B83" i="1"/>
  <c r="C82" i="1"/>
  <c r="D82" i="1"/>
  <c r="H82" i="1"/>
  <c r="J288" i="5"/>
  <c r="J289" i="5"/>
  <c r="I289" i="5"/>
  <c r="I288" i="5"/>
  <c r="X78" i="19"/>
  <c r="L78" i="19"/>
  <c r="H78" i="19"/>
  <c r="G78" i="19"/>
  <c r="K78" i="19"/>
  <c r="I78" i="19"/>
  <c r="N78" i="19"/>
  <c r="AB78" i="19"/>
  <c r="AA78" i="19"/>
  <c r="M78" i="19"/>
  <c r="V78" i="19"/>
  <c r="J78" i="19"/>
  <c r="F78" i="19"/>
  <c r="Y78" i="19"/>
  <c r="Z78" i="19"/>
  <c r="K286" i="5"/>
  <c r="K285" i="5"/>
  <c r="K287" i="5"/>
  <c r="U78" i="19" l="1"/>
  <c r="X79" i="19"/>
  <c r="G79" i="19"/>
  <c r="AA79" i="19"/>
  <c r="Z79" i="19"/>
  <c r="K79" i="19"/>
  <c r="F79" i="19"/>
  <c r="H79" i="19"/>
  <c r="Y79" i="19"/>
  <c r="M79" i="19"/>
  <c r="V79" i="19"/>
  <c r="L79" i="19"/>
  <c r="J79" i="19"/>
  <c r="I79" i="19"/>
  <c r="AB79" i="19"/>
  <c r="N79" i="19"/>
  <c r="B84" i="1"/>
  <c r="C83" i="1"/>
  <c r="D83" i="1"/>
  <c r="H83" i="1"/>
  <c r="J291" i="5"/>
  <c r="J290" i="5"/>
  <c r="I290" i="5"/>
  <c r="I291" i="5"/>
  <c r="K289" i="5"/>
  <c r="K288" i="5"/>
  <c r="R78" i="19"/>
  <c r="W78" i="19"/>
  <c r="R79" i="19" l="1"/>
  <c r="U79" i="19"/>
  <c r="W79" i="19"/>
  <c r="B85" i="1"/>
  <c r="C84" i="1"/>
  <c r="D84" i="1"/>
  <c r="H84" i="1"/>
  <c r="Z80" i="19"/>
  <c r="L80" i="19"/>
  <c r="V80" i="19"/>
  <c r="M80" i="19"/>
  <c r="F80" i="19"/>
  <c r="G80" i="19"/>
  <c r="Y80" i="19"/>
  <c r="AB80" i="19"/>
  <c r="X80" i="19"/>
  <c r="H80" i="19"/>
  <c r="N80" i="19"/>
  <c r="AA80" i="19"/>
  <c r="K80" i="19"/>
  <c r="I80" i="19"/>
  <c r="J80" i="19"/>
  <c r="J292" i="5"/>
  <c r="I292" i="5"/>
  <c r="K290" i="5"/>
  <c r="K291" i="5"/>
  <c r="U80" i="19" l="1"/>
  <c r="I81" i="19"/>
  <c r="X81" i="19"/>
  <c r="K81" i="19"/>
  <c r="G81" i="19"/>
  <c r="V81" i="19"/>
  <c r="L81" i="19"/>
  <c r="Y81" i="19"/>
  <c r="M81" i="19"/>
  <c r="H81" i="19"/>
  <c r="Z81" i="19"/>
  <c r="F81" i="19"/>
  <c r="J81" i="19"/>
  <c r="N81" i="19"/>
  <c r="AA81" i="19"/>
  <c r="U81" i="19" s="1"/>
  <c r="AB81" i="19"/>
  <c r="B86" i="1"/>
  <c r="C85" i="1"/>
  <c r="D85" i="1"/>
  <c r="H85" i="1"/>
  <c r="J293" i="5"/>
  <c r="I293" i="5"/>
  <c r="R80" i="19"/>
  <c r="W80" i="19"/>
  <c r="K292" i="5"/>
  <c r="W81" i="19" l="1"/>
  <c r="R81" i="19"/>
  <c r="B87" i="1"/>
  <c r="C86" i="1"/>
  <c r="D86" i="1"/>
  <c r="H86" i="1"/>
  <c r="I295" i="5"/>
  <c r="J294" i="5"/>
  <c r="J295" i="5"/>
  <c r="J296" i="5"/>
  <c r="I294" i="5"/>
  <c r="I296" i="5"/>
  <c r="J297" i="5"/>
  <c r="I297" i="5"/>
  <c r="F82" i="19"/>
  <c r="Z82" i="19"/>
  <c r="AB82" i="19"/>
  <c r="K82" i="19"/>
  <c r="Y82" i="19"/>
  <c r="V82" i="19"/>
  <c r="G82" i="19"/>
  <c r="N82" i="19"/>
  <c r="X82" i="19"/>
  <c r="AA82" i="19"/>
  <c r="L82" i="19"/>
  <c r="J82" i="19"/>
  <c r="H82" i="19"/>
  <c r="I82" i="19"/>
  <c r="M82" i="19"/>
  <c r="K293" i="5"/>
  <c r="U82" i="19" l="1"/>
  <c r="M83" i="19"/>
  <c r="Z83" i="19"/>
  <c r="AA83" i="19"/>
  <c r="X83" i="19"/>
  <c r="V83" i="19"/>
  <c r="J83" i="19"/>
  <c r="F83" i="19"/>
  <c r="N83" i="19"/>
  <c r="Y83" i="19"/>
  <c r="I83" i="19"/>
  <c r="L83" i="19"/>
  <c r="G83" i="19"/>
  <c r="AB83" i="19"/>
  <c r="H83" i="19"/>
  <c r="K83" i="19"/>
  <c r="B88" i="1"/>
  <c r="CB4" i="12" s="1"/>
  <c r="D87" i="1"/>
  <c r="H87" i="1"/>
  <c r="C87" i="1"/>
  <c r="J298" i="5"/>
  <c r="I298" i="5"/>
  <c r="K297" i="5"/>
  <c r="K294" i="5"/>
  <c r="K295" i="5"/>
  <c r="W82" i="19"/>
  <c r="R82" i="19"/>
  <c r="K296" i="5"/>
  <c r="W83" i="19" l="1"/>
  <c r="U83" i="19"/>
  <c r="AZ4" i="12"/>
  <c r="EE4" i="12"/>
  <c r="DY4" i="12"/>
  <c r="BB4" i="12"/>
  <c r="CY4" i="12"/>
  <c r="ES4" i="12"/>
  <c r="I4" i="12"/>
  <c r="BC4" i="12"/>
  <c r="BW4" i="12"/>
  <c r="M4" i="12"/>
  <c r="DK4" i="12"/>
  <c r="AC4" i="12"/>
  <c r="ED4" i="12"/>
  <c r="BK4" i="12"/>
  <c r="BU4" i="12"/>
  <c r="BV4" i="12"/>
  <c r="BM4" i="12"/>
  <c r="EB4" i="12"/>
  <c r="AU4" i="12"/>
  <c r="EV4" i="12"/>
  <c r="EC4" i="12"/>
  <c r="EA4" i="12"/>
  <c r="DF4" i="12"/>
  <c r="BS4" i="12"/>
  <c r="FD4" i="12"/>
  <c r="DW4" i="12"/>
  <c r="J4" i="12"/>
  <c r="EL4" i="12"/>
  <c r="BJ4" i="12"/>
  <c r="EY4" i="12"/>
  <c r="CE4" i="12"/>
  <c r="V4" i="12"/>
  <c r="AJ4" i="12"/>
  <c r="AK4" i="12"/>
  <c r="U4" i="12"/>
  <c r="DE4" i="12"/>
  <c r="BA4" i="12"/>
  <c r="D4" i="12"/>
  <c r="FE4" i="12"/>
  <c r="FC4" i="12"/>
  <c r="BQ4" i="12"/>
  <c r="AV4" i="12"/>
  <c r="EX4" i="12"/>
  <c r="BF4" i="12"/>
  <c r="DM4" i="12"/>
  <c r="EK4" i="12"/>
  <c r="DO4" i="12"/>
  <c r="AW4" i="12"/>
  <c r="C4" i="12"/>
  <c r="EI4" i="12"/>
  <c r="DC4" i="12"/>
  <c r="CL4" i="12"/>
  <c r="CN4" i="12"/>
  <c r="EF4" i="12"/>
  <c r="CZ4" i="12"/>
  <c r="FB4" i="12"/>
  <c r="CR4" i="12"/>
  <c r="EN4" i="12"/>
  <c r="DX4" i="12"/>
  <c r="BX4" i="12"/>
  <c r="CV4" i="12"/>
  <c r="EZ4" i="12"/>
  <c r="EP4" i="12"/>
  <c r="BZ4" i="12"/>
  <c r="O4" i="12"/>
  <c r="AY4" i="12"/>
  <c r="EH4" i="12"/>
  <c r="AE4" i="12"/>
  <c r="BP4" i="12"/>
  <c r="AN4" i="12"/>
  <c r="BH4" i="12"/>
  <c r="AI4" i="12"/>
  <c r="BO4" i="12"/>
  <c r="DA4" i="12"/>
  <c r="T4" i="12"/>
  <c r="W4" i="12"/>
  <c r="AT4" i="12"/>
  <c r="DS4" i="12"/>
  <c r="BE4" i="12"/>
  <c r="E4" i="12"/>
  <c r="K4" i="12"/>
  <c r="H4" i="12"/>
  <c r="ET4" i="12"/>
  <c r="N4" i="12"/>
  <c r="DT4" i="12"/>
  <c r="AF4" i="12"/>
  <c r="G4" i="12"/>
  <c r="CJ4" i="12"/>
  <c r="BT4" i="12"/>
  <c r="CM4" i="12"/>
  <c r="F4" i="12"/>
  <c r="DQ4" i="12"/>
  <c r="DI4" i="12"/>
  <c r="BN4" i="12"/>
  <c r="DP4" i="12"/>
  <c r="DB4" i="12"/>
  <c r="AG4" i="12"/>
  <c r="AR4" i="12"/>
  <c r="EJ4" i="12"/>
  <c r="AO4" i="12"/>
  <c r="CO4" i="12"/>
  <c r="S4" i="12"/>
  <c r="CW4" i="12"/>
  <c r="CK4" i="12"/>
  <c r="AD4" i="12"/>
  <c r="FA4" i="12"/>
  <c r="Q4" i="12"/>
  <c r="EO4" i="12"/>
  <c r="CP4" i="12"/>
  <c r="AL4" i="12"/>
  <c r="CQ4" i="12"/>
  <c r="AA4" i="12"/>
  <c r="BD4" i="12"/>
  <c r="X4" i="12"/>
  <c r="AB4" i="12"/>
  <c r="AX4" i="12"/>
  <c r="EG4" i="12"/>
  <c r="DR4" i="12"/>
  <c r="CD4" i="12"/>
  <c r="Z4" i="12"/>
  <c r="AM4" i="12"/>
  <c r="AP4" i="12"/>
  <c r="BY4" i="12"/>
  <c r="CU4" i="12"/>
  <c r="Y4" i="12"/>
  <c r="CT4" i="12"/>
  <c r="FG4" i="12"/>
  <c r="T4" i="13" s="1"/>
  <c r="FF4" i="12"/>
  <c r="DG4" i="12"/>
  <c r="CF4" i="12"/>
  <c r="ER4" i="12"/>
  <c r="CG4" i="12"/>
  <c r="BR4" i="12"/>
  <c r="CX4" i="12"/>
  <c r="AH4" i="12"/>
  <c r="AH4" i="13" s="1"/>
  <c r="CH4" i="12"/>
  <c r="CC4" i="12"/>
  <c r="CA4" i="12"/>
  <c r="CI4" i="12"/>
  <c r="DV4" i="12"/>
  <c r="DN4" i="12"/>
  <c r="EW4" i="12"/>
  <c r="L4" i="12"/>
  <c r="BI4" i="12"/>
  <c r="AQ4" i="12"/>
  <c r="AS4" i="12"/>
  <c r="EQ4" i="12"/>
  <c r="CS4" i="12"/>
  <c r="P4" i="12"/>
  <c r="DJ4" i="12"/>
  <c r="DU4" i="12"/>
  <c r="EM4" i="12"/>
  <c r="BL4" i="12"/>
  <c r="BG4" i="12"/>
  <c r="DL4" i="12"/>
  <c r="DH4" i="12"/>
  <c r="DD4" i="12"/>
  <c r="EU4" i="12"/>
  <c r="DZ4" i="12"/>
  <c r="R4" i="12"/>
  <c r="G5" i="12"/>
  <c r="AV5" i="12"/>
  <c r="EO5" i="12"/>
  <c r="AJ5" i="12"/>
  <c r="CT5" i="12"/>
  <c r="CO5" i="12"/>
  <c r="AC5" i="12"/>
  <c r="R83" i="19"/>
  <c r="B89" i="1"/>
  <c r="DW5" i="12" s="1"/>
  <c r="C88" i="1"/>
  <c r="D88" i="1"/>
  <c r="H88" i="1"/>
  <c r="I299" i="5"/>
  <c r="J299" i="5"/>
  <c r="M84" i="19"/>
  <c r="K84" i="19"/>
  <c r="L84" i="19"/>
  <c r="AA84" i="19"/>
  <c r="H84" i="19"/>
  <c r="Z84" i="19"/>
  <c r="J84" i="19"/>
  <c r="N84" i="19"/>
  <c r="F84" i="19"/>
  <c r="G84" i="19"/>
  <c r="AB84" i="19"/>
  <c r="V84" i="19"/>
  <c r="X84" i="19"/>
  <c r="Y84" i="19"/>
  <c r="I84" i="19"/>
  <c r="K298" i="5"/>
  <c r="U84" i="19" l="1"/>
  <c r="CZ5" i="12"/>
  <c r="DJ4" i="13"/>
  <c r="AI5" i="12"/>
  <c r="EU4" i="13"/>
  <c r="AK5" i="12"/>
  <c r="CK5" i="12"/>
  <c r="DZ5" i="12"/>
  <c r="EM5" i="12"/>
  <c r="DX5" i="12"/>
  <c r="Y5" i="12"/>
  <c r="N5" i="12"/>
  <c r="EF5" i="12"/>
  <c r="BK5" i="12"/>
  <c r="C5" i="12"/>
  <c r="W5" i="12"/>
  <c r="AO5" i="12"/>
  <c r="AB5" i="12"/>
  <c r="BW5" i="12"/>
  <c r="DB5" i="12"/>
  <c r="EP5" i="12"/>
  <c r="EY5" i="12"/>
  <c r="AD5" i="12"/>
  <c r="DV5" i="12"/>
  <c r="BE5" i="12"/>
  <c r="AS5" i="12"/>
  <c r="BZ5" i="12"/>
  <c r="DS5" i="12"/>
  <c r="J5" i="12"/>
  <c r="DL5" i="12"/>
  <c r="BT5" i="12"/>
  <c r="EN5" i="12"/>
  <c r="EU5" i="12"/>
  <c r="BL5" i="12"/>
  <c r="EW4" i="13"/>
  <c r="S5" i="12"/>
  <c r="ET5" i="12"/>
  <c r="ES5" i="12"/>
  <c r="Q5" i="12"/>
  <c r="ER5" i="12"/>
  <c r="CN5" i="12"/>
  <c r="R4" i="13"/>
  <c r="AE4" i="13"/>
  <c r="EV4" i="13"/>
  <c r="BX4" i="13"/>
  <c r="CE4" i="13"/>
  <c r="BR4" i="13"/>
  <c r="BI4" i="13"/>
  <c r="DZ4" i="13"/>
  <c r="L4" i="13"/>
  <c r="CH4" i="13"/>
  <c r="FF4" i="13"/>
  <c r="AA4" i="13"/>
  <c r="DD4" i="13"/>
  <c r="AL4" i="13"/>
  <c r="DS4" i="13"/>
  <c r="EZ4" i="13"/>
  <c r="D4" i="13"/>
  <c r="DE4" i="13"/>
  <c r="DC4" i="13"/>
  <c r="EG4" i="13"/>
  <c r="BF4" i="13"/>
  <c r="C4" i="13"/>
  <c r="X4" i="13"/>
  <c r="K4" i="13"/>
  <c r="CD4" i="13"/>
  <c r="CQ4" i="13"/>
  <c r="CW4" i="13"/>
  <c r="DP4" i="13"/>
  <c r="G4" i="13"/>
  <c r="BE4" i="13"/>
  <c r="BH4" i="13"/>
  <c r="EP4" i="13"/>
  <c r="DO4" i="13"/>
  <c r="FE4" i="13"/>
  <c r="BV4" i="13"/>
  <c r="BC4" i="13"/>
  <c r="CP4" i="13"/>
  <c r="Y4" i="13"/>
  <c r="CS4" i="13"/>
  <c r="AS4" i="13"/>
  <c r="CN4" i="13"/>
  <c r="ET4" i="13"/>
  <c r="DG4" i="13"/>
  <c r="BJ4" i="13"/>
  <c r="J4" i="13"/>
  <c r="AU4" i="13"/>
  <c r="DQ4" i="13"/>
  <c r="U4" i="13"/>
  <c r="EM4" i="13"/>
  <c r="DW4" i="13"/>
  <c r="DI4" i="13"/>
  <c r="FA4" i="13"/>
  <c r="BY4" i="13"/>
  <c r="CK4" i="13"/>
  <c r="BA4" i="13"/>
  <c r="BL4" i="13"/>
  <c r="AP4" i="13"/>
  <c r="EN4" i="13"/>
  <c r="EI4" i="13"/>
  <c r="AV4" i="13"/>
  <c r="AK4" i="13"/>
  <c r="DK4" i="13"/>
  <c r="CL4" i="13"/>
  <c r="CO4" i="13"/>
  <c r="FC4" i="13"/>
  <c r="EL4" i="13"/>
  <c r="CI4" i="13"/>
  <c r="M4" i="13"/>
  <c r="AR4" i="13"/>
  <c r="DU4" i="13"/>
  <c r="FD4" i="13"/>
  <c r="EJ4" i="13"/>
  <c r="ER4" i="13"/>
  <c r="I4" i="13"/>
  <c r="AD4" i="13"/>
  <c r="DN4" i="13"/>
  <c r="CC4" i="13"/>
  <c r="AM4" i="13"/>
  <c r="EC4" i="13"/>
  <c r="O4" i="13"/>
  <c r="CX4" i="13"/>
  <c r="DM4" i="13"/>
  <c r="DV4" i="13"/>
  <c r="CB4" i="13"/>
  <c r="EX4" i="13"/>
  <c r="AT4" i="13"/>
  <c r="CF4" i="13"/>
  <c r="BS4" i="13"/>
  <c r="AB4" i="13"/>
  <c r="AQ4" i="13"/>
  <c r="EF4" i="13"/>
  <c r="S4" i="13"/>
  <c r="Z4" i="13"/>
  <c r="DB4" i="13"/>
  <c r="CJ4" i="13"/>
  <c r="E4" i="13"/>
  <c r="AI4" i="13"/>
  <c r="BZ4" i="13"/>
  <c r="CA4" i="13"/>
  <c r="Q4" i="13"/>
  <c r="EK4" i="13"/>
  <c r="DL4" i="13"/>
  <c r="CM4" i="13"/>
  <c r="DH4" i="13"/>
  <c r="AG4" i="13"/>
  <c r="FB4" i="13"/>
  <c r="DX4" i="13"/>
  <c r="EY4" i="13"/>
  <c r="BQ4" i="13"/>
  <c r="BK4" i="13"/>
  <c r="EH4" i="13"/>
  <c r="P4" i="13"/>
  <c r="AW4" i="13"/>
  <c r="BG4" i="13"/>
  <c r="BU4" i="13"/>
  <c r="CV4" i="13"/>
  <c r="DR4" i="13"/>
  <c r="EQ4" i="13"/>
  <c r="CT4" i="13"/>
  <c r="H4" i="13"/>
  <c r="ES4" i="13"/>
  <c r="F4" i="13"/>
  <c r="AY4" i="13"/>
  <c r="DT4" i="13"/>
  <c r="CR4" i="13"/>
  <c r="DY4" i="13"/>
  <c r="EB4" i="13"/>
  <c r="AJ4" i="13"/>
  <c r="AN4" i="13"/>
  <c r="EE4" i="13"/>
  <c r="ED4" i="13"/>
  <c r="CY4" i="13"/>
  <c r="CG4" i="13"/>
  <c r="CU4" i="13"/>
  <c r="AX4" i="13"/>
  <c r="EO4" i="13"/>
  <c r="AO4" i="13"/>
  <c r="BM4" i="13"/>
  <c r="N4" i="13"/>
  <c r="W4" i="13"/>
  <c r="BT4" i="13"/>
  <c r="V4" i="13"/>
  <c r="EA4" i="13"/>
  <c r="BP4" i="13"/>
  <c r="BW4" i="13"/>
  <c r="BD4" i="13"/>
  <c r="BN4" i="13"/>
  <c r="AC4" i="13"/>
  <c r="DA4" i="13"/>
  <c r="AF4" i="13"/>
  <c r="BO4" i="13"/>
  <c r="AZ4" i="13"/>
  <c r="T5" i="12"/>
  <c r="FE5" i="12"/>
  <c r="BS5" i="12"/>
  <c r="DY5" i="12"/>
  <c r="EJ5" i="12"/>
  <c r="CH5" i="12"/>
  <c r="EE5" i="12"/>
  <c r="CQ5" i="12"/>
  <c r="BN5" i="12"/>
  <c r="FC5" i="12"/>
  <c r="EC5" i="12"/>
  <c r="CM5" i="12"/>
  <c r="BR5" i="12"/>
  <c r="DD5" i="12"/>
  <c r="DU5" i="12"/>
  <c r="BI5" i="12"/>
  <c r="AH5" i="12"/>
  <c r="CE5" i="12"/>
  <c r="CA5" i="12"/>
  <c r="D5" i="12"/>
  <c r="DO5" i="12"/>
  <c r="AT5" i="12"/>
  <c r="CY5" i="12"/>
  <c r="FF5" i="12"/>
  <c r="R5" i="12"/>
  <c r="EW5" i="12"/>
  <c r="AY5" i="12"/>
  <c r="AN5" i="12"/>
  <c r="BV5" i="12"/>
  <c r="EQ5" i="12"/>
  <c r="FA5" i="12"/>
  <c r="BF5" i="12"/>
  <c r="CR5" i="12"/>
  <c r="F5" i="12"/>
  <c r="CU5" i="12"/>
  <c r="BG5" i="12"/>
  <c r="CW5" i="12"/>
  <c r="DF5" i="12"/>
  <c r="H5" i="12"/>
  <c r="CI5" i="12"/>
  <c r="DE5" i="12"/>
  <c r="FB5" i="12"/>
  <c r="AM5" i="12"/>
  <c r="BB5" i="12"/>
  <c r="EG5" i="12"/>
  <c r="M5" i="12"/>
  <c r="CS5" i="12"/>
  <c r="BU5" i="12"/>
  <c r="FD5" i="12"/>
  <c r="EV5" i="12"/>
  <c r="AR5" i="12"/>
  <c r="BJ5" i="12"/>
  <c r="EB5" i="12"/>
  <c r="K5" i="12"/>
  <c r="BP5" i="12"/>
  <c r="DM5" i="12"/>
  <c r="CX5" i="12"/>
  <c r="DH5" i="12"/>
  <c r="DJ5" i="12"/>
  <c r="AZ5" i="12"/>
  <c r="Z5" i="12"/>
  <c r="CD5" i="12"/>
  <c r="CV5" i="12"/>
  <c r="I5" i="12"/>
  <c r="CL5" i="12"/>
  <c r="BA5" i="12"/>
  <c r="EI5" i="12"/>
  <c r="AL5" i="12"/>
  <c r="CG5" i="12"/>
  <c r="CZ4" i="13"/>
  <c r="DP5" i="12"/>
  <c r="CF5" i="12"/>
  <c r="DI5" i="12"/>
  <c r="DF4" i="13"/>
  <c r="BC5" i="12"/>
  <c r="DR5" i="12"/>
  <c r="DK5" i="12"/>
  <c r="X5" i="12"/>
  <c r="BQ5" i="12"/>
  <c r="V5" i="12"/>
  <c r="AE5" i="12"/>
  <c r="CB5" i="12"/>
  <c r="BX5" i="12"/>
  <c r="AQ5" i="12"/>
  <c r="O5" i="12"/>
  <c r="DG5" i="12"/>
  <c r="E5" i="12"/>
  <c r="BD5" i="12"/>
  <c r="CP5" i="12"/>
  <c r="L5" i="12"/>
  <c r="DA5" i="12"/>
  <c r="EX5" i="12"/>
  <c r="AU5" i="12"/>
  <c r="BB4" i="13"/>
  <c r="BY5" i="12"/>
  <c r="CJ5" i="12"/>
  <c r="EK5" i="12"/>
  <c r="AA5" i="12"/>
  <c r="BM5" i="12"/>
  <c r="FG5" i="12"/>
  <c r="J5" i="13" s="1"/>
  <c r="AX5" i="12"/>
  <c r="BH5" i="12"/>
  <c r="AP5" i="12"/>
  <c r="DN5" i="12"/>
  <c r="CC5" i="12"/>
  <c r="BO5" i="12"/>
  <c r="EH5" i="12"/>
  <c r="DC5" i="12"/>
  <c r="AG5" i="12"/>
  <c r="AF5" i="12"/>
  <c r="DT5" i="12"/>
  <c r="EA5" i="12"/>
  <c r="P5" i="12"/>
  <c r="EL5" i="12"/>
  <c r="U5" i="12"/>
  <c r="DQ5" i="12"/>
  <c r="ED5" i="12"/>
  <c r="AW5" i="12"/>
  <c r="EZ5" i="12"/>
  <c r="N85" i="19"/>
  <c r="AB85" i="19"/>
  <c r="I85" i="19"/>
  <c r="J85" i="19"/>
  <c r="AA85" i="19"/>
  <c r="H85" i="19"/>
  <c r="M85" i="19"/>
  <c r="K85" i="19"/>
  <c r="V85" i="19"/>
  <c r="Z85" i="19"/>
  <c r="F85" i="19"/>
  <c r="L85" i="19"/>
  <c r="Y85" i="19"/>
  <c r="G85" i="19"/>
  <c r="X85" i="19"/>
  <c r="B90" i="1"/>
  <c r="CI6" i="12" s="1"/>
  <c r="C89" i="1"/>
  <c r="D89" i="1"/>
  <c r="H89" i="1"/>
  <c r="I303" i="5"/>
  <c r="J301" i="5"/>
  <c r="J303" i="5"/>
  <c r="I301" i="5"/>
  <c r="I300" i="5"/>
  <c r="J300" i="5"/>
  <c r="J302" i="5"/>
  <c r="I302" i="5"/>
  <c r="R84" i="19"/>
  <c r="W84" i="19"/>
  <c r="K299" i="5"/>
  <c r="DC5" i="13" l="1"/>
  <c r="U85" i="19"/>
  <c r="DQ5" i="13"/>
  <c r="EL5" i="13"/>
  <c r="CC5" i="13"/>
  <c r="P5" i="13"/>
  <c r="CJ5" i="13"/>
  <c r="AW5" i="13"/>
  <c r="EX5" i="13"/>
  <c r="CD5" i="13"/>
  <c r="K5" i="13"/>
  <c r="EZ5" i="13"/>
  <c r="DT5" i="13"/>
  <c r="AP5" i="13"/>
  <c r="BY5" i="13"/>
  <c r="DA5" i="13"/>
  <c r="BX5" i="13"/>
  <c r="DS5" i="13"/>
  <c r="W5" i="13"/>
  <c r="L5" i="13"/>
  <c r="CB5" i="13"/>
  <c r="ED5" i="13"/>
  <c r="AG5" i="13"/>
  <c r="AX5" i="13"/>
  <c r="BW5" i="13"/>
  <c r="EU5" i="13"/>
  <c r="U5" i="13"/>
  <c r="EH5" i="13"/>
  <c r="BZ5" i="13"/>
  <c r="BO5" i="13"/>
  <c r="AI5" i="13"/>
  <c r="CP5" i="13"/>
  <c r="BR6" i="12"/>
  <c r="DH6" i="12"/>
  <c r="ED6" i="12"/>
  <c r="H6" i="12"/>
  <c r="BG6" i="12"/>
  <c r="O6" i="12"/>
  <c r="CA6" i="12"/>
  <c r="AU6" i="12"/>
  <c r="BZ6" i="12"/>
  <c r="L6" i="12"/>
  <c r="BY6" i="12"/>
  <c r="ET6" i="12"/>
  <c r="EY6" i="12"/>
  <c r="BI6" i="12"/>
  <c r="EP6" i="12"/>
  <c r="ER6" i="12"/>
  <c r="E6" i="12"/>
  <c r="Q5" i="13"/>
  <c r="DP5" i="13"/>
  <c r="CV5" i="13"/>
  <c r="BP5" i="13"/>
  <c r="AR5" i="13"/>
  <c r="FD5" i="13"/>
  <c r="DE5" i="13"/>
  <c r="CR5" i="13"/>
  <c r="R5" i="13"/>
  <c r="AT5" i="13"/>
  <c r="DX5" i="13"/>
  <c r="BR5" i="13"/>
  <c r="EJ5" i="13"/>
  <c r="S5" i="13"/>
  <c r="EZ6" i="12"/>
  <c r="DR6" i="12"/>
  <c r="CJ6" i="12"/>
  <c r="EQ6" i="12"/>
  <c r="DD6" i="12"/>
  <c r="CB6" i="12"/>
  <c r="DB6" i="12"/>
  <c r="CN6" i="12"/>
  <c r="EU6" i="12"/>
  <c r="BU6" i="12"/>
  <c r="AM6" i="12"/>
  <c r="CD6" i="12"/>
  <c r="FC6" i="12"/>
  <c r="AP6" i="12"/>
  <c r="DT6" i="12"/>
  <c r="EV5" i="13"/>
  <c r="BU5" i="13"/>
  <c r="CI5" i="13"/>
  <c r="BF5" i="13"/>
  <c r="FF5" i="13"/>
  <c r="DO5" i="13"/>
  <c r="ET5" i="13"/>
  <c r="CM5" i="13"/>
  <c r="DY5" i="13"/>
  <c r="G5" i="13"/>
  <c r="DC6" i="12"/>
  <c r="AW6" i="12"/>
  <c r="CE6" i="12"/>
  <c r="CL6" i="12"/>
  <c r="DZ6" i="12"/>
  <c r="AD6" i="12"/>
  <c r="CF6" i="12"/>
  <c r="DF6" i="12"/>
  <c r="DJ6" i="12"/>
  <c r="T6" i="12"/>
  <c r="CZ6" i="12"/>
  <c r="AI6" i="12"/>
  <c r="EA6" i="12"/>
  <c r="DY6" i="12"/>
  <c r="AE5" i="13"/>
  <c r="DZ5" i="13"/>
  <c r="CG5" i="13"/>
  <c r="Z5" i="13"/>
  <c r="AB6" i="12"/>
  <c r="ER5" i="13"/>
  <c r="CS5" i="13"/>
  <c r="H5" i="13"/>
  <c r="FA5" i="13"/>
  <c r="DL5" i="13"/>
  <c r="D5" i="13"/>
  <c r="EF5" i="13"/>
  <c r="EC5" i="13"/>
  <c r="BS5" i="13"/>
  <c r="AJ5" i="13"/>
  <c r="EI6" i="12"/>
  <c r="AR6" i="12"/>
  <c r="CO6" i="12"/>
  <c r="G6" i="12"/>
  <c r="D6" i="12"/>
  <c r="EL6" i="12"/>
  <c r="FD6" i="12"/>
  <c r="DO6" i="12"/>
  <c r="EJ6" i="12"/>
  <c r="EK6" i="12"/>
  <c r="DE6" i="12"/>
  <c r="AV6" i="12"/>
  <c r="BF6" i="12"/>
  <c r="BE6" i="12"/>
  <c r="FE6" i="12"/>
  <c r="AS6" i="12"/>
  <c r="EH6" i="12"/>
  <c r="Y5" i="13"/>
  <c r="EO5" i="13"/>
  <c r="BD5" i="13"/>
  <c r="V5" i="13"/>
  <c r="AB5" i="13"/>
  <c r="AL5" i="13"/>
  <c r="AZ5" i="13"/>
  <c r="CY6" i="12"/>
  <c r="EY5" i="13"/>
  <c r="M5" i="13"/>
  <c r="DF5" i="13"/>
  <c r="EQ5" i="13"/>
  <c r="AD5" i="13"/>
  <c r="CA5" i="13"/>
  <c r="AK5" i="13"/>
  <c r="FC5" i="13"/>
  <c r="FE5" i="13"/>
  <c r="DW5" i="13"/>
  <c r="CT6" i="12"/>
  <c r="ES6" i="12"/>
  <c r="Y6" i="12"/>
  <c r="EB6" i="12"/>
  <c r="AQ6" i="12"/>
  <c r="EM6" i="12"/>
  <c r="DI6" i="12"/>
  <c r="BP6" i="12"/>
  <c r="Q6" i="12"/>
  <c r="BW6" i="12"/>
  <c r="FB6" i="12"/>
  <c r="AN6" i="12"/>
  <c r="AC6" i="12"/>
  <c r="BS6" i="12"/>
  <c r="BB6" i="12"/>
  <c r="AO6" i="12"/>
  <c r="FG6" i="12"/>
  <c r="DD6" i="13" s="1"/>
  <c r="EA5" i="13"/>
  <c r="DN5" i="13"/>
  <c r="BM5" i="13"/>
  <c r="CZ5" i="13"/>
  <c r="AC5" i="13"/>
  <c r="E5" i="13"/>
  <c r="BQ5" i="13"/>
  <c r="BC5" i="13"/>
  <c r="EI5" i="13"/>
  <c r="DJ5" i="13"/>
  <c r="BL5" i="13"/>
  <c r="EG5" i="13"/>
  <c r="CW5" i="13"/>
  <c r="BV5" i="13"/>
  <c r="DV5" i="13"/>
  <c r="CE5" i="13"/>
  <c r="EP5" i="13"/>
  <c r="BN5" i="13"/>
  <c r="T5" i="13"/>
  <c r="N5" i="13"/>
  <c r="J6" i="12"/>
  <c r="BK6" i="12"/>
  <c r="DV6" i="12"/>
  <c r="C6" i="12"/>
  <c r="C6" i="13" s="1"/>
  <c r="Z6" i="12"/>
  <c r="EV6" i="12"/>
  <c r="AF6" i="12"/>
  <c r="AK6" i="12"/>
  <c r="BN6" i="12"/>
  <c r="AZ6" i="12"/>
  <c r="BM6" i="12"/>
  <c r="BQ6" i="12"/>
  <c r="BQ6" i="13" s="1"/>
  <c r="BC6" i="12"/>
  <c r="W6" i="12"/>
  <c r="F6" i="12"/>
  <c r="BO6" i="12"/>
  <c r="BJ6" i="12"/>
  <c r="AX6" i="12"/>
  <c r="AT6" i="12"/>
  <c r="I6" i="12"/>
  <c r="DW6" i="12"/>
  <c r="EN6" i="12"/>
  <c r="DL6" i="12"/>
  <c r="DP6" i="12"/>
  <c r="V6" i="12"/>
  <c r="DQ6" i="12"/>
  <c r="EF6" i="12"/>
  <c r="AA6" i="12"/>
  <c r="AA6" i="13" s="1"/>
  <c r="M6" i="12"/>
  <c r="AJ6" i="12"/>
  <c r="U6" i="12"/>
  <c r="AH6" i="12"/>
  <c r="CH6" i="12"/>
  <c r="CM6" i="12"/>
  <c r="FF6" i="12"/>
  <c r="CQ6" i="12"/>
  <c r="CQ6" i="13" s="1"/>
  <c r="CX6" i="12"/>
  <c r="BD6" i="12"/>
  <c r="CS6" i="12"/>
  <c r="P6" i="12"/>
  <c r="AA5" i="13"/>
  <c r="AV5" i="13"/>
  <c r="DG5" i="13"/>
  <c r="X5" i="13"/>
  <c r="BA5" i="13"/>
  <c r="DH5" i="13"/>
  <c r="K6" i="12"/>
  <c r="CO5" i="13"/>
  <c r="BB5" i="13"/>
  <c r="BG5" i="13"/>
  <c r="AN5" i="13"/>
  <c r="EN5" i="13"/>
  <c r="AH5" i="13"/>
  <c r="ES5" i="13"/>
  <c r="CQ5" i="13"/>
  <c r="EM5" i="13"/>
  <c r="BK5" i="13"/>
  <c r="BV6" i="12"/>
  <c r="BX6" i="12"/>
  <c r="CV6" i="12"/>
  <c r="CV6" i="13" s="1"/>
  <c r="EC6" i="12"/>
  <c r="EO6" i="12"/>
  <c r="BT6" i="12"/>
  <c r="X6" i="12"/>
  <c r="EE6" i="12"/>
  <c r="AE6" i="12"/>
  <c r="CR6" i="12"/>
  <c r="R6" i="12"/>
  <c r="CP6" i="12"/>
  <c r="DG6" i="12"/>
  <c r="CG6" i="12"/>
  <c r="AG6" i="12"/>
  <c r="EX6" i="12"/>
  <c r="AL6" i="12"/>
  <c r="S6" i="12"/>
  <c r="N6" i="12"/>
  <c r="N6" i="13" s="1"/>
  <c r="DX6" i="12"/>
  <c r="AF5" i="13"/>
  <c r="BH5" i="13"/>
  <c r="EK5" i="13"/>
  <c r="CK5" i="13"/>
  <c r="AU5" i="13"/>
  <c r="O5" i="13"/>
  <c r="DK5" i="13"/>
  <c r="DI5" i="13"/>
  <c r="CL5" i="13"/>
  <c r="CX5" i="13"/>
  <c r="EB5" i="13"/>
  <c r="C5" i="13"/>
  <c r="AM5" i="13"/>
  <c r="CU5" i="13"/>
  <c r="AY5" i="13"/>
  <c r="BE5" i="13"/>
  <c r="BI5" i="13"/>
  <c r="BT5" i="13"/>
  <c r="EE5" i="13"/>
  <c r="CT5" i="13"/>
  <c r="AO5" i="13"/>
  <c r="DS6" i="12"/>
  <c r="CW6" i="12"/>
  <c r="CW6" i="13" s="1"/>
  <c r="AY6" i="12"/>
  <c r="FA6" i="12"/>
  <c r="BA6" i="12"/>
  <c r="DK6" i="12"/>
  <c r="BL6" i="12"/>
  <c r="BH6" i="12"/>
  <c r="DM6" i="12"/>
  <c r="EW6" i="12"/>
  <c r="EW6" i="13" s="1"/>
  <c r="CK6" i="12"/>
  <c r="CU6" i="12"/>
  <c r="EG6" i="12"/>
  <c r="CC6" i="12"/>
  <c r="DU6" i="12"/>
  <c r="DU6" i="13" s="1"/>
  <c r="DN6" i="12"/>
  <c r="DA6" i="12"/>
  <c r="AQ5" i="13"/>
  <c r="DR5" i="13"/>
  <c r="CF5" i="13"/>
  <c r="I5" i="13"/>
  <c r="DM5" i="13"/>
  <c r="BJ5" i="13"/>
  <c r="AS5" i="13"/>
  <c r="FB5" i="13"/>
  <c r="F5" i="13"/>
  <c r="EW5" i="13"/>
  <c r="CY5" i="13"/>
  <c r="DU5" i="13"/>
  <c r="DD5" i="13"/>
  <c r="CH5" i="13"/>
  <c r="DB5" i="13"/>
  <c r="CN5" i="13"/>
  <c r="DB6" i="13"/>
  <c r="CA7" i="12"/>
  <c r="CG7" i="12"/>
  <c r="AA7" i="12"/>
  <c r="CF7" i="12"/>
  <c r="R85" i="19"/>
  <c r="W85" i="19"/>
  <c r="B91" i="1"/>
  <c r="BD7" i="12" s="1"/>
  <c r="D90" i="1"/>
  <c r="H90" i="1"/>
  <c r="C90" i="1"/>
  <c r="J309" i="5"/>
  <c r="I308" i="5"/>
  <c r="J310" i="5"/>
  <c r="J307" i="5"/>
  <c r="J308" i="5"/>
  <c r="I309" i="5"/>
  <c r="I310" i="5"/>
  <c r="I307" i="5"/>
  <c r="I311" i="5"/>
  <c r="I304" i="5"/>
  <c r="J306" i="5"/>
  <c r="J304" i="5"/>
  <c r="J305" i="5"/>
  <c r="I306" i="5"/>
  <c r="J311" i="5"/>
  <c r="I305" i="5"/>
  <c r="Y86" i="19"/>
  <c r="AB86" i="19"/>
  <c r="X86" i="19"/>
  <c r="J86" i="19"/>
  <c r="F86" i="19"/>
  <c r="H86" i="19"/>
  <c r="N86" i="19"/>
  <c r="L86" i="19"/>
  <c r="I86" i="19"/>
  <c r="V86" i="19"/>
  <c r="M86" i="19"/>
  <c r="K86" i="19"/>
  <c r="Z86" i="19"/>
  <c r="G86" i="19"/>
  <c r="AA86" i="19"/>
  <c r="K302" i="5"/>
  <c r="K303" i="5"/>
  <c r="K301" i="5"/>
  <c r="K300" i="5"/>
  <c r="AD7" i="12" l="1"/>
  <c r="AW7" i="12"/>
  <c r="EO7" i="12"/>
  <c r="K7" i="12"/>
  <c r="EA7" i="12"/>
  <c r="P7" i="12"/>
  <c r="EF7" i="12"/>
  <c r="CN7" i="12"/>
  <c r="N7" i="12"/>
  <c r="DB7" i="12"/>
  <c r="FE7" i="12"/>
  <c r="BB7" i="12"/>
  <c r="AE7" i="12"/>
  <c r="AS7" i="12"/>
  <c r="CI7" i="12"/>
  <c r="EY7" i="12"/>
  <c r="I7" i="12"/>
  <c r="BL7" i="12"/>
  <c r="DK7" i="12"/>
  <c r="EL7" i="12"/>
  <c r="R6" i="13"/>
  <c r="I6" i="13"/>
  <c r="U86" i="19"/>
  <c r="DH7" i="12"/>
  <c r="EK7" i="12"/>
  <c r="AB7" i="12"/>
  <c r="BP7" i="12"/>
  <c r="CE7" i="12"/>
  <c r="H6" i="13"/>
  <c r="BL6" i="13"/>
  <c r="EX6" i="13"/>
  <c r="EE6" i="13"/>
  <c r="DG6" i="13"/>
  <c r="AL6" i="13"/>
  <c r="EG6" i="13"/>
  <c r="BA6" i="13"/>
  <c r="CG6" i="13"/>
  <c r="BT6" i="13"/>
  <c r="CS6" i="13"/>
  <c r="CK6" i="13"/>
  <c r="DA6" i="13"/>
  <c r="S6" i="13"/>
  <c r="AY6" i="13"/>
  <c r="DX6" i="13"/>
  <c r="CP6" i="13"/>
  <c r="EC6" i="13"/>
  <c r="CX6" i="13"/>
  <c r="CH6" i="13"/>
  <c r="K6" i="13"/>
  <c r="EV6" i="13"/>
  <c r="DN6" i="13"/>
  <c r="BH6" i="13"/>
  <c r="CD6" i="13"/>
  <c r="ED6" i="13"/>
  <c r="EU6" i="13"/>
  <c r="CU6" i="13"/>
  <c r="DM6" i="13"/>
  <c r="DS6" i="13"/>
  <c r="CR6" i="13"/>
  <c r="BX6" i="13"/>
  <c r="AE6" i="13"/>
  <c r="V6" i="13"/>
  <c r="BJ6" i="13"/>
  <c r="BN6" i="13"/>
  <c r="FC6" i="13"/>
  <c r="P6" i="13"/>
  <c r="CC6" i="13"/>
  <c r="DK6" i="13"/>
  <c r="AG6" i="13"/>
  <c r="X6" i="13"/>
  <c r="U6" i="13"/>
  <c r="DL6" i="13"/>
  <c r="FF6" i="13"/>
  <c r="EF6" i="13"/>
  <c r="BV6" i="13"/>
  <c r="CM6" i="13"/>
  <c r="DQ6" i="13"/>
  <c r="AX6" i="13"/>
  <c r="AZ6" i="13"/>
  <c r="BK6" i="13"/>
  <c r="J6" i="13"/>
  <c r="BS6" i="13"/>
  <c r="EM6" i="13"/>
  <c r="CY6" i="13"/>
  <c r="EH6" i="13"/>
  <c r="AH6" i="13"/>
  <c r="DP6" i="13"/>
  <c r="BO6" i="13"/>
  <c r="AK6" i="13"/>
  <c r="AC6" i="13"/>
  <c r="AQ6" i="13"/>
  <c r="AS6" i="13"/>
  <c r="F6" i="13"/>
  <c r="AF6" i="13"/>
  <c r="AN6" i="13"/>
  <c r="EB6" i="13"/>
  <c r="FA6" i="13"/>
  <c r="EO6" i="13"/>
  <c r="BD6" i="13"/>
  <c r="M6" i="13"/>
  <c r="DW6" i="13"/>
  <c r="BC6" i="13"/>
  <c r="Z6" i="13"/>
  <c r="EJ6" i="13"/>
  <c r="EI6" i="13"/>
  <c r="DO6" i="13"/>
  <c r="EA6" i="13"/>
  <c r="AJ6" i="13"/>
  <c r="EN6" i="13"/>
  <c r="BW6" i="13"/>
  <c r="ES6" i="13"/>
  <c r="BF6" i="13"/>
  <c r="AT6" i="13"/>
  <c r="BM6" i="13"/>
  <c r="DV6" i="13"/>
  <c r="AO6" i="13"/>
  <c r="BB6" i="13"/>
  <c r="DI6" i="13"/>
  <c r="EK6" i="13"/>
  <c r="BG7" i="12"/>
  <c r="DE7" i="12"/>
  <c r="R7" i="12"/>
  <c r="DJ7" i="12"/>
  <c r="BH7" i="12"/>
  <c r="O7" i="12"/>
  <c r="BQ7" i="12"/>
  <c r="AN7" i="12"/>
  <c r="EN7" i="12"/>
  <c r="BS7" i="12"/>
  <c r="CK7" i="12"/>
  <c r="CJ7" i="12"/>
  <c r="BN7" i="12"/>
  <c r="BF7" i="12"/>
  <c r="CY7" i="12"/>
  <c r="FD7" i="12"/>
  <c r="AK7" i="12"/>
  <c r="AR6" i="13"/>
  <c r="CF6" i="13"/>
  <c r="CN6" i="13"/>
  <c r="EP6" i="13"/>
  <c r="CA6" i="13"/>
  <c r="BZ7" i="12"/>
  <c r="FB7" i="12"/>
  <c r="AG7" i="12"/>
  <c r="D7" i="12"/>
  <c r="AU7" i="12"/>
  <c r="AF7" i="12"/>
  <c r="Q7" i="12"/>
  <c r="Y7" i="12"/>
  <c r="BU7" i="12"/>
  <c r="DY6" i="13"/>
  <c r="AD6" i="13"/>
  <c r="DT6" i="13"/>
  <c r="BI6" i="13"/>
  <c r="O6" i="13"/>
  <c r="DX7" i="12"/>
  <c r="CD7" i="12"/>
  <c r="EB7" i="12"/>
  <c r="DQ7" i="12"/>
  <c r="CR7" i="12"/>
  <c r="CL7" i="12"/>
  <c r="CO7" i="12"/>
  <c r="DV7" i="12"/>
  <c r="DM7" i="12"/>
  <c r="AH7" i="12"/>
  <c r="DZ6" i="13"/>
  <c r="AP6" i="13"/>
  <c r="CB6" i="13"/>
  <c r="EY6" i="13"/>
  <c r="BG6" i="13"/>
  <c r="G7" i="12"/>
  <c r="EV7" i="12"/>
  <c r="J7" i="12"/>
  <c r="CH7" i="12"/>
  <c r="AT7" i="12"/>
  <c r="V7" i="12"/>
  <c r="AQ7" i="12"/>
  <c r="CU7" i="12"/>
  <c r="BM7" i="12"/>
  <c r="DT7" i="12"/>
  <c r="DW7" i="12"/>
  <c r="ET7" i="12"/>
  <c r="M7" i="12"/>
  <c r="Z7" i="12"/>
  <c r="DS7" i="12"/>
  <c r="EI7" i="12"/>
  <c r="CC7" i="12"/>
  <c r="FE6" i="13"/>
  <c r="FD6" i="13"/>
  <c r="AI6" i="13"/>
  <c r="CL6" i="13"/>
  <c r="ET6" i="13"/>
  <c r="EM7" i="12"/>
  <c r="EU7" i="12"/>
  <c r="CB7" i="12"/>
  <c r="AL7" i="12"/>
  <c r="BV7" i="12"/>
  <c r="EW7" i="12"/>
  <c r="BR7" i="12"/>
  <c r="DU7" i="12"/>
  <c r="EE7" i="12"/>
  <c r="AO7" i="12"/>
  <c r="BC7" i="12"/>
  <c r="CQ7" i="12"/>
  <c r="EP7" i="12"/>
  <c r="AJ7" i="12"/>
  <c r="BY7" i="12"/>
  <c r="FG7" i="12"/>
  <c r="AD7" i="13" s="1"/>
  <c r="EH7" i="12"/>
  <c r="FF7" i="12"/>
  <c r="BI7" i="12"/>
  <c r="CM7" i="12"/>
  <c r="AP7" i="12"/>
  <c r="EG7" i="12"/>
  <c r="DO7" i="12"/>
  <c r="FB6" i="13"/>
  <c r="Y6" i="13"/>
  <c r="BE6" i="13"/>
  <c r="EL6" i="13"/>
  <c r="AB6" i="13"/>
  <c r="CZ6" i="13"/>
  <c r="CE6" i="13"/>
  <c r="EQ6" i="13"/>
  <c r="BY6" i="13"/>
  <c r="ER7" i="12"/>
  <c r="AZ7" i="12"/>
  <c r="W7" i="12"/>
  <c r="CW7" i="12"/>
  <c r="CS7" i="12"/>
  <c r="U7" i="12"/>
  <c r="DY7" i="12"/>
  <c r="C7" i="12"/>
  <c r="C7" i="13" s="1"/>
  <c r="EC7" i="12"/>
  <c r="BJ7" i="12"/>
  <c r="H7" i="12"/>
  <c r="DZ7" i="12"/>
  <c r="CX7" i="12"/>
  <c r="DA7" i="12"/>
  <c r="AY7" i="12"/>
  <c r="BK7" i="12"/>
  <c r="D6" i="13"/>
  <c r="T6" i="13"/>
  <c r="AW6" i="13"/>
  <c r="AM6" i="13"/>
  <c r="CJ6" i="13"/>
  <c r="L6" i="13"/>
  <c r="DH6" i="13"/>
  <c r="AA7" i="13"/>
  <c r="T7" i="12"/>
  <c r="F7" i="12"/>
  <c r="DL7" i="12"/>
  <c r="BW7" i="12"/>
  <c r="AC7" i="12"/>
  <c r="X7" i="12"/>
  <c r="CT7" i="12"/>
  <c r="DF7" i="12"/>
  <c r="DF7" i="13" s="1"/>
  <c r="DP7" i="12"/>
  <c r="EQ7" i="12"/>
  <c r="FC7" i="12"/>
  <c r="DR7" i="12"/>
  <c r="CZ7" i="12"/>
  <c r="EJ7" i="12"/>
  <c r="BE7" i="12"/>
  <c r="CV7" i="12"/>
  <c r="CV7" i="13" s="1"/>
  <c r="BO7" i="12"/>
  <c r="DG7" i="12"/>
  <c r="AI7" i="12"/>
  <c r="W6" i="13"/>
  <c r="Q6" i="13"/>
  <c r="CT6" i="13"/>
  <c r="AV6" i="13"/>
  <c r="G6" i="13"/>
  <c r="DJ6" i="13"/>
  <c r="DC6" i="13"/>
  <c r="BU6" i="13"/>
  <c r="DR6" i="13"/>
  <c r="E6" i="13"/>
  <c r="BZ6" i="13"/>
  <c r="BR6" i="13"/>
  <c r="CN7" i="13"/>
  <c r="CP7" i="12"/>
  <c r="L7" i="12"/>
  <c r="AM7" i="12"/>
  <c r="E7" i="12"/>
  <c r="DN7" i="12"/>
  <c r="DI7" i="12"/>
  <c r="ED7" i="12"/>
  <c r="AR7" i="12"/>
  <c r="AR7" i="13" s="1"/>
  <c r="FA7" i="12"/>
  <c r="ES7" i="12"/>
  <c r="BT7" i="12"/>
  <c r="EX7" i="12"/>
  <c r="S7" i="12"/>
  <c r="BA7" i="12"/>
  <c r="DD7" i="12"/>
  <c r="AV7" i="12"/>
  <c r="AV7" i="13" s="1"/>
  <c r="EZ7" i="12"/>
  <c r="DC7" i="12"/>
  <c r="BX7" i="12"/>
  <c r="AX7" i="12"/>
  <c r="BP6" i="13"/>
  <c r="DE6" i="13"/>
  <c r="CO6" i="13"/>
  <c r="DF6" i="13"/>
  <c r="EZ6" i="13"/>
  <c r="ER6" i="13"/>
  <c r="AU6" i="13"/>
  <c r="CI6" i="13"/>
  <c r="EK8" i="12"/>
  <c r="M87" i="19"/>
  <c r="V87" i="19"/>
  <c r="I87" i="19"/>
  <c r="G87" i="19"/>
  <c r="Y87" i="19"/>
  <c r="F87" i="19"/>
  <c r="AA87" i="19"/>
  <c r="Z87" i="19"/>
  <c r="J87" i="19"/>
  <c r="X87" i="19"/>
  <c r="AB87" i="19"/>
  <c r="L87" i="19"/>
  <c r="N87" i="19"/>
  <c r="K87" i="19"/>
  <c r="H87" i="19"/>
  <c r="B92" i="1"/>
  <c r="AZ8" i="12" s="1"/>
  <c r="C91" i="1"/>
  <c r="D91" i="1"/>
  <c r="H91" i="1"/>
  <c r="J312" i="5"/>
  <c r="J314" i="5"/>
  <c r="I313" i="5"/>
  <c r="I314" i="5"/>
  <c r="J316" i="5"/>
  <c r="J315" i="5"/>
  <c r="I315" i="5"/>
  <c r="I312" i="5"/>
  <c r="I316" i="5"/>
  <c r="J313" i="5"/>
  <c r="K311" i="5"/>
  <c r="K309" i="5"/>
  <c r="K305" i="5"/>
  <c r="K308" i="5"/>
  <c r="K304" i="5"/>
  <c r="K307" i="5"/>
  <c r="R86" i="19"/>
  <c r="W86" i="19"/>
  <c r="K306" i="5"/>
  <c r="K310" i="5"/>
  <c r="S8" i="12" l="1"/>
  <c r="BB8" i="12"/>
  <c r="BY8" i="12"/>
  <c r="DU8" i="12"/>
  <c r="CC8" i="12"/>
  <c r="DB8" i="12"/>
  <c r="AH8" i="12"/>
  <c r="FE8" i="12"/>
  <c r="BJ8" i="12"/>
  <c r="ES8" i="12"/>
  <c r="CA8" i="12"/>
  <c r="W8" i="12"/>
  <c r="AE8" i="12"/>
  <c r="W87" i="19"/>
  <c r="U87" i="19"/>
  <c r="FC8" i="12"/>
  <c r="BM8" i="12"/>
  <c r="H8" i="12"/>
  <c r="BF7" i="13"/>
  <c r="CJ7" i="13"/>
  <c r="BQ7" i="13"/>
  <c r="BX7" i="13"/>
  <c r="BT7" i="13"/>
  <c r="AM7" i="13"/>
  <c r="AN7" i="13"/>
  <c r="Y7" i="13"/>
  <c r="FD7" i="13"/>
  <c r="AF7" i="13"/>
  <c r="DH7" i="13"/>
  <c r="DT7" i="13"/>
  <c r="O7" i="13"/>
  <c r="DC7" i="13"/>
  <c r="ES7" i="13"/>
  <c r="BD7" i="13"/>
  <c r="Q7" i="13"/>
  <c r="DD7" i="13"/>
  <c r="ED7" i="13"/>
  <c r="BE7" i="13"/>
  <c r="AI7" i="13"/>
  <c r="BN7" i="13"/>
  <c r="AG7" i="13"/>
  <c r="CK7" i="13"/>
  <c r="FC7" i="13"/>
  <c r="DL7" i="13"/>
  <c r="D7" i="13"/>
  <c r="BS7" i="13"/>
  <c r="U7" i="13"/>
  <c r="CR7" i="13"/>
  <c r="BM7" i="13"/>
  <c r="AX7" i="13"/>
  <c r="EX7" i="13"/>
  <c r="E7" i="13"/>
  <c r="H7" i="13"/>
  <c r="EN7" i="13"/>
  <c r="BH7" i="13"/>
  <c r="CU7" i="13"/>
  <c r="R7" i="13"/>
  <c r="CL7" i="13"/>
  <c r="BZ7" i="13"/>
  <c r="CF7" i="13"/>
  <c r="EZ7" i="13"/>
  <c r="FA7" i="13"/>
  <c r="CP7" i="13"/>
  <c r="BO7" i="13"/>
  <c r="DY7" i="13"/>
  <c r="AK7" i="13"/>
  <c r="S7" i="13"/>
  <c r="DN7" i="13"/>
  <c r="DR7" i="13"/>
  <c r="L7" i="13"/>
  <c r="DG7" i="13"/>
  <c r="DP7" i="13"/>
  <c r="T7" i="13"/>
  <c r="EC7" i="13"/>
  <c r="DO7" i="13"/>
  <c r="AU7" i="13"/>
  <c r="BJ7" i="13"/>
  <c r="EL7" i="13"/>
  <c r="DJ7" i="13"/>
  <c r="BA7" i="13"/>
  <c r="DI7" i="13"/>
  <c r="EJ7" i="13"/>
  <c r="X7" i="13"/>
  <c r="CZ7" i="13"/>
  <c r="CS7" i="13"/>
  <c r="DZ7" i="13"/>
  <c r="CW7" i="13"/>
  <c r="W7" i="13"/>
  <c r="EQ7" i="13"/>
  <c r="F7" i="13"/>
  <c r="CM7" i="13"/>
  <c r="CA7" i="13"/>
  <c r="BK7" i="13"/>
  <c r="EO7" i="13"/>
  <c r="DR8" i="12"/>
  <c r="DN8" i="12"/>
  <c r="AV8" i="12"/>
  <c r="DK8" i="12"/>
  <c r="BI8" i="12"/>
  <c r="DF8" i="12"/>
  <c r="EQ8" i="12"/>
  <c r="CG8" i="12"/>
  <c r="BV8" i="12"/>
  <c r="BK8" i="12"/>
  <c r="CJ8" i="12"/>
  <c r="FD8" i="12"/>
  <c r="EX8" i="12"/>
  <c r="DI8" i="12"/>
  <c r="CL8" i="12"/>
  <c r="CX7" i="13"/>
  <c r="I7" i="13"/>
  <c r="EH7" i="13"/>
  <c r="EE7" i="13"/>
  <c r="AB8" i="12"/>
  <c r="CG7" i="13"/>
  <c r="DS7" i="13"/>
  <c r="AQ7" i="13"/>
  <c r="CO7" i="13"/>
  <c r="N8" i="12"/>
  <c r="FF8" i="12"/>
  <c r="C8" i="12"/>
  <c r="CY8" i="12"/>
  <c r="CF8" i="12"/>
  <c r="DT8" i="12"/>
  <c r="M8" i="12"/>
  <c r="CI7" i="13"/>
  <c r="EA7" i="13"/>
  <c r="N7" i="13"/>
  <c r="EK7" i="13"/>
  <c r="DU7" i="13"/>
  <c r="AR8" i="12"/>
  <c r="Z7" i="13"/>
  <c r="V7" i="13"/>
  <c r="ER8" i="12"/>
  <c r="CE7" i="13"/>
  <c r="DE7" i="13"/>
  <c r="ED8" i="12"/>
  <c r="Q8" i="12"/>
  <c r="G8" i="12"/>
  <c r="AY8" i="12"/>
  <c r="BP8" i="12"/>
  <c r="CN8" i="12"/>
  <c r="DW8" i="12"/>
  <c r="BY7" i="13"/>
  <c r="BR7" i="13"/>
  <c r="CX8" i="12"/>
  <c r="M7" i="13"/>
  <c r="AT7" i="13"/>
  <c r="AE7" i="13"/>
  <c r="BG7" i="13"/>
  <c r="AX8" i="12"/>
  <c r="DM8" i="12"/>
  <c r="EZ8" i="12"/>
  <c r="DL8" i="12"/>
  <c r="DE8" i="12"/>
  <c r="EB8" i="12"/>
  <c r="BZ8" i="12"/>
  <c r="CS8" i="12"/>
  <c r="CO8" i="12"/>
  <c r="EV8" i="12"/>
  <c r="BO8" i="12"/>
  <c r="DD8" i="12"/>
  <c r="CE8" i="12"/>
  <c r="BG8" i="12"/>
  <c r="AZ7" i="13"/>
  <c r="EG7" i="13"/>
  <c r="AJ7" i="13"/>
  <c r="EW7" i="13"/>
  <c r="ET7" i="13"/>
  <c r="CH7" i="13"/>
  <c r="FE7" i="13"/>
  <c r="DK7" i="13"/>
  <c r="EH8" i="12"/>
  <c r="CD8" i="12"/>
  <c r="CP8" i="12"/>
  <c r="DV8" i="12"/>
  <c r="CB8" i="12"/>
  <c r="AT8" i="12"/>
  <c r="AL8" i="12"/>
  <c r="O8" i="12"/>
  <c r="DG8" i="12"/>
  <c r="AD8" i="12"/>
  <c r="FG8" i="12"/>
  <c r="ES8" i="13" s="1"/>
  <c r="I8" i="12"/>
  <c r="CW8" i="12"/>
  <c r="AW8" i="12"/>
  <c r="BX8" i="12"/>
  <c r="CI8" i="12"/>
  <c r="CH8" i="12"/>
  <c r="DY8" i="12"/>
  <c r="CK8" i="12"/>
  <c r="EN8" i="12"/>
  <c r="EO8" i="12"/>
  <c r="U8" i="12"/>
  <c r="P8" i="12"/>
  <c r="V8" i="12"/>
  <c r="BW8" i="12"/>
  <c r="EJ8" i="12"/>
  <c r="BL8" i="12"/>
  <c r="AQ8" i="12"/>
  <c r="DA8" i="12"/>
  <c r="EM8" i="12"/>
  <c r="EF8" i="12"/>
  <c r="AS8" i="12"/>
  <c r="EP8" i="12"/>
  <c r="F8" i="12"/>
  <c r="BU8" i="12"/>
  <c r="BU8" i="13" s="1"/>
  <c r="CM8" i="12"/>
  <c r="EC8" i="12"/>
  <c r="DX8" i="12"/>
  <c r="BT8" i="12"/>
  <c r="AA8" i="12"/>
  <c r="R8" i="12"/>
  <c r="EW8" i="12"/>
  <c r="AC8" i="12"/>
  <c r="AC8" i="13" s="1"/>
  <c r="Z8" i="12"/>
  <c r="BQ8" i="12"/>
  <c r="BC8" i="12"/>
  <c r="DJ8" i="12"/>
  <c r="DQ8" i="12"/>
  <c r="CT7" i="13"/>
  <c r="BD8" i="12"/>
  <c r="AB7" i="13"/>
  <c r="ER7" i="13"/>
  <c r="AP7" i="13"/>
  <c r="EP7" i="13"/>
  <c r="BV7" i="13"/>
  <c r="CB7" i="13"/>
  <c r="DW7" i="13"/>
  <c r="J7" i="13"/>
  <c r="DQ7" i="13"/>
  <c r="FB7" i="13"/>
  <c r="EF7" i="13"/>
  <c r="CY7" i="13"/>
  <c r="BB7" i="13"/>
  <c r="J8" i="12"/>
  <c r="EY8" i="12"/>
  <c r="AO8" i="12"/>
  <c r="CU8" i="12"/>
  <c r="CU8" i="13" s="1"/>
  <c r="AI8" i="12"/>
  <c r="DZ8" i="12"/>
  <c r="EE8" i="12"/>
  <c r="FA8" i="12"/>
  <c r="BF8" i="12"/>
  <c r="BS8" i="12"/>
  <c r="CQ7" i="13"/>
  <c r="AL7" i="13"/>
  <c r="EU7" i="13"/>
  <c r="EV7" i="13"/>
  <c r="AH7" i="13"/>
  <c r="EB7" i="13"/>
  <c r="BU7" i="13"/>
  <c r="P7" i="13"/>
  <c r="AU8" i="12"/>
  <c r="EU8" i="12"/>
  <c r="E8" i="12"/>
  <c r="CQ8" i="12"/>
  <c r="BA8" i="12"/>
  <c r="L8" i="12"/>
  <c r="EG8" i="12"/>
  <c r="AF8" i="12"/>
  <c r="X8" i="12"/>
  <c r="FB8" i="12"/>
  <c r="FB8" i="13" s="1"/>
  <c r="Y8" i="12"/>
  <c r="EL8" i="12"/>
  <c r="ET8" i="12"/>
  <c r="AP8" i="12"/>
  <c r="DC8" i="12"/>
  <c r="AG8" i="12"/>
  <c r="CV8" i="12"/>
  <c r="AC7" i="13"/>
  <c r="DO8" i="12"/>
  <c r="AY7" i="13"/>
  <c r="BP7" i="13"/>
  <c r="BI7" i="13"/>
  <c r="BC7" i="13"/>
  <c r="EA8" i="12"/>
  <c r="EM7" i="13"/>
  <c r="CC7" i="13"/>
  <c r="G7" i="13"/>
  <c r="DM7" i="13"/>
  <c r="CD7" i="13"/>
  <c r="BL7" i="13"/>
  <c r="DB7" i="13"/>
  <c r="BN8" i="12"/>
  <c r="DS8" i="12"/>
  <c r="DH8" i="12"/>
  <c r="DP8" i="12"/>
  <c r="D8" i="12"/>
  <c r="AJ8" i="12"/>
  <c r="K8" i="12"/>
  <c r="AK8" i="12"/>
  <c r="CZ8" i="12"/>
  <c r="CT8" i="12"/>
  <c r="AN8" i="12"/>
  <c r="BE8" i="12"/>
  <c r="EI8" i="12"/>
  <c r="AM8" i="12"/>
  <c r="BH8" i="12"/>
  <c r="BW7" i="13"/>
  <c r="BR8" i="12"/>
  <c r="DA7" i="13"/>
  <c r="EY7" i="13"/>
  <c r="FF7" i="13"/>
  <c r="AO7" i="13"/>
  <c r="T8" i="12"/>
  <c r="CR8" i="12"/>
  <c r="EI7" i="13"/>
  <c r="AS7" i="13"/>
  <c r="DV7" i="13"/>
  <c r="DX7" i="13"/>
  <c r="AW7" i="13"/>
  <c r="K7" i="13"/>
  <c r="R87" i="19"/>
  <c r="B93" i="1"/>
  <c r="AS9" i="12" s="1"/>
  <c r="C92" i="1"/>
  <c r="D92" i="1"/>
  <c r="H92" i="1"/>
  <c r="J318" i="5"/>
  <c r="I317" i="5"/>
  <c r="J317" i="5"/>
  <c r="I318" i="5"/>
  <c r="J319" i="5"/>
  <c r="I319" i="5"/>
  <c r="AB88" i="19"/>
  <c r="I88" i="19"/>
  <c r="H88" i="19"/>
  <c r="L88" i="19"/>
  <c r="G88" i="19"/>
  <c r="X88" i="19"/>
  <c r="F88" i="19"/>
  <c r="V88" i="19"/>
  <c r="Z88" i="19"/>
  <c r="M88" i="19"/>
  <c r="N88" i="19"/>
  <c r="J88" i="19"/>
  <c r="K88" i="19"/>
  <c r="Y88" i="19"/>
  <c r="L89" i="19"/>
  <c r="AA88" i="19"/>
  <c r="K312" i="5"/>
  <c r="K313" i="5"/>
  <c r="K314" i="5"/>
  <c r="K315" i="5"/>
  <c r="K316" i="5"/>
  <c r="Z9" i="12" l="1"/>
  <c r="CT9" i="12"/>
  <c r="CR9" i="12"/>
  <c r="DN9" i="12"/>
  <c r="CG9" i="12"/>
  <c r="BV9" i="12"/>
  <c r="AQ9" i="12"/>
  <c r="C9" i="12"/>
  <c r="DD9" i="12"/>
  <c r="CK9" i="12"/>
  <c r="EM9" i="12"/>
  <c r="E9" i="12"/>
  <c r="AM9" i="12"/>
  <c r="DQ9" i="12"/>
  <c r="DJ9" i="12"/>
  <c r="CO9" i="12"/>
  <c r="BS9" i="12"/>
  <c r="AT9" i="12"/>
  <c r="CD9" i="12"/>
  <c r="DM9" i="12"/>
  <c r="EF9" i="12"/>
  <c r="CV9" i="12"/>
  <c r="EG9" i="12"/>
  <c r="CI9" i="12"/>
  <c r="ET9" i="12"/>
  <c r="EQ9" i="12"/>
  <c r="ED9" i="12"/>
  <c r="AZ9" i="12"/>
  <c r="M9" i="12"/>
  <c r="DF9" i="12"/>
  <c r="CX9" i="12"/>
  <c r="BN9" i="12"/>
  <c r="BT9" i="12"/>
  <c r="K9" i="12"/>
  <c r="I9" i="12"/>
  <c r="FB9" i="12"/>
  <c r="V9" i="12"/>
  <c r="BL9" i="12"/>
  <c r="AW9" i="12"/>
  <c r="AU9" i="12"/>
  <c r="DG9" i="12"/>
  <c r="Y9" i="12"/>
  <c r="AF9" i="12"/>
  <c r="EB9" i="12"/>
  <c r="T9" i="12"/>
  <c r="EV9" i="12"/>
  <c r="FF9" i="12"/>
  <c r="S9" i="12"/>
  <c r="EX9" i="12"/>
  <c r="DS9" i="12"/>
  <c r="U88" i="19"/>
  <c r="AL9" i="12"/>
  <c r="J9" i="12"/>
  <c r="CY9" i="12"/>
  <c r="CU9" i="12"/>
  <c r="BR9" i="12"/>
  <c r="BX9" i="12"/>
  <c r="AA9" i="12"/>
  <c r="H9" i="12"/>
  <c r="EJ9" i="12"/>
  <c r="BC9" i="12"/>
  <c r="EY9" i="12"/>
  <c r="CL9" i="12"/>
  <c r="ER9" i="12"/>
  <c r="CE9" i="12"/>
  <c r="BK9" i="12"/>
  <c r="FA9" i="12"/>
  <c r="BA9" i="12"/>
  <c r="BZ9" i="12"/>
  <c r="DC9" i="12"/>
  <c r="AC9" i="12"/>
  <c r="DK9" i="12"/>
  <c r="EN9" i="12"/>
  <c r="AB9" i="12"/>
  <c r="R9" i="12"/>
  <c r="CH9" i="12"/>
  <c r="O9" i="12"/>
  <c r="DZ9" i="12"/>
  <c r="CB9" i="12"/>
  <c r="DB9" i="12"/>
  <c r="CW9" i="12"/>
  <c r="CS9" i="12"/>
  <c r="EH9" i="12"/>
  <c r="CA9" i="12"/>
  <c r="DP9" i="12"/>
  <c r="AI9" i="12"/>
  <c r="EZ9" i="12"/>
  <c r="BL8" i="13"/>
  <c r="CT8" i="13"/>
  <c r="DS8" i="13"/>
  <c r="CV8" i="13"/>
  <c r="X8" i="13"/>
  <c r="AU8" i="13"/>
  <c r="CZ8" i="13"/>
  <c r="BN8" i="13"/>
  <c r="CK8" i="13"/>
  <c r="BR8" i="13"/>
  <c r="EI8" i="13"/>
  <c r="D8" i="13"/>
  <c r="T8" i="13"/>
  <c r="AM8" i="13"/>
  <c r="AJ8" i="13"/>
  <c r="AP8" i="13"/>
  <c r="L8" i="13"/>
  <c r="BF8" i="13"/>
  <c r="J8" i="13"/>
  <c r="DQ8" i="13"/>
  <c r="AA8" i="13"/>
  <c r="ET8" i="13"/>
  <c r="BA8" i="13"/>
  <c r="FA8" i="13"/>
  <c r="DJ8" i="13"/>
  <c r="BT8" i="13"/>
  <c r="BE8" i="13"/>
  <c r="DP8" i="13"/>
  <c r="EL8" i="13"/>
  <c r="CQ8" i="13"/>
  <c r="EE8" i="13"/>
  <c r="EM8" i="13"/>
  <c r="AN8" i="13"/>
  <c r="DH8" i="13"/>
  <c r="DO8" i="13"/>
  <c r="Y8" i="13"/>
  <c r="E8" i="13"/>
  <c r="DZ8" i="13"/>
  <c r="BQ8" i="13"/>
  <c r="EC8" i="13"/>
  <c r="EU8" i="13"/>
  <c r="AI8" i="13"/>
  <c r="AK8" i="13"/>
  <c r="EK8" i="13"/>
  <c r="EA8" i="13"/>
  <c r="AG8" i="13"/>
  <c r="AF8" i="13"/>
  <c r="AO8" i="13"/>
  <c r="BD8" i="13"/>
  <c r="EW8" i="13"/>
  <c r="F8" i="13"/>
  <c r="EJ8" i="13"/>
  <c r="CR8" i="13"/>
  <c r="BH8" i="13"/>
  <c r="K8" i="13"/>
  <c r="DC8" i="13"/>
  <c r="EG8" i="13"/>
  <c r="BS8" i="13"/>
  <c r="EY8" i="13"/>
  <c r="R8" i="13"/>
  <c r="EP8" i="13"/>
  <c r="BW8" i="13"/>
  <c r="CH8" i="13"/>
  <c r="DG8" i="13"/>
  <c r="DY8" i="13"/>
  <c r="AD8" i="13"/>
  <c r="EH8" i="13"/>
  <c r="F9" i="12"/>
  <c r="CJ9" i="12"/>
  <c r="DI9" i="12"/>
  <c r="EK9" i="12"/>
  <c r="BM8" i="13"/>
  <c r="CC8" i="13"/>
  <c r="CP8" i="13"/>
  <c r="DD8" i="13"/>
  <c r="DL8" i="13"/>
  <c r="G8" i="13"/>
  <c r="DT8" i="13"/>
  <c r="H8" i="13"/>
  <c r="BV8" i="13"/>
  <c r="DR8" i="13"/>
  <c r="CM9" i="12"/>
  <c r="CD8" i="13"/>
  <c r="BO8" i="13"/>
  <c r="EZ8" i="13"/>
  <c r="CX8" i="13"/>
  <c r="Q8" i="13"/>
  <c r="AR8" i="13"/>
  <c r="CF8" i="13"/>
  <c r="CG8" i="13"/>
  <c r="DB8" i="13"/>
  <c r="DW9" i="12"/>
  <c r="EV8" i="13"/>
  <c r="DM8" i="13"/>
  <c r="ED8" i="13"/>
  <c r="CY8" i="13"/>
  <c r="CL8" i="13"/>
  <c r="EQ8" i="13"/>
  <c r="AZ8" i="13"/>
  <c r="U9" i="12"/>
  <c r="Q9" i="12"/>
  <c r="EW9" i="12"/>
  <c r="DU9" i="12"/>
  <c r="FC9" i="12"/>
  <c r="DA9" i="12"/>
  <c r="G9" i="12"/>
  <c r="AO9" i="12"/>
  <c r="D9" i="12"/>
  <c r="DO9" i="12"/>
  <c r="AG9" i="12"/>
  <c r="AS8" i="13"/>
  <c r="V8" i="13"/>
  <c r="CI8" i="13"/>
  <c r="O8" i="13"/>
  <c r="CO8" i="13"/>
  <c r="AX8" i="13"/>
  <c r="DU8" i="13"/>
  <c r="C8" i="13"/>
  <c r="DI8" i="13"/>
  <c r="DF8" i="13"/>
  <c r="AE8" i="13"/>
  <c r="CN9" i="12"/>
  <c r="DH9" i="12"/>
  <c r="EU9" i="12"/>
  <c r="AK9" i="12"/>
  <c r="EO9" i="12"/>
  <c r="AR9" i="12"/>
  <c r="DT9" i="12"/>
  <c r="DX9" i="12"/>
  <c r="BB9" i="12"/>
  <c r="BI9" i="12"/>
  <c r="FE9" i="12"/>
  <c r="CC9" i="12"/>
  <c r="CP9" i="12"/>
  <c r="BQ9" i="12"/>
  <c r="AX9" i="12"/>
  <c r="EE9" i="12"/>
  <c r="EA9" i="12"/>
  <c r="CQ9" i="12"/>
  <c r="AE9" i="12"/>
  <c r="BW9" i="12"/>
  <c r="BC8" i="13"/>
  <c r="DX8" i="13"/>
  <c r="EF8" i="13"/>
  <c r="P8" i="13"/>
  <c r="BX8" i="13"/>
  <c r="AL8" i="13"/>
  <c r="FE8" i="13"/>
  <c r="CS8" i="13"/>
  <c r="BJ8" i="13"/>
  <c r="DW8" i="13"/>
  <c r="FF8" i="13"/>
  <c r="EX8" i="13"/>
  <c r="BI8" i="13"/>
  <c r="W8" i="13"/>
  <c r="BG9" i="12"/>
  <c r="DY9" i="12"/>
  <c r="EP9" i="12"/>
  <c r="AV9" i="12"/>
  <c r="AY9" i="12"/>
  <c r="CZ9" i="12"/>
  <c r="P9" i="12"/>
  <c r="BY9" i="12"/>
  <c r="BJ9" i="12"/>
  <c r="U8" i="13"/>
  <c r="AW8" i="13"/>
  <c r="AT8" i="13"/>
  <c r="CA8" i="13"/>
  <c r="BZ8" i="13"/>
  <c r="CN8" i="13"/>
  <c r="N8" i="13"/>
  <c r="AB8" i="13"/>
  <c r="FD8" i="13"/>
  <c r="DK8" i="13"/>
  <c r="FC8" i="13"/>
  <c r="AH9" i="12"/>
  <c r="FG9" i="12"/>
  <c r="CK9" i="13" s="1"/>
  <c r="AP9" i="12"/>
  <c r="AN9" i="12"/>
  <c r="X9" i="12"/>
  <c r="BU9" i="12"/>
  <c r="CF9" i="12"/>
  <c r="BP9" i="12"/>
  <c r="EI9" i="12"/>
  <c r="ES9" i="12"/>
  <c r="DL9" i="12"/>
  <c r="AD9" i="12"/>
  <c r="BD9" i="12"/>
  <c r="DV9" i="12"/>
  <c r="DV9" i="13" s="1"/>
  <c r="AJ9" i="12"/>
  <c r="W9" i="12"/>
  <c r="BM9" i="12"/>
  <c r="DR9" i="12"/>
  <c r="EL9" i="12"/>
  <c r="BH9" i="12"/>
  <c r="Z8" i="13"/>
  <c r="CM8" i="13"/>
  <c r="DA8" i="13"/>
  <c r="EO8" i="13"/>
  <c r="CW8" i="13"/>
  <c r="CB8" i="13"/>
  <c r="BG8" i="13"/>
  <c r="EB8" i="13"/>
  <c r="BP8" i="13"/>
  <c r="ER8" i="13"/>
  <c r="BB8" i="13"/>
  <c r="CJ8" i="13"/>
  <c r="AV8" i="13"/>
  <c r="AH8" i="13"/>
  <c r="BE9" i="12"/>
  <c r="FD9" i="12"/>
  <c r="N9" i="12"/>
  <c r="BO9" i="12"/>
  <c r="EC9" i="12"/>
  <c r="L9" i="12"/>
  <c r="DE9" i="12"/>
  <c r="BF9" i="12"/>
  <c r="AQ8" i="13"/>
  <c r="EN8" i="13"/>
  <c r="I8" i="13"/>
  <c r="DV8" i="13"/>
  <c r="CE8" i="13"/>
  <c r="DE8" i="13"/>
  <c r="AY8" i="13"/>
  <c r="M8" i="13"/>
  <c r="S8" i="13"/>
  <c r="BK8" i="13"/>
  <c r="DN8" i="13"/>
  <c r="BY8" i="13"/>
  <c r="DB9" i="13"/>
  <c r="DZ9" i="13"/>
  <c r="CP9" i="13"/>
  <c r="EV9" i="13"/>
  <c r="AG9" i="13"/>
  <c r="N89" i="19"/>
  <c r="AB89" i="19"/>
  <c r="K89" i="19"/>
  <c r="Z89" i="19"/>
  <c r="M89" i="19"/>
  <c r="G89" i="19"/>
  <c r="F89" i="19"/>
  <c r="I89" i="19"/>
  <c r="X89" i="19"/>
  <c r="V89" i="19"/>
  <c r="AA89" i="19"/>
  <c r="H89" i="19"/>
  <c r="J89" i="19"/>
  <c r="Y89" i="19"/>
  <c r="B94" i="1"/>
  <c r="EV10" i="12" s="1"/>
  <c r="C93" i="1"/>
  <c r="D93" i="1"/>
  <c r="H93" i="1"/>
  <c r="I321" i="5"/>
  <c r="I320" i="5"/>
  <c r="J320" i="5"/>
  <c r="J321" i="5"/>
  <c r="J322" i="5"/>
  <c r="I322" i="5"/>
  <c r="K317" i="5"/>
  <c r="K318" i="5"/>
  <c r="K319" i="5"/>
  <c r="W88" i="19"/>
  <c r="R88" i="19"/>
  <c r="DX9" i="13" l="1"/>
  <c r="S9" i="13"/>
  <c r="U89" i="19"/>
  <c r="DY9" i="13"/>
  <c r="EY9" i="13"/>
  <c r="DS9" i="13"/>
  <c r="CU9" i="13"/>
  <c r="BN9" i="13"/>
  <c r="CS9" i="13"/>
  <c r="I9" i="13"/>
  <c r="FE9" i="13"/>
  <c r="BZ9" i="13"/>
  <c r="AC9" i="13"/>
  <c r="AK9" i="13"/>
  <c r="FD9" i="13"/>
  <c r="AD9" i="13"/>
  <c r="FF9" i="13"/>
  <c r="FB9" i="13"/>
  <c r="J9" i="13"/>
  <c r="ES9" i="13"/>
  <c r="AM9" i="13"/>
  <c r="CM9" i="13"/>
  <c r="AT9" i="13"/>
  <c r="AQ9" i="13"/>
  <c r="M9" i="13"/>
  <c r="AL9" i="13"/>
  <c r="DF9" i="13"/>
  <c r="K9" i="13"/>
  <c r="BH9" i="13"/>
  <c r="EF9" i="13"/>
  <c r="DP9" i="13"/>
  <c r="BF9" i="13"/>
  <c r="EW9" i="13"/>
  <c r="BA9" i="13"/>
  <c r="DR9" i="13"/>
  <c r="E9" i="13"/>
  <c r="AF9" i="13"/>
  <c r="AW9" i="13"/>
  <c r="BS9" i="13"/>
  <c r="DD9" i="13"/>
  <c r="CE9" i="13"/>
  <c r="EX9" i="13"/>
  <c r="CT9" i="13"/>
  <c r="CX9" i="13"/>
  <c r="CJ9" i="13"/>
  <c r="CZ9" i="13"/>
  <c r="CG9" i="13"/>
  <c r="CI9" i="13"/>
  <c r="Y9" i="13"/>
  <c r="BE9" i="13"/>
  <c r="CV9" i="13"/>
  <c r="CO9" i="13"/>
  <c r="EN9" i="13"/>
  <c r="EI9" i="13"/>
  <c r="AX9" i="13"/>
  <c r="CR9" i="13"/>
  <c r="EP9" i="13"/>
  <c r="CA9" i="13"/>
  <c r="BD9" i="13"/>
  <c r="EL9" i="13"/>
  <c r="DL9" i="13"/>
  <c r="CF9" i="13"/>
  <c r="C9" i="13"/>
  <c r="FA9" i="13"/>
  <c r="AB9" i="13"/>
  <c r="DA9" i="13"/>
  <c r="CD9" i="13"/>
  <c r="EK9" i="13"/>
  <c r="CL9" i="13"/>
  <c r="CY9" i="13"/>
  <c r="L9" i="13"/>
  <c r="W9" i="13"/>
  <c r="BP9" i="13"/>
  <c r="BU9" i="13"/>
  <c r="BG9" i="13"/>
  <c r="EU9" i="13"/>
  <c r="D9" i="13"/>
  <c r="U9" i="13"/>
  <c r="F9" i="13"/>
  <c r="AN9" i="13"/>
  <c r="BW9" i="13"/>
  <c r="BY9" i="13"/>
  <c r="AP9" i="13"/>
  <c r="CN9" i="13"/>
  <c r="G9" i="13"/>
  <c r="DI9" i="13"/>
  <c r="EQ9" i="13"/>
  <c r="DQ9" i="13"/>
  <c r="BC9" i="13"/>
  <c r="CW9" i="13"/>
  <c r="CB9" i="13"/>
  <c r="ER9" i="13"/>
  <c r="BB9" i="13"/>
  <c r="EE9" i="13"/>
  <c r="AI9" i="13"/>
  <c r="BI9" i="13"/>
  <c r="T9" i="13"/>
  <c r="DJ9" i="13"/>
  <c r="EZ9" i="13"/>
  <c r="BX9" i="13"/>
  <c r="EO9" i="13"/>
  <c r="CH9" i="13"/>
  <c r="DM9" i="13"/>
  <c r="EC9" i="13"/>
  <c r="AJ9" i="13"/>
  <c r="BJ9" i="13"/>
  <c r="BT9" i="13"/>
  <c r="Z9" i="13"/>
  <c r="DC9" i="13"/>
  <c r="DK9" i="13"/>
  <c r="AE9" i="13"/>
  <c r="DO9" i="13"/>
  <c r="BV9" i="13"/>
  <c r="EB9" i="13"/>
  <c r="EJ9" i="13"/>
  <c r="O9" i="13"/>
  <c r="DE9" i="13"/>
  <c r="BM9" i="13"/>
  <c r="AV9" i="13"/>
  <c r="BQ9" i="13"/>
  <c r="CC9" i="13"/>
  <c r="DG9" i="13"/>
  <c r="AS9" i="13"/>
  <c r="DU9" i="13"/>
  <c r="Q9" i="13"/>
  <c r="AY9" i="13"/>
  <c r="V9" i="13"/>
  <c r="DN9" i="13"/>
  <c r="ET9" i="13"/>
  <c r="EH9" i="13"/>
  <c r="DT9" i="13"/>
  <c r="AU9" i="13"/>
  <c r="FC9" i="13"/>
  <c r="AR9" i="13"/>
  <c r="P9" i="13"/>
  <c r="CQ9" i="13"/>
  <c r="DH9" i="13"/>
  <c r="AO9" i="13"/>
  <c r="BO9" i="13"/>
  <c r="AQ10" i="12"/>
  <c r="BK10" i="12"/>
  <c r="EA10" i="12"/>
  <c r="DG10" i="12"/>
  <c r="EL10" i="12"/>
  <c r="CZ10" i="12"/>
  <c r="I10" i="12"/>
  <c r="FD10" i="12"/>
  <c r="CR10" i="12"/>
  <c r="BU10" i="12"/>
  <c r="DZ10" i="12"/>
  <c r="CC10" i="12"/>
  <c r="ER10" i="12"/>
  <c r="FC10" i="12"/>
  <c r="BO10" i="12"/>
  <c r="EE10" i="12"/>
  <c r="P10" i="12"/>
  <c r="DB10" i="12"/>
  <c r="CA10" i="12"/>
  <c r="BP10" i="12"/>
  <c r="EB10" i="12"/>
  <c r="Q10" i="12"/>
  <c r="AE10" i="12"/>
  <c r="DH10" i="12"/>
  <c r="DA10" i="12"/>
  <c r="FB10" i="12"/>
  <c r="DO10" i="12"/>
  <c r="BI10" i="12"/>
  <c r="BF10" i="12"/>
  <c r="ET10" i="12"/>
  <c r="AJ10" i="12"/>
  <c r="O10" i="12"/>
  <c r="CM10" i="12"/>
  <c r="CT10" i="12"/>
  <c r="EF10" i="12"/>
  <c r="FA10" i="12"/>
  <c r="CS10" i="12"/>
  <c r="EG10" i="12"/>
  <c r="DD10" i="12"/>
  <c r="CG10" i="12"/>
  <c r="DU10" i="12"/>
  <c r="EK10" i="12"/>
  <c r="BT10" i="12"/>
  <c r="CI10" i="12"/>
  <c r="G10" i="12"/>
  <c r="DT10" i="12"/>
  <c r="BV10" i="12"/>
  <c r="FF10" i="12"/>
  <c r="CW10" i="12"/>
  <c r="BB10" i="12"/>
  <c r="DY10" i="12"/>
  <c r="W10" i="12"/>
  <c r="AC10" i="12"/>
  <c r="F10" i="12"/>
  <c r="BL10" i="12"/>
  <c r="AX10" i="12"/>
  <c r="AL10" i="12"/>
  <c r="CJ10" i="12"/>
  <c r="ES10" i="12"/>
  <c r="J10" i="12"/>
  <c r="AD10" i="12"/>
  <c r="CY10" i="12"/>
  <c r="AB10" i="12"/>
  <c r="EZ10" i="12"/>
  <c r="DP10" i="12"/>
  <c r="AW10" i="12"/>
  <c r="AA10" i="12"/>
  <c r="DV10" i="12"/>
  <c r="DI10" i="12"/>
  <c r="CX10" i="12"/>
  <c r="CF10" i="12"/>
  <c r="CB10" i="12"/>
  <c r="DX10" i="12"/>
  <c r="DE10" i="12"/>
  <c r="EP10" i="12"/>
  <c r="AY10" i="12"/>
  <c r="AS10" i="12"/>
  <c r="DN10" i="12"/>
  <c r="H10" i="12"/>
  <c r="EA9" i="13"/>
  <c r="N9" i="13"/>
  <c r="BR9" i="13"/>
  <c r="R9" i="13"/>
  <c r="DW9" i="13"/>
  <c r="AA9" i="13"/>
  <c r="H9" i="13"/>
  <c r="X9" i="13"/>
  <c r="BA10" i="12"/>
  <c r="DS10" i="12"/>
  <c r="BG10" i="12"/>
  <c r="AO10" i="12"/>
  <c r="AP10" i="12"/>
  <c r="DK10" i="12"/>
  <c r="BH10" i="12"/>
  <c r="X10" i="12"/>
  <c r="DJ10" i="12"/>
  <c r="D10" i="12"/>
  <c r="EJ10" i="12"/>
  <c r="DM10" i="12"/>
  <c r="Z10" i="12"/>
  <c r="S10" i="12"/>
  <c r="FG10" i="12"/>
  <c r="F10" i="13" s="1"/>
  <c r="EU10" i="12"/>
  <c r="BC10" i="12"/>
  <c r="CD10" i="12"/>
  <c r="E10" i="12"/>
  <c r="EN10" i="12"/>
  <c r="BW10" i="12"/>
  <c r="AM10" i="12"/>
  <c r="BJ10" i="12"/>
  <c r="AH10" i="12"/>
  <c r="AT10" i="12"/>
  <c r="DF10" i="12"/>
  <c r="CL10" i="12"/>
  <c r="C10" i="12"/>
  <c r="AN10" i="12"/>
  <c r="EH10" i="12"/>
  <c r="EX10" i="12"/>
  <c r="DC10" i="12"/>
  <c r="CO10" i="12"/>
  <c r="BN10" i="12"/>
  <c r="EQ10" i="12"/>
  <c r="CU10" i="12"/>
  <c r="BS10" i="12"/>
  <c r="AU10" i="12"/>
  <c r="BQ10" i="12"/>
  <c r="BQ10" i="13" s="1"/>
  <c r="AZ10" i="12"/>
  <c r="AI10" i="12"/>
  <c r="EO10" i="12"/>
  <c r="AR10" i="12"/>
  <c r="BE10" i="12"/>
  <c r="EC10" i="12"/>
  <c r="DW10" i="12"/>
  <c r="BY10" i="12"/>
  <c r="DR10" i="12"/>
  <c r="EY10" i="12"/>
  <c r="EM10" i="12"/>
  <c r="R10" i="12"/>
  <c r="DQ10" i="12"/>
  <c r="T10" i="12"/>
  <c r="BR10" i="12"/>
  <c r="U10" i="12"/>
  <c r="U10" i="13" s="1"/>
  <c r="BM10" i="12"/>
  <c r="CP10" i="12"/>
  <c r="CP10" i="13" s="1"/>
  <c r="CE10" i="12"/>
  <c r="L10" i="12"/>
  <c r="CV10" i="12"/>
  <c r="AG10" i="12"/>
  <c r="V10" i="12"/>
  <c r="BX10" i="12"/>
  <c r="BX10" i="13" s="1"/>
  <c r="CK10" i="12"/>
  <c r="EM9" i="13"/>
  <c r="ED9" i="13"/>
  <c r="BL9" i="13"/>
  <c r="BK9" i="13"/>
  <c r="EG9" i="13"/>
  <c r="AZ9" i="13"/>
  <c r="AH9" i="13"/>
  <c r="EI10" i="12"/>
  <c r="K10" i="12"/>
  <c r="CQ10" i="12"/>
  <c r="ED10" i="12"/>
  <c r="EW10" i="12"/>
  <c r="DL10" i="12"/>
  <c r="Y10" i="12"/>
  <c r="Y10" i="13" s="1"/>
  <c r="BZ10" i="12"/>
  <c r="CN10" i="12"/>
  <c r="AV10" i="12"/>
  <c r="M10" i="12"/>
  <c r="BD10" i="12"/>
  <c r="AF10" i="12"/>
  <c r="N10" i="12"/>
  <c r="CH10" i="12"/>
  <c r="CH10" i="13" s="1"/>
  <c r="FE10" i="12"/>
  <c r="AK10" i="12"/>
  <c r="EC11" i="12"/>
  <c r="DO11" i="12"/>
  <c r="AV11" i="12"/>
  <c r="R89" i="19"/>
  <c r="W89" i="19"/>
  <c r="B95" i="1"/>
  <c r="ER11" i="12" s="1"/>
  <c r="D94" i="1"/>
  <c r="C94" i="1"/>
  <c r="H94" i="1"/>
  <c r="I324" i="5"/>
  <c r="I323" i="5"/>
  <c r="I325" i="5"/>
  <c r="J324" i="5"/>
  <c r="J325" i="5"/>
  <c r="J323" i="5"/>
  <c r="I90" i="19"/>
  <c r="L90" i="19"/>
  <c r="N90" i="19"/>
  <c r="AB90" i="19"/>
  <c r="X90" i="19"/>
  <c r="Z90" i="19"/>
  <c r="H90" i="19"/>
  <c r="V90" i="19"/>
  <c r="M90" i="19"/>
  <c r="Y90" i="19"/>
  <c r="F90" i="19"/>
  <c r="K90" i="19"/>
  <c r="AA90" i="19"/>
  <c r="J90" i="19"/>
  <c r="G90" i="19"/>
  <c r="K320" i="5"/>
  <c r="K321" i="5"/>
  <c r="K322" i="5"/>
  <c r="U90" i="19" l="1"/>
  <c r="BT11" i="12"/>
  <c r="BJ11" i="12"/>
  <c r="FD11" i="12"/>
  <c r="EX11" i="12"/>
  <c r="EO11" i="12"/>
  <c r="DC11" i="12"/>
  <c r="EX10" i="13"/>
  <c r="AK11" i="12"/>
  <c r="DB11" i="12"/>
  <c r="CG11" i="12"/>
  <c r="AM11" i="12"/>
  <c r="FB11" i="12"/>
  <c r="DD11" i="12"/>
  <c r="CK11" i="12"/>
  <c r="J11" i="12"/>
  <c r="CP11" i="12"/>
  <c r="FF11" i="12"/>
  <c r="DY11" i="12"/>
  <c r="AD11" i="12"/>
  <c r="BH11" i="12"/>
  <c r="EJ11" i="12"/>
  <c r="DM11" i="12"/>
  <c r="BK11" i="12"/>
  <c r="EN11" i="12"/>
  <c r="EH11" i="12"/>
  <c r="H10" i="13"/>
  <c r="C11" i="12"/>
  <c r="BY10" i="13"/>
  <c r="BJ10" i="13"/>
  <c r="EW11" i="12"/>
  <c r="CC11" i="12"/>
  <c r="FE11" i="12"/>
  <c r="CR11" i="12"/>
  <c r="BQ11" i="12"/>
  <c r="FD10" i="13"/>
  <c r="CT10" i="13"/>
  <c r="EF10" i="13"/>
  <c r="BH10" i="13"/>
  <c r="CX10" i="13"/>
  <c r="EG10" i="13"/>
  <c r="FC10" i="13"/>
  <c r="CZ10" i="13"/>
  <c r="AW10" i="13"/>
  <c r="DP10" i="13"/>
  <c r="AN10" i="13"/>
  <c r="S10" i="13"/>
  <c r="CF10" i="13"/>
  <c r="EK10" i="13"/>
  <c r="DA10" i="13"/>
  <c r="AF10" i="13"/>
  <c r="BF10" i="13"/>
  <c r="AX10" i="13"/>
  <c r="CS10" i="13"/>
  <c r="AD10" i="13"/>
  <c r="EZ10" i="13"/>
  <c r="X10" i="13"/>
  <c r="CQ10" i="13"/>
  <c r="DH10" i="13"/>
  <c r="AQ10" i="13"/>
  <c r="CE10" i="13"/>
  <c r="BE10" i="13"/>
  <c r="CB10" i="13"/>
  <c r="DJ10" i="13"/>
  <c r="CO10" i="13"/>
  <c r="BS10" i="13"/>
  <c r="G10" i="13"/>
  <c r="DM10" i="13"/>
  <c r="BI10" i="13"/>
  <c r="R10" i="13"/>
  <c r="DY10" i="13"/>
  <c r="BZ10" i="13"/>
  <c r="EJ10" i="13"/>
  <c r="BT10" i="13"/>
  <c r="DV10" i="13"/>
  <c r="EL10" i="13"/>
  <c r="N10" i="13"/>
  <c r="DS10" i="13"/>
  <c r="DW10" i="13"/>
  <c r="EH10" i="13"/>
  <c r="T10" i="13"/>
  <c r="CV10" i="13"/>
  <c r="C10" i="13"/>
  <c r="AI10" i="13"/>
  <c r="P10" i="13"/>
  <c r="CK10" i="13"/>
  <c r="DN10" i="13"/>
  <c r="CY10" i="13"/>
  <c r="ET10" i="13"/>
  <c r="DT10" i="13"/>
  <c r="DL10" i="13"/>
  <c r="AL10" i="13"/>
  <c r="BP10" i="13"/>
  <c r="EM10" i="13"/>
  <c r="CR10" i="13"/>
  <c r="AH10" i="13"/>
  <c r="DO10" i="13"/>
  <c r="AO10" i="13"/>
  <c r="AY10" i="13"/>
  <c r="BD10" i="13"/>
  <c r="ED10" i="13"/>
  <c r="L10" i="13"/>
  <c r="CJ10" i="13"/>
  <c r="DB10" i="13"/>
  <c r="CC10" i="13"/>
  <c r="DZ10" i="13"/>
  <c r="BL10" i="13"/>
  <c r="EU10" i="13"/>
  <c r="K10" i="13"/>
  <c r="AV10" i="13"/>
  <c r="DF10" i="13"/>
  <c r="AS10" i="13"/>
  <c r="I10" i="13"/>
  <c r="BM10" i="13"/>
  <c r="DR10" i="13"/>
  <c r="CG10" i="13"/>
  <c r="CN10" i="13"/>
  <c r="AC10" i="13"/>
  <c r="CU10" i="13"/>
  <c r="FF10" i="13"/>
  <c r="CW10" i="13"/>
  <c r="BA10" i="13"/>
  <c r="DU10" i="13"/>
  <c r="AU10" i="13"/>
  <c r="CI10" i="13"/>
  <c r="EP10" i="13"/>
  <c r="BC10" i="13"/>
  <c r="EV10" i="13"/>
  <c r="BR10" i="13"/>
  <c r="AM10" i="13"/>
  <c r="BN10" i="13"/>
  <c r="BV10" i="13"/>
  <c r="AG10" i="13"/>
  <c r="DG10" i="13"/>
  <c r="ES10" i="13"/>
  <c r="BU10" i="13"/>
  <c r="FA10" i="13"/>
  <c r="J10" i="13"/>
  <c r="DD10" i="13"/>
  <c r="EY10" i="13"/>
  <c r="V10" i="13"/>
  <c r="EC10" i="13"/>
  <c r="BW10" i="13"/>
  <c r="E10" i="13"/>
  <c r="DE10" i="13"/>
  <c r="AE10" i="13"/>
  <c r="EW10" i="13"/>
  <c r="CD10" i="13"/>
  <c r="DX10" i="13"/>
  <c r="EN10" i="13"/>
  <c r="EA10" i="13"/>
  <c r="DQ10" i="13"/>
  <c r="EE10" i="13"/>
  <c r="DK10" i="13"/>
  <c r="CM10" i="13"/>
  <c r="EI10" i="13"/>
  <c r="FE10" i="13"/>
  <c r="M10" i="13"/>
  <c r="AR10" i="13"/>
  <c r="EQ10" i="13"/>
  <c r="W10" i="13"/>
  <c r="BG10" i="13"/>
  <c r="BK10" i="13"/>
  <c r="EO10" i="13"/>
  <c r="Z10" i="13"/>
  <c r="AJ10" i="13"/>
  <c r="DI10" i="13"/>
  <c r="AB10" i="13"/>
  <c r="ER10" i="13"/>
  <c r="AP10" i="13"/>
  <c r="Q10" i="13"/>
  <c r="D10" i="13"/>
  <c r="BO10" i="13"/>
  <c r="BB10" i="13"/>
  <c r="FB10" i="13"/>
  <c r="CL10" i="13"/>
  <c r="DC10" i="13"/>
  <c r="CA10" i="13"/>
  <c r="O10" i="13"/>
  <c r="AA10" i="13"/>
  <c r="EB10" i="13"/>
  <c r="AZ10" i="13"/>
  <c r="AK10" i="13"/>
  <c r="AT10" i="13"/>
  <c r="DU11" i="12"/>
  <c r="CU11" i="12"/>
  <c r="BR11" i="12"/>
  <c r="DH11" i="12"/>
  <c r="CI11" i="12"/>
  <c r="AJ11" i="12"/>
  <c r="AB11" i="12"/>
  <c r="AU11" i="12"/>
  <c r="CB11" i="12"/>
  <c r="AE11" i="12"/>
  <c r="O11" i="12"/>
  <c r="Z11" i="12"/>
  <c r="F11" i="12"/>
  <c r="Y11" i="12"/>
  <c r="AR11" i="12"/>
  <c r="BU11" i="12"/>
  <c r="AG11" i="12"/>
  <c r="BP11" i="12"/>
  <c r="S11" i="12"/>
  <c r="EB11" i="12"/>
  <c r="DX11" i="12"/>
  <c r="CD11" i="12"/>
  <c r="DI11" i="12"/>
  <c r="AO11" i="12"/>
  <c r="DA11" i="12"/>
  <c r="BN11" i="12"/>
  <c r="BD11" i="12"/>
  <c r="ED11" i="12"/>
  <c r="AP11" i="12"/>
  <c r="K11" i="12"/>
  <c r="DT11" i="12"/>
  <c r="N11" i="12"/>
  <c r="CN11" i="12"/>
  <c r="AX11" i="12"/>
  <c r="CZ11" i="12"/>
  <c r="CJ11" i="12"/>
  <c r="I11" i="12"/>
  <c r="DP11" i="12"/>
  <c r="EZ11" i="12"/>
  <c r="FC11" i="12"/>
  <c r="CH11" i="12"/>
  <c r="W11" i="12"/>
  <c r="EV11" i="12"/>
  <c r="CL11" i="12"/>
  <c r="L11" i="12"/>
  <c r="EQ11" i="12"/>
  <c r="CF11" i="12"/>
  <c r="CV11" i="12"/>
  <c r="EY11" i="12"/>
  <c r="DW11" i="12"/>
  <c r="BG11" i="12"/>
  <c r="CO11" i="12"/>
  <c r="ES11" i="12"/>
  <c r="Q11" i="12"/>
  <c r="CA11" i="12"/>
  <c r="BE11" i="12"/>
  <c r="CM11" i="12"/>
  <c r="BA11" i="12"/>
  <c r="EI11" i="12"/>
  <c r="AW11" i="12"/>
  <c r="EP11" i="12"/>
  <c r="AT11" i="12"/>
  <c r="DG11" i="12"/>
  <c r="FG11" i="12"/>
  <c r="BH11" i="13" s="1"/>
  <c r="R11" i="12"/>
  <c r="X11" i="12"/>
  <c r="AA11" i="12"/>
  <c r="G11" i="12"/>
  <c r="CQ11" i="12"/>
  <c r="DL11" i="12"/>
  <c r="DF11" i="12"/>
  <c r="EL11" i="12"/>
  <c r="EG11" i="12"/>
  <c r="AY11" i="12"/>
  <c r="DS11" i="12"/>
  <c r="CS11" i="12"/>
  <c r="BI11" i="12"/>
  <c r="P11" i="12"/>
  <c r="AI11" i="12"/>
  <c r="DK11" i="12"/>
  <c r="DK11" i="13" s="1"/>
  <c r="DZ11" i="12"/>
  <c r="BM11" i="12"/>
  <c r="EK11" i="12"/>
  <c r="FA11" i="12"/>
  <c r="AF11" i="12"/>
  <c r="EE11" i="12"/>
  <c r="E11" i="12"/>
  <c r="BV11" i="12"/>
  <c r="BV11" i="13" s="1"/>
  <c r="BX11" i="12"/>
  <c r="BC11" i="12"/>
  <c r="BL11" i="12"/>
  <c r="BS11" i="12"/>
  <c r="ET11" i="12"/>
  <c r="EM11" i="12"/>
  <c r="D11" i="12"/>
  <c r="CX11" i="12"/>
  <c r="CX11" i="13" s="1"/>
  <c r="AL11" i="12"/>
  <c r="CY11" i="12"/>
  <c r="EU11" i="12"/>
  <c r="BB11" i="12"/>
  <c r="DJ11" i="12"/>
  <c r="CW11" i="12"/>
  <c r="V11" i="12"/>
  <c r="H11" i="12"/>
  <c r="H11" i="13" s="1"/>
  <c r="M11" i="12"/>
  <c r="AQ11" i="12"/>
  <c r="T11" i="12"/>
  <c r="BF11" i="12"/>
  <c r="AS11" i="12"/>
  <c r="BZ11" i="12"/>
  <c r="BY11" i="12"/>
  <c r="DE11" i="12"/>
  <c r="DE11" i="13" s="1"/>
  <c r="EA11" i="12"/>
  <c r="DV11" i="12"/>
  <c r="EF11" i="12"/>
  <c r="AZ11" i="12"/>
  <c r="AH11" i="12"/>
  <c r="AN11" i="12"/>
  <c r="BO11" i="12"/>
  <c r="CE11" i="12"/>
  <c r="DQ11" i="12"/>
  <c r="AC11" i="12"/>
  <c r="U11" i="12"/>
  <c r="DR11" i="12"/>
  <c r="CT11" i="12"/>
  <c r="BW11" i="12"/>
  <c r="DN11" i="12"/>
  <c r="CI11" i="13"/>
  <c r="BM11" i="13"/>
  <c r="FF11" i="13"/>
  <c r="CD11" i="13"/>
  <c r="FD12" i="12"/>
  <c r="AK12" i="12"/>
  <c r="AZ12" i="12"/>
  <c r="DX12" i="12"/>
  <c r="BM12" i="12"/>
  <c r="EU12" i="12"/>
  <c r="X91" i="19"/>
  <c r="Z91" i="19"/>
  <c r="H91" i="19"/>
  <c r="AB91" i="19"/>
  <c r="K91" i="19"/>
  <c r="J91" i="19"/>
  <c r="Y91" i="19"/>
  <c r="F91" i="19"/>
  <c r="V91" i="19"/>
  <c r="N91" i="19"/>
  <c r="AA91" i="19"/>
  <c r="M91" i="19"/>
  <c r="I91" i="19"/>
  <c r="L91" i="19"/>
  <c r="G91" i="19"/>
  <c r="B96" i="1"/>
  <c r="L12" i="12" s="1"/>
  <c r="C95" i="1"/>
  <c r="D95" i="1"/>
  <c r="H95" i="1"/>
  <c r="J326" i="5"/>
  <c r="J327" i="5"/>
  <c r="I326" i="5"/>
  <c r="J328" i="5"/>
  <c r="I328" i="5"/>
  <c r="I327" i="5"/>
  <c r="K323" i="5"/>
  <c r="K324" i="5"/>
  <c r="R90" i="19"/>
  <c r="W90" i="19"/>
  <c r="K325" i="5"/>
  <c r="AJ12" i="12" l="1"/>
  <c r="BP12" i="12"/>
  <c r="EL11" i="13"/>
  <c r="AV11" i="13"/>
  <c r="CM12" i="12"/>
  <c r="AG12" i="12"/>
  <c r="AL12" i="12"/>
  <c r="AH12" i="12"/>
  <c r="EF12" i="12"/>
  <c r="DP12" i="12"/>
  <c r="CL12" i="12"/>
  <c r="DU12" i="12"/>
  <c r="DI12" i="12"/>
  <c r="S12" i="12"/>
  <c r="EN12" i="12"/>
  <c r="ED12" i="12"/>
  <c r="BQ12" i="12"/>
  <c r="CK12" i="12"/>
  <c r="BZ12" i="12"/>
  <c r="EB12" i="12"/>
  <c r="V12" i="12"/>
  <c r="FF12" i="12"/>
  <c r="AD12" i="12"/>
  <c r="DC12" i="12"/>
  <c r="DQ12" i="12"/>
  <c r="FB12" i="12"/>
  <c r="DV12" i="12"/>
  <c r="AQ12" i="12"/>
  <c r="CQ12" i="12"/>
  <c r="EZ12" i="12"/>
  <c r="DB12" i="12"/>
  <c r="DL12" i="12"/>
  <c r="AR12" i="12"/>
  <c r="BJ12" i="12"/>
  <c r="H12" i="12"/>
  <c r="EE12" i="12"/>
  <c r="DR12" i="12"/>
  <c r="FC12" i="12"/>
  <c r="AP12" i="12"/>
  <c r="AA12" i="12"/>
  <c r="R91" i="19"/>
  <c r="U91" i="19"/>
  <c r="AM12" i="12"/>
  <c r="BE12" i="12"/>
  <c r="BA12" i="12"/>
  <c r="BL12" i="12"/>
  <c r="EW12" i="12"/>
  <c r="CR12" i="12"/>
  <c r="EV12" i="12"/>
  <c r="EC12" i="12"/>
  <c r="EQ12" i="12"/>
  <c r="AE12" i="12"/>
  <c r="EN11" i="13"/>
  <c r="AW11" i="13"/>
  <c r="EF11" i="13"/>
  <c r="BR11" i="13"/>
  <c r="ER11" i="13"/>
  <c r="DN11" i="13"/>
  <c r="BO11" i="13"/>
  <c r="CL11" i="13"/>
  <c r="EG11" i="13"/>
  <c r="N11" i="13"/>
  <c r="AO11" i="13"/>
  <c r="BU11" i="13"/>
  <c r="AU11" i="13"/>
  <c r="O11" i="13"/>
  <c r="EM11" i="13"/>
  <c r="V11" i="13"/>
  <c r="AL11" i="13"/>
  <c r="CC11" i="13"/>
  <c r="AF11" i="13"/>
  <c r="L11" i="13"/>
  <c r="CN11" i="13"/>
  <c r="DM11" i="13"/>
  <c r="FE11" i="13"/>
  <c r="CE11" i="13"/>
  <c r="DY11" i="13"/>
  <c r="M11" i="13"/>
  <c r="FB11" i="13"/>
  <c r="AK11" i="13"/>
  <c r="S11" i="13"/>
  <c r="CJ11" i="13"/>
  <c r="CP11" i="13"/>
  <c r="AX11" i="13"/>
  <c r="DT11" i="13"/>
  <c r="CR11" i="13"/>
  <c r="BW11" i="13"/>
  <c r="AN11" i="13"/>
  <c r="BY11" i="13"/>
  <c r="CM11" i="13"/>
  <c r="P11" i="13"/>
  <c r="G11" i="13"/>
  <c r="AJ11" i="13"/>
  <c r="CZ11" i="13"/>
  <c r="J11" i="13"/>
  <c r="EJ11" i="13"/>
  <c r="F11" i="13"/>
  <c r="CB11" i="13"/>
  <c r="AE11" i="13"/>
  <c r="K11" i="13"/>
  <c r="DC11" i="13"/>
  <c r="CT11" i="13"/>
  <c r="AH11" i="13"/>
  <c r="DF11" i="13"/>
  <c r="AA11" i="13"/>
  <c r="CG11" i="13"/>
  <c r="Q11" i="13"/>
  <c r="EW11" i="13"/>
  <c r="E11" i="13"/>
  <c r="EY11" i="13"/>
  <c r="AI11" i="13"/>
  <c r="CO11" i="13"/>
  <c r="BZ11" i="13"/>
  <c r="DR11" i="13"/>
  <c r="AZ11" i="13"/>
  <c r="DJ11" i="13"/>
  <c r="ET11" i="13"/>
  <c r="AS11" i="13"/>
  <c r="EC11" i="13"/>
  <c r="X11" i="13"/>
  <c r="EX11" i="13"/>
  <c r="CQ11" i="13"/>
  <c r="EA11" i="13"/>
  <c r="AR11" i="13"/>
  <c r="FD11" i="13"/>
  <c r="DP11" i="13"/>
  <c r="EZ11" i="13"/>
  <c r="EB11" i="13"/>
  <c r="DA11" i="13"/>
  <c r="U11" i="13"/>
  <c r="BF11" i="13"/>
  <c r="BB11" i="13"/>
  <c r="BS11" i="13"/>
  <c r="FA11" i="13"/>
  <c r="DU11" i="13"/>
  <c r="BJ11" i="13"/>
  <c r="R11" i="13"/>
  <c r="EH11" i="13"/>
  <c r="EU11" i="13"/>
  <c r="AM11" i="13"/>
  <c r="Y11" i="13"/>
  <c r="DX11" i="13"/>
  <c r="CS11" i="13"/>
  <c r="CU11" i="13"/>
  <c r="DS11" i="13"/>
  <c r="AC11" i="13"/>
  <c r="DV11" i="13"/>
  <c r="T11" i="13"/>
  <c r="EI11" i="13"/>
  <c r="DO11" i="13"/>
  <c r="D11" i="13"/>
  <c r="I11" i="13"/>
  <c r="CY11" i="13"/>
  <c r="DB11" i="13"/>
  <c r="CF11" i="13"/>
  <c r="Z11" i="13"/>
  <c r="EV11" i="13"/>
  <c r="BT11" i="13"/>
  <c r="EE11" i="13"/>
  <c r="BC11" i="13"/>
  <c r="DQ11" i="13"/>
  <c r="EP11" i="13"/>
  <c r="ES11" i="13"/>
  <c r="BL11" i="13"/>
  <c r="AQ11" i="13"/>
  <c r="AY11" i="13"/>
  <c r="BX11" i="13"/>
  <c r="DZ11" i="13"/>
  <c r="CH11" i="13"/>
  <c r="DG11" i="13"/>
  <c r="BE11" i="13"/>
  <c r="CW11" i="13"/>
  <c r="DL11" i="13"/>
  <c r="AT11" i="13"/>
  <c r="CA11" i="13"/>
  <c r="BI11" i="13"/>
  <c r="CP12" i="12"/>
  <c r="M12" i="12"/>
  <c r="DA12" i="12"/>
  <c r="BO12" i="12"/>
  <c r="FE12" i="12"/>
  <c r="T12" i="12"/>
  <c r="BF12" i="12"/>
  <c r="CA12" i="12"/>
  <c r="BU12" i="12"/>
  <c r="CX12" i="12"/>
  <c r="AC12" i="12"/>
  <c r="AW12" i="12"/>
  <c r="W12" i="12"/>
  <c r="ER12" i="12"/>
  <c r="BT12" i="12"/>
  <c r="P12" i="12"/>
  <c r="BY12" i="12"/>
  <c r="AV12" i="12"/>
  <c r="DG12" i="12"/>
  <c r="DE12" i="12"/>
  <c r="AX12" i="12"/>
  <c r="AO12" i="12"/>
  <c r="DY12" i="12"/>
  <c r="G12" i="12"/>
  <c r="BV12" i="12"/>
  <c r="DZ12" i="12"/>
  <c r="CH12" i="12"/>
  <c r="BD12" i="12"/>
  <c r="Y12" i="12"/>
  <c r="EM12" i="12"/>
  <c r="CT12" i="12"/>
  <c r="EL12" i="12"/>
  <c r="BG11" i="13"/>
  <c r="AF12" i="12"/>
  <c r="DI11" i="13"/>
  <c r="R12" i="12"/>
  <c r="EP12" i="12"/>
  <c r="BB12" i="12"/>
  <c r="K12" i="12"/>
  <c r="BI12" i="12"/>
  <c r="DD12" i="12"/>
  <c r="CB12" i="12"/>
  <c r="CU12" i="12"/>
  <c r="BH12" i="12"/>
  <c r="EO12" i="12"/>
  <c r="EG12" i="12"/>
  <c r="CN12" i="12"/>
  <c r="ET12" i="12"/>
  <c r="ES12" i="12"/>
  <c r="N12" i="12"/>
  <c r="CJ12" i="12"/>
  <c r="AU12" i="12"/>
  <c r="BG12" i="12"/>
  <c r="EK11" i="13"/>
  <c r="AD11" i="13"/>
  <c r="BA11" i="13"/>
  <c r="DW11" i="13"/>
  <c r="W11" i="13"/>
  <c r="EY12" i="12"/>
  <c r="CV12" i="12"/>
  <c r="CZ12" i="12"/>
  <c r="EI12" i="12"/>
  <c r="AP11" i="13"/>
  <c r="BK11" i="13"/>
  <c r="DK12" i="12"/>
  <c r="CD12" i="12"/>
  <c r="DN12" i="12"/>
  <c r="X12" i="12"/>
  <c r="AT12" i="12"/>
  <c r="BS12" i="12"/>
  <c r="CY12" i="12"/>
  <c r="CW12" i="12"/>
  <c r="DF12" i="12"/>
  <c r="C12" i="12"/>
  <c r="E12" i="12"/>
  <c r="DH12" i="12"/>
  <c r="CV11" i="13"/>
  <c r="FC11" i="13"/>
  <c r="BR12" i="12"/>
  <c r="ED11" i="13"/>
  <c r="AB11" i="13"/>
  <c r="EO11" i="13"/>
  <c r="EH12" i="12"/>
  <c r="BC12" i="12"/>
  <c r="CF12" i="12"/>
  <c r="AB12" i="12"/>
  <c r="BD11" i="13"/>
  <c r="FG12" i="12"/>
  <c r="L12" i="13" s="1"/>
  <c r="C11" i="13"/>
  <c r="BK12" i="12"/>
  <c r="F12" i="12"/>
  <c r="EX12" i="12"/>
  <c r="CS12" i="12"/>
  <c r="U12" i="12"/>
  <c r="DM12" i="12"/>
  <c r="CE12" i="12"/>
  <c r="AY12" i="12"/>
  <c r="EA12" i="12"/>
  <c r="CG12" i="12"/>
  <c r="AN12" i="12"/>
  <c r="FA12" i="12"/>
  <c r="EK12" i="12"/>
  <c r="DT12" i="12"/>
  <c r="DW12" i="12"/>
  <c r="BN12" i="12"/>
  <c r="O12" i="12"/>
  <c r="Z12" i="12"/>
  <c r="CK11" i="13"/>
  <c r="EQ11" i="13"/>
  <c r="I12" i="12"/>
  <c r="BN11" i="13"/>
  <c r="BP11" i="13"/>
  <c r="J12" i="12"/>
  <c r="DD11" i="13"/>
  <c r="BX12" i="12"/>
  <c r="DJ12" i="12"/>
  <c r="DS12" i="12"/>
  <c r="Q12" i="12"/>
  <c r="AS12" i="12"/>
  <c r="D12" i="12"/>
  <c r="CI12" i="12"/>
  <c r="BW12" i="12"/>
  <c r="CC12" i="12"/>
  <c r="EJ12" i="12"/>
  <c r="DO12" i="12"/>
  <c r="AI12" i="12"/>
  <c r="AG11" i="13"/>
  <c r="CO12" i="12"/>
  <c r="CO12" i="13" s="1"/>
  <c r="DH11" i="13"/>
  <c r="BQ11" i="13"/>
  <c r="CE13" i="12"/>
  <c r="W91" i="19"/>
  <c r="B97" i="1"/>
  <c r="EE13" i="12" s="1"/>
  <c r="H96" i="1"/>
  <c r="C96" i="1"/>
  <c r="D96" i="1"/>
  <c r="I92" i="19"/>
  <c r="X92" i="19"/>
  <c r="V92" i="19"/>
  <c r="M92" i="19"/>
  <c r="F92" i="19"/>
  <c r="Z92" i="19"/>
  <c r="G92" i="19"/>
  <c r="L92" i="19"/>
  <c r="AA92" i="19"/>
  <c r="Y92" i="19"/>
  <c r="AB92" i="19"/>
  <c r="K92" i="19"/>
  <c r="N92" i="19"/>
  <c r="J92" i="19"/>
  <c r="H92" i="19"/>
  <c r="J332" i="5"/>
  <c r="I331" i="5"/>
  <c r="I332" i="5"/>
  <c r="J330" i="5"/>
  <c r="J331" i="5"/>
  <c r="J329" i="5"/>
  <c r="I330" i="5"/>
  <c r="I329" i="5"/>
  <c r="K326" i="5"/>
  <c r="K327" i="5"/>
  <c r="K328" i="5"/>
  <c r="DJ13" i="12" l="1"/>
  <c r="EC13" i="12"/>
  <c r="D13" i="12"/>
  <c r="DG13" i="12"/>
  <c r="D12" i="13"/>
  <c r="FD13" i="12"/>
  <c r="ET13" i="12"/>
  <c r="DR13" i="12"/>
  <c r="AP13" i="12"/>
  <c r="CI13" i="12"/>
  <c r="FG13" i="12"/>
  <c r="AQ13" i="13" s="1"/>
  <c r="DH13" i="12"/>
  <c r="BP13" i="12"/>
  <c r="AL13" i="12"/>
  <c r="BN13" i="12"/>
  <c r="CT13" i="12"/>
  <c r="AN13" i="12"/>
  <c r="CQ13" i="12"/>
  <c r="EH13" i="12"/>
  <c r="DU13" i="12"/>
  <c r="G13" i="12"/>
  <c r="AQ13" i="12"/>
  <c r="S13" i="12"/>
  <c r="CD13" i="12"/>
  <c r="J13" i="12"/>
  <c r="BA13" i="12"/>
  <c r="BG13" i="12"/>
  <c r="ES13" i="12"/>
  <c r="DC13" i="12"/>
  <c r="U92" i="19"/>
  <c r="CL13" i="12"/>
  <c r="CF13" i="12"/>
  <c r="FB13" i="12"/>
  <c r="CR13" i="12"/>
  <c r="DL13" i="12"/>
  <c r="K13" i="12"/>
  <c r="T13" i="12"/>
  <c r="BW13" i="12"/>
  <c r="AA13" i="12"/>
  <c r="DO12" i="13"/>
  <c r="CI12" i="13"/>
  <c r="J12" i="13"/>
  <c r="EJ12" i="13"/>
  <c r="AS12" i="13"/>
  <c r="DJ12" i="13"/>
  <c r="CC12" i="13"/>
  <c r="BX12" i="13"/>
  <c r="DX12" i="13"/>
  <c r="BN12" i="13"/>
  <c r="AY12" i="13"/>
  <c r="EE12" i="13"/>
  <c r="FA12" i="13"/>
  <c r="CS12" i="13"/>
  <c r="AI12" i="13"/>
  <c r="Q12" i="13"/>
  <c r="V12" i="13"/>
  <c r="AN12" i="13"/>
  <c r="AB12" i="13"/>
  <c r="DI12" i="13"/>
  <c r="Z12" i="13"/>
  <c r="CG12" i="13"/>
  <c r="F12" i="13"/>
  <c r="BC12" i="13"/>
  <c r="AT12" i="13"/>
  <c r="H12" i="13"/>
  <c r="EH12" i="13"/>
  <c r="BW12" i="13"/>
  <c r="AK12" i="13"/>
  <c r="DW12" i="13"/>
  <c r="CE12" i="13"/>
  <c r="AL12" i="13"/>
  <c r="BZ12" i="13"/>
  <c r="CK12" i="13"/>
  <c r="E13" i="12"/>
  <c r="AK13" i="12"/>
  <c r="AK13" i="13" s="1"/>
  <c r="BJ13" i="12"/>
  <c r="EO13" i="12"/>
  <c r="EO13" i="13" s="1"/>
  <c r="EP13" i="12"/>
  <c r="DN13" i="12"/>
  <c r="AH13" i="12"/>
  <c r="DX13" i="12"/>
  <c r="EZ13" i="12"/>
  <c r="AF13" i="12"/>
  <c r="AF13" i="13" s="1"/>
  <c r="FC12" i="13"/>
  <c r="DH12" i="13"/>
  <c r="X12" i="13"/>
  <c r="EU12" i="13"/>
  <c r="DV12" i="13"/>
  <c r="AJ12" i="13"/>
  <c r="AU12" i="13"/>
  <c r="BH12" i="13"/>
  <c r="R12" i="13"/>
  <c r="EM12" i="13"/>
  <c r="AO12" i="13"/>
  <c r="BT12" i="13"/>
  <c r="BF12" i="13"/>
  <c r="EC12" i="13"/>
  <c r="DU12" i="13"/>
  <c r="AD13" i="12"/>
  <c r="AD13" i="13" s="1"/>
  <c r="EM13" i="12"/>
  <c r="X13" i="12"/>
  <c r="X13" i="13" s="1"/>
  <c r="AS13" i="12"/>
  <c r="EU13" i="12"/>
  <c r="DB13" i="12"/>
  <c r="O13" i="12"/>
  <c r="EV13" i="12"/>
  <c r="CW13" i="12"/>
  <c r="CW13" i="13" s="1"/>
  <c r="BY13" i="12"/>
  <c r="EK13" i="12"/>
  <c r="AT13" i="12"/>
  <c r="EJ13" i="12"/>
  <c r="EJ13" i="13" s="1"/>
  <c r="BF13" i="12"/>
  <c r="BH13" i="12"/>
  <c r="BH13" i="13" s="1"/>
  <c r="Z13" i="12"/>
  <c r="Z13" i="13" s="1"/>
  <c r="BB13" i="12"/>
  <c r="CA13" i="12"/>
  <c r="ED13" i="12"/>
  <c r="AZ13" i="12"/>
  <c r="BC13" i="12"/>
  <c r="BC13" i="13" s="1"/>
  <c r="CQ12" i="13"/>
  <c r="DT12" i="13"/>
  <c r="DM12" i="13"/>
  <c r="S12" i="13"/>
  <c r="AE12" i="13"/>
  <c r="CR12" i="13"/>
  <c r="E12" i="13"/>
  <c r="DN12" i="13"/>
  <c r="DQ12" i="13"/>
  <c r="ED12" i="13"/>
  <c r="DR12" i="13"/>
  <c r="CJ12" i="13"/>
  <c r="CU12" i="13"/>
  <c r="BJ12" i="13"/>
  <c r="Y12" i="13"/>
  <c r="AX12" i="13"/>
  <c r="ER12" i="13"/>
  <c r="T12" i="13"/>
  <c r="FF12" i="13"/>
  <c r="AP12" i="13"/>
  <c r="CO13" i="12"/>
  <c r="CH13" i="12"/>
  <c r="BV13" i="12"/>
  <c r="BQ13" i="12"/>
  <c r="BQ13" i="13" s="1"/>
  <c r="CP13" i="12"/>
  <c r="AO13" i="12"/>
  <c r="H13" i="12"/>
  <c r="BM13" i="12"/>
  <c r="BM13" i="13" s="1"/>
  <c r="ER13" i="12"/>
  <c r="AC13" i="12"/>
  <c r="AC13" i="13" s="1"/>
  <c r="BR13" i="12"/>
  <c r="BR13" i="13" s="1"/>
  <c r="AM13" i="12"/>
  <c r="BD13" i="12"/>
  <c r="AW13" i="12"/>
  <c r="F13" i="12"/>
  <c r="F13" i="13" s="1"/>
  <c r="CG13" i="12"/>
  <c r="CG13" i="13" s="1"/>
  <c r="CV13" i="12"/>
  <c r="DZ13" i="12"/>
  <c r="AB13" i="12"/>
  <c r="DS12" i="13"/>
  <c r="BM12" i="13"/>
  <c r="I12" i="13"/>
  <c r="EK12" i="13"/>
  <c r="U12" i="13"/>
  <c r="EW12" i="13"/>
  <c r="C12" i="13"/>
  <c r="CD12" i="13"/>
  <c r="AH12" i="13"/>
  <c r="N12" i="13"/>
  <c r="CB12" i="13"/>
  <c r="EZ12" i="13"/>
  <c r="BD12" i="13"/>
  <c r="DE12" i="13"/>
  <c r="W12" i="13"/>
  <c r="FE12" i="13"/>
  <c r="EF12" i="13"/>
  <c r="CL12" i="13"/>
  <c r="AX13" i="12"/>
  <c r="CB13" i="12"/>
  <c r="DP13" i="12"/>
  <c r="DP13" i="13" s="1"/>
  <c r="DK13" i="12"/>
  <c r="DK13" i="13" s="1"/>
  <c r="CJ13" i="12"/>
  <c r="L13" i="12"/>
  <c r="BL13" i="12"/>
  <c r="BL13" i="13" s="1"/>
  <c r="I13" i="12"/>
  <c r="W13" i="12"/>
  <c r="W13" i="13" s="1"/>
  <c r="DO13" i="12"/>
  <c r="DO13" i="13" s="1"/>
  <c r="BI13" i="12"/>
  <c r="BI13" i="13" s="1"/>
  <c r="CX13" i="12"/>
  <c r="DL12" i="13"/>
  <c r="DF12" i="13"/>
  <c r="DK12" i="13"/>
  <c r="BL12" i="13"/>
  <c r="ES12" i="13"/>
  <c r="DD12" i="13"/>
  <c r="CH12" i="13"/>
  <c r="DG12" i="13"/>
  <c r="AW12" i="13"/>
  <c r="BO12" i="13"/>
  <c r="CM12" i="13"/>
  <c r="AG12" i="13"/>
  <c r="CU13" i="12"/>
  <c r="CU13" i="13" s="1"/>
  <c r="BX13" i="12"/>
  <c r="BX13" i="13" s="1"/>
  <c r="DQ13" i="12"/>
  <c r="DQ13" i="13" s="1"/>
  <c r="EN13" i="12"/>
  <c r="EN13" i="13" s="1"/>
  <c r="AU13" i="12"/>
  <c r="AJ13" i="12"/>
  <c r="EI13" i="12"/>
  <c r="EI13" i="13" s="1"/>
  <c r="FE13" i="12"/>
  <c r="FE13" i="13" s="1"/>
  <c r="U13" i="12"/>
  <c r="U13" i="13" s="1"/>
  <c r="DS13" i="12"/>
  <c r="DS13" i="13" s="1"/>
  <c r="DY13" i="12"/>
  <c r="DY13" i="13" s="1"/>
  <c r="CK13" i="12"/>
  <c r="R13" i="12"/>
  <c r="R13" i="13" s="1"/>
  <c r="Y13" i="12"/>
  <c r="BO13" i="12"/>
  <c r="BO13" i="13" s="1"/>
  <c r="DW13" i="12"/>
  <c r="AY13" i="12"/>
  <c r="EB13" i="12"/>
  <c r="EB13" i="13" s="1"/>
  <c r="EA13" i="12"/>
  <c r="EA13" i="13" s="1"/>
  <c r="BT13" i="12"/>
  <c r="BT13" i="13" s="1"/>
  <c r="AG13" i="12"/>
  <c r="AG13" i="13" s="1"/>
  <c r="EX12" i="13"/>
  <c r="EB12" i="13"/>
  <c r="CW12" i="13"/>
  <c r="DB12" i="13"/>
  <c r="EI12" i="13"/>
  <c r="FB12" i="13"/>
  <c r="ET12" i="13"/>
  <c r="BI12" i="13"/>
  <c r="AF12" i="13"/>
  <c r="DZ12" i="13"/>
  <c r="AV12" i="13"/>
  <c r="AC12" i="13"/>
  <c r="AI13" i="12"/>
  <c r="AI13" i="13" s="1"/>
  <c r="DA12" i="13"/>
  <c r="AM12" i="13"/>
  <c r="BU13" i="12"/>
  <c r="BU13" i="13" s="1"/>
  <c r="BK13" i="12"/>
  <c r="BK13" i="13" s="1"/>
  <c r="BS13" i="12"/>
  <c r="BS13" i="13" s="1"/>
  <c r="CM13" i="12"/>
  <c r="CM13" i="13" s="1"/>
  <c r="AV13" i="12"/>
  <c r="DF13" i="12"/>
  <c r="DF13" i="13" s="1"/>
  <c r="EG13" i="12"/>
  <c r="EG13" i="13" s="1"/>
  <c r="DT13" i="12"/>
  <c r="DT13" i="13" s="1"/>
  <c r="FF13" i="12"/>
  <c r="FF13" i="13" s="1"/>
  <c r="BP12" i="13"/>
  <c r="BR12" i="13"/>
  <c r="CY12" i="13"/>
  <c r="DP12" i="13"/>
  <c r="CZ12" i="13"/>
  <c r="EN12" i="13"/>
  <c r="CN12" i="13"/>
  <c r="K12" i="13"/>
  <c r="BV12" i="13"/>
  <c r="BY12" i="13"/>
  <c r="CX12" i="13"/>
  <c r="DC12" i="13"/>
  <c r="M12" i="13"/>
  <c r="EV12" i="13"/>
  <c r="EL13" i="12"/>
  <c r="EL13" i="13" s="1"/>
  <c r="Q13" i="12"/>
  <c r="Q13" i="13" s="1"/>
  <c r="DA13" i="12"/>
  <c r="DA13" i="13" s="1"/>
  <c r="V13" i="12"/>
  <c r="V13" i="13" s="1"/>
  <c r="DI13" i="12"/>
  <c r="DI13" i="13" s="1"/>
  <c r="CC13" i="12"/>
  <c r="EF13" i="12"/>
  <c r="EF13" i="13" s="1"/>
  <c r="EX13" i="12"/>
  <c r="EX13" i="13" s="1"/>
  <c r="CN13" i="12"/>
  <c r="CN13" i="13" s="1"/>
  <c r="CS13" i="12"/>
  <c r="CS13" i="13" s="1"/>
  <c r="N13" i="12"/>
  <c r="N13" i="13" s="1"/>
  <c r="EY13" i="12"/>
  <c r="EY13" i="13" s="1"/>
  <c r="FA13" i="12"/>
  <c r="FA13" i="13" s="1"/>
  <c r="AE13" i="12"/>
  <c r="AE13" i="13" s="1"/>
  <c r="CY13" i="12"/>
  <c r="CY13" i="13" s="1"/>
  <c r="DE13" i="12"/>
  <c r="DE13" i="13" s="1"/>
  <c r="EW13" i="12"/>
  <c r="EW13" i="13" s="1"/>
  <c r="DM13" i="12"/>
  <c r="BA12" i="13"/>
  <c r="O12" i="13"/>
  <c r="EA12" i="13"/>
  <c r="BK12" i="13"/>
  <c r="CF12" i="13"/>
  <c r="EQ12" i="13"/>
  <c r="BS12" i="13"/>
  <c r="BE12" i="13"/>
  <c r="CV12" i="13"/>
  <c r="AZ12" i="13"/>
  <c r="EG12" i="13"/>
  <c r="BB12" i="13"/>
  <c r="EL12" i="13"/>
  <c r="G12" i="13"/>
  <c r="P12" i="13"/>
  <c r="BU12" i="13"/>
  <c r="FD12" i="13"/>
  <c r="CP12" i="13"/>
  <c r="AQ12" i="13"/>
  <c r="AR13" i="12"/>
  <c r="AR13" i="13" s="1"/>
  <c r="BE13" i="12"/>
  <c r="BE13" i="13" s="1"/>
  <c r="FC13" i="12"/>
  <c r="FC13" i="13" s="1"/>
  <c r="EQ13" i="12"/>
  <c r="EQ13" i="13" s="1"/>
  <c r="BZ13" i="12"/>
  <c r="CZ13" i="12"/>
  <c r="CZ13" i="13" s="1"/>
  <c r="C13" i="12"/>
  <c r="C13" i="13" s="1"/>
  <c r="DD13" i="12"/>
  <c r="DD13" i="13" s="1"/>
  <c r="P13" i="12"/>
  <c r="P13" i="13" s="1"/>
  <c r="M13" i="12"/>
  <c r="M13" i="13" s="1"/>
  <c r="BQ12" i="13"/>
  <c r="EY12" i="13"/>
  <c r="AR12" i="13"/>
  <c r="BG12" i="13"/>
  <c r="EO12" i="13"/>
  <c r="EP12" i="13"/>
  <c r="CT12" i="13"/>
  <c r="DY12" i="13"/>
  <c r="DV13" i="12"/>
  <c r="DV13" i="13" s="1"/>
  <c r="CA12" i="13"/>
  <c r="AD12" i="13"/>
  <c r="AA12" i="13"/>
  <c r="T13" i="13"/>
  <c r="DR13" i="13"/>
  <c r="G13" i="13"/>
  <c r="DC13" i="13"/>
  <c r="ES13" i="13"/>
  <c r="D13" i="13"/>
  <c r="DU13" i="13"/>
  <c r="EC13" i="13"/>
  <c r="FB13" i="13"/>
  <c r="CI13" i="13"/>
  <c r="E13" i="13"/>
  <c r="AP13" i="13"/>
  <c r="CF13" i="13"/>
  <c r="DW13" i="13"/>
  <c r="L13" i="13"/>
  <c r="AZ13" i="13"/>
  <c r="DB13" i="13"/>
  <c r="BP13" i="13"/>
  <c r="Y13" i="13"/>
  <c r="AT13" i="13"/>
  <c r="BW13" i="13"/>
  <c r="AS13" i="13"/>
  <c r="CQ13" i="13"/>
  <c r="EP13" i="13"/>
  <c r="DX13" i="13"/>
  <c r="EV13" i="13"/>
  <c r="H13" i="13"/>
  <c r="K13" i="13"/>
  <c r="BG13" i="13"/>
  <c r="ET13" i="13"/>
  <c r="CT13" i="13"/>
  <c r="BN13" i="13"/>
  <c r="CR13" i="13"/>
  <c r="AH13" i="13"/>
  <c r="AB13" i="13"/>
  <c r="DG13" i="13"/>
  <c r="BB13" i="13"/>
  <c r="S13" i="13"/>
  <c r="AA13" i="13"/>
  <c r="BV13" i="13"/>
  <c r="CP13" i="13"/>
  <c r="BA13" i="13"/>
  <c r="EZ13" i="13"/>
  <c r="DH13" i="13"/>
  <c r="O13" i="13"/>
  <c r="CL13" i="13"/>
  <c r="DL13" i="13"/>
  <c r="DJ13" i="13"/>
  <c r="EH13" i="13"/>
  <c r="I13" i="13"/>
  <c r="J13" i="13"/>
  <c r="BD13" i="13"/>
  <c r="CB13" i="13"/>
  <c r="CE13" i="13"/>
  <c r="BF13" i="13"/>
  <c r="AJ13" i="13"/>
  <c r="AX13" i="13"/>
  <c r="FD13" i="13"/>
  <c r="AL13" i="13"/>
  <c r="AW13" i="13"/>
  <c r="AN13" i="13"/>
  <c r="Y93" i="19"/>
  <c r="H93" i="19"/>
  <c r="Z93" i="19"/>
  <c r="L93" i="19"/>
  <c r="V93" i="19"/>
  <c r="K93" i="19"/>
  <c r="F93" i="19"/>
  <c r="AA93" i="19"/>
  <c r="I93" i="19"/>
  <c r="AB93" i="19"/>
  <c r="G93" i="19"/>
  <c r="X93" i="19"/>
  <c r="J93" i="19"/>
  <c r="M93" i="19"/>
  <c r="N93" i="19"/>
  <c r="B98" i="1"/>
  <c r="FB14" i="12" s="1"/>
  <c r="C97" i="1"/>
  <c r="D97" i="1"/>
  <c r="H97" i="1"/>
  <c r="I336" i="5"/>
  <c r="J334" i="5"/>
  <c r="J336" i="5"/>
  <c r="J333" i="5"/>
  <c r="I335" i="5"/>
  <c r="I333" i="5"/>
  <c r="I334" i="5"/>
  <c r="J335" i="5"/>
  <c r="K329" i="5"/>
  <c r="K331" i="5"/>
  <c r="W92" i="19"/>
  <c r="R92" i="19"/>
  <c r="K332" i="5"/>
  <c r="K330" i="5"/>
  <c r="CV13" i="13" l="1"/>
  <c r="BY13" i="13"/>
  <c r="CH13" i="13"/>
  <c r="ED13" i="13"/>
  <c r="CK13" i="13"/>
  <c r="CX13" i="13"/>
  <c r="CO13" i="13"/>
  <c r="CA13" i="13"/>
  <c r="AM13" i="13"/>
  <c r="EU13" i="13"/>
  <c r="DN13" i="13"/>
  <c r="ER13" i="13"/>
  <c r="EM13" i="13"/>
  <c r="BJ13" i="13"/>
  <c r="EE13" i="13"/>
  <c r="CD13" i="13"/>
  <c r="BZ13" i="13"/>
  <c r="DM13" i="13"/>
  <c r="CC13" i="13"/>
  <c r="AV13" i="13"/>
  <c r="AY13" i="13"/>
  <c r="AU13" i="13"/>
  <c r="CJ13" i="13"/>
  <c r="DZ13" i="13"/>
  <c r="AO13" i="13"/>
  <c r="EK13" i="13"/>
  <c r="W93" i="19"/>
  <c r="U93" i="19"/>
  <c r="BJ14" i="12"/>
  <c r="FF14" i="12"/>
  <c r="CF14" i="12"/>
  <c r="DQ14" i="12"/>
  <c r="DP14" i="12"/>
  <c r="R14" i="12"/>
  <c r="V14" i="12"/>
  <c r="CE14" i="12"/>
  <c r="S14" i="12"/>
  <c r="DF14" i="12"/>
  <c r="DO14" i="12"/>
  <c r="DS14" i="12"/>
  <c r="EH14" i="12"/>
  <c r="M14" i="12"/>
  <c r="CV14" i="12"/>
  <c r="O14" i="12"/>
  <c r="CO14" i="12"/>
  <c r="DL14" i="12"/>
  <c r="CL14" i="12"/>
  <c r="DH14" i="12"/>
  <c r="AY14" i="12"/>
  <c r="FD14" i="12"/>
  <c r="CG14" i="12"/>
  <c r="DJ14" i="12"/>
  <c r="CX14" i="12"/>
  <c r="ET14" i="12"/>
  <c r="DI14" i="12"/>
  <c r="DX14" i="12"/>
  <c r="AJ14" i="12"/>
  <c r="AP14" i="12"/>
  <c r="EF14" i="12"/>
  <c r="AG14" i="12"/>
  <c r="EW14" i="12"/>
  <c r="EQ14" i="12"/>
  <c r="AE14" i="12"/>
  <c r="BL14" i="12"/>
  <c r="EJ14" i="12"/>
  <c r="AN14" i="12"/>
  <c r="BU14" i="12"/>
  <c r="D14" i="12"/>
  <c r="EN14" i="12"/>
  <c r="AI14" i="12"/>
  <c r="DA14" i="12"/>
  <c r="DZ14" i="12"/>
  <c r="EM14" i="12"/>
  <c r="AV14" i="12"/>
  <c r="AT14" i="12"/>
  <c r="EP14" i="12"/>
  <c r="DC14" i="12"/>
  <c r="X14" i="12"/>
  <c r="K14" i="12"/>
  <c r="AO14" i="12"/>
  <c r="W14" i="12"/>
  <c r="CY14" i="12"/>
  <c r="AF14" i="12"/>
  <c r="FC14" i="12"/>
  <c r="F14" i="12"/>
  <c r="CM14" i="12"/>
  <c r="FA14" i="12"/>
  <c r="BG14" i="12"/>
  <c r="DK14" i="12"/>
  <c r="CP14" i="12"/>
  <c r="DW14" i="12"/>
  <c r="N14" i="12"/>
  <c r="L14" i="12"/>
  <c r="DM14" i="12"/>
  <c r="CK14" i="12"/>
  <c r="CI14" i="12"/>
  <c r="FE14" i="12"/>
  <c r="Z14" i="12"/>
  <c r="DD14" i="12"/>
  <c r="BK14" i="12"/>
  <c r="BO14" i="12"/>
  <c r="DU14" i="12"/>
  <c r="ES14" i="12"/>
  <c r="EX14" i="12"/>
  <c r="DY14" i="12"/>
  <c r="CN14" i="12"/>
  <c r="AB14" i="12"/>
  <c r="BF14" i="12"/>
  <c r="BA14" i="12"/>
  <c r="Q14" i="12"/>
  <c r="DE14" i="12"/>
  <c r="EY14" i="12"/>
  <c r="EB14" i="12"/>
  <c r="AZ14" i="12"/>
  <c r="BQ14" i="12"/>
  <c r="DV14" i="12"/>
  <c r="G14" i="12"/>
  <c r="BX14" i="12"/>
  <c r="AQ14" i="12"/>
  <c r="EU14" i="12"/>
  <c r="BN14" i="12"/>
  <c r="AM14" i="12"/>
  <c r="EC14" i="12"/>
  <c r="EA14" i="12"/>
  <c r="BR14" i="12"/>
  <c r="EV14" i="12"/>
  <c r="AD14" i="12"/>
  <c r="BZ14" i="12"/>
  <c r="I14" i="12"/>
  <c r="FG14" i="12"/>
  <c r="E14" i="12"/>
  <c r="BE14" i="12"/>
  <c r="ER14" i="12"/>
  <c r="BY14" i="12"/>
  <c r="BT14" i="12"/>
  <c r="EO14" i="12"/>
  <c r="BP14" i="12"/>
  <c r="ED14" i="12"/>
  <c r="AC14" i="12"/>
  <c r="CJ14" i="12"/>
  <c r="CH14" i="12"/>
  <c r="C14" i="12"/>
  <c r="CW14" i="12"/>
  <c r="CA14" i="12"/>
  <c r="AW14" i="12"/>
  <c r="BD14" i="12"/>
  <c r="DN14" i="12"/>
  <c r="EK14" i="12"/>
  <c r="CR14" i="12"/>
  <c r="AU14" i="12"/>
  <c r="U14" i="12"/>
  <c r="BC14" i="12"/>
  <c r="EE14" i="12"/>
  <c r="CD14" i="12"/>
  <c r="CD14" i="13" s="1"/>
  <c r="AR14" i="12"/>
  <c r="BV14" i="12"/>
  <c r="EI14" i="12"/>
  <c r="CB14" i="12"/>
  <c r="CT14" i="12"/>
  <c r="EZ14" i="12"/>
  <c r="CU14" i="12"/>
  <c r="EL14" i="12"/>
  <c r="BS14" i="12"/>
  <c r="AL14" i="12"/>
  <c r="DB14" i="12"/>
  <c r="DB14" i="13" s="1"/>
  <c r="BH14" i="12"/>
  <c r="AK14" i="12"/>
  <c r="AK14" i="13" s="1"/>
  <c r="AA14" i="12"/>
  <c r="BI14" i="12"/>
  <c r="CZ14" i="12"/>
  <c r="T14" i="12"/>
  <c r="AS14" i="12"/>
  <c r="AH14" i="12"/>
  <c r="BB14" i="12"/>
  <c r="CS14" i="12"/>
  <c r="J14" i="12"/>
  <c r="DR14" i="12"/>
  <c r="DT14" i="12"/>
  <c r="DT14" i="13" s="1"/>
  <c r="CC14" i="12"/>
  <c r="EG14" i="12"/>
  <c r="EG14" i="13" s="1"/>
  <c r="BW14" i="12"/>
  <c r="P14" i="12"/>
  <c r="Y14" i="12"/>
  <c r="BM14" i="12"/>
  <c r="H14" i="12"/>
  <c r="DG14" i="12"/>
  <c r="DG14" i="13" s="1"/>
  <c r="AX14" i="12"/>
  <c r="CQ14" i="12"/>
  <c r="BX15" i="12"/>
  <c r="FD15" i="12"/>
  <c r="C15" i="12"/>
  <c r="AV15" i="12"/>
  <c r="R93" i="19"/>
  <c r="B99" i="1"/>
  <c r="CK15" i="12" s="1"/>
  <c r="C98" i="1"/>
  <c r="D98" i="1"/>
  <c r="H98" i="1"/>
  <c r="AA94" i="19"/>
  <c r="Z94" i="19"/>
  <c r="K94" i="19"/>
  <c r="F94" i="19"/>
  <c r="AB94" i="19"/>
  <c r="Y94" i="19"/>
  <c r="G94" i="19"/>
  <c r="N94" i="19"/>
  <c r="J94" i="19"/>
  <c r="X94" i="19"/>
  <c r="M94" i="19"/>
  <c r="H94" i="19"/>
  <c r="L94" i="19"/>
  <c r="V94" i="19"/>
  <c r="I94" i="19"/>
  <c r="J337" i="5"/>
  <c r="I337" i="5"/>
  <c r="K336" i="5"/>
  <c r="K335" i="5"/>
  <c r="K334" i="5"/>
  <c r="K333" i="5"/>
  <c r="CQ14" i="13" l="1"/>
  <c r="AL14" i="13"/>
  <c r="U94" i="19"/>
  <c r="CS14" i="13"/>
  <c r="U14" i="13"/>
  <c r="AH14" i="13"/>
  <c r="H14" i="13"/>
  <c r="BM14" i="13"/>
  <c r="Y14" i="13"/>
  <c r="CT14" i="13"/>
  <c r="CZ14" i="13"/>
  <c r="BD14" i="13"/>
  <c r="BW14" i="13"/>
  <c r="BW15" i="12"/>
  <c r="D15" i="12"/>
  <c r="EL14" i="13"/>
  <c r="ED14" i="13"/>
  <c r="BV14" i="13"/>
  <c r="DR14" i="13"/>
  <c r="BI14" i="13"/>
  <c r="CU14" i="13"/>
  <c r="EE14" i="13"/>
  <c r="EI14" i="13"/>
  <c r="CR14" i="13"/>
  <c r="AW14" i="13"/>
  <c r="EK14" i="13"/>
  <c r="CJ14" i="13"/>
  <c r="BE14" i="13"/>
  <c r="J14" i="13"/>
  <c r="AA14" i="13"/>
  <c r="EZ14" i="13"/>
  <c r="BC14" i="13"/>
  <c r="AX14" i="13"/>
  <c r="CC14" i="13"/>
  <c r="BT14" i="13"/>
  <c r="AD14" i="13"/>
  <c r="P14" i="13"/>
  <c r="BB14" i="13"/>
  <c r="T14" i="13"/>
  <c r="BS14" i="13"/>
  <c r="AC14" i="13"/>
  <c r="E14" i="13"/>
  <c r="CA14" i="13"/>
  <c r="EO14" i="13"/>
  <c r="BZ14" i="13"/>
  <c r="EU14" i="13"/>
  <c r="BH14" i="13"/>
  <c r="CB14" i="13"/>
  <c r="AU14" i="13"/>
  <c r="C14" i="13"/>
  <c r="BY14" i="13"/>
  <c r="EY14" i="13"/>
  <c r="EV14" i="13"/>
  <c r="DY14" i="13"/>
  <c r="EA15" i="12"/>
  <c r="AQ15" i="12"/>
  <c r="BV15" i="12"/>
  <c r="AJ15" i="12"/>
  <c r="EL15" i="12"/>
  <c r="AG15" i="12"/>
  <c r="AS15" i="12"/>
  <c r="FB15" i="12"/>
  <c r="CH15" i="12"/>
  <c r="N15" i="12"/>
  <c r="CP15" i="12"/>
  <c r="CN15" i="12"/>
  <c r="CC15" i="12"/>
  <c r="CX15" i="12"/>
  <c r="EC14" i="13"/>
  <c r="BQ14" i="13"/>
  <c r="BF14" i="13"/>
  <c r="BK14" i="13"/>
  <c r="BT15" i="12"/>
  <c r="DK14" i="13"/>
  <c r="EW15" i="12"/>
  <c r="AV14" i="13"/>
  <c r="AN14" i="13"/>
  <c r="CX14" i="13"/>
  <c r="CO14" i="13"/>
  <c r="EH14" i="13"/>
  <c r="R14" i="13"/>
  <c r="FE15" i="12"/>
  <c r="R15" i="12"/>
  <c r="DR15" i="12"/>
  <c r="I15" i="12"/>
  <c r="T15" i="12"/>
  <c r="DF15" i="12"/>
  <c r="CL15" i="12"/>
  <c r="EZ15" i="12"/>
  <c r="ES15" i="12"/>
  <c r="EX15" i="12"/>
  <c r="BD15" i="12"/>
  <c r="CM15" i="12"/>
  <c r="DQ15" i="12"/>
  <c r="AH15" i="12"/>
  <c r="BG15" i="12"/>
  <c r="DN15" i="12"/>
  <c r="F15" i="12"/>
  <c r="BS15" i="12"/>
  <c r="DO15" i="12"/>
  <c r="AW15" i="12"/>
  <c r="CO15" i="12"/>
  <c r="AS14" i="13"/>
  <c r="AM14" i="13"/>
  <c r="AZ14" i="13"/>
  <c r="AB14" i="13"/>
  <c r="DD14" i="13"/>
  <c r="CI14" i="13"/>
  <c r="BG14" i="13"/>
  <c r="W14" i="13"/>
  <c r="EM14" i="13"/>
  <c r="EJ14" i="13"/>
  <c r="AG14" i="13"/>
  <c r="DJ14" i="13"/>
  <c r="O14" i="13"/>
  <c r="AF15" i="12"/>
  <c r="DP14" i="13"/>
  <c r="BE15" i="12"/>
  <c r="DU15" i="12"/>
  <c r="BC15" i="12"/>
  <c r="DX15" i="12"/>
  <c r="U15" i="12"/>
  <c r="DH15" i="12"/>
  <c r="AK15" i="12"/>
  <c r="H15" i="12"/>
  <c r="ET15" i="12"/>
  <c r="CT15" i="12"/>
  <c r="BL15" i="12"/>
  <c r="V15" i="12"/>
  <c r="EP15" i="12"/>
  <c r="AB15" i="12"/>
  <c r="DA15" i="12"/>
  <c r="CE15" i="12"/>
  <c r="EN15" i="12"/>
  <c r="CW14" i="13"/>
  <c r="BP14" i="13"/>
  <c r="I14" i="13"/>
  <c r="BN14" i="13"/>
  <c r="EB14" i="13"/>
  <c r="CN14" i="13"/>
  <c r="Z14" i="13"/>
  <c r="CK14" i="13"/>
  <c r="FA14" i="13"/>
  <c r="AO14" i="13"/>
  <c r="DZ14" i="13"/>
  <c r="BL14" i="13"/>
  <c r="EF14" i="13"/>
  <c r="CG14" i="13"/>
  <c r="BN15" i="12"/>
  <c r="DS14" i="13"/>
  <c r="DQ14" i="13"/>
  <c r="AX15" i="12"/>
  <c r="DK15" i="12"/>
  <c r="CU15" i="12"/>
  <c r="FA15" i="12"/>
  <c r="BK15" i="12"/>
  <c r="EJ15" i="12"/>
  <c r="EK15" i="12"/>
  <c r="AI15" i="12"/>
  <c r="BF15" i="12"/>
  <c r="Z15" i="12"/>
  <c r="AL15" i="12"/>
  <c r="FE14" i="13"/>
  <c r="DM14" i="13"/>
  <c r="CM14" i="13"/>
  <c r="K14" i="13"/>
  <c r="DA14" i="13"/>
  <c r="AE14" i="13"/>
  <c r="AP14" i="13"/>
  <c r="FD14" i="13"/>
  <c r="P15" i="12"/>
  <c r="DO14" i="13"/>
  <c r="CF14" i="13"/>
  <c r="AZ15" i="12"/>
  <c r="AY15" i="12"/>
  <c r="EF15" i="12"/>
  <c r="AA15" i="12"/>
  <c r="DL15" i="12"/>
  <c r="DV15" i="12"/>
  <c r="BP15" i="12"/>
  <c r="X15" i="12"/>
  <c r="E15" i="12"/>
  <c r="DY15" i="12"/>
  <c r="CG15" i="12"/>
  <c r="AU15" i="12"/>
  <c r="BI15" i="12"/>
  <c r="CJ15" i="12"/>
  <c r="BO15" i="12"/>
  <c r="DS15" i="12"/>
  <c r="CQ15" i="12"/>
  <c r="DW15" i="12"/>
  <c r="AM15" i="12"/>
  <c r="FC15" i="12"/>
  <c r="ED15" i="12"/>
  <c r="AQ14" i="13"/>
  <c r="AC15" i="12"/>
  <c r="EX14" i="13"/>
  <c r="DM15" i="12"/>
  <c r="L14" i="13"/>
  <c r="F14" i="13"/>
  <c r="X14" i="13"/>
  <c r="AI14" i="13"/>
  <c r="EQ14" i="13"/>
  <c r="AJ14" i="13"/>
  <c r="AY14" i="13"/>
  <c r="DB15" i="12"/>
  <c r="DF14" i="13"/>
  <c r="FF14" i="13"/>
  <c r="EQ15" i="12"/>
  <c r="ER15" i="12"/>
  <c r="CI15" i="12"/>
  <c r="CS15" i="12"/>
  <c r="DP15" i="12"/>
  <c r="O15" i="12"/>
  <c r="EE15" i="12"/>
  <c r="EH15" i="12"/>
  <c r="BM15" i="12"/>
  <c r="DD15" i="12"/>
  <c r="AO15" i="12"/>
  <c r="CY15" i="12"/>
  <c r="CA15" i="12"/>
  <c r="BX14" i="13"/>
  <c r="DE14" i="13"/>
  <c r="ES14" i="13"/>
  <c r="DT15" i="12"/>
  <c r="N14" i="13"/>
  <c r="FC14" i="13"/>
  <c r="DC14" i="13"/>
  <c r="EN14" i="13"/>
  <c r="Y15" i="12"/>
  <c r="DX14" i="13"/>
  <c r="DH14" i="13"/>
  <c r="BJ15" i="12"/>
  <c r="S14" i="13"/>
  <c r="BJ14" i="13"/>
  <c r="EU15" i="12"/>
  <c r="CF15" i="12"/>
  <c r="CR15" i="12"/>
  <c r="DI15" i="12"/>
  <c r="L15" i="12"/>
  <c r="AE15" i="12"/>
  <c r="EO15" i="12"/>
  <c r="EV15" i="12"/>
  <c r="DZ15" i="12"/>
  <c r="BB15" i="12"/>
  <c r="EC15" i="12"/>
  <c r="BQ15" i="12"/>
  <c r="CZ15" i="12"/>
  <c r="S15" i="12"/>
  <c r="FF15" i="12"/>
  <c r="BH15" i="12"/>
  <c r="CB15" i="12"/>
  <c r="CD15" i="12"/>
  <c r="EM15" i="12"/>
  <c r="EI15" i="12"/>
  <c r="DE15" i="12"/>
  <c r="DJ15" i="12"/>
  <c r="CW15" i="12"/>
  <c r="AR14" i="13"/>
  <c r="DN14" i="13"/>
  <c r="CH14" i="13"/>
  <c r="ER14" i="13"/>
  <c r="BR14" i="13"/>
  <c r="G14" i="13"/>
  <c r="Q14" i="13"/>
  <c r="DU14" i="13"/>
  <c r="M15" i="12"/>
  <c r="DW14" i="13"/>
  <c r="AF14" i="13"/>
  <c r="EP14" i="13"/>
  <c r="D14" i="13"/>
  <c r="W15" i="12"/>
  <c r="DI14" i="13"/>
  <c r="CL14" i="13"/>
  <c r="CV14" i="13"/>
  <c r="CE14" i="13"/>
  <c r="BU15" i="12"/>
  <c r="DG15" i="12"/>
  <c r="BR15" i="12"/>
  <c r="CV15" i="12"/>
  <c r="AR15" i="12"/>
  <c r="BY15" i="12"/>
  <c r="FG15" i="12"/>
  <c r="CI15" i="13" s="1"/>
  <c r="EY15" i="12"/>
  <c r="DC15" i="12"/>
  <c r="BZ15" i="12"/>
  <c r="BA15" i="12"/>
  <c r="Q15" i="12"/>
  <c r="K15" i="12"/>
  <c r="AT15" i="12"/>
  <c r="EG15" i="12"/>
  <c r="AP15" i="12"/>
  <c r="AD15" i="12"/>
  <c r="EB15" i="12"/>
  <c r="J15" i="12"/>
  <c r="G15" i="12"/>
  <c r="EA14" i="13"/>
  <c r="DV14" i="13"/>
  <c r="BA14" i="13"/>
  <c r="BO14" i="13"/>
  <c r="AN15" i="12"/>
  <c r="CP14" i="13"/>
  <c r="CY14" i="13"/>
  <c r="AT14" i="13"/>
  <c r="BU14" i="13"/>
  <c r="EW14" i="13"/>
  <c r="ET14" i="13"/>
  <c r="DL14" i="13"/>
  <c r="M14" i="13"/>
  <c r="V14" i="13"/>
  <c r="FB14" i="13"/>
  <c r="EZ16" i="12"/>
  <c r="H95" i="19"/>
  <c r="V95" i="19"/>
  <c r="F95" i="19"/>
  <c r="AB95" i="19"/>
  <c r="Y95" i="19"/>
  <c r="N95" i="19"/>
  <c r="I95" i="19"/>
  <c r="K95" i="19"/>
  <c r="Z95" i="19"/>
  <c r="J95" i="19"/>
  <c r="L95" i="19"/>
  <c r="M95" i="19"/>
  <c r="X95" i="19"/>
  <c r="G95" i="19"/>
  <c r="AA95" i="19"/>
  <c r="B100" i="1"/>
  <c r="AM16" i="12" s="1"/>
  <c r="C99" i="1"/>
  <c r="H99" i="1"/>
  <c r="D99" i="1"/>
  <c r="J338" i="5"/>
  <c r="I339" i="5"/>
  <c r="I340" i="5"/>
  <c r="J339" i="5"/>
  <c r="J340" i="5"/>
  <c r="I338" i="5"/>
  <c r="K337" i="5"/>
  <c r="R94" i="19"/>
  <c r="W94" i="19"/>
  <c r="AL16" i="12" l="1"/>
  <c r="U95" i="19"/>
  <c r="AQ16" i="12"/>
  <c r="CX16" i="12"/>
  <c r="BZ16" i="12"/>
  <c r="AS16" i="12"/>
  <c r="BQ16" i="12"/>
  <c r="G16" i="12"/>
  <c r="BT16" i="12"/>
  <c r="BJ16" i="12"/>
  <c r="AX16" i="12"/>
  <c r="Q16" i="12"/>
  <c r="BR16" i="12"/>
  <c r="DG16" i="12"/>
  <c r="AF16" i="12"/>
  <c r="AW16" i="12"/>
  <c r="EX16" i="12"/>
  <c r="DY16" i="12"/>
  <c r="AP16" i="12"/>
  <c r="CR16" i="12"/>
  <c r="EG15" i="13"/>
  <c r="DR16" i="12"/>
  <c r="BS16" i="12"/>
  <c r="DZ15" i="13"/>
  <c r="CQ15" i="13"/>
  <c r="C15" i="13"/>
  <c r="CD15" i="13"/>
  <c r="O15" i="13"/>
  <c r="BV15" i="13"/>
  <c r="CZ15" i="13"/>
  <c r="BK15" i="13"/>
  <c r="EX15" i="13"/>
  <c r="EW15" i="13"/>
  <c r="CH15" i="13"/>
  <c r="DJ15" i="13"/>
  <c r="M15" i="13"/>
  <c r="CX15" i="13"/>
  <c r="DX15" i="13"/>
  <c r="AJ15" i="13"/>
  <c r="AB15" i="13"/>
  <c r="EZ15" i="13"/>
  <c r="EJ15" i="13"/>
  <c r="CR15" i="13"/>
  <c r="EI15" i="13"/>
  <c r="DM15" i="13"/>
  <c r="N15" i="13"/>
  <c r="CK15" i="13"/>
  <c r="F15" i="13"/>
  <c r="CN15" i="13"/>
  <c r="AL15" i="13"/>
  <c r="E15" i="13"/>
  <c r="CG15" i="13"/>
  <c r="AH15" i="13"/>
  <c r="AV15" i="13"/>
  <c r="AO15" i="13"/>
  <c r="R15" i="13"/>
  <c r="DO15" i="13"/>
  <c r="BA15" i="13"/>
  <c r="DI15" i="13"/>
  <c r="FA15" i="13"/>
  <c r="AA15" i="13"/>
  <c r="AY15" i="13"/>
  <c r="DQ15" i="13"/>
  <c r="AP15" i="13"/>
  <c r="CB15" i="13"/>
  <c r="BH15" i="13"/>
  <c r="EV15" i="13"/>
  <c r="BC15" i="13"/>
  <c r="CE15" i="13"/>
  <c r="EE15" i="13"/>
  <c r="DR15" i="13"/>
  <c r="CM15" i="13"/>
  <c r="CO15" i="13"/>
  <c r="DB15" i="13"/>
  <c r="P15" i="13"/>
  <c r="G15" i="13"/>
  <c r="Q15" i="13"/>
  <c r="AZ15" i="13"/>
  <c r="AS15" i="13"/>
  <c r="ES15" i="13"/>
  <c r="BJ15" i="13"/>
  <c r="EA15" i="13"/>
  <c r="U15" i="13"/>
  <c r="I15" i="13"/>
  <c r="AD15" i="13"/>
  <c r="BQ15" i="13"/>
  <c r="DF15" i="13"/>
  <c r="AK15" i="13"/>
  <c r="AW15" i="13"/>
  <c r="DP15" i="13"/>
  <c r="CT15" i="13"/>
  <c r="CC15" i="13"/>
  <c r="DU15" i="13"/>
  <c r="CY15" i="13"/>
  <c r="CL15" i="13"/>
  <c r="Z15" i="13"/>
  <c r="AE15" i="13"/>
  <c r="BP15" i="13"/>
  <c r="BO15" i="13"/>
  <c r="ET15" i="13"/>
  <c r="AT15" i="13"/>
  <c r="BY15" i="13"/>
  <c r="CW15" i="13"/>
  <c r="AQ15" i="13"/>
  <c r="AC15" i="13"/>
  <c r="BT15" i="13"/>
  <c r="DH15" i="13"/>
  <c r="AI15" i="13"/>
  <c r="CS15" i="13"/>
  <c r="DW15" i="13"/>
  <c r="DS15" i="13"/>
  <c r="D15" i="13"/>
  <c r="BE15" i="13"/>
  <c r="T15" i="13"/>
  <c r="CJ15" i="13"/>
  <c r="FD15" i="13"/>
  <c r="S15" i="13"/>
  <c r="BL15" i="13"/>
  <c r="FB15" i="13"/>
  <c r="K15" i="13"/>
  <c r="AR15" i="13"/>
  <c r="CV15" i="13"/>
  <c r="W15" i="13"/>
  <c r="DE15" i="13"/>
  <c r="L15" i="13"/>
  <c r="AM15" i="13"/>
  <c r="X15" i="13"/>
  <c r="DN15" i="13"/>
  <c r="CA15" i="13"/>
  <c r="BW15" i="13"/>
  <c r="DV15" i="13"/>
  <c r="BG15" i="13"/>
  <c r="BF15" i="13"/>
  <c r="EK15" i="13"/>
  <c r="DK15" i="13"/>
  <c r="CU15" i="13"/>
  <c r="V15" i="13"/>
  <c r="CF15" i="13"/>
  <c r="DY15" i="13"/>
  <c r="J15" i="13"/>
  <c r="BX15" i="13"/>
  <c r="EP15" i="13"/>
  <c r="EL15" i="13"/>
  <c r="AU15" i="13"/>
  <c r="BU15" i="13"/>
  <c r="AF15" i="13"/>
  <c r="DT15" i="13"/>
  <c r="EU15" i="13"/>
  <c r="EN15" i="13"/>
  <c r="EB15" i="13"/>
  <c r="BZ15" i="13"/>
  <c r="DG15" i="13"/>
  <c r="EM15" i="13"/>
  <c r="EC15" i="13"/>
  <c r="BD15" i="13"/>
  <c r="AX15" i="13"/>
  <c r="Y15" i="13"/>
  <c r="BS15" i="13"/>
  <c r="BM15" i="13"/>
  <c r="EF15" i="13"/>
  <c r="FC15" i="13"/>
  <c r="AG15" i="13"/>
  <c r="CP15" i="13"/>
  <c r="FE15" i="13"/>
  <c r="BN15" i="13"/>
  <c r="DA15" i="13"/>
  <c r="EQ15" i="13"/>
  <c r="AN15" i="13"/>
  <c r="EY15" i="13"/>
  <c r="FF15" i="13"/>
  <c r="EO15" i="13"/>
  <c r="DD15" i="13"/>
  <c r="EH15" i="13"/>
  <c r="BB15" i="13"/>
  <c r="ER15" i="13"/>
  <c r="ED15" i="13"/>
  <c r="BI15" i="13"/>
  <c r="DL15" i="13"/>
  <c r="CB16" i="12"/>
  <c r="BP16" i="12"/>
  <c r="EM16" i="12"/>
  <c r="I16" i="12"/>
  <c r="FB16" i="12"/>
  <c r="AR16" i="12"/>
  <c r="AZ16" i="12"/>
  <c r="BG16" i="12"/>
  <c r="L16" i="12"/>
  <c r="DJ16" i="12"/>
  <c r="EP16" i="12"/>
  <c r="AV16" i="12"/>
  <c r="DD16" i="12"/>
  <c r="D16" i="12"/>
  <c r="DT16" i="12"/>
  <c r="FE16" i="12"/>
  <c r="AJ16" i="12"/>
  <c r="H15" i="13"/>
  <c r="CV16" i="12"/>
  <c r="CD16" i="12"/>
  <c r="BH16" i="12"/>
  <c r="J16" i="12"/>
  <c r="FA16" i="12"/>
  <c r="CM16" i="12"/>
  <c r="ES16" i="12"/>
  <c r="BX16" i="12"/>
  <c r="AC16" i="12"/>
  <c r="ER16" i="12"/>
  <c r="DA16" i="12"/>
  <c r="BY16" i="12"/>
  <c r="CT16" i="12"/>
  <c r="EE16" i="12"/>
  <c r="EJ16" i="12"/>
  <c r="CL16" i="12"/>
  <c r="DO16" i="12"/>
  <c r="BN16" i="12"/>
  <c r="DV16" i="12"/>
  <c r="M16" i="12"/>
  <c r="CU16" i="12"/>
  <c r="CQ16" i="12"/>
  <c r="CG16" i="12"/>
  <c r="BD16" i="12"/>
  <c r="AO16" i="12"/>
  <c r="EF16" i="12"/>
  <c r="EW16" i="12"/>
  <c r="FD16" i="12"/>
  <c r="Z16" i="12"/>
  <c r="EN16" i="12"/>
  <c r="T16" i="12"/>
  <c r="DU16" i="12"/>
  <c r="S16" i="12"/>
  <c r="DK16" i="12"/>
  <c r="EB16" i="12"/>
  <c r="DL16" i="12"/>
  <c r="N16" i="12"/>
  <c r="EA16" i="12"/>
  <c r="U16" i="12"/>
  <c r="BF16" i="12"/>
  <c r="CK16" i="12"/>
  <c r="FC16" i="12"/>
  <c r="DQ16" i="12"/>
  <c r="DC15" i="13"/>
  <c r="AY16" i="12"/>
  <c r="CW16" i="12"/>
  <c r="CI16" i="12"/>
  <c r="AA16" i="12"/>
  <c r="DP16" i="12"/>
  <c r="X16" i="12"/>
  <c r="CS16" i="12"/>
  <c r="DS16" i="12"/>
  <c r="EV16" i="12"/>
  <c r="FG16" i="12"/>
  <c r="G16" i="13" s="1"/>
  <c r="BE16" i="12"/>
  <c r="CP16" i="12"/>
  <c r="BV16" i="12"/>
  <c r="BL16" i="12"/>
  <c r="BC16" i="12"/>
  <c r="O16" i="12"/>
  <c r="CA16" i="12"/>
  <c r="CO16" i="12"/>
  <c r="EY16" i="12"/>
  <c r="CE16" i="12"/>
  <c r="W16" i="12"/>
  <c r="CN16" i="12"/>
  <c r="P16" i="12"/>
  <c r="AU16" i="12"/>
  <c r="DC16" i="12"/>
  <c r="EO16" i="12"/>
  <c r="CF16" i="12"/>
  <c r="DN16" i="12"/>
  <c r="C16" i="12"/>
  <c r="AE16" i="12"/>
  <c r="CJ16" i="12"/>
  <c r="K16" i="12"/>
  <c r="H16" i="12"/>
  <c r="R16" i="12"/>
  <c r="R16" i="13" s="1"/>
  <c r="DE16" i="12"/>
  <c r="CY16" i="12"/>
  <c r="E16" i="12"/>
  <c r="EQ16" i="12"/>
  <c r="AI16" i="12"/>
  <c r="FF16" i="12"/>
  <c r="CZ16" i="12"/>
  <c r="DX16" i="12"/>
  <c r="DI16" i="12"/>
  <c r="EK16" i="12"/>
  <c r="BI16" i="12"/>
  <c r="DB16" i="12"/>
  <c r="ET16" i="12"/>
  <c r="AD16" i="12"/>
  <c r="CC16" i="12"/>
  <c r="F16" i="12"/>
  <c r="AG16" i="12"/>
  <c r="EU16" i="12"/>
  <c r="DH16" i="12"/>
  <c r="EL16" i="12"/>
  <c r="EH16" i="12"/>
  <c r="BO16" i="12"/>
  <c r="BM16" i="12"/>
  <c r="DZ16" i="12"/>
  <c r="DZ16" i="13" s="1"/>
  <c r="Y16" i="12"/>
  <c r="AN16" i="12"/>
  <c r="AK16" i="12"/>
  <c r="BU16" i="12"/>
  <c r="BR15" i="13"/>
  <c r="CH16" i="12"/>
  <c r="AB16" i="12"/>
  <c r="V16" i="12"/>
  <c r="V16" i="13" s="1"/>
  <c r="EC16" i="12"/>
  <c r="BK16" i="12"/>
  <c r="BB16" i="12"/>
  <c r="DM16" i="12"/>
  <c r="BA16" i="12"/>
  <c r="EG16" i="12"/>
  <c r="ED16" i="12"/>
  <c r="AT16" i="12"/>
  <c r="DW16" i="12"/>
  <c r="EI16" i="12"/>
  <c r="BW16" i="12"/>
  <c r="AH16" i="12"/>
  <c r="DF16" i="12"/>
  <c r="CF17" i="12"/>
  <c r="DH17" i="12"/>
  <c r="FD17" i="12"/>
  <c r="S16" i="13"/>
  <c r="W95" i="19"/>
  <c r="R95" i="19"/>
  <c r="B101" i="1"/>
  <c r="EU17" i="12" s="1"/>
  <c r="C100" i="1"/>
  <c r="D100" i="1"/>
  <c r="H100" i="1"/>
  <c r="I341" i="5"/>
  <c r="J341" i="5"/>
  <c r="X96" i="19"/>
  <c r="I96" i="19"/>
  <c r="AA96" i="19"/>
  <c r="H96" i="19"/>
  <c r="AB96" i="19"/>
  <c r="L96" i="19"/>
  <c r="J96" i="19"/>
  <c r="K96" i="19"/>
  <c r="Z96" i="19"/>
  <c r="Y96" i="19"/>
  <c r="F96" i="19"/>
  <c r="M96" i="19"/>
  <c r="G96" i="19"/>
  <c r="V96" i="19"/>
  <c r="N96" i="19"/>
  <c r="K340" i="5"/>
  <c r="K339" i="5"/>
  <c r="K338" i="5"/>
  <c r="DQ17" i="12" l="1"/>
  <c r="CZ17" i="12"/>
  <c r="AO17" i="12"/>
  <c r="EC17" i="12"/>
  <c r="DL16" i="13"/>
  <c r="AU17" i="12"/>
  <c r="AL17" i="12"/>
  <c r="DD17" i="12"/>
  <c r="DE17" i="12"/>
  <c r="EP17" i="12"/>
  <c r="Q17" i="12"/>
  <c r="F17" i="12"/>
  <c r="EL17" i="12"/>
  <c r="FF17" i="12"/>
  <c r="CJ17" i="12"/>
  <c r="CX17" i="12"/>
  <c r="EB17" i="12"/>
  <c r="CW17" i="12"/>
  <c r="ET17" i="12"/>
  <c r="BJ17" i="12"/>
  <c r="Z17" i="12"/>
  <c r="CA17" i="12"/>
  <c r="DM17" i="12"/>
  <c r="BQ17" i="12"/>
  <c r="CQ17" i="12"/>
  <c r="U17" i="12"/>
  <c r="BT17" i="12"/>
  <c r="CY17" i="12"/>
  <c r="DX16" i="13"/>
  <c r="CO16" i="13"/>
  <c r="DX17" i="12"/>
  <c r="CS17" i="12"/>
  <c r="X17" i="12"/>
  <c r="ES17" i="12"/>
  <c r="DO17" i="12"/>
  <c r="FC17" i="12"/>
  <c r="DJ17" i="12"/>
  <c r="EN17" i="12"/>
  <c r="K17" i="12"/>
  <c r="EQ17" i="12"/>
  <c r="CH17" i="12"/>
  <c r="DP17" i="12"/>
  <c r="CN17" i="12"/>
  <c r="BL17" i="12"/>
  <c r="DV17" i="12"/>
  <c r="EK17" i="12"/>
  <c r="AI16" i="13"/>
  <c r="BD17" i="12"/>
  <c r="BN17" i="12"/>
  <c r="S17" i="12"/>
  <c r="AT16" i="13"/>
  <c r="BU16" i="13"/>
  <c r="F16" i="13"/>
  <c r="EO16" i="13"/>
  <c r="CU17" i="12"/>
  <c r="P17" i="12"/>
  <c r="DW17" i="12"/>
  <c r="T17" i="12"/>
  <c r="EG17" i="12"/>
  <c r="CO17" i="12"/>
  <c r="AW17" i="12"/>
  <c r="DU17" i="12"/>
  <c r="H17" i="12"/>
  <c r="U96" i="19"/>
  <c r="CB17" i="12"/>
  <c r="DS17" i="12"/>
  <c r="R17" i="12"/>
  <c r="CC17" i="12"/>
  <c r="DT17" i="12"/>
  <c r="BC17" i="12"/>
  <c r="BH17" i="12"/>
  <c r="AL16" i="13"/>
  <c r="CB16" i="13"/>
  <c r="FC16" i="13"/>
  <c r="DA16" i="13"/>
  <c r="AQ16" i="13"/>
  <c r="BE16" i="13"/>
  <c r="BV16" i="13"/>
  <c r="ES16" i="13"/>
  <c r="CU16" i="13"/>
  <c r="AZ16" i="13"/>
  <c r="BS16" i="13"/>
  <c r="DY16" i="13"/>
  <c r="AS16" i="13"/>
  <c r="N16" i="13"/>
  <c r="EX16" i="13"/>
  <c r="EE16" i="13"/>
  <c r="ED16" i="13"/>
  <c r="AB16" i="13"/>
  <c r="BM16" i="13"/>
  <c r="EH16" i="13"/>
  <c r="DD16" i="13"/>
  <c r="AV16" i="13"/>
  <c r="AW16" i="13"/>
  <c r="BC16" i="13"/>
  <c r="EL16" i="13"/>
  <c r="BJ16" i="13"/>
  <c r="DV16" i="13"/>
  <c r="CM16" i="13"/>
  <c r="DP16" i="13"/>
  <c r="K16" i="13"/>
  <c r="BR16" i="13"/>
  <c r="BT16" i="13"/>
  <c r="M16" i="13"/>
  <c r="AE16" i="13"/>
  <c r="CQ16" i="13"/>
  <c r="DF16" i="13"/>
  <c r="BA16" i="13"/>
  <c r="DC16" i="13"/>
  <c r="ER16" i="13"/>
  <c r="AR16" i="13"/>
  <c r="BQ16" i="13"/>
  <c r="BH16" i="13"/>
  <c r="DR16" i="13"/>
  <c r="CR16" i="13"/>
  <c r="FD16" i="13"/>
  <c r="EP16" i="13"/>
  <c r="AF16" i="13"/>
  <c r="AM16" i="13"/>
  <c r="EY16" i="13"/>
  <c r="CD16" i="13"/>
  <c r="DG16" i="13"/>
  <c r="Q16" i="13"/>
  <c r="EW16" i="13"/>
  <c r="BW16" i="13"/>
  <c r="BB16" i="13"/>
  <c r="E16" i="13"/>
  <c r="BP16" i="13"/>
  <c r="DK16" i="13"/>
  <c r="AY16" i="13"/>
  <c r="CN16" i="13"/>
  <c r="CK16" i="13"/>
  <c r="D16" i="13"/>
  <c r="DQ16" i="13"/>
  <c r="EI16" i="13"/>
  <c r="BK16" i="13"/>
  <c r="AN16" i="13"/>
  <c r="CY16" i="13"/>
  <c r="DN16" i="13"/>
  <c r="CE16" i="13"/>
  <c r="CP16" i="13"/>
  <c r="DU16" i="13"/>
  <c r="EQ16" i="13"/>
  <c r="CX16" i="13"/>
  <c r="EB16" i="13"/>
  <c r="FB16" i="13"/>
  <c r="BX16" i="13"/>
  <c r="DT16" i="13"/>
  <c r="DI16" i="13"/>
  <c r="DE16" i="13"/>
  <c r="BL16" i="13"/>
  <c r="CW16" i="13"/>
  <c r="EN16" i="13"/>
  <c r="P16" i="13"/>
  <c r="C16" i="13"/>
  <c r="W16" i="13"/>
  <c r="DO16" i="13"/>
  <c r="AC16" i="13"/>
  <c r="CV16" i="13"/>
  <c r="EM16" i="13"/>
  <c r="CT16" i="13"/>
  <c r="CF16" i="13"/>
  <c r="BZ16" i="13"/>
  <c r="AO16" i="13"/>
  <c r="CG16" i="13"/>
  <c r="DW16" i="13"/>
  <c r="EC16" i="13"/>
  <c r="Y16" i="13"/>
  <c r="AG16" i="13"/>
  <c r="Z16" i="13"/>
  <c r="CL16" i="13"/>
  <c r="AP16" i="13"/>
  <c r="I16" i="13"/>
  <c r="BO16" i="13"/>
  <c r="EZ16" i="13"/>
  <c r="AJ16" i="13"/>
  <c r="EF16" i="13"/>
  <c r="EG16" i="13"/>
  <c r="AX16" i="13"/>
  <c r="L16" i="13"/>
  <c r="EJ16" i="13"/>
  <c r="FE16" i="13"/>
  <c r="DJ16" i="13"/>
  <c r="AH16" i="13"/>
  <c r="DM16" i="13"/>
  <c r="ET16" i="13"/>
  <c r="AK16" i="13"/>
  <c r="DH16" i="13"/>
  <c r="BI16" i="13"/>
  <c r="CH16" i="13"/>
  <c r="CJ16" i="13"/>
  <c r="CC16" i="13"/>
  <c r="CZ16" i="13"/>
  <c r="H16" i="13"/>
  <c r="CA16" i="13"/>
  <c r="EV16" i="13"/>
  <c r="AD16" i="13"/>
  <c r="FF16" i="13"/>
  <c r="AU16" i="13"/>
  <c r="O16" i="13"/>
  <c r="DS16" i="13"/>
  <c r="CS16" i="13"/>
  <c r="DB16" i="13"/>
  <c r="EU16" i="13"/>
  <c r="EK16" i="13"/>
  <c r="AA16" i="13"/>
  <c r="BF16" i="13"/>
  <c r="CI16" i="13"/>
  <c r="BN16" i="13"/>
  <c r="BD16" i="13"/>
  <c r="U16" i="13"/>
  <c r="T16" i="13"/>
  <c r="BG16" i="13"/>
  <c r="FA16" i="13"/>
  <c r="BY16" i="13"/>
  <c r="J16" i="13"/>
  <c r="DB17" i="12"/>
  <c r="AQ17" i="12"/>
  <c r="AI17" i="12"/>
  <c r="L17" i="12"/>
  <c r="BO17" i="12"/>
  <c r="CL17" i="12"/>
  <c r="AK17" i="12"/>
  <c r="AT17" i="12"/>
  <c r="BX17" i="12"/>
  <c r="DR17" i="12"/>
  <c r="CD17" i="12"/>
  <c r="EH17" i="12"/>
  <c r="BS17" i="12"/>
  <c r="AZ17" i="12"/>
  <c r="BY17" i="12"/>
  <c r="BA17" i="12"/>
  <c r="BG17" i="12"/>
  <c r="BB17" i="12"/>
  <c r="X16" i="13"/>
  <c r="EA16" i="13"/>
  <c r="EZ17" i="12"/>
  <c r="EX17" i="12"/>
  <c r="EV17" i="12"/>
  <c r="AH17" i="12"/>
  <c r="DA17" i="12"/>
  <c r="BP17" i="12"/>
  <c r="AG17" i="12"/>
  <c r="BI17" i="12"/>
  <c r="CR17" i="12"/>
  <c r="ED17" i="12"/>
  <c r="CP17" i="12"/>
  <c r="DL17" i="12"/>
  <c r="FB17" i="12"/>
  <c r="AV17" i="12"/>
  <c r="BM17" i="12"/>
  <c r="AY17" i="12"/>
  <c r="EY17" i="12"/>
  <c r="AA17" i="12"/>
  <c r="DK17" i="12"/>
  <c r="AC17" i="12"/>
  <c r="AE17" i="12"/>
  <c r="ER17" i="12"/>
  <c r="BF17" i="12"/>
  <c r="CT17" i="12"/>
  <c r="BU17" i="12"/>
  <c r="M17" i="12"/>
  <c r="DY17" i="12"/>
  <c r="G17" i="12"/>
  <c r="AB17" i="12"/>
  <c r="D17" i="12"/>
  <c r="BE17" i="12"/>
  <c r="CE17" i="12"/>
  <c r="W17" i="12"/>
  <c r="BR17" i="12"/>
  <c r="BZ17" i="12"/>
  <c r="E17" i="12"/>
  <c r="DN17" i="12"/>
  <c r="DZ17" i="12"/>
  <c r="AS17" i="12"/>
  <c r="DF17" i="12"/>
  <c r="FG17" i="12"/>
  <c r="BL17" i="13" s="1"/>
  <c r="EM17" i="12"/>
  <c r="C17" i="12"/>
  <c r="AP17" i="12"/>
  <c r="CM17" i="12"/>
  <c r="AF17" i="12"/>
  <c r="BK17" i="12"/>
  <c r="EO17" i="12"/>
  <c r="N17" i="12"/>
  <c r="EA17" i="12"/>
  <c r="AN17" i="12"/>
  <c r="EF17" i="12"/>
  <c r="O17" i="12"/>
  <c r="J17" i="12"/>
  <c r="FA17" i="12"/>
  <c r="V17" i="12"/>
  <c r="AJ17" i="12"/>
  <c r="EW17" i="12"/>
  <c r="AR17" i="12"/>
  <c r="DI17" i="12"/>
  <c r="BW17" i="12"/>
  <c r="CV17" i="12"/>
  <c r="FE17" i="12"/>
  <c r="CI17" i="12"/>
  <c r="CK17" i="12"/>
  <c r="Y17" i="12"/>
  <c r="EJ17" i="12"/>
  <c r="CG17" i="12"/>
  <c r="AD17" i="12"/>
  <c r="AX17" i="12"/>
  <c r="EE17" i="12"/>
  <c r="BV17" i="12"/>
  <c r="DC17" i="12"/>
  <c r="DG17" i="12"/>
  <c r="AM17" i="12"/>
  <c r="EI17" i="12"/>
  <c r="I17" i="12"/>
  <c r="F97" i="19"/>
  <c r="K97" i="19"/>
  <c r="G97" i="19"/>
  <c r="AB97" i="19"/>
  <c r="Y97" i="19"/>
  <c r="I97" i="19"/>
  <c r="H97" i="19"/>
  <c r="M97" i="19"/>
  <c r="L97" i="19"/>
  <c r="Z97" i="19"/>
  <c r="N97" i="19"/>
  <c r="J97" i="19"/>
  <c r="AA97" i="19"/>
  <c r="X97" i="19"/>
  <c r="V97" i="19"/>
  <c r="B102" i="1"/>
  <c r="AK18" i="12" s="1"/>
  <c r="H101" i="1"/>
  <c r="C101" i="1"/>
  <c r="D101" i="1"/>
  <c r="J343" i="5"/>
  <c r="J342" i="5"/>
  <c r="I344" i="5"/>
  <c r="I342" i="5"/>
  <c r="J344" i="5"/>
  <c r="I345" i="5"/>
  <c r="J345" i="5"/>
  <c r="I343" i="5"/>
  <c r="K341" i="5"/>
  <c r="W96" i="19"/>
  <c r="R96" i="19"/>
  <c r="R97" i="19" l="1"/>
  <c r="U97" i="19"/>
  <c r="DC17" i="13"/>
  <c r="T17" i="13"/>
  <c r="CT17" i="13"/>
  <c r="CR17" i="13"/>
  <c r="BD17" i="13"/>
  <c r="ET17" i="13"/>
  <c r="FB17" i="13"/>
  <c r="FF17" i="13"/>
  <c r="AG17" i="13"/>
  <c r="EI17" i="13"/>
  <c r="AD17" i="13"/>
  <c r="BW17" i="13"/>
  <c r="O17" i="13"/>
  <c r="EH17" i="13"/>
  <c r="DY17" i="13"/>
  <c r="BY17" i="13"/>
  <c r="EB17" i="13"/>
  <c r="AB17" i="13"/>
  <c r="AT17" i="13"/>
  <c r="D17" i="13"/>
  <c r="DT17" i="13"/>
  <c r="DW17" i="13"/>
  <c r="BV17" i="13"/>
  <c r="BG17" i="13"/>
  <c r="CY17" i="13"/>
  <c r="I17" i="13"/>
  <c r="AX17" i="13"/>
  <c r="DD17" i="13"/>
  <c r="EE17" i="13"/>
  <c r="BA17" i="13"/>
  <c r="BX17" i="13"/>
  <c r="AU17" i="13"/>
  <c r="Z17" i="13"/>
  <c r="EJ17" i="13"/>
  <c r="DQ17" i="13"/>
  <c r="CW17" i="13"/>
  <c r="EC17" i="13"/>
  <c r="DG17" i="13"/>
  <c r="Y17" i="13"/>
  <c r="EM17" i="13"/>
  <c r="FE17" i="13"/>
  <c r="FA17" i="13"/>
  <c r="BK17" i="13"/>
  <c r="AZ17" i="13"/>
  <c r="CM17" i="13"/>
  <c r="BN17" i="13"/>
  <c r="C17" i="13"/>
  <c r="EW17" i="13"/>
  <c r="CV17" i="13"/>
  <c r="J17" i="13"/>
  <c r="DN18" i="12"/>
  <c r="FG18" i="12"/>
  <c r="AK18" i="13" s="1"/>
  <c r="Z18" i="12"/>
  <c r="CZ18" i="12"/>
  <c r="AA18" i="12"/>
  <c r="BU18" i="12"/>
  <c r="V18" i="12"/>
  <c r="FA18" i="12"/>
  <c r="BG18" i="12"/>
  <c r="EM18" i="12"/>
  <c r="BJ18" i="12"/>
  <c r="BF18" i="12"/>
  <c r="DV18" i="12"/>
  <c r="C18" i="12"/>
  <c r="O18" i="12"/>
  <c r="CG18" i="12"/>
  <c r="BO18" i="12"/>
  <c r="CS18" i="12"/>
  <c r="CS18" i="13" s="1"/>
  <c r="DO18" i="12"/>
  <c r="ED18" i="12"/>
  <c r="EA17" i="13"/>
  <c r="CJ17" i="13"/>
  <c r="DZ17" i="13"/>
  <c r="DH17" i="13"/>
  <c r="DK17" i="13"/>
  <c r="CS17" i="13"/>
  <c r="EP17" i="13"/>
  <c r="BB17" i="13"/>
  <c r="AQ17" i="13"/>
  <c r="R17" i="13"/>
  <c r="AB18" i="12"/>
  <c r="BM18" i="12"/>
  <c r="DH18" i="12"/>
  <c r="AV18" i="12"/>
  <c r="T18" i="12"/>
  <c r="AG18" i="12"/>
  <c r="H18" i="12"/>
  <c r="EW18" i="12"/>
  <c r="EZ18" i="12"/>
  <c r="DP18" i="12"/>
  <c r="EC18" i="12"/>
  <c r="DX18" i="12"/>
  <c r="L18" i="12"/>
  <c r="BR18" i="12"/>
  <c r="BK18" i="12"/>
  <c r="BS18" i="12"/>
  <c r="CL18" i="12"/>
  <c r="CW18" i="12"/>
  <c r="U18" i="12"/>
  <c r="CF18" i="12"/>
  <c r="CF18" i="13" s="1"/>
  <c r="BD18" i="12"/>
  <c r="H17" i="13"/>
  <c r="BP17" i="13"/>
  <c r="EK17" i="13"/>
  <c r="BF17" i="13"/>
  <c r="CC17" i="13"/>
  <c r="AW17" i="13"/>
  <c r="CK17" i="13"/>
  <c r="AJ17" i="13"/>
  <c r="N17" i="13"/>
  <c r="U17" i="13"/>
  <c r="DN17" i="13"/>
  <c r="CN17" i="13"/>
  <c r="AA17" i="13"/>
  <c r="K17" i="13"/>
  <c r="BJ17" i="13"/>
  <c r="DB17" i="13"/>
  <c r="BH17" i="13"/>
  <c r="EP18" i="12"/>
  <c r="CA18" i="12"/>
  <c r="DK18" i="12"/>
  <c r="EH18" i="12"/>
  <c r="EI18" i="12"/>
  <c r="BN18" i="12"/>
  <c r="BN18" i="13" s="1"/>
  <c r="CO18" i="12"/>
  <c r="BY18" i="12"/>
  <c r="AD18" i="12"/>
  <c r="BL18" i="12"/>
  <c r="CC18" i="12"/>
  <c r="DZ18" i="12"/>
  <c r="BH18" i="12"/>
  <c r="AF18" i="12"/>
  <c r="DF18" i="12"/>
  <c r="CQ18" i="12"/>
  <c r="CX18" i="12"/>
  <c r="FF18" i="12"/>
  <c r="BX18" i="12"/>
  <c r="FB18" i="12"/>
  <c r="DT18" i="12"/>
  <c r="BI17" i="13"/>
  <c r="BS17" i="13"/>
  <c r="DO17" i="13"/>
  <c r="ER17" i="13"/>
  <c r="EL17" i="13"/>
  <c r="X17" i="13"/>
  <c r="CI17" i="13"/>
  <c r="V17" i="13"/>
  <c r="DP17" i="13"/>
  <c r="E17" i="13"/>
  <c r="EG17" i="13"/>
  <c r="EY17" i="13"/>
  <c r="DJ17" i="13"/>
  <c r="FC17" i="13"/>
  <c r="DV17" i="13"/>
  <c r="Q17" i="13"/>
  <c r="CR18" i="12"/>
  <c r="CR18" i="13" s="1"/>
  <c r="X18" i="12"/>
  <c r="EJ18" i="12"/>
  <c r="AE18" i="12"/>
  <c r="DI18" i="12"/>
  <c r="CH18" i="12"/>
  <c r="Q18" i="12"/>
  <c r="AZ18" i="12"/>
  <c r="N18" i="12"/>
  <c r="N18" i="13" s="1"/>
  <c r="DR18" i="12"/>
  <c r="DR18" i="13" s="1"/>
  <c r="FC18" i="12"/>
  <c r="DS18" i="12"/>
  <c r="W18" i="12"/>
  <c r="DU18" i="12"/>
  <c r="EQ18" i="12"/>
  <c r="G18" i="12"/>
  <c r="CJ18" i="12"/>
  <c r="CJ18" i="13" s="1"/>
  <c r="AU18" i="12"/>
  <c r="EX18" i="12"/>
  <c r="BZ17" i="13"/>
  <c r="CE17" i="13"/>
  <c r="AY17" i="13"/>
  <c r="DA17" i="13"/>
  <c r="CO17" i="13"/>
  <c r="AK17" i="13"/>
  <c r="BT17" i="13"/>
  <c r="DE17" i="13"/>
  <c r="ET18" i="12"/>
  <c r="DM18" i="12"/>
  <c r="DW18" i="12"/>
  <c r="BE18" i="12"/>
  <c r="EN18" i="12"/>
  <c r="CY18" i="12"/>
  <c r="CY18" i="13" s="1"/>
  <c r="AN18" i="12"/>
  <c r="FE18" i="12"/>
  <c r="M18" i="12"/>
  <c r="AS18" i="12"/>
  <c r="D18" i="12"/>
  <c r="EG18" i="12"/>
  <c r="BC18" i="12"/>
  <c r="CN18" i="12"/>
  <c r="CN18" i="13" s="1"/>
  <c r="DE18" i="12"/>
  <c r="S18" i="12"/>
  <c r="P18" i="12"/>
  <c r="AW18" i="12"/>
  <c r="AF17" i="13"/>
  <c r="BR17" i="13"/>
  <c r="BE17" i="13"/>
  <c r="BM17" i="13"/>
  <c r="DL17" i="13"/>
  <c r="AH17" i="13"/>
  <c r="EX17" i="13"/>
  <c r="CL17" i="13"/>
  <c r="CX17" i="13"/>
  <c r="DY18" i="12"/>
  <c r="DA18" i="12"/>
  <c r="BP18" i="12"/>
  <c r="BP18" i="13" s="1"/>
  <c r="AJ18" i="12"/>
  <c r="DQ18" i="12"/>
  <c r="DC18" i="12"/>
  <c r="BW18" i="12"/>
  <c r="EA18" i="12"/>
  <c r="DL18" i="12"/>
  <c r="CB18" i="12"/>
  <c r="BI18" i="12"/>
  <c r="BI18" i="13" s="1"/>
  <c r="AT18" i="12"/>
  <c r="AM18" i="12"/>
  <c r="DB18" i="12"/>
  <c r="EK18" i="12"/>
  <c r="EO18" i="12"/>
  <c r="EO18" i="13" s="1"/>
  <c r="EU18" i="12"/>
  <c r="CT18" i="12"/>
  <c r="EO17" i="13"/>
  <c r="EQ17" i="13"/>
  <c r="CQ17" i="13"/>
  <c r="BQ17" i="13"/>
  <c r="DU17" i="13"/>
  <c r="CH17" i="13"/>
  <c r="BC17" i="13"/>
  <c r="W17" i="13"/>
  <c r="AV17" i="13"/>
  <c r="CP17" i="13"/>
  <c r="EV17" i="13"/>
  <c r="EZ17" i="13"/>
  <c r="BO17" i="13"/>
  <c r="DM17" i="13"/>
  <c r="EU17" i="13"/>
  <c r="CE18" i="12"/>
  <c r="CV18" i="12"/>
  <c r="CV18" i="13" s="1"/>
  <c r="DD18" i="12"/>
  <c r="BB18" i="12"/>
  <c r="Y18" i="12"/>
  <c r="Y18" i="13" s="1"/>
  <c r="AX18" i="12"/>
  <c r="BA18" i="12"/>
  <c r="BA18" i="13" s="1"/>
  <c r="CD18" i="12"/>
  <c r="CI18" i="12"/>
  <c r="AC18" i="12"/>
  <c r="AC18" i="13" s="1"/>
  <c r="BT18" i="12"/>
  <c r="EF18" i="12"/>
  <c r="DG18" i="12"/>
  <c r="DG18" i="13" s="1"/>
  <c r="FD18" i="12"/>
  <c r="AI18" i="12"/>
  <c r="CK18" i="12"/>
  <c r="I18" i="12"/>
  <c r="BV18" i="12"/>
  <c r="BV18" i="13" s="1"/>
  <c r="AL18" i="12"/>
  <c r="AO18" i="12"/>
  <c r="J18" i="12"/>
  <c r="CP18" i="12"/>
  <c r="AL17" i="13"/>
  <c r="CD17" i="13"/>
  <c r="M17" i="13"/>
  <c r="CA17" i="13"/>
  <c r="CB17" i="13"/>
  <c r="CG17" i="13"/>
  <c r="DI17" i="13"/>
  <c r="EF17" i="13"/>
  <c r="AP17" i="13"/>
  <c r="DF17" i="13"/>
  <c r="F17" i="13"/>
  <c r="AE17" i="13"/>
  <c r="EN17" i="13"/>
  <c r="ED17" i="13"/>
  <c r="S17" i="13"/>
  <c r="L17" i="13"/>
  <c r="FD17" i="13"/>
  <c r="DS17" i="13"/>
  <c r="F18" i="12"/>
  <c r="CM18" i="12"/>
  <c r="CM18" i="13" s="1"/>
  <c r="K18" i="12"/>
  <c r="EV18" i="12"/>
  <c r="AP18" i="12"/>
  <c r="AP18" i="13" s="1"/>
  <c r="R18" i="12"/>
  <c r="E18" i="12"/>
  <c r="BQ18" i="12"/>
  <c r="AY18" i="12"/>
  <c r="EE18" i="12"/>
  <c r="EE18" i="13" s="1"/>
  <c r="AQ18" i="12"/>
  <c r="EL18" i="12"/>
  <c r="ER18" i="12"/>
  <c r="ER18" i="13" s="1"/>
  <c r="BZ18" i="12"/>
  <c r="ES18" i="12"/>
  <c r="AH18" i="12"/>
  <c r="AR18" i="12"/>
  <c r="EY18" i="12"/>
  <c r="EY18" i="13" s="1"/>
  <c r="EB18" i="12"/>
  <c r="EB18" i="13" s="1"/>
  <c r="DJ18" i="12"/>
  <c r="CU18" i="12"/>
  <c r="CU18" i="13" s="1"/>
  <c r="DR17" i="13"/>
  <c r="BU17" i="13"/>
  <c r="CZ17" i="13"/>
  <c r="AM17" i="13"/>
  <c r="DX17" i="13"/>
  <c r="AR17" i="13"/>
  <c r="AN17" i="13"/>
  <c r="AS17" i="13"/>
  <c r="CU17" i="13"/>
  <c r="G17" i="13"/>
  <c r="AC17" i="13"/>
  <c r="P17" i="13"/>
  <c r="ES17" i="13"/>
  <c r="AI17" i="13"/>
  <c r="AO17" i="13"/>
  <c r="CF17" i="13"/>
  <c r="AE18" i="13"/>
  <c r="C18" i="13"/>
  <c r="T18" i="13"/>
  <c r="BL18" i="13"/>
  <c r="BF18" i="13"/>
  <c r="BG18" i="13"/>
  <c r="EW18" i="13"/>
  <c r="EP18" i="13"/>
  <c r="DX18" i="13"/>
  <c r="BS18" i="13"/>
  <c r="X18" i="13"/>
  <c r="AF18" i="13"/>
  <c r="FF18" i="13"/>
  <c r="W18" i="13"/>
  <c r="DF18" i="13"/>
  <c r="DE18" i="13"/>
  <c r="AW18" i="13"/>
  <c r="AT18" i="13"/>
  <c r="W97" i="19"/>
  <c r="B103" i="1"/>
  <c r="CR19" i="12" s="1"/>
  <c r="C102" i="1"/>
  <c r="D102" i="1"/>
  <c r="H102" i="1"/>
  <c r="J98" i="19"/>
  <c r="V98" i="19"/>
  <c r="M98" i="19"/>
  <c r="AA98" i="19"/>
  <c r="G98" i="19"/>
  <c r="L98" i="19"/>
  <c r="N98" i="19"/>
  <c r="AB98" i="19"/>
  <c r="X98" i="19"/>
  <c r="Z98" i="19"/>
  <c r="H98" i="19"/>
  <c r="K98" i="19"/>
  <c r="Y98" i="19"/>
  <c r="I98" i="19"/>
  <c r="F98" i="19"/>
  <c r="J346" i="5"/>
  <c r="I347" i="5"/>
  <c r="J347" i="5"/>
  <c r="I346" i="5"/>
  <c r="K342" i="5"/>
  <c r="K343" i="5"/>
  <c r="K345" i="5"/>
  <c r="K344" i="5"/>
  <c r="CG19" i="12" l="1"/>
  <c r="EW19" i="12"/>
  <c r="I19" i="12"/>
  <c r="G19" i="12"/>
  <c r="BC19" i="12"/>
  <c r="AN19" i="12"/>
  <c r="CD19" i="12"/>
  <c r="U98" i="19"/>
  <c r="DX19" i="12"/>
  <c r="S19" i="12"/>
  <c r="DO19" i="12"/>
  <c r="CE19" i="12"/>
  <c r="CW19" i="12"/>
  <c r="DN19" i="12"/>
  <c r="EG19" i="12"/>
  <c r="AV18" i="13"/>
  <c r="EM18" i="13"/>
  <c r="E18" i="13"/>
  <c r="EA18" i="13"/>
  <c r="EG18" i="13"/>
  <c r="EX18" i="13"/>
  <c r="BH18" i="13"/>
  <c r="BD18" i="13"/>
  <c r="EC18" i="13"/>
  <c r="DM18" i="13"/>
  <c r="BK18" i="13"/>
  <c r="ED18" i="13"/>
  <c r="CZ18" i="13"/>
  <c r="AR18" i="13"/>
  <c r="AY18" i="13"/>
  <c r="F18" i="13"/>
  <c r="I18" i="13"/>
  <c r="CI18" i="13"/>
  <c r="CE18" i="13"/>
  <c r="CT18" i="13"/>
  <c r="CB18" i="13"/>
  <c r="DA18" i="13"/>
  <c r="BC18" i="13"/>
  <c r="EN18" i="13"/>
  <c r="G18" i="13"/>
  <c r="AZ18" i="13"/>
  <c r="DT18" i="13"/>
  <c r="EI18" i="13"/>
  <c r="DH18" i="13"/>
  <c r="AA18" i="13"/>
  <c r="DQ18" i="13"/>
  <c r="D18" i="13"/>
  <c r="AU18" i="13"/>
  <c r="DW18" i="13"/>
  <c r="BY18" i="13"/>
  <c r="U18" i="13"/>
  <c r="H18" i="13"/>
  <c r="ET18" i="13"/>
  <c r="DP18" i="13"/>
  <c r="DO18" i="13"/>
  <c r="Z18" i="13"/>
  <c r="AH18" i="13"/>
  <c r="BQ18" i="13"/>
  <c r="CK18" i="13"/>
  <c r="CD18" i="13"/>
  <c r="EU18" i="13"/>
  <c r="DL18" i="13"/>
  <c r="DY18" i="13"/>
  <c r="BE18" i="13"/>
  <c r="EQ18" i="13"/>
  <c r="Q18" i="13"/>
  <c r="FB18" i="13"/>
  <c r="EH18" i="13"/>
  <c r="BM18" i="13"/>
  <c r="FA18" i="13"/>
  <c r="AJ18" i="13"/>
  <c r="AS18" i="13"/>
  <c r="CW18" i="13"/>
  <c r="AG18" i="13"/>
  <c r="DZ18" i="13"/>
  <c r="CG18" i="13"/>
  <c r="CH18" i="13"/>
  <c r="ES18" i="13"/>
  <c r="AI18" i="13"/>
  <c r="DU18" i="13"/>
  <c r="BX18" i="13"/>
  <c r="DI18" i="13"/>
  <c r="CL18" i="13"/>
  <c r="CA18" i="13"/>
  <c r="AN18" i="13"/>
  <c r="EZ18" i="13"/>
  <c r="O18" i="13"/>
  <c r="DK18" i="13"/>
  <c r="BZ18" i="13"/>
  <c r="CP18" i="13"/>
  <c r="FD18" i="13"/>
  <c r="AX18" i="13"/>
  <c r="BW18" i="13"/>
  <c r="J18" i="13"/>
  <c r="DC18" i="13"/>
  <c r="R18" i="13"/>
  <c r="EK18" i="13"/>
  <c r="P18" i="13"/>
  <c r="M18" i="13"/>
  <c r="DS18" i="13"/>
  <c r="CX18" i="13"/>
  <c r="AD18" i="13"/>
  <c r="BR18" i="13"/>
  <c r="BO18" i="13"/>
  <c r="BU18" i="13"/>
  <c r="BJ18" i="13"/>
  <c r="DJ18" i="13"/>
  <c r="EL18" i="13"/>
  <c r="EV18" i="13"/>
  <c r="AO18" i="13"/>
  <c r="EF18" i="13"/>
  <c r="BB18" i="13"/>
  <c r="AM18" i="13"/>
  <c r="FE18" i="13"/>
  <c r="CO18" i="13"/>
  <c r="DB18" i="13"/>
  <c r="S18" i="13"/>
  <c r="FC18" i="13"/>
  <c r="CQ18" i="13"/>
  <c r="L18" i="13"/>
  <c r="CC18" i="13"/>
  <c r="DV18" i="13"/>
  <c r="EJ18" i="13"/>
  <c r="AB18" i="13"/>
  <c r="V18" i="13"/>
  <c r="AQ18" i="13"/>
  <c r="K18" i="13"/>
  <c r="AL18" i="13"/>
  <c r="BT18" i="13"/>
  <c r="DD18" i="13"/>
  <c r="BP19" i="12"/>
  <c r="BQ19" i="12"/>
  <c r="AI19" i="12"/>
  <c r="V19" i="12"/>
  <c r="DU19" i="12"/>
  <c r="Z19" i="12"/>
  <c r="EB19" i="12"/>
  <c r="EK19" i="12"/>
  <c r="BO19" i="12"/>
  <c r="EU19" i="12"/>
  <c r="CN19" i="12"/>
  <c r="BI19" i="12"/>
  <c r="BJ19" i="12"/>
  <c r="U19" i="12"/>
  <c r="AV19" i="12"/>
  <c r="DG19" i="12"/>
  <c r="BG19" i="12"/>
  <c r="N19" i="12"/>
  <c r="ET19" i="12"/>
  <c r="ED19" i="12"/>
  <c r="DV19" i="12"/>
  <c r="CT19" i="12"/>
  <c r="AR19" i="12"/>
  <c r="R19" i="12"/>
  <c r="FF19" i="12"/>
  <c r="D19" i="12"/>
  <c r="AD19" i="12"/>
  <c r="CJ19" i="12"/>
  <c r="AB19" i="12"/>
  <c r="BY19" i="12"/>
  <c r="DN18" i="13"/>
  <c r="AA19" i="12"/>
  <c r="FC19" i="12"/>
  <c r="X19" i="12"/>
  <c r="EY19" i="12"/>
  <c r="AE19" i="12"/>
  <c r="Q19" i="12"/>
  <c r="CF19" i="12"/>
  <c r="CY19" i="12"/>
  <c r="EM19" i="12"/>
  <c r="M19" i="12"/>
  <c r="C19" i="12"/>
  <c r="BM19" i="12"/>
  <c r="CO19" i="12"/>
  <c r="CA19" i="12"/>
  <c r="AT19" i="12"/>
  <c r="L19" i="12"/>
  <c r="BB19" i="12"/>
  <c r="AJ19" i="12"/>
  <c r="ES19" i="12"/>
  <c r="DZ19" i="12"/>
  <c r="EO19" i="12"/>
  <c r="AP19" i="12"/>
  <c r="EL19" i="12"/>
  <c r="BD19" i="12"/>
  <c r="CU19" i="12"/>
  <c r="FD19" i="12"/>
  <c r="FB19" i="12"/>
  <c r="BV19" i="12"/>
  <c r="AF19" i="12"/>
  <c r="DR19" i="12"/>
  <c r="EC19" i="12"/>
  <c r="F19" i="12"/>
  <c r="H19" i="12"/>
  <c r="FG19" i="12"/>
  <c r="CE19" i="13" s="1"/>
  <c r="T19" i="12"/>
  <c r="DQ19" i="12"/>
  <c r="EX19" i="12"/>
  <c r="FE19" i="12"/>
  <c r="BF19" i="12"/>
  <c r="DD19" i="12"/>
  <c r="CM19" i="12"/>
  <c r="AL19" i="12"/>
  <c r="BR19" i="12"/>
  <c r="DY19" i="12"/>
  <c r="BE19" i="12"/>
  <c r="AG19" i="12"/>
  <c r="EE19" i="12"/>
  <c r="EI19" i="12"/>
  <c r="EN19" i="12"/>
  <c r="DH19" i="12"/>
  <c r="EQ19" i="12"/>
  <c r="AS19" i="12"/>
  <c r="BW19" i="12"/>
  <c r="BX19" i="12"/>
  <c r="BU19" i="12"/>
  <c r="BK19" i="12"/>
  <c r="EJ19" i="12"/>
  <c r="BT19" i="12"/>
  <c r="BT19" i="13" s="1"/>
  <c r="DE19" i="12"/>
  <c r="DF19" i="12"/>
  <c r="CS19" i="12"/>
  <c r="CL19" i="12"/>
  <c r="EV19" i="12"/>
  <c r="DC19" i="12"/>
  <c r="EZ19" i="12"/>
  <c r="DT19" i="12"/>
  <c r="EF19" i="12"/>
  <c r="DM19" i="12"/>
  <c r="Y19" i="12"/>
  <c r="P19" i="12"/>
  <c r="AU19" i="12"/>
  <c r="AO19" i="12"/>
  <c r="AC19" i="12"/>
  <c r="BZ19" i="12"/>
  <c r="AQ19" i="12"/>
  <c r="DS19" i="12"/>
  <c r="W19" i="12"/>
  <c r="CI19" i="12"/>
  <c r="AW19" i="12"/>
  <c r="CP19" i="12"/>
  <c r="CZ19" i="12"/>
  <c r="EA19" i="12"/>
  <c r="EA19" i="13" s="1"/>
  <c r="AY19" i="12"/>
  <c r="E19" i="12"/>
  <c r="AH19" i="12"/>
  <c r="DI19" i="12"/>
  <c r="BL19" i="12"/>
  <c r="J19" i="12"/>
  <c r="ER19" i="12"/>
  <c r="DA19" i="12"/>
  <c r="CC19" i="12"/>
  <c r="AM19" i="12"/>
  <c r="CQ19" i="12"/>
  <c r="CX19" i="12"/>
  <c r="EH19" i="12"/>
  <c r="CB19" i="12"/>
  <c r="O19" i="12"/>
  <c r="BA19" i="12"/>
  <c r="AK19" i="12"/>
  <c r="FA19" i="12"/>
  <c r="BS19" i="12"/>
  <c r="DP19" i="12"/>
  <c r="DJ19" i="12"/>
  <c r="EP19" i="12"/>
  <c r="CH19" i="12"/>
  <c r="BH19" i="12"/>
  <c r="CV19" i="12"/>
  <c r="CV19" i="13" s="1"/>
  <c r="DL19" i="12"/>
  <c r="AZ19" i="12"/>
  <c r="AX19" i="12"/>
  <c r="K19" i="12"/>
  <c r="BN19" i="12"/>
  <c r="DW19" i="12"/>
  <c r="DK19" i="12"/>
  <c r="DB19" i="12"/>
  <c r="CK19" i="12"/>
  <c r="AB99" i="19"/>
  <c r="G99" i="19"/>
  <c r="X99" i="19"/>
  <c r="F99" i="19"/>
  <c r="N99" i="19"/>
  <c r="H99" i="19"/>
  <c r="I99" i="19"/>
  <c r="M99" i="19"/>
  <c r="J99" i="19"/>
  <c r="L99" i="19"/>
  <c r="Z99" i="19"/>
  <c r="AA99" i="19"/>
  <c r="K99" i="19"/>
  <c r="Y99" i="19"/>
  <c r="V99" i="19"/>
  <c r="B104" i="1"/>
  <c r="CK20" i="12" s="1"/>
  <c r="H103" i="1"/>
  <c r="C103" i="1"/>
  <c r="D103" i="1"/>
  <c r="J348" i="5"/>
  <c r="J349" i="5"/>
  <c r="I353" i="5"/>
  <c r="J352" i="5"/>
  <c r="I350" i="5"/>
  <c r="I349" i="5"/>
  <c r="J353" i="5"/>
  <c r="J350" i="5"/>
  <c r="I354" i="5"/>
  <c r="I352" i="5"/>
  <c r="J354" i="5"/>
  <c r="J351" i="5"/>
  <c r="I348" i="5"/>
  <c r="I351" i="5"/>
  <c r="K347" i="5"/>
  <c r="K346" i="5"/>
  <c r="W98" i="19"/>
  <c r="R98" i="19"/>
  <c r="EM20" i="12" l="1"/>
  <c r="AH20" i="12"/>
  <c r="DP20" i="12"/>
  <c r="CW20" i="12"/>
  <c r="DD20" i="12"/>
  <c r="I20" i="12"/>
  <c r="EP19" i="13"/>
  <c r="AM19" i="13"/>
  <c r="V20" i="12"/>
  <c r="EW20" i="12"/>
  <c r="AN20" i="12"/>
  <c r="CH19" i="13"/>
  <c r="CZ19" i="13"/>
  <c r="DM19" i="13"/>
  <c r="AK20" i="12"/>
  <c r="DB19" i="13"/>
  <c r="DA19" i="13"/>
  <c r="DT19" i="13"/>
  <c r="BN20" i="12"/>
  <c r="R99" i="19"/>
  <c r="U99" i="19"/>
  <c r="AJ20" i="12"/>
  <c r="CS20" i="12"/>
  <c r="AM20" i="12"/>
  <c r="DW19" i="13"/>
  <c r="BS19" i="13"/>
  <c r="ER19" i="13"/>
  <c r="DU20" i="12"/>
  <c r="AX20" i="12"/>
  <c r="BN19" i="13"/>
  <c r="DS19" i="13"/>
  <c r="FF20" i="12"/>
  <c r="AA20" i="12"/>
  <c r="BG20" i="12"/>
  <c r="CJ20" i="12"/>
  <c r="DF20" i="12"/>
  <c r="K19" i="13"/>
  <c r="AK19" i="13"/>
  <c r="FE20" i="12"/>
  <c r="EV20" i="12"/>
  <c r="CY20" i="12"/>
  <c r="ER20" i="12"/>
  <c r="AX19" i="13"/>
  <c r="BZ19" i="13"/>
  <c r="AZ20" i="12"/>
  <c r="BT20" i="12"/>
  <c r="EI20" i="12"/>
  <c r="CF20" i="12"/>
  <c r="AV20" i="12"/>
  <c r="AZ19" i="13"/>
  <c r="O19" i="13"/>
  <c r="BR20" i="12"/>
  <c r="BU20" i="12"/>
  <c r="BK20" i="12"/>
  <c r="CB19" i="13"/>
  <c r="E19" i="13"/>
  <c r="DJ19" i="13"/>
  <c r="CX19" i="13"/>
  <c r="DI19" i="13"/>
  <c r="CI19" i="13"/>
  <c r="DX19" i="13"/>
  <c r="J19" i="13"/>
  <c r="CP19" i="13"/>
  <c r="AO19" i="13"/>
  <c r="DC19" i="13"/>
  <c r="CK19" i="13"/>
  <c r="DL19" i="13"/>
  <c r="FA19" i="13"/>
  <c r="CQ19" i="13"/>
  <c r="AH19" i="13"/>
  <c r="DK19" i="13"/>
  <c r="BH19" i="13"/>
  <c r="DP19" i="13"/>
  <c r="EH19" i="13"/>
  <c r="BL19" i="13"/>
  <c r="AW19" i="13"/>
  <c r="W19" i="13"/>
  <c r="BA19" i="13"/>
  <c r="CC19" i="13"/>
  <c r="AY19" i="13"/>
  <c r="AQ19" i="13"/>
  <c r="EF19" i="13"/>
  <c r="BX19" i="13"/>
  <c r="AG19" i="13"/>
  <c r="CG19" i="13"/>
  <c r="AU19" i="13"/>
  <c r="EV19" i="13"/>
  <c r="EJ19" i="13"/>
  <c r="P19" i="13"/>
  <c r="CL19" i="13"/>
  <c r="Y19" i="13"/>
  <c r="CS19" i="13"/>
  <c r="DE19" i="13"/>
  <c r="BW19" i="13"/>
  <c r="BE19" i="13"/>
  <c r="AS19" i="13"/>
  <c r="DY19" i="13"/>
  <c r="AC19" i="13"/>
  <c r="EZ19" i="13"/>
  <c r="BC19" i="13"/>
  <c r="DF19" i="13"/>
  <c r="FE19" i="13"/>
  <c r="DR19" i="13"/>
  <c r="G19" i="13"/>
  <c r="BK19" i="13"/>
  <c r="CD19" i="13"/>
  <c r="BU19" i="13"/>
  <c r="EE19" i="13"/>
  <c r="EX19" i="13"/>
  <c r="AF19" i="13"/>
  <c r="DQ19" i="13"/>
  <c r="CW19" i="13"/>
  <c r="EQ19" i="13"/>
  <c r="BR19" i="13"/>
  <c r="EI19" i="13"/>
  <c r="DD19" i="13"/>
  <c r="DO19" i="13"/>
  <c r="F19" i="13"/>
  <c r="BF19" i="13"/>
  <c r="EC19" i="13"/>
  <c r="AP19" i="13"/>
  <c r="EO19" i="13"/>
  <c r="CO19" i="13"/>
  <c r="AE19" i="13"/>
  <c r="CJ19" i="13"/>
  <c r="BV19" i="13"/>
  <c r="DH19" i="13"/>
  <c r="AL19" i="13"/>
  <c r="I19" i="13"/>
  <c r="L19" i="13"/>
  <c r="CY19" i="13"/>
  <c r="ED19" i="13"/>
  <c r="BI19" i="13"/>
  <c r="V19" i="13"/>
  <c r="X19" i="13"/>
  <c r="BX20" i="12"/>
  <c r="CR20" i="12"/>
  <c r="DY20" i="12"/>
  <c r="P20" i="12"/>
  <c r="BY20" i="12"/>
  <c r="DB20" i="12"/>
  <c r="D20" i="12"/>
  <c r="K20" i="12"/>
  <c r="DQ20" i="12"/>
  <c r="EB20" i="12"/>
  <c r="W20" i="12"/>
  <c r="EG20" i="12"/>
  <c r="EA20" i="12"/>
  <c r="BI20" i="12"/>
  <c r="CX20" i="12"/>
  <c r="H20" i="12"/>
  <c r="EL20" i="12"/>
  <c r="EU20" i="12"/>
  <c r="EL19" i="13"/>
  <c r="AT19" i="13"/>
  <c r="CF19" i="13"/>
  <c r="FC19" i="13"/>
  <c r="AD19" i="13"/>
  <c r="ET19" i="13"/>
  <c r="CN19" i="13"/>
  <c r="AI19" i="13"/>
  <c r="EZ20" i="12"/>
  <c r="BH20" i="12"/>
  <c r="AL20" i="12"/>
  <c r="AQ20" i="12"/>
  <c r="DC20" i="12"/>
  <c r="CZ20" i="12"/>
  <c r="EX20" i="12"/>
  <c r="AB20" i="12"/>
  <c r="M20" i="12"/>
  <c r="U20" i="12"/>
  <c r="BF20" i="12"/>
  <c r="AE20" i="12"/>
  <c r="BO20" i="12"/>
  <c r="ES20" i="12"/>
  <c r="CQ20" i="12"/>
  <c r="J20" i="12"/>
  <c r="DW20" i="12"/>
  <c r="BB20" i="12"/>
  <c r="CA19" i="13"/>
  <c r="Q19" i="13"/>
  <c r="AA19" i="13"/>
  <c r="D19" i="13"/>
  <c r="N19" i="13"/>
  <c r="EU19" i="13"/>
  <c r="BQ19" i="13"/>
  <c r="FA20" i="12"/>
  <c r="DJ20" i="12"/>
  <c r="BE20" i="12"/>
  <c r="FF19" i="13"/>
  <c r="BG19" i="13"/>
  <c r="BO19" i="13"/>
  <c r="BP19" i="13"/>
  <c r="R20" i="12"/>
  <c r="CT20" i="12"/>
  <c r="L20" i="12"/>
  <c r="T20" i="12"/>
  <c r="DS20" i="12"/>
  <c r="C20" i="12"/>
  <c r="BQ20" i="12"/>
  <c r="CA20" i="12"/>
  <c r="EY20" i="12"/>
  <c r="DX20" i="12"/>
  <c r="AS20" i="12"/>
  <c r="AT20" i="12"/>
  <c r="EH20" i="12"/>
  <c r="CE20" i="12"/>
  <c r="CI20" i="12"/>
  <c r="EN20" i="12"/>
  <c r="EN19" i="13"/>
  <c r="CM19" i="13"/>
  <c r="T19" i="13"/>
  <c r="FB19" i="13"/>
  <c r="DZ19" i="13"/>
  <c r="BM19" i="13"/>
  <c r="EY19" i="13"/>
  <c r="AN19" i="13"/>
  <c r="R19" i="13"/>
  <c r="DG19" i="13"/>
  <c r="EK19" i="13"/>
  <c r="BC20" i="12"/>
  <c r="DE20" i="12"/>
  <c r="CL20" i="12"/>
  <c r="AR20" i="12"/>
  <c r="DO20" i="12"/>
  <c r="AD20" i="12"/>
  <c r="DG20" i="12"/>
  <c r="BA20" i="12"/>
  <c r="AO20" i="12"/>
  <c r="FD20" i="12"/>
  <c r="CO20" i="12"/>
  <c r="CH20" i="12"/>
  <c r="EC20" i="12"/>
  <c r="DI20" i="12"/>
  <c r="EF20" i="12"/>
  <c r="EE20" i="12"/>
  <c r="CM20" i="12"/>
  <c r="O20" i="12"/>
  <c r="FB20" i="12"/>
  <c r="BP20" i="12"/>
  <c r="BL20" i="12"/>
  <c r="DV20" i="12"/>
  <c r="CG20" i="12"/>
  <c r="DT20" i="12"/>
  <c r="BV20" i="12"/>
  <c r="BD20" i="12"/>
  <c r="Q20" i="12"/>
  <c r="BM20" i="12"/>
  <c r="BJ20" i="12"/>
  <c r="F20" i="12"/>
  <c r="DN19" i="13"/>
  <c r="S19" i="13"/>
  <c r="FD19" i="13"/>
  <c r="ES19" i="13"/>
  <c r="C19" i="13"/>
  <c r="Z20" i="12"/>
  <c r="AR19" i="13"/>
  <c r="AV19" i="13"/>
  <c r="EB19" i="13"/>
  <c r="EG19" i="13"/>
  <c r="CV20" i="12"/>
  <c r="FG20" i="12"/>
  <c r="BG20" i="13" s="1"/>
  <c r="CC20" i="12"/>
  <c r="EQ20" i="12"/>
  <c r="Y20" i="12"/>
  <c r="CB20" i="12"/>
  <c r="DZ20" i="12"/>
  <c r="ET20" i="12"/>
  <c r="EO20" i="12"/>
  <c r="S20" i="12"/>
  <c r="FC20" i="12"/>
  <c r="AG20" i="12"/>
  <c r="AP20" i="12"/>
  <c r="AI20" i="12"/>
  <c r="E20" i="12"/>
  <c r="DN20" i="12"/>
  <c r="ED20" i="12"/>
  <c r="EP20" i="12"/>
  <c r="EJ20" i="12"/>
  <c r="N20" i="12"/>
  <c r="DR20" i="12"/>
  <c r="H19" i="13"/>
  <c r="CU19" i="13"/>
  <c r="AJ19" i="13"/>
  <c r="M19" i="13"/>
  <c r="BW20" i="12"/>
  <c r="BW20" i="13" s="1"/>
  <c r="BY19" i="13"/>
  <c r="CT19" i="13"/>
  <c r="U19" i="13"/>
  <c r="Z19" i="13"/>
  <c r="CR19" i="13"/>
  <c r="CP20" i="12"/>
  <c r="CD20" i="12"/>
  <c r="AU20" i="12"/>
  <c r="AU20" i="13" s="1"/>
  <c r="X20" i="12"/>
  <c r="DM20" i="12"/>
  <c r="DK20" i="12"/>
  <c r="AC20" i="12"/>
  <c r="DL20" i="12"/>
  <c r="BS20" i="12"/>
  <c r="AY20" i="12"/>
  <c r="BZ20" i="12"/>
  <c r="EK20" i="12"/>
  <c r="G20" i="12"/>
  <c r="DA20" i="12"/>
  <c r="AF20" i="12"/>
  <c r="DH20" i="12"/>
  <c r="CU20" i="12"/>
  <c r="AW20" i="12"/>
  <c r="BD19" i="13"/>
  <c r="BB19" i="13"/>
  <c r="EM19" i="13"/>
  <c r="CN20" i="12"/>
  <c r="AB19" i="13"/>
  <c r="DV19" i="13"/>
  <c r="BJ19" i="13"/>
  <c r="DU19" i="13"/>
  <c r="EW19" i="13"/>
  <c r="BW21" i="12"/>
  <c r="W99" i="19"/>
  <c r="B105" i="1"/>
  <c r="EK21" i="12" s="1"/>
  <c r="C104" i="1"/>
  <c r="D104" i="1"/>
  <c r="H104" i="1"/>
  <c r="I359" i="5"/>
  <c r="I356" i="5"/>
  <c r="J356" i="5"/>
  <c r="J357" i="5"/>
  <c r="J359" i="5"/>
  <c r="I355" i="5"/>
  <c r="I358" i="5"/>
  <c r="J355" i="5"/>
  <c r="J358" i="5"/>
  <c r="I357" i="5"/>
  <c r="L100" i="19"/>
  <c r="I100" i="19"/>
  <c r="N100" i="19"/>
  <c r="X100" i="19"/>
  <c r="AB100" i="19"/>
  <c r="J100" i="19"/>
  <c r="V100" i="19"/>
  <c r="G100" i="19"/>
  <c r="Z100" i="19"/>
  <c r="H100" i="19"/>
  <c r="AA100" i="19"/>
  <c r="M100" i="19"/>
  <c r="F100" i="19"/>
  <c r="Y100" i="19"/>
  <c r="K100" i="19"/>
  <c r="K351" i="5"/>
  <c r="K350" i="5"/>
  <c r="K353" i="5"/>
  <c r="K352" i="5"/>
  <c r="K354" i="5"/>
  <c r="K349" i="5"/>
  <c r="K348" i="5"/>
  <c r="CJ20" i="13" l="1"/>
  <c r="DD20" i="13"/>
  <c r="EI20" i="13"/>
  <c r="BF21" i="12"/>
  <c r="DL21" i="12"/>
  <c r="DS20" i="13"/>
  <c r="BO20" i="13"/>
  <c r="BC20" i="13"/>
  <c r="AZ20" i="13"/>
  <c r="BZ20" i="13"/>
  <c r="EP20" i="13"/>
  <c r="J21" i="12"/>
  <c r="CF20" i="13"/>
  <c r="BO21" i="12"/>
  <c r="BS21" i="12"/>
  <c r="EW21" i="12"/>
  <c r="BZ21" i="12"/>
  <c r="CW21" i="12"/>
  <c r="DK21" i="12"/>
  <c r="O21" i="12"/>
  <c r="Z21" i="12"/>
  <c r="V21" i="12"/>
  <c r="BK21" i="12"/>
  <c r="BC21" i="12"/>
  <c r="DC20" i="13"/>
  <c r="X101" i="19"/>
  <c r="DZ21" i="12"/>
  <c r="U100" i="19"/>
  <c r="FB21" i="12"/>
  <c r="EV21" i="12"/>
  <c r="CM20" i="13"/>
  <c r="BE20" i="13"/>
  <c r="DB20" i="13"/>
  <c r="DR20" i="13"/>
  <c r="FA20" i="13"/>
  <c r="AK20" i="13"/>
  <c r="DF20" i="13"/>
  <c r="S20" i="13"/>
  <c r="DG20" i="13"/>
  <c r="FB20" i="13"/>
  <c r="BK20" i="13"/>
  <c r="CY20" i="13"/>
  <c r="AH20" i="13"/>
  <c r="CL20" i="13"/>
  <c r="AN20" i="13"/>
  <c r="BT20" i="13"/>
  <c r="EU20" i="13"/>
  <c r="EB20" i="13"/>
  <c r="BB20" i="13"/>
  <c r="FF20" i="13"/>
  <c r="BL20" i="13"/>
  <c r="CG20" i="13"/>
  <c r="DX20" i="13"/>
  <c r="BS20" i="13"/>
  <c r="DW20" i="13"/>
  <c r="R20" i="13"/>
  <c r="EF20" i="13"/>
  <c r="V20" i="13"/>
  <c r="EW20" i="13"/>
  <c r="J20" i="13"/>
  <c r="EZ20" i="13"/>
  <c r="EM20" i="13"/>
  <c r="CT20" i="13"/>
  <c r="CS20" i="13"/>
  <c r="CK20" i="13"/>
  <c r="EX20" i="13"/>
  <c r="CX20" i="13"/>
  <c r="D20" i="13"/>
  <c r="ET20" i="13"/>
  <c r="AA20" i="13"/>
  <c r="AP20" i="13"/>
  <c r="DY20" i="13"/>
  <c r="DE20" i="13"/>
  <c r="FC20" i="13"/>
  <c r="CC20" i="13"/>
  <c r="DI20" i="13"/>
  <c r="U20" i="13"/>
  <c r="AW20" i="13"/>
  <c r="DT20" i="13"/>
  <c r="EV20" i="13"/>
  <c r="EE20" i="13"/>
  <c r="BM20" i="13"/>
  <c r="EN20" i="13"/>
  <c r="CH20" i="13"/>
  <c r="AR20" i="13"/>
  <c r="BV20" i="13"/>
  <c r="Q20" i="13"/>
  <c r="AO20" i="13"/>
  <c r="BA20" i="13"/>
  <c r="AS20" i="13"/>
  <c r="L20" i="13"/>
  <c r="DJ20" i="13"/>
  <c r="BY20" i="13"/>
  <c r="AF20" i="13"/>
  <c r="BU20" i="13"/>
  <c r="AX20" i="13"/>
  <c r="EC20" i="13"/>
  <c r="CO20" i="13"/>
  <c r="AL20" i="13"/>
  <c r="EA20" i="13"/>
  <c r="AD20" i="13"/>
  <c r="DP20" i="13"/>
  <c r="Z20" i="13"/>
  <c r="BR20" i="13"/>
  <c r="I20" i="13"/>
  <c r="CR20" i="13"/>
  <c r="DH20" i="13"/>
  <c r="DL20" i="13"/>
  <c r="AC20" i="13"/>
  <c r="AI20" i="13"/>
  <c r="CB20" i="13"/>
  <c r="T20" i="13"/>
  <c r="DO20" i="13"/>
  <c r="CA20" i="13"/>
  <c r="AV20" i="13"/>
  <c r="CW20" i="13"/>
  <c r="G20" i="13"/>
  <c r="DM20" i="13"/>
  <c r="N20" i="13"/>
  <c r="F20" i="13"/>
  <c r="DK20" i="13"/>
  <c r="AM20" i="13"/>
  <c r="AE20" i="13"/>
  <c r="W20" i="13"/>
  <c r="FE20" i="13"/>
  <c r="E20" i="13"/>
  <c r="EY20" i="13"/>
  <c r="AY20" i="13"/>
  <c r="CD20" i="13"/>
  <c r="ED20" i="13"/>
  <c r="EO20" i="13"/>
  <c r="EH20" i="13"/>
  <c r="ER20" i="13"/>
  <c r="CQ20" i="13"/>
  <c r="P20" i="13"/>
  <c r="DV20" i="13"/>
  <c r="EJ20" i="13"/>
  <c r="BP20" i="13"/>
  <c r="BF20" i="13"/>
  <c r="EL20" i="13"/>
  <c r="M20" i="13"/>
  <c r="BN20" i="13"/>
  <c r="AJ20" i="13"/>
  <c r="CU20" i="13"/>
  <c r="CP20" i="13"/>
  <c r="DZ20" i="13"/>
  <c r="BQ20" i="13"/>
  <c r="CI20" i="13"/>
  <c r="BX20" i="13"/>
  <c r="DQ20" i="13"/>
  <c r="AB20" i="13"/>
  <c r="CN20" i="13"/>
  <c r="DA20" i="13"/>
  <c r="AG20" i="13"/>
  <c r="EQ20" i="13"/>
  <c r="BH20" i="13"/>
  <c r="AT20" i="13"/>
  <c r="DU20" i="13"/>
  <c r="EG20" i="13"/>
  <c r="Y20" i="13"/>
  <c r="AQ20" i="13"/>
  <c r="BJ20" i="13"/>
  <c r="EK20" i="13"/>
  <c r="X20" i="13"/>
  <c r="DN20" i="13"/>
  <c r="CE20" i="13"/>
  <c r="C20" i="13"/>
  <c r="ES20" i="13"/>
  <c r="CZ20" i="13"/>
  <c r="H20" i="13"/>
  <c r="K20" i="13"/>
  <c r="BD20" i="13"/>
  <c r="O20" i="13"/>
  <c r="FD20" i="13"/>
  <c r="CV20" i="13"/>
  <c r="D21" i="12"/>
  <c r="EE21" i="12"/>
  <c r="CI21" i="12"/>
  <c r="FE21" i="12"/>
  <c r="DQ21" i="12"/>
  <c r="AN21" i="12"/>
  <c r="AH21" i="12"/>
  <c r="M21" i="12"/>
  <c r="T21" i="12"/>
  <c r="EH21" i="12"/>
  <c r="CS21" i="12"/>
  <c r="AC21" i="12"/>
  <c r="CT21" i="12"/>
  <c r="CJ21" i="12"/>
  <c r="BD21" i="12"/>
  <c r="DD21" i="12"/>
  <c r="AL21" i="12"/>
  <c r="CP21" i="12"/>
  <c r="EC21" i="12"/>
  <c r="BQ21" i="12"/>
  <c r="DO21" i="12"/>
  <c r="AQ21" i="12"/>
  <c r="CB21" i="12"/>
  <c r="FF21" i="12"/>
  <c r="DF21" i="12"/>
  <c r="BH21" i="12"/>
  <c r="CR21" i="12"/>
  <c r="BA21" i="12"/>
  <c r="EU21" i="12"/>
  <c r="AD21" i="12"/>
  <c r="EA21" i="12"/>
  <c r="AW21" i="12"/>
  <c r="CO21" i="12"/>
  <c r="DM21" i="12"/>
  <c r="EP21" i="12"/>
  <c r="DV21" i="12"/>
  <c r="DX21" i="12"/>
  <c r="AP21" i="12"/>
  <c r="AI21" i="12"/>
  <c r="FD21" i="12"/>
  <c r="AO21" i="12"/>
  <c r="N21" i="12"/>
  <c r="AU21" i="12"/>
  <c r="AG21" i="12"/>
  <c r="CQ21" i="12"/>
  <c r="BI20" i="13"/>
  <c r="DH21" i="12"/>
  <c r="DP21" i="12"/>
  <c r="P21" i="12"/>
  <c r="CH21" i="12"/>
  <c r="DT21" i="12"/>
  <c r="CD21" i="12"/>
  <c r="EY21" i="12"/>
  <c r="S21" i="12"/>
  <c r="BM21" i="12"/>
  <c r="EZ21" i="12"/>
  <c r="ES21" i="12"/>
  <c r="BX21" i="12"/>
  <c r="R21" i="12"/>
  <c r="FC21" i="12"/>
  <c r="ER21" i="12"/>
  <c r="CC21" i="12"/>
  <c r="X21" i="12"/>
  <c r="U21" i="12"/>
  <c r="AE21" i="12"/>
  <c r="CL21" i="12"/>
  <c r="EB21" i="12"/>
  <c r="I21" i="12"/>
  <c r="Q21" i="12"/>
  <c r="F21" i="12"/>
  <c r="BP21" i="12"/>
  <c r="CZ21" i="12"/>
  <c r="DA21" i="12"/>
  <c r="DE21" i="12"/>
  <c r="DJ21" i="12"/>
  <c r="AM21" i="12"/>
  <c r="CN21" i="12"/>
  <c r="BG21" i="12"/>
  <c r="AB21" i="12"/>
  <c r="DI21" i="12"/>
  <c r="AT21" i="12"/>
  <c r="FA21" i="12"/>
  <c r="DR21" i="12"/>
  <c r="EJ21" i="12"/>
  <c r="DB21" i="12"/>
  <c r="AA21" i="12"/>
  <c r="DN21" i="12"/>
  <c r="K21" i="12"/>
  <c r="CG21" i="12"/>
  <c r="AY21" i="12"/>
  <c r="ET21" i="12"/>
  <c r="EQ21" i="12"/>
  <c r="H21" i="12"/>
  <c r="AX21" i="12"/>
  <c r="AR21" i="12"/>
  <c r="EG21" i="12"/>
  <c r="CA21" i="12"/>
  <c r="ED21" i="12"/>
  <c r="EM21" i="12"/>
  <c r="CY21" i="12"/>
  <c r="DS21" i="12"/>
  <c r="CM21" i="12"/>
  <c r="DW21" i="12"/>
  <c r="CX21" i="12"/>
  <c r="EI21" i="12"/>
  <c r="EL21" i="12"/>
  <c r="BU21" i="12"/>
  <c r="BJ21" i="12"/>
  <c r="DG21" i="12"/>
  <c r="AZ21" i="12"/>
  <c r="FG21" i="12"/>
  <c r="EK21" i="13" s="1"/>
  <c r="W21" i="12"/>
  <c r="EO21" i="12"/>
  <c r="EX21" i="12"/>
  <c r="BR21" i="12"/>
  <c r="DU21" i="12"/>
  <c r="CE21" i="12"/>
  <c r="CU21" i="12"/>
  <c r="BN21" i="12"/>
  <c r="C21" i="12"/>
  <c r="AK21" i="12"/>
  <c r="CV21" i="12"/>
  <c r="BL21" i="12"/>
  <c r="EF21" i="12"/>
  <c r="BT21" i="12"/>
  <c r="E21" i="12"/>
  <c r="DC21" i="12"/>
  <c r="AV21" i="12"/>
  <c r="BI21" i="12"/>
  <c r="AF21" i="12"/>
  <c r="Y21" i="12"/>
  <c r="AS21" i="12"/>
  <c r="BE21" i="12"/>
  <c r="CF21" i="12"/>
  <c r="CK21" i="12"/>
  <c r="BV21" i="12"/>
  <c r="BB21" i="12"/>
  <c r="AJ21" i="12"/>
  <c r="EN21" i="12"/>
  <c r="DY21" i="12"/>
  <c r="L21" i="12"/>
  <c r="G21" i="12"/>
  <c r="BY21" i="12"/>
  <c r="EA22" i="12"/>
  <c r="DN22" i="12"/>
  <c r="Y101" i="19"/>
  <c r="V101" i="19"/>
  <c r="AA101" i="19"/>
  <c r="J101" i="19"/>
  <c r="F101" i="19"/>
  <c r="M101" i="19"/>
  <c r="K101" i="19"/>
  <c r="AB101" i="19"/>
  <c r="I101" i="19"/>
  <c r="H101" i="19"/>
  <c r="L101" i="19"/>
  <c r="Z101" i="19"/>
  <c r="N101" i="19"/>
  <c r="G101" i="19"/>
  <c r="B106" i="1"/>
  <c r="BJ22" i="12" s="1"/>
  <c r="C105" i="1"/>
  <c r="D105" i="1"/>
  <c r="H105" i="1"/>
  <c r="I360" i="5"/>
  <c r="I361" i="5"/>
  <c r="J363" i="5"/>
  <c r="J360" i="5"/>
  <c r="J361" i="5"/>
  <c r="J362" i="5"/>
  <c r="I362" i="5"/>
  <c r="I363" i="5"/>
  <c r="K355" i="5"/>
  <c r="K358" i="5"/>
  <c r="K359" i="5"/>
  <c r="K357" i="5"/>
  <c r="K356" i="5"/>
  <c r="R100" i="19"/>
  <c r="W100" i="19"/>
  <c r="AR22" i="12" l="1"/>
  <c r="AG22" i="12"/>
  <c r="CF21" i="13"/>
  <c r="DA22" i="12"/>
  <c r="ER22" i="12"/>
  <c r="BR22" i="12"/>
  <c r="AE22" i="12"/>
  <c r="AK22" i="12"/>
  <c r="CB22" i="12"/>
  <c r="H22" i="12"/>
  <c r="E21" i="13"/>
  <c r="AM22" i="12"/>
  <c r="BZ22" i="12"/>
  <c r="CL22" i="12"/>
  <c r="CM22" i="12"/>
  <c r="DV22" i="12"/>
  <c r="CK22" i="12"/>
  <c r="DI22" i="12"/>
  <c r="DZ22" i="12"/>
  <c r="BI22" i="12"/>
  <c r="AT22" i="12"/>
  <c r="EU22" i="12"/>
  <c r="EM22" i="12"/>
  <c r="EK22" i="12"/>
  <c r="P22" i="12"/>
  <c r="CE22" i="12"/>
  <c r="BO22" i="12"/>
  <c r="BY22" i="12"/>
  <c r="V22" i="12"/>
  <c r="G21" i="13"/>
  <c r="BN21" i="13"/>
  <c r="W101" i="19"/>
  <c r="U101" i="19"/>
  <c r="CJ22" i="12"/>
  <c r="O22" i="12"/>
  <c r="AA22" i="12"/>
  <c r="EZ22" i="12"/>
  <c r="DD21" i="13"/>
  <c r="M21" i="13"/>
  <c r="BW21" i="13"/>
  <c r="DV21" i="13"/>
  <c r="AO21" i="13"/>
  <c r="AF21" i="13"/>
  <c r="K21" i="13"/>
  <c r="DJ21" i="13"/>
  <c r="CI21" i="13"/>
  <c r="DF21" i="13"/>
  <c r="AP21" i="13"/>
  <c r="BD21" i="13"/>
  <c r="CR21" i="13"/>
  <c r="CY21" i="13"/>
  <c r="CN21" i="13"/>
  <c r="ET21" i="13"/>
  <c r="BR21" i="13"/>
  <c r="S21" i="13"/>
  <c r="EC21" i="13"/>
  <c r="Z21" i="13"/>
  <c r="DR21" i="13"/>
  <c r="AU21" i="13"/>
  <c r="DX21" i="13"/>
  <c r="AL21" i="13"/>
  <c r="FA21" i="13"/>
  <c r="ER21" i="13"/>
  <c r="BP21" i="13"/>
  <c r="EH21" i="13"/>
  <c r="CL21" i="13"/>
  <c r="CB21" i="13"/>
  <c r="EP21" i="13"/>
  <c r="EE21" i="13"/>
  <c r="CJ21" i="13"/>
  <c r="DL21" i="13"/>
  <c r="AT21" i="13"/>
  <c r="F21" i="13"/>
  <c r="BE21" i="13"/>
  <c r="AQ21" i="13"/>
  <c r="DM21" i="13"/>
  <c r="FF21" i="13"/>
  <c r="CT21" i="13"/>
  <c r="BO21" i="13"/>
  <c r="EG21" i="13"/>
  <c r="DO21" i="13"/>
  <c r="CO21" i="13"/>
  <c r="D21" i="13"/>
  <c r="CS21" i="13"/>
  <c r="BC21" i="13"/>
  <c r="DS21" i="13"/>
  <c r="EQ21" i="13"/>
  <c r="EZ21" i="13"/>
  <c r="AD21" i="13"/>
  <c r="EN21" i="13"/>
  <c r="Y21" i="13"/>
  <c r="BL21" i="13"/>
  <c r="DU21" i="13"/>
  <c r="AI21" i="13"/>
  <c r="CP21" i="13"/>
  <c r="T21" i="13"/>
  <c r="O21" i="13"/>
  <c r="EM21" i="13"/>
  <c r="AY21" i="13"/>
  <c r="BG21" i="13"/>
  <c r="EY21" i="13"/>
  <c r="BH21" i="13"/>
  <c r="CD21" i="13"/>
  <c r="BY21" i="13"/>
  <c r="EX21" i="13"/>
  <c r="AR21" i="13"/>
  <c r="DN21" i="13"/>
  <c r="FC21" i="13"/>
  <c r="CW21" i="13"/>
  <c r="U21" i="13"/>
  <c r="FB21" i="13"/>
  <c r="AJ21" i="13"/>
  <c r="EV21" i="13"/>
  <c r="EO21" i="13"/>
  <c r="AX21" i="13"/>
  <c r="AA21" i="13"/>
  <c r="BX21" i="13"/>
  <c r="V21" i="13"/>
  <c r="CC21" i="13"/>
  <c r="BK21" i="13"/>
  <c r="EJ21" i="13"/>
  <c r="H21" i="13"/>
  <c r="DI21" i="13"/>
  <c r="BI21" i="13"/>
  <c r="DA21" i="13"/>
  <c r="DH21" i="13"/>
  <c r="BZ21" i="13"/>
  <c r="CK21" i="13"/>
  <c r="DC21" i="13"/>
  <c r="C21" i="13"/>
  <c r="W21" i="13"/>
  <c r="BV21" i="13"/>
  <c r="ED21" i="13"/>
  <c r="CA21" i="13"/>
  <c r="CG21" i="13"/>
  <c r="DE21" i="13"/>
  <c r="CQ21" i="13"/>
  <c r="Q21" i="13"/>
  <c r="BF21" i="13"/>
  <c r="DY21" i="13"/>
  <c r="AS21" i="13"/>
  <c r="BJ21" i="13"/>
  <c r="EF21" i="13"/>
  <c r="CE21" i="13"/>
  <c r="AB21" i="13"/>
  <c r="CH21" i="13"/>
  <c r="DP21" i="13"/>
  <c r="AH21" i="13"/>
  <c r="BS21" i="13"/>
  <c r="BQ21" i="13"/>
  <c r="AC21" i="13"/>
  <c r="FE21" i="13"/>
  <c r="AG21" i="13"/>
  <c r="CZ21" i="13"/>
  <c r="X21" i="13"/>
  <c r="AN21" i="13"/>
  <c r="BB21" i="13"/>
  <c r="CV21" i="13"/>
  <c r="EL21" i="13"/>
  <c r="AK21" i="13"/>
  <c r="EI21" i="13"/>
  <c r="FD21" i="13"/>
  <c r="AW21" i="13"/>
  <c r="AM21" i="13"/>
  <c r="BM21" i="13"/>
  <c r="AV21" i="13"/>
  <c r="I21" i="13"/>
  <c r="BA21" i="13"/>
  <c r="DZ21" i="13"/>
  <c r="L21" i="13"/>
  <c r="BT21" i="13"/>
  <c r="CU21" i="13"/>
  <c r="AZ21" i="13"/>
  <c r="CM21" i="13"/>
  <c r="R21" i="13"/>
  <c r="DT21" i="13"/>
  <c r="AP22" i="12"/>
  <c r="CA22" i="12"/>
  <c r="FG22" i="12"/>
  <c r="DN22" i="13" s="1"/>
  <c r="BU22" i="12"/>
  <c r="R22" i="12"/>
  <c r="DR22" i="12"/>
  <c r="EP22" i="12"/>
  <c r="EL22" i="12"/>
  <c r="CF22" i="12"/>
  <c r="C22" i="12"/>
  <c r="AS22" i="12"/>
  <c r="FB22" i="12"/>
  <c r="CT22" i="12"/>
  <c r="DU22" i="12"/>
  <c r="BC22" i="12"/>
  <c r="DC22" i="12"/>
  <c r="ED22" i="12"/>
  <c r="DS22" i="12"/>
  <c r="CH22" i="12"/>
  <c r="FF22" i="12"/>
  <c r="CO22" i="12"/>
  <c r="DB22" i="12"/>
  <c r="Q22" i="12"/>
  <c r="BH22" i="12"/>
  <c r="BH22" i="13" s="1"/>
  <c r="L22" i="12"/>
  <c r="CX21" i="13"/>
  <c r="AN22" i="12"/>
  <c r="AN22" i="13" s="1"/>
  <c r="BT22" i="12"/>
  <c r="BN22" i="12"/>
  <c r="BS22" i="12"/>
  <c r="BD22" i="12"/>
  <c r="AW22" i="12"/>
  <c r="CY22" i="12"/>
  <c r="CY22" i="13" s="1"/>
  <c r="ES22" i="12"/>
  <c r="BP22" i="12"/>
  <c r="BP22" i="13" s="1"/>
  <c r="G22" i="12"/>
  <c r="AF22" i="12"/>
  <c r="CJ22" i="13"/>
  <c r="W22" i="12"/>
  <c r="AB22" i="12"/>
  <c r="DP22" i="12"/>
  <c r="BM22" i="12"/>
  <c r="N22" i="12"/>
  <c r="DT22" i="12"/>
  <c r="DT22" i="13" s="1"/>
  <c r="J22" i="12"/>
  <c r="J22" i="13" s="1"/>
  <c r="DO22" i="12"/>
  <c r="U22" i="12"/>
  <c r="T22" i="12"/>
  <c r="T22" i="13" s="1"/>
  <c r="DW21" i="13"/>
  <c r="DY22" i="12"/>
  <c r="DY22" i="13" s="1"/>
  <c r="AZ22" i="12"/>
  <c r="AZ22" i="13" s="1"/>
  <c r="S22" i="12"/>
  <c r="S22" i="13" s="1"/>
  <c r="CQ22" i="12"/>
  <c r="CN22" i="12"/>
  <c r="EW22" i="12"/>
  <c r="FC22" i="12"/>
  <c r="FC22" i="13" s="1"/>
  <c r="BB22" i="12"/>
  <c r="BB22" i="13" s="1"/>
  <c r="BZ22" i="13"/>
  <c r="CE22" i="13"/>
  <c r="X22" i="12"/>
  <c r="X22" i="13" s="1"/>
  <c r="BV22" i="12"/>
  <c r="BV22" i="13" s="1"/>
  <c r="AX22" i="12"/>
  <c r="AX22" i="13" s="1"/>
  <c r="F22" i="12"/>
  <c r="F22" i="13" s="1"/>
  <c r="DE22" i="12"/>
  <c r="EN22" i="12"/>
  <c r="EN22" i="13" s="1"/>
  <c r="EQ22" i="12"/>
  <c r="EQ22" i="13" s="1"/>
  <c r="DK22" i="12"/>
  <c r="DK22" i="13" s="1"/>
  <c r="DJ22" i="12"/>
  <c r="DJ22" i="13" s="1"/>
  <c r="AK22" i="13"/>
  <c r="EA22" i="13"/>
  <c r="DA22" i="13"/>
  <c r="CW22" i="12"/>
  <c r="CW22" i="13" s="1"/>
  <c r="Z22" i="12"/>
  <c r="Z22" i="13" s="1"/>
  <c r="Y22" i="12"/>
  <c r="Y22" i="13" s="1"/>
  <c r="DG22" i="12"/>
  <c r="AU22" i="12"/>
  <c r="AU22" i="13" s="1"/>
  <c r="CR22" i="12"/>
  <c r="CR22" i="13" s="1"/>
  <c r="AO22" i="12"/>
  <c r="AO22" i="13" s="1"/>
  <c r="ES21" i="13"/>
  <c r="N21" i="13"/>
  <c r="P21" i="13"/>
  <c r="EB21" i="13"/>
  <c r="EA21" i="13"/>
  <c r="DQ21" i="13"/>
  <c r="DK21" i="13"/>
  <c r="CP22" i="12"/>
  <c r="CP22" i="13" s="1"/>
  <c r="CX22" i="12"/>
  <c r="DG21" i="13"/>
  <c r="K22" i="12"/>
  <c r="K22" i="13" s="1"/>
  <c r="AC22" i="12"/>
  <c r="AC22" i="13" s="1"/>
  <c r="BQ22" i="12"/>
  <c r="BQ22" i="13" s="1"/>
  <c r="BF22" i="12"/>
  <c r="BF22" i="13" s="1"/>
  <c r="EY22" i="12"/>
  <c r="EY22" i="13" s="1"/>
  <c r="FE22" i="12"/>
  <c r="FE22" i="13" s="1"/>
  <c r="AD22" i="12"/>
  <c r="AD22" i="13" s="1"/>
  <c r="AV22" i="12"/>
  <c r="AV22" i="13" s="1"/>
  <c r="BO22" i="13"/>
  <c r="O22" i="13"/>
  <c r="D22" i="12"/>
  <c r="AY22" i="12"/>
  <c r="AY22" i="13" s="1"/>
  <c r="EX22" i="12"/>
  <c r="EX22" i="13" s="1"/>
  <c r="E22" i="12"/>
  <c r="E22" i="13" s="1"/>
  <c r="AH22" i="12"/>
  <c r="AH22" i="13" s="1"/>
  <c r="BE22" i="12"/>
  <c r="BE22" i="13" s="1"/>
  <c r="M22" i="12"/>
  <c r="M22" i="13" s="1"/>
  <c r="BL22" i="12"/>
  <c r="BL22" i="13" s="1"/>
  <c r="EO22" i="12"/>
  <c r="EO22" i="13" s="1"/>
  <c r="DQ22" i="12"/>
  <c r="DQ22" i="13" s="1"/>
  <c r="DD22" i="12"/>
  <c r="DD22" i="13" s="1"/>
  <c r="EH22" i="12"/>
  <c r="EH22" i="13" s="1"/>
  <c r="CC22" i="12"/>
  <c r="CB22" i="13"/>
  <c r="EC22" i="12"/>
  <c r="EC22" i="13" s="1"/>
  <c r="CI22" i="12"/>
  <c r="CI22" i="13" s="1"/>
  <c r="DH22" i="12"/>
  <c r="DH22" i="13" s="1"/>
  <c r="EB22" i="12"/>
  <c r="EB22" i="13" s="1"/>
  <c r="BW22" i="12"/>
  <c r="BW22" i="13" s="1"/>
  <c r="BX22" i="12"/>
  <c r="BX22" i="13" s="1"/>
  <c r="CU22" i="12"/>
  <c r="CU22" i="13" s="1"/>
  <c r="CS22" i="12"/>
  <c r="CS22" i="13" s="1"/>
  <c r="DB21" i="13"/>
  <c r="AE21" i="13"/>
  <c r="EU21" i="13"/>
  <c r="EW21" i="13"/>
  <c r="J21" i="13"/>
  <c r="CG22" i="12"/>
  <c r="CG22" i="13" s="1"/>
  <c r="DF22" i="12"/>
  <c r="DF22" i="13" s="1"/>
  <c r="BU21" i="13"/>
  <c r="EJ22" i="12"/>
  <c r="EJ22" i="13" s="1"/>
  <c r="CD22" i="12"/>
  <c r="CD22" i="13" s="1"/>
  <c r="AJ22" i="12"/>
  <c r="AJ22" i="13" s="1"/>
  <c r="BA22" i="12"/>
  <c r="BA22" i="13" s="1"/>
  <c r="CZ22" i="12"/>
  <c r="CZ22" i="13" s="1"/>
  <c r="AQ22" i="12"/>
  <c r="AQ22" i="13" s="1"/>
  <c r="ET22" i="12"/>
  <c r="ET22" i="13" s="1"/>
  <c r="CV22" i="12"/>
  <c r="CV22" i="13" s="1"/>
  <c r="DL22" i="12"/>
  <c r="DL22" i="13" s="1"/>
  <c r="BY22" i="13"/>
  <c r="BR22" i="13"/>
  <c r="P22" i="13"/>
  <c r="AI22" i="12"/>
  <c r="AI22" i="13" s="1"/>
  <c r="DM22" i="12"/>
  <c r="DM22" i="13" s="1"/>
  <c r="DX22" i="12"/>
  <c r="DX22" i="13" s="1"/>
  <c r="EF22" i="12"/>
  <c r="EF22" i="13" s="1"/>
  <c r="I22" i="12"/>
  <c r="I22" i="13" s="1"/>
  <c r="FD22" i="12"/>
  <c r="FD22" i="13" s="1"/>
  <c r="EE22" i="12"/>
  <c r="EE22" i="13" s="1"/>
  <c r="AL22" i="12"/>
  <c r="AL22" i="13" s="1"/>
  <c r="EV22" i="12"/>
  <c r="EV22" i="13" s="1"/>
  <c r="BK22" i="12"/>
  <c r="BK22" i="13" s="1"/>
  <c r="EG22" i="12"/>
  <c r="EG22" i="13" s="1"/>
  <c r="DW22" i="12"/>
  <c r="DW22" i="13" s="1"/>
  <c r="BG22" i="12"/>
  <c r="BG22" i="13" s="1"/>
  <c r="EI22" i="12"/>
  <c r="EI22" i="13" s="1"/>
  <c r="FA22" i="12"/>
  <c r="FA22" i="13" s="1"/>
  <c r="BG23" i="12"/>
  <c r="R101" i="19"/>
  <c r="B107" i="1"/>
  <c r="BT23" i="12" s="1"/>
  <c r="H106" i="1"/>
  <c r="C106" i="1"/>
  <c r="D106" i="1"/>
  <c r="J365" i="5"/>
  <c r="I364" i="5"/>
  <c r="I367" i="5"/>
  <c r="I366" i="5"/>
  <c r="J366" i="5"/>
  <c r="J367" i="5"/>
  <c r="I365" i="5"/>
  <c r="J364" i="5"/>
  <c r="J102" i="19"/>
  <c r="Y102" i="19"/>
  <c r="AA102" i="19"/>
  <c r="G102" i="19"/>
  <c r="N102" i="19"/>
  <c r="H102" i="19"/>
  <c r="K102" i="19"/>
  <c r="V102" i="19"/>
  <c r="L102" i="19"/>
  <c r="AB102" i="19"/>
  <c r="X102" i="19"/>
  <c r="F102" i="19"/>
  <c r="M102" i="19"/>
  <c r="I102" i="19"/>
  <c r="Z102" i="19"/>
  <c r="K363" i="5"/>
  <c r="K362" i="5"/>
  <c r="K361" i="5"/>
  <c r="K360" i="5"/>
  <c r="DC23" i="12" l="1"/>
  <c r="BJ23" i="12"/>
  <c r="U102" i="19"/>
  <c r="CD23" i="12"/>
  <c r="AB22" i="13"/>
  <c r="DC22" i="13"/>
  <c r="EC23" i="12"/>
  <c r="L22" i="13"/>
  <c r="DB23" i="12"/>
  <c r="AS22" i="13"/>
  <c r="ET23" i="12"/>
  <c r="ET23" i="13" s="1"/>
  <c r="EZ22" i="13"/>
  <c r="DO22" i="13"/>
  <c r="AW22" i="13"/>
  <c r="EW22" i="13"/>
  <c r="N22" i="13"/>
  <c r="CH22" i="13"/>
  <c r="CV23" i="12"/>
  <c r="CV23" i="13" s="1"/>
  <c r="CN22" i="13"/>
  <c r="BM22" i="13"/>
  <c r="BS22" i="13"/>
  <c r="DS23" i="12"/>
  <c r="BW23" i="12"/>
  <c r="CC22" i="13"/>
  <c r="D22" i="13"/>
  <c r="CX22" i="13"/>
  <c r="DG22" i="13"/>
  <c r="DE22" i="13"/>
  <c r="CQ22" i="13"/>
  <c r="DP22" i="13"/>
  <c r="ED22" i="13"/>
  <c r="EL23" i="12"/>
  <c r="Y23" i="12"/>
  <c r="FC23" i="12"/>
  <c r="FC23" i="13" s="1"/>
  <c r="CO23" i="12"/>
  <c r="DT23" i="12"/>
  <c r="T23" i="12"/>
  <c r="DD23" i="12"/>
  <c r="BQ23" i="12"/>
  <c r="EQ23" i="12"/>
  <c r="EQ23" i="13" s="1"/>
  <c r="AI23" i="12"/>
  <c r="Q23" i="12"/>
  <c r="Q23" i="13" s="1"/>
  <c r="K23" i="12"/>
  <c r="BS23" i="12"/>
  <c r="BL23" i="12"/>
  <c r="CE23" i="12"/>
  <c r="EH23" i="12"/>
  <c r="V23" i="12"/>
  <c r="AD23" i="12"/>
  <c r="CR23" i="12"/>
  <c r="CU23" i="12"/>
  <c r="AC23" i="12"/>
  <c r="AC23" i="13" s="1"/>
  <c r="FA23" i="12"/>
  <c r="EV23" i="12"/>
  <c r="EV23" i="13" s="1"/>
  <c r="CL23" i="12"/>
  <c r="AU23" i="12"/>
  <c r="L23" i="12"/>
  <c r="CA23" i="12"/>
  <c r="DJ23" i="12"/>
  <c r="DJ23" i="13" s="1"/>
  <c r="G23" i="12"/>
  <c r="BZ23" i="12"/>
  <c r="C23" i="12"/>
  <c r="FG23" i="12"/>
  <c r="D23" i="12"/>
  <c r="EI23" i="12"/>
  <c r="FD23" i="12"/>
  <c r="Z23" i="12"/>
  <c r="EO23" i="12"/>
  <c r="DF23" i="12"/>
  <c r="CC23" i="12"/>
  <c r="CC23" i="13" s="1"/>
  <c r="BF23" i="12"/>
  <c r="AK23" i="12"/>
  <c r="AK23" i="13" s="1"/>
  <c r="P23" i="12"/>
  <c r="BO23" i="12"/>
  <c r="X23" i="12"/>
  <c r="X23" i="13" s="1"/>
  <c r="DH23" i="12"/>
  <c r="DK23" i="12"/>
  <c r="AA23" i="12"/>
  <c r="BP23" i="12"/>
  <c r="CI23" i="12"/>
  <c r="AX23" i="12"/>
  <c r="CS23" i="12"/>
  <c r="CB23" i="12"/>
  <c r="CB23" i="13" s="1"/>
  <c r="EA23" i="12"/>
  <c r="EA23" i="13" s="1"/>
  <c r="AW23" i="12"/>
  <c r="R23" i="12"/>
  <c r="R23" i="13" s="1"/>
  <c r="W23" i="12"/>
  <c r="BH23" i="12"/>
  <c r="BH23" i="13" s="1"/>
  <c r="EW23" i="12"/>
  <c r="EW23" i="13" s="1"/>
  <c r="DY23" i="12"/>
  <c r="H23" i="12"/>
  <c r="DZ23" i="12"/>
  <c r="AY23" i="12"/>
  <c r="AG23" i="12"/>
  <c r="DP23" i="12"/>
  <c r="V22" i="13"/>
  <c r="DB22" i="13"/>
  <c r="ES22" i="13"/>
  <c r="DS22" i="13"/>
  <c r="C22" i="13"/>
  <c r="U22" i="13"/>
  <c r="W22" i="13"/>
  <c r="BD22" i="13"/>
  <c r="Q22" i="13"/>
  <c r="AF22" i="13"/>
  <c r="BN22" i="13"/>
  <c r="CO22" i="13"/>
  <c r="G22" i="13"/>
  <c r="BT22" i="13"/>
  <c r="FF22" i="13"/>
  <c r="FB22" i="13"/>
  <c r="DF23" i="13"/>
  <c r="BG23" i="13"/>
  <c r="EC23" i="13"/>
  <c r="DU22" i="13"/>
  <c r="CT22" i="13"/>
  <c r="FD23" i="13"/>
  <c r="W23" i="13"/>
  <c r="EO23" i="13"/>
  <c r="G23" i="13"/>
  <c r="DT23" i="13"/>
  <c r="C23" i="13"/>
  <c r="T23" i="13"/>
  <c r="DB23" i="13"/>
  <c r="EL23" i="13"/>
  <c r="AY23" i="13"/>
  <c r="R22" i="13"/>
  <c r="BU22" i="13"/>
  <c r="CF22" i="13"/>
  <c r="EL22" i="13"/>
  <c r="DZ23" i="13"/>
  <c r="EH23" i="13"/>
  <c r="BJ23" i="13"/>
  <c r="Y23" i="13"/>
  <c r="AX23" i="13"/>
  <c r="BC22" i="13"/>
  <c r="BS23" i="13"/>
  <c r="CD23" i="13"/>
  <c r="D23" i="13"/>
  <c r="CL23" i="13"/>
  <c r="BW23" i="13"/>
  <c r="CO23" i="13"/>
  <c r="EP22" i="13"/>
  <c r="AT22" i="13"/>
  <c r="CG23" i="12"/>
  <c r="AN23" i="12"/>
  <c r="AN23" i="13" s="1"/>
  <c r="AF23" i="12"/>
  <c r="I23" i="12"/>
  <c r="I23" i="13" s="1"/>
  <c r="DI23" i="12"/>
  <c r="DI23" i="13" s="1"/>
  <c r="J23" i="12"/>
  <c r="J23" i="13" s="1"/>
  <c r="DQ23" i="12"/>
  <c r="DQ23" i="13" s="1"/>
  <c r="E23" i="12"/>
  <c r="CX23" i="12"/>
  <c r="FF23" i="12"/>
  <c r="FF23" i="13" s="1"/>
  <c r="ED23" i="12"/>
  <c r="ED23" i="13" s="1"/>
  <c r="CK23" i="12"/>
  <c r="CK23" i="13" s="1"/>
  <c r="EM23" i="12"/>
  <c r="ES23" i="12"/>
  <c r="ES23" i="13" s="1"/>
  <c r="O23" i="12"/>
  <c r="AJ23" i="12"/>
  <c r="AJ23" i="13" s="1"/>
  <c r="CT23" i="12"/>
  <c r="AP23" i="12"/>
  <c r="AP23" i="13" s="1"/>
  <c r="AL23" i="12"/>
  <c r="AM22" i="13"/>
  <c r="ER22" i="13"/>
  <c r="DV23" i="12"/>
  <c r="DV23" i="13" s="1"/>
  <c r="BV23" i="12"/>
  <c r="BV23" i="13" s="1"/>
  <c r="FB23" i="12"/>
  <c r="FB23" i="13" s="1"/>
  <c r="CJ23" i="12"/>
  <c r="CJ23" i="13" s="1"/>
  <c r="S23" i="12"/>
  <c r="S23" i="13" s="1"/>
  <c r="F23" i="12"/>
  <c r="BM23" i="12"/>
  <c r="BM23" i="13" s="1"/>
  <c r="DA23" i="12"/>
  <c r="DA23" i="13" s="1"/>
  <c r="AO23" i="12"/>
  <c r="AO23" i="13" s="1"/>
  <c r="EU23" i="12"/>
  <c r="EU23" i="13" s="1"/>
  <c r="BK23" i="12"/>
  <c r="BK23" i="13" s="1"/>
  <c r="CF23" i="12"/>
  <c r="BX23" i="12"/>
  <c r="BX23" i="13" s="1"/>
  <c r="DL23" i="12"/>
  <c r="DL23" i="13" s="1"/>
  <c r="BN23" i="12"/>
  <c r="BN23" i="13" s="1"/>
  <c r="EZ23" i="12"/>
  <c r="EZ23" i="13" s="1"/>
  <c r="DM23" i="12"/>
  <c r="DM23" i="13" s="1"/>
  <c r="AT23" i="12"/>
  <c r="DR22" i="13"/>
  <c r="AR22" i="13"/>
  <c r="BJ22" i="13"/>
  <c r="CM23" i="12"/>
  <c r="CM23" i="13" s="1"/>
  <c r="BI22" i="13"/>
  <c r="DZ22" i="13"/>
  <c r="BR23" i="12"/>
  <c r="BR23" i="13" s="1"/>
  <c r="DN23" i="12"/>
  <c r="DN23" i="13" s="1"/>
  <c r="AZ23" i="12"/>
  <c r="AZ23" i="13" s="1"/>
  <c r="EX23" i="12"/>
  <c r="EX23" i="13" s="1"/>
  <c r="AH23" i="12"/>
  <c r="AH23" i="13" s="1"/>
  <c r="EG23" i="12"/>
  <c r="EG23" i="13" s="1"/>
  <c r="EN23" i="12"/>
  <c r="EN23" i="13" s="1"/>
  <c r="BB23" i="12"/>
  <c r="BB23" i="13" s="1"/>
  <c r="AS23" i="12"/>
  <c r="AS23" i="13" s="1"/>
  <c r="BU23" i="12"/>
  <c r="BU23" i="13" s="1"/>
  <c r="FE23" i="12"/>
  <c r="FE23" i="13" s="1"/>
  <c r="EJ23" i="12"/>
  <c r="EJ23" i="13" s="1"/>
  <c r="M23" i="12"/>
  <c r="M23" i="13" s="1"/>
  <c r="EK23" i="12"/>
  <c r="EK23" i="13" s="1"/>
  <c r="CZ23" i="12"/>
  <c r="CZ23" i="13" s="1"/>
  <c r="DI22" i="13"/>
  <c r="AW23" i="13"/>
  <c r="AM23" i="12"/>
  <c r="AM23" i="13" s="1"/>
  <c r="EF23" i="12"/>
  <c r="EF23" i="13" s="1"/>
  <c r="CM22" i="13"/>
  <c r="CL22" i="13"/>
  <c r="EU22" i="13"/>
  <c r="AG22" i="13"/>
  <c r="H22" i="13"/>
  <c r="EK22" i="13"/>
  <c r="EM22" i="13"/>
  <c r="V23" i="13"/>
  <c r="AD23" i="13"/>
  <c r="BE23" i="12"/>
  <c r="BE23" i="13" s="1"/>
  <c r="EY23" i="12"/>
  <c r="EY23" i="13" s="1"/>
  <c r="CP23" i="12"/>
  <c r="CP23" i="13" s="1"/>
  <c r="BI23" i="12"/>
  <c r="BI23" i="13" s="1"/>
  <c r="EP23" i="12"/>
  <c r="EP23" i="13" s="1"/>
  <c r="BY23" i="12"/>
  <c r="BY23" i="13" s="1"/>
  <c r="CW23" i="12"/>
  <c r="CW23" i="13" s="1"/>
  <c r="DW23" i="12"/>
  <c r="AV23" i="12"/>
  <c r="AV23" i="13" s="1"/>
  <c r="CY23" i="12"/>
  <c r="CY23" i="13" s="1"/>
  <c r="AR23" i="12"/>
  <c r="AR23" i="13" s="1"/>
  <c r="DU23" i="12"/>
  <c r="DU23" i="13" s="1"/>
  <c r="U23" i="12"/>
  <c r="U23" i="13" s="1"/>
  <c r="DR23" i="12"/>
  <c r="DR23" i="13" s="1"/>
  <c r="BC23" i="12"/>
  <c r="BC23" i="13" s="1"/>
  <c r="DG23" i="12"/>
  <c r="DG23" i="13" s="1"/>
  <c r="EB23" i="12"/>
  <c r="EB23" i="13" s="1"/>
  <c r="BA23" i="12"/>
  <c r="BA23" i="13" s="1"/>
  <c r="CH23" i="12"/>
  <c r="CH23" i="13" s="1"/>
  <c r="ER23" i="12"/>
  <c r="ER23" i="13" s="1"/>
  <c r="BD23" i="12"/>
  <c r="BD23" i="13" s="1"/>
  <c r="AQ23" i="12"/>
  <c r="AQ23" i="13" s="1"/>
  <c r="DO23" i="12"/>
  <c r="DO23" i="13" s="1"/>
  <c r="EE23" i="12"/>
  <c r="EE23" i="13" s="1"/>
  <c r="DE23" i="12"/>
  <c r="DE23" i="13" s="1"/>
  <c r="N23" i="12"/>
  <c r="N23" i="13" s="1"/>
  <c r="AB23" i="12"/>
  <c r="AB23" i="13" s="1"/>
  <c r="CN23" i="12"/>
  <c r="CN23" i="13" s="1"/>
  <c r="AE23" i="12"/>
  <c r="AE23" i="13" s="1"/>
  <c r="DX23" i="12"/>
  <c r="DX23" i="13" s="1"/>
  <c r="CA22" i="13"/>
  <c r="AA22" i="13"/>
  <c r="CK22" i="13"/>
  <c r="CQ23" i="12"/>
  <c r="CQ23" i="13" s="1"/>
  <c r="AP22" i="13"/>
  <c r="AE22" i="13"/>
  <c r="DV22" i="13"/>
  <c r="CR23" i="13"/>
  <c r="L23" i="13"/>
  <c r="CU23" i="13"/>
  <c r="CA23" i="13"/>
  <c r="CX23" i="13"/>
  <c r="CT23" i="13"/>
  <c r="DP23" i="13"/>
  <c r="AG23" i="13"/>
  <c r="AL23" i="13"/>
  <c r="E23" i="13"/>
  <c r="FA23" i="13"/>
  <c r="AA23" i="13"/>
  <c r="BL23" i="13"/>
  <c r="H23" i="13"/>
  <c r="DH23" i="13"/>
  <c r="AU23" i="13"/>
  <c r="BF23" i="13"/>
  <c r="CI23" i="13"/>
  <c r="DW23" i="13"/>
  <c r="CS23" i="13"/>
  <c r="BQ23" i="13"/>
  <c r="BO23" i="13"/>
  <c r="DY23" i="13"/>
  <c r="CF23" i="13"/>
  <c r="EI23" i="13"/>
  <c r="DC23" i="13"/>
  <c r="BP23" i="13"/>
  <c r="DK23" i="13"/>
  <c r="P23" i="13"/>
  <c r="BT23" i="13"/>
  <c r="AF24" i="12"/>
  <c r="DN24" i="12"/>
  <c r="EB24" i="12"/>
  <c r="AN24" i="12"/>
  <c r="AK24" i="12"/>
  <c r="X103" i="19"/>
  <c r="J103" i="19"/>
  <c r="Z103" i="19"/>
  <c r="I103" i="19"/>
  <c r="M103" i="19"/>
  <c r="N103" i="19"/>
  <c r="AB103" i="19"/>
  <c r="L103" i="19"/>
  <c r="AA103" i="19"/>
  <c r="F103" i="19"/>
  <c r="V103" i="19"/>
  <c r="H103" i="19"/>
  <c r="Y103" i="19"/>
  <c r="G103" i="19"/>
  <c r="K103" i="19"/>
  <c r="B108" i="1"/>
  <c r="T24" i="12" s="1"/>
  <c r="C107" i="1"/>
  <c r="D107" i="1"/>
  <c r="H107" i="1"/>
  <c r="I372" i="5"/>
  <c r="I373" i="5"/>
  <c r="J369" i="5"/>
  <c r="J374" i="5"/>
  <c r="I371" i="5"/>
  <c r="J372" i="5"/>
  <c r="I370" i="5"/>
  <c r="I374" i="5"/>
  <c r="J370" i="5"/>
  <c r="I368" i="5"/>
  <c r="J373" i="5"/>
  <c r="J371" i="5"/>
  <c r="J368" i="5"/>
  <c r="I369" i="5"/>
  <c r="K365" i="5"/>
  <c r="K367" i="5"/>
  <c r="K366" i="5"/>
  <c r="W102" i="19"/>
  <c r="R102" i="19"/>
  <c r="K364" i="5"/>
  <c r="AI23" i="13" l="1"/>
  <c r="CE23" i="13"/>
  <c r="DD23" i="13"/>
  <c r="AB24" i="12"/>
  <c r="CQ24" i="12"/>
  <c r="CL24" i="12"/>
  <c r="AT23" i="13"/>
  <c r="F23" i="13"/>
  <c r="O23" i="13"/>
  <c r="AF23" i="13"/>
  <c r="BZ23" i="13"/>
  <c r="CN24" i="12"/>
  <c r="FD24" i="12"/>
  <c r="CY24" i="12"/>
  <c r="P24" i="12"/>
  <c r="DT24" i="12"/>
  <c r="AI24" i="12"/>
  <c r="EI24" i="12"/>
  <c r="ER24" i="12"/>
  <c r="DS23" i="13"/>
  <c r="U103" i="19"/>
  <c r="EM23" i="13"/>
  <c r="CG23" i="13"/>
  <c r="Z23" i="13"/>
  <c r="K23" i="13"/>
  <c r="V24" i="12"/>
  <c r="S24" i="12"/>
  <c r="AE24" i="12"/>
  <c r="CW24" i="12"/>
  <c r="BA24" i="12"/>
  <c r="I24" i="12"/>
  <c r="N24" i="12"/>
  <c r="BT24" i="12"/>
  <c r="AD24" i="12"/>
  <c r="DX24" i="12"/>
  <c r="FA24" i="12"/>
  <c r="BF24" i="12"/>
  <c r="CR24" i="12"/>
  <c r="BN24" i="12"/>
  <c r="R24" i="12"/>
  <c r="EC24" i="12"/>
  <c r="BG24" i="12"/>
  <c r="FC24" i="12"/>
  <c r="U24" i="12"/>
  <c r="CV24" i="12"/>
  <c r="AR24" i="12"/>
  <c r="AC24" i="12"/>
  <c r="EJ24" i="12"/>
  <c r="O24" i="12"/>
  <c r="AO24" i="12"/>
  <c r="EZ24" i="12"/>
  <c r="CX24" i="12"/>
  <c r="DQ24" i="12"/>
  <c r="BU24" i="12"/>
  <c r="BY24" i="12"/>
  <c r="Z24" i="12"/>
  <c r="H24" i="12"/>
  <c r="BC24" i="12"/>
  <c r="DO24" i="12"/>
  <c r="EH24" i="12"/>
  <c r="CK24" i="12"/>
  <c r="FE24" i="12"/>
  <c r="CJ24" i="12"/>
  <c r="DE24" i="12"/>
  <c r="CI24" i="12"/>
  <c r="DG24" i="12"/>
  <c r="AZ24" i="12"/>
  <c r="E24" i="12"/>
  <c r="BV24" i="12"/>
  <c r="EQ24" i="12"/>
  <c r="AP24" i="12"/>
  <c r="DY24" i="12"/>
  <c r="EG24" i="12"/>
  <c r="CP24" i="12"/>
  <c r="AA24" i="12"/>
  <c r="BM24" i="12"/>
  <c r="Y24" i="12"/>
  <c r="BJ24" i="12"/>
  <c r="DW24" i="12"/>
  <c r="DJ24" i="12"/>
  <c r="G24" i="12"/>
  <c r="DH24" i="12"/>
  <c r="D24" i="12"/>
  <c r="EL24" i="12"/>
  <c r="BE24" i="12"/>
  <c r="BO24" i="12"/>
  <c r="EK24" i="12"/>
  <c r="CM24" i="12"/>
  <c r="Q24" i="12"/>
  <c r="EE24" i="12"/>
  <c r="DA24" i="12"/>
  <c r="AL24" i="12"/>
  <c r="EY24" i="12"/>
  <c r="CS24" i="12"/>
  <c r="DV24" i="12"/>
  <c r="EF24" i="12"/>
  <c r="AJ24" i="12"/>
  <c r="CU24" i="12"/>
  <c r="M24" i="12"/>
  <c r="L24" i="12"/>
  <c r="EW24" i="12"/>
  <c r="BL24" i="12"/>
  <c r="J24" i="12"/>
  <c r="CF24" i="12"/>
  <c r="X24" i="12"/>
  <c r="ET24" i="12"/>
  <c r="BZ24" i="12"/>
  <c r="BW24" i="12"/>
  <c r="CO24" i="12"/>
  <c r="DK24" i="12"/>
  <c r="DD24" i="12"/>
  <c r="DP24" i="12"/>
  <c r="FG24" i="12"/>
  <c r="BH24" i="12"/>
  <c r="AT24" i="12"/>
  <c r="EP24" i="12"/>
  <c r="DS24" i="12"/>
  <c r="AH24" i="12"/>
  <c r="BX24" i="12"/>
  <c r="BD24" i="12"/>
  <c r="CC24" i="12"/>
  <c r="BS24" i="12"/>
  <c r="DM24" i="12"/>
  <c r="AY24" i="12"/>
  <c r="DB24" i="12"/>
  <c r="EV24" i="12"/>
  <c r="EX24" i="12"/>
  <c r="BK24" i="12"/>
  <c r="CA24" i="12"/>
  <c r="AQ24" i="12"/>
  <c r="DC24" i="12"/>
  <c r="DL24" i="12"/>
  <c r="EN24" i="12"/>
  <c r="CT24" i="12"/>
  <c r="EU24" i="12"/>
  <c r="C24" i="12"/>
  <c r="FF24" i="12"/>
  <c r="FF24" i="13" s="1"/>
  <c r="CD24" i="12"/>
  <c r="CE24" i="12"/>
  <c r="AX24" i="12"/>
  <c r="DU24" i="12"/>
  <c r="DF24" i="12"/>
  <c r="CH24" i="12"/>
  <c r="EM24" i="12"/>
  <c r="BR24" i="12"/>
  <c r="CZ24" i="12"/>
  <c r="AM24" i="12"/>
  <c r="AV24" i="12"/>
  <c r="ES24" i="12"/>
  <c r="ED24" i="12"/>
  <c r="CB24" i="12"/>
  <c r="BB24" i="12"/>
  <c r="DZ24" i="12"/>
  <c r="AW24" i="12"/>
  <c r="F24" i="12"/>
  <c r="AG24" i="12"/>
  <c r="BQ24" i="12"/>
  <c r="BP24" i="12"/>
  <c r="AU24" i="12"/>
  <c r="AS24" i="12"/>
  <c r="FB24" i="12"/>
  <c r="FB24" i="13" s="1"/>
  <c r="DI24" i="12"/>
  <c r="K24" i="12"/>
  <c r="BI24" i="12"/>
  <c r="EA24" i="12"/>
  <c r="DR24" i="12"/>
  <c r="EO24" i="12"/>
  <c r="W24" i="12"/>
  <c r="CG24" i="12"/>
  <c r="BO25" i="12"/>
  <c r="DA25" i="12"/>
  <c r="AX25" i="12"/>
  <c r="DH25" i="12"/>
  <c r="DV25" i="12"/>
  <c r="CV25" i="12"/>
  <c r="W103" i="19"/>
  <c r="R103" i="19"/>
  <c r="B109" i="1"/>
  <c r="AD25" i="12" s="1"/>
  <c r="C108" i="1"/>
  <c r="D108" i="1"/>
  <c r="H108" i="1"/>
  <c r="J104" i="19"/>
  <c r="AA104" i="19"/>
  <c r="F104" i="19"/>
  <c r="H104" i="19"/>
  <c r="G104" i="19"/>
  <c r="Y104" i="19"/>
  <c r="I104" i="19"/>
  <c r="K104" i="19"/>
  <c r="Z104" i="19"/>
  <c r="AB104" i="19"/>
  <c r="L104" i="19"/>
  <c r="M104" i="19"/>
  <c r="N104" i="19"/>
  <c r="X104" i="19"/>
  <c r="V104" i="19"/>
  <c r="J376" i="5"/>
  <c r="I378" i="5"/>
  <c r="I376" i="5"/>
  <c r="I377" i="5"/>
  <c r="I379" i="5"/>
  <c r="J377" i="5"/>
  <c r="I375" i="5"/>
  <c r="J378" i="5"/>
  <c r="J379" i="5"/>
  <c r="J375" i="5"/>
  <c r="K371" i="5"/>
  <c r="K370" i="5"/>
  <c r="K373" i="5"/>
  <c r="K369" i="5"/>
  <c r="K372" i="5"/>
  <c r="K368" i="5"/>
  <c r="K374" i="5"/>
  <c r="CL25" i="12" l="1"/>
  <c r="CF25" i="12"/>
  <c r="BS25" i="12"/>
  <c r="DN25" i="12"/>
  <c r="EF25" i="12"/>
  <c r="BG25" i="12"/>
  <c r="ET25" i="12"/>
  <c r="R25" i="12"/>
  <c r="Z105" i="19"/>
  <c r="D25" i="12"/>
  <c r="D25" i="13" s="1"/>
  <c r="AA25" i="12"/>
  <c r="CC25" i="12"/>
  <c r="CC25" i="13" s="1"/>
  <c r="AE25" i="12"/>
  <c r="FG25" i="12"/>
  <c r="DW25" i="12"/>
  <c r="CD25" i="12"/>
  <c r="FC25" i="12"/>
  <c r="BW25" i="12"/>
  <c r="W25" i="12"/>
  <c r="DG25" i="12"/>
  <c r="CK25" i="12"/>
  <c r="BD25" i="12"/>
  <c r="BD25" i="13" s="1"/>
  <c r="AK25" i="12"/>
  <c r="AJ25" i="12"/>
  <c r="AJ25" i="13" s="1"/>
  <c r="AZ25" i="12"/>
  <c r="CN25" i="12"/>
  <c r="AY25" i="12"/>
  <c r="BZ25" i="12"/>
  <c r="AH25" i="12"/>
  <c r="DM25" i="12"/>
  <c r="DY25" i="12"/>
  <c r="X25" i="12"/>
  <c r="EG25" i="12"/>
  <c r="EG25" i="13" s="1"/>
  <c r="EU25" i="12"/>
  <c r="EU25" i="13" s="1"/>
  <c r="EL25" i="12"/>
  <c r="DU25" i="12"/>
  <c r="DX25" i="12"/>
  <c r="U104" i="19"/>
  <c r="DZ24" i="13"/>
  <c r="DE25" i="12"/>
  <c r="FE25" i="12"/>
  <c r="T25" i="12"/>
  <c r="V25" i="12"/>
  <c r="BU25" i="12"/>
  <c r="CU25" i="12"/>
  <c r="CG24" i="13"/>
  <c r="CC24" i="13"/>
  <c r="BR24" i="13"/>
  <c r="BT25" i="12"/>
  <c r="AV25" i="12"/>
  <c r="AS25" i="12"/>
  <c r="FE24" i="13"/>
  <c r="CI24" i="13"/>
  <c r="H24" i="13"/>
  <c r="BT24" i="13"/>
  <c r="T24" i="13"/>
  <c r="O24" i="13"/>
  <c r="V24" i="13"/>
  <c r="K24" i="13"/>
  <c r="AT24" i="13"/>
  <c r="FD24" i="13"/>
  <c r="BJ24" i="13"/>
  <c r="EJ24" i="13"/>
  <c r="AF24" i="13"/>
  <c r="EK24" i="13"/>
  <c r="BN24" i="13"/>
  <c r="DV24" i="13"/>
  <c r="FC24" i="13"/>
  <c r="AK24" i="13"/>
  <c r="EL24" i="13"/>
  <c r="CB24" i="13"/>
  <c r="CR24" i="13"/>
  <c r="Z24" i="13"/>
  <c r="DX24" i="13"/>
  <c r="D24" i="13"/>
  <c r="CS24" i="13"/>
  <c r="FA24" i="13"/>
  <c r="AD24" i="13"/>
  <c r="AS24" i="13"/>
  <c r="DJ24" i="13"/>
  <c r="BM24" i="13"/>
  <c r="AU24" i="13"/>
  <c r="E24" i="13"/>
  <c r="DL24" i="13"/>
  <c r="W24" i="13"/>
  <c r="EZ24" i="13"/>
  <c r="AE24" i="13"/>
  <c r="BX24" i="13"/>
  <c r="AM24" i="13"/>
  <c r="CE24" i="13"/>
  <c r="DC24" i="13"/>
  <c r="BK24" i="13"/>
  <c r="AO24" i="13"/>
  <c r="S24" i="13"/>
  <c r="P24" i="13"/>
  <c r="DO24" i="13"/>
  <c r="DA24" i="13"/>
  <c r="Y24" i="13"/>
  <c r="BY24" i="13"/>
  <c r="AC24" i="13"/>
  <c r="N24" i="13"/>
  <c r="EB24" i="13"/>
  <c r="ER24" i="13"/>
  <c r="DT24" i="13"/>
  <c r="BC24" i="13"/>
  <c r="BU24" i="13"/>
  <c r="AR24" i="13"/>
  <c r="I24" i="13"/>
  <c r="CL24" i="13"/>
  <c r="EM24" i="13"/>
  <c r="AB24" i="13"/>
  <c r="DQ24" i="13"/>
  <c r="CV24" i="13"/>
  <c r="BA24" i="13"/>
  <c r="AI24" i="13"/>
  <c r="Q24" i="13"/>
  <c r="DY24" i="13"/>
  <c r="BP24" i="13"/>
  <c r="ED24" i="13"/>
  <c r="EV24" i="13"/>
  <c r="AH24" i="13"/>
  <c r="BF24" i="13"/>
  <c r="DR24" i="13"/>
  <c r="EX24" i="13"/>
  <c r="CX24" i="13"/>
  <c r="U24" i="13"/>
  <c r="CW24" i="13"/>
  <c r="CY24" i="13"/>
  <c r="CM24" i="13"/>
  <c r="BV24" i="13"/>
  <c r="EA24" i="13"/>
  <c r="BQ24" i="13"/>
  <c r="DU24" i="13"/>
  <c r="BI24" i="13"/>
  <c r="AG24" i="13"/>
  <c r="AV24" i="13"/>
  <c r="AX24" i="13"/>
  <c r="DI24" i="13"/>
  <c r="AW24" i="13"/>
  <c r="CZ24" i="13"/>
  <c r="CD24" i="13"/>
  <c r="AQ24" i="13"/>
  <c r="BH24" i="13"/>
  <c r="EG24" i="13"/>
  <c r="EU24" i="13"/>
  <c r="CQ24" i="13"/>
  <c r="DW24" i="13"/>
  <c r="CJ24" i="13"/>
  <c r="F24" i="13"/>
  <c r="EY24" i="13"/>
  <c r="G24" i="13"/>
  <c r="AP24" i="13"/>
  <c r="EP24" i="13"/>
  <c r="AL24" i="13"/>
  <c r="AN24" i="13"/>
  <c r="BE24" i="13"/>
  <c r="AA24" i="13"/>
  <c r="EH24" i="13"/>
  <c r="AZ24" i="13"/>
  <c r="CH24" i="13"/>
  <c r="BS24" i="13"/>
  <c r="DN24" i="13"/>
  <c r="EE24" i="13"/>
  <c r="DH24" i="13"/>
  <c r="CP24" i="13"/>
  <c r="DG24" i="13"/>
  <c r="EN24" i="13"/>
  <c r="DB24" i="13"/>
  <c r="AY24" i="13"/>
  <c r="BB24" i="13"/>
  <c r="C24" i="13"/>
  <c r="DS24" i="13"/>
  <c r="CN24" i="13"/>
  <c r="BO24" i="13"/>
  <c r="EI24" i="13"/>
  <c r="EQ24" i="13"/>
  <c r="CK24" i="13"/>
  <c r="BD24" i="13"/>
  <c r="DP24" i="13"/>
  <c r="CF24" i="13"/>
  <c r="DE24" i="13"/>
  <c r="EO24" i="13"/>
  <c r="DF24" i="13"/>
  <c r="CT24" i="13"/>
  <c r="CO24" i="13"/>
  <c r="DM24" i="13"/>
  <c r="BZ24" i="13"/>
  <c r="DJ25" i="12"/>
  <c r="CE25" i="12"/>
  <c r="CE25" i="13" s="1"/>
  <c r="BQ25" i="12"/>
  <c r="BQ25" i="13" s="1"/>
  <c r="EF24" i="13"/>
  <c r="Z25" i="12"/>
  <c r="Z25" i="13" s="1"/>
  <c r="AL25" i="12"/>
  <c r="AL25" i="13" s="1"/>
  <c r="ER25" i="12"/>
  <c r="BF25" i="12"/>
  <c r="BF25" i="13" s="1"/>
  <c r="AM25" i="12"/>
  <c r="EZ25" i="12"/>
  <c r="EZ25" i="13" s="1"/>
  <c r="AP25" i="12"/>
  <c r="CM25" i="12"/>
  <c r="U25" i="12"/>
  <c r="BV25" i="12"/>
  <c r="BV25" i="13" s="1"/>
  <c r="BJ25" i="12"/>
  <c r="BJ25" i="13" s="1"/>
  <c r="AG25" i="12"/>
  <c r="EW25" i="12"/>
  <c r="CO25" i="12"/>
  <c r="CO25" i="13" s="1"/>
  <c r="EJ25" i="12"/>
  <c r="G25" i="12"/>
  <c r="EC25" i="12"/>
  <c r="DD24" i="13"/>
  <c r="J24" i="13"/>
  <c r="BH25" i="12"/>
  <c r="BH25" i="13" s="1"/>
  <c r="EY25" i="12"/>
  <c r="EY25" i="13" s="1"/>
  <c r="P25" i="12"/>
  <c r="P25" i="13" s="1"/>
  <c r="EH25" i="12"/>
  <c r="EH25" i="13" s="1"/>
  <c r="BI25" i="12"/>
  <c r="E25" i="12"/>
  <c r="E25" i="13" s="1"/>
  <c r="AO25" i="12"/>
  <c r="AO25" i="13" s="1"/>
  <c r="EQ25" i="12"/>
  <c r="CR25" i="12"/>
  <c r="CR25" i="13" s="1"/>
  <c r="AC25" i="12"/>
  <c r="AC25" i="13" s="1"/>
  <c r="EO25" i="12"/>
  <c r="CT25" i="12"/>
  <c r="CT25" i="13" s="1"/>
  <c r="DB25" i="12"/>
  <c r="BR25" i="12"/>
  <c r="BC25" i="12"/>
  <c r="BC25" i="13" s="1"/>
  <c r="CA25" i="12"/>
  <c r="CA25" i="13" s="1"/>
  <c r="BB25" i="12"/>
  <c r="BB25" i="13" s="1"/>
  <c r="O25" i="12"/>
  <c r="O25" i="13" s="1"/>
  <c r="N25" i="12"/>
  <c r="N25" i="13" s="1"/>
  <c r="EK25" i="12"/>
  <c r="DK24" i="13"/>
  <c r="BL24" i="13"/>
  <c r="DF25" i="12"/>
  <c r="DF25" i="13" s="1"/>
  <c r="DR25" i="12"/>
  <c r="CP25" i="12"/>
  <c r="CP25" i="13" s="1"/>
  <c r="DZ25" i="12"/>
  <c r="DZ25" i="13" s="1"/>
  <c r="BA25" i="12"/>
  <c r="BA25" i="13" s="1"/>
  <c r="CH25" i="12"/>
  <c r="CH25" i="13" s="1"/>
  <c r="CX25" i="12"/>
  <c r="EW24" i="13"/>
  <c r="EN25" i="12"/>
  <c r="EN25" i="13" s="1"/>
  <c r="CZ25" i="12"/>
  <c r="FF25" i="12"/>
  <c r="FF25" i="13" s="1"/>
  <c r="EI25" i="12"/>
  <c r="BL25" i="12"/>
  <c r="BL25" i="13" s="1"/>
  <c r="DD25" i="12"/>
  <c r="DD25" i="13" s="1"/>
  <c r="DT25" i="12"/>
  <c r="C25" i="12"/>
  <c r="C25" i="13" s="1"/>
  <c r="AW25" i="12"/>
  <c r="AW25" i="13" s="1"/>
  <c r="ED25" i="12"/>
  <c r="ED25" i="13" s="1"/>
  <c r="S25" i="12"/>
  <c r="S25" i="13" s="1"/>
  <c r="AQ25" i="12"/>
  <c r="AQ25" i="13" s="1"/>
  <c r="EA25" i="12"/>
  <c r="EA25" i="13" s="1"/>
  <c r="BM25" i="12"/>
  <c r="DC25" i="12"/>
  <c r="DC25" i="13" s="1"/>
  <c r="CJ25" i="12"/>
  <c r="CJ25" i="13" s="1"/>
  <c r="AR25" i="12"/>
  <c r="AR25" i="13" s="1"/>
  <c r="DS25" i="12"/>
  <c r="DS25" i="13" s="1"/>
  <c r="CA24" i="13"/>
  <c r="BW24" i="13"/>
  <c r="L24" i="13"/>
  <c r="BN25" i="12"/>
  <c r="BN25" i="13" s="1"/>
  <c r="M25" i="12"/>
  <c r="M25" i="13" s="1"/>
  <c r="AN25" i="12"/>
  <c r="AN25" i="13" s="1"/>
  <c r="J25" i="12"/>
  <c r="J25" i="13" s="1"/>
  <c r="AU25" i="12"/>
  <c r="M24" i="13"/>
  <c r="BG24" i="13"/>
  <c r="Q25" i="12"/>
  <c r="Q25" i="13" s="1"/>
  <c r="EE25" i="12"/>
  <c r="EE25" i="13" s="1"/>
  <c r="CY25" i="12"/>
  <c r="CY25" i="13" s="1"/>
  <c r="BY25" i="12"/>
  <c r="BY25" i="13" s="1"/>
  <c r="CW25" i="12"/>
  <c r="CW25" i="13" s="1"/>
  <c r="AF25" i="12"/>
  <c r="AF25" i="13" s="1"/>
  <c r="BX25" i="12"/>
  <c r="BX25" i="13" s="1"/>
  <c r="CG25" i="12"/>
  <c r="CG25" i="13" s="1"/>
  <c r="K25" i="12"/>
  <c r="K25" i="13" s="1"/>
  <c r="BE25" i="12"/>
  <c r="BE25" i="13" s="1"/>
  <c r="CQ25" i="12"/>
  <c r="CQ25" i="13" s="1"/>
  <c r="FB25" i="12"/>
  <c r="FB25" i="13" s="1"/>
  <c r="BK25" i="12"/>
  <c r="BK25" i="13" s="1"/>
  <c r="DQ25" i="12"/>
  <c r="DQ25" i="13" s="1"/>
  <c r="I25" i="12"/>
  <c r="I25" i="13" s="1"/>
  <c r="DK25" i="12"/>
  <c r="DK25" i="13" s="1"/>
  <c r="EB25" i="12"/>
  <c r="EB25" i="13" s="1"/>
  <c r="FD25" i="12"/>
  <c r="FD25" i="13" s="1"/>
  <c r="DP25" i="12"/>
  <c r="DP25" i="13" s="1"/>
  <c r="AB25" i="12"/>
  <c r="AB25" i="13" s="1"/>
  <c r="F25" i="12"/>
  <c r="F25" i="13" s="1"/>
  <c r="CB25" i="12"/>
  <c r="DO25" i="12"/>
  <c r="DO25" i="13" s="1"/>
  <c r="L25" i="12"/>
  <c r="L25" i="13" s="1"/>
  <c r="BP25" i="12"/>
  <c r="BP25" i="13" s="1"/>
  <c r="DI25" i="12"/>
  <c r="DI25" i="13" s="1"/>
  <c r="ES25" i="12"/>
  <c r="ES25" i="13" s="1"/>
  <c r="H25" i="12"/>
  <c r="H25" i="13" s="1"/>
  <c r="EM25" i="12"/>
  <c r="EM25" i="13" s="1"/>
  <c r="CS25" i="12"/>
  <c r="CS25" i="13" s="1"/>
  <c r="ET24" i="13"/>
  <c r="CU24" i="13"/>
  <c r="EC24" i="13"/>
  <c r="DL25" i="12"/>
  <c r="DL25" i="13" s="1"/>
  <c r="AI25" i="12"/>
  <c r="AI25" i="13" s="1"/>
  <c r="EX25" i="12"/>
  <c r="EX25" i="13" s="1"/>
  <c r="EP25" i="12"/>
  <c r="EP25" i="13" s="1"/>
  <c r="Y25" i="12"/>
  <c r="Y25" i="13" s="1"/>
  <c r="AT25" i="12"/>
  <c r="AT25" i="13" s="1"/>
  <c r="CI25" i="12"/>
  <c r="CI25" i="13" s="1"/>
  <c r="EV25" i="12"/>
  <c r="EV25" i="13" s="1"/>
  <c r="FA25" i="12"/>
  <c r="FA25" i="13" s="1"/>
  <c r="ES24" i="13"/>
  <c r="X24" i="13"/>
  <c r="AJ24" i="13"/>
  <c r="R24" i="13"/>
  <c r="AM25" i="13"/>
  <c r="DB25" i="13"/>
  <c r="CN25" i="13"/>
  <c r="DE25" i="13"/>
  <c r="CL25" i="13"/>
  <c r="G25" i="13"/>
  <c r="DY25" i="13"/>
  <c r="DN25" i="13"/>
  <c r="FC25" i="13"/>
  <c r="X25" i="13"/>
  <c r="ER25" i="13"/>
  <c r="DV25" i="13"/>
  <c r="BG25" i="13"/>
  <c r="BT25" i="13"/>
  <c r="AE25" i="13"/>
  <c r="AD25" i="13"/>
  <c r="BI25" i="13"/>
  <c r="CU25" i="13"/>
  <c r="AX25" i="13"/>
  <c r="CK25" i="13"/>
  <c r="EL25" i="13"/>
  <c r="EQ25" i="13"/>
  <c r="EW25" i="13"/>
  <c r="CD25" i="13"/>
  <c r="AA25" i="13"/>
  <c r="AK25" i="13"/>
  <c r="FE25" i="13"/>
  <c r="R25" i="13"/>
  <c r="T25" i="13"/>
  <c r="CV25" i="13"/>
  <c r="EI25" i="13"/>
  <c r="DT25" i="13"/>
  <c r="BO25" i="13"/>
  <c r="CF25" i="13"/>
  <c r="CM25" i="13"/>
  <c r="DG25" i="13"/>
  <c r="V25" i="13"/>
  <c r="DJ25" i="13"/>
  <c r="CX25" i="13"/>
  <c r="U25" i="13"/>
  <c r="W25" i="13"/>
  <c r="AH25" i="13"/>
  <c r="EJ25" i="13"/>
  <c r="EC25" i="13"/>
  <c r="DU25" i="13"/>
  <c r="EF25" i="13"/>
  <c r="AV25" i="13"/>
  <c r="AG25" i="13"/>
  <c r="DR25" i="13"/>
  <c r="EK25" i="13"/>
  <c r="AU25" i="13"/>
  <c r="BU25" i="13"/>
  <c r="BR25" i="13"/>
  <c r="DH25" i="13"/>
  <c r="ET25" i="13"/>
  <c r="DM25" i="13"/>
  <c r="BZ25" i="13"/>
  <c r="DX25" i="13"/>
  <c r="CZ25" i="13"/>
  <c r="BS25" i="13"/>
  <c r="BM25" i="13"/>
  <c r="AY25" i="13"/>
  <c r="AP25" i="13"/>
  <c r="BW25" i="13"/>
  <c r="EO25" i="13"/>
  <c r="CB25" i="13"/>
  <c r="DW25" i="13"/>
  <c r="AZ25" i="13"/>
  <c r="DA25" i="13"/>
  <c r="AS25" i="13"/>
  <c r="K105" i="19"/>
  <c r="J105" i="19"/>
  <c r="I105" i="19"/>
  <c r="V105" i="19"/>
  <c r="AB105" i="19"/>
  <c r="AA105" i="19"/>
  <c r="M105" i="19"/>
  <c r="Y105" i="19"/>
  <c r="G105" i="19"/>
  <c r="X105" i="19"/>
  <c r="N105" i="19"/>
  <c r="F105" i="19"/>
  <c r="H105" i="19"/>
  <c r="L105" i="19"/>
  <c r="B110" i="1"/>
  <c r="E26" i="12" s="1"/>
  <c r="C109" i="1"/>
  <c r="D109" i="1"/>
  <c r="H109" i="1"/>
  <c r="J380" i="5"/>
  <c r="I380" i="5"/>
  <c r="I381" i="5"/>
  <c r="J381" i="5"/>
  <c r="K375" i="5"/>
  <c r="K379" i="5"/>
  <c r="K377" i="5"/>
  <c r="R104" i="19"/>
  <c r="W104" i="19"/>
  <c r="K376" i="5"/>
  <c r="K378" i="5"/>
  <c r="Q26" i="12" l="1"/>
  <c r="AV26" i="12"/>
  <c r="DD26" i="12"/>
  <c r="ED26" i="12"/>
  <c r="W105" i="19"/>
  <c r="U105" i="19"/>
  <c r="BK26" i="12"/>
  <c r="BT26" i="12"/>
  <c r="DH26" i="12"/>
  <c r="EY26" i="12"/>
  <c r="CK26" i="12"/>
  <c r="BM26" i="12"/>
  <c r="CV26" i="12"/>
  <c r="AH26" i="12"/>
  <c r="DB26" i="12"/>
  <c r="DA26" i="12"/>
  <c r="AW26" i="12"/>
  <c r="P26" i="12"/>
  <c r="X26" i="12"/>
  <c r="EF26" i="12"/>
  <c r="DZ26" i="12"/>
  <c r="BJ26" i="12"/>
  <c r="EL26" i="12"/>
  <c r="EC26" i="12"/>
  <c r="BA26" i="12"/>
  <c r="EJ26" i="12"/>
  <c r="CX26" i="12"/>
  <c r="DJ26" i="12"/>
  <c r="EH26" i="12"/>
  <c r="EI26" i="12"/>
  <c r="DM26" i="12"/>
  <c r="DQ26" i="12"/>
  <c r="AO26" i="12"/>
  <c r="DS26" i="12"/>
  <c r="BF26" i="12"/>
  <c r="CY26" i="12"/>
  <c r="CY26" i="13" s="1"/>
  <c r="CI26" i="12"/>
  <c r="Z26" i="12"/>
  <c r="AB26" i="12"/>
  <c r="BN26" i="12"/>
  <c r="CW26" i="12"/>
  <c r="T26" i="12"/>
  <c r="AT26" i="12"/>
  <c r="FF26" i="12"/>
  <c r="AS26" i="12"/>
  <c r="FE26" i="12"/>
  <c r="FB26" i="12"/>
  <c r="EK26" i="12"/>
  <c r="AK26" i="12"/>
  <c r="EZ26" i="12"/>
  <c r="BD26" i="12"/>
  <c r="AZ26" i="12"/>
  <c r="BG26" i="12"/>
  <c r="F26" i="12"/>
  <c r="EV26" i="12"/>
  <c r="DP26" i="12"/>
  <c r="AL26" i="12"/>
  <c r="EQ26" i="12"/>
  <c r="N26" i="12"/>
  <c r="CN26" i="12"/>
  <c r="CN26" i="13" s="1"/>
  <c r="DE26" i="12"/>
  <c r="FA26" i="12"/>
  <c r="FD26" i="12"/>
  <c r="AI26" i="12"/>
  <c r="EU26" i="12"/>
  <c r="EX26" i="12"/>
  <c r="EO26" i="12"/>
  <c r="AJ26" i="12"/>
  <c r="AU26" i="12"/>
  <c r="Y26" i="12"/>
  <c r="DX26" i="12"/>
  <c r="AC26" i="12"/>
  <c r="ET26" i="12"/>
  <c r="CP26" i="12"/>
  <c r="C26" i="12"/>
  <c r="CA26" i="12"/>
  <c r="EW26" i="12"/>
  <c r="CF26" i="12"/>
  <c r="M26" i="12"/>
  <c r="BS26" i="12"/>
  <c r="AQ26" i="12"/>
  <c r="I26" i="12"/>
  <c r="DF26" i="12"/>
  <c r="AA26" i="12"/>
  <c r="DL26" i="12"/>
  <c r="BL26" i="12"/>
  <c r="BP26" i="12"/>
  <c r="BC26" i="12"/>
  <c r="BB26" i="12"/>
  <c r="U26" i="12"/>
  <c r="DW26" i="12"/>
  <c r="DR26" i="12"/>
  <c r="BH26" i="12"/>
  <c r="AR26" i="12"/>
  <c r="BI26" i="12"/>
  <c r="BR26" i="12"/>
  <c r="CJ26" i="12"/>
  <c r="DN26" i="12"/>
  <c r="ER26" i="12"/>
  <c r="CQ26" i="12"/>
  <c r="D26" i="12"/>
  <c r="BU26" i="12"/>
  <c r="ES26" i="12"/>
  <c r="CS26" i="12"/>
  <c r="CM26" i="12"/>
  <c r="DT26" i="12"/>
  <c r="DU26" i="12"/>
  <c r="EN26" i="12"/>
  <c r="EN26" i="13" s="1"/>
  <c r="BZ26" i="12"/>
  <c r="BQ26" i="12"/>
  <c r="CT26" i="12"/>
  <c r="CZ26" i="12"/>
  <c r="CD26" i="12"/>
  <c r="G26" i="12"/>
  <c r="BO26" i="12"/>
  <c r="BX26" i="12"/>
  <c r="CH26" i="12"/>
  <c r="AN26" i="12"/>
  <c r="H26" i="12"/>
  <c r="K26" i="12"/>
  <c r="CL26" i="12"/>
  <c r="CU26" i="12"/>
  <c r="CE26" i="12"/>
  <c r="DY26" i="12"/>
  <c r="AY26" i="12"/>
  <c r="EB26" i="12"/>
  <c r="W26" i="12"/>
  <c r="R26" i="12"/>
  <c r="AD26" i="12"/>
  <c r="EM26" i="12"/>
  <c r="BY26" i="12"/>
  <c r="CG26" i="12"/>
  <c r="AG26" i="12"/>
  <c r="EE26" i="12"/>
  <c r="EP26" i="12"/>
  <c r="BV26" i="12"/>
  <c r="BW26" i="12"/>
  <c r="CB26" i="12"/>
  <c r="AM26" i="12"/>
  <c r="AM26" i="13" s="1"/>
  <c r="AF26" i="12"/>
  <c r="AX26" i="12"/>
  <c r="EA26" i="12"/>
  <c r="DO26" i="12"/>
  <c r="S26" i="12"/>
  <c r="V26" i="12"/>
  <c r="O26" i="12"/>
  <c r="EG26" i="12"/>
  <c r="DI26" i="12"/>
  <c r="DK26" i="12"/>
  <c r="CC26" i="12"/>
  <c r="FG26" i="12"/>
  <c r="E26" i="13" s="1"/>
  <c r="BE26" i="12"/>
  <c r="AE26" i="12"/>
  <c r="FC26" i="12"/>
  <c r="DV26" i="12"/>
  <c r="CO26" i="12"/>
  <c r="CO26" i="13" s="1"/>
  <c r="DG26" i="12"/>
  <c r="AP26" i="12"/>
  <c r="L26" i="12"/>
  <c r="CR26" i="12"/>
  <c r="J26" i="12"/>
  <c r="DC26" i="12"/>
  <c r="ED26" i="13"/>
  <c r="DC27" i="12"/>
  <c r="E27" i="12"/>
  <c r="DN26" i="13"/>
  <c r="EQ27" i="12"/>
  <c r="R105" i="19"/>
  <c r="B111" i="1"/>
  <c r="DA27" i="12" s="1"/>
  <c r="C110" i="1"/>
  <c r="D110" i="1"/>
  <c r="H110" i="1"/>
  <c r="G106" i="19"/>
  <c r="M106" i="19"/>
  <c r="I106" i="19"/>
  <c r="AA106" i="19"/>
  <c r="X106" i="19"/>
  <c r="AB106" i="19"/>
  <c r="L106" i="19"/>
  <c r="Y106" i="19"/>
  <c r="H106" i="19"/>
  <c r="Z106" i="19"/>
  <c r="K106" i="19"/>
  <c r="N106" i="19"/>
  <c r="V106" i="19"/>
  <c r="J106" i="19"/>
  <c r="F106" i="19"/>
  <c r="J382" i="5"/>
  <c r="I382" i="5"/>
  <c r="J384" i="5"/>
  <c r="I384" i="5"/>
  <c r="I383" i="5"/>
  <c r="J385" i="5"/>
  <c r="J383" i="5"/>
  <c r="I385" i="5"/>
  <c r="K381" i="5"/>
  <c r="K380" i="5"/>
  <c r="U106" i="19" l="1"/>
  <c r="AR26" i="13"/>
  <c r="M26" i="13"/>
  <c r="X26" i="13"/>
  <c r="D26" i="13"/>
  <c r="CT26" i="13"/>
  <c r="EQ26" i="13"/>
  <c r="T26" i="13"/>
  <c r="BQ26" i="13"/>
  <c r="EW26" i="13"/>
  <c r="BO27" i="12"/>
  <c r="CL26" i="13"/>
  <c r="BZ26" i="13"/>
  <c r="F27" i="12"/>
  <c r="DT26" i="13"/>
  <c r="DV26" i="13"/>
  <c r="FC27" i="12"/>
  <c r="CA26" i="13"/>
  <c r="AH26" i="13"/>
  <c r="CQ26" i="13"/>
  <c r="FD26" i="13"/>
  <c r="EH26" i="13"/>
  <c r="AE26" i="13"/>
  <c r="AD26" i="13"/>
  <c r="CC26" i="13"/>
  <c r="N26" i="13"/>
  <c r="I26" i="13"/>
  <c r="Z26" i="13"/>
  <c r="AQ26" i="13"/>
  <c r="L26" i="13"/>
  <c r="CE26" i="13"/>
  <c r="BO26" i="13"/>
  <c r="FA26" i="13"/>
  <c r="AW26" i="13"/>
  <c r="DZ26" i="13"/>
  <c r="ET26" i="13"/>
  <c r="AN26" i="13"/>
  <c r="EP26" i="13"/>
  <c r="DF26" i="13"/>
  <c r="EU26" i="13"/>
  <c r="CW26" i="13"/>
  <c r="EV26" i="13"/>
  <c r="FB26" i="13"/>
  <c r="EJ26" i="13"/>
  <c r="DG26" i="13"/>
  <c r="EF26" i="13"/>
  <c r="AV26" i="13"/>
  <c r="CD26" i="13"/>
  <c r="AU26" i="13"/>
  <c r="EM26" i="13"/>
  <c r="AS26" i="13"/>
  <c r="AP26" i="13"/>
  <c r="DW26" i="13"/>
  <c r="CJ26" i="13"/>
  <c r="BX26" i="13"/>
  <c r="BI26" i="13"/>
  <c r="CF26" i="13"/>
  <c r="DE26" i="13"/>
  <c r="CI26" i="13"/>
  <c r="CB26" i="13"/>
  <c r="Y26" i="13"/>
  <c r="DC26" i="13"/>
  <c r="FC26" i="13"/>
  <c r="G26" i="13"/>
  <c r="CH26" i="13"/>
  <c r="CR26" i="13"/>
  <c r="BE26" i="13"/>
  <c r="S26" i="13"/>
  <c r="DI26" i="13"/>
  <c r="BH26" i="13"/>
  <c r="DL26" i="13"/>
  <c r="AF26" i="13"/>
  <c r="CG26" i="13"/>
  <c r="DY26" i="13"/>
  <c r="AZ26" i="13"/>
  <c r="ER26" i="13"/>
  <c r="K26" i="13"/>
  <c r="CZ26" i="13"/>
  <c r="CS26" i="13"/>
  <c r="BR26" i="13"/>
  <c r="BS26" i="13"/>
  <c r="AI26" i="13"/>
  <c r="DP26" i="13"/>
  <c r="DQ26" i="13"/>
  <c r="CV26" i="13"/>
  <c r="AG26" i="13"/>
  <c r="AY26" i="13"/>
  <c r="BT26" i="13"/>
  <c r="BV26" i="13"/>
  <c r="R26" i="13"/>
  <c r="DO26" i="13"/>
  <c r="W26" i="13"/>
  <c r="BC26" i="13"/>
  <c r="EZ26" i="13"/>
  <c r="EY26" i="13"/>
  <c r="AX26" i="13"/>
  <c r="O26" i="13"/>
  <c r="EO27" i="12"/>
  <c r="CA27" i="12"/>
  <c r="EU27" i="12"/>
  <c r="FE27" i="12"/>
  <c r="CW27" i="12"/>
  <c r="I27" i="12"/>
  <c r="AU27" i="12"/>
  <c r="BP27" i="12"/>
  <c r="FG27" i="12"/>
  <c r="AB27" i="12"/>
  <c r="FA27" i="12"/>
  <c r="AW27" i="12"/>
  <c r="AM27" i="12"/>
  <c r="AA27" i="12"/>
  <c r="FD27" i="12"/>
  <c r="DI27" i="12"/>
  <c r="BC27" i="12"/>
  <c r="BB27" i="12"/>
  <c r="CO27" i="12"/>
  <c r="L27" i="12"/>
  <c r="L27" i="13" s="1"/>
  <c r="ES27" i="12"/>
  <c r="ED27" i="12"/>
  <c r="ED27" i="13" s="1"/>
  <c r="DY27" i="12"/>
  <c r="M27" i="12"/>
  <c r="BK27" i="12"/>
  <c r="BT27" i="12"/>
  <c r="DT27" i="12"/>
  <c r="BU27" i="12"/>
  <c r="CN27" i="12"/>
  <c r="K27" i="12"/>
  <c r="DE27" i="12"/>
  <c r="CP27" i="12"/>
  <c r="AZ27" i="12"/>
  <c r="CZ27" i="12"/>
  <c r="CZ27" i="13" s="1"/>
  <c r="DR27" i="12"/>
  <c r="DR27" i="13" s="1"/>
  <c r="CM27" i="12"/>
  <c r="CC27" i="12"/>
  <c r="BF27" i="12"/>
  <c r="AY27" i="12"/>
  <c r="FF27" i="12"/>
  <c r="EA27" i="12"/>
  <c r="EG27" i="12"/>
  <c r="CV27" i="12"/>
  <c r="EV27" i="12"/>
  <c r="EV27" i="13" s="1"/>
  <c r="EL27" i="12"/>
  <c r="EL27" i="13" s="1"/>
  <c r="DG27" i="12"/>
  <c r="DG27" i="13" s="1"/>
  <c r="CX27" i="12"/>
  <c r="CX27" i="13" s="1"/>
  <c r="BS27" i="12"/>
  <c r="Q27" i="12"/>
  <c r="CY27" i="12"/>
  <c r="CR27" i="12"/>
  <c r="BN26" i="13"/>
  <c r="EM27" i="12"/>
  <c r="EL26" i="13"/>
  <c r="BI27" i="12"/>
  <c r="BI27" i="13" s="1"/>
  <c r="J26" i="13"/>
  <c r="BF26" i="13"/>
  <c r="EX27" i="12"/>
  <c r="EX27" i="13" s="1"/>
  <c r="FB27" i="12"/>
  <c r="EA26" i="13"/>
  <c r="EE26" i="13"/>
  <c r="AT27" i="12"/>
  <c r="H27" i="12"/>
  <c r="BP26" i="13"/>
  <c r="AC26" i="13"/>
  <c r="F26" i="13"/>
  <c r="AJ26" i="13"/>
  <c r="DJ26" i="13"/>
  <c r="BM26" i="13"/>
  <c r="BK26" i="13"/>
  <c r="CB27" i="12"/>
  <c r="CB27" i="13" s="1"/>
  <c r="DM27" i="12"/>
  <c r="BR27" i="12"/>
  <c r="DP27" i="12"/>
  <c r="DQ27" i="12"/>
  <c r="P27" i="12"/>
  <c r="P27" i="13" s="1"/>
  <c r="AJ27" i="12"/>
  <c r="ET27" i="12"/>
  <c r="BQ27" i="12"/>
  <c r="BQ27" i="13" s="1"/>
  <c r="N27" i="12"/>
  <c r="Y27" i="12"/>
  <c r="AB26" i="13"/>
  <c r="EJ27" i="12"/>
  <c r="EJ27" i="13" s="1"/>
  <c r="BJ26" i="13"/>
  <c r="DB27" i="12"/>
  <c r="DB27" i="13" s="1"/>
  <c r="DS26" i="13"/>
  <c r="BW27" i="12"/>
  <c r="T27" i="12"/>
  <c r="T27" i="13" s="1"/>
  <c r="DB26" i="13"/>
  <c r="BM27" i="12"/>
  <c r="EY27" i="12"/>
  <c r="DU26" i="13"/>
  <c r="CU26" i="13"/>
  <c r="H26" i="13"/>
  <c r="DX26" i="13"/>
  <c r="BG26" i="13"/>
  <c r="EO26" i="13"/>
  <c r="CX26" i="13"/>
  <c r="CK26" i="13"/>
  <c r="DD26" i="13"/>
  <c r="AP27" i="12"/>
  <c r="AP27" i="13" s="1"/>
  <c r="CT27" i="12"/>
  <c r="CT27" i="13" s="1"/>
  <c r="BV27" i="12"/>
  <c r="BV27" i="13" s="1"/>
  <c r="R27" i="12"/>
  <c r="CH27" i="12"/>
  <c r="EH27" i="12"/>
  <c r="EH27" i="13" s="1"/>
  <c r="CK27" i="12"/>
  <c r="CK27" i="13" s="1"/>
  <c r="J27" i="12"/>
  <c r="J27" i="13" s="1"/>
  <c r="AI27" i="12"/>
  <c r="AI27" i="13" s="1"/>
  <c r="DJ27" i="12"/>
  <c r="DV27" i="12"/>
  <c r="AH27" i="12"/>
  <c r="AH27" i="13" s="1"/>
  <c r="DU27" i="12"/>
  <c r="BG27" i="12"/>
  <c r="BX27" i="12"/>
  <c r="BX27" i="13" s="1"/>
  <c r="CD27" i="12"/>
  <c r="CD27" i="13" s="1"/>
  <c r="AE27" i="12"/>
  <c r="AE27" i="13" s="1"/>
  <c r="AQ27" i="12"/>
  <c r="AQ27" i="13" s="1"/>
  <c r="EI27" i="12"/>
  <c r="EI27" i="13" s="1"/>
  <c r="U27" i="12"/>
  <c r="U27" i="13" s="1"/>
  <c r="EE27" i="12"/>
  <c r="EE27" i="13" s="1"/>
  <c r="DS27" i="12"/>
  <c r="CS27" i="12"/>
  <c r="BZ27" i="12"/>
  <c r="BZ27" i="13" s="1"/>
  <c r="DL27" i="12"/>
  <c r="DL27" i="13" s="1"/>
  <c r="AX27" i="12"/>
  <c r="AX27" i="13" s="1"/>
  <c r="BA27" i="12"/>
  <c r="BA27" i="13" s="1"/>
  <c r="BJ27" i="12"/>
  <c r="D27" i="12"/>
  <c r="D27" i="13" s="1"/>
  <c r="AL27" i="12"/>
  <c r="AL27" i="13" s="1"/>
  <c r="CE27" i="12"/>
  <c r="CE27" i="13" s="1"/>
  <c r="EK27" i="12"/>
  <c r="EK27" i="13" s="1"/>
  <c r="EB26" i="13"/>
  <c r="CM26" i="13"/>
  <c r="DR26" i="13"/>
  <c r="Q26" i="13"/>
  <c r="BL26" i="13"/>
  <c r="BD26" i="13"/>
  <c r="AO26" i="13"/>
  <c r="FE26" i="13"/>
  <c r="DH26" i="13"/>
  <c r="DK26" i="13"/>
  <c r="EG26" i="13"/>
  <c r="EC27" i="12"/>
  <c r="EC27" i="13" s="1"/>
  <c r="ER27" i="12"/>
  <c r="ER27" i="13" s="1"/>
  <c r="BL27" i="12"/>
  <c r="BL27" i="13" s="1"/>
  <c r="DD27" i="12"/>
  <c r="DD27" i="13" s="1"/>
  <c r="AK27" i="12"/>
  <c r="AK27" i="13" s="1"/>
  <c r="C27" i="12"/>
  <c r="C27" i="13" s="1"/>
  <c r="AG27" i="12"/>
  <c r="AG27" i="13" s="1"/>
  <c r="G27" i="12"/>
  <c r="G27" i="13" s="1"/>
  <c r="CQ27" i="12"/>
  <c r="CQ27" i="13" s="1"/>
  <c r="EW27" i="12"/>
  <c r="EW27" i="13" s="1"/>
  <c r="AV27" i="12"/>
  <c r="AV27" i="13" s="1"/>
  <c r="AC27" i="12"/>
  <c r="AC27" i="13" s="1"/>
  <c r="EB27" i="12"/>
  <c r="EB27" i="13" s="1"/>
  <c r="EF27" i="12"/>
  <c r="EF27" i="13" s="1"/>
  <c r="AR27" i="12"/>
  <c r="AR27" i="13" s="1"/>
  <c r="BN27" i="12"/>
  <c r="BN27" i="13" s="1"/>
  <c r="AN27" i="12"/>
  <c r="AN27" i="13" s="1"/>
  <c r="DN27" i="12"/>
  <c r="DN27" i="13" s="1"/>
  <c r="BE27" i="12"/>
  <c r="BE27" i="13" s="1"/>
  <c r="AT26" i="13"/>
  <c r="EX26" i="13"/>
  <c r="DX27" i="12"/>
  <c r="DX27" i="13" s="1"/>
  <c r="P26" i="13"/>
  <c r="BH27" i="12"/>
  <c r="BH27" i="13" s="1"/>
  <c r="CJ27" i="12"/>
  <c r="CJ27" i="13" s="1"/>
  <c r="Z27" i="12"/>
  <c r="Z27" i="13" s="1"/>
  <c r="BY27" i="12"/>
  <c r="BY27" i="13" s="1"/>
  <c r="BW26" i="13"/>
  <c r="DO27" i="12"/>
  <c r="DO27" i="13" s="1"/>
  <c r="W27" i="12"/>
  <c r="W27" i="13" s="1"/>
  <c r="BD27" i="12"/>
  <c r="BD27" i="13" s="1"/>
  <c r="ES26" i="13"/>
  <c r="U26" i="13"/>
  <c r="C26" i="13"/>
  <c r="AA26" i="13"/>
  <c r="AK26" i="13"/>
  <c r="DM26" i="13"/>
  <c r="FF26" i="13"/>
  <c r="BA26" i="13"/>
  <c r="EN27" i="12"/>
  <c r="EN27" i="13" s="1"/>
  <c r="S27" i="12"/>
  <c r="S27" i="13" s="1"/>
  <c r="DH27" i="12"/>
  <c r="DH27" i="13" s="1"/>
  <c r="CU27" i="12"/>
  <c r="CU27" i="13" s="1"/>
  <c r="O27" i="12"/>
  <c r="O27" i="13" s="1"/>
  <c r="V27" i="12"/>
  <c r="V27" i="13" s="1"/>
  <c r="AD27" i="12"/>
  <c r="AD27" i="13" s="1"/>
  <c r="AO27" i="12"/>
  <c r="AO27" i="13" s="1"/>
  <c r="AF27" i="12"/>
  <c r="AF27" i="13" s="1"/>
  <c r="DK27" i="12"/>
  <c r="DK27" i="13" s="1"/>
  <c r="CI27" i="12"/>
  <c r="CI27" i="13" s="1"/>
  <c r="EP27" i="12"/>
  <c r="EP27" i="13" s="1"/>
  <c r="X27" i="12"/>
  <c r="X27" i="13" s="1"/>
  <c r="CL27" i="12"/>
  <c r="CL27" i="13" s="1"/>
  <c r="DW27" i="12"/>
  <c r="DW27" i="13" s="1"/>
  <c r="AS27" i="12"/>
  <c r="AS27" i="13" s="1"/>
  <c r="DF27" i="12"/>
  <c r="DF27" i="13" s="1"/>
  <c r="BY26" i="13"/>
  <c r="V26" i="13"/>
  <c r="BU26" i="13"/>
  <c r="BB26" i="13"/>
  <c r="CP26" i="13"/>
  <c r="AL26" i="13"/>
  <c r="EK26" i="13"/>
  <c r="EI26" i="13"/>
  <c r="DA26" i="13"/>
  <c r="EC26" i="13"/>
  <c r="EZ27" i="12"/>
  <c r="EZ27" i="13" s="1"/>
  <c r="CF27" i="12"/>
  <c r="CF27" i="13" s="1"/>
  <c r="CG27" i="12"/>
  <c r="CG27" i="13" s="1"/>
  <c r="DZ27" i="12"/>
  <c r="DZ27" i="13" s="1"/>
  <c r="F27" i="13"/>
  <c r="CO27" i="13"/>
  <c r="DM27" i="13"/>
  <c r="AJ27" i="13"/>
  <c r="N27" i="13"/>
  <c r="BU27" i="13"/>
  <c r="EQ27" i="13"/>
  <c r="DU27" i="13"/>
  <c r="AB27" i="13"/>
  <c r="DT27" i="13"/>
  <c r="EY27" i="13"/>
  <c r="EG27" i="13"/>
  <c r="CY27" i="13"/>
  <c r="BR27" i="13"/>
  <c r="BS27" i="13"/>
  <c r="EA27" i="13"/>
  <c r="BO27" i="13"/>
  <c r="CH27" i="13"/>
  <c r="R27" i="13"/>
  <c r="BB27" i="13"/>
  <c r="DA27" i="13"/>
  <c r="CR27" i="13"/>
  <c r="FF27" i="13"/>
  <c r="BK27" i="13"/>
  <c r="CS27" i="13"/>
  <c r="CP27" i="13"/>
  <c r="DC27" i="13"/>
  <c r="FA27" i="13"/>
  <c r="DQ27" i="13"/>
  <c r="M27" i="13"/>
  <c r="FB27" i="13"/>
  <c r="BM27" i="13"/>
  <c r="FC27" i="13"/>
  <c r="E27" i="13"/>
  <c r="CN27" i="13"/>
  <c r="DP27" i="13"/>
  <c r="BT27" i="13"/>
  <c r="AZ27" i="13"/>
  <c r="DI27" i="13"/>
  <c r="Q27" i="13"/>
  <c r="Y27" i="13"/>
  <c r="BG27" i="13"/>
  <c r="BJ27" i="13"/>
  <c r="DS27" i="13"/>
  <c r="BC27" i="13"/>
  <c r="Z107" i="19"/>
  <c r="H107" i="19"/>
  <c r="I107" i="19"/>
  <c r="J107" i="19"/>
  <c r="X107" i="19"/>
  <c r="M107" i="19"/>
  <c r="F107" i="19"/>
  <c r="L107" i="19"/>
  <c r="N107" i="19"/>
  <c r="Y107" i="19"/>
  <c r="AB107" i="19"/>
  <c r="AA107" i="19"/>
  <c r="V107" i="19"/>
  <c r="K107" i="19"/>
  <c r="G107" i="19"/>
  <c r="B112" i="1"/>
  <c r="BR28" i="12" s="1"/>
  <c r="C111" i="1"/>
  <c r="D111" i="1"/>
  <c r="H111" i="1"/>
  <c r="K383" i="5"/>
  <c r="K382" i="5"/>
  <c r="K385" i="5"/>
  <c r="K384" i="5"/>
  <c r="O106" i="19"/>
  <c r="W106" i="19"/>
  <c r="R106" i="19"/>
  <c r="CV27" i="13" l="1"/>
  <c r="EM27" i="13"/>
  <c r="DV27" i="13"/>
  <c r="BW27" i="13"/>
  <c r="H27" i="13"/>
  <c r="Z28" i="12"/>
  <c r="DJ27" i="13"/>
  <c r="AT27" i="13"/>
  <c r="BF27" i="13"/>
  <c r="AA27" i="13"/>
  <c r="CC27" i="13"/>
  <c r="CJ28" i="12"/>
  <c r="CO28" i="12"/>
  <c r="R107" i="19"/>
  <c r="U107" i="19"/>
  <c r="P28" i="12"/>
  <c r="CN28" i="12"/>
  <c r="AP28" i="12"/>
  <c r="ET27" i="13"/>
  <c r="K27" i="13"/>
  <c r="ES27" i="13"/>
  <c r="AY27" i="13"/>
  <c r="DE27" i="13"/>
  <c r="AM27" i="13"/>
  <c r="CM27" i="13"/>
  <c r="DY27" i="13"/>
  <c r="AW27" i="13"/>
  <c r="FD27" i="13"/>
  <c r="AE28" i="12"/>
  <c r="DO28" i="12"/>
  <c r="CC28" i="12"/>
  <c r="AK28" i="12"/>
  <c r="EH28" i="12"/>
  <c r="BZ28" i="12"/>
  <c r="BN28" i="12"/>
  <c r="BC28" i="12"/>
  <c r="DY28" i="12"/>
  <c r="BF28" i="12"/>
  <c r="AU27" i="13"/>
  <c r="L28" i="12"/>
  <c r="CM28" i="12"/>
  <c r="I28" i="12"/>
  <c r="BJ28" i="12"/>
  <c r="AH28" i="12"/>
  <c r="DE28" i="12"/>
  <c r="EP28" i="12"/>
  <c r="EA28" i="12"/>
  <c r="BP28" i="12"/>
  <c r="BM28" i="12"/>
  <c r="DK28" i="12"/>
  <c r="G28" i="12"/>
  <c r="F28" i="12"/>
  <c r="ES28" i="12"/>
  <c r="S28" i="12"/>
  <c r="C28" i="12"/>
  <c r="CV28" i="12"/>
  <c r="EG28" i="12"/>
  <c r="DQ28" i="12"/>
  <c r="AX28" i="12"/>
  <c r="CW28" i="12"/>
  <c r="I27" i="13"/>
  <c r="DI28" i="12"/>
  <c r="ED28" i="12"/>
  <c r="DC28" i="12"/>
  <c r="CD28" i="12"/>
  <c r="BL28" i="12"/>
  <c r="DG28" i="12"/>
  <c r="EU28" i="12"/>
  <c r="BD28" i="12"/>
  <c r="AR28" i="12"/>
  <c r="AL28" i="12"/>
  <c r="DD28" i="12"/>
  <c r="CA28" i="12"/>
  <c r="DP28" i="12"/>
  <c r="FA28" i="12"/>
  <c r="FG28" i="12"/>
  <c r="AB28" i="12"/>
  <c r="DB28" i="12"/>
  <c r="H28" i="12"/>
  <c r="DM28" i="12"/>
  <c r="BU28" i="12"/>
  <c r="EB28" i="12"/>
  <c r="CW27" i="13"/>
  <c r="O28" i="12"/>
  <c r="EV28" i="12"/>
  <c r="V28" i="12"/>
  <c r="AN28" i="12"/>
  <c r="U28" i="12"/>
  <c r="AD28" i="12"/>
  <c r="BH28" i="12"/>
  <c r="AW28" i="12"/>
  <c r="BB28" i="12"/>
  <c r="EY28" i="12"/>
  <c r="DH28" i="12"/>
  <c r="BO28" i="12"/>
  <c r="BA28" i="12"/>
  <c r="AZ28" i="12"/>
  <c r="BT28" i="12"/>
  <c r="T28" i="12"/>
  <c r="FE27" i="13"/>
  <c r="FB28" i="12"/>
  <c r="DZ28" i="12"/>
  <c r="BS28" i="12"/>
  <c r="ET28" i="12"/>
  <c r="DT28" i="12"/>
  <c r="EO28" i="12"/>
  <c r="BY28" i="12"/>
  <c r="CS28" i="12"/>
  <c r="CX28" i="12"/>
  <c r="FE28" i="12"/>
  <c r="EW28" i="12"/>
  <c r="AU28" i="12"/>
  <c r="AJ28" i="12"/>
  <c r="EQ28" i="12"/>
  <c r="BE28" i="12"/>
  <c r="EC28" i="12"/>
  <c r="EM28" i="12"/>
  <c r="DF28" i="12"/>
  <c r="E28" i="12"/>
  <c r="CL28" i="12"/>
  <c r="D28" i="12"/>
  <c r="BV28" i="12"/>
  <c r="AG28" i="12"/>
  <c r="DA28" i="12"/>
  <c r="EX28" i="12"/>
  <c r="EF28" i="12"/>
  <c r="CF28" i="12"/>
  <c r="AQ28" i="12"/>
  <c r="DL28" i="12"/>
  <c r="EI28" i="12"/>
  <c r="BQ28" i="12"/>
  <c r="N28" i="12"/>
  <c r="Q28" i="12"/>
  <c r="CH28" i="12"/>
  <c r="CT28" i="12"/>
  <c r="R28" i="12"/>
  <c r="DN28" i="12"/>
  <c r="CP28" i="12"/>
  <c r="AA28" i="12"/>
  <c r="EU27" i="13"/>
  <c r="EE28" i="12"/>
  <c r="AF28" i="12"/>
  <c r="CK28" i="12"/>
  <c r="CG28" i="12"/>
  <c r="K28" i="12"/>
  <c r="CZ28" i="12"/>
  <c r="DV28" i="12"/>
  <c r="CR28" i="12"/>
  <c r="EZ28" i="12"/>
  <c r="AV28" i="12"/>
  <c r="ER28" i="12"/>
  <c r="EK28" i="12"/>
  <c r="AY28" i="12"/>
  <c r="CA27" i="13"/>
  <c r="FD28" i="12"/>
  <c r="J28" i="12"/>
  <c r="Y28" i="12"/>
  <c r="DS28" i="12"/>
  <c r="CE28" i="12"/>
  <c r="EJ28" i="12"/>
  <c r="M28" i="12"/>
  <c r="W28" i="12"/>
  <c r="DX28" i="12"/>
  <c r="EL28" i="12"/>
  <c r="CU28" i="12"/>
  <c r="DU28" i="12"/>
  <c r="CY28" i="12"/>
  <c r="DJ28" i="12"/>
  <c r="DR28" i="12"/>
  <c r="CB28" i="12"/>
  <c r="BP27" i="13"/>
  <c r="EO27" i="13"/>
  <c r="FC28" i="12"/>
  <c r="DW28" i="12"/>
  <c r="BX28" i="12"/>
  <c r="X28" i="12"/>
  <c r="AT28" i="12"/>
  <c r="BG28" i="12"/>
  <c r="FF28" i="12"/>
  <c r="CQ28" i="12"/>
  <c r="AI28" i="12"/>
  <c r="EN28" i="12"/>
  <c r="BW28" i="12"/>
  <c r="AC28" i="12"/>
  <c r="BI28" i="12"/>
  <c r="AO28" i="12"/>
  <c r="BK28" i="12"/>
  <c r="AS28" i="12"/>
  <c r="AM28" i="12"/>
  <c r="CI28" i="12"/>
  <c r="D29" i="12"/>
  <c r="BJ29" i="12"/>
  <c r="W107" i="19"/>
  <c r="B113" i="1"/>
  <c r="AP29" i="12" s="1"/>
  <c r="H112" i="1"/>
  <c r="C112" i="1"/>
  <c r="D112" i="1"/>
  <c r="I387" i="5"/>
  <c r="I386" i="5"/>
  <c r="J387" i="5"/>
  <c r="J386" i="5"/>
  <c r="I108" i="19"/>
  <c r="H108" i="19"/>
  <c r="V108" i="19"/>
  <c r="G108" i="19"/>
  <c r="AB108" i="19"/>
  <c r="M108" i="19"/>
  <c r="F108" i="19"/>
  <c r="K108" i="19"/>
  <c r="AA108" i="19"/>
  <c r="Z108" i="19"/>
  <c r="Y108" i="19"/>
  <c r="N108" i="19"/>
  <c r="X108" i="19"/>
  <c r="L108" i="19"/>
  <c r="J108" i="19"/>
  <c r="BQ29" i="12" l="1"/>
  <c r="EE29" i="12"/>
  <c r="BW29" i="12"/>
  <c r="DW29" i="12"/>
  <c r="CX29" i="12"/>
  <c r="AD29" i="12"/>
  <c r="BS29" i="12"/>
  <c r="AQ29" i="12"/>
  <c r="CS29" i="12"/>
  <c r="DA29" i="12"/>
  <c r="AE29" i="12"/>
  <c r="BT29" i="12"/>
  <c r="X109" i="19"/>
  <c r="AN29" i="12"/>
  <c r="EV29" i="12"/>
  <c r="DH29" i="12"/>
  <c r="DX29" i="12"/>
  <c r="EL29" i="12"/>
  <c r="X29" i="12"/>
  <c r="DZ29" i="12"/>
  <c r="BI29" i="12"/>
  <c r="FF29" i="12"/>
  <c r="U108" i="19"/>
  <c r="EO29" i="12"/>
  <c r="EU29" i="12"/>
  <c r="EF29" i="12"/>
  <c r="S29" i="12"/>
  <c r="N29" i="12"/>
  <c r="AZ29" i="12"/>
  <c r="AW29" i="12"/>
  <c r="Y109" i="19"/>
  <c r="DK29" i="12"/>
  <c r="EP29" i="12"/>
  <c r="H29" i="12"/>
  <c r="DR29" i="12"/>
  <c r="H109" i="19"/>
  <c r="BN29" i="12"/>
  <c r="CJ29" i="12"/>
  <c r="EA29" i="12"/>
  <c r="AO29" i="12"/>
  <c r="Y29" i="12"/>
  <c r="AR29" i="12"/>
  <c r="CC29" i="12"/>
  <c r="FA29" i="12"/>
  <c r="C29" i="12"/>
  <c r="CA29" i="12"/>
  <c r="FE29" i="12"/>
  <c r="BU29" i="12"/>
  <c r="DF29" i="12"/>
  <c r="K29" i="12"/>
  <c r="DY29" i="12"/>
  <c r="DV29" i="12"/>
  <c r="CV29" i="12"/>
  <c r="EW29" i="12"/>
  <c r="CI29" i="12"/>
  <c r="BA29" i="12"/>
  <c r="S28" i="13"/>
  <c r="ET29" i="12"/>
  <c r="CU29" i="12"/>
  <c r="CH29" i="12"/>
  <c r="BR29" i="12"/>
  <c r="BY29" i="12"/>
  <c r="AA28" i="13"/>
  <c r="BQ28" i="13"/>
  <c r="AG28" i="13"/>
  <c r="BE28" i="13"/>
  <c r="BY28" i="13"/>
  <c r="AC28" i="13"/>
  <c r="X28" i="13"/>
  <c r="T28" i="13"/>
  <c r="AW28" i="13"/>
  <c r="CB28" i="13"/>
  <c r="W28" i="13"/>
  <c r="CZ28" i="13"/>
  <c r="DJ28" i="13"/>
  <c r="BW28" i="13"/>
  <c r="DR28" i="13"/>
  <c r="M28" i="13"/>
  <c r="AY28" i="13"/>
  <c r="K28" i="13"/>
  <c r="CP28" i="13"/>
  <c r="EI28" i="13"/>
  <c r="BV28" i="13"/>
  <c r="EQ28" i="13"/>
  <c r="ES28" i="13"/>
  <c r="BX28" i="13"/>
  <c r="ER28" i="13"/>
  <c r="CI28" i="13"/>
  <c r="EN28" i="13"/>
  <c r="DW28" i="13"/>
  <c r="EJ28" i="13"/>
  <c r="EK28" i="13"/>
  <c r="CG28" i="13"/>
  <c r="DN28" i="13"/>
  <c r="DL28" i="13"/>
  <c r="D28" i="13"/>
  <c r="AJ28" i="13"/>
  <c r="DT28" i="13"/>
  <c r="R28" i="13"/>
  <c r="AI28" i="13"/>
  <c r="FC28" i="13"/>
  <c r="CY28" i="13"/>
  <c r="CE28" i="13"/>
  <c r="CK28" i="13"/>
  <c r="AQ28" i="13"/>
  <c r="CL28" i="13"/>
  <c r="AU28" i="13"/>
  <c r="ET28" i="13"/>
  <c r="CT28" i="13"/>
  <c r="AS28" i="13"/>
  <c r="CQ28" i="13"/>
  <c r="CO28" i="13"/>
  <c r="DU28" i="13"/>
  <c r="DS28" i="13"/>
  <c r="AV28" i="13"/>
  <c r="AF28" i="13"/>
  <c r="CF28" i="13"/>
  <c r="E28" i="13"/>
  <c r="EW28" i="13"/>
  <c r="BS28" i="13"/>
  <c r="CN28" i="13"/>
  <c r="CS28" i="13"/>
  <c r="AB28" i="13"/>
  <c r="BA28" i="13"/>
  <c r="BK28" i="13"/>
  <c r="FF28" i="13"/>
  <c r="AP28" i="13"/>
  <c r="CU28" i="13"/>
  <c r="Y28" i="13"/>
  <c r="EZ28" i="13"/>
  <c r="EE28" i="13"/>
  <c r="CH28" i="13"/>
  <c r="EF28" i="13"/>
  <c r="DF28" i="13"/>
  <c r="FE28" i="13"/>
  <c r="DZ28" i="13"/>
  <c r="DH28" i="13"/>
  <c r="V28" i="13"/>
  <c r="AM28" i="13"/>
  <c r="C28" i="13"/>
  <c r="AO28" i="13"/>
  <c r="BG28" i="13"/>
  <c r="EL28" i="13"/>
  <c r="J28" i="13"/>
  <c r="CR28" i="13"/>
  <c r="CJ28" i="13"/>
  <c r="Q28" i="13"/>
  <c r="EX28" i="13"/>
  <c r="EM28" i="13"/>
  <c r="CX28" i="13"/>
  <c r="BI28" i="13"/>
  <c r="AT28" i="13"/>
  <c r="DX28" i="13"/>
  <c r="FD28" i="13"/>
  <c r="DV28" i="13"/>
  <c r="N28" i="13"/>
  <c r="DA28" i="13"/>
  <c r="EC28" i="13"/>
  <c r="BB28" i="13"/>
  <c r="AZ28" i="13"/>
  <c r="BO28" i="13"/>
  <c r="H28" i="13"/>
  <c r="AL28" i="13"/>
  <c r="FB28" i="13"/>
  <c r="EY28" i="13"/>
  <c r="O28" i="13"/>
  <c r="AD28" i="13"/>
  <c r="EB28" i="13"/>
  <c r="EG28" i="13"/>
  <c r="ED28" i="13"/>
  <c r="EV28" i="13"/>
  <c r="AR28" i="13"/>
  <c r="BD28" i="13"/>
  <c r="DO29" i="12"/>
  <c r="CL29" i="12"/>
  <c r="BM28" i="13"/>
  <c r="CM28" i="13"/>
  <c r="BZ28" i="13"/>
  <c r="CT29" i="12"/>
  <c r="DU29" i="12"/>
  <c r="BH29" i="12"/>
  <c r="BC29" i="12"/>
  <c r="CR29" i="12"/>
  <c r="FC29" i="12"/>
  <c r="DT29" i="12"/>
  <c r="AL29" i="12"/>
  <c r="AX29" i="12"/>
  <c r="AI29" i="12"/>
  <c r="J29" i="12"/>
  <c r="Z29" i="12"/>
  <c r="FD29" i="12"/>
  <c r="P29" i="12"/>
  <c r="DI29" i="12"/>
  <c r="DD29" i="12"/>
  <c r="V29" i="12"/>
  <c r="BL29" i="12"/>
  <c r="AB29" i="12"/>
  <c r="CE29" i="12"/>
  <c r="CV28" i="13"/>
  <c r="BP28" i="13"/>
  <c r="L28" i="13"/>
  <c r="EH28" i="13"/>
  <c r="AF29" i="12"/>
  <c r="DN29" i="12"/>
  <c r="CY29" i="12"/>
  <c r="EX29" i="12"/>
  <c r="CG29" i="12"/>
  <c r="BG29" i="12"/>
  <c r="AS29" i="12"/>
  <c r="BM29" i="12"/>
  <c r="ES29" i="12"/>
  <c r="AU29" i="12"/>
  <c r="DQ29" i="12"/>
  <c r="DL29" i="12"/>
  <c r="O29" i="12"/>
  <c r="DC29" i="12"/>
  <c r="BX29" i="12"/>
  <c r="DM29" i="12"/>
  <c r="EG29" i="12"/>
  <c r="BK29" i="12"/>
  <c r="EQ29" i="12"/>
  <c r="T29" i="12"/>
  <c r="DI28" i="13"/>
  <c r="EA28" i="13"/>
  <c r="DP29" i="12"/>
  <c r="AK28" i="13"/>
  <c r="FG29" i="12"/>
  <c r="H29" i="13" s="1"/>
  <c r="BB29" i="12"/>
  <c r="AM29" i="12"/>
  <c r="DB28" i="13"/>
  <c r="EU28" i="13"/>
  <c r="P28" i="13"/>
  <c r="EP28" i="13"/>
  <c r="CC28" i="13"/>
  <c r="BO29" i="12"/>
  <c r="U29" i="12"/>
  <c r="R29" i="12"/>
  <c r="DG29" i="12"/>
  <c r="EH29" i="12"/>
  <c r="DE29" i="12"/>
  <c r="CK29" i="12"/>
  <c r="DS29" i="12"/>
  <c r="BZ29" i="12"/>
  <c r="CM29" i="12"/>
  <c r="CW29" i="12"/>
  <c r="EI29" i="12"/>
  <c r="CD29" i="12"/>
  <c r="EY29" i="12"/>
  <c r="CF29" i="12"/>
  <c r="F29" i="12"/>
  <c r="F29" i="13" s="1"/>
  <c r="BV29" i="12"/>
  <c r="DB29" i="12"/>
  <c r="AA29" i="12"/>
  <c r="CP29" i="12"/>
  <c r="EO28" i="13"/>
  <c r="BT28" i="13"/>
  <c r="BH28" i="13"/>
  <c r="FA28" i="13"/>
  <c r="DG28" i="13"/>
  <c r="DE28" i="13"/>
  <c r="BF28" i="13"/>
  <c r="DO28" i="13"/>
  <c r="EN29" i="12"/>
  <c r="ER29" i="12"/>
  <c r="W29" i="12"/>
  <c r="EC29" i="12"/>
  <c r="EM29" i="12"/>
  <c r="EB29" i="12"/>
  <c r="AC29" i="12"/>
  <c r="CO29" i="12"/>
  <c r="DP28" i="13"/>
  <c r="BL28" i="13"/>
  <c r="CW28" i="13"/>
  <c r="F28" i="13"/>
  <c r="AH28" i="13"/>
  <c r="DY28" i="13"/>
  <c r="AE28" i="13"/>
  <c r="Q29" i="12"/>
  <c r="AK29" i="12"/>
  <c r="CB29" i="12"/>
  <c r="AH29" i="12"/>
  <c r="EJ29" i="12"/>
  <c r="AJ29" i="12"/>
  <c r="FB29" i="12"/>
  <c r="AV29" i="12"/>
  <c r="BD29" i="12"/>
  <c r="BE29" i="12"/>
  <c r="BP29" i="12"/>
  <c r="E29" i="12"/>
  <c r="EK29" i="12"/>
  <c r="I29" i="12"/>
  <c r="ED29" i="12"/>
  <c r="AG29" i="12"/>
  <c r="DJ29" i="12"/>
  <c r="AY29" i="12"/>
  <c r="CZ29" i="12"/>
  <c r="EZ29" i="12"/>
  <c r="CQ29" i="12"/>
  <c r="CQ29" i="13" s="1"/>
  <c r="U28" i="13"/>
  <c r="BU28" i="13"/>
  <c r="CA28" i="13"/>
  <c r="CD28" i="13"/>
  <c r="AX28" i="13"/>
  <c r="G28" i="13"/>
  <c r="BJ28" i="13"/>
  <c r="BC28" i="13"/>
  <c r="Z28" i="13"/>
  <c r="BF29" i="12"/>
  <c r="G29" i="12"/>
  <c r="AT29" i="12"/>
  <c r="AT29" i="13" s="1"/>
  <c r="M29" i="12"/>
  <c r="L29" i="12"/>
  <c r="CN29" i="12"/>
  <c r="AN28" i="13"/>
  <c r="DM28" i="13"/>
  <c r="DD28" i="13"/>
  <c r="DC28" i="13"/>
  <c r="DQ28" i="13"/>
  <c r="DK28" i="13"/>
  <c r="I28" i="13"/>
  <c r="BN28" i="13"/>
  <c r="BR28" i="13"/>
  <c r="DM29" i="13"/>
  <c r="AE29" i="13"/>
  <c r="AA109" i="19"/>
  <c r="R109" i="19" s="1"/>
  <c r="V109" i="19"/>
  <c r="I109" i="19"/>
  <c r="K109" i="19"/>
  <c r="Z109" i="19"/>
  <c r="L109" i="19"/>
  <c r="G109" i="19"/>
  <c r="F109" i="19"/>
  <c r="AR30" i="12"/>
  <c r="U30" i="12"/>
  <c r="O30" i="12"/>
  <c r="EV30" i="12"/>
  <c r="BD30" i="12"/>
  <c r="AJ30" i="12"/>
  <c r="FC30" i="12"/>
  <c r="BA30" i="12"/>
  <c r="N109" i="19"/>
  <c r="M109" i="19"/>
  <c r="J109" i="19"/>
  <c r="AB109" i="19"/>
  <c r="CZ30" i="12"/>
  <c r="DF30" i="12"/>
  <c r="DV30" i="12"/>
  <c r="F30" i="12"/>
  <c r="DU30" i="12"/>
  <c r="DK30" i="12"/>
  <c r="CK30" i="12"/>
  <c r="EQ30" i="12"/>
  <c r="DO30" i="12"/>
  <c r="DB30" i="12"/>
  <c r="K30" i="12"/>
  <c r="B114" i="1"/>
  <c r="CT30" i="12" s="1"/>
  <c r="D113" i="1"/>
  <c r="H113" i="1"/>
  <c r="C113" i="1"/>
  <c r="J388" i="5"/>
  <c r="J391" i="5"/>
  <c r="J389" i="5"/>
  <c r="J390" i="5"/>
  <c r="I389" i="5"/>
  <c r="I388" i="5"/>
  <c r="I391" i="5"/>
  <c r="I390" i="5"/>
  <c r="K387" i="5"/>
  <c r="K386" i="5"/>
  <c r="W108" i="19"/>
  <c r="R108" i="19"/>
  <c r="U109" i="19" l="1"/>
  <c r="EY29" i="13"/>
  <c r="W109" i="19"/>
  <c r="BM29" i="13"/>
  <c r="CD29" i="13"/>
  <c r="EJ29" i="13"/>
  <c r="BW29" i="13"/>
  <c r="AC29" i="13"/>
  <c r="DT29" i="13"/>
  <c r="AW29" i="13"/>
  <c r="CX29" i="13"/>
  <c r="EM29" i="13"/>
  <c r="CA29" i="13"/>
  <c r="EK29" i="13"/>
  <c r="EC29" i="13"/>
  <c r="DS29" i="13"/>
  <c r="BO29" i="13"/>
  <c r="DG30" i="12"/>
  <c r="S30" i="12"/>
  <c r="CA30" i="12"/>
  <c r="DA30" i="12"/>
  <c r="CM29" i="13"/>
  <c r="BV29" i="13"/>
  <c r="EG29" i="13"/>
  <c r="ES29" i="13"/>
  <c r="AF29" i="13"/>
  <c r="V29" i="13"/>
  <c r="AX29" i="13"/>
  <c r="CT29" i="13"/>
  <c r="DB29" i="13"/>
  <c r="DD29" i="13"/>
  <c r="BX29" i="13"/>
  <c r="AS29" i="13"/>
  <c r="BZ29" i="13"/>
  <c r="FC29" i="13"/>
  <c r="Q29" i="13"/>
  <c r="DZ29" i="13"/>
  <c r="EA29" i="13"/>
  <c r="EW29" i="13"/>
  <c r="FD29" i="13"/>
  <c r="FB29" i="13"/>
  <c r="EZ29" i="13"/>
  <c r="BK29" i="13"/>
  <c r="DI29" i="13"/>
  <c r="DC29" i="13"/>
  <c r="BG29" i="13"/>
  <c r="T29" i="13"/>
  <c r="CR29" i="13"/>
  <c r="Y29" i="13"/>
  <c r="DW29" i="13"/>
  <c r="N29" i="13"/>
  <c r="W29" i="13"/>
  <c r="CU29" i="13"/>
  <c r="CK29" i="13"/>
  <c r="EL29" i="13"/>
  <c r="AB29" i="13"/>
  <c r="L29" i="13"/>
  <c r="CZ29" i="13"/>
  <c r="BP29" i="13"/>
  <c r="CB29" i="13"/>
  <c r="CO29" i="13"/>
  <c r="AD29" i="13"/>
  <c r="P29" i="13"/>
  <c r="O29" i="13"/>
  <c r="CG29" i="13"/>
  <c r="Z29" i="13"/>
  <c r="BC29" i="13"/>
  <c r="DR29" i="13"/>
  <c r="CC29" i="13"/>
  <c r="DH29" i="13"/>
  <c r="AH29" i="13"/>
  <c r="ER29" i="13"/>
  <c r="X29" i="13"/>
  <c r="DE29" i="13"/>
  <c r="AO29" i="13"/>
  <c r="CP29" i="13"/>
  <c r="M29" i="13"/>
  <c r="BE29" i="13"/>
  <c r="AK29" i="13"/>
  <c r="DO29" i="13"/>
  <c r="EQ29" i="13"/>
  <c r="CN29" i="13"/>
  <c r="BL29" i="13"/>
  <c r="DL29" i="13"/>
  <c r="EX29" i="13"/>
  <c r="J29" i="13"/>
  <c r="BH29" i="13"/>
  <c r="BA29" i="13"/>
  <c r="FF29" i="13"/>
  <c r="D29" i="13"/>
  <c r="ED29" i="13"/>
  <c r="EN29" i="13"/>
  <c r="ET29" i="13"/>
  <c r="EH29" i="13"/>
  <c r="E29" i="13"/>
  <c r="CF29" i="13"/>
  <c r="DJ29" i="13"/>
  <c r="BD29" i="13"/>
  <c r="CL29" i="13"/>
  <c r="EE29" i="13"/>
  <c r="DQ29" i="13"/>
  <c r="CY29" i="13"/>
  <c r="AI29" i="13"/>
  <c r="DU29" i="13"/>
  <c r="DX29" i="13"/>
  <c r="EP29" i="13"/>
  <c r="CJ29" i="13"/>
  <c r="CE29" i="13"/>
  <c r="BQ29" i="13"/>
  <c r="DV29" i="13"/>
  <c r="DG29" i="13"/>
  <c r="BJ29" i="13"/>
  <c r="DP29" i="13"/>
  <c r="G29" i="13"/>
  <c r="AG29" i="13"/>
  <c r="AV29" i="13"/>
  <c r="BB29" i="13"/>
  <c r="AA29" i="13"/>
  <c r="C29" i="13"/>
  <c r="AU29" i="13"/>
  <c r="DN29" i="13"/>
  <c r="CS29" i="13"/>
  <c r="DY29" i="13"/>
  <c r="EU29" i="13"/>
  <c r="CV29" i="13"/>
  <c r="CI29" i="13"/>
  <c r="EI29" i="13"/>
  <c r="R29" i="13"/>
  <c r="BN29" i="13"/>
  <c r="BY29" i="13"/>
  <c r="BF29" i="13"/>
  <c r="AP29" i="13"/>
  <c r="EB29" i="13"/>
  <c r="AL29" i="13"/>
  <c r="EO29" i="13"/>
  <c r="FA29" i="13"/>
  <c r="BR29" i="13"/>
  <c r="BS29" i="13"/>
  <c r="AZ29" i="13"/>
  <c r="CH29" i="13"/>
  <c r="CW29" i="13"/>
  <c r="U29" i="13"/>
  <c r="AN29" i="13"/>
  <c r="AM29" i="13"/>
  <c r="I29" i="13"/>
  <c r="AJ29" i="13"/>
  <c r="S29" i="13"/>
  <c r="BU29" i="13"/>
  <c r="DA29" i="13"/>
  <c r="K29" i="13"/>
  <c r="FE29" i="13"/>
  <c r="EX30" i="12"/>
  <c r="BK30" i="12"/>
  <c r="DW30" i="12"/>
  <c r="DI30" i="12"/>
  <c r="CS30" i="12"/>
  <c r="BY30" i="12"/>
  <c r="DD30" i="12"/>
  <c r="DC30" i="12"/>
  <c r="X30" i="12"/>
  <c r="E30" i="12"/>
  <c r="ET30" i="12"/>
  <c r="EY30" i="12"/>
  <c r="CB30" i="12"/>
  <c r="EB30" i="12"/>
  <c r="AD30" i="12"/>
  <c r="BI30" i="12"/>
  <c r="BR30" i="12"/>
  <c r="CU30" i="12"/>
  <c r="BH30" i="12"/>
  <c r="W30" i="12"/>
  <c r="AE30" i="12"/>
  <c r="Q30" i="12"/>
  <c r="EK30" i="12"/>
  <c r="FD30" i="12"/>
  <c r="EO30" i="12"/>
  <c r="BO30" i="12"/>
  <c r="DR30" i="12"/>
  <c r="EU30" i="12"/>
  <c r="BU30" i="12"/>
  <c r="EJ30" i="12"/>
  <c r="AP30" i="12"/>
  <c r="CV30" i="12"/>
  <c r="EA30" i="12"/>
  <c r="EG30" i="12"/>
  <c r="ED30" i="12"/>
  <c r="AY29" i="13"/>
  <c r="AR29" i="13"/>
  <c r="Z30" i="12"/>
  <c r="DZ30" i="12"/>
  <c r="CN30" i="12"/>
  <c r="DM30" i="12"/>
  <c r="AW30" i="12"/>
  <c r="DT30" i="12"/>
  <c r="AB30" i="12"/>
  <c r="AC30" i="12"/>
  <c r="AV30" i="12"/>
  <c r="BQ30" i="12"/>
  <c r="AO30" i="12"/>
  <c r="CR30" i="12"/>
  <c r="DQ30" i="12"/>
  <c r="CD30" i="12"/>
  <c r="CY30" i="12"/>
  <c r="DP30" i="12"/>
  <c r="BP30" i="12"/>
  <c r="BM30" i="12"/>
  <c r="EC30" i="12"/>
  <c r="CI30" i="12"/>
  <c r="CE30" i="12"/>
  <c r="DF29" i="13"/>
  <c r="ER30" i="12"/>
  <c r="D30" i="12"/>
  <c r="AY30" i="12"/>
  <c r="I30" i="12"/>
  <c r="AH30" i="12"/>
  <c r="AM30" i="12"/>
  <c r="CM30" i="12"/>
  <c r="AL30" i="12"/>
  <c r="FA30" i="12"/>
  <c r="BT30" i="12"/>
  <c r="EI30" i="12"/>
  <c r="CF30" i="12"/>
  <c r="CG30" i="12"/>
  <c r="AZ30" i="12"/>
  <c r="CQ30" i="12"/>
  <c r="BS30" i="12"/>
  <c r="BF30" i="12"/>
  <c r="DJ30" i="12"/>
  <c r="FE30" i="12"/>
  <c r="BG30" i="12"/>
  <c r="CL30" i="12"/>
  <c r="EH30" i="12"/>
  <c r="H30" i="12"/>
  <c r="CC30" i="12"/>
  <c r="CW30" i="12"/>
  <c r="DY30" i="12"/>
  <c r="DX30" i="12"/>
  <c r="L30" i="12"/>
  <c r="V30" i="12"/>
  <c r="DS30" i="12"/>
  <c r="DL30" i="12"/>
  <c r="CP30" i="12"/>
  <c r="CX30" i="12"/>
  <c r="CH30" i="12"/>
  <c r="DN30" i="12"/>
  <c r="ES30" i="12"/>
  <c r="BT29" i="13"/>
  <c r="BI29" i="13"/>
  <c r="EN30" i="12"/>
  <c r="AG30" i="12"/>
  <c r="EZ30" i="12"/>
  <c r="EW30" i="12"/>
  <c r="M30" i="12"/>
  <c r="BN30" i="12"/>
  <c r="BX30" i="12"/>
  <c r="AQ30" i="12"/>
  <c r="N30" i="12"/>
  <c r="AA30" i="12"/>
  <c r="J30" i="12"/>
  <c r="CO30" i="12"/>
  <c r="G30" i="12"/>
  <c r="Y30" i="12"/>
  <c r="DE30" i="12"/>
  <c r="FB30" i="12"/>
  <c r="AT30" i="12"/>
  <c r="P30" i="12"/>
  <c r="EF30" i="12"/>
  <c r="C30" i="12"/>
  <c r="AX30" i="12"/>
  <c r="FG30" i="12"/>
  <c r="ET30" i="13" s="1"/>
  <c r="BE30" i="12"/>
  <c r="AK30" i="12"/>
  <c r="BW30" i="12"/>
  <c r="AS30" i="12"/>
  <c r="AU30" i="12"/>
  <c r="EM30" i="12"/>
  <c r="EL30" i="12"/>
  <c r="BV30" i="12"/>
  <c r="EP30" i="12"/>
  <c r="EF29" i="13"/>
  <c r="AQ29" i="13"/>
  <c r="T30" i="12"/>
  <c r="BB30" i="12"/>
  <c r="AF30" i="12"/>
  <c r="FF30" i="12"/>
  <c r="EE30" i="12"/>
  <c r="EE30" i="13" s="1"/>
  <c r="AI30" i="12"/>
  <c r="AN30" i="12"/>
  <c r="CJ30" i="12"/>
  <c r="BL30" i="12"/>
  <c r="DH30" i="12"/>
  <c r="BJ30" i="12"/>
  <c r="R30" i="12"/>
  <c r="BZ30" i="12"/>
  <c r="BZ30" i="13" s="1"/>
  <c r="BC30" i="12"/>
  <c r="EV29" i="13"/>
  <c r="DK29" i="13"/>
  <c r="EB31" i="12"/>
  <c r="AH31" i="12"/>
  <c r="Y110" i="19"/>
  <c r="AA110" i="19"/>
  <c r="Z110" i="19"/>
  <c r="B115" i="1"/>
  <c r="AO31" i="12" s="1"/>
  <c r="C114" i="1"/>
  <c r="D114" i="1"/>
  <c r="H114" i="1"/>
  <c r="V110" i="19"/>
  <c r="M110" i="19"/>
  <c r="X110" i="19"/>
  <c r="AB110" i="19"/>
  <c r="I110" i="19"/>
  <c r="H110" i="19"/>
  <c r="K110" i="19"/>
  <c r="G110" i="19"/>
  <c r="L110" i="19"/>
  <c r="F110" i="19"/>
  <c r="Y111" i="19"/>
  <c r="J110" i="19"/>
  <c r="N110" i="19"/>
  <c r="I397" i="5"/>
  <c r="I400" i="5"/>
  <c r="I395" i="5"/>
  <c r="J395" i="5"/>
  <c r="I398" i="5"/>
  <c r="I399" i="5"/>
  <c r="J394" i="5"/>
  <c r="J397" i="5"/>
  <c r="J396" i="5"/>
  <c r="I392" i="5"/>
  <c r="J399" i="5"/>
  <c r="I396" i="5"/>
  <c r="I393" i="5"/>
  <c r="J398" i="5"/>
  <c r="J392" i="5"/>
  <c r="I394" i="5"/>
  <c r="J393" i="5"/>
  <c r="J400" i="5"/>
  <c r="K391" i="5"/>
  <c r="K388" i="5"/>
  <c r="K389" i="5"/>
  <c r="K390" i="5"/>
  <c r="V31" i="12" l="1"/>
  <c r="N111" i="19"/>
  <c r="EU31" i="12"/>
  <c r="J111" i="19"/>
  <c r="BA31" i="12"/>
  <c r="BV30" i="13"/>
  <c r="BW31" i="12"/>
  <c r="BS31" i="12"/>
  <c r="L111" i="19"/>
  <c r="AT31" i="12"/>
  <c r="V111" i="19"/>
  <c r="EM31" i="12"/>
  <c r="DI31" i="12"/>
  <c r="R31" i="12"/>
  <c r="AD31" i="12"/>
  <c r="DC31" i="12"/>
  <c r="U31" i="12"/>
  <c r="K31" i="12"/>
  <c r="DG31" i="12"/>
  <c r="CV31" i="12"/>
  <c r="H111" i="19"/>
  <c r="K111" i="19"/>
  <c r="FG31" i="12"/>
  <c r="CZ31" i="12"/>
  <c r="CW31" i="12"/>
  <c r="EN31" i="12"/>
  <c r="DU31" i="12"/>
  <c r="DO31" i="12"/>
  <c r="AB111" i="19"/>
  <c r="DY31" i="12"/>
  <c r="CO31" i="12"/>
  <c r="EP31" i="12"/>
  <c r="BI31" i="12"/>
  <c r="ER31" i="12"/>
  <c r="CI31" i="12"/>
  <c r="AC31" i="12"/>
  <c r="AC31" i="13" s="1"/>
  <c r="BB31" i="12"/>
  <c r="C31" i="12"/>
  <c r="DQ31" i="12"/>
  <c r="BO31" i="12"/>
  <c r="M111" i="19"/>
  <c r="BJ31" i="12"/>
  <c r="DS31" i="12"/>
  <c r="EY31" i="12"/>
  <c r="DZ31" i="12"/>
  <c r="DH31" i="12"/>
  <c r="U110" i="19"/>
  <c r="S31" i="12"/>
  <c r="DB31" i="12"/>
  <c r="F111" i="19"/>
  <c r="AM31" i="12"/>
  <c r="AA111" i="19"/>
  <c r="W111" i="19" s="1"/>
  <c r="M31" i="12"/>
  <c r="AJ31" i="12"/>
  <c r="CE31" i="12"/>
  <c r="EZ31" i="12"/>
  <c r="I111" i="19"/>
  <c r="BT31" i="12"/>
  <c r="AL31" i="12"/>
  <c r="AL31" i="13" s="1"/>
  <c r="BP31" i="12"/>
  <c r="D31" i="12"/>
  <c r="EV31" i="12"/>
  <c r="EV31" i="13" s="1"/>
  <c r="DT31" i="12"/>
  <c r="BC31" i="12"/>
  <c r="Z111" i="19"/>
  <c r="BD31" i="12"/>
  <c r="DF31" i="12"/>
  <c r="CU31" i="12"/>
  <c r="N31" i="12"/>
  <c r="F31" i="12"/>
  <c r="BM30" i="13"/>
  <c r="DN30" i="13"/>
  <c r="BW30" i="13"/>
  <c r="CF30" i="13"/>
  <c r="AU30" i="13"/>
  <c r="BF30" i="13"/>
  <c r="V30" i="13"/>
  <c r="CG30" i="13"/>
  <c r="BN30" i="13"/>
  <c r="AM30" i="13"/>
  <c r="S30" i="13"/>
  <c r="T30" i="13"/>
  <c r="BH30" i="13"/>
  <c r="CB30" i="13"/>
  <c r="FD30" i="13"/>
  <c r="AI30" i="13"/>
  <c r="BD30" i="13"/>
  <c r="EX30" i="13"/>
  <c r="AY30" i="13"/>
  <c r="BG30" i="13"/>
  <c r="I30" i="13"/>
  <c r="BQ30" i="13"/>
  <c r="AP30" i="13"/>
  <c r="EK30" i="13"/>
  <c r="AD30" i="13"/>
  <c r="AG30" i="13"/>
  <c r="BA30" i="13"/>
  <c r="G30" i="13"/>
  <c r="EI30" i="13"/>
  <c r="BP30" i="13"/>
  <c r="CX30" i="13"/>
  <c r="CS30" i="13"/>
  <c r="FA30" i="13"/>
  <c r="AH30" i="13"/>
  <c r="CE30" i="13"/>
  <c r="EH30" i="13"/>
  <c r="AR30" i="13"/>
  <c r="DW30" i="13"/>
  <c r="CZ30" i="13"/>
  <c r="CT30" i="13"/>
  <c r="DF30" i="13"/>
  <c r="R30" i="13"/>
  <c r="FF30" i="13"/>
  <c r="EL30" i="13"/>
  <c r="AX30" i="13"/>
  <c r="EG30" i="13"/>
  <c r="CY30" i="13"/>
  <c r="Z30" i="13"/>
  <c r="E30" i="13"/>
  <c r="BK30" i="13"/>
  <c r="AL30" i="13"/>
  <c r="ED30" i="13"/>
  <c r="CD30" i="13"/>
  <c r="CL30" i="13"/>
  <c r="F30" i="13"/>
  <c r="DU30" i="13"/>
  <c r="BR30" i="13"/>
  <c r="DK30" i="13"/>
  <c r="BJ30" i="13"/>
  <c r="AF30" i="13"/>
  <c r="EM30" i="13"/>
  <c r="CO30" i="13"/>
  <c r="CH30" i="13"/>
  <c r="DY30" i="13"/>
  <c r="DJ30" i="13"/>
  <c r="BT30" i="13"/>
  <c r="DP30" i="13"/>
  <c r="AC30" i="13"/>
  <c r="EB30" i="13"/>
  <c r="BY30" i="13"/>
  <c r="M30" i="13"/>
  <c r="CI30" i="13"/>
  <c r="BL30" i="13"/>
  <c r="AV30" i="13"/>
  <c r="EA30" i="13"/>
  <c r="AO30" i="13"/>
  <c r="EV30" i="13"/>
  <c r="DO30" i="13"/>
  <c r="AQ30" i="13"/>
  <c r="BI30" i="13"/>
  <c r="DV30" i="13"/>
  <c r="DH30" i="13"/>
  <c r="ES30" i="13"/>
  <c r="EC30" i="13"/>
  <c r="EP30" i="13"/>
  <c r="O30" i="13"/>
  <c r="CV30" i="13"/>
  <c r="AB30" i="13"/>
  <c r="CA30" i="13"/>
  <c r="BS30" i="13"/>
  <c r="DD30" i="13"/>
  <c r="AS30" i="13"/>
  <c r="CP30" i="13"/>
  <c r="U30" i="13"/>
  <c r="CR30" i="13"/>
  <c r="EZ30" i="13"/>
  <c r="DG30" i="13"/>
  <c r="EJ30" i="13"/>
  <c r="BO30" i="13"/>
  <c r="DT30" i="13"/>
  <c r="D30" i="13"/>
  <c r="EY30" i="13"/>
  <c r="FC30" i="13"/>
  <c r="AA30" i="13"/>
  <c r="CJ30" i="13"/>
  <c r="AT30" i="13"/>
  <c r="N30" i="13"/>
  <c r="EN30" i="13"/>
  <c r="BX30" i="13"/>
  <c r="DS30" i="13"/>
  <c r="DR30" i="13"/>
  <c r="EU30" i="13"/>
  <c r="DM30" i="13"/>
  <c r="CU30" i="13"/>
  <c r="ER30" i="13"/>
  <c r="CN30" i="13"/>
  <c r="AN30" i="13"/>
  <c r="AK30" i="13"/>
  <c r="FB30" i="13"/>
  <c r="AZ30" i="13"/>
  <c r="EO30" i="13"/>
  <c r="CW30" i="13"/>
  <c r="DX30" i="13"/>
  <c r="Q30" i="13"/>
  <c r="W30" i="13"/>
  <c r="FE30" i="13"/>
  <c r="DA30" i="13"/>
  <c r="DZ30" i="13"/>
  <c r="CK30" i="13"/>
  <c r="BC30" i="13"/>
  <c r="BB30" i="13"/>
  <c r="EF30" i="13"/>
  <c r="DL30" i="13"/>
  <c r="J30" i="13"/>
  <c r="BE30" i="13"/>
  <c r="EQ30" i="13"/>
  <c r="C30" i="13"/>
  <c r="EW30" i="13"/>
  <c r="CC30" i="13"/>
  <c r="K30" i="13"/>
  <c r="DB30" i="13"/>
  <c r="X30" i="13"/>
  <c r="AJ30" i="13"/>
  <c r="DI30" i="13"/>
  <c r="H30" i="13"/>
  <c r="CQ30" i="13"/>
  <c r="CM30" i="13"/>
  <c r="DQ30" i="13"/>
  <c r="AW30" i="13"/>
  <c r="R110" i="19"/>
  <c r="L30" i="13"/>
  <c r="DC30" i="13"/>
  <c r="BU30" i="13"/>
  <c r="AE30" i="13"/>
  <c r="P30" i="13"/>
  <c r="BE31" i="12"/>
  <c r="BE31" i="13" s="1"/>
  <c r="BU31" i="12"/>
  <c r="BU31" i="13" s="1"/>
  <c r="BF31" i="12"/>
  <c r="CJ31" i="12"/>
  <c r="EG31" i="12"/>
  <c r="EG31" i="13" s="1"/>
  <c r="DA31" i="12"/>
  <c r="CH31" i="12"/>
  <c r="CH31" i="13" s="1"/>
  <c r="DM31" i="12"/>
  <c r="FF31" i="12"/>
  <c r="FF31" i="13" s="1"/>
  <c r="BQ31" i="12"/>
  <c r="EL31" i="12"/>
  <c r="CD31" i="12"/>
  <c r="BH31" i="12"/>
  <c r="BH31" i="13" s="1"/>
  <c r="BN31" i="12"/>
  <c r="BN31" i="13" s="1"/>
  <c r="CC31" i="12"/>
  <c r="Z31" i="12"/>
  <c r="EE31" i="12"/>
  <c r="EE31" i="13" s="1"/>
  <c r="BK31" i="12"/>
  <c r="I31" i="12"/>
  <c r="DE30" i="13"/>
  <c r="AS31" i="12"/>
  <c r="AS31" i="13" s="1"/>
  <c r="CF31" i="12"/>
  <c r="CF31" i="13" s="1"/>
  <c r="DN31" i="12"/>
  <c r="CT31" i="12"/>
  <c r="CT31" i="13" s="1"/>
  <c r="EF31" i="12"/>
  <c r="AQ31" i="12"/>
  <c r="AQ31" i="13" s="1"/>
  <c r="DP31" i="12"/>
  <c r="CN31" i="12"/>
  <c r="CN31" i="13" s="1"/>
  <c r="FC31" i="12"/>
  <c r="FC31" i="13" s="1"/>
  <c r="AV31" i="12"/>
  <c r="AY31" i="12"/>
  <c r="CP31" i="12"/>
  <c r="CP31" i="13" s="1"/>
  <c r="O31" i="12"/>
  <c r="CL31" i="12"/>
  <c r="FD31" i="12"/>
  <c r="AU31" i="12"/>
  <c r="AU31" i="13" s="1"/>
  <c r="Y30" i="13"/>
  <c r="Q31" i="12"/>
  <c r="Q31" i="13" s="1"/>
  <c r="W31" i="12"/>
  <c r="AW31" i="12"/>
  <c r="CG31" i="12"/>
  <c r="AR31" i="12"/>
  <c r="AR31" i="13" s="1"/>
  <c r="L31" i="12"/>
  <c r="DR31" i="12"/>
  <c r="DR31" i="13" s="1"/>
  <c r="BM31" i="12"/>
  <c r="BM31" i="13" s="1"/>
  <c r="DX31" i="12"/>
  <c r="DX31" i="13" s="1"/>
  <c r="EQ31" i="12"/>
  <c r="E31" i="12"/>
  <c r="E31" i="13" s="1"/>
  <c r="AK31" i="12"/>
  <c r="AK31" i="13" s="1"/>
  <c r="CS31" i="12"/>
  <c r="CS31" i="13" s="1"/>
  <c r="BZ31" i="12"/>
  <c r="AB31" i="12"/>
  <c r="AB31" i="13" s="1"/>
  <c r="EC31" i="12"/>
  <c r="EC31" i="13" s="1"/>
  <c r="AG31" i="12"/>
  <c r="AG31" i="13" s="1"/>
  <c r="DL31" i="12"/>
  <c r="DL31" i="13" s="1"/>
  <c r="CK31" i="12"/>
  <c r="CK31" i="13" s="1"/>
  <c r="BX31" i="12"/>
  <c r="BR31" i="12"/>
  <c r="EK31" i="12"/>
  <c r="EK31" i="13" s="1"/>
  <c r="AE31" i="12"/>
  <c r="P31" i="12"/>
  <c r="P31" i="13" s="1"/>
  <c r="ES31" i="12"/>
  <c r="ES31" i="13" s="1"/>
  <c r="EA31" i="12"/>
  <c r="AX31" i="12"/>
  <c r="AX31" i="13" s="1"/>
  <c r="FE31" i="12"/>
  <c r="CX31" i="12"/>
  <c r="CR31" i="12"/>
  <c r="CR31" i="13" s="1"/>
  <c r="FB31" i="12"/>
  <c r="FB31" i="13" s="1"/>
  <c r="BG31" i="12"/>
  <c r="BG31" i="13" s="1"/>
  <c r="DD31" i="12"/>
  <c r="DD31" i="13" s="1"/>
  <c r="ET31" i="12"/>
  <c r="DJ31" i="12"/>
  <c r="DJ31" i="13" s="1"/>
  <c r="DW31" i="12"/>
  <c r="EO31" i="12"/>
  <c r="DV31" i="12"/>
  <c r="DV31" i="13" s="1"/>
  <c r="X31" i="12"/>
  <c r="X31" i="13" s="1"/>
  <c r="DE31" i="12"/>
  <c r="DE31" i="13" s="1"/>
  <c r="ED31" i="12"/>
  <c r="ED31" i="13" s="1"/>
  <c r="CM31" i="12"/>
  <c r="CM31" i="13" s="1"/>
  <c r="Y31" i="12"/>
  <c r="Y31" i="13" s="1"/>
  <c r="EI31" i="12"/>
  <c r="CY31" i="12"/>
  <c r="CY31" i="13" s="1"/>
  <c r="G31" i="12"/>
  <c r="G31" i="13" s="1"/>
  <c r="AZ31" i="12"/>
  <c r="AZ31" i="13" s="1"/>
  <c r="CA31" i="12"/>
  <c r="CA31" i="13" s="1"/>
  <c r="CQ31" i="12"/>
  <c r="CQ31" i="13" s="1"/>
  <c r="H31" i="12"/>
  <c r="BL31" i="12"/>
  <c r="BL31" i="13" s="1"/>
  <c r="EX31" i="12"/>
  <c r="EJ31" i="12"/>
  <c r="T31" i="12"/>
  <c r="T31" i="13" s="1"/>
  <c r="BY31" i="12"/>
  <c r="BY31" i="13" s="1"/>
  <c r="CB31" i="12"/>
  <c r="CB31" i="13" s="1"/>
  <c r="DK31" i="12"/>
  <c r="DK31" i="13" s="1"/>
  <c r="AP31" i="12"/>
  <c r="AP31" i="13" s="1"/>
  <c r="AF31" i="12"/>
  <c r="AF31" i="13" s="1"/>
  <c r="AI31" i="12"/>
  <c r="AI31" i="13" s="1"/>
  <c r="AA31" i="12"/>
  <c r="AA31" i="13" s="1"/>
  <c r="EH31" i="12"/>
  <c r="EH31" i="13" s="1"/>
  <c r="EW31" i="12"/>
  <c r="EW31" i="13" s="1"/>
  <c r="AN31" i="12"/>
  <c r="AN31" i="13" s="1"/>
  <c r="BV31" i="12"/>
  <c r="BV31" i="13" s="1"/>
  <c r="J31" i="12"/>
  <c r="J31" i="13" s="1"/>
  <c r="FA31" i="12"/>
  <c r="FA31" i="13" s="1"/>
  <c r="CO31" i="13"/>
  <c r="CL31" i="13"/>
  <c r="DB31" i="13"/>
  <c r="AE31" i="13"/>
  <c r="BS31" i="13"/>
  <c r="EQ31" i="13"/>
  <c r="W110" i="19"/>
  <c r="EM31" i="13"/>
  <c r="DS31" i="13"/>
  <c r="DZ31" i="13"/>
  <c r="V31" i="13"/>
  <c r="EZ31" i="13"/>
  <c r="BF31" i="13"/>
  <c r="CJ31" i="13"/>
  <c r="CZ31" i="13"/>
  <c r="AH31" i="13"/>
  <c r="BP31" i="13"/>
  <c r="R31" i="13"/>
  <c r="EP31" i="13"/>
  <c r="W31" i="13"/>
  <c r="D31" i="13"/>
  <c r="CV31" i="13"/>
  <c r="BZ31" i="13"/>
  <c r="CC31" i="13"/>
  <c r="Z31" i="13"/>
  <c r="BK31" i="13"/>
  <c r="I31" i="13"/>
  <c r="X111" i="19"/>
  <c r="CX31" i="13"/>
  <c r="EB31" i="13"/>
  <c r="DN31" i="13"/>
  <c r="DM31" i="13"/>
  <c r="EI31" i="13"/>
  <c r="FD31" i="13"/>
  <c r="AO31" i="13"/>
  <c r="BQ31" i="13"/>
  <c r="DQ31" i="13"/>
  <c r="ET31" i="13"/>
  <c r="FE31" i="13"/>
  <c r="DY31" i="13"/>
  <c r="BC31" i="13"/>
  <c r="DP31" i="13"/>
  <c r="S31" i="13"/>
  <c r="F31" i="13"/>
  <c r="K31" i="13"/>
  <c r="ER31" i="13"/>
  <c r="BO31" i="13"/>
  <c r="CU31" i="13"/>
  <c r="BB31" i="13"/>
  <c r="EY31" i="13"/>
  <c r="N31" i="13"/>
  <c r="EN31" i="13"/>
  <c r="CW31" i="13"/>
  <c r="DH31" i="13"/>
  <c r="DU31" i="13"/>
  <c r="BD31" i="13"/>
  <c r="CI31" i="13"/>
  <c r="M31" i="13"/>
  <c r="BX31" i="13"/>
  <c r="BR31" i="13"/>
  <c r="EL31" i="13"/>
  <c r="DW31" i="13"/>
  <c r="EO31" i="13"/>
  <c r="EU31" i="13"/>
  <c r="AT31" i="13"/>
  <c r="AM31" i="13"/>
  <c r="AV31" i="13"/>
  <c r="AY31" i="13"/>
  <c r="C31" i="13"/>
  <c r="H31" i="13"/>
  <c r="EX31" i="13"/>
  <c r="EJ31" i="13"/>
  <c r="EF31" i="13"/>
  <c r="AJ31" i="13"/>
  <c r="DO31" i="13"/>
  <c r="DG31" i="13"/>
  <c r="BA31" i="13"/>
  <c r="DF31" i="13"/>
  <c r="CG31" i="13"/>
  <c r="CE31" i="13"/>
  <c r="AD31" i="13"/>
  <c r="BI31" i="13"/>
  <c r="CD31" i="13"/>
  <c r="BT31" i="13"/>
  <c r="BJ31" i="13"/>
  <c r="DI31" i="13"/>
  <c r="U31" i="13"/>
  <c r="BW31" i="13"/>
  <c r="EA31" i="13"/>
  <c r="L31" i="13"/>
  <c r="O31" i="13"/>
  <c r="DC31" i="13"/>
  <c r="DT31" i="13"/>
  <c r="AW31" i="13"/>
  <c r="B116" i="1"/>
  <c r="CS32" i="12" s="1"/>
  <c r="C115" i="1"/>
  <c r="D115" i="1"/>
  <c r="H115" i="1"/>
  <c r="I408" i="5"/>
  <c r="J408" i="5"/>
  <c r="I407" i="5"/>
  <c r="J406" i="5"/>
  <c r="I404" i="5"/>
  <c r="J404" i="5"/>
  <c r="J401" i="5"/>
  <c r="I405" i="5"/>
  <c r="I402" i="5"/>
  <c r="J405" i="5"/>
  <c r="J402" i="5"/>
  <c r="I406" i="5"/>
  <c r="J407" i="5"/>
  <c r="I403" i="5"/>
  <c r="J403" i="5"/>
  <c r="I401" i="5"/>
  <c r="G111" i="19"/>
  <c r="K400" i="5"/>
  <c r="K399" i="5"/>
  <c r="K393" i="5"/>
  <c r="K392" i="5"/>
  <c r="K394" i="5"/>
  <c r="K398" i="5"/>
  <c r="K396" i="5"/>
  <c r="K397" i="5"/>
  <c r="K395" i="5"/>
  <c r="R111" i="19" l="1"/>
  <c r="AF32" i="12"/>
  <c r="BG32" i="12"/>
  <c r="U111" i="19"/>
  <c r="DA31" i="13"/>
  <c r="EF32" i="12"/>
  <c r="BM32" i="12"/>
  <c r="BJ32" i="12"/>
  <c r="EM32" i="12"/>
  <c r="G32" i="12"/>
  <c r="G32" i="13" s="1"/>
  <c r="BS32" i="12"/>
  <c r="BS32" i="13" s="1"/>
  <c r="DX32" i="12"/>
  <c r="BP32" i="12"/>
  <c r="BP32" i="13" s="1"/>
  <c r="DS32" i="12"/>
  <c r="EG32" i="12"/>
  <c r="AZ32" i="12"/>
  <c r="DD32" i="12"/>
  <c r="CB32" i="12"/>
  <c r="ES32" i="12"/>
  <c r="H32" i="12"/>
  <c r="J32" i="12"/>
  <c r="S32" i="12"/>
  <c r="S32" i="13" s="1"/>
  <c r="CU32" i="12"/>
  <c r="AL32" i="12"/>
  <c r="AL32" i="13" s="1"/>
  <c r="FG32" i="12"/>
  <c r="EU32" i="13" s="1"/>
  <c r="DR32" i="12"/>
  <c r="AR32" i="12"/>
  <c r="AQ32" i="12"/>
  <c r="FB32" i="12"/>
  <c r="EK32" i="12"/>
  <c r="AI32" i="12"/>
  <c r="AI32" i="13" s="1"/>
  <c r="EZ32" i="12"/>
  <c r="DC32" i="12"/>
  <c r="DC32" i="13" s="1"/>
  <c r="N32" i="12"/>
  <c r="N32" i="13" s="1"/>
  <c r="CN32" i="12"/>
  <c r="Q32" i="12"/>
  <c r="BY32" i="12"/>
  <c r="CY32" i="12"/>
  <c r="BT32" i="12"/>
  <c r="CR32" i="12"/>
  <c r="D32" i="12"/>
  <c r="EU32" i="12"/>
  <c r="CG32" i="12"/>
  <c r="DA32" i="12"/>
  <c r="CM32" i="12"/>
  <c r="EL32" i="12"/>
  <c r="EL32" i="13" s="1"/>
  <c r="AE32" i="12"/>
  <c r="BT32" i="13"/>
  <c r="AE32" i="13"/>
  <c r="BY32" i="13"/>
  <c r="AR32" i="13"/>
  <c r="CG32" i="13"/>
  <c r="DS32" i="13"/>
  <c r="DW32" i="12"/>
  <c r="DW32" i="13" s="1"/>
  <c r="FF32" i="12"/>
  <c r="FF32" i="13" s="1"/>
  <c r="EY32" i="12"/>
  <c r="EY32" i="13" s="1"/>
  <c r="AB32" i="12"/>
  <c r="AB32" i="13" s="1"/>
  <c r="DZ32" i="12"/>
  <c r="T32" i="12"/>
  <c r="T32" i="13" s="1"/>
  <c r="EO32" i="12"/>
  <c r="K32" i="12"/>
  <c r="CQ32" i="12"/>
  <c r="CF32" i="12"/>
  <c r="CF32" i="13" s="1"/>
  <c r="DF32" i="12"/>
  <c r="DF32" i="13" s="1"/>
  <c r="EQ32" i="12"/>
  <c r="DE32" i="12"/>
  <c r="DE32" i="13" s="1"/>
  <c r="AA32" i="12"/>
  <c r="AA32" i="13" s="1"/>
  <c r="Y32" i="12"/>
  <c r="Y32" i="13" s="1"/>
  <c r="CP32" i="12"/>
  <c r="CP32" i="13" s="1"/>
  <c r="CZ32" i="12"/>
  <c r="BA32" i="12"/>
  <c r="BA32" i="13" s="1"/>
  <c r="CV32" i="12"/>
  <c r="EI32" i="12"/>
  <c r="EV32" i="12"/>
  <c r="CH32" i="12"/>
  <c r="CH32" i="13" s="1"/>
  <c r="DQ32" i="12"/>
  <c r="DQ32" i="13" s="1"/>
  <c r="FA32" i="12"/>
  <c r="FA32" i="13" s="1"/>
  <c r="AN32" i="12"/>
  <c r="AN32" i="13" s="1"/>
  <c r="CX32" i="12"/>
  <c r="CX32" i="13" s="1"/>
  <c r="CE32" i="12"/>
  <c r="DH32" i="12"/>
  <c r="DH32" i="13" s="1"/>
  <c r="AK32" i="12"/>
  <c r="M32" i="12"/>
  <c r="M32" i="13" s="1"/>
  <c r="CI32" i="12"/>
  <c r="AM32" i="12"/>
  <c r="DM32" i="12"/>
  <c r="EB32" i="12"/>
  <c r="EB32" i="13" s="1"/>
  <c r="DY32" i="12"/>
  <c r="DY32" i="13" s="1"/>
  <c r="DN32" i="12"/>
  <c r="DN32" i="13" s="1"/>
  <c r="ED32" i="12"/>
  <c r="ED32" i="13" s="1"/>
  <c r="EW32" i="12"/>
  <c r="C32" i="12"/>
  <c r="C32" i="13" s="1"/>
  <c r="DL32" i="12"/>
  <c r="DL32" i="13" s="1"/>
  <c r="BD32" i="12"/>
  <c r="P32" i="12"/>
  <c r="P32" i="13" s="1"/>
  <c r="FD32" i="12"/>
  <c r="I32" i="12"/>
  <c r="BI32" i="12"/>
  <c r="V32" i="12"/>
  <c r="AY32" i="12"/>
  <c r="AY32" i="13" s="1"/>
  <c r="R32" i="12"/>
  <c r="R32" i="13" s="1"/>
  <c r="X32" i="12"/>
  <c r="X32" i="13" s="1"/>
  <c r="CJ32" i="12"/>
  <c r="CJ32" i="13" s="1"/>
  <c r="DB32" i="12"/>
  <c r="DB32" i="13" s="1"/>
  <c r="DK32" i="12"/>
  <c r="DK32" i="13" s="1"/>
  <c r="BO32" i="12"/>
  <c r="BW32" i="12"/>
  <c r="BW32" i="13" s="1"/>
  <c r="DJ32" i="12"/>
  <c r="DJ32" i="13" s="1"/>
  <c r="AO32" i="12"/>
  <c r="FE32" i="12"/>
  <c r="FE32" i="13" s="1"/>
  <c r="AP32" i="12"/>
  <c r="AP32" i="13" s="1"/>
  <c r="BR32" i="12"/>
  <c r="BR32" i="13" s="1"/>
  <c r="CW32" i="12"/>
  <c r="CW32" i="13" s="1"/>
  <c r="AT32" i="12"/>
  <c r="AT32" i="13" s="1"/>
  <c r="BL32" i="12"/>
  <c r="BF32" i="12"/>
  <c r="BF32" i="13" s="1"/>
  <c r="CC32" i="12"/>
  <c r="CC32" i="13" s="1"/>
  <c r="BZ32" i="12"/>
  <c r="AD32" i="12"/>
  <c r="AD32" i="13" s="1"/>
  <c r="DU32" i="12"/>
  <c r="DU32" i="13" s="1"/>
  <c r="DT32" i="12"/>
  <c r="AJ32" i="12"/>
  <c r="AJ32" i="13" s="1"/>
  <c r="BU32" i="12"/>
  <c r="BU32" i="13" s="1"/>
  <c r="EH32" i="12"/>
  <c r="EH32" i="13" s="1"/>
  <c r="CD32" i="12"/>
  <c r="CD32" i="13" s="1"/>
  <c r="DP32" i="12"/>
  <c r="DP32" i="13" s="1"/>
  <c r="ET32" i="12"/>
  <c r="ET32" i="13" s="1"/>
  <c r="EJ32" i="12"/>
  <c r="EJ32" i="13" s="1"/>
  <c r="BN32" i="12"/>
  <c r="BN32" i="13" s="1"/>
  <c r="CL32" i="12"/>
  <c r="CL32" i="13" s="1"/>
  <c r="BX32" i="12"/>
  <c r="BX32" i="13" s="1"/>
  <c r="DI32" i="12"/>
  <c r="DI32" i="13" s="1"/>
  <c r="EP32" i="12"/>
  <c r="EP32" i="13" s="1"/>
  <c r="BC32" i="12"/>
  <c r="BC32" i="13" s="1"/>
  <c r="DO32" i="12"/>
  <c r="DO32" i="13" s="1"/>
  <c r="AU32" i="12"/>
  <c r="AU32" i="13" s="1"/>
  <c r="U32" i="12"/>
  <c r="U32" i="13" s="1"/>
  <c r="FC32" i="12"/>
  <c r="FC32" i="13" s="1"/>
  <c r="AW32" i="12"/>
  <c r="AW32" i="13" s="1"/>
  <c r="AC32" i="12"/>
  <c r="AC32" i="13" s="1"/>
  <c r="CK32" i="12"/>
  <c r="CK32" i="13" s="1"/>
  <c r="BH32" i="12"/>
  <c r="BH32" i="13" s="1"/>
  <c r="EE32" i="12"/>
  <c r="EE32" i="13" s="1"/>
  <c r="EX32" i="12"/>
  <c r="EX32" i="13" s="1"/>
  <c r="BV32" i="12"/>
  <c r="BV32" i="13" s="1"/>
  <c r="CT32" i="12"/>
  <c r="CT32" i="13" s="1"/>
  <c r="BE32" i="12"/>
  <c r="BE32" i="13" s="1"/>
  <c r="BB32" i="12"/>
  <c r="BB32" i="13" s="1"/>
  <c r="F32" i="12"/>
  <c r="F32" i="13" s="1"/>
  <c r="L32" i="12"/>
  <c r="L32" i="13" s="1"/>
  <c r="H32" i="13"/>
  <c r="AS32" i="12"/>
  <c r="AS32" i="13" s="1"/>
  <c r="DV32" i="12"/>
  <c r="DV32" i="13" s="1"/>
  <c r="EC32" i="12"/>
  <c r="EC32" i="13" s="1"/>
  <c r="CA32" i="12"/>
  <c r="CA32" i="13" s="1"/>
  <c r="E32" i="12"/>
  <c r="E32" i="13" s="1"/>
  <c r="AX32" i="12"/>
  <c r="AX32" i="13" s="1"/>
  <c r="DG32" i="12"/>
  <c r="DG32" i="13" s="1"/>
  <c r="W32" i="12"/>
  <c r="W32" i="13" s="1"/>
  <c r="AV32" i="12"/>
  <c r="AV32" i="13" s="1"/>
  <c r="O32" i="12"/>
  <c r="O32" i="13" s="1"/>
  <c r="ER32" i="12"/>
  <c r="ER32" i="13" s="1"/>
  <c r="BK32" i="12"/>
  <c r="BK32" i="13" s="1"/>
  <c r="AG32" i="12"/>
  <c r="AG32" i="13" s="1"/>
  <c r="EA32" i="12"/>
  <c r="EA32" i="13" s="1"/>
  <c r="EN32" i="12"/>
  <c r="EN32" i="13" s="1"/>
  <c r="CO32" i="12"/>
  <c r="CO32" i="13" s="1"/>
  <c r="AH32" i="12"/>
  <c r="AH32" i="13" s="1"/>
  <c r="BQ32" i="12"/>
  <c r="BQ32" i="13" s="1"/>
  <c r="Z32" i="12"/>
  <c r="Z32" i="13" s="1"/>
  <c r="DA32" i="13"/>
  <c r="CQ32" i="13"/>
  <c r="AZ32" i="13"/>
  <c r="CU32" i="13"/>
  <c r="AQ32" i="13"/>
  <c r="CM32" i="13"/>
  <c r="FB32" i="13"/>
  <c r="CN32" i="13"/>
  <c r="FD32" i="13"/>
  <c r="I32" i="13"/>
  <c r="V32" i="13"/>
  <c r="BL32" i="13"/>
  <c r="CE32" i="13"/>
  <c r="CI32" i="13"/>
  <c r="EW32" i="13"/>
  <c r="B117" i="1"/>
  <c r="AL33" i="12" s="1"/>
  <c r="H112" i="19"/>
  <c r="M112" i="19"/>
  <c r="L112" i="19"/>
  <c r="D116" i="1"/>
  <c r="H116" i="1"/>
  <c r="C116" i="1"/>
  <c r="K112" i="19"/>
  <c r="Y112" i="19"/>
  <c r="I112" i="19"/>
  <c r="I113" i="19"/>
  <c r="Z112" i="19"/>
  <c r="N112" i="19"/>
  <c r="AB112" i="19"/>
  <c r="X112" i="19"/>
  <c r="G112" i="19"/>
  <c r="AA112" i="19"/>
  <c r="F112" i="19"/>
  <c r="V112" i="19"/>
  <c r="J112" i="19"/>
  <c r="I409" i="5"/>
  <c r="J414" i="5"/>
  <c r="I415" i="5"/>
  <c r="I411" i="5"/>
  <c r="J411" i="5"/>
  <c r="J412" i="5"/>
  <c r="J410" i="5"/>
  <c r="J415" i="5"/>
  <c r="I416" i="5"/>
  <c r="I413" i="5"/>
  <c r="I412" i="5"/>
  <c r="J409" i="5"/>
  <c r="I414" i="5"/>
  <c r="I410" i="5"/>
  <c r="J413" i="5"/>
  <c r="J416" i="5"/>
  <c r="K403" i="5"/>
  <c r="K401" i="5"/>
  <c r="K407" i="5"/>
  <c r="K405" i="5"/>
  <c r="K404" i="5"/>
  <c r="K406" i="5"/>
  <c r="K402" i="5"/>
  <c r="K408" i="5"/>
  <c r="U112" i="19" l="1"/>
  <c r="M113" i="19"/>
  <c r="BJ32" i="13"/>
  <c r="CS32" i="13"/>
  <c r="Q32" i="13"/>
  <c r="Z113" i="19"/>
  <c r="EQ32" i="13"/>
  <c r="DX32" i="13"/>
  <c r="J32" i="13"/>
  <c r="EZ32" i="13"/>
  <c r="BM32" i="13"/>
  <c r="EK32" i="13"/>
  <c r="BI32" i="13"/>
  <c r="DM32" i="13"/>
  <c r="EV32" i="13"/>
  <c r="D32" i="13"/>
  <c r="AA113" i="19"/>
  <c r="U113" i="19" s="1"/>
  <c r="J113" i="19"/>
  <c r="DT32" i="13"/>
  <c r="AO32" i="13"/>
  <c r="CV32" i="13"/>
  <c r="EO32" i="13"/>
  <c r="AF32" i="13"/>
  <c r="DD32" i="13"/>
  <c r="CR32" i="13"/>
  <c r="EG32" i="13"/>
  <c r="AE33" i="12"/>
  <c r="BZ32" i="13"/>
  <c r="BO32" i="13"/>
  <c r="BD32" i="13"/>
  <c r="AK32" i="13"/>
  <c r="CZ32" i="13"/>
  <c r="DZ32" i="13"/>
  <c r="EF32" i="13"/>
  <c r="DR32" i="13"/>
  <c r="L113" i="19"/>
  <c r="DU33" i="12"/>
  <c r="G113" i="19"/>
  <c r="N113" i="19"/>
  <c r="K113" i="19"/>
  <c r="DN33" i="12"/>
  <c r="EM32" i="13"/>
  <c r="CY32" i="13"/>
  <c r="F113" i="19"/>
  <c r="Y113" i="19"/>
  <c r="X113" i="19"/>
  <c r="V113" i="19"/>
  <c r="ES32" i="13"/>
  <c r="CB32" i="13"/>
  <c r="BG32" i="13"/>
  <c r="H113" i="19"/>
  <c r="AB113" i="19"/>
  <c r="EV33" i="12"/>
  <c r="AM32" i="13"/>
  <c r="EI32" i="13"/>
  <c r="K32" i="13"/>
  <c r="ET33" i="12"/>
  <c r="CT33" i="12"/>
  <c r="EY33" i="12"/>
  <c r="BP33" i="12"/>
  <c r="BJ33" i="12"/>
  <c r="DP33" i="12"/>
  <c r="BI33" i="12"/>
  <c r="AA33" i="12"/>
  <c r="EW33" i="12"/>
  <c r="I33" i="12"/>
  <c r="EX33" i="12"/>
  <c r="BU33" i="12"/>
  <c r="Q33" i="12"/>
  <c r="E33" i="12"/>
  <c r="AG33" i="12"/>
  <c r="CX33" i="12"/>
  <c r="DF33" i="12"/>
  <c r="DK33" i="12"/>
  <c r="DE33" i="12"/>
  <c r="BS33" i="12"/>
  <c r="FF33" i="12"/>
  <c r="EO33" i="12"/>
  <c r="AK33" i="12"/>
  <c r="AM33" i="12"/>
  <c r="CS33" i="12"/>
  <c r="BT33" i="12"/>
  <c r="FB33" i="12"/>
  <c r="BX33" i="12"/>
  <c r="AC33" i="12"/>
  <c r="DC33" i="12"/>
  <c r="Y33" i="12"/>
  <c r="DM33" i="12"/>
  <c r="BZ33" i="12"/>
  <c r="DI33" i="12"/>
  <c r="CE33" i="12"/>
  <c r="CB33" i="12"/>
  <c r="O33" i="12"/>
  <c r="AP33" i="12"/>
  <c r="AD33" i="12"/>
  <c r="AF33" i="12"/>
  <c r="DX33" i="12"/>
  <c r="P33" i="12"/>
  <c r="EN33" i="12"/>
  <c r="CI33" i="12"/>
  <c r="DG33" i="12"/>
  <c r="AJ33" i="12"/>
  <c r="S33" i="12"/>
  <c r="DV33" i="12"/>
  <c r="BF33" i="12"/>
  <c r="DH33" i="12"/>
  <c r="CJ33" i="12"/>
  <c r="EM33" i="12"/>
  <c r="V33" i="12"/>
  <c r="FC33" i="12"/>
  <c r="EG33" i="12"/>
  <c r="BA33" i="12"/>
  <c r="BR33" i="12"/>
  <c r="BY33" i="12"/>
  <c r="ED33" i="12"/>
  <c r="CL33" i="12"/>
  <c r="BH33" i="12"/>
  <c r="DB33" i="12"/>
  <c r="CO33" i="12"/>
  <c r="BE33" i="12"/>
  <c r="EE33" i="12"/>
  <c r="CK33" i="12"/>
  <c r="EF33" i="12"/>
  <c r="EZ33" i="12"/>
  <c r="CQ33" i="12"/>
  <c r="M33" i="12"/>
  <c r="F33" i="12"/>
  <c r="AS33" i="12"/>
  <c r="EI33" i="12"/>
  <c r="CH33" i="12"/>
  <c r="U33" i="12"/>
  <c r="ER33" i="12"/>
  <c r="DY33" i="12"/>
  <c r="AH33" i="12"/>
  <c r="DS33" i="12"/>
  <c r="Z33" i="12"/>
  <c r="DW33" i="12"/>
  <c r="BM33" i="12"/>
  <c r="DT33" i="12"/>
  <c r="AO33" i="12"/>
  <c r="CN33" i="12"/>
  <c r="FD33" i="12"/>
  <c r="AB33" i="12"/>
  <c r="ES33" i="12"/>
  <c r="CC33" i="12"/>
  <c r="X33" i="12"/>
  <c r="FE33" i="12"/>
  <c r="H33" i="12"/>
  <c r="BN33" i="12"/>
  <c r="BB33" i="12"/>
  <c r="L33" i="12"/>
  <c r="FG33" i="12"/>
  <c r="DK33" i="13" s="1"/>
  <c r="EA33" i="12"/>
  <c r="AZ33" i="12"/>
  <c r="BC33" i="12"/>
  <c r="AI33" i="12"/>
  <c r="DZ33" i="12"/>
  <c r="D33" i="12"/>
  <c r="CR33" i="12"/>
  <c r="BD33" i="12"/>
  <c r="EJ33" i="12"/>
  <c r="BW33" i="12"/>
  <c r="DR33" i="12"/>
  <c r="BG33" i="12"/>
  <c r="DD33" i="12"/>
  <c r="W33" i="12"/>
  <c r="CW33" i="12"/>
  <c r="CF33" i="12"/>
  <c r="CP33" i="12"/>
  <c r="CZ33" i="12"/>
  <c r="R33" i="12"/>
  <c r="BQ33" i="12"/>
  <c r="AV33" i="12"/>
  <c r="DQ33" i="12"/>
  <c r="DL33" i="12"/>
  <c r="K33" i="12"/>
  <c r="K33" i="13" s="1"/>
  <c r="EQ33" i="12"/>
  <c r="EB33" i="12"/>
  <c r="BL33" i="12"/>
  <c r="EH33" i="12"/>
  <c r="N33" i="12"/>
  <c r="AN33" i="12"/>
  <c r="CM33" i="12"/>
  <c r="CV33" i="12"/>
  <c r="CY33" i="12"/>
  <c r="J33" i="12"/>
  <c r="CG33" i="12"/>
  <c r="DA33" i="12"/>
  <c r="EU33" i="12"/>
  <c r="DJ33" i="12"/>
  <c r="BK33" i="12"/>
  <c r="EP33" i="12"/>
  <c r="EP33" i="13" s="1"/>
  <c r="AQ33" i="12"/>
  <c r="T33" i="12"/>
  <c r="CD33" i="12"/>
  <c r="CU33" i="12"/>
  <c r="FA33" i="12"/>
  <c r="AY33" i="12"/>
  <c r="EL33" i="12"/>
  <c r="AX33" i="12"/>
  <c r="AX33" i="13" s="1"/>
  <c r="AT33" i="12"/>
  <c r="AW33" i="12"/>
  <c r="AU33" i="12"/>
  <c r="AR33" i="12"/>
  <c r="EC33" i="12"/>
  <c r="EK33" i="12"/>
  <c r="BV33" i="12"/>
  <c r="CA33" i="12"/>
  <c r="C33" i="12"/>
  <c r="C33" i="13" s="1"/>
  <c r="G33" i="12"/>
  <c r="BO33" i="12"/>
  <c r="DO33" i="12"/>
  <c r="B118" i="1"/>
  <c r="CY34" i="12" s="1"/>
  <c r="H117" i="1"/>
  <c r="C117" i="1"/>
  <c r="D117" i="1"/>
  <c r="I422" i="5"/>
  <c r="I421" i="5"/>
  <c r="I424" i="5"/>
  <c r="I419" i="5"/>
  <c r="J422" i="5"/>
  <c r="I425" i="5"/>
  <c r="I423" i="5"/>
  <c r="J420" i="5"/>
  <c r="J421" i="5"/>
  <c r="J423" i="5"/>
  <c r="J424" i="5"/>
  <c r="J419" i="5"/>
  <c r="J418" i="5"/>
  <c r="I418" i="5"/>
  <c r="J417" i="5"/>
  <c r="I420" i="5"/>
  <c r="I417" i="5"/>
  <c r="J425" i="5"/>
  <c r="K416" i="5"/>
  <c r="R113" i="19"/>
  <c r="R112" i="19"/>
  <c r="W112" i="19"/>
  <c r="K409" i="5"/>
  <c r="K411" i="5"/>
  <c r="K415" i="5"/>
  <c r="K412" i="5"/>
  <c r="K414" i="5"/>
  <c r="K413" i="5"/>
  <c r="K410" i="5"/>
  <c r="W113" i="19" l="1"/>
  <c r="DR34" i="12"/>
  <c r="CX34" i="12"/>
  <c r="EQ34" i="12"/>
  <c r="CV33" i="13"/>
  <c r="DN34" i="12"/>
  <c r="C34" i="12"/>
  <c r="FF34" i="12"/>
  <c r="M34" i="12"/>
  <c r="CS34" i="12"/>
  <c r="M114" i="19"/>
  <c r="DH34" i="12"/>
  <c r="AT34" i="12"/>
  <c r="EO34" i="12"/>
  <c r="CD34" i="12"/>
  <c r="DJ34" i="12"/>
  <c r="FE34" i="12"/>
  <c r="AQ34" i="12"/>
  <c r="AI34" i="12"/>
  <c r="BD33" i="13"/>
  <c r="CF33" i="13"/>
  <c r="DG33" i="13"/>
  <c r="EO33" i="13"/>
  <c r="AH33" i="13"/>
  <c r="DP33" i="13"/>
  <c r="BL33" i="13"/>
  <c r="Q33" i="13"/>
  <c r="AQ33" i="13"/>
  <c r="Z33" i="13"/>
  <c r="DZ33" i="13"/>
  <c r="F33" i="13"/>
  <c r="X33" i="13"/>
  <c r="EL33" i="13"/>
  <c r="L33" i="13"/>
  <c r="FE33" i="13"/>
  <c r="V33" i="13"/>
  <c r="CE33" i="13"/>
  <c r="DA33" i="13"/>
  <c r="P33" i="13"/>
  <c r="AV33" i="13"/>
  <c r="BC33" i="13"/>
  <c r="CJ33" i="13"/>
  <c r="J33" i="13"/>
  <c r="FB33" i="13"/>
  <c r="BX33" i="13"/>
  <c r="EA33" i="13"/>
  <c r="CC33" i="13"/>
  <c r="ES33" i="13"/>
  <c r="AS33" i="13"/>
  <c r="BE33" i="13"/>
  <c r="BA33" i="13"/>
  <c r="DV33" i="13"/>
  <c r="AF33" i="13"/>
  <c r="DM33" i="13"/>
  <c r="AM33" i="13"/>
  <c r="CX33" i="13"/>
  <c r="AA33" i="13"/>
  <c r="D33" i="13"/>
  <c r="H33" i="13"/>
  <c r="AI33" i="13"/>
  <c r="BU33" i="13"/>
  <c r="BK33" i="13"/>
  <c r="DC33" i="13"/>
  <c r="CB33" i="13"/>
  <c r="DE33" i="13"/>
  <c r="FC33" i="13"/>
  <c r="EN33" i="13"/>
  <c r="EM33" i="13"/>
  <c r="BR33" i="13"/>
  <c r="AZ33" i="13"/>
  <c r="BS33" i="13"/>
  <c r="AK33" i="13"/>
  <c r="CM33" i="13"/>
  <c r="CA33" i="13"/>
  <c r="EC33" i="13"/>
  <c r="CP33" i="13"/>
  <c r="S33" i="13"/>
  <c r="BN33" i="13"/>
  <c r="DF33" i="13"/>
  <c r="BW33" i="13"/>
  <c r="Y33" i="13"/>
  <c r="EQ33" i="13"/>
  <c r="AB33" i="13"/>
  <c r="DO33" i="13"/>
  <c r="CR33" i="13"/>
  <c r="CI33" i="13"/>
  <c r="E33" i="13"/>
  <c r="BY33" i="13"/>
  <c r="EF33" i="13"/>
  <c r="AW33" i="13"/>
  <c r="CZ33" i="13"/>
  <c r="BB33" i="13"/>
  <c r="DQ33" i="13"/>
  <c r="DR33" i="13"/>
  <c r="EB33" i="13"/>
  <c r="BF33" i="13"/>
  <c r="EE33" i="13"/>
  <c r="BT33" i="13"/>
  <c r="CW33" i="13"/>
  <c r="M33" i="13"/>
  <c r="ED33" i="13"/>
  <c r="EZ33" i="13"/>
  <c r="BJ33" i="13"/>
  <c r="DS33" i="13"/>
  <c r="BO33" i="13"/>
  <c r="BV33" i="13"/>
  <c r="R33" i="13"/>
  <c r="DL33" i="13"/>
  <c r="BG33" i="13"/>
  <c r="EG33" i="13"/>
  <c r="EU33" i="13"/>
  <c r="AC33" i="13"/>
  <c r="EX33" i="13"/>
  <c r="T33" i="13"/>
  <c r="CK33" i="13"/>
  <c r="AR33" i="13"/>
  <c r="CL33" i="13"/>
  <c r="CQ33" i="13"/>
  <c r="CH33" i="13"/>
  <c r="EH33" i="13"/>
  <c r="G33" i="13"/>
  <c r="EK33" i="13"/>
  <c r="CS33" i="13"/>
  <c r="DT33" i="13"/>
  <c r="BP33" i="13"/>
  <c r="DD33" i="13"/>
  <c r="CU33" i="13"/>
  <c r="CD33" i="13"/>
  <c r="BZ33" i="13"/>
  <c r="DW33" i="13"/>
  <c r="CN33" i="13"/>
  <c r="U33" i="13"/>
  <c r="BI33" i="13"/>
  <c r="EI33" i="13"/>
  <c r="FF33" i="13"/>
  <c r="AU33" i="13"/>
  <c r="DJ33" i="13"/>
  <c r="AL33" i="13"/>
  <c r="ET33" i="13"/>
  <c r="AD33" i="13"/>
  <c r="BH33" i="13"/>
  <c r="N33" i="13"/>
  <c r="AO33" i="13"/>
  <c r="CG33" i="13"/>
  <c r="O33" i="13"/>
  <c r="W33" i="13"/>
  <c r="BQ33" i="13"/>
  <c r="EJ33" i="13"/>
  <c r="EW33" i="13"/>
  <c r="FA33" i="13"/>
  <c r="DN33" i="13"/>
  <c r="CT33" i="13"/>
  <c r="AE33" i="13"/>
  <c r="DI33" i="13"/>
  <c r="BM33" i="13"/>
  <c r="I33" i="13"/>
  <c r="DB33" i="13"/>
  <c r="FD33" i="13"/>
  <c r="ER33" i="13"/>
  <c r="DU33" i="13"/>
  <c r="AY33" i="13"/>
  <c r="EY33" i="13"/>
  <c r="EV33" i="13"/>
  <c r="AJ33" i="13"/>
  <c r="DX33" i="13"/>
  <c r="DH33" i="13"/>
  <c r="AP33" i="13"/>
  <c r="CY33" i="13"/>
  <c r="AG33" i="13"/>
  <c r="DY33" i="13"/>
  <c r="CO33" i="13"/>
  <c r="AT33" i="13"/>
  <c r="AN33" i="13"/>
  <c r="S34" i="12"/>
  <c r="EZ34" i="12"/>
  <c r="CA34" i="12"/>
  <c r="AR34" i="12"/>
  <c r="CI34" i="12"/>
  <c r="BT34" i="12"/>
  <c r="AG34" i="12"/>
  <c r="CR34" i="12"/>
  <c r="CF34" i="12"/>
  <c r="CB34" i="12"/>
  <c r="K34" i="12"/>
  <c r="DB34" i="12"/>
  <c r="BB34" i="12"/>
  <c r="L34" i="12"/>
  <c r="AL34" i="12"/>
  <c r="CN34" i="12"/>
  <c r="BM34" i="12"/>
  <c r="DS34" i="12"/>
  <c r="DA34" i="12"/>
  <c r="BW34" i="12"/>
  <c r="R34" i="12"/>
  <c r="EK34" i="12"/>
  <c r="ET34" i="12"/>
  <c r="DI34" i="12"/>
  <c r="BO34" i="12"/>
  <c r="DW34" i="12"/>
  <c r="DD34" i="12"/>
  <c r="BA34" i="12"/>
  <c r="CM34" i="12"/>
  <c r="EY34" i="12"/>
  <c r="DZ42" i="12"/>
  <c r="BC34" i="12"/>
  <c r="W34" i="12"/>
  <c r="AC34" i="12"/>
  <c r="DE34" i="12"/>
  <c r="DG34" i="12"/>
  <c r="DV34" i="12"/>
  <c r="EW34" i="12"/>
  <c r="BP44" i="12"/>
  <c r="BE34" i="12"/>
  <c r="AU34" i="12"/>
  <c r="BR34" i="12"/>
  <c r="V34" i="12"/>
  <c r="U34" i="12"/>
  <c r="AW34" i="12"/>
  <c r="BN34" i="12"/>
  <c r="AZ34" i="12"/>
  <c r="BF34" i="12"/>
  <c r="CK34" i="12"/>
  <c r="BP50" i="12"/>
  <c r="O34" i="12"/>
  <c r="CO34" i="12"/>
  <c r="FA34" i="12"/>
  <c r="D34" i="12"/>
  <c r="J34" i="12"/>
  <c r="G34" i="12"/>
  <c r="DY34" i="12"/>
  <c r="CT34" i="12"/>
  <c r="BH34" i="12"/>
  <c r="CC34" i="12"/>
  <c r="DL34" i="12"/>
  <c r="T34" i="12"/>
  <c r="E34" i="12"/>
  <c r="AN51" i="12"/>
  <c r="X34" i="12"/>
  <c r="F34" i="12"/>
  <c r="AF34" i="12"/>
  <c r="CJ34" i="12"/>
  <c r="AK34" i="12"/>
  <c r="DZ34" i="12"/>
  <c r="DM34" i="12"/>
  <c r="EB34" i="12"/>
  <c r="EA34" i="12"/>
  <c r="EI34" i="12"/>
  <c r="AP34" i="12"/>
  <c r="CL34" i="12"/>
  <c r="Q34" i="12"/>
  <c r="CQ34" i="12"/>
  <c r="Z34" i="12"/>
  <c r="EJ34" i="12"/>
  <c r="Y34" i="12"/>
  <c r="DK34" i="12"/>
  <c r="P34" i="12"/>
  <c r="BY50" i="12"/>
  <c r="BV34" i="12"/>
  <c r="EL34" i="12"/>
  <c r="DP34" i="12"/>
  <c r="BG34" i="12"/>
  <c r="EN34" i="12"/>
  <c r="EG34" i="12"/>
  <c r="I34" i="12"/>
  <c r="N34" i="12"/>
  <c r="BL34" i="12"/>
  <c r="DC35" i="12"/>
  <c r="CP34" i="12"/>
  <c r="AO34" i="12"/>
  <c r="BY34" i="12"/>
  <c r="DO34" i="12"/>
  <c r="AM34" i="12"/>
  <c r="BB51" i="12"/>
  <c r="DC51" i="12"/>
  <c r="BZ34" i="12"/>
  <c r="EP34" i="12"/>
  <c r="BQ34" i="12"/>
  <c r="DX34" i="12"/>
  <c r="DQ34" i="12"/>
  <c r="AJ34" i="12"/>
  <c r="B119" i="1"/>
  <c r="U50" i="12" s="1"/>
  <c r="C118" i="1"/>
  <c r="D118" i="1"/>
  <c r="H118" i="1"/>
  <c r="N42" i="12"/>
  <c r="EP45" i="12"/>
  <c r="G35" i="12"/>
  <c r="BU47" i="12"/>
  <c r="BJ38" i="12"/>
  <c r="CZ41" i="12"/>
  <c r="CS45" i="12"/>
  <c r="CE46" i="12"/>
  <c r="BP53" i="12"/>
  <c r="DU38" i="12"/>
  <c r="BT39" i="12"/>
  <c r="AP42" i="12"/>
  <c r="CQ47" i="12"/>
  <c r="CU44" i="12"/>
  <c r="AN50" i="12"/>
  <c r="CG42" i="12"/>
  <c r="CB47" i="12"/>
  <c r="EZ49" i="12"/>
  <c r="BA35" i="12"/>
  <c r="Y43" i="12"/>
  <c r="BI35" i="12"/>
  <c r="DG39" i="12"/>
  <c r="AX37" i="12"/>
  <c r="AO40" i="12"/>
  <c r="AL39" i="12"/>
  <c r="EM34" i="12"/>
  <c r="CV34" i="12"/>
  <c r="CE34" i="12"/>
  <c r="X38" i="12"/>
  <c r="AD42" i="12"/>
  <c r="EV52" i="12"/>
  <c r="BL48" i="12"/>
  <c r="BH44" i="12"/>
  <c r="BK45" i="12"/>
  <c r="EB38" i="12"/>
  <c r="EL46" i="12"/>
  <c r="I48" i="12"/>
  <c r="BS43" i="12"/>
  <c r="CB38" i="12"/>
  <c r="FA36" i="12"/>
  <c r="DM48" i="12"/>
  <c r="DY41" i="12"/>
  <c r="BQ36" i="12"/>
  <c r="DC46" i="12"/>
  <c r="EX53" i="12"/>
  <c r="CZ52" i="12"/>
  <c r="AR35" i="12"/>
  <c r="X39" i="12"/>
  <c r="FC35" i="12"/>
  <c r="CZ53" i="12"/>
  <c r="EC45" i="12"/>
  <c r="L35" i="12"/>
  <c r="EL35" i="12"/>
  <c r="EU37" i="12"/>
  <c r="CW53" i="12"/>
  <c r="AU53" i="12"/>
  <c r="DB49" i="12"/>
  <c r="DN53" i="12"/>
  <c r="BX38" i="12"/>
  <c r="D51" i="12"/>
  <c r="CL51" i="12"/>
  <c r="DI41" i="12"/>
  <c r="DN49" i="12"/>
  <c r="BJ47" i="12"/>
  <c r="AJ38" i="12"/>
  <c r="EX44" i="12"/>
  <c r="EK52" i="12"/>
  <c r="FB48" i="12"/>
  <c r="DD51" i="12"/>
  <c r="CR49" i="12"/>
  <c r="DV44" i="12"/>
  <c r="N50" i="12"/>
  <c r="E44" i="12"/>
  <c r="CI50" i="12"/>
  <c r="AK52" i="12"/>
  <c r="AQ53" i="12"/>
  <c r="C50" i="12"/>
  <c r="EZ53" i="12"/>
  <c r="AT53" i="12"/>
  <c r="AT39" i="12"/>
  <c r="BS51" i="12"/>
  <c r="EP43" i="12"/>
  <c r="BO44" i="12"/>
  <c r="DX53" i="12"/>
  <c r="DS35" i="12"/>
  <c r="CH52" i="12"/>
  <c r="DC42" i="12"/>
  <c r="CU37" i="12"/>
  <c r="DZ51" i="12"/>
  <c r="L52" i="12"/>
  <c r="DF42" i="12"/>
  <c r="DE46" i="12"/>
  <c r="AJ44" i="12"/>
  <c r="CF41" i="12"/>
  <c r="DA43" i="12"/>
  <c r="AH46" i="12"/>
  <c r="EV35" i="12"/>
  <c r="ET50" i="12"/>
  <c r="BK36" i="12"/>
  <c r="R53" i="12"/>
  <c r="CF48" i="12"/>
  <c r="EF51" i="12"/>
  <c r="EY35" i="12"/>
  <c r="M43" i="12"/>
  <c r="AT35" i="12"/>
  <c r="AN42" i="12"/>
  <c r="ET53" i="12"/>
  <c r="CK47" i="12"/>
  <c r="P46" i="12"/>
  <c r="AI39" i="12"/>
  <c r="BA36" i="12"/>
  <c r="AH42" i="12"/>
  <c r="I44" i="12"/>
  <c r="FA53" i="12"/>
  <c r="S36" i="12"/>
  <c r="AV48" i="12"/>
  <c r="BR50" i="12"/>
  <c r="DE53" i="12"/>
  <c r="AK38" i="12"/>
  <c r="AS38" i="12"/>
  <c r="EP51" i="12"/>
  <c r="AZ42" i="12"/>
  <c r="AS49" i="12"/>
  <c r="DA37" i="12"/>
  <c r="CH43" i="12"/>
  <c r="EA46" i="12"/>
  <c r="BL41" i="12"/>
  <c r="BN51" i="12"/>
  <c r="DR51" i="12"/>
  <c r="FE49" i="12"/>
  <c r="DR36" i="12"/>
  <c r="DR49" i="12"/>
  <c r="FF36" i="12"/>
  <c r="FG37" i="12"/>
  <c r="EM53" i="12"/>
  <c r="AQ35" i="12"/>
  <c r="AY39" i="12"/>
  <c r="X42" i="12"/>
  <c r="EU49" i="12"/>
  <c r="AI51" i="12"/>
  <c r="BB46" i="12"/>
  <c r="FF47" i="12"/>
  <c r="CZ51" i="12"/>
  <c r="BY40" i="12"/>
  <c r="EE45" i="12"/>
  <c r="S53" i="12"/>
  <c r="X51" i="12"/>
  <c r="FB42" i="12"/>
  <c r="EW43" i="12"/>
  <c r="FG45" i="12"/>
  <c r="AO52" i="12"/>
  <c r="EB39" i="12"/>
  <c r="AG50" i="12"/>
  <c r="BH53" i="12"/>
  <c r="CO43" i="12"/>
  <c r="BP39" i="12"/>
  <c r="BE35" i="12"/>
  <c r="EB41" i="12"/>
  <c r="EY51" i="12"/>
  <c r="C44" i="12"/>
  <c r="EQ45" i="12"/>
  <c r="CB51" i="12"/>
  <c r="Q45" i="12"/>
  <c r="DH53" i="12"/>
  <c r="BK53" i="12"/>
  <c r="BH46" i="12"/>
  <c r="CK48" i="12"/>
  <c r="BA46" i="12"/>
  <c r="DE41" i="12"/>
  <c r="E52" i="12"/>
  <c r="DI53" i="12"/>
  <c r="CQ51" i="12"/>
  <c r="CM38" i="12"/>
  <c r="DT36" i="12"/>
  <c r="CD46" i="12"/>
  <c r="CX37" i="12"/>
  <c r="AU42" i="12"/>
  <c r="EU40" i="12"/>
  <c r="AN49" i="12"/>
  <c r="EB52" i="12"/>
  <c r="Q49" i="12"/>
  <c r="AB51" i="12"/>
  <c r="CJ43" i="12"/>
  <c r="FE52" i="12"/>
  <c r="EO48" i="12"/>
  <c r="AA41" i="12"/>
  <c r="DU34" i="12"/>
  <c r="AH34" i="12"/>
  <c r="CX48" i="12"/>
  <c r="BN40" i="12"/>
  <c r="BD43" i="12"/>
  <c r="DG50" i="12"/>
  <c r="FB35" i="12"/>
  <c r="CM48" i="12"/>
  <c r="T50" i="12"/>
  <c r="DU53" i="12"/>
  <c r="CP36" i="12"/>
  <c r="BU51" i="12"/>
  <c r="EW35" i="12"/>
  <c r="BV36" i="12"/>
  <c r="BF38" i="12"/>
  <c r="EX38" i="12"/>
  <c r="BT51" i="12"/>
  <c r="BT38" i="12"/>
  <c r="DT40" i="12"/>
  <c r="DB39" i="12"/>
  <c r="DF37" i="12"/>
  <c r="CO39" i="12"/>
  <c r="DH41" i="12"/>
  <c r="H41" i="12"/>
  <c r="BD37" i="12"/>
  <c r="AA52" i="12"/>
  <c r="CW41" i="12"/>
  <c r="AF36" i="12"/>
  <c r="CW46" i="12"/>
  <c r="EG39" i="12"/>
  <c r="EN42" i="12"/>
  <c r="DE43" i="12"/>
  <c r="O11" i="8"/>
  <c r="BU34" i="12"/>
  <c r="DC34" i="12"/>
  <c r="BS47" i="12"/>
  <c r="X46" i="12"/>
  <c r="BM53" i="12"/>
  <c r="ED49" i="12"/>
  <c r="AY50" i="12"/>
  <c r="AV38" i="12"/>
  <c r="BY38" i="12"/>
  <c r="F50" i="12"/>
  <c r="AR41" i="12"/>
  <c r="BL53" i="12"/>
  <c r="BT42" i="12"/>
  <c r="DU40" i="12"/>
  <c r="ER45" i="12"/>
  <c r="X35" i="12"/>
  <c r="CQ49" i="12"/>
  <c r="DU49" i="12"/>
  <c r="AX41" i="12"/>
  <c r="DP49" i="12"/>
  <c r="BA38" i="12"/>
  <c r="BO36" i="12"/>
  <c r="EZ35" i="12"/>
  <c r="CP49" i="12"/>
  <c r="CB37" i="12"/>
  <c r="AJ40" i="12"/>
  <c r="BU49" i="12"/>
  <c r="CG51" i="12"/>
  <c r="DP40" i="12"/>
  <c r="P35" i="12"/>
  <c r="AO35" i="12"/>
  <c r="X37" i="12"/>
  <c r="BN44" i="12"/>
  <c r="BS48" i="12"/>
  <c r="J40" i="12"/>
  <c r="CE38" i="12"/>
  <c r="J50" i="12"/>
  <c r="BY42" i="12"/>
  <c r="FA50" i="12"/>
  <c r="BD47" i="12"/>
  <c r="Q44" i="12"/>
  <c r="FF39" i="12"/>
  <c r="CI47" i="12"/>
  <c r="AY52" i="12"/>
  <c r="FA40" i="12"/>
  <c r="AO51" i="12"/>
  <c r="CD36" i="12"/>
  <c r="P49" i="12"/>
  <c r="EM42" i="12"/>
  <c r="EE43" i="12"/>
  <c r="CB42" i="12"/>
  <c r="ET40" i="12"/>
  <c r="DO41" i="12"/>
  <c r="CC44" i="12"/>
  <c r="AN47" i="12"/>
  <c r="DO51" i="12"/>
  <c r="V46" i="12"/>
  <c r="AC47" i="12"/>
  <c r="AB36" i="12"/>
  <c r="CA40" i="12"/>
  <c r="BZ38" i="12"/>
  <c r="AU44" i="12"/>
  <c r="DM39" i="12"/>
  <c r="H52" i="12"/>
  <c r="CH49" i="12"/>
  <c r="O39" i="12"/>
  <c r="G47" i="12"/>
  <c r="S47" i="12"/>
  <c r="BE41" i="12"/>
  <c r="U37" i="12"/>
  <c r="BB35" i="12"/>
  <c r="S38" i="12"/>
  <c r="DL45" i="12"/>
  <c r="BK47" i="12"/>
  <c r="DV49" i="12"/>
  <c r="EH37" i="12"/>
  <c r="DK47" i="12"/>
  <c r="DQ40" i="12"/>
  <c r="DP46" i="12"/>
  <c r="CA51" i="12"/>
  <c r="DW42" i="12"/>
  <c r="Q41" i="12"/>
  <c r="EA42" i="12"/>
  <c r="BP48" i="12"/>
  <c r="AZ46" i="12"/>
  <c r="F40" i="12"/>
  <c r="BA50" i="12"/>
  <c r="BE47" i="12"/>
  <c r="DT44" i="12"/>
  <c r="AC43" i="12"/>
  <c r="AA50" i="12"/>
  <c r="CH51" i="12"/>
  <c r="DK35" i="12"/>
  <c r="H38" i="12"/>
  <c r="E53" i="12"/>
  <c r="AE38" i="12"/>
  <c r="R49" i="12"/>
  <c r="G42" i="12"/>
  <c r="EE40" i="12"/>
  <c r="V52" i="12"/>
  <c r="DV45" i="12"/>
  <c r="AA46" i="12"/>
  <c r="CW48" i="12"/>
  <c r="ER44" i="12"/>
  <c r="CP44" i="12"/>
  <c r="DM40" i="12"/>
  <c r="EY42" i="12"/>
  <c r="DY36" i="12"/>
  <c r="AG43" i="12"/>
  <c r="CG53" i="12"/>
  <c r="AS39" i="12"/>
  <c r="BD44" i="12"/>
  <c r="V42" i="12"/>
  <c r="CP40" i="12"/>
  <c r="AA43" i="12"/>
  <c r="DO42" i="12"/>
  <c r="EE50" i="12"/>
  <c r="W41" i="12"/>
  <c r="CR53" i="12"/>
  <c r="DN48" i="12"/>
  <c r="AT38" i="12"/>
  <c r="FC45" i="12"/>
  <c r="CY37" i="12"/>
  <c r="D36" i="12"/>
  <c r="BG47" i="12"/>
  <c r="BZ53" i="12"/>
  <c r="BO45" i="12"/>
  <c r="BR49" i="12"/>
  <c r="EW38" i="12"/>
  <c r="F36" i="12"/>
  <c r="DC38" i="12"/>
  <c r="DB35" i="12"/>
  <c r="DH51" i="12"/>
  <c r="EE41" i="12"/>
  <c r="CL42" i="12"/>
  <c r="E47" i="12"/>
  <c r="CG37" i="12"/>
  <c r="FD40" i="12"/>
  <c r="BY48" i="12"/>
  <c r="FB51" i="12"/>
  <c r="AV36" i="12"/>
  <c r="BG40" i="12"/>
  <c r="FE51" i="12"/>
  <c r="BH39" i="12"/>
  <c r="CV36" i="12"/>
  <c r="FG52" i="12"/>
  <c r="AJ50" i="12"/>
  <c r="BX41" i="12"/>
  <c r="BU43" i="12"/>
  <c r="BF53" i="12"/>
  <c r="AH43" i="12"/>
  <c r="FB34" i="12"/>
  <c r="AD34" i="12"/>
  <c r="EU34" i="12"/>
  <c r="CA35" i="12"/>
  <c r="CX51" i="12"/>
  <c r="AX39" i="12"/>
  <c r="ES52" i="12"/>
  <c r="CP35" i="12"/>
  <c r="AR39" i="12"/>
  <c r="EH36" i="12"/>
  <c r="AV46" i="12"/>
  <c r="BD36" i="12"/>
  <c r="CR36" i="12"/>
  <c r="CG40" i="12"/>
  <c r="AO42" i="12"/>
  <c r="CT36" i="12"/>
  <c r="AZ36" i="12"/>
  <c r="BZ51" i="12"/>
  <c r="M51" i="12"/>
  <c r="D52" i="12"/>
  <c r="L49" i="12"/>
  <c r="BF51" i="12"/>
  <c r="EC49" i="12"/>
  <c r="Z48" i="12"/>
  <c r="AF43" i="12"/>
  <c r="G43" i="12"/>
  <c r="DE44" i="12"/>
  <c r="AP49" i="12"/>
  <c r="DN37" i="12"/>
  <c r="CD38" i="12"/>
  <c r="EH51" i="12"/>
  <c r="EF39" i="12"/>
  <c r="ET49" i="12"/>
  <c r="DE51" i="12"/>
  <c r="CR45" i="12"/>
  <c r="BI36" i="12"/>
  <c r="CH40" i="12"/>
  <c r="F42" i="12"/>
  <c r="AF45" i="12"/>
  <c r="EW40" i="12"/>
  <c r="BR51" i="12"/>
  <c r="EI38" i="12"/>
  <c r="Z38" i="12"/>
  <c r="EH45" i="12"/>
  <c r="DT49" i="12"/>
  <c r="BK35" i="12"/>
  <c r="EO39" i="12"/>
  <c r="CY40" i="12"/>
  <c r="ES50" i="12"/>
  <c r="CY52" i="12"/>
  <c r="BU36" i="12"/>
  <c r="J36" i="12"/>
  <c r="CV52" i="12"/>
  <c r="EX45" i="12"/>
  <c r="EB47" i="12"/>
  <c r="DD46" i="12"/>
  <c r="CV38" i="12"/>
  <c r="DK37" i="12"/>
  <c r="EA39" i="12"/>
  <c r="EI52" i="12"/>
  <c r="AK39" i="12"/>
  <c r="EL47" i="12"/>
  <c r="CL52" i="12"/>
  <c r="EA38" i="12"/>
  <c r="BF52" i="12"/>
  <c r="DU43" i="12"/>
  <c r="CQ39" i="12"/>
  <c r="EV53" i="12"/>
  <c r="BQ43" i="12"/>
  <c r="DC37" i="12"/>
  <c r="EK38" i="12"/>
  <c r="AQ43" i="12"/>
  <c r="AL37" i="12"/>
  <c r="EW36" i="12"/>
  <c r="K51" i="12"/>
  <c r="BH48" i="12"/>
  <c r="AS48" i="12"/>
  <c r="CC51" i="12"/>
  <c r="FG43" i="12"/>
  <c r="EH47" i="12"/>
  <c r="CO48" i="12"/>
  <c r="AB50" i="12"/>
  <c r="DT45" i="12"/>
  <c r="AK41" i="12"/>
  <c r="EA48" i="12"/>
  <c r="CZ39" i="12"/>
  <c r="DU51" i="12"/>
  <c r="AX51" i="12"/>
  <c r="DL52" i="12"/>
  <c r="EE42" i="12"/>
  <c r="DS37" i="12"/>
  <c r="H51" i="12"/>
  <c r="AI49" i="12"/>
  <c r="CJ37" i="12"/>
  <c r="AL51" i="12"/>
  <c r="AB42" i="12"/>
  <c r="L37" i="12"/>
  <c r="CN43" i="12"/>
  <c r="DM35" i="12"/>
  <c r="Z42" i="12"/>
  <c r="AL40" i="12"/>
  <c r="BZ52" i="12"/>
  <c r="CC43" i="12"/>
  <c r="BY51" i="12"/>
  <c r="FD53" i="12"/>
  <c r="DJ37" i="12"/>
  <c r="AT42" i="12"/>
  <c r="FB40" i="12"/>
  <c r="BB52" i="12"/>
  <c r="EK49" i="12"/>
  <c r="EL50" i="12"/>
  <c r="AI52" i="12"/>
  <c r="E43" i="12"/>
  <c r="AF48" i="12"/>
  <c r="EM46" i="12"/>
  <c r="FB49" i="12"/>
  <c r="DW52" i="12"/>
  <c r="BL38" i="12"/>
  <c r="DR37" i="12"/>
  <c r="DW35" i="12"/>
  <c r="EG36" i="12"/>
  <c r="DO44" i="12"/>
  <c r="V49" i="12"/>
  <c r="P43" i="12"/>
  <c r="EL45" i="12"/>
  <c r="FD52" i="12"/>
  <c r="AS50" i="12"/>
  <c r="CX52" i="12"/>
  <c r="AK36" i="12"/>
  <c r="CT45" i="12"/>
  <c r="AO45" i="12"/>
  <c r="DT50" i="12"/>
  <c r="DH36" i="12"/>
  <c r="BF37" i="12"/>
  <c r="DI52" i="12"/>
  <c r="AE36" i="12"/>
  <c r="EQ42" i="12"/>
  <c r="BZ40" i="12"/>
  <c r="EY44" i="12"/>
  <c r="EJ42" i="12"/>
  <c r="DU45" i="12"/>
  <c r="AL47" i="12"/>
  <c r="O53" i="12"/>
  <c r="CJ47" i="12"/>
  <c r="AK48" i="12"/>
  <c r="Y44" i="12"/>
  <c r="AR44" i="12"/>
  <c r="AZ35" i="12"/>
  <c r="DR43" i="12"/>
  <c r="Y35" i="12"/>
  <c r="BW37" i="12"/>
  <c r="AM47" i="12"/>
  <c r="EM48" i="12"/>
  <c r="AP53" i="12"/>
  <c r="CW44" i="12"/>
  <c r="EF42" i="12"/>
  <c r="CJ46" i="12"/>
  <c r="DA47" i="12"/>
  <c r="CU46" i="12"/>
  <c r="AA42" i="12"/>
  <c r="CJ49" i="12"/>
  <c r="CK41" i="12"/>
  <c r="CD45" i="12"/>
  <c r="CY44" i="12"/>
  <c r="CH41" i="12"/>
  <c r="EY38" i="12"/>
  <c r="BV51" i="12"/>
  <c r="AE46" i="12"/>
  <c r="AS46" i="12"/>
  <c r="AG47" i="12"/>
  <c r="DJ36" i="12"/>
  <c r="EQ49" i="12"/>
  <c r="DI40" i="12"/>
  <c r="U49" i="12"/>
  <c r="AH47" i="12"/>
  <c r="E51" i="12"/>
  <c r="P45" i="12"/>
  <c r="EF40" i="12"/>
  <c r="EL51" i="12"/>
  <c r="EZ48" i="12"/>
  <c r="FC44" i="12"/>
  <c r="G40" i="12"/>
  <c r="DE37" i="12"/>
  <c r="BK49" i="12"/>
  <c r="AD51" i="12"/>
  <c r="BK52" i="12"/>
  <c r="CL37" i="12"/>
  <c r="I43" i="12"/>
  <c r="AY48" i="12"/>
  <c r="CG47" i="12"/>
  <c r="BT41" i="12"/>
  <c r="Q43" i="12"/>
  <c r="EP48" i="12"/>
  <c r="AH53" i="12"/>
  <c r="DL37" i="12"/>
  <c r="EM44" i="12"/>
  <c r="DH52" i="12"/>
  <c r="BJ51" i="12"/>
  <c r="J48" i="12"/>
  <c r="Q46" i="12"/>
  <c r="BE45" i="12"/>
  <c r="E46" i="12"/>
  <c r="DX41" i="12"/>
  <c r="FG49" i="12"/>
  <c r="DP51" i="12"/>
  <c r="BA44" i="12"/>
  <c r="CU48" i="12"/>
  <c r="AH51" i="12"/>
  <c r="BB42" i="12"/>
  <c r="DH47" i="12"/>
  <c r="FF38" i="12"/>
  <c r="AR49" i="12"/>
  <c r="FD51" i="12"/>
  <c r="BD42" i="12"/>
  <c r="DS44" i="12"/>
  <c r="EC51" i="12"/>
  <c r="I38" i="12"/>
  <c r="E37" i="12"/>
  <c r="AY47" i="12"/>
  <c r="DP50" i="12"/>
  <c r="CW45" i="12"/>
  <c r="CY41" i="12"/>
  <c r="BU45" i="12"/>
  <c r="AP47" i="12"/>
  <c r="CU36" i="12"/>
  <c r="BB49" i="12"/>
  <c r="DB40" i="12"/>
  <c r="BV45" i="12"/>
  <c r="BB39" i="12"/>
  <c r="BC42" i="12"/>
  <c r="FE47" i="12"/>
  <c r="M35" i="12"/>
  <c r="DS42" i="12"/>
  <c r="L50" i="12"/>
  <c r="EW37" i="12"/>
  <c r="EQ37" i="12"/>
  <c r="CP50" i="12"/>
  <c r="FF37" i="12"/>
  <c r="R41" i="12"/>
  <c r="EH46" i="12"/>
  <c r="AD50" i="12"/>
  <c r="CJ42" i="12"/>
  <c r="BL47" i="12"/>
  <c r="F46" i="12"/>
  <c r="DY44" i="12"/>
  <c r="EX48" i="12"/>
  <c r="BB40" i="12"/>
  <c r="H45" i="12"/>
  <c r="EH40" i="12"/>
  <c r="ET41" i="12"/>
  <c r="P52" i="12"/>
  <c r="D46" i="12"/>
  <c r="L42" i="12"/>
  <c r="EW52" i="12"/>
  <c r="DZ35" i="12"/>
  <c r="AN36" i="12"/>
  <c r="J46" i="12"/>
  <c r="AG52" i="12"/>
  <c r="DX36" i="12"/>
  <c r="AW48" i="12"/>
  <c r="CV46" i="12"/>
  <c r="BY35" i="12"/>
  <c r="AM38" i="12"/>
  <c r="BD53" i="12"/>
  <c r="DQ51" i="12"/>
  <c r="AX52" i="12"/>
  <c r="CJ41" i="12"/>
  <c r="EF36" i="12"/>
  <c r="CF49" i="12"/>
  <c r="DD41" i="12"/>
  <c r="BB47" i="12"/>
  <c r="I37" i="12"/>
  <c r="BS38" i="12"/>
  <c r="BV53" i="12"/>
  <c r="F51" i="12"/>
  <c r="AO36" i="12"/>
  <c r="P44" i="12"/>
  <c r="CQ44" i="12"/>
  <c r="ED46" i="12"/>
  <c r="BT40" i="12"/>
  <c r="DU44" i="12"/>
  <c r="ER51" i="12"/>
  <c r="CA44" i="12"/>
  <c r="BM44" i="12"/>
  <c r="CS40" i="12"/>
  <c r="DU42" i="12"/>
  <c r="EI47" i="12"/>
  <c r="CD40" i="12"/>
  <c r="DI44" i="12"/>
  <c r="AM41" i="12"/>
  <c r="FE50" i="12"/>
  <c r="AE35" i="12"/>
  <c r="DK39" i="12"/>
  <c r="Q53" i="12"/>
  <c r="BE51" i="12"/>
  <c r="BS36" i="12"/>
  <c r="I49" i="12"/>
  <c r="CW51" i="12"/>
  <c r="AP46" i="12"/>
  <c r="BP41" i="12"/>
  <c r="EG50" i="12"/>
  <c r="BR52" i="12"/>
  <c r="DO53" i="12"/>
  <c r="DG44" i="12"/>
  <c r="CY38" i="12"/>
  <c r="AV39" i="12"/>
  <c r="AM40" i="12"/>
  <c r="AB44" i="12"/>
  <c r="EO45" i="12"/>
  <c r="CW50" i="12"/>
  <c r="AF47" i="12"/>
  <c r="ES38" i="12"/>
  <c r="CR48" i="12"/>
  <c r="S46" i="12"/>
  <c r="BP49" i="12"/>
  <c r="EH39" i="12"/>
  <c r="BH50" i="12"/>
  <c r="EC52" i="12"/>
  <c r="BL50" i="12"/>
  <c r="CW36" i="12"/>
  <c r="EA49" i="12"/>
  <c r="EB51" i="12"/>
  <c r="CB41" i="12"/>
  <c r="G53" i="12"/>
  <c r="AD49" i="12"/>
  <c r="CU41" i="12"/>
  <c r="FC51" i="12"/>
  <c r="AJ41" i="12"/>
  <c r="CC52" i="12"/>
  <c r="P51" i="12"/>
  <c r="DT47" i="12"/>
  <c r="DA46" i="12"/>
  <c r="BC51" i="12"/>
  <c r="CC47" i="12"/>
  <c r="M37" i="12"/>
  <c r="BM37" i="12"/>
  <c r="FD44" i="12"/>
  <c r="AS44" i="12"/>
  <c r="Q37" i="12"/>
  <c r="K53" i="12"/>
  <c r="BX48" i="12"/>
  <c r="D53" i="12"/>
  <c r="CI52" i="12"/>
  <c r="DN36" i="12"/>
  <c r="DP53" i="12"/>
  <c r="J43" i="12"/>
  <c r="AE37" i="12"/>
  <c r="DI42" i="12"/>
  <c r="AQ52" i="12"/>
  <c r="T48" i="12"/>
  <c r="W38" i="12"/>
  <c r="CT41" i="12"/>
  <c r="EI49" i="12"/>
  <c r="G44" i="12"/>
  <c r="AJ46" i="12"/>
  <c r="DG37" i="12"/>
  <c r="CR40" i="12"/>
  <c r="CR44" i="12"/>
  <c r="BQ38" i="12"/>
  <c r="BZ37" i="12"/>
  <c r="EV40" i="12"/>
  <c r="BG39" i="12"/>
  <c r="FC43" i="12"/>
  <c r="CE48" i="12"/>
  <c r="G50" i="12"/>
  <c r="AZ47" i="12"/>
  <c r="BM41" i="12"/>
  <c r="AG35" i="12"/>
  <c r="BK44" i="12"/>
  <c r="DG41" i="12"/>
  <c r="DG47" i="12"/>
  <c r="AK51" i="12"/>
  <c r="DY49" i="12"/>
  <c r="ED39" i="12"/>
  <c r="EI53" i="12"/>
  <c r="EY37" i="12"/>
  <c r="CT38" i="12"/>
  <c r="AY42" i="12"/>
  <c r="T42" i="12"/>
  <c r="BL46" i="12"/>
  <c r="DX45" i="12"/>
  <c r="K38" i="12"/>
  <c r="BC48" i="12"/>
  <c r="EN48" i="12"/>
  <c r="X52" i="12"/>
  <c r="DN44" i="12"/>
  <c r="AL52" i="12"/>
  <c r="BG44" i="12"/>
  <c r="CH38" i="12"/>
  <c r="BB48" i="12"/>
  <c r="N52" i="12"/>
  <c r="BF39" i="12"/>
  <c r="ED53" i="12"/>
  <c r="CG45" i="12"/>
  <c r="DQ53" i="12"/>
  <c r="CT51" i="12"/>
  <c r="ET42" i="12"/>
  <c r="EI42" i="12"/>
  <c r="EA44" i="12"/>
  <c r="CP39" i="12"/>
  <c r="DS46" i="12"/>
  <c r="T51" i="12"/>
  <c r="W37" i="12"/>
  <c r="EV39" i="12"/>
  <c r="CH42" i="12"/>
  <c r="EO50" i="12"/>
  <c r="DC43" i="12"/>
  <c r="DE48" i="12"/>
  <c r="AL41" i="12"/>
  <c r="CY51" i="12"/>
  <c r="CM50" i="12"/>
  <c r="DU39" i="12"/>
  <c r="DD48" i="12"/>
  <c r="Z39" i="12"/>
  <c r="CF35" i="12"/>
  <c r="AM48" i="12"/>
  <c r="EM50" i="12"/>
  <c r="DM50" i="12"/>
  <c r="BR35" i="12"/>
  <c r="CG49" i="12"/>
  <c r="BK46" i="12"/>
  <c r="CZ35" i="12"/>
  <c r="BE44" i="12"/>
  <c r="CO52" i="12"/>
  <c r="CO45" i="12"/>
  <c r="CD53" i="12"/>
  <c r="EB36" i="12"/>
  <c r="BV38" i="12"/>
  <c r="D50" i="12"/>
  <c r="EQ39" i="12"/>
  <c r="EC50" i="12"/>
  <c r="N40" i="12"/>
  <c r="DF53" i="12"/>
  <c r="AX44" i="12"/>
  <c r="CZ45" i="12"/>
  <c r="DN42" i="12"/>
  <c r="AD36" i="12"/>
  <c r="N36" i="12"/>
  <c r="EX42" i="12"/>
  <c r="AI35" i="12"/>
  <c r="FD46" i="12"/>
  <c r="BU38" i="12"/>
  <c r="V50" i="12"/>
  <c r="AS45" i="12"/>
  <c r="DX47" i="12"/>
  <c r="BN50" i="12"/>
  <c r="X41" i="12"/>
  <c r="DX51" i="12"/>
  <c r="EA47" i="12"/>
  <c r="R43" i="12"/>
  <c r="CC50" i="12"/>
  <c r="D42" i="12"/>
  <c r="BW42" i="12"/>
  <c r="BH43" i="12"/>
  <c r="W49" i="12"/>
  <c r="AS37" i="12"/>
  <c r="EN49" i="12"/>
  <c r="AG36" i="12"/>
  <c r="DO35" i="12"/>
  <c r="AS40" i="12"/>
  <c r="ES47" i="12"/>
  <c r="FB47" i="12"/>
  <c r="FC38" i="12"/>
  <c r="K37" i="12"/>
  <c r="DH38" i="12"/>
  <c r="BC38" i="12"/>
  <c r="DA44" i="12"/>
  <c r="AI41" i="12"/>
  <c r="AN52" i="12"/>
  <c r="CJ48" i="12"/>
  <c r="CI48" i="12"/>
  <c r="BH51" i="12"/>
  <c r="EA43" i="12"/>
  <c r="DK53" i="12"/>
  <c r="CN44" i="12"/>
  <c r="CK38" i="12"/>
  <c r="EH35" i="12"/>
  <c r="BI51" i="12"/>
  <c r="EV38" i="12"/>
  <c r="FC39" i="12"/>
  <c r="BT47" i="12"/>
  <c r="CI35" i="12"/>
  <c r="CC37" i="12"/>
  <c r="EE44" i="12"/>
  <c r="DO52" i="12"/>
  <c r="V39" i="12"/>
  <c r="DQ48" i="12"/>
  <c r="BS37" i="12"/>
  <c r="EN41" i="12"/>
  <c r="AB52" i="12"/>
  <c r="DF49" i="12"/>
  <c r="EA45" i="12"/>
  <c r="W43" i="12"/>
  <c r="DD38" i="12"/>
  <c r="CQ37" i="12"/>
  <c r="DS48" i="12"/>
  <c r="BG53" i="12"/>
  <c r="FD48" i="12"/>
  <c r="BQ45" i="12"/>
  <c r="AU39" i="12"/>
  <c r="AM50" i="12"/>
  <c r="AS53" i="12"/>
  <c r="BA42" i="12"/>
  <c r="DW49" i="12"/>
  <c r="L53" i="12"/>
  <c r="BG35" i="12"/>
  <c r="ED45" i="12"/>
  <c r="FF53" i="12"/>
  <c r="CG39" i="12"/>
  <c r="EX40" i="12"/>
  <c r="AL46" i="12"/>
  <c r="CC46" i="12"/>
  <c r="BY52" i="12"/>
  <c r="BT48" i="12"/>
  <c r="BW44" i="12"/>
  <c r="CD44" i="12"/>
  <c r="ER47" i="12"/>
  <c r="CQ36" i="12"/>
  <c r="AK47" i="12"/>
  <c r="CG38" i="12"/>
  <c r="EU39" i="12"/>
  <c r="DL44" i="12"/>
  <c r="BV52" i="12"/>
  <c r="CN48" i="12"/>
  <c r="DS40" i="12"/>
  <c r="BY49" i="12"/>
  <c r="EM37" i="12"/>
  <c r="EV49" i="12"/>
  <c r="BI48" i="12"/>
  <c r="CU38" i="12"/>
  <c r="O37" i="12"/>
  <c r="Y48" i="12"/>
  <c r="AE41" i="12"/>
  <c r="EX43" i="12"/>
  <c r="DY53" i="12"/>
  <c r="BV43" i="12"/>
  <c r="AG41" i="12"/>
  <c r="R48" i="12"/>
  <c r="R44" i="12"/>
  <c r="CH46" i="12"/>
  <c r="EE49" i="12"/>
  <c r="AM53" i="12"/>
  <c r="BF48" i="12"/>
  <c r="AS51" i="12"/>
  <c r="AI40" i="12"/>
  <c r="AI43" i="12"/>
  <c r="BH47" i="12"/>
  <c r="CQ38" i="12"/>
  <c r="DE40" i="12"/>
  <c r="AA35" i="12"/>
  <c r="BH36" i="12"/>
  <c r="BO49" i="12"/>
  <c r="AY44" i="12"/>
  <c r="N46" i="12"/>
  <c r="L47" i="12"/>
  <c r="C38" i="12"/>
  <c r="AO50" i="12"/>
  <c r="AJ47" i="12"/>
  <c r="BE48" i="12"/>
  <c r="DS50" i="12"/>
  <c r="CV42" i="12"/>
  <c r="BA49" i="12"/>
  <c r="H48" i="12"/>
  <c r="DD44" i="12"/>
  <c r="BB43" i="12"/>
  <c r="M48" i="12"/>
  <c r="CZ48" i="12"/>
  <c r="BY43" i="12"/>
  <c r="DF43" i="12"/>
  <c r="AE44" i="12"/>
  <c r="EZ40" i="12"/>
  <c r="BI38" i="12"/>
  <c r="CQ41" i="12"/>
  <c r="BX45" i="12"/>
  <c r="CA42" i="12"/>
  <c r="W47" i="12"/>
  <c r="Y37" i="12"/>
  <c r="D41" i="12"/>
  <c r="DG40" i="12"/>
  <c r="AZ53" i="12"/>
  <c r="BJ49" i="12"/>
  <c r="E38" i="12"/>
  <c r="I53" i="12"/>
  <c r="EL49" i="12"/>
  <c r="AN40" i="12"/>
  <c r="AQ47" i="12"/>
  <c r="DR53" i="12"/>
  <c r="CB49" i="12"/>
  <c r="EK39" i="12"/>
  <c r="BF50" i="12"/>
  <c r="EQ48" i="12"/>
  <c r="EM45" i="12"/>
  <c r="DM45" i="12"/>
  <c r="BR44" i="12"/>
  <c r="DS52" i="12"/>
  <c r="BR53" i="12"/>
  <c r="DM51" i="12"/>
  <c r="EQ41" i="12"/>
  <c r="CW39" i="12"/>
  <c r="AL50" i="12"/>
  <c r="CE36" i="12"/>
  <c r="BF40" i="12"/>
  <c r="CH39" i="12"/>
  <c r="EU35" i="12"/>
  <c r="FE38" i="12"/>
  <c r="FB50" i="12"/>
  <c r="EO51" i="12"/>
  <c r="FC48" i="12"/>
  <c r="EF37" i="12"/>
  <c r="BS39" i="12"/>
  <c r="CF36" i="12"/>
  <c r="EB48" i="12"/>
  <c r="L36" i="12"/>
  <c r="BY36" i="12"/>
  <c r="FC49" i="12"/>
  <c r="EN43" i="12"/>
  <c r="EQ44" i="12"/>
  <c r="EA53" i="12"/>
  <c r="DB45" i="12"/>
  <c r="FG48" i="12"/>
  <c r="AW35" i="12"/>
  <c r="DB42" i="12"/>
  <c r="C37" i="12"/>
  <c r="FG41" i="12"/>
  <c r="AR50" i="12"/>
  <c r="AJ49" i="12"/>
  <c r="BF45" i="12"/>
  <c r="DF35" i="12"/>
  <c r="ER35" i="12"/>
  <c r="X36" i="12"/>
  <c r="BN49" i="12"/>
  <c r="DJ45" i="12"/>
  <c r="DI38" i="12"/>
  <c r="BW47" i="12"/>
  <c r="EG51" i="12"/>
  <c r="CY46" i="12"/>
  <c r="DU35" i="12"/>
  <c r="CJ39" i="12"/>
  <c r="AZ40" i="12"/>
  <c r="EJ41" i="12"/>
  <c r="W48" i="12"/>
  <c r="AI44" i="12"/>
  <c r="DQ39" i="12"/>
  <c r="CV40" i="12"/>
  <c r="AV35" i="12"/>
  <c r="I40" i="12"/>
  <c r="CF43" i="12"/>
  <c r="CA52" i="12"/>
  <c r="BI42" i="12"/>
  <c r="DQ43" i="12"/>
  <c r="DU41" i="12"/>
  <c r="DL43" i="12"/>
  <c r="AQ40" i="12"/>
  <c r="CR38" i="12"/>
  <c r="AX42" i="12"/>
  <c r="AY38" i="12"/>
  <c r="AO39" i="12"/>
  <c r="BO53" i="12"/>
  <c r="BE43" i="12"/>
  <c r="AO44" i="12"/>
  <c r="CS42" i="12"/>
  <c r="DJ49" i="12"/>
  <c r="CU52" i="12"/>
  <c r="CV47" i="12"/>
  <c r="DW51" i="12"/>
  <c r="EA35" i="12"/>
  <c r="CU51" i="12"/>
  <c r="J42" i="12"/>
  <c r="DA38" i="12"/>
  <c r="D40" i="12"/>
  <c r="CW42" i="12"/>
  <c r="EO53" i="12"/>
  <c r="EZ39" i="12"/>
  <c r="BQ53" i="12"/>
  <c r="CZ42" i="12"/>
  <c r="CF38" i="12"/>
  <c r="EH52" i="12"/>
  <c r="AR43" i="12"/>
  <c r="DN50" i="12"/>
  <c r="CC39" i="12"/>
  <c r="AV52" i="12"/>
  <c r="AV50" i="12"/>
  <c r="DA48" i="12"/>
  <c r="CE37" i="12"/>
  <c r="R39" i="12"/>
  <c r="BU37" i="12"/>
  <c r="FE40" i="12"/>
  <c r="EA51" i="12"/>
  <c r="CI42" i="12"/>
  <c r="AX43" i="12"/>
  <c r="ER42" i="12"/>
  <c r="EJ43" i="12"/>
  <c r="EW48" i="12"/>
  <c r="W50" i="12"/>
  <c r="AZ38" i="12"/>
  <c r="DQ36" i="12"/>
  <c r="EW42" i="12"/>
  <c r="AC35" i="12"/>
  <c r="I35" i="12"/>
  <c r="AD53" i="12"/>
  <c r="DH42" i="12"/>
  <c r="CF51" i="12"/>
  <c r="AM46" i="12"/>
  <c r="AP39" i="12"/>
  <c r="ED48" i="12"/>
  <c r="DK42" i="12"/>
  <c r="BG41" i="12"/>
  <c r="CK51" i="12"/>
  <c r="EC47" i="12"/>
  <c r="DB53" i="12"/>
  <c r="BY41" i="12"/>
  <c r="CV41" i="12"/>
  <c r="J35" i="12"/>
  <c r="CG35" i="12"/>
  <c r="EA40" i="12"/>
  <c r="EP37" i="12"/>
  <c r="EN50" i="12"/>
  <c r="DH48" i="12"/>
  <c r="DD43" i="12"/>
  <c r="AG38" i="12"/>
  <c r="F39" i="12"/>
  <c r="BL49" i="12"/>
  <c r="E50" i="12"/>
  <c r="AV37" i="12"/>
  <c r="DW48" i="12"/>
  <c r="CT35" i="12"/>
  <c r="F41" i="12"/>
  <c r="DA35" i="12"/>
  <c r="F35" i="12"/>
  <c r="DV47" i="12"/>
  <c r="BH40" i="12"/>
  <c r="DI36" i="12"/>
  <c r="BY46" i="12"/>
  <c r="AF46" i="12"/>
  <c r="BX35" i="12"/>
  <c r="AG53" i="12"/>
  <c r="AV44" i="12"/>
  <c r="BL35" i="12"/>
  <c r="S52" i="12"/>
  <c r="EI41" i="12"/>
  <c r="CX49" i="12"/>
  <c r="EO42" i="12"/>
  <c r="M41" i="12"/>
  <c r="CF39" i="12"/>
  <c r="AC51" i="12"/>
  <c r="BZ42" i="12"/>
  <c r="BJ40" i="12"/>
  <c r="CK42" i="12"/>
  <c r="Q35" i="12"/>
  <c r="AO37" i="12"/>
  <c r="E41" i="12"/>
  <c r="G39" i="12"/>
  <c r="CL50" i="12"/>
  <c r="AX35" i="12"/>
  <c r="CV48" i="12"/>
  <c r="BN45" i="12"/>
  <c r="CM42" i="12"/>
  <c r="DQ50" i="12"/>
  <c r="CO41" i="12"/>
  <c r="DF38" i="12"/>
  <c r="K39" i="12"/>
  <c r="AZ37" i="12"/>
  <c r="DT39" i="12"/>
  <c r="DY48" i="12"/>
  <c r="BQ52" i="12"/>
  <c r="BC53" i="12"/>
  <c r="BD49" i="12"/>
  <c r="EJ39" i="12"/>
  <c r="DB44" i="12"/>
  <c r="DN52" i="12"/>
  <c r="DS41" i="12"/>
  <c r="U39" i="12"/>
  <c r="ET52" i="12"/>
  <c r="EP41" i="12"/>
  <c r="U41" i="12"/>
  <c r="EH48" i="12"/>
  <c r="BS42" i="12"/>
  <c r="AT45" i="12"/>
  <c r="CN42" i="12"/>
  <c r="CC49" i="12"/>
  <c r="W36" i="12"/>
  <c r="Z44" i="12"/>
  <c r="ED36" i="12"/>
  <c r="DU37" i="12"/>
  <c r="AA37" i="12"/>
  <c r="DW53" i="12"/>
  <c r="CS50" i="12"/>
  <c r="BX53" i="12"/>
  <c r="BN46" i="12"/>
  <c r="BZ44" i="12"/>
  <c r="BI39" i="12"/>
  <c r="H50" i="12"/>
  <c r="AX38" i="12"/>
  <c r="EW47" i="12"/>
  <c r="P38" i="12"/>
  <c r="EV50" i="12"/>
  <c r="DG46" i="12"/>
  <c r="AT41" i="12"/>
  <c r="AL42" i="12"/>
  <c r="BP36" i="12"/>
  <c r="BQ50" i="12"/>
  <c r="EF46" i="12"/>
  <c r="CZ49" i="12"/>
  <c r="CV39" i="12"/>
  <c r="R36" i="12"/>
  <c r="E35" i="12"/>
  <c r="DK44" i="12"/>
  <c r="FF51" i="12"/>
  <c r="D43" i="12"/>
  <c r="N51" i="12"/>
  <c r="BW43" i="12"/>
  <c r="Q51" i="12"/>
  <c r="AP44" i="12"/>
  <c r="V47" i="12"/>
  <c r="X44" i="12"/>
  <c r="AV45" i="12"/>
  <c r="CL43" i="12"/>
  <c r="EW46" i="12"/>
  <c r="DG51" i="12"/>
  <c r="BR47" i="12"/>
  <c r="BY45" i="12"/>
  <c r="ED35" i="12"/>
  <c r="EJ46" i="12"/>
  <c r="ED43" i="12"/>
  <c r="BW45" i="12"/>
  <c r="EQ50" i="12"/>
  <c r="DG36" i="12"/>
  <c r="AH40" i="12"/>
  <c r="AN39" i="12"/>
  <c r="DC40" i="12"/>
  <c r="BP38" i="12"/>
  <c r="EY49" i="12"/>
  <c r="FE53" i="12"/>
  <c r="Y45" i="12"/>
  <c r="BL43" i="12"/>
  <c r="AG37" i="12"/>
  <c r="FA46" i="12"/>
  <c r="CT46" i="12"/>
  <c r="K35" i="12"/>
  <c r="AV47" i="12"/>
  <c r="FA51" i="12"/>
  <c r="DI46" i="12"/>
  <c r="EH43" i="12"/>
  <c r="D37" i="12"/>
  <c r="ES51" i="12"/>
  <c r="Y50" i="12"/>
  <c r="DP37" i="12"/>
  <c r="BP43" i="12"/>
  <c r="AG44" i="12"/>
  <c r="C45" i="12"/>
  <c r="M44" i="12"/>
  <c r="EJ49" i="12"/>
  <c r="FE45" i="12"/>
  <c r="AU52" i="12"/>
  <c r="L46" i="12"/>
  <c r="DP38" i="12"/>
  <c r="CM45" i="12"/>
  <c r="AT50" i="12"/>
  <c r="BN36" i="12"/>
  <c r="CN47" i="12"/>
  <c r="FC50" i="12"/>
  <c r="AH52" i="12"/>
  <c r="BS45" i="12"/>
  <c r="EN37" i="12"/>
  <c r="U40" i="12"/>
  <c r="EI51" i="12"/>
  <c r="CN45" i="12"/>
  <c r="CO40" i="12"/>
  <c r="DS51" i="12"/>
  <c r="O42" i="12"/>
  <c r="CG44" i="12"/>
  <c r="G51" i="12"/>
  <c r="K50" i="12"/>
  <c r="BA45" i="12"/>
  <c r="AO43" i="12"/>
  <c r="CK50" i="12"/>
  <c r="AL35" i="12"/>
  <c r="E39" i="12"/>
  <c r="AS47" i="12"/>
  <c r="CK43" i="12"/>
  <c r="CA50" i="12"/>
  <c r="BF41" i="12"/>
  <c r="K41" i="12"/>
  <c r="BV35" i="12"/>
  <c r="DU50" i="12"/>
  <c r="DR50" i="12"/>
  <c r="EQ40" i="12"/>
  <c r="BU35" i="12"/>
  <c r="DY35" i="12"/>
  <c r="DR48" i="12"/>
  <c r="AL43" i="12"/>
  <c r="H49" i="12"/>
  <c r="BD51" i="12"/>
  <c r="AC42" i="12"/>
  <c r="AY51" i="12"/>
  <c r="DY43" i="12"/>
  <c r="CE41" i="12"/>
  <c r="BF44" i="12"/>
  <c r="AC36" i="12"/>
  <c r="FF41" i="12"/>
  <c r="FA39" i="12"/>
  <c r="FG40" i="12"/>
  <c r="BH37" i="12"/>
  <c r="CZ36" i="12"/>
  <c r="Y49" i="12"/>
  <c r="EK40" i="12"/>
  <c r="P40" i="12"/>
  <c r="DZ36" i="12"/>
  <c r="AN38" i="12"/>
  <c r="DL47" i="12"/>
  <c r="CV43" i="12"/>
  <c r="CK36" i="12"/>
  <c r="BG46" i="12"/>
  <c r="AD52" i="12"/>
  <c r="CA38" i="12"/>
  <c r="DS45" i="12"/>
  <c r="CZ38" i="12"/>
  <c r="Z52" i="12"/>
  <c r="CY47" i="12"/>
  <c r="EQ51" i="12"/>
  <c r="DT41" i="12"/>
  <c r="CO36" i="12"/>
  <c r="EW45" i="12"/>
  <c r="ES49" i="12"/>
  <c r="CR42" i="12"/>
  <c r="R37" i="12"/>
  <c r="C52" i="12"/>
  <c r="P37" i="12"/>
  <c r="DB48" i="12"/>
  <c r="DE38" i="12"/>
  <c r="W46" i="12"/>
  <c r="AX50" i="12"/>
  <c r="EB35" i="12"/>
  <c r="CC45" i="12"/>
  <c r="DJ35" i="12"/>
  <c r="H44" i="12"/>
  <c r="BD48" i="12"/>
  <c r="J52" i="12"/>
  <c r="BV42" i="12"/>
  <c r="AB49" i="12"/>
  <c r="CD52" i="12"/>
  <c r="FD47" i="12"/>
  <c r="Z47" i="12"/>
  <c r="S42" i="12"/>
  <c r="AG39" i="12"/>
  <c r="H53" i="12"/>
  <c r="BL36" i="12"/>
  <c r="DN51" i="12"/>
  <c r="CT40" i="12"/>
  <c r="AB48" i="12"/>
  <c r="BA52" i="12"/>
  <c r="AA53" i="12"/>
  <c r="EM38" i="12"/>
  <c r="BU41" i="12"/>
  <c r="EG38" i="12"/>
  <c r="CO38" i="12"/>
  <c r="DK49" i="12"/>
  <c r="O40" i="12"/>
  <c r="DO46" i="12"/>
  <c r="D44" i="12"/>
  <c r="CE51" i="12"/>
  <c r="T39" i="12"/>
  <c r="AK40" i="12"/>
  <c r="CH50" i="12"/>
  <c r="DO47" i="12"/>
  <c r="O45" i="12"/>
  <c r="CX35" i="12"/>
  <c r="EN53" i="12"/>
  <c r="DC36" i="12"/>
  <c r="I42" i="12"/>
  <c r="E36" i="12"/>
  <c r="EU50" i="12"/>
  <c r="EI48" i="12"/>
  <c r="D39" i="12"/>
  <c r="BK41" i="12"/>
  <c r="AR46" i="12"/>
  <c r="DE47" i="12"/>
  <c r="BE42" i="12"/>
  <c r="BF42" i="12"/>
  <c r="EI35" i="12"/>
  <c r="DG38" i="12"/>
  <c r="U48" i="12"/>
  <c r="CM39" i="12"/>
  <c r="ER50" i="12"/>
  <c r="EZ50" i="12"/>
  <c r="AK49" i="12"/>
  <c r="ET39" i="12"/>
  <c r="AU40" i="12"/>
  <c r="K49" i="12"/>
  <c r="DF41" i="12"/>
  <c r="M47" i="12"/>
  <c r="DE49" i="12"/>
  <c r="CM36" i="12"/>
  <c r="EY36" i="12"/>
  <c r="CG50" i="12"/>
  <c r="EK44" i="12"/>
  <c r="BI52" i="12"/>
  <c r="CB48" i="12"/>
  <c r="AT52" i="12"/>
  <c r="FD45" i="12"/>
  <c r="BT53" i="12"/>
  <c r="DT35" i="12"/>
  <c r="DY38" i="12"/>
  <c r="AQ39" i="12"/>
  <c r="DA53" i="12"/>
  <c r="CI41" i="12"/>
  <c r="EM41" i="12"/>
  <c r="CA36" i="12"/>
  <c r="DK43" i="12"/>
  <c r="EB42" i="12"/>
  <c r="AN43" i="12"/>
  <c r="K36" i="12"/>
  <c r="EV43" i="12"/>
  <c r="BN41" i="12"/>
  <c r="AQ38" i="12"/>
  <c r="BC41" i="12"/>
  <c r="CN39" i="12"/>
  <c r="CM49" i="12"/>
  <c r="BI41" i="12"/>
  <c r="BO37" i="12"/>
  <c r="AB39" i="12"/>
  <c r="AW52" i="12"/>
  <c r="AF41" i="12"/>
  <c r="DQ49" i="12"/>
  <c r="FB53" i="12"/>
  <c r="DT52" i="12"/>
  <c r="R46" i="12"/>
  <c r="CL46" i="12"/>
  <c r="BJ48" i="12"/>
  <c r="DW46" i="12"/>
  <c r="Z51" i="12"/>
  <c r="Y42" i="12"/>
  <c r="EF49" i="12"/>
  <c r="R40" i="12"/>
  <c r="DJ40" i="12"/>
  <c r="EF45" i="12"/>
  <c r="BX47" i="12"/>
  <c r="BD45" i="12"/>
  <c r="DD35" i="12"/>
  <c r="DF52" i="12"/>
  <c r="DZ38" i="12"/>
  <c r="DI43" i="12"/>
  <c r="BB36" i="12"/>
  <c r="EO46" i="12"/>
  <c r="EQ43" i="12"/>
  <c r="DW38" i="12"/>
  <c r="AF44" i="12"/>
  <c r="AY49" i="12"/>
  <c r="DX42" i="12"/>
  <c r="CI45" i="12"/>
  <c r="DE39" i="12"/>
  <c r="DX40" i="12"/>
  <c r="BJ35" i="12"/>
  <c r="DX48" i="12"/>
  <c r="H42" i="12"/>
  <c r="DB52" i="12"/>
  <c r="X40" i="12"/>
  <c r="DZ44" i="12"/>
  <c r="M50" i="12"/>
  <c r="EE53" i="12"/>
  <c r="CU43" i="12"/>
  <c r="CK45" i="12"/>
  <c r="S40" i="12"/>
  <c r="CD43" i="12"/>
  <c r="DN41" i="12"/>
  <c r="BM43" i="12"/>
  <c r="BM51" i="12"/>
  <c r="M53" i="12"/>
  <c r="AC38" i="12"/>
  <c r="AW37" i="12"/>
  <c r="AY40" i="12"/>
  <c r="I52" i="12"/>
  <c r="EK48" i="12"/>
  <c r="BV41" i="12"/>
  <c r="CR39" i="12"/>
  <c r="EZ47" i="12"/>
  <c r="L39" i="12"/>
  <c r="C51" i="12"/>
  <c r="AW46" i="12"/>
  <c r="DA45" i="12"/>
  <c r="EI39" i="12"/>
  <c r="ES35" i="12"/>
  <c r="T36" i="12"/>
  <c r="DW40" i="12"/>
  <c r="CE50" i="12"/>
  <c r="AZ50" i="12"/>
  <c r="DZ50" i="12"/>
  <c r="CH44" i="12"/>
  <c r="CS39" i="12"/>
  <c r="CL48" i="12"/>
  <c r="BW52" i="12"/>
  <c r="AZ45" i="12"/>
  <c r="EX36" i="12"/>
  <c r="DA40" i="12"/>
  <c r="AT36" i="12"/>
  <c r="AU35" i="12"/>
  <c r="EK43" i="12"/>
  <c r="E49" i="12"/>
  <c r="ER39" i="12"/>
  <c r="BJ37" i="12"/>
  <c r="DK46" i="12"/>
  <c r="BS53" i="12"/>
  <c r="EO49" i="12"/>
  <c r="AH50" i="12"/>
  <c r="EB49" i="12"/>
  <c r="FC36" i="12"/>
  <c r="O46" i="12"/>
  <c r="BU48" i="12"/>
  <c r="G37" i="12"/>
  <c r="CN41" i="12"/>
  <c r="AJ36" i="12"/>
  <c r="AU43" i="12"/>
  <c r="CL36" i="12"/>
  <c r="DV46" i="12"/>
  <c r="DD37" i="12"/>
  <c r="CL41" i="12"/>
  <c r="CL49" i="12"/>
  <c r="U47" i="12"/>
  <c r="BD46" i="12"/>
  <c r="CP52" i="12"/>
  <c r="N44" i="12"/>
  <c r="CW35" i="12"/>
  <c r="DD42" i="12"/>
  <c r="CO44" i="12"/>
  <c r="EU44" i="12"/>
  <c r="P36" i="12"/>
  <c r="DL51" i="12"/>
  <c r="CC41" i="12"/>
  <c r="Z45" i="12"/>
  <c r="Y39" i="12"/>
  <c r="BR46" i="12"/>
  <c r="BC40" i="12"/>
  <c r="BF43" i="12"/>
  <c r="AA51" i="12"/>
  <c r="EX37" i="12"/>
  <c r="CT49" i="12"/>
  <c r="ES36" i="12"/>
  <c r="ER37" i="12"/>
  <c r="EG44" i="12"/>
  <c r="DO38" i="12"/>
  <c r="AI50" i="12"/>
  <c r="DJ53" i="12"/>
  <c r="EN52" i="12"/>
  <c r="DV36" i="12"/>
  <c r="EI36" i="12"/>
  <c r="CY48" i="12"/>
  <c r="E42" i="12"/>
  <c r="BV48" i="12"/>
  <c r="AZ52" i="12"/>
  <c r="EK51" i="12"/>
  <c r="CI40" i="12"/>
  <c r="BO51" i="12"/>
  <c r="I46" i="12"/>
  <c r="BZ45" i="12"/>
  <c r="BA53" i="12"/>
  <c r="BL37" i="12"/>
  <c r="AJ35" i="12"/>
  <c r="EO35" i="12"/>
  <c r="O49" i="12"/>
  <c r="DV35" i="12"/>
  <c r="EL44" i="12"/>
  <c r="EE37" i="12"/>
  <c r="BR38" i="12"/>
  <c r="CY49" i="12"/>
  <c r="EH38" i="12"/>
  <c r="EU42" i="12"/>
  <c r="CY50" i="12"/>
  <c r="AM42" i="12"/>
  <c r="CL47" i="12"/>
  <c r="BP37" i="12"/>
  <c r="CS35" i="12"/>
  <c r="CZ43" i="12"/>
  <c r="AQ46" i="12"/>
  <c r="DU48" i="12"/>
  <c r="W35" i="12"/>
  <c r="V43" i="12"/>
  <c r="EG47" i="12"/>
  <c r="CH48" i="12"/>
  <c r="EM36" i="12"/>
  <c r="BK48" i="12"/>
  <c r="DM52" i="12"/>
  <c r="EG40" i="12"/>
  <c r="AF39" i="12"/>
  <c r="AY46" i="12"/>
  <c r="BM40" i="12"/>
  <c r="EY39" i="12"/>
  <c r="CH53" i="12"/>
  <c r="F49" i="12"/>
  <c r="AC40" i="12"/>
  <c r="FC52" i="12"/>
  <c r="EK53" i="12"/>
  <c r="EP38" i="12"/>
  <c r="CR35" i="12"/>
  <c r="G46" i="12"/>
  <c r="EE52" i="12"/>
  <c r="AQ42" i="12"/>
  <c r="FF35" i="12"/>
  <c r="F47" i="12"/>
  <c r="CA45" i="12"/>
  <c r="AD47" i="12"/>
  <c r="CK46" i="12"/>
  <c r="CK49" i="12"/>
  <c r="N35" i="12"/>
  <c r="EP42" i="12"/>
  <c r="ET48" i="12"/>
  <c r="T46" i="12"/>
  <c r="DM53" i="12"/>
  <c r="W39" i="12"/>
  <c r="AC52" i="12"/>
  <c r="CQ35" i="12"/>
  <c r="D47" i="12"/>
  <c r="EN40" i="12"/>
  <c r="EE35" i="12"/>
  <c r="F37" i="12"/>
  <c r="DB41" i="12"/>
  <c r="BQ51" i="12"/>
  <c r="AI38" i="12"/>
  <c r="BU39" i="12"/>
  <c r="L44" i="12"/>
  <c r="I39" i="12"/>
  <c r="L38" i="12"/>
  <c r="CL40" i="12"/>
  <c r="DS53" i="12"/>
  <c r="EO41" i="12"/>
  <c r="EM52" i="12"/>
  <c r="DZ37" i="12"/>
  <c r="BM38" i="12"/>
  <c r="AE48" i="12"/>
  <c r="DB46" i="12"/>
  <c r="CH47" i="12"/>
  <c r="DC41" i="12"/>
  <c r="CP42" i="12"/>
  <c r="BJ46" i="12"/>
  <c r="AZ44" i="12"/>
  <c r="BX42" i="12"/>
  <c r="AM49" i="12"/>
  <c r="DF40" i="12"/>
  <c r="DF44" i="12"/>
  <c r="AL36" i="12"/>
  <c r="EB43" i="12"/>
  <c r="EU47" i="12"/>
  <c r="DE42" i="12"/>
  <c r="DU47" i="12"/>
  <c r="FE41" i="12"/>
  <c r="BA40" i="12"/>
  <c r="DK52" i="12"/>
  <c r="J37" i="12"/>
  <c r="CE52" i="12"/>
  <c r="BU50" i="12"/>
  <c r="BS52" i="12"/>
  <c r="DO48" i="12"/>
  <c r="V53" i="12"/>
  <c r="DW50" i="12"/>
  <c r="CO47" i="12"/>
  <c r="Z49" i="12"/>
  <c r="DT37" i="12"/>
  <c r="FB36" i="12"/>
  <c r="CE40" i="12"/>
  <c r="EI50" i="12"/>
  <c r="CS51" i="12"/>
  <c r="FD50" i="12"/>
  <c r="BZ35" i="12"/>
  <c r="DT42" i="12"/>
  <c r="EN35" i="12"/>
  <c r="AK35" i="12"/>
  <c r="DD40" i="12"/>
  <c r="DM49" i="12"/>
  <c r="BU44" i="12"/>
  <c r="EV47" i="12"/>
  <c r="FG38" i="12"/>
  <c r="AD39" i="12"/>
  <c r="CB44" i="12"/>
  <c r="DR40" i="12"/>
  <c r="AM37" i="12"/>
  <c r="BW39" i="12"/>
  <c r="CE39" i="12"/>
  <c r="BL44" i="12"/>
  <c r="AW38" i="12"/>
  <c r="P50" i="12"/>
  <c r="Z46" i="12"/>
  <c r="BB41" i="12"/>
  <c r="AW50" i="12"/>
  <c r="DX44" i="12"/>
  <c r="BE50" i="12"/>
  <c r="BI50" i="12"/>
  <c r="ED47" i="12"/>
  <c r="DO43" i="12"/>
  <c r="BF47" i="12"/>
  <c r="BG42" i="12"/>
  <c r="N38" i="12"/>
  <c r="CF52" i="12"/>
  <c r="EG43" i="12"/>
  <c r="AW43" i="12"/>
  <c r="AL38" i="12"/>
  <c r="AP35" i="12"/>
  <c r="S45" i="12"/>
  <c r="CB40" i="12"/>
  <c r="BV40" i="12"/>
  <c r="CQ40" i="12"/>
  <c r="AF42" i="12"/>
  <c r="DD50" i="12"/>
  <c r="BO39" i="12"/>
  <c r="EG41" i="12"/>
  <c r="CI51" i="12"/>
  <c r="P42" i="12"/>
  <c r="EU52" i="12"/>
  <c r="EE48" i="12"/>
  <c r="DI49" i="12"/>
  <c r="AT49" i="12"/>
  <c r="BV46" i="12"/>
  <c r="Q47" i="12"/>
  <c r="T52" i="12"/>
  <c r="C35" i="12"/>
  <c r="CM46" i="12"/>
  <c r="DH46" i="12"/>
  <c r="FB46" i="12"/>
  <c r="CA47" i="12"/>
  <c r="DJ46" i="12"/>
  <c r="EQ47" i="12"/>
  <c r="DK45" i="12"/>
  <c r="BZ36" i="12"/>
  <c r="CF45" i="12"/>
  <c r="DJ44" i="12"/>
  <c r="CK39" i="12"/>
  <c r="CP43" i="12"/>
  <c r="DW45" i="12"/>
  <c r="DG48" i="12"/>
  <c r="EI46" i="12"/>
  <c r="AA36" i="12"/>
  <c r="AL44" i="12"/>
  <c r="BA37" i="12"/>
  <c r="EN39" i="12"/>
  <c r="AU51" i="12"/>
  <c r="H39" i="12"/>
  <c r="FG39" i="12"/>
  <c r="P11" i="8"/>
  <c r="BI49" i="12"/>
  <c r="FA48" i="12"/>
  <c r="G36" i="12"/>
  <c r="L40" i="12"/>
  <c r="CM40" i="12"/>
  <c r="AD37" i="12"/>
  <c r="CZ44" i="12"/>
  <c r="CY53" i="12"/>
  <c r="AN46" i="12"/>
  <c r="S39" i="12"/>
  <c r="EX51" i="12"/>
  <c r="BF46" i="12"/>
  <c r="ER46" i="12"/>
  <c r="AV42" i="12"/>
  <c r="BE39" i="12"/>
  <c r="CG52" i="12"/>
  <c r="BW36" i="12"/>
  <c r="AR40" i="12"/>
  <c r="DH39" i="12"/>
  <c r="CX53" i="12"/>
  <c r="AE47" i="12"/>
  <c r="AW40" i="12"/>
  <c r="BO47" i="12"/>
  <c r="CX36" i="12"/>
  <c r="BJ45" i="12"/>
  <c r="BO38" i="12"/>
  <c r="EG45" i="12"/>
  <c r="CQ48" i="12"/>
  <c r="AR53" i="12"/>
  <c r="AV41" i="12"/>
  <c r="EJ45" i="12"/>
  <c r="D35" i="12"/>
  <c r="AC53" i="12"/>
  <c r="BM50" i="12"/>
  <c r="DZ40" i="12"/>
  <c r="FF44" i="12"/>
  <c r="O36" i="12"/>
  <c r="CU40" i="12"/>
  <c r="AN48" i="12"/>
  <c r="AA47" i="12"/>
  <c r="CA37" i="12"/>
  <c r="D45" i="12"/>
  <c r="BN42" i="12"/>
  <c r="DP39" i="12"/>
  <c r="DH50" i="12"/>
  <c r="BO46" i="12"/>
  <c r="M42" i="12"/>
  <c r="K47" i="12"/>
  <c r="AI37" i="12"/>
  <c r="FF46" i="12"/>
  <c r="BG37" i="12"/>
  <c r="BI47" i="12"/>
  <c r="BJ36" i="12"/>
  <c r="AD40" i="12"/>
  <c r="DL40" i="12"/>
  <c r="ES37" i="12"/>
  <c r="BC52" i="12"/>
  <c r="H46" i="12"/>
  <c r="EZ45" i="12"/>
  <c r="DY52" i="12"/>
  <c r="T49" i="12"/>
  <c r="DT38" i="12"/>
  <c r="EW41" i="12"/>
  <c r="CS38" i="12"/>
  <c r="EP50" i="12"/>
  <c r="AB47" i="12"/>
  <c r="DK51" i="12"/>
  <c r="DZ41" i="12"/>
  <c r="CB45" i="12"/>
  <c r="CX43" i="12"/>
  <c r="AA45" i="12"/>
  <c r="DJ43" i="12"/>
  <c r="AH39" i="12"/>
  <c r="CP38" i="12"/>
  <c r="EZ38" i="12"/>
  <c r="BR45" i="12"/>
  <c r="Q52" i="12"/>
  <c r="DM47" i="12"/>
  <c r="EY52" i="12"/>
  <c r="CT50" i="12"/>
  <c r="EK37" i="12"/>
  <c r="AT44" i="12"/>
  <c r="CF40" i="12"/>
  <c r="AG48" i="12"/>
  <c r="CY43" i="12"/>
  <c r="C39" i="12"/>
  <c r="AT48" i="12"/>
  <c r="AK44" i="12"/>
  <c r="CX45" i="12"/>
  <c r="EK42" i="12"/>
  <c r="I45" i="12"/>
  <c r="BX49" i="12"/>
  <c r="BV47" i="12"/>
  <c r="EF53" i="12"/>
  <c r="BD38" i="12"/>
  <c r="BQ39" i="12"/>
  <c r="BE40" i="12"/>
  <c r="BI46" i="12"/>
  <c r="F53" i="12"/>
  <c r="EP47" i="12"/>
  <c r="DS36" i="12"/>
  <c r="O38" i="12"/>
  <c r="EW44" i="12"/>
  <c r="DW47" i="12"/>
  <c r="U36" i="12"/>
  <c r="DQ45" i="12"/>
  <c r="BA41" i="12"/>
  <c r="FA42" i="12"/>
  <c r="CQ52" i="12"/>
  <c r="J53" i="12"/>
  <c r="BJ52" i="12"/>
  <c r="DS49" i="12"/>
  <c r="CZ50" i="12"/>
  <c r="EO44" i="12"/>
  <c r="S41" i="12"/>
  <c r="K48" i="12"/>
  <c r="DZ39" i="12"/>
  <c r="ET46" i="12"/>
  <c r="EY45" i="12"/>
  <c r="T44" i="12"/>
  <c r="CX41" i="12"/>
  <c r="V37" i="12"/>
  <c r="DQ41" i="12"/>
  <c r="J51" i="12"/>
  <c r="AU49" i="12"/>
  <c r="BV37" i="12"/>
  <c r="CD51" i="12"/>
  <c r="FA49" i="12"/>
  <c r="AZ49" i="12"/>
  <c r="FE48" i="12"/>
  <c r="EP44" i="12"/>
  <c r="ER38" i="12"/>
  <c r="Y51" i="12"/>
  <c r="DX50" i="12"/>
  <c r="DF50" i="12"/>
  <c r="U35" i="12"/>
  <c r="BX52" i="12"/>
  <c r="DO36" i="12"/>
  <c r="AB45" i="12"/>
  <c r="AV49" i="12"/>
  <c r="DG35" i="12"/>
  <c r="BH38" i="12"/>
  <c r="CA41" i="12"/>
  <c r="EC36" i="12"/>
  <c r="AO48" i="12"/>
  <c r="AW47" i="12"/>
  <c r="EQ52" i="12"/>
  <c r="BC44" i="12"/>
  <c r="AX36" i="12"/>
  <c r="DO49" i="12"/>
  <c r="EJ52" i="12"/>
  <c r="DL48" i="12"/>
  <c r="BN39" i="12"/>
  <c r="EH42" i="12"/>
  <c r="AT47" i="12"/>
  <c r="ES46" i="12"/>
  <c r="BO41" i="12"/>
  <c r="DB36" i="12"/>
  <c r="DZ48" i="12"/>
  <c r="BN52" i="12"/>
  <c r="M49" i="12"/>
  <c r="EL42" i="12"/>
  <c r="EH44" i="12"/>
  <c r="CV35" i="12"/>
  <c r="FF45" i="12"/>
  <c r="DM41" i="12"/>
  <c r="CU47" i="12"/>
  <c r="BI43" i="12"/>
  <c r="ET44" i="12"/>
  <c r="AF37" i="12"/>
  <c r="N47" i="12"/>
  <c r="Y52" i="12"/>
  <c r="J49" i="12"/>
  <c r="EB46" i="12"/>
  <c r="FG42" i="12"/>
  <c r="ES42" i="12"/>
  <c r="ES45" i="12"/>
  <c r="FC42" i="12"/>
  <c r="AF35" i="12"/>
  <c r="DA49" i="12"/>
  <c r="CU49" i="12"/>
  <c r="DS38" i="12"/>
  <c r="BK38" i="12"/>
  <c r="AQ48" i="12"/>
  <c r="BT50" i="12"/>
  <c r="FD41" i="12"/>
  <c r="AN37" i="12"/>
  <c r="AE45" i="12"/>
  <c r="EJ50" i="12"/>
  <c r="CR51" i="12"/>
  <c r="EZ41" i="12"/>
  <c r="EK50" i="12"/>
  <c r="CM52" i="12"/>
  <c r="BI44" i="12"/>
  <c r="DZ43" i="12"/>
  <c r="DM37" i="12"/>
  <c r="L51" i="12"/>
  <c r="CM35" i="12"/>
  <c r="Y40" i="12"/>
  <c r="AN45" i="12"/>
  <c r="O52" i="12"/>
  <c r="BK40" i="12"/>
  <c r="AU47" i="12"/>
  <c r="DR41" i="12"/>
  <c r="DC48" i="12"/>
  <c r="AL49" i="12"/>
  <c r="AQ41" i="12"/>
  <c r="DX52" i="12"/>
  <c r="EE39" i="12"/>
  <c r="BB45" i="12"/>
  <c r="DT48" i="12"/>
  <c r="EN36" i="12"/>
  <c r="DI51" i="12"/>
  <c r="AH44" i="12"/>
  <c r="AR36" i="12"/>
  <c r="D48" i="12"/>
  <c r="CU50" i="12"/>
  <c r="AW45" i="12"/>
  <c r="AG45" i="12"/>
  <c r="P41" i="12"/>
  <c r="W51" i="12"/>
  <c r="H40" i="12"/>
  <c r="DD45" i="12"/>
  <c r="Y41" i="12"/>
  <c r="CM47" i="12"/>
  <c r="AA49" i="12"/>
  <c r="CO37" i="12"/>
  <c r="CW47" i="12"/>
  <c r="CI46" i="12"/>
  <c r="DC44" i="12"/>
  <c r="EP46" i="12"/>
  <c r="BQ37" i="12"/>
  <c r="AJ37" i="12"/>
  <c r="CC36" i="12"/>
  <c r="BQ41" i="12"/>
  <c r="AE42" i="12"/>
  <c r="CV53" i="12"/>
  <c r="E48" i="12"/>
  <c r="CR52" i="12"/>
  <c r="DD53" i="12"/>
  <c r="DO40" i="12"/>
  <c r="AU48" i="12"/>
  <c r="C41" i="12"/>
  <c r="CM43" i="12"/>
  <c r="C49" i="12"/>
  <c r="AA48" i="12"/>
  <c r="BI45" i="12"/>
  <c r="CP37" i="12"/>
  <c r="BO52" i="12"/>
  <c r="DU46" i="12"/>
  <c r="U38" i="12"/>
  <c r="BZ50" i="12"/>
  <c r="EY46" i="12"/>
  <c r="FA41" i="12"/>
  <c r="BH41" i="12"/>
  <c r="DO37" i="12"/>
  <c r="AC39" i="12"/>
  <c r="BF49" i="12"/>
  <c r="DY46" i="12"/>
  <c r="AB43" i="12"/>
  <c r="BU52" i="12"/>
  <c r="DI50" i="12"/>
  <c r="CG46" i="12"/>
  <c r="BE52" i="12"/>
  <c r="DV53" i="12"/>
  <c r="X43" i="12"/>
  <c r="Z36" i="12"/>
  <c r="EL37" i="12"/>
  <c r="EQ35" i="12"/>
  <c r="EJ53" i="12"/>
  <c r="CD42" i="12"/>
  <c r="EG42" i="12"/>
  <c r="BG38" i="12"/>
  <c r="S35" i="12"/>
  <c r="EK41" i="12"/>
  <c r="CV45" i="12"/>
  <c r="BN35" i="12"/>
  <c r="EM51" i="12"/>
  <c r="CV49" i="12"/>
  <c r="FC46" i="12"/>
  <c r="DX38" i="12"/>
  <c r="DQ52" i="12"/>
  <c r="BJ44" i="12"/>
  <c r="BL39" i="12"/>
  <c r="BL51" i="12"/>
  <c r="AE51" i="12"/>
  <c r="FE44" i="12"/>
  <c r="AX45" i="12"/>
  <c r="DQ46" i="12"/>
  <c r="DN46" i="12"/>
  <c r="EU51" i="12"/>
  <c r="BJ42" i="12"/>
  <c r="DH45" i="12"/>
  <c r="AO49" i="12"/>
  <c r="CT43" i="12"/>
  <c r="W44" i="12"/>
  <c r="AS36" i="12"/>
  <c r="EL53" i="12"/>
  <c r="BS41" i="12"/>
  <c r="R47" i="12"/>
  <c r="AY53" i="12"/>
  <c r="T45" i="12"/>
  <c r="DD39" i="12"/>
  <c r="ED38" i="12"/>
  <c r="V51" i="12"/>
  <c r="CS41" i="12"/>
  <c r="EN47" i="12"/>
  <c r="AH45" i="12"/>
  <c r="EB50" i="12"/>
  <c r="DJ38" i="12"/>
  <c r="AC41" i="12"/>
  <c r="BJ43" i="12"/>
  <c r="EQ53" i="12"/>
  <c r="AY41" i="12"/>
  <c r="J44" i="12"/>
  <c r="EW49" i="12"/>
  <c r="CY42" i="12"/>
  <c r="EN51" i="12"/>
  <c r="BJ39" i="12"/>
  <c r="V40" i="12"/>
  <c r="L45" i="12"/>
  <c r="AX48" i="12"/>
  <c r="CJ45" i="12"/>
  <c r="EP39" i="12"/>
  <c r="EB45" i="12"/>
  <c r="AT43" i="12"/>
  <c r="BH42" i="12"/>
  <c r="CD49" i="12"/>
  <c r="EI37" i="12"/>
  <c r="DD52" i="12"/>
  <c r="CM41" i="12"/>
  <c r="CX39" i="12"/>
  <c r="CP51" i="12"/>
  <c r="X47" i="12"/>
  <c r="DJ48" i="12"/>
  <c r="AN44" i="12"/>
  <c r="FF50" i="12"/>
  <c r="EH50" i="12"/>
  <c r="BZ49" i="12"/>
  <c r="DP47" i="12"/>
  <c r="ED51" i="12"/>
  <c r="ER49" i="12"/>
  <c r="FC41" i="12"/>
  <c r="BR39" i="12"/>
  <c r="AO53" i="12"/>
  <c r="CB36" i="12"/>
  <c r="G48" i="12"/>
  <c r="CV50" i="12"/>
  <c r="O44" i="12"/>
  <c r="FA44" i="12"/>
  <c r="EF52" i="12"/>
  <c r="EX50" i="12"/>
  <c r="CB43" i="12"/>
  <c r="AH38" i="12"/>
  <c r="EG52" i="12"/>
  <c r="CL38" i="12"/>
  <c r="EO37" i="12"/>
  <c r="EL38" i="12"/>
  <c r="CY39" i="12"/>
  <c r="BP45" i="12"/>
  <c r="BW41" i="12"/>
  <c r="CM53" i="12"/>
  <c r="EV51" i="12"/>
  <c r="L48" i="12"/>
  <c r="AC45" i="12"/>
  <c r="EK47" i="12"/>
  <c r="ER41" i="12"/>
  <c r="EB40" i="12"/>
  <c r="CB46" i="12"/>
  <c r="DC39" i="12"/>
  <c r="S37" i="12"/>
  <c r="DV38" i="12"/>
  <c r="DH44" i="12"/>
  <c r="AK46" i="12"/>
  <c r="EM40" i="12"/>
  <c r="DW37" i="12"/>
  <c r="BZ41" i="12"/>
  <c r="EG35" i="12"/>
  <c r="FD49" i="12"/>
  <c r="BG49" i="12"/>
  <c r="J38" i="12"/>
  <c r="EG49" i="12"/>
  <c r="AU37" i="12"/>
  <c r="EL36" i="12"/>
  <c r="DS47" i="12"/>
  <c r="AI42" i="12"/>
  <c r="BW50" i="12"/>
  <c r="DG52" i="12"/>
  <c r="DI48" i="12"/>
  <c r="CT47" i="12"/>
  <c r="EG48" i="12"/>
  <c r="BT43" i="12"/>
  <c r="X50" i="12"/>
  <c r="CQ50" i="12"/>
  <c r="BM49" i="12"/>
  <c r="DR39" i="12"/>
  <c r="BR41" i="12"/>
  <c r="DA36" i="12"/>
  <c r="CJ40" i="12"/>
  <c r="DP52" i="12"/>
  <c r="AT37" i="12"/>
  <c r="DB51" i="12"/>
  <c r="BP46" i="12"/>
  <c r="BC50" i="12"/>
  <c r="BZ47" i="12"/>
  <c r="DN35" i="12"/>
  <c r="DL36" i="12"/>
  <c r="BV39" i="12"/>
  <c r="Z50" i="12"/>
  <c r="DV52" i="12"/>
  <c r="CP41" i="12"/>
  <c r="ED41" i="12"/>
  <c r="BJ53" i="12"/>
  <c r="EO38" i="12"/>
  <c r="CX44" i="12"/>
  <c r="CO49" i="12"/>
  <c r="P39" i="12"/>
  <c r="CP46" i="12"/>
  <c r="DW43" i="12"/>
  <c r="AP38" i="12"/>
  <c r="AE40" i="12"/>
  <c r="EI44" i="12"/>
  <c r="DR46" i="12"/>
  <c r="EX41" i="12"/>
  <c r="FE37" i="12"/>
  <c r="T37" i="12"/>
  <c r="AA38" i="12"/>
  <c r="CB35" i="12"/>
  <c r="DA52" i="12"/>
  <c r="BV44" i="12"/>
  <c r="AA44" i="12"/>
  <c r="S51" i="12"/>
  <c r="T41" i="12"/>
  <c r="FF43" i="12"/>
  <c r="DH40" i="12"/>
  <c r="AR52" i="12"/>
  <c r="EJ36" i="12"/>
  <c r="X45" i="12"/>
  <c r="FF49" i="12"/>
  <c r="CN46" i="12"/>
  <c r="EW39" i="12"/>
  <c r="X53" i="12"/>
  <c r="BN47" i="12"/>
  <c r="DX49" i="12"/>
  <c r="ER53" i="12"/>
  <c r="CX38" i="12"/>
  <c r="EJ35" i="12"/>
  <c r="CX47" i="12"/>
  <c r="CJ53" i="12"/>
  <c r="Q42" i="12"/>
  <c r="W42" i="12"/>
  <c r="BY53" i="12"/>
  <c r="AG46" i="12"/>
  <c r="BR43" i="12"/>
  <c r="BT45" i="12"/>
  <c r="AI53" i="12"/>
  <c r="AZ41" i="12"/>
  <c r="DY51" i="12"/>
  <c r="CP47" i="12"/>
  <c r="DM44" i="12"/>
  <c r="CD47" i="12"/>
  <c r="M36" i="12"/>
  <c r="FB43" i="12"/>
  <c r="AH35" i="12"/>
  <c r="DD47" i="12"/>
  <c r="DD49" i="12"/>
  <c r="EH49" i="12"/>
  <c r="BW35" i="12"/>
  <c r="CK40" i="12"/>
  <c r="CA53" i="12"/>
  <c r="ET37" i="12"/>
  <c r="CE47" i="12"/>
  <c r="DG53" i="12"/>
  <c r="F52" i="12"/>
  <c r="CA39" i="12"/>
  <c r="BH45" i="12"/>
  <c r="CO50" i="12"/>
  <c r="BK50" i="12"/>
  <c r="BT52" i="12"/>
  <c r="EI40" i="12"/>
  <c r="U52" i="12"/>
  <c r="CW43" i="12"/>
  <c r="CE49" i="12"/>
  <c r="CO35" i="12"/>
  <c r="M38" i="12"/>
  <c r="DA41" i="12"/>
  <c r="DK40" i="12"/>
  <c r="DO50" i="12"/>
  <c r="V38" i="12"/>
  <c r="T53" i="12"/>
  <c r="ED42" i="12"/>
  <c r="BC35" i="12"/>
  <c r="AJ48" i="12"/>
  <c r="I41" i="12"/>
  <c r="EC53" i="12"/>
  <c r="BZ43" i="12"/>
  <c r="DJ47" i="12"/>
  <c r="EK35" i="12"/>
  <c r="BJ50" i="12"/>
  <c r="Z43" i="12"/>
  <c r="DA50" i="12"/>
  <c r="CF44" i="12"/>
  <c r="R50" i="12"/>
  <c r="AT46" i="12"/>
  <c r="DJ41" i="12"/>
  <c r="BA48" i="12"/>
  <c r="DL41" i="12"/>
  <c r="J41" i="12"/>
  <c r="BH52" i="12"/>
  <c r="BC46" i="12"/>
  <c r="Q50" i="12"/>
  <c r="D49" i="12"/>
  <c r="CA43" i="12"/>
  <c r="BT46" i="12"/>
  <c r="EJ37" i="12"/>
  <c r="DD36" i="12"/>
  <c r="ER48" i="12"/>
  <c r="DF45" i="12"/>
  <c r="BQ35" i="12"/>
  <c r="DJ42" i="12"/>
  <c r="AE53" i="12"/>
  <c r="AP37" i="12"/>
  <c r="DC49" i="12"/>
  <c r="BE49" i="12"/>
  <c r="DJ50" i="12"/>
  <c r="AC37" i="12"/>
  <c r="CZ40" i="12"/>
  <c r="R42" i="12"/>
  <c r="AP50" i="12"/>
  <c r="CN36" i="12"/>
  <c r="EC46" i="12"/>
  <c r="DX43" i="12"/>
  <c r="Z35" i="12"/>
  <c r="BR37" i="12"/>
  <c r="FA45" i="12"/>
  <c r="BA39" i="12"/>
  <c r="ER52" i="12"/>
  <c r="DM36" i="12"/>
  <c r="AQ49" i="12"/>
  <c r="AM51" i="12"/>
  <c r="CD35" i="12"/>
  <c r="J47" i="12"/>
  <c r="D38" i="12"/>
  <c r="DV39" i="12"/>
  <c r="AP45" i="12"/>
  <c r="CI38" i="12"/>
  <c r="EC44" i="12"/>
  <c r="AZ51" i="12"/>
  <c r="CS44" i="12"/>
  <c r="ET36" i="12"/>
  <c r="DI39" i="12"/>
  <c r="CL44" i="12"/>
  <c r="AE52" i="12"/>
  <c r="AL53" i="12"/>
  <c r="BV49" i="12"/>
  <c r="CT37" i="12"/>
  <c r="CY35" i="12"/>
  <c r="CK35" i="12"/>
  <c r="CB52" i="12"/>
  <c r="K52" i="12"/>
  <c r="FD39" i="12"/>
  <c r="CL39" i="12"/>
  <c r="FG35" i="12"/>
  <c r="ER40" i="12"/>
  <c r="CA46" i="12"/>
  <c r="AW41" i="12"/>
  <c r="BL52" i="12"/>
  <c r="CW40" i="12"/>
  <c r="EL52" i="12"/>
  <c r="DG49" i="12"/>
  <c r="EH53" i="12"/>
  <c r="DP43" i="12"/>
  <c r="DM43" i="12"/>
  <c r="V41" i="12"/>
  <c r="CL35" i="12"/>
  <c r="V36" i="12"/>
  <c r="EC40" i="12"/>
  <c r="BZ46" i="12"/>
  <c r="FA35" i="12"/>
  <c r="AE49" i="12"/>
  <c r="T43" i="12"/>
  <c r="EP35" i="12"/>
  <c r="AR48" i="12"/>
  <c r="AM45" i="12"/>
  <c r="DV42" i="12"/>
  <c r="Q38" i="12"/>
  <c r="AA39" i="12"/>
  <c r="EP53" i="12"/>
  <c r="EM47" i="12"/>
  <c r="FD36" i="12"/>
  <c r="EE51" i="12"/>
  <c r="CN51" i="12"/>
  <c r="AP48" i="12"/>
  <c r="Z41" i="12"/>
  <c r="BO50" i="12"/>
  <c r="DR47" i="12"/>
  <c r="EB53" i="12"/>
  <c r="AY35" i="12"/>
  <c r="BE37" i="12"/>
  <c r="BX37" i="12"/>
  <c r="FB41" i="12"/>
  <c r="Y36" i="12"/>
  <c r="K44" i="12"/>
  <c r="CS49" i="12"/>
  <c r="Z37" i="12"/>
  <c r="CL45" i="12"/>
  <c r="CX46" i="12"/>
  <c r="DC52" i="12"/>
  <c r="Z53" i="12"/>
  <c r="DW41" i="12"/>
  <c r="EQ46" i="12"/>
  <c r="BP42" i="12"/>
  <c r="CI49" i="12"/>
  <c r="CZ47" i="12"/>
  <c r="EY43" i="12"/>
  <c r="H43" i="12"/>
  <c r="DY42" i="12"/>
  <c r="FE42" i="12"/>
  <c r="EZ52" i="12"/>
  <c r="CU42" i="12"/>
  <c r="EU48" i="12"/>
  <c r="DT46" i="12"/>
  <c r="CV51" i="12"/>
  <c r="CT44" i="12"/>
  <c r="DY45" i="12"/>
  <c r="EK46" i="12"/>
  <c r="AI46" i="12"/>
  <c r="DI37" i="12"/>
  <c r="BX40" i="12"/>
  <c r="BM52" i="12"/>
  <c r="AD45" i="12"/>
  <c r="EY50" i="12"/>
  <c r="CN52" i="12"/>
  <c r="EM49" i="12"/>
  <c r="DF48" i="12"/>
  <c r="BU46" i="12"/>
  <c r="FE46" i="12"/>
  <c r="AR38" i="12"/>
  <c r="BO35" i="12"/>
  <c r="BU53" i="12"/>
  <c r="Y46" i="12"/>
  <c r="CU45" i="12"/>
  <c r="CX50" i="12"/>
  <c r="F45" i="12"/>
  <c r="BK43" i="12"/>
  <c r="P47" i="12"/>
  <c r="AM43" i="12"/>
  <c r="CN38" i="12"/>
  <c r="BA47" i="12"/>
  <c r="BC37" i="12"/>
  <c r="EV46" i="12"/>
  <c r="DP44" i="12"/>
  <c r="N48" i="12"/>
  <c r="EM35" i="12"/>
  <c r="ES48" i="12"/>
  <c r="AA40" i="12"/>
  <c r="FE39" i="12"/>
  <c r="EZ44" i="12"/>
  <c r="AZ48" i="12"/>
  <c r="CE42" i="12"/>
  <c r="X48" i="12"/>
  <c r="O50" i="12"/>
  <c r="AQ50" i="12"/>
  <c r="DK48" i="12"/>
  <c r="AD48" i="12"/>
  <c r="O35" i="12"/>
  <c r="CW49" i="12"/>
  <c r="EU46" i="12"/>
  <c r="H37" i="12"/>
  <c r="R51" i="12"/>
  <c r="CU35" i="12"/>
  <c r="R38" i="12"/>
  <c r="DL46" i="12"/>
  <c r="CG48" i="12"/>
  <c r="BD40" i="12"/>
  <c r="DP45" i="12"/>
  <c r="CP48" i="12"/>
  <c r="DQ35" i="12"/>
  <c r="O48" i="12"/>
  <c r="CM37" i="12"/>
  <c r="DC50" i="12"/>
  <c r="CN53" i="12"/>
  <c r="CS46" i="12"/>
  <c r="BR40" i="12"/>
  <c r="R52" i="12"/>
  <c r="AO38" i="12"/>
  <c r="AR42" i="12"/>
  <c r="BQ47" i="12"/>
  <c r="F38" i="12"/>
  <c r="AK50" i="12"/>
  <c r="AD38" i="12"/>
  <c r="N49" i="12"/>
  <c r="AC46" i="12"/>
  <c r="CS53" i="12"/>
  <c r="CD41" i="12"/>
  <c r="AB35" i="12"/>
  <c r="DZ47" i="12"/>
  <c r="AX53" i="12"/>
  <c r="DK50" i="12"/>
  <c r="FE35" i="12"/>
  <c r="DT51" i="12"/>
  <c r="CI44" i="12"/>
  <c r="DV37" i="12"/>
  <c r="DE35" i="12"/>
  <c r="T47" i="12"/>
  <c r="EE38" i="12"/>
  <c r="I50" i="12"/>
  <c r="BS44" i="12"/>
  <c r="U46" i="12"/>
  <c r="BM36" i="12"/>
  <c r="T35" i="12"/>
  <c r="CK52" i="12"/>
  <c r="BU40" i="12"/>
  <c r="ET51" i="12"/>
  <c r="AH41" i="12"/>
  <c r="CF46" i="12"/>
  <c r="AD46" i="12"/>
  <c r="EJ44" i="12"/>
  <c r="U42" i="12"/>
  <c r="EM43" i="12"/>
  <c r="EG46" i="12"/>
  <c r="CK53" i="12"/>
  <c r="M52" i="12"/>
  <c r="AV53" i="12"/>
  <c r="EB44" i="12"/>
  <c r="BB50" i="12"/>
  <c r="FG46" i="12"/>
  <c r="AW39" i="12"/>
  <c r="F44" i="12"/>
  <c r="DZ52" i="12"/>
  <c r="AQ37" i="12"/>
  <c r="DE52" i="12"/>
  <c r="Q48" i="12"/>
  <c r="BM47" i="12"/>
  <c r="BS50" i="12"/>
  <c r="W52" i="12"/>
  <c r="EJ38" i="12"/>
  <c r="DA42" i="12"/>
  <c r="EE47" i="12"/>
  <c r="CC40" i="12"/>
  <c r="EP36" i="12"/>
  <c r="AU50" i="12"/>
  <c r="K42" i="12"/>
  <c r="V35" i="12"/>
  <c r="EW51" i="12"/>
  <c r="ED52" i="12"/>
  <c r="BW48" i="12"/>
  <c r="DC53" i="12"/>
  <c r="EU53" i="12"/>
  <c r="CW38" i="12"/>
  <c r="BQ44" i="12"/>
  <c r="EU36" i="12"/>
  <c r="F48" i="12"/>
  <c r="EC42" i="12"/>
  <c r="CH35" i="12"/>
  <c r="CH35" i="13" s="1"/>
  <c r="P53" i="12"/>
  <c r="CB53" i="12"/>
  <c r="AR45" i="12"/>
  <c r="EC43" i="12"/>
  <c r="CG43" i="12"/>
  <c r="AE43" i="12"/>
  <c r="BW49" i="12"/>
  <c r="EZ46" i="12"/>
  <c r="ET35" i="12"/>
  <c r="CL53" i="12"/>
  <c r="EZ43" i="12"/>
  <c r="AO47" i="12"/>
  <c r="AX40" i="12"/>
  <c r="CS36" i="12"/>
  <c r="DE50" i="12"/>
  <c r="BK42" i="12"/>
  <c r="Q39" i="12"/>
  <c r="CZ46" i="12"/>
  <c r="DX46" i="12"/>
  <c r="EF35" i="12"/>
  <c r="EP52" i="12"/>
  <c r="M40" i="12"/>
  <c r="AG42" i="12"/>
  <c r="AX47" i="12"/>
  <c r="G52" i="12"/>
  <c r="V44" i="12"/>
  <c r="BT49" i="12"/>
  <c r="BI53" i="12"/>
  <c r="AP52" i="12"/>
  <c r="C53" i="12"/>
  <c r="K45" i="12"/>
  <c r="BF36" i="12"/>
  <c r="DW36" i="12"/>
  <c r="FC40" i="12"/>
  <c r="AO46" i="12"/>
  <c r="CB39" i="12"/>
  <c r="EX52" i="12"/>
  <c r="AC49" i="12"/>
  <c r="DQ47" i="12"/>
  <c r="M45" i="12"/>
  <c r="BA51" i="12"/>
  <c r="AU41" i="12"/>
  <c r="AF51" i="12"/>
  <c r="EJ51" i="12"/>
  <c r="BA43" i="12"/>
  <c r="EO36" i="12"/>
  <c r="AC44" i="12"/>
  <c r="DG45" i="12"/>
  <c r="CF37" i="12"/>
  <c r="ED40" i="12"/>
  <c r="CS48" i="12"/>
  <c r="EA37" i="12"/>
  <c r="C47" i="12"/>
  <c r="EL43" i="12"/>
  <c r="I47" i="12"/>
  <c r="CR43" i="12"/>
  <c r="BD35" i="12"/>
  <c r="EX47" i="12"/>
  <c r="E45" i="12"/>
  <c r="FA47" i="12"/>
  <c r="AS43" i="12"/>
  <c r="AD43" i="12"/>
  <c r="CP45" i="12"/>
  <c r="CE35" i="12"/>
  <c r="AU36" i="12"/>
  <c r="DR42" i="12"/>
  <c r="DX39" i="12"/>
  <c r="EF43" i="12"/>
  <c r="CH45" i="12"/>
  <c r="DP41" i="12"/>
  <c r="ES40" i="12"/>
  <c r="DO39" i="12"/>
  <c r="EP40" i="12"/>
  <c r="AI48" i="12"/>
  <c r="S44" i="12"/>
  <c r="CK44" i="12"/>
  <c r="U51" i="12"/>
  <c r="EV45" i="12"/>
  <c r="BE46" i="12"/>
  <c r="EK45" i="12"/>
  <c r="CK37" i="12"/>
  <c r="BC39" i="12"/>
  <c r="FB37" i="12"/>
  <c r="DJ52" i="12"/>
  <c r="AB38" i="12"/>
  <c r="BD52" i="12"/>
  <c r="C42" i="12"/>
  <c r="CQ53" i="12"/>
  <c r="BQ42" i="12"/>
  <c r="DF46" i="12"/>
  <c r="AJ43" i="12"/>
  <c r="BX39" i="12"/>
  <c r="CW37" i="12"/>
  <c r="AJ51" i="12"/>
  <c r="BY47" i="12"/>
  <c r="CJ36" i="12"/>
  <c r="U44" i="12"/>
  <c r="EV44" i="12"/>
  <c r="AC48" i="12"/>
  <c r="U45" i="12"/>
  <c r="ET47" i="12"/>
  <c r="FG50" i="12"/>
  <c r="CN49" i="12"/>
  <c r="BS49" i="12"/>
  <c r="CV37" i="12"/>
  <c r="O43" i="12"/>
  <c r="E40" i="12"/>
  <c r="DK36" i="12"/>
  <c r="M39" i="12"/>
  <c r="BE38" i="12"/>
  <c r="BX36" i="12"/>
  <c r="DF51" i="12"/>
  <c r="BH49" i="12"/>
  <c r="BK39" i="12"/>
  <c r="CX42" i="12"/>
  <c r="FF40" i="12"/>
  <c r="I36" i="12"/>
  <c r="BE53" i="12"/>
  <c r="DK41" i="12"/>
  <c r="DP42" i="12"/>
  <c r="DY40" i="12"/>
  <c r="DN47" i="12"/>
  <c r="BO43" i="12"/>
  <c r="AU38" i="12"/>
  <c r="AO41" i="12"/>
  <c r="AJ39" i="12"/>
  <c r="EO40" i="12"/>
  <c r="FC53" i="12"/>
  <c r="BD39" i="12"/>
  <c r="BS46" i="12"/>
  <c r="ES44" i="12"/>
  <c r="CS43" i="12"/>
  <c r="CD39" i="12"/>
  <c r="DC47" i="12"/>
  <c r="BP40" i="12"/>
  <c r="AX49" i="12"/>
  <c r="EV36" i="12"/>
  <c r="CJ51" i="12"/>
  <c r="EC38" i="12"/>
  <c r="BK51" i="12"/>
  <c r="DI35" i="12"/>
  <c r="FF42" i="12"/>
  <c r="EV42" i="12"/>
  <c r="DH35" i="12"/>
  <c r="DH35" i="13" s="1"/>
  <c r="CV44" i="12"/>
  <c r="AF49" i="12"/>
  <c r="AS35" i="12"/>
  <c r="EJ47" i="12"/>
  <c r="DN38" i="12"/>
  <c r="AM36" i="12"/>
  <c r="CT52" i="12"/>
  <c r="EU43" i="12"/>
  <c r="DW39" i="12"/>
  <c r="BC36" i="12"/>
  <c r="DE45" i="12"/>
  <c r="AP41" i="12"/>
  <c r="BN43" i="12"/>
  <c r="DJ51" i="12"/>
  <c r="AJ45" i="12"/>
  <c r="CI36" i="12"/>
  <c r="Y47" i="12"/>
  <c r="G45" i="12"/>
  <c r="BY39" i="12"/>
  <c r="BX43" i="12"/>
  <c r="EC41" i="12"/>
  <c r="DL39" i="12"/>
  <c r="BR42" i="12"/>
  <c r="BN53" i="12"/>
  <c r="CA48" i="12"/>
  <c r="EJ40" i="12"/>
  <c r="EI43" i="12"/>
  <c r="DE36" i="12"/>
  <c r="DR52" i="12"/>
  <c r="DV51" i="12"/>
  <c r="CD48" i="12"/>
  <c r="AP43" i="12"/>
  <c r="BB37" i="12"/>
  <c r="DW44" i="12"/>
  <c r="EI45" i="12"/>
  <c r="AZ39" i="12"/>
  <c r="BG43" i="12"/>
  <c r="EN46" i="12"/>
  <c r="DX37" i="12"/>
  <c r="AX46" i="12"/>
  <c r="CG36" i="12"/>
  <c r="AW44" i="12"/>
  <c r="EG53" i="12"/>
  <c r="EX49" i="12"/>
  <c r="ER43" i="12"/>
  <c r="BF35" i="12"/>
  <c r="AI45" i="12"/>
  <c r="C48" i="12"/>
  <c r="AR51" i="12"/>
  <c r="CP53" i="12"/>
  <c r="ES53" i="12"/>
  <c r="CC48" i="12"/>
  <c r="J45" i="12"/>
  <c r="CN50" i="12"/>
  <c r="AK37" i="12"/>
  <c r="DL53" i="12"/>
  <c r="BK37" i="12"/>
  <c r="EC37" i="12"/>
  <c r="DC45" i="12"/>
  <c r="AZ43" i="12"/>
  <c r="EL48" i="12"/>
  <c r="AD44" i="12"/>
  <c r="DG43" i="12"/>
  <c r="DB47" i="12"/>
  <c r="DX35" i="12"/>
  <c r="CQ45" i="12"/>
  <c r="ET43" i="12"/>
  <c r="G49" i="12"/>
  <c r="EK36" i="12"/>
  <c r="AM35" i="12"/>
  <c r="FE43" i="12"/>
  <c r="AH36" i="12"/>
  <c r="BO42" i="12"/>
  <c r="DI45" i="12"/>
  <c r="EU41" i="12"/>
  <c r="DL35" i="12"/>
  <c r="BT35" i="12"/>
  <c r="AB53" i="12"/>
  <c r="S49" i="12"/>
  <c r="AG51" i="12"/>
  <c r="CS37" i="12"/>
  <c r="G38" i="12"/>
  <c r="EN45" i="12"/>
  <c r="FD35" i="12"/>
  <c r="BM48" i="12"/>
  <c r="CM51" i="12"/>
  <c r="AE50" i="12"/>
  <c r="AG49" i="12"/>
  <c r="BW51" i="12"/>
  <c r="ES43" i="12"/>
  <c r="EY40" i="12"/>
  <c r="DV41" i="12"/>
  <c r="CF53" i="12"/>
  <c r="L43" i="12"/>
  <c r="EQ38" i="12"/>
  <c r="AK42" i="12"/>
  <c r="BV50" i="12"/>
  <c r="CM44" i="12"/>
  <c r="DN45" i="12"/>
  <c r="BO48" i="12"/>
  <c r="DL38" i="12"/>
  <c r="BN38" i="12"/>
  <c r="AK53" i="12"/>
  <c r="BG50" i="12"/>
  <c r="T40" i="12"/>
  <c r="AK43" i="12"/>
  <c r="FG47" i="12"/>
  <c r="DR45" i="12"/>
  <c r="CT53" i="12"/>
  <c r="AQ36" i="12"/>
  <c r="AB40" i="12"/>
  <c r="BM35" i="12"/>
  <c r="CD37" i="12"/>
  <c r="DH37" i="12"/>
  <c r="EG37" i="12"/>
  <c r="CO46" i="12"/>
  <c r="AY37" i="12"/>
  <c r="DH43" i="12"/>
  <c r="CZ37" i="12"/>
  <c r="CH36" i="12"/>
  <c r="CQ42" i="12"/>
  <c r="DR44" i="12"/>
  <c r="DB43" i="12"/>
  <c r="EA52" i="12"/>
  <c r="EF41" i="12"/>
  <c r="DS43" i="12"/>
  <c r="FB44" i="12"/>
  <c r="DQ37" i="12"/>
  <c r="AQ51" i="12"/>
  <c r="CE44" i="12"/>
  <c r="FA43" i="12"/>
  <c r="EO47" i="12"/>
  <c r="DM42" i="12"/>
  <c r="ED50" i="12"/>
  <c r="ED37" i="12"/>
  <c r="EX39" i="12"/>
  <c r="BL42" i="12"/>
  <c r="FA52" i="12"/>
  <c r="AR47" i="12"/>
  <c r="AS52" i="12"/>
  <c r="EZ36" i="12"/>
  <c r="AB46" i="12"/>
  <c r="CQ43" i="12"/>
  <c r="EH41" i="12"/>
  <c r="AJ52" i="12"/>
  <c r="AF38" i="12"/>
  <c r="FF48" i="12"/>
  <c r="S50" i="12"/>
  <c r="EN44" i="12"/>
  <c r="DY47" i="12"/>
  <c r="FG53" i="12"/>
  <c r="BW40" i="12"/>
  <c r="BX51" i="12"/>
  <c r="N43" i="12"/>
  <c r="BU42" i="12"/>
  <c r="DA51" i="12"/>
  <c r="FB45" i="12"/>
  <c r="BD50" i="12"/>
  <c r="FD37" i="12"/>
  <c r="BW53" i="12"/>
  <c r="W53" i="12"/>
  <c r="CJ44" i="12"/>
  <c r="DF36" i="12"/>
  <c r="EB37" i="12"/>
  <c r="BG36" i="12"/>
  <c r="DQ44" i="12"/>
  <c r="CN40" i="12"/>
  <c r="DU52" i="12"/>
  <c r="AD41" i="12"/>
  <c r="AT51" i="12"/>
  <c r="AL45" i="12"/>
  <c r="EZ51" i="12"/>
  <c r="AC50" i="12"/>
  <c r="CO53" i="12"/>
  <c r="AS41" i="12"/>
  <c r="V45" i="12"/>
  <c r="DV43" i="12"/>
  <c r="DG42" i="12"/>
  <c r="W40" i="12"/>
  <c r="C36" i="12"/>
  <c r="BG51" i="12"/>
  <c r="U53" i="12"/>
  <c r="EJ48" i="12"/>
  <c r="AN41" i="12"/>
  <c r="EQ36" i="12"/>
  <c r="BY37" i="12"/>
  <c r="FC37" i="12"/>
  <c r="AA34" i="12"/>
  <c r="DM46" i="12"/>
  <c r="DP48" i="12"/>
  <c r="BR36" i="12"/>
  <c r="BP47" i="12"/>
  <c r="DB37" i="12"/>
  <c r="FD34" i="12"/>
  <c r="EC34" i="12"/>
  <c r="EX34" i="12"/>
  <c r="C40" i="12"/>
  <c r="DF39" i="12"/>
  <c r="CI39" i="12"/>
  <c r="EW50" i="12"/>
  <c r="AY34" i="12"/>
  <c r="FG34" i="12"/>
  <c r="BS34" i="12"/>
  <c r="N37" i="12"/>
  <c r="FC34" i="12"/>
  <c r="ES34" i="12"/>
  <c r="AT40" i="12"/>
  <c r="DS39" i="12"/>
  <c r="FG51" i="12"/>
  <c r="AJ42" i="12"/>
  <c r="CJ38" i="12"/>
  <c r="EF34" i="12"/>
  <c r="BI34" i="12"/>
  <c r="H34" i="12"/>
  <c r="BI40" i="12"/>
  <c r="EX46" i="12"/>
  <c r="CG34" i="12"/>
  <c r="ED34" i="12"/>
  <c r="CR46" i="12"/>
  <c r="BZ48" i="12"/>
  <c r="CS52" i="12"/>
  <c r="EA50" i="12"/>
  <c r="FG44" i="12"/>
  <c r="AN34" i="12"/>
  <c r="BP34" i="12"/>
  <c r="AB34" i="12"/>
  <c r="AB34" i="13" s="1"/>
  <c r="R35" i="12"/>
  <c r="DL50" i="12"/>
  <c r="AX34" i="12"/>
  <c r="AV34" i="12"/>
  <c r="DQ38" i="12"/>
  <c r="AW36" i="12"/>
  <c r="CU34" i="12"/>
  <c r="CH34" i="12"/>
  <c r="EE34" i="12"/>
  <c r="BN37" i="12"/>
  <c r="W45" i="12"/>
  <c r="BT37" i="12"/>
  <c r="CT48" i="12"/>
  <c r="DR35" i="12"/>
  <c r="BJ34" i="12"/>
  <c r="BD34" i="12"/>
  <c r="CW34" i="12"/>
  <c r="ER34" i="12"/>
  <c r="DT34" i="12"/>
  <c r="AB37" i="12"/>
  <c r="FD43" i="12"/>
  <c r="EC35" i="12"/>
  <c r="BL40" i="12"/>
  <c r="N45" i="12"/>
  <c r="DV48" i="12"/>
  <c r="AS34" i="12"/>
  <c r="EV34" i="12"/>
  <c r="AG40" i="12"/>
  <c r="CN37" i="12"/>
  <c r="BK34" i="12"/>
  <c r="EH34" i="12"/>
  <c r="H36" i="12"/>
  <c r="DA39" i="12"/>
  <c r="BR48" i="12"/>
  <c r="AS42" i="12"/>
  <c r="DZ53" i="12"/>
  <c r="AE34" i="12"/>
  <c r="DF34" i="12"/>
  <c r="AV40" i="12"/>
  <c r="BP52" i="12"/>
  <c r="BX34" i="12"/>
  <c r="CZ34" i="12"/>
  <c r="J39" i="12"/>
  <c r="K424" i="5"/>
  <c r="I429" i="5"/>
  <c r="J431" i="5"/>
  <c r="I430" i="5"/>
  <c r="J430" i="5"/>
  <c r="I432" i="5"/>
  <c r="I433" i="5"/>
  <c r="I431" i="5"/>
  <c r="J426" i="5"/>
  <c r="I426" i="5"/>
  <c r="J427" i="5"/>
  <c r="J432" i="5"/>
  <c r="J429" i="5"/>
  <c r="J433" i="5"/>
  <c r="J428" i="5"/>
  <c r="I427" i="5"/>
  <c r="I428" i="5"/>
  <c r="AB220" i="19"/>
  <c r="G164" i="19"/>
  <c r="L317" i="19"/>
  <c r="G209" i="19"/>
  <c r="H159" i="19"/>
  <c r="J123" i="19"/>
  <c r="I311" i="19"/>
  <c r="N254" i="19"/>
  <c r="H206" i="19"/>
  <c r="G263" i="19"/>
  <c r="X191" i="19"/>
  <c r="V283" i="19"/>
  <c r="I192" i="19"/>
  <c r="V262" i="19"/>
  <c r="J147" i="19"/>
  <c r="M357" i="19"/>
  <c r="G276" i="19"/>
  <c r="N339" i="19"/>
  <c r="N342" i="19"/>
  <c r="V124" i="19"/>
  <c r="Z270" i="19"/>
  <c r="J338" i="19"/>
  <c r="AB360" i="19"/>
  <c r="Y134" i="19"/>
  <c r="N155" i="19"/>
  <c r="X337" i="19"/>
  <c r="G150" i="19"/>
  <c r="F197" i="19"/>
  <c r="V140" i="19"/>
  <c r="Z266" i="19"/>
  <c r="AB165" i="19"/>
  <c r="G356" i="19"/>
  <c r="M340" i="19"/>
  <c r="X323" i="19"/>
  <c r="AB293" i="19"/>
  <c r="K355" i="19"/>
  <c r="L177" i="19"/>
  <c r="M244" i="19"/>
  <c r="V131" i="19"/>
  <c r="N293" i="19"/>
  <c r="X222" i="19"/>
  <c r="Y144" i="19"/>
  <c r="AA114" i="19"/>
  <c r="I349" i="19"/>
  <c r="Y126" i="19"/>
  <c r="K134" i="19"/>
  <c r="L369" i="19"/>
  <c r="Z191" i="19"/>
  <c r="Y350" i="19"/>
  <c r="H264" i="19"/>
  <c r="M189" i="19"/>
  <c r="H301" i="19"/>
  <c r="L155" i="19"/>
  <c r="X182" i="19"/>
  <c r="N147" i="19"/>
  <c r="I236" i="19"/>
  <c r="K182" i="19"/>
  <c r="Y164" i="19"/>
  <c r="K331" i="19"/>
  <c r="H257" i="19"/>
  <c r="AA244" i="19"/>
  <c r="AA367" i="19"/>
  <c r="N199" i="19"/>
  <c r="N172" i="19"/>
  <c r="X166" i="19"/>
  <c r="G115" i="19"/>
  <c r="AA239" i="19"/>
  <c r="M297" i="19"/>
  <c r="AB204" i="19"/>
  <c r="I275" i="19"/>
  <c r="X256" i="19"/>
  <c r="K190" i="19"/>
  <c r="H288" i="19"/>
  <c r="F221" i="19"/>
  <c r="G334" i="19"/>
  <c r="K199" i="19"/>
  <c r="J132" i="19"/>
  <c r="G146" i="19"/>
  <c r="L164" i="19"/>
  <c r="Y263" i="19"/>
  <c r="V126" i="19"/>
  <c r="AB224" i="19"/>
  <c r="F323" i="19"/>
  <c r="M332" i="19"/>
  <c r="H219" i="19"/>
  <c r="M313" i="19"/>
  <c r="G144" i="19"/>
  <c r="I328" i="19"/>
  <c r="M185" i="19"/>
  <c r="AB244" i="19"/>
  <c r="Z316" i="19"/>
  <c r="J219" i="19"/>
  <c r="Z211" i="19"/>
  <c r="F337" i="19"/>
  <c r="F271" i="19"/>
  <c r="K215" i="19"/>
  <c r="AA125" i="19"/>
  <c r="N139" i="19"/>
  <c r="X248" i="19"/>
  <c r="AA178" i="19"/>
  <c r="I196" i="19"/>
  <c r="X200" i="19"/>
  <c r="M236" i="19"/>
  <c r="AA254" i="19"/>
  <c r="Z159" i="19"/>
  <c r="H269" i="19"/>
  <c r="AA173" i="19"/>
  <c r="J300" i="19"/>
  <c r="N189" i="19"/>
  <c r="AB241" i="19"/>
  <c r="X235" i="19"/>
  <c r="K135" i="19"/>
  <c r="G149" i="19"/>
  <c r="L178" i="19"/>
  <c r="F219" i="19"/>
  <c r="K330" i="19"/>
  <c r="M368" i="19"/>
  <c r="L346" i="19"/>
  <c r="G223" i="19"/>
  <c r="N159" i="19"/>
  <c r="AB271" i="19"/>
  <c r="J292" i="19"/>
  <c r="AB280" i="19"/>
  <c r="H290" i="19"/>
  <c r="Y351" i="19"/>
  <c r="X281" i="19"/>
  <c r="F139" i="19"/>
  <c r="V226" i="19"/>
  <c r="H168" i="19"/>
  <c r="Z350" i="19"/>
  <c r="L306" i="19"/>
  <c r="Z176" i="19"/>
  <c r="Z151" i="19"/>
  <c r="M123" i="19"/>
  <c r="V274" i="19"/>
  <c r="J314" i="19"/>
  <c r="H130" i="19"/>
  <c r="AA170" i="19"/>
  <c r="H200" i="19"/>
  <c r="Z254" i="19"/>
  <c r="Y143" i="19"/>
  <c r="H196" i="19"/>
  <c r="H307" i="19"/>
  <c r="Z196" i="19"/>
  <c r="N263" i="19"/>
  <c r="I210" i="19"/>
  <c r="N118" i="19"/>
  <c r="F224" i="19"/>
  <c r="AA191" i="19"/>
  <c r="N367" i="19"/>
  <c r="V120" i="19"/>
  <c r="Z264" i="19"/>
  <c r="Y356" i="19"/>
  <c r="AA240" i="19"/>
  <c r="AA294" i="19"/>
  <c r="Y149" i="19"/>
  <c r="X151" i="19"/>
  <c r="X283" i="19"/>
  <c r="Z274" i="19"/>
  <c r="AB313" i="19"/>
  <c r="X136" i="19"/>
  <c r="F249" i="19"/>
  <c r="M153" i="19"/>
  <c r="Z152" i="19"/>
  <c r="H161" i="19"/>
  <c r="J225" i="19"/>
  <c r="M321" i="19"/>
  <c r="G313" i="19"/>
  <c r="N165" i="19"/>
  <c r="N238" i="19"/>
  <c r="M292" i="19"/>
  <c r="J312" i="19"/>
  <c r="J315" i="19"/>
  <c r="L197" i="19"/>
  <c r="H166" i="19"/>
  <c r="F194" i="19"/>
  <c r="V264" i="19"/>
  <c r="L240" i="19"/>
  <c r="N331" i="19"/>
  <c r="H226" i="19"/>
  <c r="L135" i="19"/>
  <c r="L142" i="19"/>
  <c r="H163" i="19"/>
  <c r="Z190" i="19"/>
  <c r="X255" i="19"/>
  <c r="Y141" i="19"/>
  <c r="V314" i="19"/>
  <c r="M186" i="19"/>
  <c r="AB143" i="19"/>
  <c r="Y349" i="19"/>
  <c r="Y252" i="19"/>
  <c r="G171" i="19"/>
  <c r="Y307" i="19"/>
  <c r="AA198" i="19"/>
  <c r="I134" i="19"/>
  <c r="H218" i="19"/>
  <c r="N242" i="19"/>
  <c r="Y223" i="19"/>
  <c r="AB330" i="19"/>
  <c r="L179" i="19"/>
  <c r="K238" i="19"/>
  <c r="Y266" i="19"/>
  <c r="V302" i="19"/>
  <c r="N175" i="19"/>
  <c r="J317" i="19"/>
  <c r="V125" i="19"/>
  <c r="J308" i="19"/>
  <c r="Z317" i="19"/>
  <c r="F263" i="19"/>
  <c r="H194" i="19"/>
  <c r="AB175" i="19"/>
  <c r="X303" i="19"/>
  <c r="F230" i="19"/>
  <c r="X349" i="19"/>
  <c r="AB235" i="19"/>
  <c r="M268" i="19"/>
  <c r="Z336" i="19"/>
  <c r="H365" i="19"/>
  <c r="AB223" i="19"/>
  <c r="AA325" i="19"/>
  <c r="AB318" i="19"/>
  <c r="F133" i="19"/>
  <c r="AA128" i="19"/>
  <c r="AA134" i="19"/>
  <c r="F140" i="19"/>
  <c r="F228" i="19"/>
  <c r="N358" i="19"/>
  <c r="AB248" i="19"/>
  <c r="N369" i="19"/>
  <c r="L156" i="19"/>
  <c r="G143" i="19"/>
  <c r="L114" i="19"/>
  <c r="M221" i="19"/>
  <c r="Y154" i="19"/>
  <c r="G345" i="19"/>
  <c r="H238" i="19"/>
  <c r="Z213" i="19"/>
  <c r="H337" i="19"/>
  <c r="H275" i="19"/>
  <c r="AA226" i="19"/>
  <c r="N309" i="19"/>
  <c r="Z252" i="19"/>
  <c r="J153" i="19"/>
  <c r="K206" i="19"/>
  <c r="G300" i="19"/>
  <c r="G226" i="19"/>
  <c r="AA345" i="19"/>
  <c r="X115" i="19"/>
  <c r="I229" i="19"/>
  <c r="M161" i="19"/>
  <c r="I220" i="19"/>
  <c r="AB201" i="19"/>
  <c r="N151" i="19"/>
  <c r="M356" i="19"/>
  <c r="F357" i="19"/>
  <c r="AB326" i="19"/>
  <c r="G201" i="19"/>
  <c r="AA211" i="19"/>
  <c r="J122" i="19"/>
  <c r="G207" i="19"/>
  <c r="Y326" i="19"/>
  <c r="G280" i="19"/>
  <c r="AA238" i="19"/>
  <c r="AB232" i="19"/>
  <c r="AA312" i="19"/>
  <c r="AA260" i="19"/>
  <c r="X157" i="19"/>
  <c r="H314" i="19"/>
  <c r="Y118" i="19"/>
  <c r="X212" i="19"/>
  <c r="F301" i="19"/>
  <c r="X202" i="19"/>
  <c r="F365" i="19"/>
  <c r="AA182" i="19"/>
  <c r="AB268" i="19"/>
  <c r="F261" i="19"/>
  <c r="X196" i="19"/>
  <c r="K316" i="19"/>
  <c r="N297" i="19"/>
  <c r="AA295" i="19"/>
  <c r="L182" i="19"/>
  <c r="I187" i="19"/>
  <c r="AB148" i="19"/>
  <c r="M331" i="19"/>
  <c r="F226" i="19"/>
  <c r="L326" i="19"/>
  <c r="K366" i="19"/>
  <c r="L319" i="19"/>
  <c r="AA131" i="19"/>
  <c r="X228" i="19"/>
  <c r="L267" i="19"/>
  <c r="K317" i="19"/>
  <c r="K127" i="19"/>
  <c r="F172" i="19"/>
  <c r="F258" i="19"/>
  <c r="Z133" i="19"/>
  <c r="AA197" i="19"/>
  <c r="V345" i="19"/>
  <c r="H210" i="19"/>
  <c r="Y133" i="19"/>
  <c r="N355" i="19"/>
  <c r="I216" i="19"/>
  <c r="J283" i="19"/>
  <c r="AA146" i="19"/>
  <c r="X327" i="19"/>
  <c r="N127" i="19"/>
  <c r="H234" i="19"/>
  <c r="V249" i="19"/>
  <c r="M225" i="19"/>
  <c r="Y325" i="19"/>
  <c r="K255" i="19"/>
  <c r="J124" i="19"/>
  <c r="H228" i="19"/>
  <c r="AA259" i="19"/>
  <c r="H128" i="19"/>
  <c r="K286" i="19"/>
  <c r="N278" i="19"/>
  <c r="I272" i="19"/>
  <c r="Z318" i="19"/>
  <c r="Z275" i="19"/>
  <c r="G339" i="19"/>
  <c r="J355" i="19"/>
  <c r="K298" i="19"/>
  <c r="G114" i="19"/>
  <c r="F222" i="19"/>
  <c r="AA192" i="19"/>
  <c r="Z306" i="19"/>
  <c r="L194" i="19"/>
  <c r="AB134" i="19"/>
  <c r="L138" i="19"/>
  <c r="N231" i="19"/>
  <c r="Z204" i="19"/>
  <c r="I323" i="19"/>
  <c r="F250" i="19"/>
  <c r="X326" i="19"/>
  <c r="H265" i="19"/>
  <c r="G275" i="19"/>
  <c r="N158" i="19"/>
  <c r="Y171" i="19"/>
  <c r="H309" i="19"/>
  <c r="H243" i="19"/>
  <c r="M158" i="19"/>
  <c r="I164" i="19"/>
  <c r="AB178" i="19"/>
  <c r="AB180" i="19"/>
  <c r="G294" i="19"/>
  <c r="H327" i="19"/>
  <c r="H306" i="19"/>
  <c r="J150" i="19"/>
  <c r="Y233" i="19"/>
  <c r="I287" i="19"/>
  <c r="H294" i="19"/>
  <c r="M296" i="19"/>
  <c r="V282" i="19"/>
  <c r="N275" i="19"/>
  <c r="G325" i="19"/>
  <c r="N343" i="19"/>
  <c r="V245" i="19"/>
  <c r="L148" i="19"/>
  <c r="AB279" i="19"/>
  <c r="V293" i="19"/>
  <c r="X137" i="19"/>
  <c r="K164" i="19"/>
  <c r="X168" i="19"/>
  <c r="N255" i="19"/>
  <c r="X159" i="19"/>
  <c r="V354" i="19"/>
  <c r="K302" i="19"/>
  <c r="X273" i="19"/>
  <c r="X352" i="19"/>
  <c r="Y198" i="19"/>
  <c r="G351" i="19"/>
  <c r="Z210" i="19"/>
  <c r="L187" i="19"/>
  <c r="I283" i="19"/>
  <c r="J143" i="19"/>
  <c r="AB292" i="19"/>
  <c r="Y315" i="19"/>
  <c r="V367" i="19"/>
  <c r="H335" i="19"/>
  <c r="Z235" i="19"/>
  <c r="G219" i="19"/>
  <c r="K185" i="19"/>
  <c r="X320" i="19"/>
  <c r="X218" i="19"/>
  <c r="AA315" i="19"/>
  <c r="G329" i="19"/>
  <c r="M157" i="19"/>
  <c r="V175" i="19"/>
  <c r="AB156" i="19"/>
  <c r="I140" i="19"/>
  <c r="X344" i="19"/>
  <c r="AB202" i="19"/>
  <c r="V185" i="19"/>
  <c r="I362" i="19"/>
  <c r="I160" i="19"/>
  <c r="G130" i="19"/>
  <c r="AB354" i="19"/>
  <c r="L199" i="19"/>
  <c r="X148" i="19"/>
  <c r="L206" i="19"/>
  <c r="M261" i="19"/>
  <c r="I268" i="19"/>
  <c r="AB116" i="19"/>
  <c r="M355" i="19"/>
  <c r="G208" i="19"/>
  <c r="Y212" i="19"/>
  <c r="I182" i="19"/>
  <c r="G176" i="19"/>
  <c r="AB306" i="19"/>
  <c r="V350" i="19"/>
  <c r="K114" i="19"/>
  <c r="M345" i="19"/>
  <c r="G250" i="19"/>
  <c r="Z219" i="19"/>
  <c r="J222" i="19"/>
  <c r="AA242" i="19"/>
  <c r="I159" i="19"/>
  <c r="L209" i="19"/>
  <c r="AA241" i="19"/>
  <c r="J275" i="19"/>
  <c r="AA281" i="19"/>
  <c r="AB332" i="19"/>
  <c r="F287" i="19"/>
  <c r="N237" i="19"/>
  <c r="Z267" i="19"/>
  <c r="F241" i="19"/>
  <c r="L255" i="19"/>
  <c r="H347" i="19"/>
  <c r="L220" i="19"/>
  <c r="I289" i="19"/>
  <c r="N138" i="19"/>
  <c r="F156" i="19"/>
  <c r="L252" i="19"/>
  <c r="M279" i="19"/>
  <c r="J176" i="19"/>
  <c r="X312" i="19"/>
  <c r="X366" i="19"/>
  <c r="I185" i="19"/>
  <c r="Z237" i="19"/>
  <c r="F137" i="19"/>
  <c r="I142" i="19"/>
  <c r="I166" i="19"/>
  <c r="AA365" i="19"/>
  <c r="I264" i="19"/>
  <c r="M278" i="19"/>
  <c r="M201" i="19"/>
  <c r="M184" i="19"/>
  <c r="Y214" i="19"/>
  <c r="J145" i="19"/>
  <c r="AA278" i="19"/>
  <c r="AB254" i="19"/>
  <c r="K324" i="19"/>
  <c r="V346" i="19"/>
  <c r="AA163" i="19"/>
  <c r="AB213" i="19"/>
  <c r="Z122" i="19"/>
  <c r="AB203" i="19"/>
  <c r="F242" i="19"/>
  <c r="G312" i="19"/>
  <c r="X277" i="19"/>
  <c r="AB159" i="19"/>
  <c r="Z329" i="19"/>
  <c r="F158" i="19"/>
  <c r="L366" i="19"/>
  <c r="M160" i="19"/>
  <c r="AB369" i="19"/>
  <c r="I329" i="19"/>
  <c r="AA186" i="19"/>
  <c r="I203" i="19"/>
  <c r="J333" i="19"/>
  <c r="V356" i="19"/>
  <c r="Y343" i="19"/>
  <c r="X365" i="19"/>
  <c r="AA116" i="19"/>
  <c r="H153" i="19"/>
  <c r="H199" i="19"/>
  <c r="H117" i="19"/>
  <c r="G133" i="19"/>
  <c r="I261" i="19"/>
  <c r="F268" i="19"/>
  <c r="X183" i="19"/>
  <c r="V134" i="19"/>
  <c r="J149" i="19"/>
  <c r="N245" i="19"/>
  <c r="AB335" i="19"/>
  <c r="X357" i="19"/>
  <c r="AB345" i="19"/>
  <c r="V266" i="19"/>
  <c r="AB310" i="19"/>
  <c r="AA361" i="19"/>
  <c r="V197" i="19"/>
  <c r="I294" i="19"/>
  <c r="X367" i="19"/>
  <c r="F191" i="19"/>
  <c r="M121" i="19"/>
  <c r="AB208" i="19"/>
  <c r="V219" i="19"/>
  <c r="AA326" i="19"/>
  <c r="L309" i="19"/>
  <c r="F281" i="19"/>
  <c r="N262" i="19"/>
  <c r="L281" i="19"/>
  <c r="G222" i="19"/>
  <c r="V324" i="19"/>
  <c r="F251" i="19"/>
  <c r="AB142" i="19"/>
  <c r="AB324" i="19"/>
  <c r="AB229" i="19"/>
  <c r="K338" i="19"/>
  <c r="Y155" i="19"/>
  <c r="AA338" i="19"/>
  <c r="N193" i="19"/>
  <c r="L303" i="19"/>
  <c r="AA154" i="19"/>
  <c r="Z150" i="19"/>
  <c r="V176" i="19"/>
  <c r="L237" i="19"/>
  <c r="AB120" i="19"/>
  <c r="J115" i="19"/>
  <c r="AB255" i="19"/>
  <c r="Z319" i="19"/>
  <c r="M326" i="19"/>
  <c r="I133" i="19"/>
  <c r="F169" i="19"/>
  <c r="X272" i="19"/>
  <c r="F292" i="19"/>
  <c r="H170" i="19"/>
  <c r="J239" i="19"/>
  <c r="AA318" i="19"/>
  <c r="I324" i="19"/>
  <c r="Z250" i="19"/>
  <c r="AB130" i="19"/>
  <c r="J146" i="19"/>
  <c r="I114" i="19"/>
  <c r="F283" i="19"/>
  <c r="X173" i="19"/>
  <c r="AB367" i="19"/>
  <c r="J138" i="19"/>
  <c r="J266" i="19"/>
  <c r="X126" i="19"/>
  <c r="I317" i="19"/>
  <c r="AA150" i="19"/>
  <c r="Y369" i="19"/>
  <c r="J244" i="19"/>
  <c r="H330" i="19"/>
  <c r="Z189" i="19"/>
  <c r="L181" i="19"/>
  <c r="AB118" i="19"/>
  <c r="Z359" i="19"/>
  <c r="Y217" i="19"/>
  <c r="Y270" i="19"/>
  <c r="H124" i="19"/>
  <c r="L118" i="19"/>
  <c r="Y140" i="19"/>
  <c r="Y358" i="19"/>
  <c r="AB173" i="19"/>
  <c r="V182" i="19"/>
  <c r="I154" i="19"/>
  <c r="J231" i="19"/>
  <c r="V203" i="19"/>
  <c r="AA233" i="19"/>
  <c r="AA137" i="19"/>
  <c r="Z327" i="19"/>
  <c r="J344" i="19"/>
  <c r="X227" i="19"/>
  <c r="H241" i="19"/>
  <c r="X315" i="19"/>
  <c r="L314" i="19"/>
  <c r="I350" i="19"/>
  <c r="V193" i="19"/>
  <c r="L190" i="19"/>
  <c r="L358" i="19"/>
  <c r="V333" i="19"/>
  <c r="Z180" i="19"/>
  <c r="Z309" i="19"/>
  <c r="AB216" i="19"/>
  <c r="I161" i="19"/>
  <c r="I248" i="19"/>
  <c r="Z253" i="19"/>
  <c r="AB206" i="19"/>
  <c r="K225" i="19"/>
  <c r="K259" i="19"/>
  <c r="J369" i="19"/>
  <c r="V209" i="19"/>
  <c r="X252" i="19"/>
  <c r="L208" i="19"/>
  <c r="M293" i="19"/>
  <c r="K140" i="19"/>
  <c r="X149" i="19"/>
  <c r="V145" i="19"/>
  <c r="M205" i="19"/>
  <c r="N298" i="19"/>
  <c r="M330" i="19"/>
  <c r="G229" i="19"/>
  <c r="V232" i="19"/>
  <c r="M286" i="19"/>
  <c r="I368" i="19"/>
  <c r="J320" i="19"/>
  <c r="AA317" i="19"/>
  <c r="AB162" i="19"/>
  <c r="N235" i="19"/>
  <c r="AB309" i="19"/>
  <c r="F362" i="19"/>
  <c r="G248" i="19"/>
  <c r="V318" i="19"/>
  <c r="X180" i="19"/>
  <c r="H201" i="19"/>
  <c r="Z305" i="19"/>
  <c r="H358" i="19"/>
  <c r="I228" i="19"/>
  <c r="F343" i="19"/>
  <c r="I150" i="19"/>
  <c r="Y297" i="19"/>
  <c r="AB308" i="19"/>
  <c r="J172" i="19"/>
  <c r="X247" i="19"/>
  <c r="AA183" i="19"/>
  <c r="K154" i="19"/>
  <c r="G251" i="19"/>
  <c r="AA187" i="19"/>
  <c r="K175" i="19"/>
  <c r="Z259" i="19"/>
  <c r="I178" i="19"/>
  <c r="Y285" i="19"/>
  <c r="J183" i="19"/>
  <c r="M177" i="19"/>
  <c r="Y256" i="19"/>
  <c r="K332" i="19"/>
  <c r="AB321" i="19"/>
  <c r="J185" i="19"/>
  <c r="K144" i="19"/>
  <c r="H224" i="19"/>
  <c r="V317" i="19"/>
  <c r="K292" i="19"/>
  <c r="G324" i="19"/>
  <c r="H181" i="19"/>
  <c r="V157" i="19"/>
  <c r="Z280" i="19"/>
  <c r="V294" i="19"/>
  <c r="Y250" i="19"/>
  <c r="L215" i="19"/>
  <c r="N332" i="19"/>
  <c r="N117" i="19"/>
  <c r="AA275" i="19"/>
  <c r="H211" i="19"/>
  <c r="G264" i="19"/>
  <c r="L204" i="19"/>
  <c r="G308" i="19"/>
  <c r="K204" i="19"/>
  <c r="X117" i="19"/>
  <c r="X185" i="19"/>
  <c r="X317" i="19"/>
  <c r="J278" i="19"/>
  <c r="N168" i="19"/>
  <c r="AB122" i="19"/>
  <c r="J254" i="19"/>
  <c r="I285" i="19"/>
  <c r="F305" i="19"/>
  <c r="AA165" i="19"/>
  <c r="L191" i="19"/>
  <c r="Z296" i="19"/>
  <c r="G277" i="19"/>
  <c r="Z299" i="19"/>
  <c r="Y272" i="19"/>
  <c r="L235" i="19"/>
  <c r="J134" i="19"/>
  <c r="F213" i="19"/>
  <c r="AB184" i="19"/>
  <c r="V229" i="19"/>
  <c r="N205" i="19"/>
  <c r="K310" i="19"/>
  <c r="F123" i="19"/>
  <c r="AB320" i="19"/>
  <c r="I206" i="19"/>
  <c r="F157" i="19"/>
  <c r="N368" i="19"/>
  <c r="V149" i="19"/>
  <c r="I343" i="19"/>
  <c r="L173" i="19"/>
  <c r="H118" i="19"/>
  <c r="J353" i="19"/>
  <c r="J188" i="19"/>
  <c r="M207" i="19"/>
  <c r="I297" i="19"/>
  <c r="V335" i="19"/>
  <c r="AB295" i="19"/>
  <c r="G148" i="19"/>
  <c r="Z186" i="19"/>
  <c r="H258" i="19"/>
  <c r="H361" i="19"/>
  <c r="X240" i="19"/>
  <c r="AB365" i="19"/>
  <c r="AA161" i="19"/>
  <c r="V146" i="19"/>
  <c r="M262" i="19"/>
  <c r="X194" i="19"/>
  <c r="L305" i="19"/>
  <c r="Y259" i="19"/>
  <c r="F298" i="19"/>
  <c r="L169" i="19"/>
  <c r="M349" i="19"/>
  <c r="K352" i="19"/>
  <c r="Y253" i="19"/>
  <c r="X350" i="19"/>
  <c r="M341" i="19"/>
  <c r="AB362" i="19"/>
  <c r="AB336" i="19"/>
  <c r="H350" i="19"/>
  <c r="M135" i="19"/>
  <c r="X143" i="19"/>
  <c r="K122" i="19"/>
  <c r="AB357" i="19"/>
  <c r="J310" i="19"/>
  <c r="AA287" i="19"/>
  <c r="K357" i="19"/>
  <c r="V195" i="19"/>
  <c r="J264" i="19"/>
  <c r="L122" i="19"/>
  <c r="K176" i="19"/>
  <c r="I326" i="19"/>
  <c r="M329" i="19"/>
  <c r="F178" i="19"/>
  <c r="H237" i="19"/>
  <c r="J166" i="19"/>
  <c r="L362" i="19"/>
  <c r="K153" i="19"/>
  <c r="G340" i="19"/>
  <c r="V286" i="19"/>
  <c r="H315" i="19"/>
  <c r="AA203" i="19"/>
  <c r="G230" i="19"/>
  <c r="L291" i="19"/>
  <c r="J260" i="19"/>
  <c r="AB152" i="19"/>
  <c r="J321" i="19"/>
  <c r="M206" i="19"/>
  <c r="X238" i="19"/>
  <c r="Z279" i="19"/>
  <c r="N338" i="19"/>
  <c r="Z268" i="19"/>
  <c r="F212" i="19"/>
  <c r="H246" i="19"/>
  <c r="Z134" i="19"/>
  <c r="J347" i="19"/>
  <c r="H244" i="19"/>
  <c r="G365" i="19"/>
  <c r="V312" i="19"/>
  <c r="Z366" i="19"/>
  <c r="Z339" i="19"/>
  <c r="AA142" i="19"/>
  <c r="N252" i="19"/>
  <c r="M193" i="19"/>
  <c r="X290" i="19"/>
  <c r="Z184" i="19"/>
  <c r="J335" i="19"/>
  <c r="N114" i="19"/>
  <c r="H357" i="19"/>
  <c r="I224" i="19"/>
  <c r="Y160" i="19"/>
  <c r="AB163" i="19"/>
  <c r="N294" i="19"/>
  <c r="H182" i="19"/>
  <c r="K207" i="19"/>
  <c r="V201" i="19"/>
  <c r="Y205" i="19"/>
  <c r="AB128" i="19"/>
  <c r="Y204" i="19"/>
  <c r="H190" i="19"/>
  <c r="Y162" i="19"/>
  <c r="M346" i="19"/>
  <c r="I240" i="19"/>
  <c r="H285" i="19"/>
  <c r="Y333" i="19"/>
  <c r="X285" i="19"/>
  <c r="L229" i="19"/>
  <c r="K348" i="19"/>
  <c r="I198" i="19"/>
  <c r="L275" i="19"/>
  <c r="L238" i="19"/>
  <c r="Y264" i="19"/>
  <c r="Z138" i="19"/>
  <c r="G316" i="19"/>
  <c r="V326" i="19"/>
  <c r="V259" i="19"/>
  <c r="G326" i="19"/>
  <c r="J298" i="19"/>
  <c r="F276" i="19"/>
  <c r="K313" i="19"/>
  <c r="M336" i="19"/>
  <c r="F202" i="19"/>
  <c r="L248" i="19"/>
  <c r="H261" i="19"/>
  <c r="N145" i="19"/>
  <c r="V328" i="19"/>
  <c r="J289" i="19"/>
  <c r="Z220" i="19"/>
  <c r="M243" i="19"/>
  <c r="AA213" i="19"/>
  <c r="AB314" i="19"/>
  <c r="Y316" i="19"/>
  <c r="N137" i="19"/>
  <c r="AB257" i="19"/>
  <c r="AA220" i="19"/>
  <c r="J322" i="19"/>
  <c r="AB170" i="19"/>
  <c r="K312" i="19"/>
  <c r="K228" i="19"/>
  <c r="X302" i="19"/>
  <c r="F264" i="19"/>
  <c r="M222" i="19"/>
  <c r="K169" i="19"/>
  <c r="AB299" i="19"/>
  <c r="Y344" i="19"/>
  <c r="L299" i="19"/>
  <c r="L146" i="19"/>
  <c r="AB225" i="19"/>
  <c r="L272" i="19"/>
  <c r="Y167" i="19"/>
  <c r="H138" i="19"/>
  <c r="J141" i="19"/>
  <c r="I254" i="19"/>
  <c r="AA157" i="19"/>
  <c r="L324" i="19"/>
  <c r="G161" i="19"/>
  <c r="J198" i="19"/>
  <c r="AA335" i="19"/>
  <c r="AA272" i="19"/>
  <c r="Y202" i="19"/>
  <c r="M218" i="19"/>
  <c r="J319" i="19"/>
  <c r="N346" i="19"/>
  <c r="Y199" i="19"/>
  <c r="Z154" i="19"/>
  <c r="M204" i="19"/>
  <c r="M181" i="19"/>
  <c r="X363" i="19"/>
  <c r="AA122" i="19"/>
  <c r="L147" i="19"/>
  <c r="V238" i="19"/>
  <c r="J234" i="19"/>
  <c r="Y181" i="19"/>
  <c r="Z244" i="19"/>
  <c r="L116" i="19"/>
  <c r="N308" i="19"/>
  <c r="AA316" i="19"/>
  <c r="AA235" i="19"/>
  <c r="Z243" i="19"/>
  <c r="I239" i="19"/>
  <c r="G254" i="19"/>
  <c r="AA185" i="19"/>
  <c r="M227" i="19"/>
  <c r="H172" i="19"/>
  <c r="Y284" i="19"/>
  <c r="Z127" i="19"/>
  <c r="K130" i="19"/>
  <c r="K281" i="19"/>
  <c r="J116" i="19"/>
  <c r="G292" i="19"/>
  <c r="M229" i="19"/>
  <c r="Y230" i="19"/>
  <c r="V247" i="19"/>
  <c r="AB343" i="19"/>
  <c r="M212" i="19"/>
  <c r="I156" i="19"/>
  <c r="AB267" i="19"/>
  <c r="M350" i="19"/>
  <c r="V174" i="19"/>
  <c r="F318" i="19"/>
  <c r="X207" i="19"/>
  <c r="G287" i="19"/>
  <c r="I355" i="19"/>
  <c r="V122" i="19"/>
  <c r="G305" i="19"/>
  <c r="Y156" i="19"/>
  <c r="Y152" i="19"/>
  <c r="F125" i="19"/>
  <c r="M156" i="19"/>
  <c r="K211" i="19"/>
  <c r="X139" i="19"/>
  <c r="AB211" i="19"/>
  <c r="H223" i="19"/>
  <c r="Y153" i="19"/>
  <c r="Y273" i="19"/>
  <c r="K296" i="19"/>
  <c r="F272" i="19"/>
  <c r="M203" i="19"/>
  <c r="AA293" i="19"/>
  <c r="J232" i="19"/>
  <c r="N274" i="19"/>
  <c r="M254" i="19"/>
  <c r="F240" i="19"/>
  <c r="AA305" i="19"/>
  <c r="N333" i="19"/>
  <c r="M328" i="19"/>
  <c r="J348" i="19"/>
  <c r="Z321" i="19"/>
  <c r="L266" i="19"/>
  <c r="X154" i="19"/>
  <c r="J216" i="19"/>
  <c r="J351" i="19"/>
  <c r="H316" i="19"/>
  <c r="V156" i="19"/>
  <c r="AB281" i="19"/>
  <c r="F252" i="19"/>
  <c r="M238" i="19"/>
  <c r="Y361" i="19"/>
  <c r="L130" i="19"/>
  <c r="Z355" i="19"/>
  <c r="X254" i="19"/>
  <c r="F239" i="19"/>
  <c r="AB198" i="19"/>
  <c r="F159" i="19"/>
  <c r="V321" i="19"/>
  <c r="V311" i="19"/>
  <c r="X243" i="19"/>
  <c r="X318" i="19"/>
  <c r="L262" i="19"/>
  <c r="Y293" i="19"/>
  <c r="L264" i="19"/>
  <c r="I358" i="19"/>
  <c r="G338" i="19"/>
  <c r="H162" i="19"/>
  <c r="N251" i="19"/>
  <c r="J162" i="19"/>
  <c r="I347" i="19"/>
  <c r="V200" i="19"/>
  <c r="Z356" i="19"/>
  <c r="Z326" i="19"/>
  <c r="L345" i="19"/>
  <c r="V190" i="19"/>
  <c r="G190" i="19"/>
  <c r="L254" i="19"/>
  <c r="N349" i="19"/>
  <c r="J237" i="19"/>
  <c r="M165" i="19"/>
  <c r="AA334" i="19"/>
  <c r="Y338" i="19"/>
  <c r="X135" i="19"/>
  <c r="J346" i="19"/>
  <c r="I244" i="19"/>
  <c r="Y211" i="19"/>
  <c r="K294" i="19"/>
  <c r="K257" i="19"/>
  <c r="Y355" i="19"/>
  <c r="M364" i="19"/>
  <c r="AA208" i="19"/>
  <c r="G256" i="19"/>
  <c r="Y342" i="19"/>
  <c r="V169" i="19"/>
  <c r="H276" i="19"/>
  <c r="Z325" i="19"/>
  <c r="F225" i="19"/>
  <c r="N181" i="19"/>
  <c r="N180" i="19"/>
  <c r="G273" i="19"/>
  <c r="K264" i="19"/>
  <c r="Z363" i="19"/>
  <c r="M242" i="19"/>
  <c r="Y337" i="19"/>
  <c r="Z164" i="19"/>
  <c r="I299" i="19"/>
  <c r="Z263" i="19"/>
  <c r="L137" i="19"/>
  <c r="F229" i="19"/>
  <c r="N220" i="19"/>
  <c r="L278" i="19"/>
  <c r="AB195" i="19"/>
  <c r="Y320" i="19"/>
  <c r="Y121" i="19"/>
  <c r="K358" i="19"/>
  <c r="F188" i="19"/>
  <c r="M148" i="19"/>
  <c r="J304" i="19"/>
  <c r="K136" i="19"/>
  <c r="M166" i="19"/>
  <c r="G232" i="19"/>
  <c r="V150" i="19"/>
  <c r="F147" i="19"/>
  <c r="V234" i="19"/>
  <c r="V164" i="19"/>
  <c r="I345" i="19"/>
  <c r="L279" i="19"/>
  <c r="AB353" i="19"/>
  <c r="L140" i="19"/>
  <c r="G138" i="19"/>
  <c r="L360" i="19"/>
  <c r="N149" i="19"/>
  <c r="V258" i="19"/>
  <c r="L287" i="19"/>
  <c r="K152" i="19"/>
  <c r="M233" i="19"/>
  <c r="AA358" i="19"/>
  <c r="U358" i="19" s="1"/>
  <c r="N244" i="19"/>
  <c r="K125" i="19"/>
  <c r="M344" i="19"/>
  <c r="X169" i="19"/>
  <c r="G359" i="19"/>
  <c r="L318" i="19"/>
  <c r="M195" i="19"/>
  <c r="Y327" i="19"/>
  <c r="N144" i="19"/>
  <c r="L257" i="19"/>
  <c r="I346" i="19"/>
  <c r="G205" i="19"/>
  <c r="M234" i="19"/>
  <c r="AB215" i="19"/>
  <c r="M168" i="19"/>
  <c r="V330" i="19"/>
  <c r="X347" i="19"/>
  <c r="AA292" i="19"/>
  <c r="N217" i="19"/>
  <c r="N178" i="19"/>
  <c r="I119" i="19"/>
  <c r="L117" i="19"/>
  <c r="AA356" i="19"/>
  <c r="J362" i="19"/>
  <c r="K203" i="19"/>
  <c r="AB245" i="19"/>
  <c r="Y288" i="19"/>
  <c r="F174" i="19"/>
  <c r="X275" i="19"/>
  <c r="N179" i="19"/>
  <c r="G332" i="19"/>
  <c r="N247" i="19"/>
  <c r="L166" i="19"/>
  <c r="V163" i="19"/>
  <c r="F126" i="19"/>
  <c r="AA236" i="19"/>
  <c r="I208" i="19"/>
  <c r="K263" i="19"/>
  <c r="V337" i="19"/>
  <c r="AA189" i="19"/>
  <c r="J265" i="19"/>
  <c r="X268" i="19"/>
  <c r="AB133" i="19"/>
  <c r="I278" i="19"/>
  <c r="Z303" i="19"/>
  <c r="Y191" i="19"/>
  <c r="V338" i="19"/>
  <c r="AB237" i="19"/>
  <c r="K124" i="19"/>
  <c r="Z207" i="19"/>
  <c r="X199" i="19"/>
  <c r="F347" i="19"/>
  <c r="Y196" i="19"/>
  <c r="G290" i="19"/>
  <c r="AA175" i="19"/>
  <c r="G160" i="19"/>
  <c r="J356" i="19"/>
  <c r="N134" i="19"/>
  <c r="H250" i="19"/>
  <c r="I158" i="19"/>
  <c r="N227" i="19"/>
  <c r="G242" i="19"/>
  <c r="G267" i="19"/>
  <c r="Y176" i="19"/>
  <c r="M202" i="19"/>
  <c r="AA284" i="19"/>
  <c r="I179" i="19"/>
  <c r="G331" i="19"/>
  <c r="AB298" i="19"/>
  <c r="K165" i="19"/>
  <c r="AB289" i="19"/>
  <c r="K142" i="19"/>
  <c r="I231" i="19"/>
  <c r="M306" i="19"/>
  <c r="V287" i="19"/>
  <c r="AA124" i="19"/>
  <c r="G349" i="19"/>
  <c r="Y207" i="19"/>
  <c r="H131" i="19"/>
  <c r="AA368" i="19"/>
  <c r="U368" i="19" s="1"/>
  <c r="F358" i="19"/>
  <c r="J159" i="19"/>
  <c r="J269" i="19"/>
  <c r="H123" i="19"/>
  <c r="I263" i="19"/>
  <c r="K224" i="19"/>
  <c r="AB149" i="19"/>
  <c r="N315" i="19"/>
  <c r="K299" i="19"/>
  <c r="M125" i="19"/>
  <c r="Y184" i="19"/>
  <c r="H253" i="19"/>
  <c r="N221" i="19"/>
  <c r="AA179" i="19"/>
  <c r="Z174" i="19"/>
  <c r="L127" i="19"/>
  <c r="AA164" i="19"/>
  <c r="J213" i="19"/>
  <c r="G346" i="19"/>
  <c r="F356" i="19"/>
  <c r="I168" i="19"/>
  <c r="J250" i="19"/>
  <c r="K258" i="19"/>
  <c r="AB147" i="19"/>
  <c r="I149" i="19"/>
  <c r="M167" i="19"/>
  <c r="M219" i="19"/>
  <c r="K139" i="19"/>
  <c r="N136" i="19"/>
  <c r="G117" i="19"/>
  <c r="AA362" i="19"/>
  <c r="I251" i="19"/>
  <c r="AA135" i="19"/>
  <c r="G259" i="19"/>
  <c r="AA264" i="19"/>
  <c r="AB124" i="19"/>
  <c r="F181" i="19"/>
  <c r="H298" i="19"/>
  <c r="V285" i="19"/>
  <c r="N135" i="19"/>
  <c r="Z155" i="19"/>
  <c r="H232" i="19"/>
  <c r="AA138" i="19"/>
  <c r="M175" i="19"/>
  <c r="AB274" i="19"/>
  <c r="AA151" i="19"/>
  <c r="V154" i="19"/>
  <c r="M314" i="19"/>
  <c r="H220" i="19"/>
  <c r="K256" i="19"/>
  <c r="Y244" i="19"/>
  <c r="L159" i="19"/>
  <c r="Z165" i="19"/>
  <c r="H165" i="19"/>
  <c r="AB327" i="19"/>
  <c r="Z245" i="19"/>
  <c r="N283" i="19"/>
  <c r="L251" i="19"/>
  <c r="AA360" i="19"/>
  <c r="M147" i="19"/>
  <c r="Y142" i="19"/>
  <c r="M270" i="19"/>
  <c r="L295" i="19"/>
  <c r="AA246" i="19"/>
  <c r="L332" i="19"/>
  <c r="AA245" i="19"/>
  <c r="AA123" i="19"/>
  <c r="I227" i="19"/>
  <c r="Z214" i="19"/>
  <c r="V202" i="19"/>
  <c r="X125" i="19"/>
  <c r="AA252" i="19"/>
  <c r="G336" i="19"/>
  <c r="L321" i="19"/>
  <c r="K314" i="19"/>
  <c r="I313" i="19"/>
  <c r="AA348" i="19"/>
  <c r="AB207" i="19"/>
  <c r="AB334" i="19"/>
  <c r="G283" i="19"/>
  <c r="F220" i="19"/>
  <c r="I241" i="19"/>
  <c r="M323" i="19"/>
  <c r="I233" i="19"/>
  <c r="Y339" i="19"/>
  <c r="F286" i="19"/>
  <c r="I191" i="19"/>
  <c r="V320" i="19"/>
  <c r="M191" i="19"/>
  <c r="I238" i="19"/>
  <c r="V358" i="19"/>
  <c r="N240" i="19"/>
  <c r="X184" i="19"/>
  <c r="L280" i="19"/>
  <c r="Z236" i="19"/>
  <c r="J330" i="19"/>
  <c r="L282" i="19"/>
  <c r="L212" i="19"/>
  <c r="Y242" i="19"/>
  <c r="X257" i="19"/>
  <c r="AB359" i="19"/>
  <c r="N356" i="19"/>
  <c r="J323" i="19"/>
  <c r="AB205" i="19"/>
  <c r="K351" i="19"/>
  <c r="M259" i="19"/>
  <c r="L350" i="19"/>
  <c r="K341" i="19"/>
  <c r="N327" i="19"/>
  <c r="M353" i="19"/>
  <c r="M359" i="19"/>
  <c r="AB186" i="19"/>
  <c r="Y360" i="19"/>
  <c r="AA344" i="19"/>
  <c r="F332" i="19"/>
  <c r="G179" i="19"/>
  <c r="F364" i="19"/>
  <c r="N146" i="19"/>
  <c r="L270" i="19"/>
  <c r="J126" i="19"/>
  <c r="J280" i="19"/>
  <c r="X129" i="19"/>
  <c r="AB188" i="19"/>
  <c r="K240" i="19"/>
  <c r="X321" i="19"/>
  <c r="I292" i="19"/>
  <c r="AB230" i="19"/>
  <c r="L144" i="19"/>
  <c r="L134" i="19"/>
  <c r="N303" i="19"/>
  <c r="M152" i="19"/>
  <c r="N143" i="19"/>
  <c r="K116" i="19"/>
  <c r="H198" i="19"/>
  <c r="F146" i="19"/>
  <c r="F209" i="19"/>
  <c r="Y180" i="19"/>
  <c r="J178" i="19"/>
  <c r="Y311" i="19"/>
  <c r="I256" i="19"/>
  <c r="F361" i="19"/>
  <c r="V139" i="19"/>
  <c r="G298" i="19"/>
  <c r="Y348" i="19"/>
  <c r="AB260" i="19"/>
  <c r="L304" i="19"/>
  <c r="M141" i="19"/>
  <c r="M217" i="19"/>
  <c r="F289" i="19"/>
  <c r="N340" i="19"/>
  <c r="M275" i="19"/>
  <c r="J180" i="19"/>
  <c r="Y328" i="19"/>
  <c r="Y255" i="19"/>
  <c r="I130" i="19"/>
  <c r="F353" i="19"/>
  <c r="AB214" i="19"/>
  <c r="F145" i="19"/>
  <c r="K325" i="19"/>
  <c r="M288" i="19"/>
  <c r="M366" i="19"/>
  <c r="H239" i="19"/>
  <c r="Y127" i="19"/>
  <c r="Y228" i="19"/>
  <c r="Z153" i="19"/>
  <c r="F335" i="19"/>
  <c r="J129" i="19"/>
  <c r="X361" i="19"/>
  <c r="Z215" i="19"/>
  <c r="X150" i="19"/>
  <c r="N258" i="19"/>
  <c r="Y302" i="19"/>
  <c r="K309" i="19"/>
  <c r="AB283" i="19"/>
  <c r="AA256" i="19"/>
  <c r="L232" i="19"/>
  <c r="I225" i="19"/>
  <c r="J174" i="19"/>
  <c r="H127" i="19"/>
  <c r="N284" i="19"/>
  <c r="L214" i="19"/>
  <c r="N359" i="19"/>
  <c r="G174" i="19"/>
  <c r="L316" i="19"/>
  <c r="AA117" i="19"/>
  <c r="J215" i="19"/>
  <c r="L361" i="19"/>
  <c r="N162" i="19"/>
  <c r="AB284" i="19"/>
  <c r="L121" i="19"/>
  <c r="AB328" i="19"/>
  <c r="I123" i="19"/>
  <c r="K210" i="19"/>
  <c r="AB239" i="19"/>
  <c r="H155" i="19"/>
  <c r="J181" i="19"/>
  <c r="L136" i="19"/>
  <c r="F180" i="19"/>
  <c r="Y254" i="19"/>
  <c r="N292" i="19"/>
  <c r="Y289" i="19"/>
  <c r="Z182" i="19"/>
  <c r="Z173" i="19"/>
  <c r="F162" i="19"/>
  <c r="L256" i="19"/>
  <c r="F355" i="19"/>
  <c r="N280" i="19"/>
  <c r="I293" i="19"/>
  <c r="I260" i="19"/>
  <c r="H185" i="19"/>
  <c r="V300" i="19"/>
  <c r="F164" i="19"/>
  <c r="K133" i="19"/>
  <c r="M365" i="19"/>
  <c r="H144" i="19"/>
  <c r="AB190" i="19"/>
  <c r="AA263" i="19"/>
  <c r="M290" i="19"/>
  <c r="M132" i="19"/>
  <c r="I334" i="19"/>
  <c r="V173" i="19"/>
  <c r="N281" i="19"/>
  <c r="N306" i="19"/>
  <c r="X353" i="19"/>
  <c r="J360" i="19"/>
  <c r="Z240" i="19"/>
  <c r="H363" i="19"/>
  <c r="Y195" i="19"/>
  <c r="AB210" i="19"/>
  <c r="L193" i="19"/>
  <c r="Z247" i="19"/>
  <c r="Z347" i="19"/>
  <c r="F336" i="19"/>
  <c r="G167" i="19"/>
  <c r="I252" i="19"/>
  <c r="J194" i="19"/>
  <c r="G319" i="19"/>
  <c r="K131" i="19"/>
  <c r="K219" i="19"/>
  <c r="Y139" i="19"/>
  <c r="I356" i="19"/>
  <c r="H354" i="19"/>
  <c r="Z175" i="19"/>
  <c r="V254" i="19"/>
  <c r="V310" i="19"/>
  <c r="F350" i="19"/>
  <c r="N214" i="19"/>
  <c r="Z167" i="19"/>
  <c r="V127" i="19"/>
  <c r="M271" i="19"/>
  <c r="L233" i="19"/>
  <c r="H356" i="19"/>
  <c r="L218" i="19"/>
  <c r="AA303" i="19"/>
  <c r="V220" i="19"/>
  <c r="F243" i="19"/>
  <c r="K250" i="19"/>
  <c r="J221" i="19"/>
  <c r="J139" i="19"/>
  <c r="AB153" i="19"/>
  <c r="J295" i="19"/>
  <c r="Z148" i="19"/>
  <c r="G159" i="19"/>
  <c r="M209" i="19"/>
  <c r="Z353" i="19"/>
  <c r="Z291" i="19"/>
  <c r="G129" i="19"/>
  <c r="AA206" i="19"/>
  <c r="M252" i="19"/>
  <c r="N164" i="19"/>
  <c r="V295" i="19"/>
  <c r="H368" i="19"/>
  <c r="K119" i="19"/>
  <c r="N188" i="19"/>
  <c r="V270" i="19"/>
  <c r="N279" i="19"/>
  <c r="K118" i="19"/>
  <c r="H286" i="19"/>
  <c r="N290" i="19"/>
  <c r="X163" i="19"/>
  <c r="N300" i="19"/>
  <c r="L354" i="19"/>
  <c r="G333" i="19"/>
  <c r="H340" i="19"/>
  <c r="M266" i="19"/>
  <c r="Y368" i="19"/>
  <c r="H360" i="19"/>
  <c r="J328" i="19"/>
  <c r="V148" i="19"/>
  <c r="Y319" i="19"/>
  <c r="I301" i="19"/>
  <c r="N328" i="19"/>
  <c r="N156" i="19"/>
  <c r="N289" i="19"/>
  <c r="G153" i="19"/>
  <c r="I335" i="19"/>
  <c r="L225" i="19"/>
  <c r="X309" i="19"/>
  <c r="Y318" i="19"/>
  <c r="H186" i="19"/>
  <c r="AA280" i="19"/>
  <c r="K293" i="19"/>
  <c r="Z137" i="19"/>
  <c r="X287" i="19"/>
  <c r="AA306" i="19"/>
  <c r="AA291" i="19"/>
  <c r="X165" i="19"/>
  <c r="G156" i="19"/>
  <c r="AA282" i="19"/>
  <c r="H273" i="19"/>
  <c r="F324" i="19"/>
  <c r="Z338" i="19"/>
  <c r="V263" i="19"/>
  <c r="I219" i="19"/>
  <c r="G120" i="19"/>
  <c r="L152" i="19"/>
  <c r="L221" i="19"/>
  <c r="Y304" i="19"/>
  <c r="Z367" i="19"/>
  <c r="F232" i="19"/>
  <c r="L338" i="19"/>
  <c r="X334" i="19"/>
  <c r="I129" i="19"/>
  <c r="Z293" i="19"/>
  <c r="X204" i="19"/>
  <c r="N130" i="19"/>
  <c r="J182" i="19"/>
  <c r="J207" i="19"/>
  <c r="L196" i="19"/>
  <c r="V236" i="19"/>
  <c r="Z249" i="19"/>
  <c r="I148" i="19"/>
  <c r="F317" i="19"/>
  <c r="X301" i="19"/>
  <c r="G246" i="19"/>
  <c r="AB263" i="19"/>
  <c r="AA329" i="19"/>
  <c r="Y286" i="19"/>
  <c r="G347" i="19"/>
  <c r="H214" i="19"/>
  <c r="Y300" i="19"/>
  <c r="Y268" i="19"/>
  <c r="K307" i="19"/>
  <c r="K350" i="19"/>
  <c r="M128" i="19"/>
  <c r="M116" i="19"/>
  <c r="AA347" i="19"/>
  <c r="Z286" i="19"/>
  <c r="X359" i="19"/>
  <c r="M200" i="19"/>
  <c r="AA195" i="19"/>
  <c r="V129" i="19"/>
  <c r="H333" i="19"/>
  <c r="G119" i="19"/>
  <c r="V198" i="19"/>
  <c r="V299" i="19"/>
  <c r="H339" i="19"/>
  <c r="Y136" i="19"/>
  <c r="AA205" i="19"/>
  <c r="F136" i="19"/>
  <c r="G211" i="19"/>
  <c r="AB275" i="19"/>
  <c r="F279" i="19"/>
  <c r="Y165" i="19"/>
  <c r="K202" i="19"/>
  <c r="L174" i="19"/>
  <c r="Z349" i="19"/>
  <c r="V242" i="19"/>
  <c r="L153" i="19"/>
  <c r="V212" i="19"/>
  <c r="Z344" i="19"/>
  <c r="H183" i="19"/>
  <c r="L189" i="19"/>
  <c r="L145" i="19"/>
  <c r="N142" i="19"/>
  <c r="H203" i="19"/>
  <c r="Y323" i="19"/>
  <c r="Y257" i="19"/>
  <c r="K230" i="19"/>
  <c r="L364" i="19"/>
  <c r="H221" i="19"/>
  <c r="V143" i="19"/>
  <c r="Z206" i="19"/>
  <c r="AA330" i="19"/>
  <c r="I340" i="19"/>
  <c r="J154" i="19"/>
  <c r="L192" i="19"/>
  <c r="X265" i="19"/>
  <c r="Y346" i="19"/>
  <c r="K283" i="19"/>
  <c r="L198" i="19"/>
  <c r="H167" i="19"/>
  <c r="M172" i="19"/>
  <c r="Z157" i="19"/>
  <c r="I193" i="19"/>
  <c r="V159" i="19"/>
  <c r="H139" i="19"/>
  <c r="V303" i="19"/>
  <c r="K269" i="19"/>
  <c r="N249" i="19"/>
  <c r="V180" i="19"/>
  <c r="AB238" i="19"/>
  <c r="K329" i="19"/>
  <c r="J235" i="19"/>
  <c r="I131" i="19"/>
  <c r="X324" i="19"/>
  <c r="H291" i="19"/>
  <c r="N246" i="19"/>
  <c r="N218" i="19"/>
  <c r="L231" i="19"/>
  <c r="M369" i="19"/>
  <c r="G270" i="19"/>
  <c r="AB174" i="19"/>
  <c r="L243" i="19"/>
  <c r="J220" i="19"/>
  <c r="M115" i="19"/>
  <c r="K270" i="19"/>
  <c r="AA328" i="19"/>
  <c r="N360" i="19"/>
  <c r="AA152" i="19"/>
  <c r="F266" i="19"/>
  <c r="J210" i="19"/>
  <c r="F326" i="19"/>
  <c r="I246" i="19"/>
  <c r="F302" i="19"/>
  <c r="N288" i="19"/>
  <c r="AB168" i="19"/>
  <c r="N169" i="19"/>
  <c r="N282" i="19"/>
  <c r="X249" i="19"/>
  <c r="I333" i="19"/>
  <c r="Y321" i="19"/>
  <c r="H249" i="19"/>
  <c r="Y340" i="19"/>
  <c r="L367" i="19"/>
  <c r="I364" i="19"/>
  <c r="F148" i="19"/>
  <c r="I338" i="19"/>
  <c r="J117" i="19"/>
  <c r="I215" i="19"/>
  <c r="Y208" i="19"/>
  <c r="K359" i="19"/>
  <c r="Z183" i="19"/>
  <c r="M339" i="19"/>
  <c r="AA230" i="19"/>
  <c r="K342" i="19"/>
  <c r="X264" i="19"/>
  <c r="V115" i="19"/>
  <c r="N296" i="19"/>
  <c r="J267" i="19"/>
  <c r="V119" i="19"/>
  <c r="N173" i="19"/>
  <c r="V273" i="19"/>
  <c r="Y226" i="19"/>
  <c r="H125" i="19"/>
  <c r="J367" i="19"/>
  <c r="I217" i="19"/>
  <c r="V210" i="19"/>
  <c r="H213" i="19"/>
  <c r="G194" i="19"/>
  <c r="H145" i="19"/>
  <c r="I332" i="19"/>
  <c r="M180" i="19"/>
  <c r="Z302" i="19"/>
  <c r="H287" i="19"/>
  <c r="X197" i="19"/>
  <c r="L236" i="19"/>
  <c r="X354" i="19"/>
  <c r="K243" i="19"/>
  <c r="AB363" i="19"/>
  <c r="AA336" i="19"/>
  <c r="L301" i="19"/>
  <c r="Z284" i="19"/>
  <c r="L353" i="19"/>
  <c r="AB196" i="19"/>
  <c r="AA285" i="19"/>
  <c r="F339" i="19"/>
  <c r="I290" i="19"/>
  <c r="G238" i="19"/>
  <c r="K260" i="19"/>
  <c r="AA169" i="19"/>
  <c r="M235" i="19"/>
  <c r="K311" i="19"/>
  <c r="F131" i="19"/>
  <c r="X190" i="19"/>
  <c r="Z330" i="19"/>
  <c r="V348" i="19"/>
  <c r="L335" i="19"/>
  <c r="N157" i="19"/>
  <c r="N311" i="19"/>
  <c r="H282" i="19"/>
  <c r="N198" i="19"/>
  <c r="N154" i="19"/>
  <c r="X188" i="19"/>
  <c r="H349" i="19"/>
  <c r="V132" i="19"/>
  <c r="K356" i="19"/>
  <c r="J368" i="19"/>
  <c r="K262" i="19"/>
  <c r="AA209" i="19"/>
  <c r="X274" i="19"/>
  <c r="F304" i="19"/>
  <c r="V227" i="19"/>
  <c r="I174" i="19"/>
  <c r="G210" i="19"/>
  <c r="G350" i="19"/>
  <c r="AA139" i="19"/>
  <c r="Z197" i="19"/>
  <c r="Z308" i="19"/>
  <c r="AA351" i="19"/>
  <c r="J144" i="19"/>
  <c r="K180" i="19"/>
  <c r="G221" i="19"/>
  <c r="N341" i="19"/>
  <c r="M196" i="19"/>
  <c r="X161" i="19"/>
  <c r="X306" i="19"/>
  <c r="G342" i="19"/>
  <c r="Y271" i="19"/>
  <c r="J240" i="19"/>
  <c r="K291" i="19"/>
  <c r="V178" i="19"/>
  <c r="H133" i="19"/>
  <c r="J299" i="19"/>
  <c r="G279" i="19"/>
  <c r="F166" i="19"/>
  <c r="Z369" i="19"/>
  <c r="F144" i="19"/>
  <c r="G302" i="19"/>
  <c r="K186" i="19"/>
  <c r="F269" i="19"/>
  <c r="Z368" i="19"/>
  <c r="AB262" i="19"/>
  <c r="H197" i="19"/>
  <c r="AB185" i="19"/>
  <c r="Y135" i="19"/>
  <c r="I213" i="19"/>
  <c r="H274" i="19"/>
  <c r="G157" i="19"/>
  <c r="I162" i="19"/>
  <c r="G266" i="19"/>
  <c r="I214" i="19"/>
  <c r="M159" i="19"/>
  <c r="H126" i="19"/>
  <c r="L293" i="19"/>
  <c r="G296" i="19"/>
  <c r="Y210" i="19"/>
  <c r="AB364" i="19"/>
  <c r="I212" i="19"/>
  <c r="AB139" i="19"/>
  <c r="K288" i="19"/>
  <c r="Z124" i="19"/>
  <c r="L271" i="19"/>
  <c r="K274" i="19"/>
  <c r="M199" i="19"/>
  <c r="AA234" i="19"/>
  <c r="M289" i="19"/>
  <c r="L128" i="19"/>
  <c r="Y146" i="19"/>
  <c r="N259" i="19"/>
  <c r="N209" i="19"/>
  <c r="V136" i="19"/>
  <c r="AA250" i="19"/>
  <c r="AA156" i="19"/>
  <c r="U156" i="19" s="1"/>
  <c r="L286" i="19"/>
  <c r="J318" i="19"/>
  <c r="F270" i="19"/>
  <c r="K354" i="19"/>
  <c r="F342" i="19"/>
  <c r="K322" i="19"/>
  <c r="J137" i="19"/>
  <c r="G295" i="19"/>
  <c r="G368" i="19"/>
  <c r="M351" i="19"/>
  <c r="N257" i="19"/>
  <c r="V153" i="19"/>
  <c r="Z301" i="19"/>
  <c r="K241" i="19"/>
  <c r="G278" i="19"/>
  <c r="J175" i="19"/>
  <c r="F314" i="19"/>
  <c r="AB287" i="19"/>
  <c r="AA140" i="19"/>
  <c r="N126" i="19"/>
  <c r="F227" i="19"/>
  <c r="Z343" i="19"/>
  <c r="J173" i="19"/>
  <c r="M367" i="19"/>
  <c r="G367" i="19"/>
  <c r="H345" i="19"/>
  <c r="M178" i="19"/>
  <c r="K253" i="19"/>
  <c r="H254" i="19"/>
  <c r="H177" i="19"/>
  <c r="J332" i="19"/>
  <c r="N334" i="19"/>
  <c r="N239" i="19"/>
  <c r="X160" i="19"/>
  <c r="M348" i="19"/>
  <c r="Z320" i="19"/>
  <c r="X224" i="19"/>
  <c r="V187" i="19"/>
  <c r="N295" i="19"/>
  <c r="N191" i="19"/>
  <c r="Y150" i="19"/>
  <c r="AA251" i="19"/>
  <c r="X123" i="19"/>
  <c r="N321" i="19"/>
  <c r="J331" i="19"/>
  <c r="Y354" i="19"/>
  <c r="AB126" i="19"/>
  <c r="F285" i="19"/>
  <c r="AA314" i="19"/>
  <c r="I267" i="19"/>
  <c r="H297" i="19"/>
  <c r="M310" i="19"/>
  <c r="J223" i="19"/>
  <c r="J206" i="19"/>
  <c r="Y183" i="19"/>
  <c r="I190" i="19"/>
  <c r="V204" i="19"/>
  <c r="K158" i="19"/>
  <c r="N260" i="19"/>
  <c r="H215" i="19"/>
  <c r="H150" i="19"/>
  <c r="L200" i="19"/>
  <c r="F248" i="19"/>
  <c r="AB301" i="19"/>
  <c r="I234" i="19"/>
  <c r="I204" i="19"/>
  <c r="J203" i="19"/>
  <c r="V207" i="19"/>
  <c r="Z258" i="19"/>
  <c r="AB131" i="19"/>
  <c r="Z221" i="19"/>
  <c r="M215" i="19"/>
  <c r="X325" i="19"/>
  <c r="G165" i="19"/>
  <c r="K205" i="19"/>
  <c r="F115" i="19"/>
  <c r="Z348" i="19"/>
  <c r="G166" i="19"/>
  <c r="G297" i="19"/>
  <c r="K285" i="19"/>
  <c r="F187" i="19"/>
  <c r="Y175" i="19"/>
  <c r="I122" i="19"/>
  <c r="H240" i="19"/>
  <c r="K272" i="19"/>
  <c r="AB346" i="19"/>
  <c r="M192" i="19"/>
  <c r="M318" i="19"/>
  <c r="G281" i="19"/>
  <c r="Y267" i="19"/>
  <c r="X239" i="19"/>
  <c r="AA289" i="19"/>
  <c r="M173" i="19"/>
  <c r="AA143" i="19"/>
  <c r="AA270" i="19"/>
  <c r="AA309" i="19"/>
  <c r="Y294" i="19"/>
  <c r="K159" i="19"/>
  <c r="V179" i="19"/>
  <c r="N228" i="19"/>
  <c r="F368" i="19"/>
  <c r="G116" i="19"/>
  <c r="X292" i="19"/>
  <c r="J248" i="19"/>
  <c r="M342" i="19"/>
  <c r="L184" i="19"/>
  <c r="X346" i="19"/>
  <c r="Z119" i="19"/>
  <c r="H266" i="19"/>
  <c r="Z231" i="19"/>
  <c r="M325" i="19"/>
  <c r="AA190" i="19"/>
  <c r="Y185" i="19"/>
  <c r="K237" i="19"/>
  <c r="F319" i="19"/>
  <c r="H176" i="19"/>
  <c r="K235" i="19"/>
  <c r="AA313" i="19"/>
  <c r="N250" i="19"/>
  <c r="V268" i="19"/>
  <c r="H303" i="19"/>
  <c r="Y159" i="19"/>
  <c r="V275" i="19"/>
  <c r="M322" i="19"/>
  <c r="J273" i="19"/>
  <c r="L348" i="19"/>
  <c r="X278" i="19"/>
  <c r="Y345" i="19"/>
  <c r="M352" i="19"/>
  <c r="K141" i="19"/>
  <c r="X181" i="19"/>
  <c r="J148" i="19"/>
  <c r="V170" i="19"/>
  <c r="F257" i="19"/>
  <c r="Z232" i="19"/>
  <c r="AA346" i="19"/>
  <c r="Y197" i="19"/>
  <c r="Y310" i="19"/>
  <c r="X316" i="19"/>
  <c r="F345" i="19"/>
  <c r="AA196" i="19"/>
  <c r="Z136" i="19"/>
  <c r="L328" i="19"/>
  <c r="Z160" i="19"/>
  <c r="I155" i="19"/>
  <c r="K362" i="19"/>
  <c r="M197" i="19"/>
  <c r="AB200" i="19"/>
  <c r="X308" i="19"/>
  <c r="L216" i="19"/>
  <c r="Y331" i="19"/>
  <c r="G118" i="19"/>
  <c r="K364" i="19"/>
  <c r="K187" i="19"/>
  <c r="F127" i="19"/>
  <c r="L158" i="19"/>
  <c r="K209" i="19"/>
  <c r="Z314" i="19"/>
  <c r="G181" i="19"/>
  <c r="AB233" i="19"/>
  <c r="M136" i="19"/>
  <c r="X280" i="19"/>
  <c r="I310" i="19"/>
  <c r="N201" i="19"/>
  <c r="G188" i="19"/>
  <c r="AB296" i="19"/>
  <c r="H280" i="19"/>
  <c r="I235" i="19"/>
  <c r="I367" i="19"/>
  <c r="K128" i="19"/>
  <c r="N335" i="19"/>
  <c r="G343" i="19"/>
  <c r="I230" i="19"/>
  <c r="I125" i="19"/>
  <c r="L337" i="19"/>
  <c r="H304" i="19"/>
  <c r="J276" i="19"/>
  <c r="J256" i="19"/>
  <c r="L149" i="19"/>
  <c r="N324" i="19"/>
  <c r="I176" i="19"/>
  <c r="AA320" i="19"/>
  <c r="K167" i="19"/>
  <c r="Y261" i="19"/>
  <c r="Y303" i="19"/>
  <c r="V357" i="19"/>
  <c r="L343" i="19"/>
  <c r="V322" i="19"/>
  <c r="I342" i="19"/>
  <c r="F235" i="19"/>
  <c r="N310" i="19"/>
  <c r="V240" i="19"/>
  <c r="AA162" i="19"/>
  <c r="I195" i="19"/>
  <c r="K227" i="19"/>
  <c r="AB132" i="19"/>
  <c r="Z313" i="19"/>
  <c r="J229" i="19"/>
  <c r="V196" i="19"/>
  <c r="N222" i="19"/>
  <c r="K277" i="19"/>
  <c r="M333" i="19"/>
  <c r="J294" i="19"/>
  <c r="AA223" i="19"/>
  <c r="F321" i="19"/>
  <c r="K147" i="19"/>
  <c r="V362" i="19"/>
  <c r="H191" i="19"/>
  <c r="I126" i="19"/>
  <c r="M223" i="19"/>
  <c r="J189" i="19"/>
  <c r="AA261" i="19"/>
  <c r="F274" i="19"/>
  <c r="X138" i="19"/>
  <c r="J361" i="19"/>
  <c r="G139" i="19"/>
  <c r="X258" i="19"/>
  <c r="L323" i="19"/>
  <c r="K196" i="19"/>
  <c r="V339" i="19"/>
  <c r="AB331" i="19"/>
  <c r="X145" i="19"/>
  <c r="Y120" i="19"/>
  <c r="N320" i="19"/>
  <c r="V368" i="19"/>
  <c r="AB117" i="19"/>
  <c r="V297" i="19"/>
  <c r="AA207" i="19"/>
  <c r="V213" i="19"/>
  <c r="V369" i="19"/>
  <c r="Z365" i="19"/>
  <c r="I143" i="19"/>
  <c r="F307" i="19"/>
  <c r="I295" i="19"/>
  <c r="N204" i="19"/>
  <c r="K148" i="19"/>
  <c r="M150" i="19"/>
  <c r="I151" i="19"/>
  <c r="X152" i="19"/>
  <c r="J190" i="19"/>
  <c r="I127" i="19"/>
  <c r="J195" i="19"/>
  <c r="AA355" i="19"/>
  <c r="U355" i="19" s="1"/>
  <c r="I269" i="19"/>
  <c r="Z187" i="19"/>
  <c r="F333" i="19"/>
  <c r="AA180" i="19"/>
  <c r="AB247" i="19"/>
  <c r="H136" i="19"/>
  <c r="I280" i="19"/>
  <c r="I250" i="19"/>
  <c r="I339" i="19"/>
  <c r="Z140" i="19"/>
  <c r="V121" i="19"/>
  <c r="Z334" i="19"/>
  <c r="F290" i="19"/>
  <c r="L170" i="19"/>
  <c r="Z178" i="19"/>
  <c r="G228" i="19"/>
  <c r="Z141" i="19"/>
  <c r="H233" i="19"/>
  <c r="M137" i="19"/>
  <c r="X253" i="19"/>
  <c r="F206" i="19"/>
  <c r="F308" i="19"/>
  <c r="Y260" i="19"/>
  <c r="AB137" i="19"/>
  <c r="G288" i="19"/>
  <c r="AB347" i="19"/>
  <c r="G231" i="19"/>
  <c r="N125" i="19"/>
  <c r="K178" i="19"/>
  <c r="N131" i="19"/>
  <c r="H184" i="19"/>
  <c r="V327" i="19"/>
  <c r="Z143" i="19"/>
  <c r="G265" i="19"/>
  <c r="G189" i="19"/>
  <c r="J309" i="19"/>
  <c r="I320" i="19"/>
  <c r="F331" i="19"/>
  <c r="F328" i="19"/>
  <c r="Y166" i="19"/>
  <c r="M304" i="19"/>
  <c r="J316" i="19"/>
  <c r="X177" i="19"/>
  <c r="K123" i="19"/>
  <c r="I327" i="19"/>
  <c r="V366" i="19"/>
  <c r="Z188" i="19"/>
  <c r="V114" i="19"/>
  <c r="AB368" i="19"/>
  <c r="V344" i="19"/>
  <c r="AB315" i="19"/>
  <c r="AA366" i="19"/>
  <c r="N337" i="19"/>
  <c r="X134" i="19"/>
  <c r="V228" i="19"/>
  <c r="Y200" i="19"/>
  <c r="AA158" i="19"/>
  <c r="U158" i="19" s="1"/>
  <c r="AB187" i="19"/>
  <c r="Y231" i="19"/>
  <c r="Z116" i="19"/>
  <c r="K171" i="19"/>
  <c r="AB119" i="19"/>
  <c r="N362" i="19"/>
  <c r="N150" i="19"/>
  <c r="G145" i="19"/>
  <c r="Z269" i="19"/>
  <c r="M183" i="19"/>
  <c r="L188" i="19"/>
  <c r="AA255" i="19"/>
  <c r="Y163" i="19"/>
  <c r="J274" i="19"/>
  <c r="F348" i="19"/>
  <c r="AA194" i="19"/>
  <c r="F160" i="19"/>
  <c r="G169" i="19"/>
  <c r="X368" i="19"/>
  <c r="AA202" i="19"/>
  <c r="F189" i="19"/>
  <c r="N357" i="19"/>
  <c r="AB138" i="19"/>
  <c r="N347" i="19"/>
  <c r="Z273" i="19"/>
  <c r="H292" i="19"/>
  <c r="G269" i="19"/>
  <c r="J125" i="19"/>
  <c r="H207" i="19"/>
  <c r="Z179" i="19"/>
  <c r="Y334" i="19"/>
  <c r="AA257" i="19"/>
  <c r="G124" i="19"/>
  <c r="V267" i="19"/>
  <c r="I183" i="19"/>
  <c r="M169" i="19"/>
  <c r="G291" i="19"/>
  <c r="M299" i="19"/>
  <c r="M129" i="19"/>
  <c r="L290" i="19"/>
  <c r="N216" i="19"/>
  <c r="K201" i="19"/>
  <c r="Y296" i="19"/>
  <c r="I341" i="19"/>
  <c r="K208" i="19"/>
  <c r="K194" i="19"/>
  <c r="G163" i="19"/>
  <c r="V255" i="19"/>
  <c r="F179" i="19"/>
  <c r="F349" i="19"/>
  <c r="Z130" i="19"/>
  <c r="K248" i="19"/>
  <c r="N206" i="19"/>
  <c r="Y347" i="19"/>
  <c r="M295" i="19"/>
  <c r="H140" i="19"/>
  <c r="N253" i="19"/>
  <c r="V288" i="19"/>
  <c r="I259" i="19"/>
  <c r="F184" i="19"/>
  <c r="X262" i="19"/>
  <c r="V155" i="19"/>
  <c r="N361" i="19"/>
  <c r="L154" i="19"/>
  <c r="N353" i="19"/>
  <c r="H351" i="19"/>
  <c r="I211" i="19"/>
  <c r="X216" i="19"/>
  <c r="H149" i="19"/>
  <c r="K231" i="19"/>
  <c r="G155" i="19"/>
  <c r="L260" i="19"/>
  <c r="N272" i="19"/>
  <c r="G361" i="19"/>
  <c r="V172" i="19"/>
  <c r="L234" i="19"/>
  <c r="AB256" i="19"/>
  <c r="M287" i="19"/>
  <c r="Y213" i="19"/>
  <c r="G178" i="19"/>
  <c r="F223" i="19"/>
  <c r="X234" i="19"/>
  <c r="N241" i="19"/>
  <c r="H169" i="19"/>
  <c r="AB323" i="19"/>
  <c r="F244" i="19"/>
  <c r="G182" i="19"/>
  <c r="K121" i="19"/>
  <c r="AA155" i="19"/>
  <c r="F134" i="19"/>
  <c r="H225" i="19"/>
  <c r="V306" i="19"/>
  <c r="AA224" i="19"/>
  <c r="Y274" i="19"/>
  <c r="Y312" i="19"/>
  <c r="F151" i="19"/>
  <c r="L308" i="19"/>
  <c r="Z142" i="19"/>
  <c r="F359" i="19"/>
  <c r="G220" i="19"/>
  <c r="AB341" i="19"/>
  <c r="M198" i="19"/>
  <c r="M171" i="19"/>
  <c r="V251" i="19"/>
  <c r="X336" i="19"/>
  <c r="N190" i="19"/>
  <c r="X146" i="19"/>
  <c r="H148" i="19"/>
  <c r="M257" i="19"/>
  <c r="F171" i="19"/>
  <c r="L185" i="19"/>
  <c r="X133" i="19"/>
  <c r="X343" i="19"/>
  <c r="Y251" i="19"/>
  <c r="AB114" i="19"/>
  <c r="V218" i="19"/>
  <c r="I369" i="19"/>
  <c r="Z335" i="19"/>
  <c r="M248" i="19"/>
  <c r="AA342" i="19"/>
  <c r="U342" i="19" s="1"/>
  <c r="G243" i="19"/>
  <c r="N122" i="19"/>
  <c r="X269" i="19"/>
  <c r="I218" i="19"/>
  <c r="L125" i="19"/>
  <c r="G247" i="19"/>
  <c r="AA319" i="19"/>
  <c r="I120" i="19"/>
  <c r="AB191" i="19"/>
  <c r="V250" i="19"/>
  <c r="G216" i="19"/>
  <c r="F316" i="19"/>
  <c r="AB236" i="19"/>
  <c r="X297" i="19"/>
  <c r="K368" i="19"/>
  <c r="G327" i="19"/>
  <c r="J135" i="19"/>
  <c r="G293" i="19"/>
  <c r="AA227" i="19"/>
  <c r="K160" i="19"/>
  <c r="L244" i="19"/>
  <c r="L339" i="19"/>
  <c r="Y173" i="19"/>
  <c r="X119" i="19"/>
  <c r="X215" i="19"/>
  <c r="G360" i="19"/>
  <c r="AA136" i="19"/>
  <c r="M139" i="19"/>
  <c r="K335" i="19"/>
  <c r="L327" i="19"/>
  <c r="K305" i="19"/>
  <c r="V214" i="19"/>
  <c r="Y280" i="19"/>
  <c r="AB286" i="19"/>
  <c r="Y317" i="19"/>
  <c r="G135" i="19"/>
  <c r="G137" i="19"/>
  <c r="L242" i="19"/>
  <c r="K295" i="19"/>
  <c r="AA343" i="19"/>
  <c r="G310" i="19"/>
  <c r="M246" i="19"/>
  <c r="AB182" i="19"/>
  <c r="K360" i="19"/>
  <c r="I312" i="19"/>
  <c r="J130" i="19"/>
  <c r="L246" i="19"/>
  <c r="X266" i="19"/>
  <c r="M320" i="19"/>
  <c r="Z123" i="19"/>
  <c r="AA188" i="19"/>
  <c r="AB339" i="19"/>
  <c r="G364" i="19"/>
  <c r="G241" i="19"/>
  <c r="X319" i="19"/>
  <c r="G335" i="19"/>
  <c r="AB157" i="19"/>
  <c r="F354" i="19"/>
  <c r="L357" i="19"/>
  <c r="AB181" i="19"/>
  <c r="N229" i="19"/>
  <c r="I302" i="19"/>
  <c r="Y367" i="19"/>
  <c r="M361" i="19"/>
  <c r="N203" i="19"/>
  <c r="F325" i="19"/>
  <c r="I167" i="19"/>
  <c r="Z181" i="19"/>
  <c r="AB344" i="19"/>
  <c r="Y245" i="19"/>
  <c r="Y177" i="19"/>
  <c r="L247" i="19"/>
  <c r="F218" i="19"/>
  <c r="K168" i="19"/>
  <c r="X369" i="19"/>
  <c r="G134" i="19"/>
  <c r="V181" i="19"/>
  <c r="AB290" i="19"/>
  <c r="I255" i="19"/>
  <c r="G128" i="19"/>
  <c r="V161" i="19"/>
  <c r="K155" i="19"/>
  <c r="Z172" i="19"/>
  <c r="Z146" i="19"/>
  <c r="AA222" i="19"/>
  <c r="F149" i="19"/>
  <c r="L180" i="19"/>
  <c r="K327" i="19"/>
  <c r="H312" i="19"/>
  <c r="I205" i="19"/>
  <c r="M220" i="19"/>
  <c r="M263" i="19"/>
  <c r="J291" i="19"/>
  <c r="L289" i="19"/>
  <c r="K216" i="19"/>
  <c r="AA210" i="19"/>
  <c r="U210" i="19" s="1"/>
  <c r="V308" i="19"/>
  <c r="Y119" i="19"/>
  <c r="G357" i="19"/>
  <c r="K301" i="19"/>
  <c r="F267" i="19"/>
  <c r="AB273" i="19"/>
  <c r="L230" i="19"/>
  <c r="Z118" i="19"/>
  <c r="Z256" i="19"/>
  <c r="G199" i="19"/>
  <c r="K239" i="19"/>
  <c r="L139" i="19"/>
  <c r="V329" i="19"/>
  <c r="AA307" i="19"/>
  <c r="Y275" i="19"/>
  <c r="M174" i="19"/>
  <c r="J336" i="19"/>
  <c r="G158" i="19"/>
  <c r="AA363" i="19"/>
  <c r="Z238" i="19"/>
  <c r="G187" i="19"/>
  <c r="AB158" i="19"/>
  <c r="AB115" i="19"/>
  <c r="AB358" i="19"/>
  <c r="AA258" i="19"/>
  <c r="H310" i="19"/>
  <c r="G131" i="19"/>
  <c r="K242" i="19"/>
  <c r="F273" i="19"/>
  <c r="J168" i="19"/>
  <c r="L205" i="19"/>
  <c r="V352" i="19"/>
  <c r="AA324" i="19"/>
  <c r="X241" i="19"/>
  <c r="N348" i="19"/>
  <c r="K184" i="19"/>
  <c r="I279" i="19"/>
  <c r="H217" i="19"/>
  <c r="AB179" i="19"/>
  <c r="Z364" i="19"/>
  <c r="H114" i="19"/>
  <c r="J204" i="19"/>
  <c r="I135" i="19"/>
  <c r="M327" i="19"/>
  <c r="J230" i="19"/>
  <c r="M211" i="19"/>
  <c r="AA172" i="19"/>
  <c r="V137" i="19"/>
  <c r="X284" i="19"/>
  <c r="I348" i="19"/>
  <c r="X220" i="19"/>
  <c r="X171" i="19"/>
  <c r="V280" i="19"/>
  <c r="V342" i="19"/>
  <c r="K261" i="19"/>
  <c r="F190" i="19"/>
  <c r="K336" i="19"/>
  <c r="AB136" i="19"/>
  <c r="L119" i="19"/>
  <c r="L313" i="19"/>
  <c r="J253" i="19"/>
  <c r="Z322" i="19"/>
  <c r="AB276" i="19"/>
  <c r="Z351" i="19"/>
  <c r="N336" i="19"/>
  <c r="Z315" i="19"/>
  <c r="F199" i="19"/>
  <c r="AB172" i="19"/>
  <c r="G123" i="19"/>
  <c r="I207" i="19"/>
  <c r="Z166" i="19"/>
  <c r="X332" i="19"/>
  <c r="AA369" i="19"/>
  <c r="J228" i="19"/>
  <c r="I305" i="19"/>
  <c r="L210" i="19"/>
  <c r="H195" i="19"/>
  <c r="AB183" i="19"/>
  <c r="X355" i="19"/>
  <c r="H322" i="19"/>
  <c r="F118" i="19"/>
  <c r="AA115" i="19"/>
  <c r="AB160" i="19"/>
  <c r="Z161" i="19"/>
  <c r="F360" i="19"/>
  <c r="J342" i="19"/>
  <c r="I157" i="19"/>
  <c r="AB217" i="19"/>
  <c r="G303" i="19"/>
  <c r="F338" i="19"/>
  <c r="X170" i="19"/>
  <c r="Y206" i="19"/>
  <c r="N318" i="19"/>
  <c r="N236" i="19"/>
  <c r="X356" i="19"/>
  <c r="V225" i="19"/>
  <c r="M337" i="19"/>
  <c r="X201" i="19"/>
  <c r="Z222" i="19"/>
  <c r="AA217" i="19"/>
  <c r="G125" i="19"/>
  <c r="G244" i="19"/>
  <c r="Z120" i="19"/>
  <c r="J303" i="19"/>
  <c r="J272" i="19"/>
  <c r="G284" i="19"/>
  <c r="N273" i="19"/>
  <c r="N365" i="19"/>
  <c r="N208" i="19"/>
  <c r="K287" i="19"/>
  <c r="M232" i="19"/>
  <c r="Y322" i="19"/>
  <c r="L297" i="19"/>
  <c r="J363" i="19"/>
  <c r="AB282" i="19"/>
  <c r="F192" i="19"/>
  <c r="K290" i="19"/>
  <c r="AB251" i="19"/>
  <c r="H336" i="19"/>
  <c r="AA247" i="19"/>
  <c r="H367" i="19"/>
  <c r="Y234" i="19"/>
  <c r="N265" i="19"/>
  <c r="Y114" i="19"/>
  <c r="I170" i="19"/>
  <c r="Z117" i="19"/>
  <c r="AA141" i="19"/>
  <c r="J211" i="19"/>
  <c r="J282" i="19"/>
  <c r="N182" i="19"/>
  <c r="F130" i="19"/>
  <c r="N267" i="19"/>
  <c r="G186" i="19"/>
  <c r="I315" i="19"/>
  <c r="Z281" i="19"/>
  <c r="N152" i="19"/>
  <c r="J305" i="19"/>
  <c r="J341" i="19"/>
  <c r="V199" i="19"/>
  <c r="J167" i="19"/>
  <c r="G245" i="19"/>
  <c r="H268" i="19"/>
  <c r="K143" i="19"/>
  <c r="Y151" i="19"/>
  <c r="Y219" i="19"/>
  <c r="M315" i="19"/>
  <c r="AA181" i="19"/>
  <c r="X296" i="19"/>
  <c r="L329" i="19"/>
  <c r="AB266" i="19"/>
  <c r="N226" i="19"/>
  <c r="F260" i="19"/>
  <c r="H216" i="19"/>
  <c r="V353" i="19"/>
  <c r="F313" i="19"/>
  <c r="AA359" i="19"/>
  <c r="F154" i="19"/>
  <c r="L269" i="19"/>
  <c r="N277" i="19"/>
  <c r="L310" i="19"/>
  <c r="N313" i="19"/>
  <c r="F165" i="19"/>
  <c r="AB317" i="19"/>
  <c r="Y236" i="19"/>
  <c r="K249" i="19"/>
  <c r="F352" i="19"/>
  <c r="Z229" i="19"/>
  <c r="H187" i="19"/>
  <c r="L340" i="19"/>
  <c r="K137" i="19"/>
  <c r="X358" i="19"/>
  <c r="G307" i="19"/>
  <c r="G322" i="19"/>
  <c r="F254" i="19"/>
  <c r="N352" i="19"/>
  <c r="I361" i="19"/>
  <c r="N212" i="19"/>
  <c r="N326" i="19"/>
  <c r="V211" i="19"/>
  <c r="Z342" i="19"/>
  <c r="N270" i="19"/>
  <c r="I331" i="19"/>
  <c r="J164" i="19"/>
  <c r="H328" i="19"/>
  <c r="AB123" i="19"/>
  <c r="N119" i="19"/>
  <c r="M358" i="19"/>
  <c r="V183" i="19"/>
  <c r="J227" i="19"/>
  <c r="M230" i="19"/>
  <c r="J271" i="19"/>
  <c r="V235" i="19"/>
  <c r="H353" i="19"/>
  <c r="I363" i="19"/>
  <c r="M260" i="19"/>
  <c r="V360" i="19"/>
  <c r="I316" i="19"/>
  <c r="J236" i="19"/>
  <c r="J313" i="19"/>
  <c r="X217" i="19"/>
  <c r="X127" i="19"/>
  <c r="X118" i="19"/>
  <c r="X164" i="19"/>
  <c r="AB155" i="19"/>
  <c r="K303" i="19"/>
  <c r="M291" i="19"/>
  <c r="Z170" i="19"/>
  <c r="J345" i="19"/>
  <c r="F214" i="19"/>
  <c r="M274" i="19"/>
  <c r="F238" i="19"/>
  <c r="AB356" i="19"/>
  <c r="H248" i="19"/>
  <c r="Y313" i="19"/>
  <c r="V117" i="19"/>
  <c r="X313" i="19"/>
  <c r="H277" i="19"/>
  <c r="F177" i="19"/>
  <c r="AA177" i="19"/>
  <c r="F173" i="19"/>
  <c r="V289" i="19"/>
  <c r="N225" i="19"/>
  <c r="AA228" i="19"/>
  <c r="Z126" i="19"/>
  <c r="Y221" i="19"/>
  <c r="N176" i="19"/>
  <c r="J131" i="19"/>
  <c r="K198" i="19"/>
  <c r="M303" i="19"/>
  <c r="Y248" i="19"/>
  <c r="Z149" i="19"/>
  <c r="K347" i="19"/>
  <c r="F293" i="19"/>
  <c r="J297" i="19"/>
  <c r="L342" i="19"/>
  <c r="K234" i="19"/>
  <c r="G177" i="19"/>
  <c r="K265" i="19"/>
  <c r="Z287" i="19"/>
  <c r="V364" i="19"/>
  <c r="M319" i="19"/>
  <c r="AA237" i="19"/>
  <c r="F195" i="19"/>
  <c r="Y189" i="19"/>
  <c r="X233" i="19"/>
  <c r="H132" i="19"/>
  <c r="N354" i="19"/>
  <c r="J257" i="19"/>
  <c r="N319" i="19"/>
  <c r="G286" i="19"/>
  <c r="X362" i="19"/>
  <c r="V128" i="19"/>
  <c r="J186" i="19"/>
  <c r="F256" i="19"/>
  <c r="V279" i="19"/>
  <c r="I188" i="19"/>
  <c r="N132" i="19"/>
  <c r="J197" i="19"/>
  <c r="Z203" i="19"/>
  <c r="M284" i="19"/>
  <c r="J171" i="19"/>
  <c r="X178" i="19"/>
  <c r="J352" i="19"/>
  <c r="I351" i="19"/>
  <c r="AA323" i="19"/>
  <c r="L175" i="19"/>
  <c r="L211" i="19"/>
  <c r="K214" i="19"/>
  <c r="K271" i="19"/>
  <c r="X267" i="19"/>
  <c r="F117" i="19"/>
  <c r="Y366" i="19"/>
  <c r="J357" i="19"/>
  <c r="Z360" i="19"/>
  <c r="L222" i="19"/>
  <c r="H147" i="19"/>
  <c r="X341" i="19"/>
  <c r="L283" i="19"/>
  <c r="I121" i="19"/>
  <c r="N167" i="19"/>
  <c r="X179" i="19"/>
  <c r="F216" i="19"/>
  <c r="J249" i="19"/>
  <c r="Z362" i="19"/>
  <c r="N256" i="19"/>
  <c r="V191" i="19"/>
  <c r="I247" i="19"/>
  <c r="Y357" i="19"/>
  <c r="V208" i="19"/>
  <c r="M216" i="19"/>
  <c r="AA276" i="19"/>
  <c r="I209" i="19"/>
  <c r="L219" i="19"/>
  <c r="H359" i="19"/>
  <c r="Y363" i="19"/>
  <c r="H122" i="19"/>
  <c r="Z233" i="19"/>
  <c r="I257" i="19"/>
  <c r="X128" i="19"/>
  <c r="G344" i="19"/>
  <c r="X242" i="19"/>
  <c r="K197" i="19"/>
  <c r="K353" i="19"/>
  <c r="G289" i="19"/>
  <c r="Y218" i="19"/>
  <c r="J350" i="19"/>
  <c r="J287" i="19"/>
  <c r="K149" i="19"/>
  <c r="F278" i="19"/>
  <c r="Z323" i="19"/>
  <c r="X244" i="19"/>
  <c r="J290" i="19"/>
  <c r="F233" i="19"/>
  <c r="Y283" i="19"/>
  <c r="L259" i="19"/>
  <c r="M210" i="19"/>
  <c r="G206" i="19"/>
  <c r="G323" i="19"/>
  <c r="K297" i="19"/>
  <c r="AA120" i="19"/>
  <c r="U120" i="19" s="1"/>
  <c r="H245" i="19"/>
  <c r="H212" i="19"/>
  <c r="J226" i="19"/>
  <c r="H299" i="19"/>
  <c r="AB261" i="19"/>
  <c r="L183" i="19"/>
  <c r="L115" i="19"/>
  <c r="Y308" i="19"/>
  <c r="M272" i="19"/>
  <c r="V168" i="19"/>
  <c r="M285" i="19"/>
  <c r="J307" i="19"/>
  <c r="Z277" i="19"/>
  <c r="J238" i="19"/>
  <c r="Z212" i="19"/>
  <c r="Z162" i="19"/>
  <c r="AA350" i="19"/>
  <c r="U350" i="19" s="1"/>
  <c r="N317" i="19"/>
  <c r="J258" i="19"/>
  <c r="G274" i="19"/>
  <c r="X121" i="19"/>
  <c r="AA349" i="19"/>
  <c r="U349" i="19" s="1"/>
  <c r="G126" i="19"/>
  <c r="G200" i="19"/>
  <c r="AB337" i="19"/>
  <c r="V256" i="19"/>
  <c r="X293" i="19"/>
  <c r="X120" i="19"/>
  <c r="Z168" i="19"/>
  <c r="M298" i="19"/>
  <c r="F275" i="19"/>
  <c r="Y292" i="19"/>
  <c r="AA357" i="19"/>
  <c r="AB355" i="19"/>
  <c r="K275" i="19"/>
  <c r="F204" i="19"/>
  <c r="Z354" i="19"/>
  <c r="M187" i="19"/>
  <c r="Z114" i="19"/>
  <c r="Y131" i="19"/>
  <c r="AB212" i="19"/>
  <c r="K315" i="19"/>
  <c r="I132" i="19"/>
  <c r="F150" i="19"/>
  <c r="AA300" i="19"/>
  <c r="AA269" i="19"/>
  <c r="X294" i="19"/>
  <c r="I124" i="19"/>
  <c r="X189" i="19"/>
  <c r="I128" i="19"/>
  <c r="Y329" i="19"/>
  <c r="H263" i="19"/>
  <c r="F297" i="19"/>
  <c r="F363" i="19"/>
  <c r="L239" i="19"/>
  <c r="H346" i="19"/>
  <c r="F132" i="19"/>
  <c r="K212" i="19"/>
  <c r="V135" i="19"/>
  <c r="J193" i="19"/>
  <c r="J259" i="19"/>
  <c r="F291" i="19"/>
  <c r="AB361" i="19"/>
  <c r="M140" i="19"/>
  <c r="AB145" i="19"/>
  <c r="G192" i="19"/>
  <c r="Y362" i="19"/>
  <c r="G362" i="19"/>
  <c r="AA199" i="19"/>
  <c r="Z271" i="19"/>
  <c r="Z209" i="19"/>
  <c r="I298" i="19"/>
  <c r="J334" i="19"/>
  <c r="X282" i="19"/>
  <c r="X338" i="19"/>
  <c r="Y129" i="19"/>
  <c r="H179" i="19"/>
  <c r="X299" i="19"/>
  <c r="AA297" i="19"/>
  <c r="AB322" i="19"/>
  <c r="F300" i="19"/>
  <c r="N192" i="19"/>
  <c r="AB349" i="19"/>
  <c r="Z345" i="19"/>
  <c r="G249" i="19"/>
  <c r="J120" i="19"/>
  <c r="H121" i="19"/>
  <c r="K276" i="19"/>
  <c r="Z227" i="19"/>
  <c r="V246" i="19"/>
  <c r="I116" i="19"/>
  <c r="M247" i="19"/>
  <c r="K304" i="19"/>
  <c r="F198" i="19"/>
  <c r="AB192" i="19"/>
  <c r="X230" i="19"/>
  <c r="M214" i="19"/>
  <c r="V315" i="19"/>
  <c r="N268" i="19"/>
  <c r="I325" i="19"/>
  <c r="X307" i="19"/>
  <c r="K247" i="19"/>
  <c r="J366" i="19"/>
  <c r="AB199" i="19"/>
  <c r="M118" i="19"/>
  <c r="V265" i="19"/>
  <c r="L227" i="19"/>
  <c r="L355" i="19"/>
  <c r="V233" i="19"/>
  <c r="I173" i="19"/>
  <c r="N186" i="19"/>
  <c r="K195" i="19"/>
  <c r="M282" i="19"/>
  <c r="K200" i="19"/>
  <c r="F129" i="19"/>
  <c r="Y352" i="19"/>
  <c r="F265" i="19"/>
  <c r="V298" i="19"/>
  <c r="AB218" i="19"/>
  <c r="Z228" i="19"/>
  <c r="AB209" i="19"/>
  <c r="Z307" i="19"/>
  <c r="V186" i="19"/>
  <c r="H115" i="19"/>
  <c r="V309" i="19"/>
  <c r="I249" i="19"/>
  <c r="G260" i="19"/>
  <c r="K229" i="19"/>
  <c r="H318" i="19"/>
  <c r="L274" i="19"/>
  <c r="X142" i="19"/>
  <c r="X246" i="19"/>
  <c r="X351" i="19"/>
  <c r="X342" i="19"/>
  <c r="M267" i="19"/>
  <c r="I237" i="19"/>
  <c r="L277" i="19"/>
  <c r="Y224" i="19"/>
  <c r="N243" i="19"/>
  <c r="V244" i="19"/>
  <c r="L285" i="19"/>
  <c r="I330" i="19"/>
  <c r="L356" i="19"/>
  <c r="V158" i="19"/>
  <c r="F344" i="19"/>
  <c r="K192" i="19"/>
  <c r="G202" i="19"/>
  <c r="F310" i="19"/>
  <c r="AB242" i="19"/>
  <c r="AB312" i="19"/>
  <c r="AA337" i="19"/>
  <c r="V296" i="19"/>
  <c r="H247" i="19"/>
  <c r="K306" i="19"/>
  <c r="M264" i="19"/>
  <c r="M124" i="19"/>
  <c r="AA166" i="19"/>
  <c r="J208" i="19"/>
  <c r="Y281" i="19"/>
  <c r="V215" i="19"/>
  <c r="Y188" i="19"/>
  <c r="I163" i="19"/>
  <c r="G301" i="19"/>
  <c r="V336" i="19"/>
  <c r="Y222" i="19"/>
  <c r="V222" i="19"/>
  <c r="G151" i="19"/>
  <c r="V340" i="19"/>
  <c r="I139" i="19"/>
  <c r="N219" i="19"/>
  <c r="V160" i="19"/>
  <c r="H227" i="19"/>
  <c r="V216" i="19"/>
  <c r="AA133" i="19"/>
  <c r="H332" i="19"/>
  <c r="Z295" i="19"/>
  <c r="I172" i="19"/>
  <c r="X225" i="19"/>
  <c r="G321" i="19"/>
  <c r="N345" i="19"/>
  <c r="J284" i="19"/>
  <c r="Y178" i="19"/>
  <c r="I314" i="19"/>
  <c r="V166" i="19"/>
  <c r="G314" i="19"/>
  <c r="Z158" i="19"/>
  <c r="H236" i="19"/>
  <c r="F237" i="19"/>
  <c r="L228" i="19"/>
  <c r="K251" i="19"/>
  <c r="L120" i="19"/>
  <c r="G369" i="19"/>
  <c r="AA327" i="19"/>
  <c r="N285" i="19"/>
  <c r="F309" i="19"/>
  <c r="N312" i="19"/>
  <c r="J302" i="19"/>
  <c r="K193" i="19"/>
  <c r="X333" i="19"/>
  <c r="I184" i="19"/>
  <c r="L330" i="19"/>
  <c r="Z201" i="19"/>
  <c r="V334" i="19"/>
  <c r="AB176" i="19"/>
  <c r="L143" i="19"/>
  <c r="I321" i="19"/>
  <c r="G195" i="19"/>
  <c r="Z144" i="19"/>
  <c r="V341" i="19"/>
  <c r="AA231" i="19"/>
  <c r="AA153" i="19"/>
  <c r="V284" i="19"/>
  <c r="AB243" i="19"/>
  <c r="AA279" i="19"/>
  <c r="H369" i="19"/>
  <c r="AB342" i="19"/>
  <c r="J326" i="19"/>
  <c r="F211" i="19"/>
  <c r="X213" i="19"/>
  <c r="H208" i="19"/>
  <c r="I145" i="19"/>
  <c r="J359" i="19"/>
  <c r="AB169" i="19"/>
  <c r="Z312" i="19"/>
  <c r="X276" i="19"/>
  <c r="F320" i="19"/>
  <c r="M146" i="19"/>
  <c r="Z260" i="19"/>
  <c r="I180" i="19"/>
  <c r="Z358" i="19"/>
  <c r="N213" i="19"/>
  <c r="V147" i="19"/>
  <c r="J337" i="19"/>
  <c r="Z139" i="19"/>
  <c r="K369" i="19"/>
  <c r="F217" i="19"/>
  <c r="G299" i="19"/>
  <c r="J133" i="19"/>
  <c r="M133" i="19"/>
  <c r="F234" i="19"/>
  <c r="AA121" i="19"/>
  <c r="G175" i="19"/>
  <c r="G198" i="19"/>
  <c r="F182" i="19"/>
  <c r="H193" i="19"/>
  <c r="J118" i="19"/>
  <c r="X162" i="19"/>
  <c r="V206" i="19"/>
  <c r="G227" i="19"/>
  <c r="AB140" i="19"/>
  <c r="Z205" i="19"/>
  <c r="L163" i="19"/>
  <c r="I336" i="19"/>
  <c r="Z292" i="19"/>
  <c r="G268" i="19"/>
  <c r="G262" i="19"/>
  <c r="I175" i="19"/>
  <c r="X298" i="19"/>
  <c r="AA204" i="19"/>
  <c r="AB166" i="19"/>
  <c r="G122" i="19"/>
  <c r="AB294" i="19"/>
  <c r="F121" i="19"/>
  <c r="Z298" i="19"/>
  <c r="G162" i="19"/>
  <c r="J158" i="19"/>
  <c r="Y174" i="19"/>
  <c r="M151" i="19"/>
  <c r="I153" i="19"/>
  <c r="H341" i="19"/>
  <c r="G183" i="19"/>
  <c r="X132" i="19"/>
  <c r="X237" i="19"/>
  <c r="Z297" i="19"/>
  <c r="F282" i="19"/>
  <c r="N261" i="19"/>
  <c r="Y336" i="19"/>
  <c r="AA298" i="19"/>
  <c r="Y299" i="19"/>
  <c r="N116" i="19"/>
  <c r="X209" i="19"/>
  <c r="L245" i="19"/>
  <c r="M144" i="19"/>
  <c r="M240" i="19"/>
  <c r="V243" i="19"/>
  <c r="G191" i="19"/>
  <c r="J214" i="19"/>
  <c r="I360" i="19"/>
  <c r="Y138" i="19"/>
  <c r="V142" i="19"/>
  <c r="F163" i="19"/>
  <c r="L312" i="19"/>
  <c r="J261" i="19"/>
  <c r="AA267" i="19"/>
  <c r="U267" i="19" s="1"/>
  <c r="AA243" i="19"/>
  <c r="L161" i="19"/>
  <c r="J246" i="19"/>
  <c r="Z337" i="19"/>
  <c r="AA332" i="19"/>
  <c r="AB277" i="19"/>
  <c r="F334" i="19"/>
  <c r="AB311" i="19"/>
  <c r="X250" i="19"/>
  <c r="H256" i="19"/>
  <c r="V152" i="19"/>
  <c r="F246" i="19"/>
  <c r="I117" i="19"/>
  <c r="Z169" i="19"/>
  <c r="H192" i="19"/>
  <c r="Y364" i="19"/>
  <c r="H305" i="19"/>
  <c r="F366" i="19"/>
  <c r="H231" i="19"/>
  <c r="N185" i="19"/>
  <c r="AB319" i="19"/>
  <c r="J163" i="19"/>
  <c r="V171" i="19"/>
  <c r="X300" i="19"/>
  <c r="I353" i="19"/>
  <c r="H279" i="19"/>
  <c r="M300" i="19"/>
  <c r="H352" i="19"/>
  <c r="M255" i="19"/>
  <c r="X364" i="19"/>
  <c r="N123" i="19"/>
  <c r="N366" i="19"/>
  <c r="N266" i="19"/>
  <c r="I281" i="19"/>
  <c r="H338" i="19"/>
  <c r="H151" i="19"/>
  <c r="N211" i="19"/>
  <c r="K220" i="19"/>
  <c r="I273" i="19"/>
  <c r="X210" i="19"/>
  <c r="F255" i="19"/>
  <c r="K320" i="19"/>
  <c r="H229" i="19"/>
  <c r="AB265" i="19"/>
  <c r="I226" i="19"/>
  <c r="I319" i="19"/>
  <c r="J241" i="19"/>
  <c r="K273" i="19"/>
  <c r="Y238" i="19"/>
  <c r="V365" i="19"/>
  <c r="Y295" i="19"/>
  <c r="Y324" i="19"/>
  <c r="AB226" i="19"/>
  <c r="N170" i="19"/>
  <c r="M188" i="19"/>
  <c r="G215" i="19"/>
  <c r="K337" i="19"/>
  <c r="L265" i="19"/>
  <c r="N161" i="19"/>
  <c r="V123" i="19"/>
  <c r="X144" i="19"/>
  <c r="L133" i="19"/>
  <c r="I118" i="19"/>
  <c r="J247" i="19"/>
  <c r="V144" i="19"/>
  <c r="Z332" i="19"/>
  <c r="X219" i="19"/>
  <c r="AB272" i="19"/>
  <c r="I200" i="19"/>
  <c r="Z352" i="19"/>
  <c r="V325" i="19"/>
  <c r="K284" i="19"/>
  <c r="I194" i="19"/>
  <c r="X311" i="19"/>
  <c r="J365" i="19"/>
  <c r="K244" i="19"/>
  <c r="G213" i="19"/>
  <c r="V291" i="19"/>
  <c r="Y235" i="19"/>
  <c r="H222" i="19"/>
  <c r="L336" i="19"/>
  <c r="K173" i="19"/>
  <c r="M213" i="19"/>
  <c r="AA176" i="19"/>
  <c r="M154" i="19"/>
  <c r="Z357" i="19"/>
  <c r="M347" i="19"/>
  <c r="F215" i="19"/>
  <c r="X314" i="19"/>
  <c r="Z185" i="19"/>
  <c r="AA221" i="19"/>
  <c r="AA266" i="19"/>
  <c r="X295" i="19"/>
  <c r="AA265" i="19"/>
  <c r="AA364" i="19"/>
  <c r="X348" i="19"/>
  <c r="F315" i="19"/>
  <c r="Z156" i="19"/>
  <c r="L296" i="19"/>
  <c r="N141" i="19"/>
  <c r="Z135" i="19"/>
  <c r="AB250" i="19"/>
  <c r="X131" i="19"/>
  <c r="H173" i="19"/>
  <c r="AB288" i="19"/>
  <c r="F170" i="19"/>
  <c r="K339" i="19"/>
  <c r="AB219" i="19"/>
  <c r="H157" i="19"/>
  <c r="F208" i="19"/>
  <c r="M117" i="19"/>
  <c r="J270" i="19"/>
  <c r="Z129" i="19"/>
  <c r="M258" i="19"/>
  <c r="V272" i="19"/>
  <c r="L167" i="19"/>
  <c r="V307" i="19"/>
  <c r="V351" i="19"/>
  <c r="AA214" i="19"/>
  <c r="H230" i="19"/>
  <c r="N287" i="19"/>
  <c r="K280" i="19"/>
  <c r="M283" i="19"/>
  <c r="H283" i="19"/>
  <c r="G168" i="19"/>
  <c r="N160" i="19"/>
  <c r="V361" i="19"/>
  <c r="X288" i="19"/>
  <c r="K340" i="19"/>
  <c r="V332" i="19"/>
  <c r="F259" i="19"/>
  <c r="X156" i="19"/>
  <c r="AB194" i="19"/>
  <c r="L176" i="19"/>
  <c r="F116" i="19"/>
  <c r="V151" i="19"/>
  <c r="H302" i="19"/>
  <c r="V192" i="19"/>
  <c r="G170" i="19"/>
  <c r="Z128" i="19"/>
  <c r="AB259" i="19"/>
  <c r="K318" i="19"/>
  <c r="F135" i="19"/>
  <c r="Y276" i="19"/>
  <c r="J306" i="19"/>
  <c r="Z132" i="19"/>
  <c r="L250" i="19"/>
  <c r="AA299" i="19"/>
  <c r="U299" i="19" s="1"/>
  <c r="G236" i="19"/>
  <c r="H317" i="19"/>
  <c r="L124" i="19"/>
  <c r="AA249" i="19"/>
  <c r="G285" i="19"/>
  <c r="F280" i="19"/>
  <c r="AB329" i="19"/>
  <c r="L325" i="19"/>
  <c r="H355" i="19"/>
  <c r="K161" i="19"/>
  <c r="V257" i="19"/>
  <c r="Z265" i="19"/>
  <c r="AA159" i="19"/>
  <c r="K333" i="19"/>
  <c r="J281" i="19"/>
  <c r="J191" i="19"/>
  <c r="F306" i="19"/>
  <c r="AB146" i="19"/>
  <c r="F175" i="19"/>
  <c r="I306" i="19"/>
  <c r="M145" i="19"/>
  <c r="M142" i="19"/>
  <c r="H164" i="19"/>
  <c r="L217" i="19"/>
  <c r="G355" i="19"/>
  <c r="J286" i="19"/>
  <c r="V188" i="19"/>
  <c r="L131" i="19"/>
  <c r="Z125" i="19"/>
  <c r="Z208" i="19"/>
  <c r="L224" i="19"/>
  <c r="M120" i="19"/>
  <c r="G193" i="19"/>
  <c r="H180" i="19"/>
  <c r="H319" i="19"/>
  <c r="I284" i="19"/>
  <c r="L129" i="19"/>
  <c r="Y192" i="19"/>
  <c r="G185" i="19"/>
  <c r="AA144" i="19"/>
  <c r="AB167" i="19"/>
  <c r="I288" i="19"/>
  <c r="V217" i="19"/>
  <c r="Z239" i="19"/>
  <c r="V230" i="19"/>
  <c r="Y232" i="19"/>
  <c r="H343" i="19"/>
  <c r="G354" i="19"/>
  <c r="L294" i="19"/>
  <c r="Y279" i="19"/>
  <c r="Z255" i="19"/>
  <c r="Z261" i="19"/>
  <c r="X310" i="19"/>
  <c r="I138" i="19"/>
  <c r="H156" i="19"/>
  <c r="N350" i="19"/>
  <c r="AA184" i="19"/>
  <c r="F299" i="19"/>
  <c r="G197" i="19"/>
  <c r="AB285" i="19"/>
  <c r="X122" i="19"/>
  <c r="G255" i="19"/>
  <c r="Z195" i="19"/>
  <c r="V313" i="19"/>
  <c r="I245" i="19"/>
  <c r="F122" i="19"/>
  <c r="G127" i="19"/>
  <c r="M334" i="19"/>
  <c r="K117" i="19"/>
  <c r="AA145" i="19"/>
  <c r="K361" i="19"/>
  <c r="Z278" i="19"/>
  <c r="K346" i="19"/>
  <c r="H311" i="19"/>
  <c r="M273" i="19"/>
  <c r="J217" i="19"/>
  <c r="AA273" i="19"/>
  <c r="J140" i="19"/>
  <c r="I171" i="19"/>
  <c r="F329" i="19"/>
  <c r="H259" i="19"/>
  <c r="L292" i="19"/>
  <c r="H366" i="19"/>
  <c r="J329" i="19"/>
  <c r="AB300" i="19"/>
  <c r="J202" i="19"/>
  <c r="M343" i="19"/>
  <c r="L165" i="19"/>
  <c r="K365" i="19"/>
  <c r="Y179" i="19"/>
  <c r="L213" i="19"/>
  <c r="G261" i="19"/>
  <c r="AB352" i="19"/>
  <c r="N344" i="19"/>
  <c r="AA149" i="19"/>
  <c r="I265" i="19"/>
  <c r="F322" i="19"/>
  <c r="J121" i="19"/>
  <c r="Y182" i="19"/>
  <c r="Z218" i="19"/>
  <c r="X195" i="19"/>
  <c r="K279" i="19"/>
  <c r="K150" i="19"/>
  <c r="N166" i="19"/>
  <c r="Z346" i="19"/>
  <c r="H252" i="19"/>
  <c r="V248" i="19"/>
  <c r="J209" i="19"/>
  <c r="N187" i="19"/>
  <c r="Z121" i="19"/>
  <c r="AB305" i="19"/>
  <c r="AB222" i="19"/>
  <c r="G366" i="19"/>
  <c r="Z341" i="19"/>
  <c r="H178" i="19"/>
  <c r="X206" i="19"/>
  <c r="Z257" i="19"/>
  <c r="G309" i="19"/>
  <c r="M224" i="19"/>
  <c r="N224" i="19"/>
  <c r="M162" i="19"/>
  <c r="AB297" i="19"/>
  <c r="AB340" i="19"/>
  <c r="M307" i="19"/>
  <c r="AA229" i="19"/>
  <c r="AB150" i="19"/>
  <c r="AA333" i="19"/>
  <c r="H326" i="19"/>
  <c r="L344" i="19"/>
  <c r="H329" i="19"/>
  <c r="Y314" i="19"/>
  <c r="H262" i="19"/>
  <c r="V359" i="19"/>
  <c r="N271" i="19"/>
  <c r="G173" i="19"/>
  <c r="X232" i="19"/>
  <c r="L284" i="19"/>
  <c r="AA216" i="19"/>
  <c r="U216" i="19" s="1"/>
  <c r="V252" i="19"/>
  <c r="Y353" i="19"/>
  <c r="V347" i="19"/>
  <c r="H344" i="19"/>
  <c r="L132" i="19"/>
  <c r="L298" i="19"/>
  <c r="M164" i="19"/>
  <c r="AB151" i="19"/>
  <c r="F330" i="19"/>
  <c r="Y291" i="19"/>
  <c r="I322" i="19"/>
  <c r="X330" i="19"/>
  <c r="X259" i="19"/>
  <c r="Z224" i="19"/>
  <c r="M294" i="19"/>
  <c r="M256" i="19"/>
  <c r="N329" i="19"/>
  <c r="I243" i="19"/>
  <c r="Y128" i="19"/>
  <c r="Z199" i="19"/>
  <c r="Y332" i="19"/>
  <c r="AA212" i="19"/>
  <c r="V241" i="19"/>
  <c r="AA352" i="19"/>
  <c r="I307" i="19"/>
  <c r="AB249" i="19"/>
  <c r="H143" i="19"/>
  <c r="Z331" i="19"/>
  <c r="N286" i="19"/>
  <c r="F340" i="19"/>
  <c r="H296" i="19"/>
  <c r="I266" i="19"/>
  <c r="L168" i="19"/>
  <c r="K151" i="19"/>
  <c r="N307" i="19"/>
  <c r="M363" i="19"/>
  <c r="H260" i="19"/>
  <c r="G341" i="19"/>
  <c r="AB246" i="19"/>
  <c r="H364" i="19"/>
  <c r="K129" i="19"/>
  <c r="L363" i="19"/>
  <c r="H321" i="19"/>
  <c r="Y247" i="19"/>
  <c r="Z177" i="19"/>
  <c r="N223" i="19"/>
  <c r="I304" i="19"/>
  <c r="L261" i="19"/>
  <c r="H146" i="19"/>
  <c r="V239" i="19"/>
  <c r="Y330" i="19"/>
  <c r="AA262" i="19"/>
  <c r="H281" i="19"/>
  <c r="H331" i="19"/>
  <c r="L351" i="19"/>
  <c r="H242" i="19"/>
  <c r="X124" i="19"/>
  <c r="I222" i="19"/>
  <c r="AA119" i="19"/>
  <c r="L349" i="19"/>
  <c r="N304" i="19"/>
  <c r="J343" i="19"/>
  <c r="J142" i="19"/>
  <c r="AA201" i="19"/>
  <c r="L331" i="19"/>
  <c r="X271" i="19"/>
  <c r="Y290" i="19"/>
  <c r="Z283" i="19"/>
  <c r="I365" i="19"/>
  <c r="K191" i="19"/>
  <c r="I141" i="19"/>
  <c r="Y258" i="19"/>
  <c r="AB171" i="19"/>
  <c r="L241" i="19"/>
  <c r="AB129" i="19"/>
  <c r="I197" i="19"/>
  <c r="Z163" i="19"/>
  <c r="H120" i="19"/>
  <c r="Z328" i="19"/>
  <c r="H142" i="19"/>
  <c r="Z226" i="19"/>
  <c r="I300" i="19"/>
  <c r="Y209" i="19"/>
  <c r="H209" i="19"/>
  <c r="AB177" i="19"/>
  <c r="K289" i="19"/>
  <c r="AB291" i="19"/>
  <c r="K145" i="19"/>
  <c r="K189" i="19"/>
  <c r="I276" i="19"/>
  <c r="Z241" i="19"/>
  <c r="AA167" i="19"/>
  <c r="Z194" i="19"/>
  <c r="M312" i="19"/>
  <c r="F312" i="19"/>
  <c r="H158" i="19"/>
  <c r="F346" i="19"/>
  <c r="F294" i="19"/>
  <c r="G132" i="19"/>
  <c r="AB189" i="19"/>
  <c r="AA308" i="19"/>
  <c r="J268" i="19"/>
  <c r="F152" i="19"/>
  <c r="L157" i="19"/>
  <c r="AA322" i="19"/>
  <c r="H137" i="19"/>
  <c r="Z192" i="19"/>
  <c r="N133" i="19"/>
  <c r="M119" i="19"/>
  <c r="L288" i="19"/>
  <c r="AB269" i="19"/>
  <c r="H116" i="19"/>
  <c r="I146" i="19"/>
  <c r="I144" i="19"/>
  <c r="AB135" i="19"/>
  <c r="K226" i="19"/>
  <c r="L223" i="19"/>
  <c r="H135" i="19"/>
  <c r="L151" i="19"/>
  <c r="K334" i="19"/>
  <c r="L276" i="19"/>
  <c r="M208" i="19"/>
  <c r="G172" i="19"/>
  <c r="AA286" i="19"/>
  <c r="M301" i="19"/>
  <c r="G154" i="19"/>
  <c r="J161" i="19"/>
  <c r="J187" i="19"/>
  <c r="F367" i="19"/>
  <c r="Y130" i="19"/>
  <c r="AB333" i="19"/>
  <c r="X229" i="19"/>
  <c r="F201" i="19"/>
  <c r="AB316" i="19"/>
  <c r="M251" i="19"/>
  <c r="Y170" i="19"/>
  <c r="L300" i="19"/>
  <c r="F231" i="19"/>
  <c r="J169" i="19"/>
  <c r="V261" i="19"/>
  <c r="AB144" i="19"/>
  <c r="I201" i="19"/>
  <c r="Z216" i="19"/>
  <c r="L302" i="19"/>
  <c r="AA215" i="19"/>
  <c r="V167" i="19"/>
  <c r="X141" i="19"/>
  <c r="G306" i="19"/>
  <c r="G348" i="19"/>
  <c r="I115" i="19"/>
  <c r="J212" i="19"/>
  <c r="G203" i="19"/>
  <c r="J349" i="19"/>
  <c r="Y239" i="19"/>
  <c r="I286" i="19"/>
  <c r="K278" i="19"/>
  <c r="AB278" i="19"/>
  <c r="G214" i="19"/>
  <c r="H141" i="19"/>
  <c r="J340" i="19"/>
  <c r="Z324" i="19"/>
  <c r="X175" i="19"/>
  <c r="N363" i="19"/>
  <c r="I309" i="19"/>
  <c r="Y306" i="19"/>
  <c r="F155" i="19"/>
  <c r="J243" i="19"/>
  <c r="F186" i="19"/>
  <c r="M170" i="19"/>
  <c r="X172" i="19"/>
  <c r="X270" i="19"/>
  <c r="G180" i="19"/>
  <c r="Z171" i="19"/>
  <c r="G317" i="19"/>
  <c r="AA274" i="19"/>
  <c r="K177" i="19"/>
  <c r="F143" i="19"/>
  <c r="J127" i="19"/>
  <c r="K157" i="19"/>
  <c r="K349" i="19"/>
  <c r="M308" i="19"/>
  <c r="J128" i="19"/>
  <c r="Y301" i="19"/>
  <c r="G141" i="19"/>
  <c r="X322" i="19"/>
  <c r="F284" i="19"/>
  <c r="L171" i="19"/>
  <c r="Y287" i="19"/>
  <c r="H134" i="19"/>
  <c r="H235" i="19"/>
  <c r="L273" i="19"/>
  <c r="X231" i="19"/>
  <c r="H295" i="19"/>
  <c r="I186" i="19"/>
  <c r="M130" i="19"/>
  <c r="L368" i="19"/>
  <c r="X208" i="19"/>
  <c r="X186" i="19"/>
  <c r="Y187" i="19"/>
  <c r="H320" i="19"/>
  <c r="K213" i="19"/>
  <c r="L186" i="19"/>
  <c r="H205" i="19"/>
  <c r="M250" i="19"/>
  <c r="I202" i="19"/>
  <c r="N269" i="19"/>
  <c r="V116" i="19"/>
  <c r="M245" i="19"/>
  <c r="X174" i="19"/>
  <c r="K367" i="19"/>
  <c r="H342" i="19"/>
  <c r="F236" i="19"/>
  <c r="F185" i="19"/>
  <c r="Y194" i="19"/>
  <c r="H272" i="19"/>
  <c r="AB325" i="19"/>
  <c r="V177" i="19"/>
  <c r="N197" i="19"/>
  <c r="V292" i="19"/>
  <c r="Z361" i="19"/>
  <c r="H334" i="19"/>
  <c r="L365" i="19"/>
  <c r="V260" i="19"/>
  <c r="I189" i="19"/>
  <c r="G235" i="19"/>
  <c r="AA160" i="19"/>
  <c r="M317" i="19"/>
  <c r="M309" i="19"/>
  <c r="F296" i="19"/>
  <c r="X360" i="19"/>
  <c r="Y265" i="19"/>
  <c r="N305" i="19"/>
  <c r="V305" i="19"/>
  <c r="L141" i="19"/>
  <c r="M302" i="19"/>
  <c r="Y278" i="19"/>
  <c r="Z248" i="19"/>
  <c r="L249" i="19"/>
  <c r="I354" i="19"/>
  <c r="G196" i="19"/>
  <c r="F167" i="19"/>
  <c r="AA283" i="19"/>
  <c r="Y225" i="19"/>
  <c r="X140" i="19"/>
  <c r="N124" i="19"/>
  <c r="AB221" i="19"/>
  <c r="J177" i="19"/>
  <c r="F128" i="19"/>
  <c r="I352" i="19"/>
  <c r="N302" i="19"/>
  <c r="I262" i="19"/>
  <c r="I277" i="19"/>
  <c r="Z300" i="19"/>
  <c r="K146" i="19"/>
  <c r="N234" i="19"/>
  <c r="AB231" i="19"/>
  <c r="K218" i="19"/>
  <c r="J339" i="19"/>
  <c r="V165" i="19"/>
  <c r="J170" i="19"/>
  <c r="X345" i="19"/>
  <c r="K252" i="19"/>
  <c r="J288" i="19"/>
  <c r="Y168" i="19"/>
  <c r="AA331" i="19"/>
  <c r="Y365" i="19"/>
  <c r="M127" i="19"/>
  <c r="L347" i="19"/>
  <c r="G311" i="19"/>
  <c r="N330" i="19"/>
  <c r="N148" i="19"/>
  <c r="H271" i="19"/>
  <c r="X158" i="19"/>
  <c r="X155" i="19"/>
  <c r="N200" i="19"/>
  <c r="Z242" i="19"/>
  <c r="N301" i="19"/>
  <c r="G257" i="19"/>
  <c r="M122" i="19"/>
  <c r="J255" i="19"/>
  <c r="H188" i="19"/>
  <c r="N202" i="19"/>
  <c r="I318" i="19"/>
  <c r="Y203" i="19"/>
  <c r="H284" i="19"/>
  <c r="Y172" i="19"/>
  <c r="AA290" i="19"/>
  <c r="U290" i="19" s="1"/>
  <c r="G233" i="19"/>
  <c r="AA288" i="19"/>
  <c r="Y229" i="19"/>
  <c r="M176" i="19"/>
  <c r="H270" i="19"/>
  <c r="Z198" i="19"/>
  <c r="V237" i="19"/>
  <c r="N140" i="19"/>
  <c r="M149" i="19"/>
  <c r="V162" i="19"/>
  <c r="I242" i="19"/>
  <c r="I165" i="19"/>
  <c r="AA129" i="19"/>
  <c r="U129" i="19" s="1"/>
  <c r="G184" i="19"/>
  <c r="Y157" i="19"/>
  <c r="V138" i="19"/>
  <c r="M163" i="19"/>
  <c r="V189" i="19"/>
  <c r="N174" i="19"/>
  <c r="Y124" i="19"/>
  <c r="J192" i="19"/>
  <c r="J354" i="19"/>
  <c r="K179" i="19"/>
  <c r="Z217" i="19"/>
  <c r="V118" i="19"/>
  <c r="AA354" i="19"/>
  <c r="L226" i="19"/>
  <c r="K217" i="19"/>
  <c r="G271" i="19"/>
  <c r="Y215" i="19"/>
  <c r="J263" i="19"/>
  <c r="AA132" i="19"/>
  <c r="Y262" i="19"/>
  <c r="J251" i="19"/>
  <c r="F341" i="19"/>
  <c r="AB264" i="19"/>
  <c r="AB253" i="19"/>
  <c r="AA148" i="19"/>
  <c r="F327" i="19"/>
  <c r="J200" i="19"/>
  <c r="X263" i="19"/>
  <c r="V224" i="19"/>
  <c r="V349" i="19"/>
  <c r="H171" i="19"/>
  <c r="K345" i="19"/>
  <c r="G352" i="19"/>
  <c r="V141" i="19"/>
  <c r="Y201" i="19"/>
  <c r="N233" i="19"/>
  <c r="AA353" i="19"/>
  <c r="AB366" i="19"/>
  <c r="I344" i="19"/>
  <c r="Y116" i="19"/>
  <c r="Z289" i="19"/>
  <c r="Z234" i="19"/>
  <c r="V271" i="19"/>
  <c r="K323" i="19"/>
  <c r="AA302" i="19"/>
  <c r="N183" i="19"/>
  <c r="AA301" i="19"/>
  <c r="N264" i="19"/>
  <c r="AB227" i="19"/>
  <c r="V223" i="19"/>
  <c r="I177" i="19"/>
  <c r="AB127" i="19"/>
  <c r="K308" i="19"/>
  <c r="X279" i="19"/>
  <c r="J296" i="19"/>
  <c r="F351" i="19"/>
  <c r="AA310" i="19"/>
  <c r="N129" i="19"/>
  <c r="F205" i="19"/>
  <c r="H175" i="19"/>
  <c r="V304" i="19"/>
  <c r="M237" i="19"/>
  <c r="L123" i="19"/>
  <c r="AA193" i="19"/>
  <c r="I271" i="19"/>
  <c r="X198" i="19"/>
  <c r="AA321" i="19"/>
  <c r="F262" i="19"/>
  <c r="J179" i="19"/>
  <c r="X291" i="19"/>
  <c r="J157" i="19"/>
  <c r="L359" i="19"/>
  <c r="M179" i="19"/>
  <c r="G252" i="19"/>
  <c r="Z202" i="19"/>
  <c r="X214" i="19"/>
  <c r="G121" i="19"/>
  <c r="K266" i="19"/>
  <c r="F277" i="19"/>
  <c r="H313" i="19"/>
  <c r="L311" i="19"/>
  <c r="K223" i="19"/>
  <c r="N153" i="19"/>
  <c r="Y115" i="19"/>
  <c r="N323" i="19"/>
  <c r="F253" i="19"/>
  <c r="X236" i="19"/>
  <c r="X205" i="19"/>
  <c r="Z285" i="19"/>
  <c r="I303" i="19"/>
  <c r="X223" i="19"/>
  <c r="F183" i="19"/>
  <c r="K221" i="19"/>
  <c r="Y305" i="19"/>
  <c r="J136" i="19"/>
  <c r="L253" i="19"/>
  <c r="Y193" i="19"/>
  <c r="G225" i="19"/>
  <c r="Z200" i="19"/>
  <c r="J358" i="19"/>
  <c r="G328" i="19"/>
  <c r="I253" i="19"/>
  <c r="Y277" i="19"/>
  <c r="AA225" i="19"/>
  <c r="U225" i="19" s="1"/>
  <c r="G152" i="19"/>
  <c r="N196" i="19"/>
  <c r="Y122" i="19"/>
  <c r="I199" i="19"/>
  <c r="AA339" i="19"/>
  <c r="I181" i="19"/>
  <c r="M126" i="19"/>
  <c r="J218" i="19"/>
  <c r="Y190" i="19"/>
  <c r="G358" i="19"/>
  <c r="K246" i="19"/>
  <c r="K138" i="19"/>
  <c r="K132" i="19"/>
  <c r="I232" i="19"/>
  <c r="L207" i="19"/>
  <c r="N215" i="19"/>
  <c r="M194" i="19"/>
  <c r="K267" i="19"/>
  <c r="X226" i="19"/>
  <c r="AA200" i="19"/>
  <c r="AB125" i="19"/>
  <c r="J301" i="19"/>
  <c r="K174" i="19"/>
  <c r="K319" i="19"/>
  <c r="K300" i="19"/>
  <c r="F200" i="19"/>
  <c r="AA304" i="19"/>
  <c r="U304" i="19" s="1"/>
  <c r="F288" i="19"/>
  <c r="M360" i="19"/>
  <c r="X203" i="19"/>
  <c r="J119" i="19"/>
  <c r="M190" i="19"/>
  <c r="Y237" i="19"/>
  <c r="M265" i="19"/>
  <c r="F203" i="19"/>
  <c r="F142" i="19"/>
  <c r="G258" i="19"/>
  <c r="I366" i="19"/>
  <c r="M276" i="19"/>
  <c r="J233" i="19"/>
  <c r="V363" i="19"/>
  <c r="AB302" i="19"/>
  <c r="AA147" i="19"/>
  <c r="J364" i="19"/>
  <c r="F247" i="19"/>
  <c r="I291" i="19"/>
  <c r="N291" i="19"/>
  <c r="X286" i="19"/>
  <c r="AB252" i="19"/>
  <c r="J252" i="19"/>
  <c r="K245" i="19"/>
  <c r="L203" i="19"/>
  <c r="F311" i="19"/>
  <c r="F303" i="19"/>
  <c r="J242" i="19"/>
  <c r="V343" i="19"/>
  <c r="F124" i="19"/>
  <c r="K343" i="19"/>
  <c r="AA268" i="19"/>
  <c r="Y169" i="19"/>
  <c r="AB270" i="19"/>
  <c r="AA340" i="19"/>
  <c r="J156" i="19"/>
  <c r="J155" i="19"/>
  <c r="N177" i="19"/>
  <c r="X116" i="19"/>
  <c r="AA311" i="19"/>
  <c r="J151" i="19"/>
  <c r="I274" i="19"/>
  <c r="V269" i="19"/>
  <c r="M354" i="19"/>
  <c r="G140" i="19"/>
  <c r="J199" i="19"/>
  <c r="G239" i="19"/>
  <c r="M280" i="19"/>
  <c r="AB338" i="19"/>
  <c r="Z131" i="19"/>
  <c r="G315" i="19"/>
  <c r="Y125" i="19"/>
  <c r="H325" i="19"/>
  <c r="AA248" i="19"/>
  <c r="J184" i="19"/>
  <c r="V231" i="19"/>
  <c r="I258" i="19"/>
  <c r="J152" i="19"/>
  <c r="AA168" i="19"/>
  <c r="X304" i="19"/>
  <c r="K166" i="19"/>
  <c r="Y282" i="19"/>
  <c r="L195" i="19"/>
  <c r="Y335" i="19"/>
  <c r="Y227" i="19"/>
  <c r="Z310" i="19"/>
  <c r="H129" i="19"/>
  <c r="AB121" i="19"/>
  <c r="M269" i="19"/>
  <c r="I221" i="19"/>
  <c r="F295" i="19"/>
  <c r="L334" i="19"/>
  <c r="M281" i="19"/>
  <c r="V133" i="19"/>
  <c r="X153" i="19"/>
  <c r="N120" i="19"/>
  <c r="V290" i="19"/>
  <c r="AA118" i="19"/>
  <c r="U118" i="19" s="1"/>
  <c r="AB141" i="19"/>
  <c r="M228" i="19"/>
  <c r="H362" i="19"/>
  <c r="X328" i="19"/>
  <c r="M311" i="19"/>
  <c r="N299" i="19"/>
  <c r="V130" i="19"/>
  <c r="V281" i="19"/>
  <c r="G304" i="19"/>
  <c r="H204" i="19"/>
  <c r="H152" i="19"/>
  <c r="L162" i="19"/>
  <c r="N171" i="19"/>
  <c r="Y137" i="19"/>
  <c r="K162" i="19"/>
  <c r="J224" i="19"/>
  <c r="K170" i="19"/>
  <c r="L333" i="19"/>
  <c r="X114" i="19"/>
  <c r="K188" i="19"/>
  <c r="X329" i="19"/>
  <c r="X176" i="19"/>
  <c r="AA126" i="19"/>
  <c r="L160" i="19"/>
  <c r="I359" i="19"/>
  <c r="Y359" i="19"/>
  <c r="J262" i="19"/>
  <c r="L258" i="19"/>
  <c r="F193" i="19"/>
  <c r="V205" i="19"/>
  <c r="G320" i="19"/>
  <c r="I137" i="19"/>
  <c r="J277" i="19"/>
  <c r="G272" i="19"/>
  <c r="Y240" i="19"/>
  <c r="X147" i="19"/>
  <c r="X193" i="19"/>
  <c r="X261" i="19"/>
  <c r="Y123" i="19"/>
  <c r="X187" i="19"/>
  <c r="L202" i="19"/>
  <c r="V184" i="19"/>
  <c r="J324" i="19"/>
  <c r="H324" i="19"/>
  <c r="F114" i="19"/>
  <c r="Z115" i="19"/>
  <c r="Z333" i="19"/>
  <c r="H308" i="19"/>
  <c r="V301" i="19"/>
  <c r="H202" i="19"/>
  <c r="F369" i="19"/>
  <c r="L315" i="19"/>
  <c r="Y161" i="19"/>
  <c r="K181" i="19"/>
  <c r="AA271" i="19"/>
  <c r="G234" i="19"/>
  <c r="K232" i="19"/>
  <c r="X260" i="19"/>
  <c r="Y220" i="19"/>
  <c r="L341" i="19"/>
  <c r="Y186" i="19"/>
  <c r="V355" i="19"/>
  <c r="M231" i="19"/>
  <c r="J325" i="19"/>
  <c r="N276" i="19"/>
  <c r="K328" i="19"/>
  <c r="F168" i="19"/>
  <c r="X331" i="19"/>
  <c r="H119" i="19"/>
  <c r="N115" i="19"/>
  <c r="N207" i="19"/>
  <c r="F120" i="19"/>
  <c r="L201" i="19"/>
  <c r="X245" i="19"/>
  <c r="F153" i="19"/>
  <c r="G136" i="19"/>
  <c r="J160" i="19"/>
  <c r="V194" i="19"/>
  <c r="N314" i="19"/>
  <c r="N325" i="19"/>
  <c r="AB350" i="19"/>
  <c r="K268" i="19"/>
  <c r="I357" i="19"/>
  <c r="X130" i="19"/>
  <c r="Y243" i="19"/>
  <c r="M362" i="19"/>
  <c r="M138" i="19"/>
  <c r="H267" i="19"/>
  <c r="X167" i="19"/>
  <c r="N322" i="19"/>
  <c r="F119" i="19"/>
  <c r="AA174" i="19"/>
  <c r="X211" i="19"/>
  <c r="G218" i="19"/>
  <c r="N194" i="19"/>
  <c r="Z251" i="19"/>
  <c r="M305" i="19"/>
  <c r="M253" i="19"/>
  <c r="Z225" i="19"/>
  <c r="K363" i="19"/>
  <c r="I136" i="19"/>
  <c r="J205" i="19"/>
  <c r="Z340" i="19"/>
  <c r="Y249" i="19"/>
  <c r="Y147" i="19"/>
  <c r="G212" i="19"/>
  <c r="V316" i="19"/>
  <c r="F196" i="19"/>
  <c r="Z304" i="19"/>
  <c r="K126" i="19"/>
  <c r="AB304" i="19"/>
  <c r="G224" i="19"/>
  <c r="M338" i="19"/>
  <c r="Z282" i="19"/>
  <c r="AA130" i="19"/>
  <c r="U130" i="19" s="1"/>
  <c r="J165" i="19"/>
  <c r="Y341" i="19"/>
  <c r="G282" i="19"/>
  <c r="F207" i="19"/>
  <c r="J114" i="19"/>
  <c r="Y145" i="19"/>
  <c r="Y117" i="19"/>
  <c r="H323" i="19"/>
  <c r="AB240" i="19"/>
  <c r="I282" i="19"/>
  <c r="L126" i="19"/>
  <c r="M316" i="19"/>
  <c r="AB234" i="19"/>
  <c r="AA232" i="19"/>
  <c r="Z262" i="19"/>
  <c r="H289" i="19"/>
  <c r="AA253" i="19"/>
  <c r="F141" i="19"/>
  <c r="G240" i="19"/>
  <c r="M239" i="19"/>
  <c r="L263" i="19"/>
  <c r="J311" i="19"/>
  <c r="N248" i="19"/>
  <c r="M324" i="19"/>
  <c r="V276" i="19"/>
  <c r="Y241" i="19"/>
  <c r="H251" i="19"/>
  <c r="Z223" i="19"/>
  <c r="Y132" i="19"/>
  <c r="Z311" i="19"/>
  <c r="F210" i="19"/>
  <c r="N316" i="19"/>
  <c r="X340" i="19"/>
  <c r="L150" i="19"/>
  <c r="H348" i="19"/>
  <c r="AB154" i="19"/>
  <c r="Z246" i="19"/>
  <c r="J293" i="19"/>
  <c r="I308" i="19"/>
  <c r="Y158" i="19"/>
  <c r="F161" i="19"/>
  <c r="N210" i="19"/>
  <c r="G330" i="19"/>
  <c r="V253" i="19"/>
  <c r="J201" i="19"/>
  <c r="Z145" i="19"/>
  <c r="AB258" i="19"/>
  <c r="X339" i="19"/>
  <c r="Y309" i="19"/>
  <c r="N128" i="19"/>
  <c r="N230" i="19"/>
  <c r="K321" i="19"/>
  <c r="N351" i="19"/>
  <c r="AA218" i="19"/>
  <c r="J285" i="19"/>
  <c r="F176" i="19"/>
  <c r="K233" i="19"/>
  <c r="G237" i="19"/>
  <c r="Y216" i="19"/>
  <c r="N195" i="19"/>
  <c r="AB351" i="19"/>
  <c r="K156" i="19"/>
  <c r="M241" i="19"/>
  <c r="H154" i="19"/>
  <c r="L320" i="19"/>
  <c r="H255" i="19"/>
  <c r="X221" i="19"/>
  <c r="K419" i="5"/>
  <c r="K421" i="5"/>
  <c r="K417" i="5"/>
  <c r="K418" i="5"/>
  <c r="K422" i="5"/>
  <c r="K425" i="5"/>
  <c r="K423" i="5"/>
  <c r="K420" i="5"/>
  <c r="U161" i="19" l="1"/>
  <c r="U247" i="19"/>
  <c r="U255" i="19"/>
  <c r="U207" i="19"/>
  <c r="U252" i="19"/>
  <c r="U164" i="19"/>
  <c r="U343" i="19"/>
  <c r="U271" i="19"/>
  <c r="U309" i="19"/>
  <c r="U119" i="19"/>
  <c r="U229" i="19"/>
  <c r="U352" i="19"/>
  <c r="U347" i="19"/>
  <c r="U264" i="19"/>
  <c r="U175" i="19"/>
  <c r="U178" i="19"/>
  <c r="U168" i="19"/>
  <c r="U340" i="19"/>
  <c r="U160" i="19"/>
  <c r="U209" i="19"/>
  <c r="U334" i="19"/>
  <c r="U272" i="19"/>
  <c r="U218" i="19"/>
  <c r="U269" i="19"/>
  <c r="U251" i="19"/>
  <c r="U208" i="19"/>
  <c r="U185" i="19"/>
  <c r="U335" i="19"/>
  <c r="U203" i="19"/>
  <c r="U154" i="19"/>
  <c r="U361" i="19"/>
  <c r="U163" i="19"/>
  <c r="U294" i="19"/>
  <c r="U357" i="19"/>
  <c r="AM44" i="12"/>
  <c r="S43" i="12"/>
  <c r="U321" i="19"/>
  <c r="U279" i="19"/>
  <c r="U351" i="19"/>
  <c r="U245" i="19"/>
  <c r="U137" i="19"/>
  <c r="U149" i="19"/>
  <c r="U241" i="19"/>
  <c r="U173" i="19"/>
  <c r="U300" i="19"/>
  <c r="U155" i="19"/>
  <c r="U193" i="19"/>
  <c r="U145" i="19"/>
  <c r="U217" i="19"/>
  <c r="U206" i="19"/>
  <c r="U187" i="19"/>
  <c r="U242" i="19"/>
  <c r="U248" i="19"/>
  <c r="U126" i="19"/>
  <c r="U184" i="19"/>
  <c r="U204" i="19"/>
  <c r="U153" i="19"/>
  <c r="U297" i="19"/>
  <c r="U181" i="19"/>
  <c r="U188" i="19"/>
  <c r="U136" i="19"/>
  <c r="U139" i="19"/>
  <c r="U336" i="19"/>
  <c r="U195" i="19"/>
  <c r="U356" i="19"/>
  <c r="U134" i="19"/>
  <c r="U254" i="19"/>
  <c r="U182" i="19"/>
  <c r="U201" i="19"/>
  <c r="U232" i="19"/>
  <c r="U283" i="19"/>
  <c r="U176" i="19"/>
  <c r="U231" i="19"/>
  <c r="U307" i="19"/>
  <c r="U320" i="19"/>
  <c r="U179" i="19"/>
  <c r="U213" i="19"/>
  <c r="U287" i="19"/>
  <c r="U128" i="19"/>
  <c r="U239" i="19"/>
  <c r="U329" i="19"/>
  <c r="BQ46" i="12"/>
  <c r="N39" i="12"/>
  <c r="AI36" i="12"/>
  <c r="CY45" i="12"/>
  <c r="CN35" i="12"/>
  <c r="V48" i="12"/>
  <c r="CF42" i="12"/>
  <c r="DV50" i="12"/>
  <c r="T38" i="12"/>
  <c r="AW42" i="12"/>
  <c r="ED34" i="13"/>
  <c r="EN38" i="12"/>
  <c r="BG52" i="12"/>
  <c r="CB50" i="12"/>
  <c r="CC42" i="12"/>
  <c r="CR50" i="12"/>
  <c r="EL40" i="12"/>
  <c r="BX46" i="12"/>
  <c r="BJ34" i="13"/>
  <c r="AH48" i="12"/>
  <c r="EF44" i="12"/>
  <c r="DK38" i="12"/>
  <c r="BB44" i="12"/>
  <c r="CE53" i="12"/>
  <c r="U310" i="19"/>
  <c r="U324" i="19"/>
  <c r="U224" i="19"/>
  <c r="U282" i="19"/>
  <c r="U135" i="19"/>
  <c r="U367" i="19"/>
  <c r="BN48" i="12"/>
  <c r="DP36" i="12"/>
  <c r="FB52" i="12"/>
  <c r="CD50" i="12"/>
  <c r="DB50" i="12"/>
  <c r="U167" i="19"/>
  <c r="U257" i="19"/>
  <c r="U202" i="19"/>
  <c r="U261" i="19"/>
  <c r="U285" i="19"/>
  <c r="U131" i="19"/>
  <c r="U312" i="19"/>
  <c r="BM46" i="12"/>
  <c r="EH34" i="13"/>
  <c r="CU34" i="13"/>
  <c r="N41" i="12"/>
  <c r="DP35" i="12"/>
  <c r="FD42" i="12"/>
  <c r="EA36" i="12"/>
  <c r="DT53" i="12"/>
  <c r="BB38" i="12"/>
  <c r="K43" i="12"/>
  <c r="FC47" i="12"/>
  <c r="S48" i="12"/>
  <c r="AF50" i="12"/>
  <c r="BI37" i="12"/>
  <c r="EZ37" i="12"/>
  <c r="EF50" i="12"/>
  <c r="FD38" i="12"/>
  <c r="AF53" i="12"/>
  <c r="F43" i="12"/>
  <c r="AE39" i="12"/>
  <c r="AW49" i="12"/>
  <c r="C43" i="12"/>
  <c r="AN53" i="12"/>
  <c r="AH49" i="12"/>
  <c r="EF48" i="12"/>
  <c r="AW51" i="12"/>
  <c r="FA38" i="12"/>
  <c r="BC47" i="12"/>
  <c r="X49" i="12"/>
  <c r="AF40" i="12"/>
  <c r="CW52" i="12"/>
  <c r="DH49" i="12"/>
  <c r="U338" i="19"/>
  <c r="U133" i="19"/>
  <c r="U237" i="19"/>
  <c r="U303" i="19"/>
  <c r="U235" i="19"/>
  <c r="U157" i="19"/>
  <c r="U142" i="19"/>
  <c r="U326" i="19"/>
  <c r="U116" i="19"/>
  <c r="U278" i="19"/>
  <c r="U345" i="19"/>
  <c r="U114" i="19"/>
  <c r="U174" i="19"/>
  <c r="U339" i="19"/>
  <c r="U353" i="19"/>
  <c r="U148" i="19"/>
  <c r="U354" i="19"/>
  <c r="U288" i="19"/>
  <c r="U331" i="19"/>
  <c r="U215" i="19"/>
  <c r="U333" i="19"/>
  <c r="U214" i="19"/>
  <c r="U364" i="19"/>
  <c r="U323" i="19"/>
  <c r="U369" i="19"/>
  <c r="U258" i="19"/>
  <c r="U222" i="19"/>
  <c r="U162" i="19"/>
  <c r="U314" i="19"/>
  <c r="U230" i="19"/>
  <c r="U280" i="19"/>
  <c r="U263" i="19"/>
  <c r="U316" i="19"/>
  <c r="U183" i="19"/>
  <c r="U211" i="19"/>
  <c r="U170" i="19"/>
  <c r="AM39" i="12"/>
  <c r="DN43" i="12"/>
  <c r="AB41" i="12"/>
  <c r="CJ35" i="12"/>
  <c r="CC53" i="12"/>
  <c r="BM35" i="13"/>
  <c r="CE35" i="13"/>
  <c r="FA35" i="13"/>
  <c r="EL39" i="12"/>
  <c r="FA37" i="12"/>
  <c r="CS47" i="12"/>
  <c r="DY37" i="12"/>
  <c r="AF52" i="12"/>
  <c r="AW53" i="12"/>
  <c r="EO52" i="12"/>
  <c r="BG45" i="12"/>
  <c r="Q36" i="12"/>
  <c r="CQ46" i="12"/>
  <c r="K46" i="12"/>
  <c r="BZ39" i="12"/>
  <c r="DT43" i="12"/>
  <c r="EW53" i="12"/>
  <c r="DN40" i="12"/>
  <c r="BW38" i="12"/>
  <c r="EA41" i="12"/>
  <c r="AY43" i="12"/>
  <c r="EC48" i="12"/>
  <c r="AY45" i="12"/>
  <c r="C46" i="12"/>
  <c r="DU36" i="12"/>
  <c r="EU45" i="12"/>
  <c r="FF52" i="12"/>
  <c r="DF47" i="12"/>
  <c r="DL42" i="12"/>
  <c r="AH37" i="12"/>
  <c r="AP36" i="12"/>
  <c r="AP36" i="13" s="1"/>
  <c r="H35" i="12"/>
  <c r="H35" i="13" s="1"/>
  <c r="CR47" i="12"/>
  <c r="CO42" i="12"/>
  <c r="U43" i="12"/>
  <c r="AU45" i="12"/>
  <c r="AU46" i="12"/>
  <c r="CI37" i="12"/>
  <c r="CU39" i="12"/>
  <c r="BC45" i="12"/>
  <c r="BC43" i="12"/>
  <c r="O47" i="12"/>
  <c r="ES41" i="12"/>
  <c r="AL48" i="12"/>
  <c r="CC38" i="12"/>
  <c r="ET45" i="12"/>
  <c r="EY48" i="12"/>
  <c r="O51" i="12"/>
  <c r="K40" i="12"/>
  <c r="CC35" i="12"/>
  <c r="DJ39" i="12"/>
  <c r="BB53" i="12"/>
  <c r="O41" i="12"/>
  <c r="ER36" i="12"/>
  <c r="I51" i="12"/>
  <c r="U311" i="19"/>
  <c r="U265" i="19"/>
  <c r="U330" i="19"/>
  <c r="U273" i="19"/>
  <c r="U172" i="19"/>
  <c r="U250" i="19"/>
  <c r="U205" i="19"/>
  <c r="U360" i="19"/>
  <c r="U146" i="19"/>
  <c r="U295" i="19"/>
  <c r="U325" i="19"/>
  <c r="U212" i="19"/>
  <c r="U144" i="19"/>
  <c r="U249" i="19"/>
  <c r="U266" i="19"/>
  <c r="U298" i="19"/>
  <c r="U115" i="19"/>
  <c r="U313" i="19"/>
  <c r="U143" i="19"/>
  <c r="U328" i="19"/>
  <c r="U151" i="19"/>
  <c r="U284" i="19"/>
  <c r="U292" i="19"/>
  <c r="U150" i="19"/>
  <c r="CE43" i="12"/>
  <c r="BP51" i="12"/>
  <c r="EM39" i="12"/>
  <c r="AV51" i="12"/>
  <c r="BW46" i="12"/>
  <c r="M46" i="12"/>
  <c r="EV41" i="12"/>
  <c r="AM52" i="12"/>
  <c r="G41" i="12"/>
  <c r="U276" i="19"/>
  <c r="U177" i="19"/>
  <c r="U302" i="19"/>
  <c r="U322" i="19"/>
  <c r="U221" i="19"/>
  <c r="U121" i="19"/>
  <c r="U327" i="19"/>
  <c r="U166" i="19"/>
  <c r="U196" i="19"/>
  <c r="U318" i="19"/>
  <c r="U281" i="19"/>
  <c r="U315" i="19"/>
  <c r="U192" i="19"/>
  <c r="U259" i="19"/>
  <c r="U260" i="19"/>
  <c r="U198" i="19"/>
  <c r="CU53" i="12"/>
  <c r="AQ44" i="12"/>
  <c r="R45" i="12"/>
  <c r="DL49" i="12"/>
  <c r="EF38" i="12"/>
  <c r="CY36" i="12"/>
  <c r="CY36" i="13" s="1"/>
  <c r="BQ49" i="12"/>
  <c r="AQ45" i="12"/>
  <c r="AJ53" i="12"/>
  <c r="CJ50" i="12"/>
  <c r="EF47" i="12"/>
  <c r="AP40" i="12"/>
  <c r="U359" i="19"/>
  <c r="U305" i="19"/>
  <c r="U301" i="19"/>
  <c r="U189" i="19"/>
  <c r="U125" i="19"/>
  <c r="EM36" i="13"/>
  <c r="FB38" i="12"/>
  <c r="DZ46" i="12"/>
  <c r="BX44" i="12"/>
  <c r="BQ48" i="12"/>
  <c r="CE45" i="12"/>
  <c r="DO45" i="12"/>
  <c r="EZ42" i="12"/>
  <c r="FE36" i="12"/>
  <c r="AP51" i="12"/>
  <c r="ED44" i="12"/>
  <c r="CA49" i="12"/>
  <c r="U243" i="19"/>
  <c r="U191" i="19"/>
  <c r="U289" i="19"/>
  <c r="U124" i="19"/>
  <c r="U186" i="19"/>
  <c r="U244" i="19"/>
  <c r="U268" i="19"/>
  <c r="U132" i="19"/>
  <c r="U274" i="19"/>
  <c r="U159" i="19"/>
  <c r="U332" i="19"/>
  <c r="U228" i="19"/>
  <c r="U141" i="19"/>
  <c r="U363" i="19"/>
  <c r="U227" i="19"/>
  <c r="U319" i="19"/>
  <c r="U366" i="19"/>
  <c r="U180" i="19"/>
  <c r="U140" i="19"/>
  <c r="U256" i="19"/>
  <c r="U123" i="19"/>
  <c r="U138" i="19"/>
  <c r="U362" i="19"/>
  <c r="U293" i="19"/>
  <c r="U220" i="19"/>
  <c r="U165" i="19"/>
  <c r="U317" i="19"/>
  <c r="U365" i="19"/>
  <c r="U226" i="19"/>
  <c r="BR36" i="13"/>
  <c r="AK45" i="12"/>
  <c r="DM38" i="12"/>
  <c r="BE36" i="12"/>
  <c r="BE36" i="13" s="1"/>
  <c r="L41" i="12"/>
  <c r="BT44" i="12"/>
  <c r="P48" i="12"/>
  <c r="EY53" i="12"/>
  <c r="Y38" i="12"/>
  <c r="CR37" i="12"/>
  <c r="BX50" i="12"/>
  <c r="BG48" i="12"/>
  <c r="CI53" i="12"/>
  <c r="AV43" i="12"/>
  <c r="BS40" i="12"/>
  <c r="Y53" i="12"/>
  <c r="DN39" i="12"/>
  <c r="CX40" i="12"/>
  <c r="DR38" i="12"/>
  <c r="BD41" i="12"/>
  <c r="BM45" i="12"/>
  <c r="AY36" i="12"/>
  <c r="U238" i="19"/>
  <c r="U199" i="19"/>
  <c r="U306" i="19"/>
  <c r="U117" i="19"/>
  <c r="U348" i="19"/>
  <c r="U122" i="19"/>
  <c r="U233" i="19"/>
  <c r="U240" i="19"/>
  <c r="D119" i="1"/>
  <c r="C119" i="1"/>
  <c r="H119" i="1"/>
  <c r="BP35" i="12"/>
  <c r="BM42" i="12"/>
  <c r="BH35" i="12"/>
  <c r="BH35" i="13" s="1"/>
  <c r="AN35" i="12"/>
  <c r="EY47" i="12"/>
  <c r="EV48" i="12"/>
  <c r="EE36" i="12"/>
  <c r="EY41" i="12"/>
  <c r="Q40" i="12"/>
  <c r="DZ49" i="12"/>
  <c r="CT42" i="12"/>
  <c r="DY50" i="12"/>
  <c r="AD35" i="12"/>
  <c r="EV37" i="12"/>
  <c r="DZ45" i="12"/>
  <c r="EX35" i="12"/>
  <c r="EC39" i="12"/>
  <c r="ES39" i="12"/>
  <c r="BQ40" i="12"/>
  <c r="CH37" i="12"/>
  <c r="CI43" i="12"/>
  <c r="BC49" i="12"/>
  <c r="CT39" i="12"/>
  <c r="U291" i="19"/>
  <c r="U344" i="19"/>
  <c r="U253" i="19"/>
  <c r="U308" i="19"/>
  <c r="U200" i="19"/>
  <c r="U286" i="19"/>
  <c r="U262" i="19"/>
  <c r="U194" i="19"/>
  <c r="U346" i="19"/>
  <c r="U190" i="19"/>
  <c r="U234" i="19"/>
  <c r="U246" i="19"/>
  <c r="U236" i="19"/>
  <c r="U275" i="19"/>
  <c r="U197" i="19"/>
  <c r="E36" i="13"/>
  <c r="BK36" i="13"/>
  <c r="BO40" i="12"/>
  <c r="N184" i="19"/>
  <c r="AI47" i="12"/>
  <c r="DV40" i="12"/>
  <c r="Z40" i="12"/>
  <c r="DI47" i="12"/>
  <c r="EE46" i="12"/>
  <c r="BJ41" i="12"/>
  <c r="FG36" i="12"/>
  <c r="AY36" i="13" s="1"/>
  <c r="EP49" i="12"/>
  <c r="EO43" i="12"/>
  <c r="DB38" i="12"/>
  <c r="DY39" i="12"/>
  <c r="CF47" i="12"/>
  <c r="BS35" i="12"/>
  <c r="BS35" i="13" s="1"/>
  <c r="CR41" i="12"/>
  <c r="CO51" i="12"/>
  <c r="H47" i="12"/>
  <c r="CJ52" i="12"/>
  <c r="BT36" i="12"/>
  <c r="ET38" i="12"/>
  <c r="DQ42" i="12"/>
  <c r="EL41" i="12"/>
  <c r="BM39" i="12"/>
  <c r="N53" i="12"/>
  <c r="FB39" i="12"/>
  <c r="CF50" i="12"/>
  <c r="BY44" i="12"/>
  <c r="CG41" i="12"/>
  <c r="AR37" i="12"/>
  <c r="BL45" i="12"/>
  <c r="EU38" i="12"/>
  <c r="DS36" i="13"/>
  <c r="O36" i="13"/>
  <c r="W36" i="13"/>
  <c r="EA36" i="13"/>
  <c r="DW36" i="13"/>
  <c r="K36" i="13"/>
  <c r="BD36" i="13"/>
  <c r="BQ36" i="13"/>
  <c r="EY36" i="13"/>
  <c r="AG36" i="13"/>
  <c r="FB36" i="13"/>
  <c r="ES36" i="13"/>
  <c r="DC36" i="13"/>
  <c r="V36" i="13"/>
  <c r="CX36" i="13"/>
  <c r="DN36" i="13"/>
  <c r="CT36" i="13"/>
  <c r="ED36" i="13"/>
  <c r="BO36" i="13"/>
  <c r="O35" i="13"/>
  <c r="EK35" i="13"/>
  <c r="EG35" i="13"/>
  <c r="S35" i="13"/>
  <c r="CQ35" i="13"/>
  <c r="CW35" i="13"/>
  <c r="ES35" i="13"/>
  <c r="DT35" i="13"/>
  <c r="AX35" i="13"/>
  <c r="BL35" i="13"/>
  <c r="CG35" i="13"/>
  <c r="AC35" i="13"/>
  <c r="EA35" i="13"/>
  <c r="BG35" i="13"/>
  <c r="CI35" i="13"/>
  <c r="AD34" i="13"/>
  <c r="BU34" i="13"/>
  <c r="AH34" i="13"/>
  <c r="CE34" i="13"/>
  <c r="DQ34" i="13"/>
  <c r="CP34" i="13"/>
  <c r="N34" i="13"/>
  <c r="DP34" i="13"/>
  <c r="DK34" i="13"/>
  <c r="EI34" i="13"/>
  <c r="AM35" i="13"/>
  <c r="BF35" i="13"/>
  <c r="BT35" i="13"/>
  <c r="DI35" i="13"/>
  <c r="V35" i="13"/>
  <c r="DE35" i="13"/>
  <c r="AB35" i="13"/>
  <c r="AH35" i="13"/>
  <c r="U35" i="13"/>
  <c r="D35" i="13"/>
  <c r="EN35" i="13"/>
  <c r="FD35" i="13"/>
  <c r="DL35" i="13"/>
  <c r="EF35" i="13"/>
  <c r="T35" i="13"/>
  <c r="R35" i="13"/>
  <c r="AS35" i="13"/>
  <c r="DQ35" i="13"/>
  <c r="EM35" i="13"/>
  <c r="AY35" i="13"/>
  <c r="EP35" i="13"/>
  <c r="CK35" i="13"/>
  <c r="DN35" i="13"/>
  <c r="CM35" i="13"/>
  <c r="BZ35" i="13"/>
  <c r="CY35" i="13"/>
  <c r="CD35" i="13"/>
  <c r="Z35" i="13"/>
  <c r="BN35" i="13"/>
  <c r="EQ35" i="13"/>
  <c r="DG35" i="13"/>
  <c r="EE35" i="13"/>
  <c r="FF35" i="13"/>
  <c r="AJ35" i="13"/>
  <c r="BJ35" i="13"/>
  <c r="EB35" i="13"/>
  <c r="AL35" i="13"/>
  <c r="Q35" i="13"/>
  <c r="AV35" i="13"/>
  <c r="DU35" i="13"/>
  <c r="ER35" i="13"/>
  <c r="AW35" i="13"/>
  <c r="EH35" i="13"/>
  <c r="DB35" i="13"/>
  <c r="EW35" i="13"/>
  <c r="DP35" i="13"/>
  <c r="FC35" i="13"/>
  <c r="BI35" i="13"/>
  <c r="EC35" i="13"/>
  <c r="DR35" i="13"/>
  <c r="DX35" i="13"/>
  <c r="AQ34" i="13"/>
  <c r="AT34" i="13"/>
  <c r="FF34" i="13"/>
  <c r="CS34" i="13"/>
  <c r="C34" i="13"/>
  <c r="DR34" i="13"/>
  <c r="CY34" i="13"/>
  <c r="EO34" i="13"/>
  <c r="M34" i="13"/>
  <c r="DH34" i="13"/>
  <c r="DJ34" i="13"/>
  <c r="CD34" i="13"/>
  <c r="EQ34" i="13"/>
  <c r="FD34" i="13"/>
  <c r="P4" i="10"/>
  <c r="O4" i="10"/>
  <c r="EP34" i="13"/>
  <c r="BY34" i="13"/>
  <c r="BG34" i="13"/>
  <c r="CQ34" i="13"/>
  <c r="CL34" i="13"/>
  <c r="EB34" i="13"/>
  <c r="AF34" i="13"/>
  <c r="CT34" i="13"/>
  <c r="DY34" i="13"/>
  <c r="BF34" i="13"/>
  <c r="AU34" i="13"/>
  <c r="EW34" i="13"/>
  <c r="W34" i="13"/>
  <c r="BA34" i="13"/>
  <c r="BO34" i="13"/>
  <c r="CN34" i="13"/>
  <c r="EZ34" i="13"/>
  <c r="DF34" i="13"/>
  <c r="BK34" i="13"/>
  <c r="BP34" i="13"/>
  <c r="CG34" i="13"/>
  <c r="AY34" i="13"/>
  <c r="BD35" i="13"/>
  <c r="ET35" i="13"/>
  <c r="FE35" i="13"/>
  <c r="BC35" i="13"/>
  <c r="CO35" i="13"/>
  <c r="BW35" i="13"/>
  <c r="CB35" i="13"/>
  <c r="CV35" i="13"/>
  <c r="EI35" i="13"/>
  <c r="BV35" i="13"/>
  <c r="DF35" i="13"/>
  <c r="EU35" i="13"/>
  <c r="AE35" i="13"/>
  <c r="AZ35" i="13"/>
  <c r="CA35" i="13"/>
  <c r="CN35" i="13"/>
  <c r="G35" i="13"/>
  <c r="AB307" i="19"/>
  <c r="Z230" i="19"/>
  <c r="F138" i="19"/>
  <c r="G253" i="19"/>
  <c r="AB193" i="19"/>
  <c r="N232" i="19"/>
  <c r="K282" i="19"/>
  <c r="X251" i="19"/>
  <c r="X289" i="19"/>
  <c r="M143" i="19"/>
  <c r="M182" i="19"/>
  <c r="N121" i="19"/>
  <c r="I147" i="19"/>
  <c r="U147" i="19" s="1"/>
  <c r="I152" i="19"/>
  <c r="U152" i="19" s="1"/>
  <c r="L307" i="19"/>
  <c r="M131" i="19"/>
  <c r="G337" i="19"/>
  <c r="AB164" i="19"/>
  <c r="Z147" i="19"/>
  <c r="K222" i="19"/>
  <c r="H300" i="19"/>
  <c r="Z272" i="19"/>
  <c r="G217" i="19"/>
  <c r="Z193" i="19"/>
  <c r="N163" i="19"/>
  <c r="I337" i="19"/>
  <c r="U337" i="19" s="1"/>
  <c r="AB348" i="19"/>
  <c r="M335" i="19"/>
  <c r="G318" i="19"/>
  <c r="I223" i="19"/>
  <c r="U223" i="19" s="1"/>
  <c r="Y148" i="19"/>
  <c r="K236" i="19"/>
  <c r="L322" i="19"/>
  <c r="AB303" i="19"/>
  <c r="Y269" i="19"/>
  <c r="I270" i="19"/>
  <c r="U270" i="19" s="1"/>
  <c r="AA277" i="19"/>
  <c r="U277" i="19" s="1"/>
  <c r="AB197" i="19"/>
  <c r="V221" i="19"/>
  <c r="I169" i="19"/>
  <c r="U169" i="19" s="1"/>
  <c r="K163" i="19"/>
  <c r="M155" i="19"/>
  <c r="AA127" i="19"/>
  <c r="U127" i="19" s="1"/>
  <c r="K183" i="19"/>
  <c r="V278" i="19"/>
  <c r="AA341" i="19"/>
  <c r="U341" i="19" s="1"/>
  <c r="V331" i="19"/>
  <c r="G147" i="19"/>
  <c r="Z288" i="19"/>
  <c r="L352" i="19"/>
  <c r="K344" i="19"/>
  <c r="H160" i="19"/>
  <c r="M134" i="19"/>
  <c r="X192" i="19"/>
  <c r="V319" i="19"/>
  <c r="M249" i="19"/>
  <c r="H189" i="19"/>
  <c r="M277" i="19"/>
  <c r="H278" i="19"/>
  <c r="N364" i="19"/>
  <c r="K254" i="19"/>
  <c r="AB228" i="19"/>
  <c r="H293" i="19"/>
  <c r="Y246" i="19"/>
  <c r="Z276" i="19"/>
  <c r="AA219" i="19"/>
  <c r="U219" i="19" s="1"/>
  <c r="J245" i="19"/>
  <c r="J327" i="19"/>
  <c r="I296" i="19"/>
  <c r="M226" i="19"/>
  <c r="AA171" i="19"/>
  <c r="U171" i="19" s="1"/>
  <c r="J196" i="19"/>
  <c r="AB161" i="19"/>
  <c r="L172" i="19"/>
  <c r="G142" i="19"/>
  <c r="V323" i="19"/>
  <c r="J279" i="19"/>
  <c r="L268" i="19"/>
  <c r="G204" i="19"/>
  <c r="Y298" i="19"/>
  <c r="X305" i="19"/>
  <c r="F245" i="19"/>
  <c r="K120" i="19"/>
  <c r="G353" i="19"/>
  <c r="G363" i="19"/>
  <c r="K326" i="19"/>
  <c r="V277" i="19"/>
  <c r="AA296" i="19"/>
  <c r="X335" i="19"/>
  <c r="Z290" i="19"/>
  <c r="K172" i="19"/>
  <c r="K115" i="19"/>
  <c r="BZ34" i="13"/>
  <c r="DM34" i="13"/>
  <c r="DZ34" i="13"/>
  <c r="G34" i="13"/>
  <c r="FA34" i="13"/>
  <c r="BE34" i="13"/>
  <c r="DV34" i="13"/>
  <c r="BC34" i="13"/>
  <c r="DD34" i="13"/>
  <c r="DI34" i="13"/>
  <c r="CC35" i="13"/>
  <c r="CF34" i="13"/>
  <c r="S34" i="13"/>
  <c r="AE34" i="13"/>
  <c r="AN34" i="13"/>
  <c r="AN35" i="13"/>
  <c r="BP35" i="13"/>
  <c r="CJ35" i="13"/>
  <c r="AF35" i="13"/>
  <c r="N35" i="13"/>
  <c r="CS35" i="13"/>
  <c r="I35" i="13"/>
  <c r="DO35" i="13"/>
  <c r="BR35" i="13"/>
  <c r="DM35" i="13"/>
  <c r="EU34" i="13"/>
  <c r="DC34" i="13"/>
  <c r="BE35" i="13"/>
  <c r="AR35" i="13"/>
  <c r="BA35" i="13"/>
  <c r="AJ34" i="13"/>
  <c r="AO34" i="13"/>
  <c r="BL34" i="13"/>
  <c r="P34" i="13"/>
  <c r="AP34" i="13"/>
  <c r="H174" i="19"/>
  <c r="CO34" i="13"/>
  <c r="EX35" i="13"/>
  <c r="DG34" i="13"/>
  <c r="FE34" i="13"/>
  <c r="K34" i="13"/>
  <c r="CR34" i="13"/>
  <c r="E34" i="13"/>
  <c r="J34" i="13"/>
  <c r="O34" i="13"/>
  <c r="AW34" i="13"/>
  <c r="DE34" i="13"/>
  <c r="EY34" i="13"/>
  <c r="ET34" i="13"/>
  <c r="CB34" i="13"/>
  <c r="EV34" i="13"/>
  <c r="DT34" i="13"/>
  <c r="AV34" i="13"/>
  <c r="H34" i="13"/>
  <c r="ES34" i="13"/>
  <c r="C35" i="13"/>
  <c r="AK35" i="13"/>
  <c r="CR35" i="13"/>
  <c r="DY35" i="13"/>
  <c r="F35" i="13"/>
  <c r="J35" i="13"/>
  <c r="FB34" i="13"/>
  <c r="X35" i="13"/>
  <c r="DU34" i="13"/>
  <c r="AT35" i="13"/>
  <c r="CV34" i="13"/>
  <c r="DX34" i="13"/>
  <c r="EL34" i="13"/>
  <c r="Y34" i="13"/>
  <c r="EA34" i="13"/>
  <c r="Z294" i="19"/>
  <c r="F34" i="13"/>
  <c r="T34" i="13"/>
  <c r="AD35" i="13"/>
  <c r="D34" i="13"/>
  <c r="AZ34" i="13"/>
  <c r="U34" i="13"/>
  <c r="AC34" i="13"/>
  <c r="CM34" i="13"/>
  <c r="EK34" i="13"/>
  <c r="BW34" i="13"/>
  <c r="CZ34" i="13"/>
  <c r="AS34" i="13"/>
  <c r="ER34" i="13"/>
  <c r="AX34" i="13"/>
  <c r="BI34" i="13"/>
  <c r="FC34" i="13"/>
  <c r="DV35" i="13"/>
  <c r="AU35" i="13"/>
  <c r="BU35" i="13"/>
  <c r="DA35" i="13"/>
  <c r="AI35" i="13"/>
  <c r="AG35" i="13"/>
  <c r="M35" i="13"/>
  <c r="DW35" i="13"/>
  <c r="CP35" i="13"/>
  <c r="BB35" i="13"/>
  <c r="AO35" i="13"/>
  <c r="EZ35" i="13"/>
  <c r="EV35" i="13"/>
  <c r="L35" i="13"/>
  <c r="EM34" i="13"/>
  <c r="I34" i="13"/>
  <c r="BV34" i="13"/>
  <c r="CX34" i="13"/>
  <c r="X34" i="13"/>
  <c r="DL34" i="13"/>
  <c r="BN34" i="13"/>
  <c r="V34" i="13"/>
  <c r="R34" i="13"/>
  <c r="DA34" i="13"/>
  <c r="AL34" i="13"/>
  <c r="AG34" i="13"/>
  <c r="BX34" i="13"/>
  <c r="CW34" i="13"/>
  <c r="EE34" i="13"/>
  <c r="EF34" i="13"/>
  <c r="EX34" i="13"/>
  <c r="AA34" i="13"/>
  <c r="CU35" i="13"/>
  <c r="BO35" i="13"/>
  <c r="CL35" i="13"/>
  <c r="BQ35" i="13"/>
  <c r="EJ35" i="13"/>
  <c r="AP35" i="13"/>
  <c r="W35" i="13"/>
  <c r="DD35" i="13"/>
  <c r="CX35" i="13"/>
  <c r="DJ35" i="13"/>
  <c r="K35" i="13"/>
  <c r="BX35" i="13"/>
  <c r="CF35" i="13"/>
  <c r="DZ35" i="13"/>
  <c r="P35" i="13"/>
  <c r="FB35" i="13"/>
  <c r="EY35" i="13"/>
  <c r="DS35" i="13"/>
  <c r="I434" i="5"/>
  <c r="I438" i="5"/>
  <c r="J435" i="5"/>
  <c r="I435" i="5"/>
  <c r="I445" i="5"/>
  <c r="J437" i="5"/>
  <c r="I444" i="5"/>
  <c r="J443" i="5"/>
  <c r="J434" i="5"/>
  <c r="I441" i="5"/>
  <c r="I440" i="5"/>
  <c r="J439" i="5"/>
  <c r="J441" i="5"/>
  <c r="I437" i="5"/>
  <c r="J442" i="5"/>
  <c r="I446" i="5"/>
  <c r="I443" i="5"/>
  <c r="J445" i="5"/>
  <c r="J446" i="5"/>
  <c r="J444" i="5"/>
  <c r="J440" i="5"/>
  <c r="J438" i="5"/>
  <c r="I442" i="5"/>
  <c r="J436" i="5"/>
  <c r="I436" i="5"/>
  <c r="I439" i="5"/>
  <c r="AM34" i="13"/>
  <c r="DC35" i="13"/>
  <c r="EG34" i="13"/>
  <c r="EJ34" i="13"/>
  <c r="AK34" i="13"/>
  <c r="CC34" i="13"/>
  <c r="DN34" i="13"/>
  <c r="DS34" i="13"/>
  <c r="L34" i="13"/>
  <c r="BB34" i="13"/>
  <c r="BT34" i="13"/>
  <c r="AR34" i="13"/>
  <c r="AI34" i="13"/>
  <c r="BD34" i="13"/>
  <c r="CH34" i="13"/>
  <c r="BS34" i="13"/>
  <c r="EC34" i="13"/>
  <c r="EO35" i="13"/>
  <c r="ED35" i="13"/>
  <c r="E35" i="13"/>
  <c r="CT35" i="13"/>
  <c r="AA35" i="13"/>
  <c r="CZ35" i="13"/>
  <c r="BY35" i="13"/>
  <c r="Y35" i="13"/>
  <c r="BK35" i="13"/>
  <c r="DK35" i="13"/>
  <c r="AQ35" i="13"/>
  <c r="EL35" i="13"/>
  <c r="BQ34" i="13"/>
  <c r="DO34" i="13"/>
  <c r="EN34" i="13"/>
  <c r="Z34" i="13"/>
  <c r="Q34" i="13"/>
  <c r="CJ34" i="13"/>
  <c r="BH34" i="13"/>
  <c r="CK34" i="13"/>
  <c r="BR34" i="13"/>
  <c r="DW34" i="13"/>
  <c r="BM34" i="13"/>
  <c r="DB34" i="13"/>
  <c r="CI34" i="13"/>
  <c r="CA34" i="13"/>
  <c r="K426" i="5"/>
  <c r="K429" i="5"/>
  <c r="K432" i="5"/>
  <c r="K427" i="5"/>
  <c r="K431" i="5"/>
  <c r="K428" i="5"/>
  <c r="O266" i="19"/>
  <c r="R266" i="19"/>
  <c r="W266" i="19"/>
  <c r="R328" i="19"/>
  <c r="W328" i="19"/>
  <c r="O328" i="19"/>
  <c r="W291" i="19"/>
  <c r="O291" i="19"/>
  <c r="R291" i="19"/>
  <c r="R335" i="19"/>
  <c r="W335" i="19"/>
  <c r="O335" i="19"/>
  <c r="R308" i="19"/>
  <c r="W308" i="19"/>
  <c r="O308" i="19"/>
  <c r="R333" i="19"/>
  <c r="W333" i="19"/>
  <c r="O333" i="19"/>
  <c r="R149" i="19"/>
  <c r="O149" i="19"/>
  <c r="W149" i="19"/>
  <c r="R324" i="19"/>
  <c r="W324" i="19"/>
  <c r="O324" i="19"/>
  <c r="O169" i="19"/>
  <c r="W169" i="19"/>
  <c r="R169" i="19"/>
  <c r="O313" i="19"/>
  <c r="R313" i="19"/>
  <c r="W313" i="19"/>
  <c r="O292" i="19"/>
  <c r="R292" i="19"/>
  <c r="W292" i="19"/>
  <c r="W361" i="19"/>
  <c r="O361" i="19"/>
  <c r="R361" i="19"/>
  <c r="R114" i="19"/>
  <c r="W114" i="19"/>
  <c r="R148" i="19"/>
  <c r="O148" i="19"/>
  <c r="W148" i="19"/>
  <c r="O350" i="19"/>
  <c r="R350" i="19"/>
  <c r="W350" i="19"/>
  <c r="W271" i="19"/>
  <c r="O271" i="19"/>
  <c r="R271" i="19"/>
  <c r="R193" i="19"/>
  <c r="O193" i="19"/>
  <c r="W193" i="19"/>
  <c r="O262" i="19"/>
  <c r="W262" i="19"/>
  <c r="R262" i="19"/>
  <c r="W145" i="19"/>
  <c r="O145" i="19"/>
  <c r="R145" i="19"/>
  <c r="O120" i="19"/>
  <c r="W120" i="19"/>
  <c r="R120" i="19"/>
  <c r="O247" i="19"/>
  <c r="W247" i="19"/>
  <c r="R247" i="19"/>
  <c r="W210" i="19"/>
  <c r="O210" i="19"/>
  <c r="R210" i="19"/>
  <c r="O343" i="19"/>
  <c r="R343" i="19"/>
  <c r="W343" i="19"/>
  <c r="R342" i="19"/>
  <c r="O342" i="19"/>
  <c r="W342" i="19"/>
  <c r="W257" i="19"/>
  <c r="R257" i="19"/>
  <c r="O257" i="19"/>
  <c r="O194" i="19"/>
  <c r="W194" i="19"/>
  <c r="R194" i="19"/>
  <c r="O158" i="19"/>
  <c r="R158" i="19"/>
  <c r="W158" i="19"/>
  <c r="O207" i="19"/>
  <c r="R207" i="19"/>
  <c r="W207" i="19"/>
  <c r="R261" i="19"/>
  <c r="W261" i="19"/>
  <c r="O261" i="19"/>
  <c r="O223" i="19"/>
  <c r="W223" i="19"/>
  <c r="R223" i="19"/>
  <c r="W289" i="19"/>
  <c r="R289" i="19"/>
  <c r="O289" i="19"/>
  <c r="O330" i="19"/>
  <c r="W330" i="19"/>
  <c r="R330" i="19"/>
  <c r="W252" i="19"/>
  <c r="R252" i="19"/>
  <c r="O252" i="19"/>
  <c r="R246" i="19"/>
  <c r="W246" i="19"/>
  <c r="O246" i="19"/>
  <c r="O368" i="19"/>
  <c r="W368" i="19"/>
  <c r="R368" i="19"/>
  <c r="W189" i="19"/>
  <c r="O189" i="19"/>
  <c r="R189" i="19"/>
  <c r="O358" i="19"/>
  <c r="R358" i="19"/>
  <c r="W358" i="19"/>
  <c r="W334" i="19"/>
  <c r="R334" i="19"/>
  <c r="O334" i="19"/>
  <c r="R242" i="19"/>
  <c r="W242" i="19"/>
  <c r="O242" i="19"/>
  <c r="O197" i="19"/>
  <c r="W197" i="19"/>
  <c r="R197" i="19"/>
  <c r="R131" i="19"/>
  <c r="W131" i="19"/>
  <c r="O131" i="19"/>
  <c r="W312" i="19"/>
  <c r="O312" i="19"/>
  <c r="R312" i="19"/>
  <c r="W125" i="19"/>
  <c r="O125" i="19"/>
  <c r="R125" i="19"/>
  <c r="W218" i="19"/>
  <c r="R218" i="19"/>
  <c r="O218" i="19"/>
  <c r="O212" i="19"/>
  <c r="R212" i="19"/>
  <c r="W212" i="19"/>
  <c r="O231" i="19"/>
  <c r="R231" i="19"/>
  <c r="W231" i="19"/>
  <c r="R115" i="19"/>
  <c r="W115" i="19"/>
  <c r="W320" i="19"/>
  <c r="R320" i="19"/>
  <c r="O320" i="19"/>
  <c r="O143" i="19"/>
  <c r="W143" i="19"/>
  <c r="R143" i="19"/>
  <c r="R344" i="19"/>
  <c r="W344" i="19"/>
  <c r="O344" i="19"/>
  <c r="W284" i="19"/>
  <c r="O284" i="19"/>
  <c r="R284" i="19"/>
  <c r="O203" i="19"/>
  <c r="R203" i="19"/>
  <c r="W203" i="19"/>
  <c r="W154" i="19"/>
  <c r="O154" i="19"/>
  <c r="R154" i="19"/>
  <c r="O294" i="19"/>
  <c r="W294" i="19"/>
  <c r="R294" i="19"/>
  <c r="R173" i="19"/>
  <c r="O173" i="19"/>
  <c r="W173" i="19"/>
  <c r="W239" i="19"/>
  <c r="R239" i="19"/>
  <c r="O239" i="19"/>
  <c r="W323" i="19"/>
  <c r="O323" i="19"/>
  <c r="R323" i="19"/>
  <c r="O155" i="19"/>
  <c r="W155" i="19"/>
  <c r="R155" i="19"/>
  <c r="W329" i="19"/>
  <c r="O329" i="19"/>
  <c r="R329" i="19"/>
  <c r="R233" i="19"/>
  <c r="W233" i="19"/>
  <c r="O233" i="19"/>
  <c r="R315" i="19"/>
  <c r="W315" i="19"/>
  <c r="O315" i="19"/>
  <c r="R301" i="19"/>
  <c r="W301" i="19"/>
  <c r="O301" i="19"/>
  <c r="R119" i="19"/>
  <c r="W119" i="19"/>
  <c r="O119" i="19"/>
  <c r="O229" i="19"/>
  <c r="R229" i="19"/>
  <c r="W229" i="19"/>
  <c r="O273" i="19"/>
  <c r="W273" i="19"/>
  <c r="R273" i="19"/>
  <c r="R159" i="19"/>
  <c r="O159" i="19"/>
  <c r="W159" i="19"/>
  <c r="R243" i="19"/>
  <c r="O243" i="19"/>
  <c r="W243" i="19"/>
  <c r="O337" i="19"/>
  <c r="W337" i="19"/>
  <c r="R337" i="19"/>
  <c r="R297" i="19"/>
  <c r="O297" i="19"/>
  <c r="W297" i="19"/>
  <c r="R228" i="19"/>
  <c r="W228" i="19"/>
  <c r="O228" i="19"/>
  <c r="W141" i="19"/>
  <c r="O141" i="19"/>
  <c r="R141" i="19"/>
  <c r="O172" i="19"/>
  <c r="R172" i="19"/>
  <c r="W172" i="19"/>
  <c r="O319" i="19"/>
  <c r="W319" i="19"/>
  <c r="R319" i="19"/>
  <c r="R355" i="19"/>
  <c r="O355" i="19"/>
  <c r="W355" i="19"/>
  <c r="O140" i="19"/>
  <c r="R140" i="19"/>
  <c r="W140" i="19"/>
  <c r="O336" i="19"/>
  <c r="R336" i="19"/>
  <c r="W336" i="19"/>
  <c r="O205" i="19"/>
  <c r="W205" i="19"/>
  <c r="R205" i="19"/>
  <c r="R195" i="19"/>
  <c r="O195" i="19"/>
  <c r="W195" i="19"/>
  <c r="W256" i="19"/>
  <c r="R256" i="19"/>
  <c r="O256" i="19"/>
  <c r="W362" i="19"/>
  <c r="R362" i="19"/>
  <c r="O362" i="19"/>
  <c r="W175" i="19"/>
  <c r="R175" i="19"/>
  <c r="O175" i="19"/>
  <c r="R356" i="19"/>
  <c r="O356" i="19"/>
  <c r="W356" i="19"/>
  <c r="O293" i="19"/>
  <c r="R293" i="19"/>
  <c r="W293" i="19"/>
  <c r="W317" i="19"/>
  <c r="O317" i="19"/>
  <c r="R317" i="19"/>
  <c r="R338" i="19"/>
  <c r="O338" i="19"/>
  <c r="W338" i="19"/>
  <c r="O146" i="19"/>
  <c r="W146" i="19"/>
  <c r="R146" i="19"/>
  <c r="O295" i="19"/>
  <c r="R295" i="19"/>
  <c r="W295" i="19"/>
  <c r="W226" i="19"/>
  <c r="R226" i="19"/>
  <c r="O226" i="19"/>
  <c r="R134" i="19"/>
  <c r="W134" i="19"/>
  <c r="O134" i="19"/>
  <c r="W254" i="19"/>
  <c r="R254" i="19"/>
  <c r="O254" i="19"/>
  <c r="R248" i="19"/>
  <c r="W248" i="19"/>
  <c r="O248" i="19"/>
  <c r="W310" i="19"/>
  <c r="R310" i="19"/>
  <c r="O310" i="19"/>
  <c r="R327" i="19"/>
  <c r="W327" i="19"/>
  <c r="O327" i="19"/>
  <c r="W357" i="19"/>
  <c r="R357" i="19"/>
  <c r="O357" i="19"/>
  <c r="O258" i="19"/>
  <c r="R258" i="19"/>
  <c r="W258" i="19"/>
  <c r="W263" i="19"/>
  <c r="R263" i="19"/>
  <c r="O263" i="19"/>
  <c r="O117" i="19"/>
  <c r="R117" i="19"/>
  <c r="W117" i="19"/>
  <c r="W260" i="19"/>
  <c r="O260" i="19"/>
  <c r="R260" i="19"/>
  <c r="R198" i="19"/>
  <c r="W198" i="19"/>
  <c r="O198" i="19"/>
  <c r="O170" i="19"/>
  <c r="R170" i="19"/>
  <c r="W170" i="19"/>
  <c r="O168" i="19"/>
  <c r="R168" i="19"/>
  <c r="W168" i="19"/>
  <c r="W340" i="19"/>
  <c r="O340" i="19"/>
  <c r="R340" i="19"/>
  <c r="W283" i="19"/>
  <c r="O283" i="19"/>
  <c r="R283" i="19"/>
  <c r="W160" i="19"/>
  <c r="O160" i="19"/>
  <c r="R160" i="19"/>
  <c r="O249" i="19"/>
  <c r="W249" i="19"/>
  <c r="R249" i="19"/>
  <c r="O267" i="19"/>
  <c r="W267" i="19"/>
  <c r="R267" i="19"/>
  <c r="W298" i="19"/>
  <c r="R298" i="19"/>
  <c r="O298" i="19"/>
  <c r="W279" i="19"/>
  <c r="O279" i="19"/>
  <c r="R279" i="19"/>
  <c r="O133" i="19"/>
  <c r="R133" i="19"/>
  <c r="W133" i="19"/>
  <c r="R269" i="19"/>
  <c r="O269" i="19"/>
  <c r="W269" i="19"/>
  <c r="O349" i="19"/>
  <c r="W349" i="19"/>
  <c r="R349" i="19"/>
  <c r="W307" i="19"/>
  <c r="R307" i="19"/>
  <c r="O307" i="19"/>
  <c r="R251" i="19"/>
  <c r="W251" i="19"/>
  <c r="O251" i="19"/>
  <c r="W351" i="19"/>
  <c r="O351" i="19"/>
  <c r="R351" i="19"/>
  <c r="O303" i="19"/>
  <c r="W303" i="19"/>
  <c r="R303" i="19"/>
  <c r="R151" i="19"/>
  <c r="W151" i="19"/>
  <c r="O151" i="19"/>
  <c r="W179" i="19"/>
  <c r="O179" i="19"/>
  <c r="R179" i="19"/>
  <c r="O235" i="19"/>
  <c r="W235" i="19"/>
  <c r="R235" i="19"/>
  <c r="R157" i="19"/>
  <c r="W157" i="19"/>
  <c r="O157" i="19"/>
  <c r="R213" i="19"/>
  <c r="O213" i="19"/>
  <c r="W213" i="19"/>
  <c r="R142" i="19"/>
  <c r="W142" i="19"/>
  <c r="O142" i="19"/>
  <c r="W150" i="19"/>
  <c r="R150" i="19"/>
  <c r="O150" i="19"/>
  <c r="O163" i="19"/>
  <c r="R163" i="19"/>
  <c r="W163" i="19"/>
  <c r="O238" i="19"/>
  <c r="W238" i="19"/>
  <c r="R238" i="19"/>
  <c r="R345" i="19"/>
  <c r="O345" i="19"/>
  <c r="W345" i="19"/>
  <c r="O128" i="19"/>
  <c r="W128" i="19"/>
  <c r="R128" i="19"/>
  <c r="R232" i="19"/>
  <c r="W232" i="19"/>
  <c r="O232" i="19"/>
  <c r="O237" i="19"/>
  <c r="R237" i="19"/>
  <c r="W237" i="19"/>
  <c r="O121" i="19"/>
  <c r="R121" i="19"/>
  <c r="W121" i="19"/>
  <c r="R369" i="19"/>
  <c r="O369" i="19"/>
  <c r="W369" i="19"/>
  <c r="O135" i="19"/>
  <c r="W135" i="19"/>
  <c r="R135" i="19"/>
  <c r="O318" i="19"/>
  <c r="W318" i="19"/>
  <c r="R318" i="19"/>
  <c r="O211" i="19"/>
  <c r="W211" i="19"/>
  <c r="R211" i="19"/>
  <c r="O126" i="19"/>
  <c r="W126" i="19"/>
  <c r="R126" i="19"/>
  <c r="R129" i="19"/>
  <c r="O129" i="19"/>
  <c r="W129" i="19"/>
  <c r="W253" i="19"/>
  <c r="O253" i="19"/>
  <c r="R253" i="19"/>
  <c r="O174" i="19"/>
  <c r="R174" i="19"/>
  <c r="W174" i="19"/>
  <c r="O339" i="19"/>
  <c r="R339" i="19"/>
  <c r="W339" i="19"/>
  <c r="O302" i="19"/>
  <c r="R302" i="19"/>
  <c r="W302" i="19"/>
  <c r="R353" i="19"/>
  <c r="W353" i="19"/>
  <c r="O353" i="19"/>
  <c r="W354" i="19"/>
  <c r="O354" i="19"/>
  <c r="R354" i="19"/>
  <c r="W288" i="19"/>
  <c r="R288" i="19"/>
  <c r="O288" i="19"/>
  <c r="O331" i="19"/>
  <c r="R331" i="19"/>
  <c r="W331" i="19"/>
  <c r="O215" i="19"/>
  <c r="W215" i="19"/>
  <c r="R215" i="19"/>
  <c r="R322" i="19"/>
  <c r="O322" i="19"/>
  <c r="W322" i="19"/>
  <c r="W214" i="19"/>
  <c r="R214" i="19"/>
  <c r="O214" i="19"/>
  <c r="O364" i="19"/>
  <c r="R364" i="19"/>
  <c r="W364" i="19"/>
  <c r="O166" i="19"/>
  <c r="R166" i="19"/>
  <c r="W166" i="19"/>
  <c r="R199" i="19"/>
  <c r="O199" i="19"/>
  <c r="W199" i="19"/>
  <c r="W300" i="19"/>
  <c r="R300" i="19"/>
  <c r="O300" i="19"/>
  <c r="W222" i="19"/>
  <c r="R222" i="19"/>
  <c r="O222" i="19"/>
  <c r="R224" i="19"/>
  <c r="W224" i="19"/>
  <c r="O224" i="19"/>
  <c r="R162" i="19"/>
  <c r="O162" i="19"/>
  <c r="W162" i="19"/>
  <c r="O314" i="19"/>
  <c r="W314" i="19"/>
  <c r="R314" i="19"/>
  <c r="R230" i="19"/>
  <c r="W230" i="19"/>
  <c r="O230" i="19"/>
  <c r="O282" i="19"/>
  <c r="R282" i="19"/>
  <c r="W282" i="19"/>
  <c r="R280" i="19"/>
  <c r="W280" i="19"/>
  <c r="O280" i="19"/>
  <c r="O348" i="19"/>
  <c r="R348" i="19"/>
  <c r="W348" i="19"/>
  <c r="R316" i="19"/>
  <c r="W316" i="19"/>
  <c r="O316" i="19"/>
  <c r="R122" i="19"/>
  <c r="W122" i="19"/>
  <c r="O122" i="19"/>
  <c r="O161" i="19"/>
  <c r="W161" i="19"/>
  <c r="R161" i="19"/>
  <c r="R281" i="19"/>
  <c r="O281" i="19"/>
  <c r="W281" i="19"/>
  <c r="R192" i="19"/>
  <c r="W192" i="19"/>
  <c r="O192" i="19"/>
  <c r="W367" i="19"/>
  <c r="O367" i="19"/>
  <c r="R367" i="19"/>
  <c r="O259" i="19"/>
  <c r="R259" i="19"/>
  <c r="W259" i="19"/>
  <c r="W182" i="19"/>
  <c r="O182" i="19"/>
  <c r="R182" i="19"/>
  <c r="W240" i="19"/>
  <c r="R240" i="19"/>
  <c r="O240" i="19"/>
  <c r="O225" i="19"/>
  <c r="W225" i="19"/>
  <c r="R225" i="19"/>
  <c r="R130" i="19"/>
  <c r="O130" i="19"/>
  <c r="W130" i="19"/>
  <c r="W200" i="19"/>
  <c r="R200" i="19"/>
  <c r="O200" i="19"/>
  <c r="W201" i="19"/>
  <c r="R201" i="19"/>
  <c r="O201" i="19"/>
  <c r="R352" i="19"/>
  <c r="W352" i="19"/>
  <c r="O352" i="19"/>
  <c r="W216" i="19"/>
  <c r="O216" i="19"/>
  <c r="R216" i="19"/>
  <c r="W265" i="19"/>
  <c r="R265" i="19"/>
  <c r="O265" i="19"/>
  <c r="W359" i="19"/>
  <c r="R359" i="19"/>
  <c r="O359" i="19"/>
  <c r="O217" i="19"/>
  <c r="R217" i="19"/>
  <c r="W217" i="19"/>
  <c r="R202" i="19"/>
  <c r="O202" i="19"/>
  <c r="W202" i="19"/>
  <c r="O255" i="19"/>
  <c r="W255" i="19"/>
  <c r="R255" i="19"/>
  <c r="O346" i="19"/>
  <c r="R346" i="19"/>
  <c r="W346" i="19"/>
  <c r="W190" i="19"/>
  <c r="R190" i="19"/>
  <c r="O190" i="19"/>
  <c r="O309" i="19"/>
  <c r="R309" i="19"/>
  <c r="W309" i="19"/>
  <c r="O156" i="19"/>
  <c r="R156" i="19"/>
  <c r="W156" i="19"/>
  <c r="W234" i="19"/>
  <c r="R234" i="19"/>
  <c r="O234" i="19"/>
  <c r="O209" i="19"/>
  <c r="R209" i="19"/>
  <c r="W209" i="19"/>
  <c r="O285" i="19"/>
  <c r="R285" i="19"/>
  <c r="W285" i="19"/>
  <c r="R152" i="19"/>
  <c r="W152" i="19"/>
  <c r="O152" i="19"/>
  <c r="O206" i="19"/>
  <c r="R206" i="19"/>
  <c r="W206" i="19"/>
  <c r="R124" i="19"/>
  <c r="W124" i="19"/>
  <c r="O124" i="19"/>
  <c r="O236" i="19"/>
  <c r="R236" i="19"/>
  <c r="W236" i="19"/>
  <c r="W305" i="19"/>
  <c r="O305" i="19"/>
  <c r="R305" i="19"/>
  <c r="W275" i="19"/>
  <c r="O275" i="19"/>
  <c r="R275" i="19"/>
  <c r="W187" i="19"/>
  <c r="O187" i="19"/>
  <c r="R187" i="19"/>
  <c r="O186" i="19"/>
  <c r="W186" i="19"/>
  <c r="R186" i="19"/>
  <c r="R191" i="19"/>
  <c r="W191" i="19"/>
  <c r="O191" i="19"/>
  <c r="O244" i="19"/>
  <c r="W244" i="19"/>
  <c r="R244" i="19"/>
  <c r="K433" i="5"/>
  <c r="R144" i="19"/>
  <c r="W144" i="19"/>
  <c r="O144" i="19"/>
  <c r="R299" i="19"/>
  <c r="O299" i="19"/>
  <c r="W299" i="19"/>
  <c r="W176" i="19"/>
  <c r="R176" i="19"/>
  <c r="O176" i="19"/>
  <c r="W245" i="19"/>
  <c r="R245" i="19"/>
  <c r="O245" i="19"/>
  <c r="R208" i="19"/>
  <c r="W208" i="19"/>
  <c r="O208" i="19"/>
  <c r="W185" i="19"/>
  <c r="O185" i="19"/>
  <c r="R185" i="19"/>
  <c r="R287" i="19"/>
  <c r="O287" i="19"/>
  <c r="W287" i="19"/>
  <c r="W137" i="19"/>
  <c r="R137" i="19"/>
  <c r="O137" i="19"/>
  <c r="R326" i="19"/>
  <c r="W326" i="19"/>
  <c r="O326" i="19"/>
  <c r="R116" i="19"/>
  <c r="W116" i="19"/>
  <c r="O116" i="19"/>
  <c r="O278" i="19"/>
  <c r="W278" i="19"/>
  <c r="R278" i="19"/>
  <c r="W118" i="19"/>
  <c r="O118" i="19"/>
  <c r="R118" i="19"/>
  <c r="W221" i="19"/>
  <c r="O221" i="19"/>
  <c r="R221" i="19"/>
  <c r="W196" i="19"/>
  <c r="R196" i="19"/>
  <c r="O196" i="19"/>
  <c r="O306" i="19"/>
  <c r="W306" i="19"/>
  <c r="R306" i="19"/>
  <c r="W164" i="19"/>
  <c r="R164" i="19"/>
  <c r="O164" i="19"/>
  <c r="W183" i="19"/>
  <c r="R183" i="19"/>
  <c r="O183" i="19"/>
  <c r="R286" i="19"/>
  <c r="O286" i="19"/>
  <c r="W286" i="19"/>
  <c r="O167" i="19"/>
  <c r="W167" i="19"/>
  <c r="R167" i="19"/>
  <c r="W311" i="19"/>
  <c r="R311" i="19"/>
  <c r="O311" i="19"/>
  <c r="R268" i="19"/>
  <c r="O268" i="19"/>
  <c r="W268" i="19"/>
  <c r="W147" i="19"/>
  <c r="O147" i="19"/>
  <c r="R147" i="19"/>
  <c r="R304" i="19"/>
  <c r="O304" i="19"/>
  <c r="W304" i="19"/>
  <c r="W321" i="19"/>
  <c r="O321" i="19"/>
  <c r="R321" i="19"/>
  <c r="W132" i="19"/>
  <c r="R132" i="19"/>
  <c r="O132" i="19"/>
  <c r="R290" i="19"/>
  <c r="O290" i="19"/>
  <c r="W290" i="19"/>
  <c r="O274" i="19"/>
  <c r="W274" i="19"/>
  <c r="R274" i="19"/>
  <c r="O184" i="19"/>
  <c r="W184" i="19"/>
  <c r="R184" i="19"/>
  <c r="O332" i="19"/>
  <c r="W332" i="19"/>
  <c r="R332" i="19"/>
  <c r="W204" i="19"/>
  <c r="R204" i="19"/>
  <c r="O204" i="19"/>
  <c r="W153" i="19"/>
  <c r="O153" i="19"/>
  <c r="R153" i="19"/>
  <c r="R276" i="19"/>
  <c r="W276" i="19"/>
  <c r="O276" i="19"/>
  <c r="R177" i="19"/>
  <c r="W177" i="19"/>
  <c r="O177" i="19"/>
  <c r="W181" i="19"/>
  <c r="R181" i="19"/>
  <c r="O181" i="19"/>
  <c r="O363" i="19"/>
  <c r="W363" i="19"/>
  <c r="R363" i="19"/>
  <c r="W188" i="19"/>
  <c r="R188" i="19"/>
  <c r="O188" i="19"/>
  <c r="O136" i="19"/>
  <c r="R136" i="19"/>
  <c r="W136" i="19"/>
  <c r="W227" i="19"/>
  <c r="O227" i="19"/>
  <c r="R227" i="19"/>
  <c r="W366" i="19"/>
  <c r="O366" i="19"/>
  <c r="R366" i="19"/>
  <c r="O180" i="19"/>
  <c r="R180" i="19"/>
  <c r="W180" i="19"/>
  <c r="W270" i="19"/>
  <c r="R270" i="19"/>
  <c r="O270" i="19"/>
  <c r="W250" i="19"/>
  <c r="R250" i="19"/>
  <c r="O250" i="19"/>
  <c r="W139" i="19"/>
  <c r="O139" i="19"/>
  <c r="R139" i="19"/>
  <c r="O347" i="19"/>
  <c r="R347" i="19"/>
  <c r="W347" i="19"/>
  <c r="W123" i="19"/>
  <c r="O123" i="19"/>
  <c r="R123" i="19"/>
  <c r="R360" i="19"/>
  <c r="O360" i="19"/>
  <c r="W360" i="19"/>
  <c r="R138" i="19"/>
  <c r="W138" i="19"/>
  <c r="O138" i="19"/>
  <c r="W264" i="19"/>
  <c r="O264" i="19"/>
  <c r="R264" i="19"/>
  <c r="W272" i="19"/>
  <c r="O272" i="19"/>
  <c r="R272" i="19"/>
  <c r="R220" i="19"/>
  <c r="O220" i="19"/>
  <c r="W220" i="19"/>
  <c r="W165" i="19"/>
  <c r="R165" i="19"/>
  <c r="O165" i="19"/>
  <c r="W365" i="19"/>
  <c r="R365" i="19"/>
  <c r="O365" i="19"/>
  <c r="W241" i="19"/>
  <c r="R241" i="19"/>
  <c r="O241" i="19"/>
  <c r="R325" i="19"/>
  <c r="O325" i="19"/>
  <c r="W325" i="19"/>
  <c r="R178" i="19"/>
  <c r="O178" i="19"/>
  <c r="W178" i="19"/>
  <c r="K430" i="5"/>
  <c r="DA36" i="13" l="1"/>
  <c r="CV36" i="13"/>
  <c r="BT36" i="13"/>
  <c r="K434" i="5"/>
  <c r="BS36" i="13"/>
  <c r="AF36" i="13"/>
  <c r="AT36" i="13"/>
  <c r="DQ36" i="13"/>
  <c r="DR36" i="13"/>
  <c r="BZ36" i="13"/>
  <c r="FC36" i="13"/>
  <c r="BI36" i="13"/>
  <c r="DY36" i="13"/>
  <c r="AX36" i="13"/>
  <c r="BV36" i="13"/>
  <c r="BB36" i="13"/>
  <c r="AR36" i="13"/>
  <c r="CN36" i="13"/>
  <c r="Z36" i="13"/>
  <c r="CG36" i="13"/>
  <c r="AJ36" i="13"/>
  <c r="BP36" i="13"/>
  <c r="AZ36" i="13"/>
  <c r="AA36" i="13"/>
  <c r="DO36" i="13"/>
  <c r="J36" i="13"/>
  <c r="D36" i="13"/>
  <c r="EJ36" i="13"/>
  <c r="P36" i="13"/>
  <c r="BF36" i="13"/>
  <c r="DL36" i="13"/>
  <c r="FD36" i="13"/>
  <c r="EQ36" i="13"/>
  <c r="U296" i="19"/>
  <c r="AL36" i="13"/>
  <c r="CZ36" i="13"/>
  <c r="EG36" i="13"/>
  <c r="BW36" i="13"/>
  <c r="CC36" i="13"/>
  <c r="EF36" i="13"/>
  <c r="CR36" i="13"/>
  <c r="EP36" i="13"/>
  <c r="M36" i="13"/>
  <c r="CJ36" i="13"/>
  <c r="CS36" i="13"/>
  <c r="Y36" i="13"/>
  <c r="AW36" i="13"/>
  <c r="DP36" i="13"/>
  <c r="CK36" i="13"/>
  <c r="AK36" i="13"/>
  <c r="U36" i="13"/>
  <c r="CB36" i="13"/>
  <c r="AO36" i="13"/>
  <c r="DH36" i="13"/>
  <c r="BC36" i="13"/>
  <c r="DF36" i="13"/>
  <c r="DK36" i="13"/>
  <c r="AQ36" i="13"/>
  <c r="BM36" i="13"/>
  <c r="CI36" i="13"/>
  <c r="S36" i="13"/>
  <c r="CA36" i="13"/>
  <c r="CU36" i="13"/>
  <c r="DI36" i="13"/>
  <c r="AD36" i="13"/>
  <c r="H36" i="13"/>
  <c r="J448" i="5"/>
  <c r="I453" i="5"/>
  <c r="J450" i="5"/>
  <c r="J452" i="5"/>
  <c r="J453" i="5"/>
  <c r="J447" i="5"/>
  <c r="K447" i="5" s="1"/>
  <c r="I452" i="5"/>
  <c r="I451" i="5"/>
  <c r="I454" i="5"/>
  <c r="I450" i="5"/>
  <c r="J451" i="5"/>
  <c r="J449" i="5"/>
  <c r="I447" i="5"/>
  <c r="I448" i="5"/>
  <c r="I449" i="5"/>
  <c r="J454" i="5"/>
  <c r="AH36" i="13"/>
  <c r="BX36" i="13"/>
  <c r="DE36" i="13"/>
  <c r="FE36" i="13"/>
  <c r="CD36" i="13"/>
  <c r="DV36" i="13"/>
  <c r="CE36" i="13"/>
  <c r="BA36" i="13"/>
  <c r="ER36" i="13"/>
  <c r="DZ36" i="13"/>
  <c r="L36" i="13"/>
  <c r="CH36" i="13"/>
  <c r="AV36" i="13"/>
  <c r="FF36" i="13"/>
  <c r="C36" i="13"/>
  <c r="FA36" i="13"/>
  <c r="AE36" i="13"/>
  <c r="EC36" i="13"/>
  <c r="CM36" i="13"/>
  <c r="EH36" i="13"/>
  <c r="AI36" i="13"/>
  <c r="EN36" i="13"/>
  <c r="R36" i="13"/>
  <c r="CF36" i="13"/>
  <c r="I36" i="13"/>
  <c r="CQ36" i="13"/>
  <c r="F36" i="13"/>
  <c r="CP36" i="13"/>
  <c r="Q36" i="13"/>
  <c r="AN36" i="13"/>
  <c r="EL36" i="13"/>
  <c r="CL36" i="13"/>
  <c r="EW36" i="13"/>
  <c r="DT36" i="13"/>
  <c r="DD36" i="13"/>
  <c r="EX36" i="13"/>
  <c r="DG36" i="13"/>
  <c r="EK36" i="13"/>
  <c r="AS36" i="13"/>
  <c r="BY36" i="13"/>
  <c r="BU36" i="13"/>
  <c r="N36" i="13"/>
  <c r="DX36" i="13"/>
  <c r="AC36" i="13"/>
  <c r="EE36" i="13"/>
  <c r="EZ36" i="13"/>
  <c r="EO36" i="13"/>
  <c r="DM36" i="13"/>
  <c r="DJ36" i="13"/>
  <c r="X36" i="13"/>
  <c r="DU36" i="13"/>
  <c r="EB36" i="13"/>
  <c r="AM36" i="13"/>
  <c r="BH36" i="13"/>
  <c r="CW36" i="13"/>
  <c r="EU36" i="13"/>
  <c r="EI36" i="13"/>
  <c r="CO36" i="13"/>
  <c r="AB36" i="13"/>
  <c r="AU36" i="13"/>
  <c r="BJ36" i="13"/>
  <c r="BL36" i="13"/>
  <c r="BG36" i="13"/>
  <c r="ET36" i="13"/>
  <c r="T36" i="13"/>
  <c r="DB36" i="13"/>
  <c r="BN36" i="13"/>
  <c r="G36" i="13"/>
  <c r="EV36" i="13"/>
  <c r="K440" i="5"/>
  <c r="K445" i="5"/>
  <c r="D29" i="9"/>
  <c r="K442" i="5"/>
  <c r="R171" i="19"/>
  <c r="O171" i="19"/>
  <c r="W171" i="19"/>
  <c r="K438" i="5"/>
  <c r="K437" i="5"/>
  <c r="R341" i="19"/>
  <c r="W341" i="19"/>
  <c r="O341" i="19"/>
  <c r="K441" i="5"/>
  <c r="W277" i="19"/>
  <c r="R277" i="19"/>
  <c r="O277" i="19"/>
  <c r="K444" i="5"/>
  <c r="K439" i="5"/>
  <c r="K446" i="5"/>
  <c r="K435" i="5"/>
  <c r="W127" i="19"/>
  <c r="R127" i="19"/>
  <c r="O127" i="19"/>
  <c r="R219" i="19"/>
  <c r="W219" i="19"/>
  <c r="O219" i="19"/>
  <c r="K436" i="5"/>
  <c r="K443" i="5"/>
  <c r="R296" i="19"/>
  <c r="O296" i="19"/>
  <c r="W296" i="19"/>
  <c r="K449" i="5" l="1"/>
  <c r="L15" i="7"/>
  <c r="L12" i="7"/>
  <c r="L17" i="7"/>
  <c r="L21" i="7"/>
  <c r="L13" i="7"/>
  <c r="L19" i="7"/>
  <c r="L6" i="7"/>
  <c r="L33" i="7"/>
  <c r="L16" i="7"/>
  <c r="L26" i="7"/>
  <c r="L24" i="7"/>
  <c r="L30" i="7"/>
  <c r="L18" i="7"/>
  <c r="L28" i="7"/>
  <c r="L31" i="7"/>
  <c r="L32" i="7"/>
  <c r="L9" i="7"/>
  <c r="L8" i="7"/>
  <c r="L11" i="7"/>
  <c r="L7" i="7"/>
  <c r="K453" i="5"/>
  <c r="L22" i="7"/>
  <c r="L10" i="7"/>
  <c r="L27" i="7"/>
  <c r="L14" i="7"/>
  <c r="L29" i="7"/>
  <c r="L25" i="7"/>
  <c r="L5" i="7"/>
  <c r="L20" i="7"/>
  <c r="L23" i="7"/>
  <c r="K451" i="5"/>
  <c r="K450" i="5"/>
  <c r="K454" i="5"/>
  <c r="K452" i="5"/>
  <c r="K448" i="5"/>
  <c r="AL244" i="5" l="1"/>
  <c r="AL37" i="5"/>
  <c r="AL15" i="5"/>
  <c r="AL7" i="5"/>
  <c r="AL32" i="5"/>
  <c r="AL42" i="5"/>
  <c r="AL18" i="5"/>
  <c r="AL5" i="5"/>
  <c r="AL33" i="5"/>
  <c r="AL11" i="5"/>
  <c r="AL39" i="5"/>
  <c r="AL23" i="5"/>
  <c r="AL30" i="5"/>
  <c r="AL20" i="5"/>
  <c r="AL21" i="5"/>
  <c r="AL29" i="5"/>
  <c r="AL4" i="5"/>
  <c r="AL22" i="5"/>
  <c r="AL14" i="5"/>
  <c r="AL34" i="5"/>
  <c r="AL24" i="5"/>
  <c r="AL31" i="5"/>
  <c r="AL243" i="5"/>
  <c r="AL183" i="5"/>
  <c r="AL447" i="5"/>
  <c r="C12" i="9"/>
  <c r="AL255" i="5"/>
  <c r="AL101" i="5"/>
  <c r="AL260" i="5"/>
  <c r="AL81" i="5"/>
  <c r="AL258" i="5"/>
  <c r="AL70" i="5"/>
  <c r="AL138" i="5"/>
  <c r="AL127" i="5"/>
  <c r="AL171" i="5"/>
  <c r="AL343" i="5"/>
  <c r="AL415" i="5"/>
  <c r="AL26" i="5"/>
  <c r="AL241" i="5"/>
  <c r="O68" i="19" s="1"/>
  <c r="AL187" i="5"/>
  <c r="AL284" i="5"/>
  <c r="AL363" i="5"/>
  <c r="K4" i="8"/>
  <c r="C25" i="9" s="1"/>
  <c r="AL321" i="5"/>
  <c r="AL154" i="5"/>
  <c r="AL441" i="5"/>
  <c r="AL195" i="5"/>
  <c r="AL36" i="5"/>
  <c r="AL437" i="5"/>
  <c r="AL330" i="5"/>
  <c r="AL92" i="5"/>
  <c r="AL174" i="5"/>
  <c r="AL57" i="5"/>
  <c r="AL296" i="5"/>
  <c r="AL162" i="5"/>
  <c r="AL214" i="5"/>
  <c r="AL136" i="5"/>
  <c r="AL286" i="5"/>
  <c r="AL285" i="5"/>
  <c r="AL172" i="5"/>
  <c r="AL201" i="5"/>
  <c r="AL395" i="5"/>
  <c r="AL432" i="5"/>
  <c r="AL185" i="5"/>
  <c r="AL281" i="5"/>
  <c r="AL350" i="5"/>
  <c r="AL10" i="5"/>
  <c r="AL331" i="5"/>
  <c r="AL224" i="5"/>
  <c r="AL50" i="5"/>
  <c r="AL159" i="5"/>
  <c r="AL91" i="5"/>
  <c r="AL339" i="5"/>
  <c r="AL304" i="5"/>
  <c r="AL99" i="5"/>
  <c r="AL49" i="5"/>
  <c r="AL419" i="5"/>
  <c r="AL412" i="5"/>
  <c r="AL184" i="5"/>
  <c r="AL149" i="5"/>
  <c r="AL248" i="5"/>
  <c r="AL425" i="5"/>
  <c r="AL379" i="5"/>
  <c r="AL302" i="5"/>
  <c r="AL83" i="5"/>
  <c r="AL333" i="5"/>
  <c r="AL38" i="5"/>
  <c r="AL169" i="5"/>
  <c r="AL181" i="5"/>
  <c r="AL87" i="5"/>
  <c r="AL12" i="5"/>
  <c r="AL157" i="5"/>
  <c r="AL335" i="5"/>
  <c r="C21" i="9"/>
  <c r="AL114" i="5"/>
  <c r="AL40" i="5"/>
  <c r="AL362" i="5"/>
  <c r="AL168" i="5"/>
  <c r="AL300" i="5"/>
  <c r="AL43" i="5"/>
  <c r="AL376" i="5"/>
  <c r="AL231" i="5"/>
  <c r="AL165" i="5"/>
  <c r="AL139" i="5"/>
  <c r="C9" i="9"/>
  <c r="AL186" i="5"/>
  <c r="AL325" i="5"/>
  <c r="AL359" i="5"/>
  <c r="AL192" i="5"/>
  <c r="AL446" i="5"/>
  <c r="AL453" i="5"/>
  <c r="AL189" i="5"/>
  <c r="AL261" i="5"/>
  <c r="AL250" i="5"/>
  <c r="AL366" i="5"/>
  <c r="AL107" i="5"/>
  <c r="AL448" i="5"/>
  <c r="AL411" i="5"/>
  <c r="AL48" i="5"/>
  <c r="AL408" i="5"/>
  <c r="AL204" i="5"/>
  <c r="AL45" i="5"/>
  <c r="AL208" i="5"/>
  <c r="AL229" i="5"/>
  <c r="AL435" i="5"/>
  <c r="AL413" i="5"/>
  <c r="AL82" i="5"/>
  <c r="AL272" i="5"/>
  <c r="AL368" i="5"/>
  <c r="AL433" i="5"/>
  <c r="AL227" i="5"/>
  <c r="AL219" i="5"/>
  <c r="AL345" i="5"/>
  <c r="AL360" i="5"/>
  <c r="AL268" i="5"/>
  <c r="AL156" i="5"/>
  <c r="AL383" i="5"/>
  <c r="AL327" i="5"/>
  <c r="AL8" i="5"/>
  <c r="AL119" i="5"/>
  <c r="AL332" i="5"/>
  <c r="AL381" i="5"/>
  <c r="AL375" i="5"/>
  <c r="AL218" i="5"/>
  <c r="AL423" i="5"/>
  <c r="AL46" i="5"/>
  <c r="AL28" i="5"/>
  <c r="AL27" i="5"/>
  <c r="AL451" i="5"/>
  <c r="AL353" i="5"/>
  <c r="AL299" i="5"/>
  <c r="O83" i="19" s="1"/>
  <c r="AL454" i="5"/>
  <c r="AL352" i="5"/>
  <c r="AL202" i="5"/>
  <c r="AL422" i="5"/>
  <c r="AL405" i="5"/>
  <c r="AL256" i="5"/>
  <c r="AL400" i="5"/>
  <c r="AL163" i="5"/>
  <c r="AL213" i="5"/>
  <c r="AL90" i="5"/>
  <c r="AL429" i="5"/>
  <c r="M4" i="8"/>
  <c r="C22" i="9" s="1"/>
  <c r="AL324" i="5"/>
  <c r="AL96" i="5"/>
  <c r="AL389" i="5"/>
  <c r="AL13" i="5"/>
  <c r="AL278" i="5"/>
  <c r="AL305" i="5"/>
  <c r="AL103" i="5"/>
  <c r="AL322" i="5"/>
  <c r="AL206" i="5"/>
  <c r="AL166" i="5"/>
  <c r="AL132" i="5"/>
  <c r="AL134" i="5"/>
  <c r="AL105" i="5"/>
  <c r="AL56" i="5"/>
  <c r="AL25" i="5"/>
  <c r="AL280" i="5"/>
  <c r="AL164" i="5"/>
  <c r="AL161" i="5"/>
  <c r="AL257" i="5"/>
  <c r="AL78" i="5"/>
  <c r="AL88" i="5"/>
  <c r="AL62" i="5"/>
  <c r="AL308" i="5"/>
  <c r="AL120" i="5"/>
  <c r="AL263" i="5"/>
  <c r="AL288" i="5"/>
  <c r="AL377" i="5"/>
  <c r="AL298" i="5"/>
  <c r="O82" i="19" s="1"/>
  <c r="AL228" i="5"/>
  <c r="AL334" i="5"/>
  <c r="AL428" i="5"/>
  <c r="AL385" i="5"/>
  <c r="AL318" i="5"/>
  <c r="AL384" i="5"/>
  <c r="AL73" i="5"/>
  <c r="AL126" i="5"/>
  <c r="AL216" i="5"/>
  <c r="AL314" i="5"/>
  <c r="AL41" i="5"/>
  <c r="AL354" i="5"/>
  <c r="AL410" i="5"/>
  <c r="AL128" i="5"/>
  <c r="AL197" i="5"/>
  <c r="AL323" i="5"/>
  <c r="AL97" i="5"/>
  <c r="AL188" i="5"/>
  <c r="AL312" i="5"/>
  <c r="AL212" i="5"/>
  <c r="AL182" i="5"/>
  <c r="AL16" i="5"/>
  <c r="AL398" i="5"/>
  <c r="AL67" i="5"/>
  <c r="AL247" i="5"/>
  <c r="AL65" i="5"/>
  <c r="AL19" i="5"/>
  <c r="AL450" i="5"/>
  <c r="AL416" i="5"/>
  <c r="AL337" i="5"/>
  <c r="O93" i="19" s="1"/>
  <c r="AL173" i="5"/>
  <c r="AL115" i="5"/>
  <c r="AL9" i="5"/>
  <c r="O20" i="19" s="1"/>
  <c r="AL35" i="5"/>
  <c r="AL178" i="5"/>
  <c r="AL155" i="5"/>
  <c r="AL122" i="5"/>
  <c r="AL313" i="5"/>
  <c r="AL309" i="5"/>
  <c r="AL215" i="5"/>
  <c r="AL145" i="5"/>
  <c r="AL277" i="5"/>
  <c r="AL64" i="5"/>
  <c r="AL271" i="5"/>
  <c r="AL130" i="5"/>
  <c r="AL144" i="5"/>
  <c r="AL316" i="5"/>
  <c r="AL80" i="5"/>
  <c r="AL253" i="5"/>
  <c r="AL205" i="5"/>
  <c r="AL237" i="5"/>
  <c r="AL143" i="5"/>
  <c r="AL61" i="5"/>
  <c r="AL414" i="5"/>
  <c r="AL295" i="5"/>
  <c r="AL17" i="5"/>
  <c r="AL109" i="5"/>
  <c r="AL69" i="5"/>
  <c r="AL378" i="5"/>
  <c r="AL407" i="5"/>
  <c r="AL116" i="5"/>
  <c r="AL386" i="5"/>
  <c r="AL85" i="5"/>
  <c r="AL430" i="5"/>
  <c r="AL226" i="5"/>
  <c r="AL346" i="5"/>
  <c r="AL137" i="5"/>
  <c r="AL223" i="5"/>
  <c r="AL370" i="5"/>
  <c r="AL118" i="5"/>
  <c r="AL374" i="5"/>
  <c r="AL420" i="5"/>
  <c r="AL436" i="5"/>
  <c r="AL93" i="5"/>
  <c r="AL191" i="5"/>
  <c r="AL252" i="5"/>
  <c r="C24" i="9"/>
  <c r="AL98" i="5"/>
  <c r="AL239" i="5"/>
  <c r="AL217" i="5"/>
  <c r="AL251" i="5"/>
  <c r="AL409" i="5"/>
  <c r="AL76" i="5"/>
  <c r="AL249" i="5"/>
  <c r="AL267" i="5"/>
  <c r="AL273" i="5"/>
  <c r="AL117" i="5"/>
  <c r="AL388" i="5"/>
  <c r="AL200" i="5"/>
  <c r="AL315" i="5"/>
  <c r="AL59" i="5"/>
  <c r="AL234" i="5"/>
  <c r="AL364" i="5"/>
  <c r="AL232" i="5"/>
  <c r="AL222" i="5"/>
  <c r="C18" i="9"/>
  <c r="AL52" i="5"/>
  <c r="AL209" i="5"/>
  <c r="AL111" i="5"/>
  <c r="AL141" i="5"/>
  <c r="AL361" i="5"/>
  <c r="AL406" i="5"/>
  <c r="AL151" i="5"/>
  <c r="AL310" i="5"/>
  <c r="AL289" i="5"/>
  <c r="AL329" i="5"/>
  <c r="O91" i="19" s="1"/>
  <c r="AL382" i="5"/>
  <c r="AL443" i="5"/>
  <c r="AL203" i="5"/>
  <c r="AL95" i="5"/>
  <c r="AL434" i="5"/>
  <c r="AL341" i="5"/>
  <c r="O95" i="19" s="1"/>
  <c r="AL373" i="5"/>
  <c r="AL125" i="5"/>
  <c r="AL152" i="5"/>
  <c r="AL142" i="5"/>
  <c r="AL60" i="5"/>
  <c r="AL301" i="5"/>
  <c r="AL124" i="5"/>
  <c r="AL396" i="5"/>
  <c r="AL147" i="5"/>
  <c r="AL121" i="5"/>
  <c r="AL106" i="5"/>
  <c r="AL338" i="5"/>
  <c r="AL246" i="5"/>
  <c r="AL179" i="5"/>
  <c r="AL266" i="5"/>
  <c r="AL291" i="5"/>
  <c r="AL367" i="5"/>
  <c r="AL355" i="5"/>
  <c r="AL77" i="5"/>
  <c r="AL140" i="5"/>
  <c r="AL445" i="5"/>
  <c r="AL211" i="5"/>
  <c r="AL351" i="5"/>
  <c r="AL397" i="5"/>
  <c r="AL440" i="5"/>
  <c r="AL71" i="5"/>
  <c r="AL391" i="5"/>
  <c r="AL112" i="5"/>
  <c r="AL102" i="5"/>
  <c r="AL390" i="5"/>
  <c r="AL176" i="5"/>
  <c r="AL344" i="5"/>
  <c r="AL210" i="5"/>
  <c r="AL242" i="5"/>
  <c r="AL293" i="5"/>
  <c r="O80" i="19" s="1"/>
  <c r="AL133" i="5"/>
  <c r="AL113" i="5"/>
  <c r="AL104" i="5"/>
  <c r="AL254" i="5"/>
  <c r="AL262" i="5"/>
  <c r="AL320" i="5"/>
  <c r="AL225" i="5"/>
  <c r="AL190" i="5"/>
  <c r="AL342" i="5"/>
  <c r="O96" i="19" s="1"/>
  <c r="AL55" i="5"/>
  <c r="AL282" i="5"/>
  <c r="AL399" i="5"/>
  <c r="AL221" i="5"/>
  <c r="AL294" i="5"/>
  <c r="AL180" i="5"/>
  <c r="AL66" i="5"/>
  <c r="AL245" i="5"/>
  <c r="AL387" i="5"/>
  <c r="AL292" i="5"/>
  <c r="O79" i="19" s="1"/>
  <c r="AL393" i="5"/>
  <c r="AL129" i="5"/>
  <c r="AL449" i="5"/>
  <c r="AL431" i="5"/>
  <c r="AL444" i="5"/>
  <c r="AL54" i="5"/>
  <c r="AL146" i="5"/>
  <c r="AL307" i="5"/>
  <c r="AL427" i="5"/>
  <c r="AL135" i="5"/>
  <c r="AL358" i="5"/>
  <c r="AL259" i="5"/>
  <c r="AL347" i="5"/>
  <c r="AL306" i="5"/>
  <c r="AL238" i="5"/>
  <c r="AL51" i="5"/>
  <c r="AL177" i="5"/>
  <c r="AL401" i="5"/>
  <c r="AL439" i="5"/>
  <c r="AL275" i="5"/>
  <c r="AL274" i="5"/>
  <c r="AL84" i="5"/>
  <c r="AL53" i="5"/>
  <c r="AL283" i="5"/>
  <c r="O75" i="19" s="1"/>
  <c r="AL442" i="5"/>
  <c r="AL426" i="5"/>
  <c r="AL75" i="5"/>
  <c r="AL269" i="5"/>
  <c r="AL297" i="5"/>
  <c r="AL438" i="5"/>
  <c r="AL276" i="5"/>
  <c r="AL418" i="5"/>
  <c r="AL349" i="5"/>
  <c r="AL220" i="5"/>
  <c r="AL404" i="5"/>
  <c r="AL153" i="5"/>
  <c r="AL372" i="5"/>
  <c r="AL79" i="5"/>
  <c r="AL365" i="5"/>
  <c r="AL357" i="5"/>
  <c r="AL356" i="5"/>
  <c r="AL265" i="5"/>
  <c r="AL348" i="5"/>
  <c r="AL170" i="5"/>
  <c r="AL68" i="5"/>
  <c r="AL328" i="5"/>
  <c r="AL44" i="5"/>
  <c r="AL326" i="5"/>
  <c r="O90" i="19" s="1"/>
  <c r="AL194" i="5"/>
  <c r="AL160" i="5"/>
  <c r="AL110" i="5"/>
  <c r="AL270" i="5"/>
  <c r="AL402" i="5"/>
  <c r="AL371" i="5"/>
  <c r="AL199" i="5"/>
  <c r="AL392" i="5"/>
  <c r="AL264" i="5"/>
  <c r="AL403" i="5"/>
  <c r="AL380" i="5"/>
  <c r="O104" i="19" s="1"/>
  <c r="AL175" i="5"/>
  <c r="AL421" i="5"/>
  <c r="AL207" i="5"/>
  <c r="AL74" i="5"/>
  <c r="AL236" i="5"/>
  <c r="AL108" i="5"/>
  <c r="AL336" i="5"/>
  <c r="AL58" i="5"/>
  <c r="AL193" i="5"/>
  <c r="AL317" i="5"/>
  <c r="AL167" i="5"/>
  <c r="AL394" i="5"/>
  <c r="AL424" i="5"/>
  <c r="AL196" i="5"/>
  <c r="AL100" i="5"/>
  <c r="AL94" i="5"/>
  <c r="AL235" i="5"/>
  <c r="AL311" i="5"/>
  <c r="AL131" i="5"/>
  <c r="AL198" i="5"/>
  <c r="AL72" i="5"/>
  <c r="AL230" i="5"/>
  <c r="E11" i="8"/>
  <c r="AL287" i="5"/>
  <c r="AL340" i="5"/>
  <c r="AL86" i="5"/>
  <c r="AL369" i="5"/>
  <c r="AL63" i="5"/>
  <c r="AL123" i="5"/>
  <c r="AL290" i="5"/>
  <c r="O78" i="19" s="1"/>
  <c r="C15" i="9"/>
  <c r="C27" i="9" s="1"/>
  <c r="AL233" i="5"/>
  <c r="AL158" i="5"/>
  <c r="AL148" i="5"/>
  <c r="AL89" i="5"/>
  <c r="O37" i="19" s="1"/>
  <c r="AL417" i="5"/>
  <c r="AL47" i="5"/>
  <c r="AL452" i="5"/>
  <c r="AL319" i="5"/>
  <c r="AL279" i="5"/>
  <c r="AL150" i="5"/>
  <c r="C11" i="8"/>
  <c r="D18" i="9"/>
  <c r="D24" i="9"/>
  <c r="D9" i="9"/>
  <c r="L11" i="8"/>
  <c r="D27" i="9"/>
  <c r="E27" i="9" s="1"/>
  <c r="D11" i="8"/>
  <c r="F11" i="8"/>
  <c r="E18" i="9" l="1"/>
  <c r="O103" i="19"/>
  <c r="O94" i="19"/>
  <c r="O112" i="19"/>
  <c r="O107" i="19"/>
  <c r="O99" i="19"/>
  <c r="O74" i="19"/>
  <c r="O81" i="19"/>
  <c r="O111" i="19"/>
  <c r="O73" i="19"/>
  <c r="O10" i="19"/>
  <c r="O89" i="19"/>
  <c r="O62" i="19"/>
  <c r="O115" i="19"/>
  <c r="D21" i="9" s="1"/>
  <c r="E21" i="9" s="1"/>
  <c r="G11" i="8"/>
  <c r="I11" i="8"/>
  <c r="O114" i="19"/>
  <c r="O108" i="19"/>
  <c r="O97" i="19"/>
  <c r="O56" i="19"/>
  <c r="O38" i="19"/>
  <c r="O87" i="19"/>
  <c r="O43" i="19"/>
  <c r="O100" i="19"/>
  <c r="O84" i="19"/>
  <c r="O19" i="19"/>
  <c r="D12" i="9"/>
  <c r="E12" i="9" s="1"/>
  <c r="D15" i="9"/>
  <c r="E15" i="9" s="1"/>
  <c r="O109" i="19"/>
  <c r="O88" i="19"/>
  <c r="O57" i="19"/>
  <c r="O76" i="19"/>
  <c r="O55" i="19"/>
  <c r="O29" i="19"/>
  <c r="O59" i="19"/>
  <c r="O70" i="19"/>
  <c r="E24" i="9"/>
  <c r="E9" i="9"/>
  <c r="O92" i="19"/>
  <c r="Q38" i="20"/>
  <c r="Z38" i="20"/>
  <c r="F10" i="10"/>
  <c r="D10" i="10"/>
  <c r="L10" i="10"/>
  <c r="Q39" i="20"/>
  <c r="Z39" i="20"/>
  <c r="Z40" i="20"/>
  <c r="Q40" i="20"/>
  <c r="Q36" i="20"/>
  <c r="Q46" i="20"/>
  <c r="Z43" i="20"/>
  <c r="Z24" i="20"/>
  <c r="Z45" i="20"/>
  <c r="Z44" i="20"/>
  <c r="Q42" i="20"/>
  <c r="Q47" i="20"/>
  <c r="Z21" i="20"/>
  <c r="Z41" i="20"/>
  <c r="Z49" i="20"/>
  <c r="Q48" i="20"/>
  <c r="Z13" i="20"/>
  <c r="Q49" i="20"/>
  <c r="Q24" i="20"/>
  <c r="F4" i="8"/>
  <c r="Z42" i="20"/>
  <c r="Z48" i="20"/>
  <c r="Z15" i="20"/>
  <c r="D4" i="8"/>
  <c r="D19" i="9" s="1"/>
  <c r="Q44" i="20"/>
  <c r="Q25" i="20"/>
  <c r="Z19" i="20"/>
  <c r="Z34" i="20"/>
  <c r="Z16" i="20"/>
  <c r="Z17" i="20"/>
  <c r="Z11" i="20"/>
  <c r="Q3" i="20"/>
  <c r="Z33" i="20"/>
  <c r="Z26" i="20"/>
  <c r="Q41" i="20"/>
  <c r="Q45" i="20"/>
  <c r="Q16" i="20"/>
  <c r="Q27" i="20"/>
  <c r="Z46" i="20"/>
  <c r="Z31" i="20"/>
  <c r="Q11" i="20"/>
  <c r="Q23" i="20"/>
  <c r="Q20" i="20"/>
  <c r="Z36" i="20"/>
  <c r="Q12" i="20"/>
  <c r="Z23" i="20"/>
  <c r="Q6" i="20"/>
  <c r="Q37" i="20"/>
  <c r="Q13" i="20"/>
  <c r="Q17" i="20"/>
  <c r="Q15" i="20"/>
  <c r="Z32" i="20"/>
  <c r="Z7" i="20"/>
  <c r="Z14" i="20"/>
  <c r="Z3" i="20"/>
  <c r="Z35" i="20"/>
  <c r="Z6" i="20"/>
  <c r="Q9" i="20"/>
  <c r="Z27" i="20"/>
  <c r="Q28" i="20"/>
  <c r="Q4" i="20"/>
  <c r="Q19" i="20"/>
  <c r="Q29" i="20"/>
  <c r="Q5" i="20"/>
  <c r="Z47" i="20"/>
  <c r="Q43" i="20"/>
  <c r="Q30" i="20"/>
  <c r="Z18" i="20"/>
  <c r="Z5" i="20"/>
  <c r="Z4" i="20"/>
  <c r="Z8" i="20"/>
  <c r="Z28" i="20"/>
  <c r="Q33" i="20"/>
  <c r="Q8" i="20"/>
  <c r="Z22" i="20"/>
  <c r="Q22" i="20"/>
  <c r="Q31" i="20"/>
  <c r="Z29" i="20"/>
  <c r="Q32" i="20"/>
  <c r="Q18" i="20"/>
  <c r="Q26" i="20"/>
  <c r="Q34" i="20"/>
  <c r="Q7" i="20"/>
  <c r="Z12" i="20"/>
  <c r="Z30" i="20"/>
  <c r="Q35" i="20"/>
  <c r="Q14" i="20"/>
  <c r="Z9" i="20"/>
  <c r="L4" i="8"/>
  <c r="D25" i="9" s="1"/>
  <c r="E25" i="9" s="1"/>
  <c r="Z37" i="20"/>
  <c r="Q10" i="20"/>
  <c r="Q21" i="20"/>
  <c r="Z25" i="20"/>
  <c r="Z10" i="20"/>
  <c r="Z20" i="20"/>
  <c r="Z2" i="20"/>
  <c r="Q2" i="20"/>
  <c r="F4" i="10"/>
  <c r="L4" i="10"/>
  <c r="D26" i="9" s="1"/>
  <c r="E26" i="9" s="1"/>
  <c r="D4" i="10"/>
  <c r="D20" i="9" s="1"/>
  <c r="O53" i="19"/>
  <c r="O98" i="19"/>
  <c r="O52" i="19"/>
  <c r="O105" i="19"/>
  <c r="O71" i="19"/>
  <c r="O86" i="19"/>
  <c r="O36" i="19"/>
  <c r="O54" i="19"/>
  <c r="O110" i="19"/>
  <c r="O42" i="19"/>
  <c r="O28" i="19"/>
  <c r="O39" i="19"/>
  <c r="O101" i="19"/>
  <c r="O65" i="19"/>
  <c r="O77" i="19"/>
  <c r="O102" i="19"/>
  <c r="O72" i="19"/>
  <c r="J11" i="8"/>
  <c r="H11" i="8"/>
  <c r="O33" i="19"/>
  <c r="O64" i="19"/>
  <c r="O49" i="19"/>
  <c r="O35" i="19"/>
  <c r="O63" i="19"/>
  <c r="O41" i="19"/>
  <c r="O30" i="19"/>
  <c r="O113" i="19"/>
  <c r="O48" i="19"/>
  <c r="O32" i="19"/>
  <c r="O85" i="19"/>
  <c r="O58" i="19"/>
  <c r="N4" i="8" l="1"/>
  <c r="D22" i="9" s="1"/>
  <c r="E22" i="9" s="1"/>
  <c r="N4" i="10"/>
  <c r="D23" i="9" s="1"/>
  <c r="E23" i="9" s="1"/>
  <c r="U26" i="20"/>
  <c r="R26" i="20"/>
  <c r="U43" i="20"/>
  <c r="X43" i="20" s="1"/>
  <c r="R43" i="20"/>
  <c r="R17" i="20"/>
  <c r="U17" i="20"/>
  <c r="U20" i="20"/>
  <c r="R20" i="20"/>
  <c r="R47" i="20"/>
  <c r="U47" i="20"/>
  <c r="X47" i="20" s="1"/>
  <c r="D11" i="9"/>
  <c r="H4" i="10"/>
  <c r="D17" i="9" s="1"/>
  <c r="J4" i="10"/>
  <c r="D14" i="9" s="1"/>
  <c r="R18" i="20"/>
  <c r="U18" i="20"/>
  <c r="U28" i="20"/>
  <c r="R28" i="20"/>
  <c r="R42" i="20"/>
  <c r="U42" i="20"/>
  <c r="X42" i="20" s="1"/>
  <c r="N10" i="10"/>
  <c r="R8" i="20"/>
  <c r="U8" i="20"/>
  <c r="X8" i="20" s="1"/>
  <c r="U13" i="20"/>
  <c r="X13" i="20" s="1"/>
  <c r="R13" i="20"/>
  <c r="R16" i="20"/>
  <c r="U16" i="20"/>
  <c r="U35" i="20"/>
  <c r="R35" i="20"/>
  <c r="R33" i="20"/>
  <c r="U33" i="20"/>
  <c r="R37" i="20"/>
  <c r="U37" i="20"/>
  <c r="D10" i="9"/>
  <c r="H4" i="8"/>
  <c r="D16" i="9" s="1"/>
  <c r="J4" i="8"/>
  <c r="D13" i="9" s="1"/>
  <c r="H10" i="10"/>
  <c r="J10" i="10"/>
  <c r="R21" i="20"/>
  <c r="U21" i="20"/>
  <c r="R32" i="20"/>
  <c r="U32" i="20"/>
  <c r="U5" i="20"/>
  <c r="R5" i="20"/>
  <c r="S5" i="20" s="1"/>
  <c r="U9" i="20"/>
  <c r="X9" i="20" s="1"/>
  <c r="R9" i="20"/>
  <c r="AA21" i="20"/>
  <c r="AA14" i="20"/>
  <c r="AA22" i="20"/>
  <c r="AA15" i="20"/>
  <c r="AA23" i="20"/>
  <c r="AA18" i="20"/>
  <c r="AA19" i="20"/>
  <c r="AA16" i="20"/>
  <c r="AA24" i="20"/>
  <c r="AA17" i="20"/>
  <c r="AA25" i="20"/>
  <c r="AA20" i="20"/>
  <c r="U23" i="20"/>
  <c r="R23" i="20"/>
  <c r="R45" i="20"/>
  <c r="U45" i="20"/>
  <c r="X45" i="20" s="1"/>
  <c r="U24" i="20"/>
  <c r="R24" i="20"/>
  <c r="AA38" i="20"/>
  <c r="AA40" i="20"/>
  <c r="AA46" i="20"/>
  <c r="AA44" i="20"/>
  <c r="AA47" i="20"/>
  <c r="AA43" i="20"/>
  <c r="AA45" i="20"/>
  <c r="AA48" i="20"/>
  <c r="AA41" i="20"/>
  <c r="AA49" i="20"/>
  <c r="AA42" i="20"/>
  <c r="U10" i="20"/>
  <c r="X10" i="20" s="1"/>
  <c r="R10" i="20"/>
  <c r="R29" i="20"/>
  <c r="U29" i="20"/>
  <c r="U6" i="20"/>
  <c r="R6" i="20"/>
  <c r="U11" i="20"/>
  <c r="X11" i="20" s="1"/>
  <c r="R11" i="20"/>
  <c r="R49" i="20"/>
  <c r="U49" i="20"/>
  <c r="X49" i="20" s="1"/>
  <c r="U38" i="20"/>
  <c r="R38" i="20"/>
  <c r="N11" i="8"/>
  <c r="U46" i="20"/>
  <c r="X46" i="20" s="1"/>
  <c r="R46" i="20"/>
  <c r="U19" i="20"/>
  <c r="R19" i="20"/>
  <c r="R41" i="20"/>
  <c r="C4" i="8" s="1"/>
  <c r="C19" i="9" s="1"/>
  <c r="E19" i="9" s="1"/>
  <c r="U41" i="20"/>
  <c r="R48" i="20"/>
  <c r="U48" i="20"/>
  <c r="X48" i="20" s="1"/>
  <c r="R36" i="20"/>
  <c r="U36" i="20"/>
  <c r="R15" i="20"/>
  <c r="U15" i="20"/>
  <c r="AA26" i="20"/>
  <c r="AA34" i="20"/>
  <c r="AA31" i="20"/>
  <c r="AA27" i="20"/>
  <c r="AA36" i="20"/>
  <c r="AA28" i="20"/>
  <c r="AA32" i="20"/>
  <c r="AA30" i="20"/>
  <c r="AA35" i="20"/>
  <c r="AA37" i="20"/>
  <c r="AA33" i="20"/>
  <c r="AA29" i="20"/>
  <c r="U40" i="20"/>
  <c r="X40" i="20" s="1"/>
  <c r="R40" i="20"/>
  <c r="R7" i="20"/>
  <c r="U7" i="20"/>
  <c r="X7" i="20" s="1"/>
  <c r="U31" i="20"/>
  <c r="R31" i="20"/>
  <c r="R4" i="20"/>
  <c r="S4" i="20" s="1"/>
  <c r="U4" i="20"/>
  <c r="U12" i="20"/>
  <c r="X12" i="20" s="1"/>
  <c r="R12" i="20"/>
  <c r="U25" i="20"/>
  <c r="R25" i="20"/>
  <c r="U2" i="20"/>
  <c r="R2" i="20"/>
  <c r="R34" i="20"/>
  <c r="U34" i="20"/>
  <c r="R22" i="20"/>
  <c r="U22" i="20"/>
  <c r="U27" i="20"/>
  <c r="R27" i="20"/>
  <c r="U44" i="20"/>
  <c r="X44" i="20" s="1"/>
  <c r="R44" i="20"/>
  <c r="AA39" i="20"/>
  <c r="AA12" i="20"/>
  <c r="AA9" i="20"/>
  <c r="AA13" i="20"/>
  <c r="AA4" i="20"/>
  <c r="AA5" i="20"/>
  <c r="AA8" i="20"/>
  <c r="AA11" i="20"/>
  <c r="AA7" i="20"/>
  <c r="AA6" i="20"/>
  <c r="AA2" i="20"/>
  <c r="AA3" i="20"/>
  <c r="AA10" i="20"/>
  <c r="U14" i="20"/>
  <c r="R14" i="20"/>
  <c r="R30" i="20"/>
  <c r="U30" i="20"/>
  <c r="R3" i="20"/>
  <c r="U3" i="20"/>
  <c r="X3" i="20" s="1"/>
  <c r="U39" i="20"/>
  <c r="X39" i="20" s="1"/>
  <c r="R39" i="20"/>
  <c r="X32" i="20" l="1"/>
  <c r="X28" i="20"/>
  <c r="X18" i="20"/>
  <c r="X15" i="20"/>
  <c r="V38" i="20"/>
  <c r="Y38" i="20" s="1"/>
  <c r="X38" i="20"/>
  <c r="E10" i="10"/>
  <c r="V39" i="20"/>
  <c r="Y39" i="20" s="1"/>
  <c r="V40" i="20"/>
  <c r="Y40" i="20" s="1"/>
  <c r="V48" i="20"/>
  <c r="Y48" i="20" s="1"/>
  <c r="V44" i="20"/>
  <c r="Y44" i="20" s="1"/>
  <c r="V42" i="20"/>
  <c r="Y42" i="20" s="1"/>
  <c r="V45" i="20"/>
  <c r="Y45" i="20" s="1"/>
  <c r="V43" i="20"/>
  <c r="Y43" i="20" s="1"/>
  <c r="V41" i="20"/>
  <c r="V46" i="20"/>
  <c r="Y46" i="20" s="1"/>
  <c r="V47" i="20"/>
  <c r="Y47" i="20" s="1"/>
  <c r="V49" i="20"/>
  <c r="Y49" i="20" s="1"/>
  <c r="X21" i="20"/>
  <c r="X37" i="20"/>
  <c r="S45" i="20"/>
  <c r="X24" i="20"/>
  <c r="X4" i="20"/>
  <c r="V4" i="20"/>
  <c r="Y4" i="20" s="1"/>
  <c r="X36" i="20"/>
  <c r="S15" i="20"/>
  <c r="S23" i="20"/>
  <c r="S20" i="20"/>
  <c r="S14" i="20"/>
  <c r="S24" i="20"/>
  <c r="S21" i="20"/>
  <c r="S25" i="20"/>
  <c r="S19" i="20"/>
  <c r="S18" i="20"/>
  <c r="S17" i="20"/>
  <c r="S16" i="20"/>
  <c r="S22" i="20"/>
  <c r="X23" i="20"/>
  <c r="V20" i="20"/>
  <c r="Y20" i="20" s="1"/>
  <c r="V16" i="20"/>
  <c r="Y16" i="20" s="1"/>
  <c r="V17" i="20"/>
  <c r="Y17" i="20" s="1"/>
  <c r="V18" i="20"/>
  <c r="Y18" i="20" s="1"/>
  <c r="V21" i="20"/>
  <c r="Y21" i="20" s="1"/>
  <c r="V19" i="20"/>
  <c r="Y19" i="20" s="1"/>
  <c r="X14" i="20"/>
  <c r="V15" i="20"/>
  <c r="Y15" i="20" s="1"/>
  <c r="V25" i="20"/>
  <c r="Y25" i="20" s="1"/>
  <c r="V22" i="20"/>
  <c r="Y22" i="20" s="1"/>
  <c r="V23" i="20"/>
  <c r="Y23" i="20" s="1"/>
  <c r="V14" i="20"/>
  <c r="Y14" i="20" s="1"/>
  <c r="V24" i="20"/>
  <c r="Y24" i="20" s="1"/>
  <c r="X34" i="20"/>
  <c r="S32" i="20"/>
  <c r="S36" i="20"/>
  <c r="S30" i="20"/>
  <c r="S34" i="20"/>
  <c r="S27" i="20"/>
  <c r="S26" i="20"/>
  <c r="S35" i="20"/>
  <c r="S29" i="20"/>
  <c r="S33" i="20"/>
  <c r="S28" i="20"/>
  <c r="S31" i="20"/>
  <c r="S37" i="20"/>
  <c r="S38" i="20"/>
  <c r="S39" i="20"/>
  <c r="S40" i="20"/>
  <c r="S41" i="20"/>
  <c r="C4" i="10" s="1"/>
  <c r="C20" i="9" s="1"/>
  <c r="E20" i="9" s="1"/>
  <c r="S42" i="20"/>
  <c r="S47" i="20"/>
  <c r="S49" i="20"/>
  <c r="S48" i="20"/>
  <c r="S44" i="20"/>
  <c r="S43" i="20"/>
  <c r="S46" i="20"/>
  <c r="X22" i="20"/>
  <c r="V28" i="20"/>
  <c r="Y28" i="20" s="1"/>
  <c r="V29" i="20"/>
  <c r="Y29" i="20" s="1"/>
  <c r="V35" i="20"/>
  <c r="Y35" i="20" s="1"/>
  <c r="V36" i="20"/>
  <c r="Y36" i="20" s="1"/>
  <c r="V33" i="20"/>
  <c r="Y33" i="20" s="1"/>
  <c r="V34" i="20"/>
  <c r="Y34" i="20" s="1"/>
  <c r="X26" i="20"/>
  <c r="V37" i="20"/>
  <c r="Y37" i="20" s="1"/>
  <c r="V30" i="20"/>
  <c r="Y30" i="20" s="1"/>
  <c r="V32" i="20"/>
  <c r="Y32" i="20" s="1"/>
  <c r="V26" i="20"/>
  <c r="Y26" i="20" s="1"/>
  <c r="V31" i="20"/>
  <c r="Y31" i="20" s="1"/>
  <c r="V27" i="20"/>
  <c r="Y27" i="20" s="1"/>
  <c r="X29" i="20"/>
  <c r="X33" i="20"/>
  <c r="X31" i="20"/>
  <c r="S3" i="20"/>
  <c r="S2" i="20"/>
  <c r="E4" i="8"/>
  <c r="X41" i="20"/>
  <c r="V3" i="20"/>
  <c r="Y3" i="20" s="1"/>
  <c r="X2" i="20"/>
  <c r="V2" i="20"/>
  <c r="Y2" i="20" s="1"/>
  <c r="S7" i="20"/>
  <c r="S6" i="20"/>
  <c r="S13" i="20"/>
  <c r="S9" i="20"/>
  <c r="S10" i="20"/>
  <c r="S12" i="20"/>
  <c r="S11" i="20"/>
  <c r="S8" i="20"/>
  <c r="X35" i="20"/>
  <c r="X20" i="20"/>
  <c r="X6" i="20"/>
  <c r="V6" i="20"/>
  <c r="Y6" i="20" s="1"/>
  <c r="V11" i="20"/>
  <c r="Y11" i="20" s="1"/>
  <c r="V8" i="20"/>
  <c r="Y8" i="20" s="1"/>
  <c r="V10" i="20"/>
  <c r="Y10" i="20" s="1"/>
  <c r="V9" i="20"/>
  <c r="Y9" i="20" s="1"/>
  <c r="V13" i="20"/>
  <c r="Y13" i="20" s="1"/>
  <c r="V7" i="20"/>
  <c r="Y7" i="20" s="1"/>
  <c r="V12" i="20"/>
  <c r="Y12" i="20" s="1"/>
  <c r="X16" i="20"/>
  <c r="X17" i="20"/>
  <c r="X30" i="20"/>
  <c r="X27" i="20"/>
  <c r="X25" i="20"/>
  <c r="X19" i="20"/>
  <c r="X5" i="20"/>
  <c r="V5" i="20"/>
  <c r="Y5" i="20" s="1"/>
  <c r="G10" i="10" l="1"/>
  <c r="I10" i="10"/>
  <c r="E4" i="10"/>
  <c r="Y41" i="20"/>
  <c r="I4" i="8"/>
  <c r="C13" i="9" s="1"/>
  <c r="E13" i="9" s="1"/>
  <c r="G4" i="8"/>
  <c r="C16" i="9" s="1"/>
  <c r="C10" i="9"/>
  <c r="E10" i="9" s="1"/>
  <c r="I4" i="10" l="1"/>
  <c r="C14" i="9" s="1"/>
  <c r="E14" i="9" s="1"/>
  <c r="C11" i="9"/>
  <c r="E11" i="9" s="1"/>
  <c r="G4" i="10"/>
  <c r="C17" i="9" s="1"/>
  <c r="C28" i="9"/>
  <c r="E28" i="9" s="1"/>
  <c r="E16" i="9"/>
  <c r="C29" i="9" l="1"/>
  <c r="E29" i="9" s="1"/>
  <c r="E1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GOVIND GUPTA</author>
  </authors>
  <commentList>
    <comment ref="AK14" authorId="0" shapeId="0" xr:uid="{266EF680-BFE1-472F-B88D-3C67FB9E5A0E}">
      <text>
        <r>
          <rPr>
            <b/>
            <sz val="9"/>
            <color indexed="81"/>
            <rFont val="Tahoma"/>
            <family val="2"/>
          </rPr>
          <t>GOVIND GUPTA:</t>
        </r>
        <r>
          <rPr>
            <sz val="9"/>
            <color indexed="81"/>
            <rFont val="Tahoma"/>
            <family val="2"/>
          </rPr>
          <t xml:space="preserve">
SB robots not operate, cause to change its cleaning time, so from tomorrow these run in morning.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tc={053D2DFA-2BE6-47F0-86B9-0C7EDDDC7D37}</author>
    <author>tc={949C410A-CA06-438A-890F-1F38A38F1860}</author>
    <author>tc={CDFE586C-015D-4A2D-8F97-2F45CD7ED526}</author>
    <author>tc={EFCBDEA6-B50A-4DDB-954F-4AF2C1B518CD}</author>
    <author>tc={F3939EFE-BCCD-4C73-B842-8E7B4D147395}</author>
    <author>tc={34552020-6FA0-47E1-95D6-220731662ECA}</author>
    <author>tc={3427B34C-E5B6-4896-9EE1-5E14949D5401}</author>
    <author>tc={4356F821-16C4-4C33-9555-F9EEC5EE383B}</author>
    <author>tc={D96283C0-37F1-486D-AD0C-01227C50D9F0}</author>
    <author>tc={179805DB-20C3-41BB-BE88-D045D9BD0D66}</author>
    <author>tc={7FB46635-A371-4654-9958-BCE101FED78F}</author>
    <author>tc={43E2D186-12BC-4103-A4C3-FBE1E9EC55E9}</author>
  </authors>
  <commentList>
    <comment ref="H26" authorId="0" shapeId="0" xr:uid="{053D2DFA-2BE6-47F0-86B9-0C7EDDDC7D37}">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7" authorId="1" shapeId="0" xr:uid="{949C410A-CA06-438A-890F-1F38A38F186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8" authorId="2" shapeId="0" xr:uid="{CDFE586C-015D-4A2D-8F97-2F45CD7ED52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9" authorId="3" shapeId="0" xr:uid="{EFCBDEA6-B50A-4DDB-954F-4AF2C1B518CD}">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0" authorId="4" shapeId="0" xr:uid="{F3939EFE-BCCD-4C73-B842-8E7B4D147395}">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1" authorId="5" shapeId="0" xr:uid="{34552020-6FA0-47E1-95D6-220731662ECA}">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2" authorId="6" shapeId="0" xr:uid="{3427B34C-E5B6-4896-9EE1-5E14949D5401}">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3" authorId="7" shapeId="0" xr:uid="{4356F821-16C4-4C33-9555-F9EEC5EE383B}">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4" authorId="8" shapeId="0" xr:uid="{D96283C0-37F1-486D-AD0C-01227C50D9F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5" authorId="9" shapeId="0" xr:uid="{179805DB-20C3-41BB-BE88-D045D9BD0D6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6" authorId="10" shapeId="0" xr:uid="{7FB46635-A371-4654-9958-BCE101FED78F}">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7" authorId="11" shapeId="0" xr:uid="{43E2D186-12BC-4103-A4C3-FBE1E9EC55E9}">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List>
</comments>
</file>

<file path=xl/sharedStrings.xml><?xml version="1.0" encoding="utf-8"?>
<sst xmlns="http://schemas.openxmlformats.org/spreadsheetml/2006/main" count="9989" uniqueCount="2700">
  <si>
    <t>Timestamp</t>
  </si>
  <si>
    <t xml:space="preserve">Month </t>
  </si>
  <si>
    <t xml:space="preserve">Date </t>
  </si>
  <si>
    <t>Operation Year</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</si>
  <si>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</si>
  <si>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</si>
  <si>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</si>
  <si>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</si>
  <si>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</si>
  <si>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</si>
  <si>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</si>
  <si>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</si>
  <si>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</si>
  <si>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</si>
  <si>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</si>
  <si>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</si>
  <si>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</si>
  <si>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</si>
  <si>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</si>
  <si>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</si>
  <si>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</si>
  <si>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</si>
  <si>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</si>
  <si>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</si>
  <si>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</si>
  <si>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</si>
  <si>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</si>
  <si>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</si>
  <si>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</si>
  <si>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</si>
  <si>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WPR_Daily</t>
  </si>
  <si>
    <t>WPR_MTD</t>
  </si>
  <si>
    <t>WPR_YTD</t>
  </si>
  <si>
    <t>Till Date</t>
  </si>
  <si>
    <t>Clean Solar Power (Bhainsada) Private Limited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</si>
  <si>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</si>
  <si>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</si>
  <si>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</si>
  <si>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</si>
  <si>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</si>
  <si>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</si>
  <si>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</si>
  <si>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</si>
  <si>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</si>
  <si>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</si>
  <si>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</si>
  <si>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</si>
  <si>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</si>
  <si>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</si>
  <si>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</si>
  <si>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</si>
  <si>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Clean Solar Power (Bhainsada) Private Limited Performance Summary-Monthwise</t>
  </si>
  <si>
    <t>Clean Solar Power (Bhainsada) Private Limited  Performance Summary</t>
  </si>
  <si>
    <t>Start Date</t>
  </si>
  <si>
    <t>End Date</t>
  </si>
  <si>
    <t>Date</t>
  </si>
  <si>
    <t>Financial Year</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</si>
  <si>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</si>
  <si>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</si>
  <si>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</si>
  <si>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</si>
  <si>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</si>
  <si>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</si>
  <si>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</si>
  <si>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</si>
  <si>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</si>
  <si>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</si>
  <si>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</si>
  <si>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</si>
  <si>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</si>
  <si>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</si>
  <si>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</si>
  <si>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</si>
  <si>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</si>
  <si>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</si>
  <si>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</si>
  <si>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</si>
  <si>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</si>
  <si>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</si>
  <si>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</si>
  <si>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</si>
  <si>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</si>
  <si>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</si>
  <si>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</si>
  <si>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</si>
  <si>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</si>
  <si>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</si>
  <si>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</si>
  <si>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</si>
  <si>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</si>
  <si>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</si>
  <si>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</si>
  <si>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</si>
  <si>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</si>
  <si>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</si>
  <si>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</si>
  <si>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</si>
  <si>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</si>
  <si>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</si>
  <si>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Finacial Year</t>
  </si>
  <si>
    <t>Calendor Year</t>
  </si>
  <si>
    <t>Contrcatual Year</t>
  </si>
  <si>
    <t>Operating Year</t>
  </si>
  <si>
    <t>Plant DC Capcity (MW)</t>
  </si>
  <si>
    <t>Sunrise Time (POA&gt;20 W/m2)</t>
  </si>
  <si>
    <t>Sunset Time (POA&lt;20 W/m2)</t>
  </si>
  <si>
    <t>IS1_INV1_M1</t>
  </si>
  <si>
    <t>IS1_INV1_M2</t>
  </si>
  <si>
    <t>IS1_INV2_M1</t>
  </si>
  <si>
    <t>IS1_INV2_M2</t>
  </si>
  <si>
    <t>IS1_INV3_M1</t>
  </si>
  <si>
    <t>IS1_INV3_M2</t>
  </si>
  <si>
    <t>IS1_INV4_M1</t>
  </si>
  <si>
    <t>IS1_INV4_M2</t>
  </si>
  <si>
    <t>IS2_INV1_M1</t>
  </si>
  <si>
    <t>IS2_INV1_M2</t>
  </si>
  <si>
    <t>IS2_INV2_M1</t>
  </si>
  <si>
    <t>IS2_INV2_M2</t>
  </si>
  <si>
    <t>IS2_INV3_M1</t>
  </si>
  <si>
    <t>IS2_INV3_M2</t>
  </si>
  <si>
    <t>IS2_INV4_M1</t>
  </si>
  <si>
    <t>IS2_INV4_M2</t>
  </si>
  <si>
    <t>IS3_INV1_M1</t>
  </si>
  <si>
    <t>IS3_INV1_M2</t>
  </si>
  <si>
    <t>IS3_INV2_M1</t>
  </si>
  <si>
    <t>IS3_INV2_M2</t>
  </si>
  <si>
    <t>IS3_INV3_M1</t>
  </si>
  <si>
    <t>IS3_INV3_M2</t>
  </si>
  <si>
    <t>IS3_INV4_M1</t>
  </si>
  <si>
    <t>IS3_INV4_M2</t>
  </si>
  <si>
    <t>IS4_INV1_M1</t>
  </si>
  <si>
    <t>IS4_INV1_M2</t>
  </si>
  <si>
    <t>IS4_INV2_M1</t>
  </si>
  <si>
    <t>IS4_INV2_M2</t>
  </si>
  <si>
    <t>IS4_INV3_M1</t>
  </si>
  <si>
    <t>IS4_INV3_M2</t>
  </si>
  <si>
    <t>IS4_INV4_M1</t>
  </si>
  <si>
    <t>IS4_INV4_M2</t>
  </si>
  <si>
    <t>IS5_INV1_M1</t>
  </si>
  <si>
    <t>IS5_INV1_M2</t>
  </si>
  <si>
    <t>IS5_INV2_M1</t>
  </si>
  <si>
    <t>IS5_INV2_M2</t>
  </si>
  <si>
    <t>IS5_INV3_M1</t>
  </si>
  <si>
    <t>IS5_INV3_M2</t>
  </si>
  <si>
    <t>IS5_INV4_M1</t>
  </si>
  <si>
    <t>IS5_INV4_M2</t>
  </si>
  <si>
    <t>IS6_INV1_M1</t>
  </si>
  <si>
    <t>IS6_INV1_M2</t>
  </si>
  <si>
    <t>IS6_INV2_M1</t>
  </si>
  <si>
    <t>IS6_INV2_M2</t>
  </si>
  <si>
    <t>IS6_INV3_M1</t>
  </si>
  <si>
    <t>IS6_INV3_M2</t>
  </si>
  <si>
    <t>IS6_INV4_M1</t>
  </si>
  <si>
    <t>IS6_INV4_M2</t>
  </si>
  <si>
    <t>IS7_INV1_M1</t>
  </si>
  <si>
    <t>IS7_INV1_M2</t>
  </si>
  <si>
    <t>IS7_INV2_M1</t>
  </si>
  <si>
    <t>IS7_INV2_M2</t>
  </si>
  <si>
    <t>IS7_INV3_M1</t>
  </si>
  <si>
    <t>IS7_INV3_M2</t>
  </si>
  <si>
    <t>IS7_INV4_M1</t>
  </si>
  <si>
    <t>IS7_INV4_M2</t>
  </si>
  <si>
    <t>IS8_INV1_M1</t>
  </si>
  <si>
    <t>IS8_INV1_M2</t>
  </si>
  <si>
    <t>IS8_INV2_M1</t>
  </si>
  <si>
    <t>IS8_INV2_M2</t>
  </si>
  <si>
    <t>IS8_INV3_M1</t>
  </si>
  <si>
    <t>IS8_INV3_M2</t>
  </si>
  <si>
    <t>IS8_INV4_M1</t>
  </si>
  <si>
    <t>IS8_INV4_M2</t>
  </si>
  <si>
    <t>IS9_INV1_M1</t>
  </si>
  <si>
    <t>IS9_INV1_M2</t>
  </si>
  <si>
    <t>IS9_INV2_M1</t>
  </si>
  <si>
    <t>IS9_INV2_M2</t>
  </si>
  <si>
    <t>IS9_INV3_M1</t>
  </si>
  <si>
    <t>IS9_INV3_M2</t>
  </si>
  <si>
    <t>IS9_INV4_M1</t>
  </si>
  <si>
    <t>IS9_INV4_M2</t>
  </si>
  <si>
    <t>IS10_INV1_M1</t>
  </si>
  <si>
    <t>IS10_INV1_M2</t>
  </si>
  <si>
    <t>IS10_INV2_M1</t>
  </si>
  <si>
    <t>IS10_INV2_M2</t>
  </si>
  <si>
    <t>IS10_INV3_M1</t>
  </si>
  <si>
    <t>IS10_INV3_M2</t>
  </si>
  <si>
    <t>IS10_INV4_M1</t>
  </si>
  <si>
    <t>IS10_INV4_M2</t>
  </si>
  <si>
    <t>IS11_INV1_M1</t>
  </si>
  <si>
    <t>IS11_INV1_M2</t>
  </si>
  <si>
    <t>IS11_INV2_M1</t>
  </si>
  <si>
    <t>IS11_INV2_M2</t>
  </si>
  <si>
    <t>IS11_INV3_M1</t>
  </si>
  <si>
    <t>IS11_INV3_M2</t>
  </si>
  <si>
    <t>IS11_INV4_M1</t>
  </si>
  <si>
    <t>IS11_INV4_M2</t>
  </si>
  <si>
    <t>IS12_INV1_M1</t>
  </si>
  <si>
    <t>IS12_INV1_M2</t>
  </si>
  <si>
    <t>IS12_INV2_M1</t>
  </si>
  <si>
    <t>IS12_INV2_M2</t>
  </si>
  <si>
    <t>IS12_INV3_M1</t>
  </si>
  <si>
    <t>IS12_INV3_M2</t>
  </si>
  <si>
    <t>IS12_INV4_M1</t>
  </si>
  <si>
    <t>IS12_INV4_M2</t>
  </si>
  <si>
    <t>IS13_INV1_M1</t>
  </si>
  <si>
    <t>IS13_INV1_M2</t>
  </si>
  <si>
    <t>IS13_INV2_M1</t>
  </si>
  <si>
    <t>IS13_INV2_M2</t>
  </si>
  <si>
    <t>IS13_INV3_M1</t>
  </si>
  <si>
    <t>IS13_INV3_M2</t>
  </si>
  <si>
    <t>IS13_INV4_M1</t>
  </si>
  <si>
    <t>IS13_INV4_M2</t>
  </si>
  <si>
    <t>IS14_INV1_M1</t>
  </si>
  <si>
    <t>IS14_INV1_M2</t>
  </si>
  <si>
    <t>IS14_INV2_M1</t>
  </si>
  <si>
    <t>IS14_INV2_M2</t>
  </si>
  <si>
    <t>IS14_INV3_M1</t>
  </si>
  <si>
    <t>IS14_INV3_M2</t>
  </si>
  <si>
    <t>IS14_INV4_M1</t>
  </si>
  <si>
    <t>IS14_INV4_M2</t>
  </si>
  <si>
    <t>IS15_INV1_M1</t>
  </si>
  <si>
    <t>IS15_INV1_M2</t>
  </si>
  <si>
    <t>IS15_INV2_M1</t>
  </si>
  <si>
    <t>IS15_INV2_M2</t>
  </si>
  <si>
    <t>IS15_INV3_M1</t>
  </si>
  <si>
    <t>IS15_INV3_M2</t>
  </si>
  <si>
    <t>IS15_INV4_M1</t>
  </si>
  <si>
    <t>IS15_INV4_M2</t>
  </si>
  <si>
    <t>IS16_INV1_M1</t>
  </si>
  <si>
    <t>IS16_INV1_M2</t>
  </si>
  <si>
    <t>IS16_INV2_M1</t>
  </si>
  <si>
    <t>IS16_INV2_M2</t>
  </si>
  <si>
    <t>IS16_INV3_M1</t>
  </si>
  <si>
    <t>IS16_INV3_M2</t>
  </si>
  <si>
    <t>IS16_INV4_M1</t>
  </si>
  <si>
    <t>IS16_INV4_M2</t>
  </si>
  <si>
    <t>IS17_INV1_M1</t>
  </si>
  <si>
    <t>IS17_INV1_M2</t>
  </si>
  <si>
    <t>IS17_INV2_M1</t>
  </si>
  <si>
    <t>IS17_INV2_M2</t>
  </si>
  <si>
    <t>IS17_INV3_M1</t>
  </si>
  <si>
    <t>IS17_INV3_M2</t>
  </si>
  <si>
    <t>IS17_INV4_M1</t>
  </si>
  <si>
    <t>IS17_INV4_M2</t>
  </si>
  <si>
    <t>IS18_INV1_M1</t>
  </si>
  <si>
    <t>IS18_INV1_M2</t>
  </si>
  <si>
    <t>IS18_INV2_M1</t>
  </si>
  <si>
    <t>IS18_INV2_M2</t>
  </si>
  <si>
    <t>IS18_INV3_M1</t>
  </si>
  <si>
    <t>IS18_INV3_M2</t>
  </si>
  <si>
    <t>IS18_INV4_M1</t>
  </si>
  <si>
    <t>IS18_INV4_M2</t>
  </si>
  <si>
    <t>IS19_INV1_M1</t>
  </si>
  <si>
    <t>IS19_INV1_M2</t>
  </si>
  <si>
    <t>IS19_INV2_M1</t>
  </si>
  <si>
    <t>IS19_INV2_M2</t>
  </si>
  <si>
    <t>IS19_INV3_M1</t>
  </si>
  <si>
    <t>IS19_INV3_M2</t>
  </si>
  <si>
    <t>IS19_INV4_M1</t>
  </si>
  <si>
    <t>IS19_INV4_M2</t>
  </si>
  <si>
    <t>IS20_INV1_M1</t>
  </si>
  <si>
    <t>IS20_INV1_M2</t>
  </si>
  <si>
    <t>IS20_INV2_M1</t>
  </si>
  <si>
    <t>IS20_INV2_M2</t>
  </si>
  <si>
    <t>IS20_INV3_M1</t>
  </si>
  <si>
    <t>IS20_INV3_M2</t>
  </si>
  <si>
    <t>IS20_INV4_M1</t>
  </si>
  <si>
    <t>IS20_INV4_M2</t>
  </si>
  <si>
    <t>Amb_Temp_IS2_W1</t>
  </si>
  <si>
    <t>Amb_Temp_IS4_W2</t>
  </si>
  <si>
    <t>Amb_Temp_IS6_W3</t>
  </si>
  <si>
    <t>Amb_Temp_IS9_W4</t>
  </si>
  <si>
    <t>Amb_Temp_IS15_W5</t>
  </si>
  <si>
    <t>Amb_Temp_IS19_W6</t>
  </si>
  <si>
    <t>MT_Temp_IS2_W1</t>
  </si>
  <si>
    <t>MT_Temp_IS4_W2</t>
  </si>
  <si>
    <t>MT_Temp_IS6_W3</t>
  </si>
  <si>
    <t>MT_Temp_IS9_W4</t>
  </si>
  <si>
    <t>MT_Temp_IS15_W5</t>
  </si>
  <si>
    <t>MT_Temp_IS19_W6</t>
  </si>
  <si>
    <t>WS_Avg_IS2_W1</t>
  </si>
  <si>
    <t>WS_Avg_IS4_W2</t>
  </si>
  <si>
    <t>WS_Avg_IS6_W3</t>
  </si>
  <si>
    <t>WS_Avg_IS9_W4</t>
  </si>
  <si>
    <t>WS_Avg_IS15_W5</t>
  </si>
  <si>
    <t>WS_Avg_IS19_W6</t>
  </si>
  <si>
    <t>WS_Max_IS2_W1</t>
  </si>
  <si>
    <t>WS_Max_IS4_W2</t>
  </si>
  <si>
    <t>WS_Max_IS6_W3</t>
  </si>
  <si>
    <t>WS_Max_IS9_W4</t>
  </si>
  <si>
    <t>WS_Max_IS15_W5</t>
  </si>
  <si>
    <t>WS_Max_IS19_W6</t>
  </si>
  <si>
    <t>GHI_Up_IS2_W1</t>
  </si>
  <si>
    <t>GHI_Up_IS4_W2</t>
  </si>
  <si>
    <t>GHI_Up_IS6_W3</t>
  </si>
  <si>
    <t>GHI_Up_IS9_W4</t>
  </si>
  <si>
    <t>GHI_Up_IS15_W5</t>
  </si>
  <si>
    <t>GHI_Up_IS19_W6</t>
  </si>
  <si>
    <t>GHI_Down_IS2_W1</t>
  </si>
  <si>
    <t>GHI_Down_IS4_W2</t>
  </si>
  <si>
    <t>GHI_Down_IS6_W3</t>
  </si>
  <si>
    <t>GHI_Down_IS9_W4</t>
  </si>
  <si>
    <t>GHI_Down_IS15_W5</t>
  </si>
  <si>
    <t>GHI_Down_IS19_W6</t>
  </si>
  <si>
    <t>POA_Up_IS2_W1</t>
  </si>
  <si>
    <t>POA_Up_IS4_W2</t>
  </si>
  <si>
    <t>POA_Up_IS6_W3</t>
  </si>
  <si>
    <t>POA_Up_IS9_W4</t>
  </si>
  <si>
    <t>POA_Up_IS15_W5</t>
  </si>
  <si>
    <t>POA_Up_IS19_W6</t>
  </si>
  <si>
    <t>POA_Down_IS2_W1</t>
  </si>
  <si>
    <t>POA_Down_IS4_W2</t>
  </si>
  <si>
    <t>POA_Down_IS6_W3</t>
  </si>
  <si>
    <t>POA_Down_IS9_W4</t>
  </si>
  <si>
    <t>POA_Down_IS15_W5</t>
  </si>
  <si>
    <t>POA_Down_IS19_W6</t>
  </si>
  <si>
    <t>GHI_UP_Lost_IS2_W1</t>
  </si>
  <si>
    <t>GHI_UP_Lost_IS4_W2</t>
  </si>
  <si>
    <t>GHI_UP_Lost_IS6_W3</t>
  </si>
  <si>
    <t>GHI_UP_Lost_IS9_W4</t>
  </si>
  <si>
    <t>GHI_UP_Lost_IS15_W5</t>
  </si>
  <si>
    <t>GHI_UP_Lost_IS19_W6</t>
  </si>
  <si>
    <t>POA_UP_Lost_IS2_W1</t>
  </si>
  <si>
    <t>POA_UP_Lost_IS4_W2</t>
  </si>
  <si>
    <t>POA_UP_Lost_IS6_W3</t>
  </si>
  <si>
    <t>POA_UP_Lost_IS9_W4</t>
  </si>
  <si>
    <t>POA_UP_Lost_IS15_W5</t>
  </si>
  <si>
    <t>POA_UP_Lost_IS19_W6</t>
  </si>
  <si>
    <t>33kV_OG2_Ex</t>
  </si>
  <si>
    <t>33kV_OG2_Im</t>
  </si>
  <si>
    <t>33kV_OG1_Ex</t>
  </si>
  <si>
    <t>33kV_OG1_Im</t>
  </si>
  <si>
    <t>220kV_PQM_Ex</t>
  </si>
  <si>
    <t>220kV_PQM_Im</t>
  </si>
  <si>
    <t>GHI_UP_Net_IS2_W1</t>
  </si>
  <si>
    <t>GHI_UP_Net_IS4_W2</t>
  </si>
  <si>
    <t>GHI_UP_Net_IS6_W3</t>
  </si>
  <si>
    <t>GHI_UP_Net_IS9_W4</t>
  </si>
  <si>
    <t>GHI_UP_Net_IS15_W5</t>
  </si>
  <si>
    <t>GHI_UP_Net_IS19_W6</t>
  </si>
  <si>
    <t>POA_UP_Net_IS2_W1</t>
  </si>
  <si>
    <t>POA_UP_Net_IS4_W2</t>
  </si>
  <si>
    <t>POA_UP_Net_IS6_W3</t>
  </si>
  <si>
    <t>POA_UP_Net_IS9_W4</t>
  </si>
  <si>
    <t>POA_UP_Net_IS15_W5</t>
  </si>
  <si>
    <t>POA_UP_Net_IS19_W6</t>
  </si>
  <si>
    <t>33kV_OG2_EX (KWh)</t>
  </si>
  <si>
    <t>33kV_OG2_Im (KWh)</t>
  </si>
  <si>
    <t>33kV_OG1_Ex(KWh)</t>
  </si>
  <si>
    <t>33kV_OG1_Im(KWh)</t>
  </si>
  <si>
    <t>220kV_PQM_Ex(KWh)</t>
  </si>
  <si>
    <t>220kV_PQM_Im(KWh)</t>
  </si>
  <si>
    <t>33kV_Net_Ex (kWh)</t>
  </si>
  <si>
    <t>220kV_Net_Ex (kWh)</t>
  </si>
  <si>
    <t>Albedo GHI (%)</t>
  </si>
  <si>
    <t>Albedo POA (%)</t>
  </si>
  <si>
    <t>Amm_Temp(°C)</t>
  </si>
  <si>
    <t>Inv_Exp(KWh)</t>
  </si>
  <si>
    <r>
      <t>WPR_E</t>
    </r>
    <r>
      <rPr>
        <b/>
        <vertAlign val="subscript"/>
        <sz val="9"/>
        <color theme="0"/>
        <rFont val="Calibri"/>
        <family val="2"/>
        <scheme val="minor"/>
      </rPr>
      <t>dc</t>
    </r>
  </si>
  <si>
    <t>WPR</t>
  </si>
  <si>
    <t>Forecasting Data count received on Forecasting Portal</t>
  </si>
  <si>
    <t>Forecasting Penalties (INR)</t>
  </si>
  <si>
    <t>Year_3</t>
  </si>
  <si>
    <t>Year_4</t>
  </si>
  <si>
    <t>Contractual Year</t>
  </si>
  <si>
    <t>Total Generation Time</t>
  </si>
  <si>
    <t>Inverter  Station Number (if Bd in filed)</t>
  </si>
  <si>
    <t>Inverter number (If Inv, SCb or Str BD)</t>
  </si>
  <si>
    <t>Inverter Module Number</t>
  </si>
  <si>
    <t>SCB Number (If SCB or Str BD)</t>
  </si>
  <si>
    <t>String Type(If String BD)</t>
  </si>
  <si>
    <t>Equipment (If any BD other than PV  array and inv)</t>
  </si>
  <si>
    <t>C1</t>
  </si>
  <si>
    <t>C2</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</si>
  <si>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</si>
  <si>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</si>
  <si>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</si>
  <si>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</si>
  <si>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</si>
  <si>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</si>
  <si>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</si>
  <si>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</si>
  <si>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</si>
  <si>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</si>
  <si>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</si>
  <si>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</si>
  <si>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</si>
  <si>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</si>
  <si>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</si>
  <si>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</si>
  <si>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</si>
  <si>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PoA(Wh/m2)</t>
  </si>
  <si>
    <t>Approximate Energy Loss (KWh)</t>
  </si>
  <si>
    <t>Job Card/PTW Nos.</t>
  </si>
  <si>
    <t>FY24</t>
  </si>
  <si>
    <t>IS2</t>
  </si>
  <si>
    <t>INV1</t>
  </si>
  <si>
    <t>M2</t>
  </si>
  <si>
    <t>SCB4</t>
  </si>
  <si>
    <t>Str_Typ6(445*58)</t>
  </si>
  <si>
    <t>Module</t>
  </si>
  <si>
    <t>Open</t>
  </si>
  <si>
    <t>IS20</t>
  </si>
  <si>
    <t>INV4</t>
  </si>
  <si>
    <t>M1</t>
  </si>
  <si>
    <t>SCB6</t>
  </si>
  <si>
    <t>Str_Typ9(540*58)</t>
  </si>
  <si>
    <t>IS18</t>
  </si>
  <si>
    <t>SCB1</t>
  </si>
  <si>
    <t>IS19</t>
  </si>
  <si>
    <t>INV2</t>
  </si>
  <si>
    <t>SCB8</t>
  </si>
  <si>
    <t>PV Module_EL Testing</t>
  </si>
  <si>
    <t>PV modules removed for EL Testing</t>
  </si>
  <si>
    <t>SCB2</t>
  </si>
  <si>
    <t>SCB3</t>
  </si>
  <si>
    <t>INV3</t>
  </si>
  <si>
    <t>SCB9</t>
  </si>
  <si>
    <t>IS9</t>
  </si>
  <si>
    <t>SCB7</t>
  </si>
  <si>
    <t>SCB10</t>
  </si>
  <si>
    <t>IS6</t>
  </si>
  <si>
    <t>Tx</t>
  </si>
  <si>
    <t>IDT</t>
  </si>
  <si>
    <t>Close</t>
  </si>
  <si>
    <t>IS13</t>
  </si>
  <si>
    <t>Str_Typ1(445*29)</t>
  </si>
  <si>
    <t>IS11</t>
  </si>
  <si>
    <t>IS15</t>
  </si>
  <si>
    <t>Inverter</t>
  </si>
  <si>
    <t>IS14</t>
  </si>
  <si>
    <t>Str_Typ4(540*29)</t>
  </si>
  <si>
    <t>IS3</t>
  </si>
  <si>
    <t>Power_Tx1</t>
  </si>
  <si>
    <t>Inverter tripped in GFDI Fault</t>
  </si>
  <si>
    <t>SCB</t>
  </si>
  <si>
    <t>IS10</t>
  </si>
  <si>
    <t>PTR</t>
  </si>
  <si>
    <t>Power_Tx2</t>
  </si>
  <si>
    <t>IS1</t>
  </si>
  <si>
    <t>IS5</t>
  </si>
  <si>
    <t>IS17</t>
  </si>
  <si>
    <t>Inverter Unit tripped in INS fault</t>
  </si>
  <si>
    <t>IS4</t>
  </si>
  <si>
    <t>SCB5</t>
  </si>
  <si>
    <t>Str_Typ2 (450*29)</t>
  </si>
  <si>
    <t>IS8</t>
  </si>
  <si>
    <t>Str_Typ7(450*58)</t>
  </si>
  <si>
    <t>IS16</t>
  </si>
  <si>
    <t>IS12</t>
  </si>
  <si>
    <t>Str_Typ10(545*58)</t>
  </si>
  <si>
    <t>Inverter tripped under GFDI Fault</t>
  </si>
  <si>
    <t>Cables</t>
  </si>
  <si>
    <t>Connectors</t>
  </si>
  <si>
    <t>Inverter tripped in AC switch disconnection fault</t>
  </si>
  <si>
    <t xml:space="preserve">String Fuses </t>
  </si>
  <si>
    <t>IS7</t>
  </si>
  <si>
    <t>Manualy stop for Inv Unit_AC Coil failure rectification</t>
  </si>
  <si>
    <t>checked related connection and parameter then rboot the inverter and start</t>
  </si>
  <si>
    <t>IDT manual stop for thermography work</t>
  </si>
  <si>
    <t>Str_Typ5(545*29)</t>
  </si>
  <si>
    <t>checked related connection and parameter then the inverter and start</t>
  </si>
  <si>
    <t>MCR_MVP_Inc1</t>
  </si>
  <si>
    <t>MV Panel</t>
  </si>
  <si>
    <t>MCR_MVP_Inc12</t>
  </si>
  <si>
    <t>Str_Typ8(535*58)</t>
  </si>
  <si>
    <t>Mc4 connector connect properly</t>
  </si>
  <si>
    <t>Str_Typ3(535*29)</t>
  </si>
  <si>
    <t>MC4 Connector found open</t>
  </si>
  <si>
    <t>MCR_MVP_Inc2</t>
  </si>
  <si>
    <t>IDT trip in under diffencial oprate</t>
  </si>
  <si>
    <t>Y-connector fuse damage</t>
  </si>
  <si>
    <t>MC4 connector Replaced.</t>
  </si>
  <si>
    <t>MC4 connector damage</t>
  </si>
  <si>
    <t>Stiring cable found damage</t>
  </si>
  <si>
    <t>Fan abnormal alarm</t>
  </si>
  <si>
    <t xml:space="preserve">Running on half load due to fan failuer. </t>
  </si>
  <si>
    <t>MCR_MVP_OG2</t>
  </si>
  <si>
    <t>Cable end termination replace and cheaked all parameters then IDT charged.</t>
  </si>
  <si>
    <t>FY25</t>
  </si>
  <si>
    <t>Manualy stop for Inv Unit_ GFDI Fault rectification</t>
  </si>
  <si>
    <t xml:space="preserve"> AC Breaker manually discharge &amp; PU reset then inverter start.</t>
  </si>
  <si>
    <t>After Genration AC Breaker Replace with Sungrow Team.</t>
  </si>
  <si>
    <t>PTW287226</t>
  </si>
  <si>
    <t>PTR-1 Trip in 86 activated.</t>
  </si>
  <si>
    <t xml:space="preserve"> PTR-01 tripped, and 86 was activated. Upon inspection, it was observed that one phase (Y Phase) was out, which led to a disturbance in the OLTC supply. Further investigation revealed a malfunction in the contactor. Necessary checks were carried out. The issue was resolved in coordination with the HT Team, and the transformer was restored to normal operation.</t>
  </si>
  <si>
    <t>PTW289015</t>
  </si>
  <si>
    <t>PTR-1 Trip and  86 activated.</t>
  </si>
  <si>
    <t>After discussing with our HT team PTR1 Oltc put in manual mode and charge the PTR 1.</t>
  </si>
  <si>
    <t>PTW289155</t>
  </si>
  <si>
    <t>PTR-1 Trip and 86 activated.</t>
  </si>
  <si>
    <t>After PTR-01 tripped Site Team and O2 Team checked the visually but no issue found. So, further checked its control circuit and found NIFPS PLC device malfunctioned and send continue signal to Master Relay 86.1, so bypassed the NIFPS tripping signal. Also parallely done transformer necessary testing and get satisfactory result. Finally, discussion with our HT Team charged the PTR-01 and its all incomers normally. Now PTR-01 keep under observation.</t>
  </si>
  <si>
    <t>PTW289207</t>
  </si>
  <si>
    <t>String Manully shutdown for IV Testing work</t>
  </si>
  <si>
    <t>PTW290892</t>
  </si>
  <si>
    <t>PTW291131</t>
  </si>
  <si>
    <t xml:space="preserve">ICR-19 VCB trip in O/C &amp; E/F. </t>
  </si>
  <si>
    <t>Due to IDT-19 HV cable end termination failure.</t>
  </si>
  <si>
    <t>PTW291363</t>
  </si>
  <si>
    <t>PTW291340</t>
  </si>
  <si>
    <t>Grid</t>
  </si>
  <si>
    <t>Restored plant post Grid resumed</t>
  </si>
  <si>
    <t>FY23</t>
  </si>
  <si>
    <t>220KV Line Shutdown to GSS End due to Bay maintinance.</t>
  </si>
  <si>
    <t>Due to 220KV GSS End Line protection panel sparking issue, Load Down Zero.</t>
  </si>
  <si>
    <t>Line Shut-Down for Switchyard Maintinance work</t>
  </si>
  <si>
    <t>Year Number</t>
  </si>
  <si>
    <t>Month</t>
  </si>
  <si>
    <t>POA(kWh/m2)</t>
  </si>
  <si>
    <t>GHI (kWh/m2)</t>
  </si>
  <si>
    <t>Tmod</t>
  </si>
  <si>
    <t>Irradiationce Losses (IAM+NearShadding+Solining)</t>
  </si>
  <si>
    <t>Bifacial Gain</t>
  </si>
  <si>
    <t>Temperature Loss</t>
  </si>
  <si>
    <t>Mismatch Loss</t>
  </si>
  <si>
    <t>DC Ohmic Loss</t>
  </si>
  <si>
    <t>Inverter Conversion Loss</t>
  </si>
  <si>
    <t>MPPT Mismatch Losse</t>
  </si>
  <si>
    <t>AC Ohmic Loss</t>
  </si>
  <si>
    <t>Clipping Loss</t>
  </si>
  <si>
    <t xml:space="preserve">Plant Uptime </t>
  </si>
  <si>
    <t xml:space="preserve">Grid Uptime </t>
  </si>
  <si>
    <t>Tracker Uptime</t>
  </si>
  <si>
    <t>Apr</t>
  </si>
  <si>
    <t>May</t>
  </si>
  <si>
    <t>Jun</t>
  </si>
  <si>
    <t>Jul</t>
  </si>
  <si>
    <t>Aug</t>
  </si>
  <si>
    <t>Sep</t>
  </si>
  <si>
    <t>Oct</t>
  </si>
  <si>
    <t>Nov</t>
  </si>
  <si>
    <t>Dec</t>
  </si>
  <si>
    <t>Jan</t>
  </si>
  <si>
    <t>Feb</t>
  </si>
  <si>
    <t>Mar</t>
  </si>
  <si>
    <t>Equipment</t>
  </si>
  <si>
    <t>Affected DC Capacity</t>
  </si>
  <si>
    <t>Fault Category Plant BD sheet</t>
  </si>
  <si>
    <t>IS Number</t>
  </si>
  <si>
    <t>SCB Number</t>
  </si>
  <si>
    <t>String Type</t>
  </si>
  <si>
    <t>Plant capacity</t>
  </si>
  <si>
    <t>Month No.</t>
  </si>
  <si>
    <t>Month Name</t>
  </si>
  <si>
    <t>IS1INV1M1</t>
  </si>
  <si>
    <t>IS1INV1M2</t>
  </si>
  <si>
    <t>MVP</t>
  </si>
  <si>
    <t>IS1INV2M1</t>
  </si>
  <si>
    <t>Aux_Tx</t>
  </si>
  <si>
    <t>IS1INV2M2</t>
  </si>
  <si>
    <t>IS1INV3M1</t>
  </si>
  <si>
    <t>IS1INV3M2</t>
  </si>
  <si>
    <t>MCR_MVP_Inc3</t>
  </si>
  <si>
    <t>IS1INV4M1</t>
  </si>
  <si>
    <t>MCR_MVP_Inc4</t>
  </si>
  <si>
    <t>IS1INV4M2</t>
  </si>
  <si>
    <t>MCR_MVP_Inc5</t>
  </si>
  <si>
    <t>IS2INV1M1</t>
  </si>
  <si>
    <t>Metering System Plant</t>
  </si>
  <si>
    <t>MCR_MVP_Inc8</t>
  </si>
  <si>
    <t>IS2INV1M2</t>
  </si>
  <si>
    <t>Grid System</t>
  </si>
  <si>
    <t>MCR_MVP_Inc9</t>
  </si>
  <si>
    <t>IS2INV2M1</t>
  </si>
  <si>
    <t>Metering System Grid</t>
  </si>
  <si>
    <t>MCR_MVP_Inc10</t>
  </si>
  <si>
    <t>IS2INV2M2</t>
  </si>
  <si>
    <t>WMS</t>
  </si>
  <si>
    <t>MCR_MVP_Inc11</t>
  </si>
  <si>
    <t>IS2INV3M1</t>
  </si>
  <si>
    <t>MMS</t>
  </si>
  <si>
    <t>IS2INV3M2</t>
  </si>
  <si>
    <t>Battery Charger_MCR</t>
  </si>
  <si>
    <t>MCR_MVP_OG1</t>
  </si>
  <si>
    <t>IS2INV4M1</t>
  </si>
  <si>
    <t>IC_UPS</t>
  </si>
  <si>
    <t>IS2INV4M2</t>
  </si>
  <si>
    <t>IC_Auxiliary Tranformer</t>
  </si>
  <si>
    <t>IS3INV1M1</t>
  </si>
  <si>
    <t>IC_Auxiliary DB</t>
  </si>
  <si>
    <t>IS3INV1M2</t>
  </si>
  <si>
    <t>IC_SCADA Panel</t>
  </si>
  <si>
    <t>Line_Bay1</t>
  </si>
  <si>
    <t>IS3INV2M1</t>
  </si>
  <si>
    <t>IS3INV2M2</t>
  </si>
  <si>
    <t>IS3INV3M1</t>
  </si>
  <si>
    <t>IS3INV3M2</t>
  </si>
  <si>
    <t>IS3INV4M1</t>
  </si>
  <si>
    <t>IS3INV4M2</t>
  </si>
  <si>
    <t>IS4INV1M1</t>
  </si>
  <si>
    <t>IS4INV1M2</t>
  </si>
  <si>
    <t>IS4INV2M1</t>
  </si>
  <si>
    <t>IS4INV2M2</t>
  </si>
  <si>
    <t>IS4INV3M1</t>
  </si>
  <si>
    <t>IS4INV3M2</t>
  </si>
  <si>
    <t>IS4INV4M1</t>
  </si>
  <si>
    <t>IS4INV4M2</t>
  </si>
  <si>
    <t>IS5INV1M1</t>
  </si>
  <si>
    <t>IS5INV1M2</t>
  </si>
  <si>
    <t>IS5INV2M1</t>
  </si>
  <si>
    <t>IS5INV2M2</t>
  </si>
  <si>
    <t>IS5INV3M1</t>
  </si>
  <si>
    <t>IS5INV3M2</t>
  </si>
  <si>
    <t>IS5INV4M1</t>
  </si>
  <si>
    <t>IS5INV4M2</t>
  </si>
  <si>
    <t>IS6INV1M1</t>
  </si>
  <si>
    <t>IS6INV1M2</t>
  </si>
  <si>
    <t>IS6INV2M1</t>
  </si>
  <si>
    <t>IS6INV2M2</t>
  </si>
  <si>
    <t>IS6INV3M1</t>
  </si>
  <si>
    <t>IS6INV3M2</t>
  </si>
  <si>
    <t>IS6INV4M1</t>
  </si>
  <si>
    <t>IS6INV4M2</t>
  </si>
  <si>
    <t>IS7INV1M1</t>
  </si>
  <si>
    <t>IS7INV1M2</t>
  </si>
  <si>
    <t>IS7INV2M1</t>
  </si>
  <si>
    <t>IS7INV2M2</t>
  </si>
  <si>
    <t>IS7INV3M1</t>
  </si>
  <si>
    <t>IS7INV3M2</t>
  </si>
  <si>
    <t>IS7INV4M1</t>
  </si>
  <si>
    <t>IS7INV4M2</t>
  </si>
  <si>
    <t>IS8INV1M1</t>
  </si>
  <si>
    <t>IS8INV1M2</t>
  </si>
  <si>
    <t>IS8INV2M1</t>
  </si>
  <si>
    <t>IS8INV2M2</t>
  </si>
  <si>
    <t>IS8INV3M1</t>
  </si>
  <si>
    <t>IS8INV3M2</t>
  </si>
  <si>
    <t>IS8INV4M1</t>
  </si>
  <si>
    <t>IS8INV4M2</t>
  </si>
  <si>
    <t>IS9INV1M1</t>
  </si>
  <si>
    <t>IS9INV1M2</t>
  </si>
  <si>
    <t>IS9INV2M1</t>
  </si>
  <si>
    <t>IS9INV2M2</t>
  </si>
  <si>
    <t>IS9INV3M1</t>
  </si>
  <si>
    <t>IS9INV3M2</t>
  </si>
  <si>
    <t>IS9INV4M1</t>
  </si>
  <si>
    <t>IS9INV4M2</t>
  </si>
  <si>
    <t>IS10INV1M1</t>
  </si>
  <si>
    <t>IS10INV1M2</t>
  </si>
  <si>
    <t>IS10INV2M1</t>
  </si>
  <si>
    <t>IS10INV2M2</t>
  </si>
  <si>
    <t>IS10INV3M1</t>
  </si>
  <si>
    <t>IS10INV3M2</t>
  </si>
  <si>
    <t>IS10INV4M1</t>
  </si>
  <si>
    <t>IS10INV4M2</t>
  </si>
  <si>
    <t>IS11INV1M1</t>
  </si>
  <si>
    <t>IS11INV1M2</t>
  </si>
  <si>
    <t>IS11INV2M1</t>
  </si>
  <si>
    <t>IS11INV2M2</t>
  </si>
  <si>
    <t>IS11INV3M1</t>
  </si>
  <si>
    <t>IS11INV3M2</t>
  </si>
  <si>
    <t>IS11INV4M1</t>
  </si>
  <si>
    <t>IS11INV4M2</t>
  </si>
  <si>
    <t>IS12INV1M1</t>
  </si>
  <si>
    <t>IS12INV1M2</t>
  </si>
  <si>
    <t>IS12INV2M1</t>
  </si>
  <si>
    <t>IS12INV2M2</t>
  </si>
  <si>
    <t>IS12INV3M1</t>
  </si>
  <si>
    <t>IS12INV3M2</t>
  </si>
  <si>
    <t>IS12INV4M1</t>
  </si>
  <si>
    <t>IS12INV4M2</t>
  </si>
  <si>
    <t>IS13INV1M1</t>
  </si>
  <si>
    <t>IS13INV1M2</t>
  </si>
  <si>
    <t>IS13INV2M1</t>
  </si>
  <si>
    <t>IS13INV2M2</t>
  </si>
  <si>
    <t>IS13INV3M1</t>
  </si>
  <si>
    <t>IS13INV3M2</t>
  </si>
  <si>
    <t>IS13INV4M1</t>
  </si>
  <si>
    <t>IS13INV4M2</t>
  </si>
  <si>
    <t>IS14INV1M1</t>
  </si>
  <si>
    <t>IS14INV1M2</t>
  </si>
  <si>
    <t>IS14INV2M1</t>
  </si>
  <si>
    <t>IS14INV2M2</t>
  </si>
  <si>
    <t>IS14INV3M1</t>
  </si>
  <si>
    <t>IS14INV3M2</t>
  </si>
  <si>
    <t>IS14INV4M1</t>
  </si>
  <si>
    <t>IS14INV4M2</t>
  </si>
  <si>
    <t>IS15INV1M1</t>
  </si>
  <si>
    <t>IS15INV1M2</t>
  </si>
  <si>
    <t>IS15INV2M1</t>
  </si>
  <si>
    <t>IS15INV2M2</t>
  </si>
  <si>
    <t>IS15INV3M1</t>
  </si>
  <si>
    <t>IS15INV3M2</t>
  </si>
  <si>
    <t>IS15INV4M1</t>
  </si>
  <si>
    <t>IS15INV4M2</t>
  </si>
  <si>
    <t>IS16INV1M1</t>
  </si>
  <si>
    <t>IS16INV1M2</t>
  </si>
  <si>
    <t>IS16INV2M1</t>
  </si>
  <si>
    <t>IS16INV2M2</t>
  </si>
  <si>
    <t>IS16INV3M1</t>
  </si>
  <si>
    <t>IS16INV3M2</t>
  </si>
  <si>
    <t>IS16INV4M1</t>
  </si>
  <si>
    <t>IS16INV4M2</t>
  </si>
  <si>
    <t>IS17INV1M1</t>
  </si>
  <si>
    <t>IS17INV1M2</t>
  </si>
  <si>
    <t>IS17INV2M1</t>
  </si>
  <si>
    <t>IS17INV2M2</t>
  </si>
  <si>
    <t>IS17INV3M1</t>
  </si>
  <si>
    <t>IS17INV3M2</t>
  </si>
  <si>
    <t>IS17INV4M1</t>
  </si>
  <si>
    <t>IS17INV4M2</t>
  </si>
  <si>
    <t>IS18INV1M1</t>
  </si>
  <si>
    <t>IS18INV1M2</t>
  </si>
  <si>
    <t>IS18INV2M1</t>
  </si>
  <si>
    <t>IS18INV2M2</t>
  </si>
  <si>
    <t>IS18INV3M1</t>
  </si>
  <si>
    <t>IS18INV3M2</t>
  </si>
  <si>
    <t>IS18INV4M1</t>
  </si>
  <si>
    <t>IS18INV4M2</t>
  </si>
  <si>
    <t>IS19INV1M1</t>
  </si>
  <si>
    <t>IS19INV1M2</t>
  </si>
  <si>
    <t>IS19INV2M1</t>
  </si>
  <si>
    <t>IS19INV2M2</t>
  </si>
  <si>
    <t>IS19INV3M1</t>
  </si>
  <si>
    <t>IS19INV3M2</t>
  </si>
  <si>
    <t>IS19INV4M1</t>
  </si>
  <si>
    <t>IS19INV4M2</t>
  </si>
  <si>
    <t>IS20INV1M1</t>
  </si>
  <si>
    <t>IS20INV1M2</t>
  </si>
  <si>
    <t>IS20INV2M1</t>
  </si>
  <si>
    <t>IS20INV2M2</t>
  </si>
  <si>
    <t>IS20INV3M1</t>
  </si>
  <si>
    <t>IS20INV3M2</t>
  </si>
  <si>
    <t>IS20INV4M1</t>
  </si>
  <si>
    <t>IS20INV4M2</t>
  </si>
  <si>
    <t>IS1INV1M1SCB1</t>
  </si>
  <si>
    <t>IS1INV1M1SCB2</t>
  </si>
  <si>
    <t>IS1INV1M1SCB3</t>
  </si>
  <si>
    <t>IS1INV1M1SCB4</t>
  </si>
  <si>
    <t>IS1INV1M1SCB5</t>
  </si>
  <si>
    <t>IS1INV1M1SCB6</t>
  </si>
  <si>
    <t>IS1INV1M1SCB7</t>
  </si>
  <si>
    <t>IS1INV1M1SCB8</t>
  </si>
  <si>
    <t>IS1INV1M1SCB9</t>
  </si>
  <si>
    <t>IS1INV1M1SCB10</t>
  </si>
  <si>
    <t>IS1INV1M2SCB1</t>
  </si>
  <si>
    <t>IS1INV1M2SCB2</t>
  </si>
  <si>
    <t>IS1INV1M2SCB3</t>
  </si>
  <si>
    <t>IS1INV1M2SCB4</t>
  </si>
  <si>
    <t>IS1INV1M2SCB5</t>
  </si>
  <si>
    <t>IS1INV1M2SCB6</t>
  </si>
  <si>
    <t>IS1INV1M2SCB7</t>
  </si>
  <si>
    <t>IS1INV1M2SCB8</t>
  </si>
  <si>
    <t>IS1INV1M2SCB9</t>
  </si>
  <si>
    <t>IS1INV1M2SCB10</t>
  </si>
  <si>
    <t>IS1INV2M1SCB1</t>
  </si>
  <si>
    <t>IS1INV2M1SCB2</t>
  </si>
  <si>
    <t>IS1INV2M1SCB3</t>
  </si>
  <si>
    <t>IS1INV2M1SCB4</t>
  </si>
  <si>
    <t>IS1INV2M1SCB5</t>
  </si>
  <si>
    <t>IS1INV2M1SCB6</t>
  </si>
  <si>
    <t>IS1INV2M1SCB7</t>
  </si>
  <si>
    <t>IS1INV2M1SCB8</t>
  </si>
  <si>
    <t>IS1INV2M1SCB9</t>
  </si>
  <si>
    <t>IS1INV2M1SCB10</t>
  </si>
  <si>
    <t>IS1INV2M2SCB1</t>
  </si>
  <si>
    <t>IS1INV2M2SCB2</t>
  </si>
  <si>
    <t>IS1INV2M2SCB3</t>
  </si>
  <si>
    <t>IS1INV2M2SCB4</t>
  </si>
  <si>
    <t>IS1INV2M2SCB5</t>
  </si>
  <si>
    <t>IS1INV2M2SCB6</t>
  </si>
  <si>
    <t>IS1INV2M2SCB7</t>
  </si>
  <si>
    <t>IS1INV2M2SCB8</t>
  </si>
  <si>
    <t>IS1INV2M2SCB9</t>
  </si>
  <si>
    <t>IS1INV2M2SCB10</t>
  </si>
  <si>
    <t>IS1INV3M1SCB1</t>
  </si>
  <si>
    <t>IS1INV3M1SCB2</t>
  </si>
  <si>
    <t>IS1INV3M1SCB3</t>
  </si>
  <si>
    <t>IS1INV3M1SCB4</t>
  </si>
  <si>
    <t>IS1INV3M1SCB5</t>
  </si>
  <si>
    <t>IS1INV3M1SCB6</t>
  </si>
  <si>
    <t>IS1INV3M1SCB7</t>
  </si>
  <si>
    <t>IS1INV3M1SCB8</t>
  </si>
  <si>
    <t>IS1INV3M1SCB9</t>
  </si>
  <si>
    <t>IS1INV3M1SCB10</t>
  </si>
  <si>
    <t>IS1INV3M2SCB1</t>
  </si>
  <si>
    <t>IS1INV3M2SCB2</t>
  </si>
  <si>
    <t>IS1INV3M2SCB3</t>
  </si>
  <si>
    <t>IS1INV3M2SCB4</t>
  </si>
  <si>
    <t>IS1INV3M2SCB5</t>
  </si>
  <si>
    <t>IS1INV3M2SCB6</t>
  </si>
  <si>
    <t>IS1INV3M2SCB7</t>
  </si>
  <si>
    <t>IS1INV3M2SCB8</t>
  </si>
  <si>
    <t>IS1INV3M2SCB9</t>
  </si>
  <si>
    <t>IS1INV3M2SCB10</t>
  </si>
  <si>
    <t>IS1INV4M1SCB1</t>
  </si>
  <si>
    <t>IS1INV4M1SCB2</t>
  </si>
  <si>
    <t>IS1INV4M1SCB3</t>
  </si>
  <si>
    <t>IS1INV4M1SCB4</t>
  </si>
  <si>
    <t>IS1INV4M1SCB5</t>
  </si>
  <si>
    <t>IS1INV4M1SCB6</t>
  </si>
  <si>
    <t>IS1INV4M1SCB7</t>
  </si>
  <si>
    <t>IS1INV4M1SCB8</t>
  </si>
  <si>
    <t>IS1INV4M1SCB9</t>
  </si>
  <si>
    <t>IS1INV4M1SCB10</t>
  </si>
  <si>
    <t>IS1INV4M2SCB1</t>
  </si>
  <si>
    <t>IS1INV4M2SCB2</t>
  </si>
  <si>
    <t>IS1INV4M2SCB3</t>
  </si>
  <si>
    <t>IS1INV4M2SCB4</t>
  </si>
  <si>
    <t>IS1INV4M2SCB5</t>
  </si>
  <si>
    <t>IS1INV4M2SCB6</t>
  </si>
  <si>
    <t>IS1INV4M2SCB7</t>
  </si>
  <si>
    <t>IS1INV4M2SCB8</t>
  </si>
  <si>
    <t>IS1INV4M2SCB9</t>
  </si>
  <si>
    <t>IS1INV4M2SCB10</t>
  </si>
  <si>
    <t>IS2INV1M1SCB1</t>
  </si>
  <si>
    <t>IS2INV1M1SCB2</t>
  </si>
  <si>
    <t>IS2INV1M1SCB3</t>
  </si>
  <si>
    <t>IS2INV1M1SCB4</t>
  </si>
  <si>
    <t>IS2INV1M1SCB5</t>
  </si>
  <si>
    <t>IS2INV1M1SCB6</t>
  </si>
  <si>
    <t>IS2INV1M1SCB7</t>
  </si>
  <si>
    <t>IS2INV1M1SCB8</t>
  </si>
  <si>
    <t>IS2INV1M1SCB9</t>
  </si>
  <si>
    <t>IS2INV1M1SCB10</t>
  </si>
  <si>
    <t>IS2INV1M2SCB1</t>
  </si>
  <si>
    <t>IS2INV1M2SCB2</t>
  </si>
  <si>
    <t>IS2INV1M2SCB3</t>
  </si>
  <si>
    <t>IS2INV1M2SCB4</t>
  </si>
  <si>
    <t>IS2INV1M2SCB5</t>
  </si>
  <si>
    <t>IS2INV1M2SCB6</t>
  </si>
  <si>
    <t>IS2INV1M2SCB7</t>
  </si>
  <si>
    <t>IS2INV1M2SCB8</t>
  </si>
  <si>
    <t>IS2INV1M2SCB9</t>
  </si>
  <si>
    <t>IS2INV1M2SCB10</t>
  </si>
  <si>
    <t>IS2INV2M1SCB1</t>
  </si>
  <si>
    <t>IS2INV2M1SCB2</t>
  </si>
  <si>
    <t>IS2INV2M1SCB3</t>
  </si>
  <si>
    <t>IS2INV2M1SCB4</t>
  </si>
  <si>
    <t>IS2INV2M1SCB5</t>
  </si>
  <si>
    <t>IS2INV2M1SCB6</t>
  </si>
  <si>
    <t>IS2INV2M1SCB7</t>
  </si>
  <si>
    <t>IS2INV2M1SCB8</t>
  </si>
  <si>
    <t>IS2INV2M1SCB9</t>
  </si>
  <si>
    <t>IS2INV2M1SCB10</t>
  </si>
  <si>
    <t>IS2INV2M2SCB1</t>
  </si>
  <si>
    <t>IS2INV2M2SCB2</t>
  </si>
  <si>
    <t>IS2INV2M2SCB3</t>
  </si>
  <si>
    <t>IS2INV2M2SCB4</t>
  </si>
  <si>
    <t>IS2INV2M2SCB5</t>
  </si>
  <si>
    <t>IS2INV2M2SCB6</t>
  </si>
  <si>
    <t>IS2INV2M2SCB7</t>
  </si>
  <si>
    <t>IS2INV2M2SCB8</t>
  </si>
  <si>
    <t>IS2INV2M2SCB9</t>
  </si>
  <si>
    <t>IS2INV2M2SCB10</t>
  </si>
  <si>
    <t>IS2INV3M1SCB1</t>
  </si>
  <si>
    <t>IS2INV3M1SCB2</t>
  </si>
  <si>
    <t>IS2INV3M1SCB3</t>
  </si>
  <si>
    <t>IS2INV3M1SCB4</t>
  </si>
  <si>
    <t>IS2INV3M1SCB5</t>
  </si>
  <si>
    <t>IS2INV3M1SCB6</t>
  </si>
  <si>
    <t>IS2INV3M1SCB7</t>
  </si>
  <si>
    <t>IS2INV3M1SCB8</t>
  </si>
  <si>
    <t>IS2INV3M1SCB9</t>
  </si>
  <si>
    <t>IS2INV3M1SCB10</t>
  </si>
  <si>
    <t>IS2INV3M2SCB1</t>
  </si>
  <si>
    <t>IS2INV3M2SCB2</t>
  </si>
  <si>
    <t>IS2INV3M2SCB3</t>
  </si>
  <si>
    <t>IS2INV3M2SCB4</t>
  </si>
  <si>
    <t>IS2INV3M2SCB5</t>
  </si>
  <si>
    <t>IS2INV3M2SCB6</t>
  </si>
  <si>
    <t>IS2INV3M2SCB7</t>
  </si>
  <si>
    <t>IS2INV3M2SCB8</t>
  </si>
  <si>
    <t>IS2INV3M2SCB9</t>
  </si>
  <si>
    <t>IS2INV3M2SCB10</t>
  </si>
  <si>
    <t>IS2INV4M1SCB1</t>
  </si>
  <si>
    <t>IS2INV4M1SCB2</t>
  </si>
  <si>
    <t>IS2INV4M1SCB3</t>
  </si>
  <si>
    <t>IS2INV4M1SCB4</t>
  </si>
  <si>
    <t>IS2INV4M1SCB5</t>
  </si>
  <si>
    <t>IS2INV4M1SCB6</t>
  </si>
  <si>
    <t>IS2INV4M1SCB7</t>
  </si>
  <si>
    <t>IS2INV4M1SCB8</t>
  </si>
  <si>
    <t>IS2INV4M1SCB9</t>
  </si>
  <si>
    <t>IS2INV4M1SCB10</t>
  </si>
  <si>
    <t>IS2INV4M2SCB1</t>
  </si>
  <si>
    <t>IS2INV4M2SCB2</t>
  </si>
  <si>
    <t>IS2INV4M2SCB3</t>
  </si>
  <si>
    <t>IS2INV4M2SCB4</t>
  </si>
  <si>
    <t>IS2INV4M2SCB5</t>
  </si>
  <si>
    <t>IS2INV4M2SCB6</t>
  </si>
  <si>
    <t>IS2INV4M2SCB7</t>
  </si>
  <si>
    <t>IS2INV4M2SCB8</t>
  </si>
  <si>
    <t>IS2INV4M2SCB9</t>
  </si>
  <si>
    <t>IS2INV4M2SCB10</t>
  </si>
  <si>
    <t>IS3INV1M1SCB1</t>
  </si>
  <si>
    <t>IS3INV1M1SCB2</t>
  </si>
  <si>
    <t>IS3INV1M1SCB3</t>
  </si>
  <si>
    <t>IS3INV1M1SCB4</t>
  </si>
  <si>
    <t>IS3INV1M1SCB5</t>
  </si>
  <si>
    <t>IS3INV1M1SCB6</t>
  </si>
  <si>
    <t>IS3INV1M1SCB7</t>
  </si>
  <si>
    <t>IS3INV1M1SCB8</t>
  </si>
  <si>
    <t>IS3INV1M1SCB9</t>
  </si>
  <si>
    <t>IS3INV1M1SCB10</t>
  </si>
  <si>
    <t>IS3INV1M2SCB1</t>
  </si>
  <si>
    <t>IS3INV1M2SCB2</t>
  </si>
  <si>
    <t>IS3INV1M2SCB3</t>
  </si>
  <si>
    <t>IS3INV1M2SCB4</t>
  </si>
  <si>
    <t>IS3INV1M2SCB5</t>
  </si>
  <si>
    <t>IS3INV1M2SCB6</t>
  </si>
  <si>
    <t>IS3INV1M2SCB7</t>
  </si>
  <si>
    <t>IS3INV1M2SCB8</t>
  </si>
  <si>
    <t>IS3INV1M2SCB9</t>
  </si>
  <si>
    <t>IS3INV1M2SCB10</t>
  </si>
  <si>
    <t>IS3INV2M1SCB1</t>
  </si>
  <si>
    <t>IS3INV2M1SCB2</t>
  </si>
  <si>
    <t>IS3INV2M1SCB3</t>
  </si>
  <si>
    <t>IS3INV2M1SCB4</t>
  </si>
  <si>
    <t>IS3INV2M1SCB5</t>
  </si>
  <si>
    <t>IS3INV2M1SCB6</t>
  </si>
  <si>
    <t>IS3INV2M1SCB7</t>
  </si>
  <si>
    <t>IS3INV2M1SCB8</t>
  </si>
  <si>
    <t>IS3INV2M1SCB9</t>
  </si>
  <si>
    <t>IS3INV2M1SCB10</t>
  </si>
  <si>
    <t>IS3INV2M2SCB1</t>
  </si>
  <si>
    <t>IS3INV2M2SCB2</t>
  </si>
  <si>
    <t>IS3INV2M2SCB3</t>
  </si>
  <si>
    <t>IS3INV2M2SCB4</t>
  </si>
  <si>
    <t>IS3INV2M2SCB5</t>
  </si>
  <si>
    <t>IS3INV2M2SCB6</t>
  </si>
  <si>
    <t>IS3INV2M2SCB7</t>
  </si>
  <si>
    <t>IS3INV2M2SCB8</t>
  </si>
  <si>
    <t>IS3INV2M2SCB9</t>
  </si>
  <si>
    <t>IS3INV2M2SCB10</t>
  </si>
  <si>
    <t>IS3INV3M1SCB1</t>
  </si>
  <si>
    <t>IS3INV3M1SCB2</t>
  </si>
  <si>
    <t>IS3INV3M1SCB3</t>
  </si>
  <si>
    <t>IS3INV3M1SCB4</t>
  </si>
  <si>
    <t>IS3INV3M1SCB5</t>
  </si>
  <si>
    <t>IS3INV3M1SCB6</t>
  </si>
  <si>
    <t>IS3INV3M1SCB7</t>
  </si>
  <si>
    <t>IS3INV3M1SCB8</t>
  </si>
  <si>
    <t>IS3INV3M1SCB9</t>
  </si>
  <si>
    <t>IS3INV3M1SCB10</t>
  </si>
  <si>
    <t>IS3INV3M2SCB1</t>
  </si>
  <si>
    <t>IS3INV3M2SCB2</t>
  </si>
  <si>
    <t>IS3INV3M2SCB3</t>
  </si>
  <si>
    <t>IS3INV3M2SCB4</t>
  </si>
  <si>
    <t>IS3INV3M2SCB5</t>
  </si>
  <si>
    <t>IS3INV3M2SCB6</t>
  </si>
  <si>
    <t>IS3INV3M2SCB7</t>
  </si>
  <si>
    <t>IS3INV3M2SCB8</t>
  </si>
  <si>
    <t>IS3INV3M2SCB9</t>
  </si>
  <si>
    <t>IS3INV3M2SCB10</t>
  </si>
  <si>
    <t>IS3INV4M1SCB1</t>
  </si>
  <si>
    <t>IS3INV4M1SCB2</t>
  </si>
  <si>
    <t>IS3INV4M1SCB3</t>
  </si>
  <si>
    <t>IS3INV4M1SCB4</t>
  </si>
  <si>
    <t>IS3INV4M1SCB5</t>
  </si>
  <si>
    <t>IS3INV4M1SCB6</t>
  </si>
  <si>
    <t>IS3INV4M1SCB7</t>
  </si>
  <si>
    <t>IS3INV4M1SCB8</t>
  </si>
  <si>
    <t>IS3INV4M1SCB9</t>
  </si>
  <si>
    <t>IS3INV4M1SCB10</t>
  </si>
  <si>
    <t>IS3INV4M2SCB1</t>
  </si>
  <si>
    <t>IS3INV4M2SCB2</t>
  </si>
  <si>
    <t>IS3INV4M2SCB3</t>
  </si>
  <si>
    <t>IS3INV4M2SCB4</t>
  </si>
  <si>
    <t>IS3INV4M2SCB5</t>
  </si>
  <si>
    <t>IS3INV4M2SCB6</t>
  </si>
  <si>
    <t>IS3INV4M2SCB7</t>
  </si>
  <si>
    <t>IS3INV4M2SCB8</t>
  </si>
  <si>
    <t>IS3INV4M2SCB9</t>
  </si>
  <si>
    <t>IS3INV4M2SCB10</t>
  </si>
  <si>
    <t>IS4INV1M1SCB1</t>
  </si>
  <si>
    <t>IS4INV1M1SCB2</t>
  </si>
  <si>
    <t>IS4INV1M1SCB3</t>
  </si>
  <si>
    <t>IS4INV1M1SCB4</t>
  </si>
  <si>
    <t>IS4INV1M1SCB5</t>
  </si>
  <si>
    <t>IS4INV1M1SCB6</t>
  </si>
  <si>
    <t>IS4INV1M1SCB7</t>
  </si>
  <si>
    <t>IS4INV1M1SCB8</t>
  </si>
  <si>
    <t>IS4INV1M1SCB9</t>
  </si>
  <si>
    <t>IS4INV1M1SCB10</t>
  </si>
  <si>
    <t>IS4INV1M2SCB1</t>
  </si>
  <si>
    <t>IS4INV1M2SCB2</t>
  </si>
  <si>
    <t>IS4INV1M2SCB3</t>
  </si>
  <si>
    <t>IS4INV1M2SCB4</t>
  </si>
  <si>
    <t>IS4INV1M2SCB5</t>
  </si>
  <si>
    <t>IS4INV1M2SCB6</t>
  </si>
  <si>
    <t>IS4INV1M2SCB7</t>
  </si>
  <si>
    <t>IS4INV1M2SCB8</t>
  </si>
  <si>
    <t>IS4INV1M2SCB9</t>
  </si>
  <si>
    <t>IS4INV1M2SCB10</t>
  </si>
  <si>
    <t>IS4INV2M1SCB1</t>
  </si>
  <si>
    <t>IS4INV2M1SCB2</t>
  </si>
  <si>
    <t>IS4INV2M1SCB3</t>
  </si>
  <si>
    <t>IS4INV2M1SCB4</t>
  </si>
  <si>
    <t>IS4INV2M1SCB5</t>
  </si>
  <si>
    <t>IS4INV2M1SCB6</t>
  </si>
  <si>
    <t>IS4INV2M1SCB7</t>
  </si>
  <si>
    <t>IS4INV2M1SCB8</t>
  </si>
  <si>
    <t>IS4INV2M1SCB9</t>
  </si>
  <si>
    <t>IS4INV2M1SCB10</t>
  </si>
  <si>
    <t>IS4INV2M2SCB1</t>
  </si>
  <si>
    <t>IS4INV2M2SCB2</t>
  </si>
  <si>
    <t>IS4INV2M2SCB3</t>
  </si>
  <si>
    <t>IS4INV2M2SCB4</t>
  </si>
  <si>
    <t>IS4INV2M2SCB5</t>
  </si>
  <si>
    <t>IS4INV2M2SCB6</t>
  </si>
  <si>
    <t>IS4INV2M2SCB7</t>
  </si>
  <si>
    <t>IS4INV2M2SCB8</t>
  </si>
  <si>
    <t>IS4INV2M2SCB9</t>
  </si>
  <si>
    <t>IS4INV2M2SCB10</t>
  </si>
  <si>
    <t>IS4INV3M1SCB1</t>
  </si>
  <si>
    <t>IS4INV3M1SCB2</t>
  </si>
  <si>
    <t>IS4INV3M1SCB3</t>
  </si>
  <si>
    <t>IS4INV3M1SCB4</t>
  </si>
  <si>
    <t>IS4INV3M1SCB5</t>
  </si>
  <si>
    <t>IS4INV3M1SCB6</t>
  </si>
  <si>
    <t>IS4INV3M1SCB7</t>
  </si>
  <si>
    <t>IS4INV3M1SCB8</t>
  </si>
  <si>
    <t>IS4INV3M1SCB9</t>
  </si>
  <si>
    <t>IS4INV3M1SCB10</t>
  </si>
  <si>
    <t>IS4INV3M2SCB1</t>
  </si>
  <si>
    <t>IS4INV3M2SCB2</t>
  </si>
  <si>
    <t>IS4INV3M2SCB3</t>
  </si>
  <si>
    <t>IS4INV3M2SCB4</t>
  </si>
  <si>
    <t>IS4INV3M2SCB5</t>
  </si>
  <si>
    <t>IS4INV3M2SCB6</t>
  </si>
  <si>
    <t>IS4INV3M2SCB7</t>
  </si>
  <si>
    <t>IS4INV3M2SCB8</t>
  </si>
  <si>
    <t>IS4INV3M2SCB9</t>
  </si>
  <si>
    <t>IS4INV3M2SCB10</t>
  </si>
  <si>
    <t>IS4INV4M1SCB1</t>
  </si>
  <si>
    <t>IS4INV4M1SCB2</t>
  </si>
  <si>
    <t>IS4INV4M1SCB3</t>
  </si>
  <si>
    <t>IS4INV4M1SCB4</t>
  </si>
  <si>
    <t>IS4INV4M1SCB5</t>
  </si>
  <si>
    <t>IS4INV4M1SCB6</t>
  </si>
  <si>
    <t>IS4INV4M1SCB7</t>
  </si>
  <si>
    <t>IS4INV4M1SCB8</t>
  </si>
  <si>
    <t>IS4INV4M1SCB9</t>
  </si>
  <si>
    <t>IS4INV4M1SCB10</t>
  </si>
  <si>
    <t>IS4INV4M2SCB1</t>
  </si>
  <si>
    <t>IS4INV4M2SCB2</t>
  </si>
  <si>
    <t>IS4INV4M2SCB3</t>
  </si>
  <si>
    <t>IS4INV4M2SCB4</t>
  </si>
  <si>
    <t>IS4INV4M2SCB5</t>
  </si>
  <si>
    <t>IS4INV4M2SCB6</t>
  </si>
  <si>
    <t>IS4INV4M2SCB7</t>
  </si>
  <si>
    <t>IS4INV4M2SCB8</t>
  </si>
  <si>
    <t>IS4INV4M2SCB9</t>
  </si>
  <si>
    <t>IS4INV4M2SCB10</t>
  </si>
  <si>
    <t>IS5INV1M1SCB1</t>
  </si>
  <si>
    <t>IS5INV1M1SCB2</t>
  </si>
  <si>
    <t>IS5INV1M1SCB3</t>
  </si>
  <si>
    <t>IS5INV1M1SCB4</t>
  </si>
  <si>
    <t>IS5INV1M1SCB5</t>
  </si>
  <si>
    <t>IS5INV1M1SCB6</t>
  </si>
  <si>
    <t>IS5INV1M1SCB7</t>
  </si>
  <si>
    <t>IS5INV1M1SCB8</t>
  </si>
  <si>
    <t>IS5INV1M1SCB9</t>
  </si>
  <si>
    <t>IS5INV1M1SCB10</t>
  </si>
  <si>
    <t>IS5INV1M2SCB1</t>
  </si>
  <si>
    <t>IS5INV1M2SCB2</t>
  </si>
  <si>
    <t>IS5INV1M2SCB3</t>
  </si>
  <si>
    <t>IS5INV1M2SCB4</t>
  </si>
  <si>
    <t>IS5INV1M2SCB5</t>
  </si>
  <si>
    <t>IS5INV1M2SCB6</t>
  </si>
  <si>
    <t>IS5INV1M2SCB7</t>
  </si>
  <si>
    <t>IS5INV1M2SCB8</t>
  </si>
  <si>
    <t>IS5INV1M2SCB9</t>
  </si>
  <si>
    <t>IS5INV1M2SCB10</t>
  </si>
  <si>
    <t>IS5INV2M1SCB1</t>
  </si>
  <si>
    <t>IS5INV2M1SCB2</t>
  </si>
  <si>
    <t>IS5INV2M1SCB3</t>
  </si>
  <si>
    <t>IS5INV2M1SCB4</t>
  </si>
  <si>
    <t>IS5INV2M1SCB5</t>
  </si>
  <si>
    <t>IS5INV2M1SCB6</t>
  </si>
  <si>
    <t>IS5INV2M1SCB7</t>
  </si>
  <si>
    <t>IS5INV2M1SCB8</t>
  </si>
  <si>
    <t>IS5INV2M1SCB9</t>
  </si>
  <si>
    <t>IS5INV2M1SCB10</t>
  </si>
  <si>
    <t>IS5INV2M2SCB1</t>
  </si>
  <si>
    <t>IS5INV2M2SCB2</t>
  </si>
  <si>
    <t>IS5INV2M2SCB3</t>
  </si>
  <si>
    <t>IS5INV2M2SCB4</t>
  </si>
  <si>
    <t>IS5INV2M2SCB5</t>
  </si>
  <si>
    <t>IS5INV2M2SCB6</t>
  </si>
  <si>
    <t>IS5INV2M2SCB7</t>
  </si>
  <si>
    <t>IS5INV2M2SCB8</t>
  </si>
  <si>
    <t>IS5INV2M2SCB9</t>
  </si>
  <si>
    <t>IS5INV2M2SCB10</t>
  </si>
  <si>
    <t>IS5INV3M1SCB1</t>
  </si>
  <si>
    <t>IS5INV3M1SCB2</t>
  </si>
  <si>
    <t>IS5INV3M1SCB3</t>
  </si>
  <si>
    <t>IS5INV3M1SCB4</t>
  </si>
  <si>
    <t>IS5INV3M1SCB5</t>
  </si>
  <si>
    <t>IS5INV3M1SCB6</t>
  </si>
  <si>
    <t>IS5INV3M1SCB7</t>
  </si>
  <si>
    <t>IS5INV3M1SCB8</t>
  </si>
  <si>
    <t>IS5INV3M1SCB9</t>
  </si>
  <si>
    <t>IS5INV3M1SCB10</t>
  </si>
  <si>
    <t>IS5INV3M2SCB1</t>
  </si>
  <si>
    <t>IS5INV3M2SCB2</t>
  </si>
  <si>
    <t>IS5INV3M2SCB3</t>
  </si>
  <si>
    <t>IS5INV3M2SCB4</t>
  </si>
  <si>
    <t>IS5INV3M2SCB5</t>
  </si>
  <si>
    <t>IS5INV3M2SCB6</t>
  </si>
  <si>
    <t>IS5INV3M2SCB7</t>
  </si>
  <si>
    <t>IS5INV3M2SCB8</t>
  </si>
  <si>
    <t>IS5INV3M2SCB9</t>
  </si>
  <si>
    <t>IS5INV3M2SCB10</t>
  </si>
  <si>
    <t>IS5INV4M1SCB1</t>
  </si>
  <si>
    <t>IS5INV4M1SCB2</t>
  </si>
  <si>
    <t>IS5INV4M1SCB3</t>
  </si>
  <si>
    <t>IS5INV4M1SCB4</t>
  </si>
  <si>
    <t>IS5INV4M1SCB5</t>
  </si>
  <si>
    <t>IS5INV4M1SCB6</t>
  </si>
  <si>
    <t>IS5INV4M1SCB7</t>
  </si>
  <si>
    <t>IS5INV4M1SCB8</t>
  </si>
  <si>
    <t>IS5INV4M1SCB9</t>
  </si>
  <si>
    <t>IS5INV4M1SCB10</t>
  </si>
  <si>
    <t>IS5INV4M2SCB1</t>
  </si>
  <si>
    <t>IS5INV4M2SCB2</t>
  </si>
  <si>
    <t>IS5INV4M2SCB3</t>
  </si>
  <si>
    <t>IS5INV4M2SCB4</t>
  </si>
  <si>
    <t>IS5INV4M2SCB5</t>
  </si>
  <si>
    <t>IS5INV4M2SCB6</t>
  </si>
  <si>
    <t>IS5INV4M2SCB7</t>
  </si>
  <si>
    <t>IS5INV4M2SCB8</t>
  </si>
  <si>
    <t>IS5INV4M2SCB9</t>
  </si>
  <si>
    <t>IS5INV4M2SCB10</t>
  </si>
  <si>
    <t>IS6INV1M1SCB1</t>
  </si>
  <si>
    <t>IS6INV1M1SCB2</t>
  </si>
  <si>
    <t>IS6INV1M1SCB3</t>
  </si>
  <si>
    <t>IS6INV1M1SCB4</t>
  </si>
  <si>
    <t>IS6INV1M1SCB5</t>
  </si>
  <si>
    <t>IS6INV1M1SCB6</t>
  </si>
  <si>
    <t>IS6INV1M1SCB7</t>
  </si>
  <si>
    <t>IS6INV1M1SCB8</t>
  </si>
  <si>
    <t>IS6INV1M1SCB9</t>
  </si>
  <si>
    <t>IS6INV1M1SCB10</t>
  </si>
  <si>
    <t>IS6INV1M2SCB1</t>
  </si>
  <si>
    <t>IS6INV1M2SCB2</t>
  </si>
  <si>
    <t>IS6INV1M2SCB3</t>
  </si>
  <si>
    <t>IS6INV1M2SCB4</t>
  </si>
  <si>
    <t>IS6INV1M2SCB5</t>
  </si>
  <si>
    <t>IS6INV1M2SCB6</t>
  </si>
  <si>
    <t>IS6INV1M2SCB7</t>
  </si>
  <si>
    <t>IS6INV1M2SCB8</t>
  </si>
  <si>
    <t>IS6INV1M2SCB9</t>
  </si>
  <si>
    <t>IS6INV1M2SCB10</t>
  </si>
  <si>
    <t>IS6INV2M1SCB1</t>
  </si>
  <si>
    <t>IS6INV2M1SCB2</t>
  </si>
  <si>
    <t>IS6INV2M1SCB3</t>
  </si>
  <si>
    <t>IS6INV2M1SCB4</t>
  </si>
  <si>
    <t>IS6INV2M1SCB5</t>
  </si>
  <si>
    <t>IS6INV2M1SCB6</t>
  </si>
  <si>
    <t>IS6INV2M1SCB7</t>
  </si>
  <si>
    <t>IS6INV2M1SCB8</t>
  </si>
  <si>
    <t>IS6INV2M1SCB9</t>
  </si>
  <si>
    <t>IS6INV2M1SCB10</t>
  </si>
  <si>
    <t>IS6INV2M2SCB1</t>
  </si>
  <si>
    <t>IS6INV2M2SCB2</t>
  </si>
  <si>
    <t>IS6INV2M2SCB3</t>
  </si>
  <si>
    <t>IS6INV2M2SCB4</t>
  </si>
  <si>
    <t>IS6INV2M2SCB5</t>
  </si>
  <si>
    <t>IS6INV2M2SCB6</t>
  </si>
  <si>
    <t>IS6INV2M2SCB7</t>
  </si>
  <si>
    <t>IS6INV2M2SCB8</t>
  </si>
  <si>
    <t>IS6INV2M2SCB9</t>
  </si>
  <si>
    <t>IS6INV2M2SCB10</t>
  </si>
  <si>
    <t>IS6INV3M1SCB1</t>
  </si>
  <si>
    <t>IS6INV3M1SCB2</t>
  </si>
  <si>
    <t>IS6INV3M1SCB3</t>
  </si>
  <si>
    <t>IS6INV3M1SCB4</t>
  </si>
  <si>
    <t>IS6INV3M1SCB5</t>
  </si>
  <si>
    <t>IS6INV3M1SCB6</t>
  </si>
  <si>
    <t>IS6INV3M1SCB7</t>
  </si>
  <si>
    <t>IS6INV3M1SCB8</t>
  </si>
  <si>
    <t>IS6INV3M1SCB9</t>
  </si>
  <si>
    <t>IS6INV3M1SCB10</t>
  </si>
  <si>
    <t>IS6INV3M2SCB1</t>
  </si>
  <si>
    <t>IS6INV3M2SCB2</t>
  </si>
  <si>
    <t>IS6INV3M2SCB3</t>
  </si>
  <si>
    <t>IS6INV3M2SCB4</t>
  </si>
  <si>
    <t>IS6INV3M2SCB5</t>
  </si>
  <si>
    <t>IS6INV3M2SCB6</t>
  </si>
  <si>
    <t>IS6INV3M2SCB7</t>
  </si>
  <si>
    <t>IS6INV3M2SCB8</t>
  </si>
  <si>
    <t>IS6INV3M2SCB9</t>
  </si>
  <si>
    <t>IS6INV3M2SCB10</t>
  </si>
  <si>
    <t>IS6INV4M1SCB1</t>
  </si>
  <si>
    <t>IS6INV4M1SCB2</t>
  </si>
  <si>
    <t>IS6INV4M1SCB3</t>
  </si>
  <si>
    <t>IS6INV4M1SCB4</t>
  </si>
  <si>
    <t>IS6INV4M1SCB5</t>
  </si>
  <si>
    <t>IS6INV4M1SCB6</t>
  </si>
  <si>
    <t>IS6INV4M1SCB7</t>
  </si>
  <si>
    <t>IS6INV4M1SCB8</t>
  </si>
  <si>
    <t>IS6INV4M1SCB9</t>
  </si>
  <si>
    <t>IS6INV4M1SCB10</t>
  </si>
  <si>
    <t>IS6INV4M2SCB1</t>
  </si>
  <si>
    <t>IS6INV4M2SCB2</t>
  </si>
  <si>
    <t>IS6INV4M2SCB3</t>
  </si>
  <si>
    <t>IS6INV4M2SCB4</t>
  </si>
  <si>
    <t>IS6INV4M2SCB5</t>
  </si>
  <si>
    <t>IS6INV4M2SCB6</t>
  </si>
  <si>
    <t>IS6INV4M2SCB7</t>
  </si>
  <si>
    <t>IS6INV4M2SCB8</t>
  </si>
  <si>
    <t>IS6INV4M2SCB9</t>
  </si>
  <si>
    <t>IS6INV4M2SCB10</t>
  </si>
  <si>
    <t>IS7INV1M1SCB1</t>
  </si>
  <si>
    <t>IS7INV1M1SCB2</t>
  </si>
  <si>
    <t>IS7INV1M1SCB3</t>
  </si>
  <si>
    <t>IS7INV1M1SCB4</t>
  </si>
  <si>
    <t>IS7INV1M1SCB5</t>
  </si>
  <si>
    <t>IS7INV1M1SCB6</t>
  </si>
  <si>
    <t>IS7INV1M1SCB7</t>
  </si>
  <si>
    <t>IS7INV1M1SCB8</t>
  </si>
  <si>
    <t>IS7INV1M1SCB9</t>
  </si>
  <si>
    <t>IS7INV1M1SCB10</t>
  </si>
  <si>
    <t>IS7INV1M2SCB1</t>
  </si>
  <si>
    <t>IS7INV1M2SCB2</t>
  </si>
  <si>
    <t>IS7INV1M2SCB3</t>
  </si>
  <si>
    <t>IS7INV1M2SCB4</t>
  </si>
  <si>
    <t>IS7INV1M2SCB5</t>
  </si>
  <si>
    <t>IS7INV1M2SCB6</t>
  </si>
  <si>
    <t>IS7INV1M2SCB7</t>
  </si>
  <si>
    <t>IS7INV1M2SCB8</t>
  </si>
  <si>
    <t>IS7INV1M2SCB9</t>
  </si>
  <si>
    <t>IS7INV1M2SCB10</t>
  </si>
  <si>
    <t>IS7INV2M1SCB1</t>
  </si>
  <si>
    <t>IS7INV2M1SCB2</t>
  </si>
  <si>
    <t>IS7INV2M1SCB3</t>
  </si>
  <si>
    <t>IS7INV2M1SCB4</t>
  </si>
  <si>
    <t>IS7INV2M1SCB5</t>
  </si>
  <si>
    <t>IS7INV2M1SCB6</t>
  </si>
  <si>
    <t>IS7INV2M1SCB7</t>
  </si>
  <si>
    <t>IS7INV2M1SCB8</t>
  </si>
  <si>
    <t>IS7INV2M1SCB9</t>
  </si>
  <si>
    <t>IS7INV2M1SCB10</t>
  </si>
  <si>
    <t>IS7INV2M2SCB1</t>
  </si>
  <si>
    <t>IS7INV2M2SCB2</t>
  </si>
  <si>
    <t>IS7INV2M2SCB3</t>
  </si>
  <si>
    <t>IS7INV2M2SCB4</t>
  </si>
  <si>
    <t>IS7INV2M2SCB5</t>
  </si>
  <si>
    <t>IS7INV2M2SCB6</t>
  </si>
  <si>
    <t>IS7INV2M2SCB7</t>
  </si>
  <si>
    <t>IS7INV2M2SCB8</t>
  </si>
  <si>
    <t>IS7INV2M2SCB9</t>
  </si>
  <si>
    <t>IS7INV2M2SCB10</t>
  </si>
  <si>
    <t>IS7INV3M1SCB1</t>
  </si>
  <si>
    <t>IS7INV3M1SCB2</t>
  </si>
  <si>
    <t>IS7INV3M1SCB3</t>
  </si>
  <si>
    <t>IS7INV3M1SCB4</t>
  </si>
  <si>
    <t>IS7INV3M1SCB5</t>
  </si>
  <si>
    <t>IS7INV3M1SCB6</t>
  </si>
  <si>
    <t>IS7INV3M1SCB7</t>
  </si>
  <si>
    <t>IS7INV3M1SCB8</t>
  </si>
  <si>
    <t>IS7INV3M1SCB9</t>
  </si>
  <si>
    <t>IS7INV3M1SCB10</t>
  </si>
  <si>
    <t>IS7INV3M2SCB1</t>
  </si>
  <si>
    <t>IS7INV3M2SCB2</t>
  </si>
  <si>
    <t>IS7INV3M2SCB3</t>
  </si>
  <si>
    <t>IS7INV3M2SCB4</t>
  </si>
  <si>
    <t>IS7INV3M2SCB5</t>
  </si>
  <si>
    <t>IS7INV3M2SCB6</t>
  </si>
  <si>
    <t>IS7INV3M2SCB7</t>
  </si>
  <si>
    <t>IS7INV3M2SCB8</t>
  </si>
  <si>
    <t>IS7INV3M2SCB9</t>
  </si>
  <si>
    <t>IS7INV3M2SCB10</t>
  </si>
  <si>
    <t>IS7INV4M1SCB1</t>
  </si>
  <si>
    <t>IS7INV4M1SCB2</t>
  </si>
  <si>
    <t>IS7INV4M1SCB3</t>
  </si>
  <si>
    <t>IS7INV4M1SCB4</t>
  </si>
  <si>
    <t>IS7INV4M1SCB5</t>
  </si>
  <si>
    <t>IS7INV4M1SCB6</t>
  </si>
  <si>
    <t>IS7INV4M1SCB7</t>
  </si>
  <si>
    <t>IS7INV4M1SCB8</t>
  </si>
  <si>
    <t>IS7INV4M1SCB9</t>
  </si>
  <si>
    <t>IS7INV4M1SCB10</t>
  </si>
  <si>
    <t>IS7INV4M2SCB1</t>
  </si>
  <si>
    <t>IS7INV4M2SCB2</t>
  </si>
  <si>
    <t>IS7INV4M2SCB3</t>
  </si>
  <si>
    <t>IS7INV4M2SCB4</t>
  </si>
  <si>
    <t>IS7INV4M2SCB5</t>
  </si>
  <si>
    <t>IS7INV4M2SCB6</t>
  </si>
  <si>
    <t>IS7INV4M2SCB7</t>
  </si>
  <si>
    <t>IS7INV4M2SCB8</t>
  </si>
  <si>
    <t>IS7INV4M2SCB9</t>
  </si>
  <si>
    <t>IS7INV4M2SCB10</t>
  </si>
  <si>
    <t>IS8INV1M1SCB1</t>
  </si>
  <si>
    <t>IS8INV1M1SCB2</t>
  </si>
  <si>
    <t>IS8INV1M1SCB3</t>
  </si>
  <si>
    <t>IS8INV1M1SCB4</t>
  </si>
  <si>
    <t>IS8INV1M1SCB5</t>
  </si>
  <si>
    <t>IS8INV1M1SCB6</t>
  </si>
  <si>
    <t>IS8INV1M1SCB7</t>
  </si>
  <si>
    <t>IS8INV1M1SCB8</t>
  </si>
  <si>
    <t>IS8INV1M1SCB9</t>
  </si>
  <si>
    <t>IS8INV1M1SCB10</t>
  </si>
  <si>
    <t>IS8INV1M2SCB1</t>
  </si>
  <si>
    <t>IS8INV1M2SCB2</t>
  </si>
  <si>
    <t>IS8INV1M2SCB3</t>
  </si>
  <si>
    <t>IS8INV1M2SCB4</t>
  </si>
  <si>
    <t>IS8INV1M2SCB5</t>
  </si>
  <si>
    <t>IS8INV1M2SCB6</t>
  </si>
  <si>
    <t>IS8INV1M2SCB7</t>
  </si>
  <si>
    <t>IS8INV1M2SCB8</t>
  </si>
  <si>
    <t>IS8INV1M2SCB9</t>
  </si>
  <si>
    <t>IS8INV1M2SCB10</t>
  </si>
  <si>
    <t>IS8INV2M1SCB1</t>
  </si>
  <si>
    <t>IS8INV2M1SCB2</t>
  </si>
  <si>
    <t>IS8INV2M1SCB3</t>
  </si>
  <si>
    <t>IS8INV2M1SCB4</t>
  </si>
  <si>
    <t>IS8INV2M1SCB5</t>
  </si>
  <si>
    <t>IS8INV2M1SCB6</t>
  </si>
  <si>
    <t>IS8INV2M1SCB7</t>
  </si>
  <si>
    <t>IS8INV2M1SCB8</t>
  </si>
  <si>
    <t>IS8INV2M1SCB9</t>
  </si>
  <si>
    <t>IS8INV2M1SCB10</t>
  </si>
  <si>
    <t>IS8INV2M2SCB1</t>
  </si>
  <si>
    <t>IS8INV2M2SCB2</t>
  </si>
  <si>
    <t>IS8INV2M2SCB3</t>
  </si>
  <si>
    <t>IS8INV2M2SCB4</t>
  </si>
  <si>
    <t>IS8INV2M2SCB5</t>
  </si>
  <si>
    <t>IS8INV2M2SCB6</t>
  </si>
  <si>
    <t>IS8INV2M2SCB7</t>
  </si>
  <si>
    <t>IS8INV2M2SCB8</t>
  </si>
  <si>
    <t>IS8INV2M2SCB9</t>
  </si>
  <si>
    <t>IS8INV2M2SCB10</t>
  </si>
  <si>
    <t>IS8INV3M1SCB1</t>
  </si>
  <si>
    <t>IS8INV3M1SCB2</t>
  </si>
  <si>
    <t>IS8INV3M1SCB3</t>
  </si>
  <si>
    <t>IS8INV3M1SCB4</t>
  </si>
  <si>
    <t>IS8INV3M1SCB5</t>
  </si>
  <si>
    <t>IS8INV3M1SCB6</t>
  </si>
  <si>
    <t>IS8INV3M1SCB7</t>
  </si>
  <si>
    <t>IS8INV3M1SCB8</t>
  </si>
  <si>
    <t>IS8INV3M1SCB9</t>
  </si>
  <si>
    <t>IS8INV3M1SCB10</t>
  </si>
  <si>
    <t>IS8INV3M2SCB1</t>
  </si>
  <si>
    <t>IS8INV3M2SCB2</t>
  </si>
  <si>
    <t>IS8INV3M2SCB3</t>
  </si>
  <si>
    <t>IS8INV3M2SCB4</t>
  </si>
  <si>
    <t>IS8INV3M2SCB5</t>
  </si>
  <si>
    <t>IS8INV3M2SCB6</t>
  </si>
  <si>
    <t>IS8INV3M2SCB7</t>
  </si>
  <si>
    <t>IS8INV3M2SCB8</t>
  </si>
  <si>
    <t>IS8INV3M2SCB9</t>
  </si>
  <si>
    <t>IS8INV3M2SCB10</t>
  </si>
  <si>
    <t>IS8INV4M1SCB1</t>
  </si>
  <si>
    <t>IS8INV4M1SCB2</t>
  </si>
  <si>
    <t>IS8INV4M1SCB3</t>
  </si>
  <si>
    <t>IS8INV4M1SCB4</t>
  </si>
  <si>
    <t>IS8INV4M1SCB5</t>
  </si>
  <si>
    <t>IS8INV4M1SCB6</t>
  </si>
  <si>
    <t>IS8INV4M1SCB7</t>
  </si>
  <si>
    <t>IS8INV4M1SCB8</t>
  </si>
  <si>
    <t>IS8INV4M1SCB9</t>
  </si>
  <si>
    <t>IS8INV4M1SCB10</t>
  </si>
  <si>
    <t>IS8INV4M2SCB1</t>
  </si>
  <si>
    <t>IS8INV4M2SCB2</t>
  </si>
  <si>
    <t>IS8INV4M2SCB3</t>
  </si>
  <si>
    <t>IS8INV4M2SCB4</t>
  </si>
  <si>
    <t>IS8INV4M2SCB5</t>
  </si>
  <si>
    <t>IS8INV4M2SCB6</t>
  </si>
  <si>
    <t>IS8INV4M2SCB7</t>
  </si>
  <si>
    <t>IS8INV4M2SCB8</t>
  </si>
  <si>
    <t>IS8INV4M2SCB9</t>
  </si>
  <si>
    <t>IS8INV4M2SCB10</t>
  </si>
  <si>
    <t>IS9INV1M1SCB1</t>
  </si>
  <si>
    <t>IS9INV1M1SCB2</t>
  </si>
  <si>
    <t>IS9INV1M1SCB3</t>
  </si>
  <si>
    <t>IS9INV1M1SCB4</t>
  </si>
  <si>
    <t>IS9INV1M1SCB5</t>
  </si>
  <si>
    <t>IS9INV1M1SCB6</t>
  </si>
  <si>
    <t>IS9INV1M1SCB7</t>
  </si>
  <si>
    <t>IS9INV1M1SCB8</t>
  </si>
  <si>
    <t>IS9INV1M1SCB9</t>
  </si>
  <si>
    <t>IS9INV1M1SCB10</t>
  </si>
  <si>
    <t>IS9INV1M2SCB1</t>
  </si>
  <si>
    <t>IS9INV1M2SCB2</t>
  </si>
  <si>
    <t>IS9INV1M2SCB3</t>
  </si>
  <si>
    <t>IS9INV1M2SCB4</t>
  </si>
  <si>
    <t>IS9INV1M2SCB5</t>
  </si>
  <si>
    <t>IS9INV1M2SCB6</t>
  </si>
  <si>
    <t>IS9INV1M2SCB7</t>
  </si>
  <si>
    <t>IS9INV1M2SCB8</t>
  </si>
  <si>
    <t>IS9INV1M2SCB9</t>
  </si>
  <si>
    <t>IS9INV1M2SCB10</t>
  </si>
  <si>
    <t>IS9INV2M1SCB1</t>
  </si>
  <si>
    <t>IS9INV2M1SCB2</t>
  </si>
  <si>
    <t>IS9INV2M1SCB3</t>
  </si>
  <si>
    <t>IS9INV2M1SCB4</t>
  </si>
  <si>
    <t>IS9INV2M1SCB5</t>
  </si>
  <si>
    <t>IS9INV2M1SCB6</t>
  </si>
  <si>
    <t>IS9INV2M1SCB7</t>
  </si>
  <si>
    <t>IS9INV2M1SCB8</t>
  </si>
  <si>
    <t>IS9INV2M1SCB9</t>
  </si>
  <si>
    <t>IS9INV2M1SCB10</t>
  </si>
  <si>
    <t>IS9INV2M2SCB1</t>
  </si>
  <si>
    <t>IS9INV2M2SCB2</t>
  </si>
  <si>
    <t>IS9INV2M2SCB3</t>
  </si>
  <si>
    <t>IS9INV2M2SCB4</t>
  </si>
  <si>
    <t>IS9INV2M2SCB5</t>
  </si>
  <si>
    <t>IS9INV2M2SCB6</t>
  </si>
  <si>
    <t>IS9INV2M2SCB7</t>
  </si>
  <si>
    <t>IS9INV2M2SCB8</t>
  </si>
  <si>
    <t>IS9INV2M2SCB9</t>
  </si>
  <si>
    <t>IS9INV2M2SCB10</t>
  </si>
  <si>
    <t>IS9INV3M1SCB1</t>
  </si>
  <si>
    <t>IS9INV3M1SCB2</t>
  </si>
  <si>
    <t>IS9INV3M1SCB3</t>
  </si>
  <si>
    <t>IS9INV3M1SCB4</t>
  </si>
  <si>
    <t>IS9INV3M1SCB5</t>
  </si>
  <si>
    <t>IS9INV3M1SCB6</t>
  </si>
  <si>
    <t>IS9INV3M1SCB7</t>
  </si>
  <si>
    <t>IS9INV3M1SCB8</t>
  </si>
  <si>
    <t>IS9INV3M1SCB9</t>
  </si>
  <si>
    <t>IS9INV3M1SCB10</t>
  </si>
  <si>
    <t>IS9INV3M2SCB1</t>
  </si>
  <si>
    <t>IS9INV3M2SCB2</t>
  </si>
  <si>
    <t>IS9INV3M2SCB3</t>
  </si>
  <si>
    <t>IS9INV3M2SCB4</t>
  </si>
  <si>
    <t>IS9INV3M2SCB5</t>
  </si>
  <si>
    <t>IS9INV3M2SCB6</t>
  </si>
  <si>
    <t>IS9INV3M2SCB7</t>
  </si>
  <si>
    <t>IS9INV3M2SCB8</t>
  </si>
  <si>
    <t>IS9INV3M2SCB9</t>
  </si>
  <si>
    <t>IS9INV3M2SCB10</t>
  </si>
  <si>
    <t>IS9INV4M1SCB1</t>
  </si>
  <si>
    <t>IS9INV4M1SCB2</t>
  </si>
  <si>
    <t>IS9INV4M1SCB3</t>
  </si>
  <si>
    <t>IS9INV4M1SCB4</t>
  </si>
  <si>
    <t>IS9INV4M1SCB5</t>
  </si>
  <si>
    <t>IS9INV4M1SCB6</t>
  </si>
  <si>
    <t>IS9INV4M1SCB7</t>
  </si>
  <si>
    <t>IS9INV4M1SCB8</t>
  </si>
  <si>
    <t>IS9INV4M1SCB9</t>
  </si>
  <si>
    <t>IS9INV4M1SCB10</t>
  </si>
  <si>
    <t>IS9INV4M2SCB1</t>
  </si>
  <si>
    <t>IS9INV4M2SCB2</t>
  </si>
  <si>
    <t>IS9INV4M2SCB3</t>
  </si>
  <si>
    <t>IS9INV4M2SCB4</t>
  </si>
  <si>
    <t>IS9INV4M2SCB5</t>
  </si>
  <si>
    <t>IS9INV4M2SCB6</t>
  </si>
  <si>
    <t>IS9INV4M2SCB7</t>
  </si>
  <si>
    <t>IS9INV4M2SCB8</t>
  </si>
  <si>
    <t>IS9INV4M2SCB9</t>
  </si>
  <si>
    <t>IS9INV4M2SCB10</t>
  </si>
  <si>
    <t>IS10INV1M1SCB1</t>
  </si>
  <si>
    <t>IS10INV1M1SCB2</t>
  </si>
  <si>
    <t>IS10INV1M1SCB3</t>
  </si>
  <si>
    <t>IS10INV1M1SCB4</t>
  </si>
  <si>
    <t>IS10INV1M1SCB5</t>
  </si>
  <si>
    <t>IS10INV1M1SCB6</t>
  </si>
  <si>
    <t>IS10INV1M1SCB7</t>
  </si>
  <si>
    <t>IS10INV1M1SCB8</t>
  </si>
  <si>
    <t>IS10INV1M1SCB9</t>
  </si>
  <si>
    <t>IS10INV1M1SCB10</t>
  </si>
  <si>
    <t>IS10INV1M2SCB1</t>
  </si>
  <si>
    <t>IS10INV1M2SCB2</t>
  </si>
  <si>
    <t>IS10INV1M2SCB3</t>
  </si>
  <si>
    <t>IS10INV1M2SCB4</t>
  </si>
  <si>
    <t>IS10INV1M2SCB5</t>
  </si>
  <si>
    <t>IS10INV1M2SCB6</t>
  </si>
  <si>
    <t>IS10INV1M2SCB7</t>
  </si>
  <si>
    <t>IS10INV1M2SCB8</t>
  </si>
  <si>
    <t>IS10INV1M2SCB9</t>
  </si>
  <si>
    <t>IS10INV1M2SCB10</t>
  </si>
  <si>
    <t>IS10INV2M1SCB1</t>
  </si>
  <si>
    <t>IS10INV2M1SCB2</t>
  </si>
  <si>
    <t>IS10INV2M1SCB3</t>
  </si>
  <si>
    <t>IS10INV2M1SCB4</t>
  </si>
  <si>
    <t>IS10INV2M1SCB5</t>
  </si>
  <si>
    <t>IS10INV2M1SCB6</t>
  </si>
  <si>
    <t>IS10INV2M1SCB7</t>
  </si>
  <si>
    <t>IS10INV2M1SCB8</t>
  </si>
  <si>
    <t>IS10INV2M1SCB9</t>
  </si>
  <si>
    <t>IS10INV2M1SCB10</t>
  </si>
  <si>
    <t>IS10INV2M2SCB1</t>
  </si>
  <si>
    <t>IS10INV2M2SCB2</t>
  </si>
  <si>
    <t>IS10INV2M2SCB3</t>
  </si>
  <si>
    <t>IS10INV2M2SCB4</t>
  </si>
  <si>
    <t>IS10INV2M2SCB5</t>
  </si>
  <si>
    <t>IS10INV2M2SCB6</t>
  </si>
  <si>
    <t>IS10INV2M2SCB7</t>
  </si>
  <si>
    <t>IS10INV2M2SCB8</t>
  </si>
  <si>
    <t>IS10INV2M2SCB9</t>
  </si>
  <si>
    <t>IS10INV2M2SCB10</t>
  </si>
  <si>
    <t>IS10INV3M1SCB1</t>
  </si>
  <si>
    <t>IS10INV3M1SCB2</t>
  </si>
  <si>
    <t>IS10INV3M1SCB3</t>
  </si>
  <si>
    <t>IS10INV3M1SCB4</t>
  </si>
  <si>
    <t>IS10INV3M1SCB5</t>
  </si>
  <si>
    <t>IS10INV3M1SCB6</t>
  </si>
  <si>
    <t>IS10INV3M1SCB7</t>
  </si>
  <si>
    <t>IS10INV3M1SCB8</t>
  </si>
  <si>
    <t>IS10INV3M1SCB9</t>
  </si>
  <si>
    <t>IS10INV3M1SCB10</t>
  </si>
  <si>
    <t>IS10INV3M2SCB1</t>
  </si>
  <si>
    <t>IS10INV3M2SCB2</t>
  </si>
  <si>
    <t>IS10INV3M2SCB3</t>
  </si>
  <si>
    <t>IS10INV3M2SCB4</t>
  </si>
  <si>
    <t>IS10INV3M2SCB5</t>
  </si>
  <si>
    <t>IS10INV3M2SCB6</t>
  </si>
  <si>
    <t>IS10INV3M2SCB7</t>
  </si>
  <si>
    <t>IS10INV3M2SCB8</t>
  </si>
  <si>
    <t>IS10INV3M2SCB9</t>
  </si>
  <si>
    <t>IS10INV3M2SCB10</t>
  </si>
  <si>
    <t>IS10INV4M1SCB1</t>
  </si>
  <si>
    <t>IS10INV4M1SCB2</t>
  </si>
  <si>
    <t>IS10INV4M1SCB3</t>
  </si>
  <si>
    <t>IS10INV4M1SCB4</t>
  </si>
  <si>
    <t>IS10INV4M1SCB5</t>
  </si>
  <si>
    <t>IS10INV4M1SCB6</t>
  </si>
  <si>
    <t>IS10INV4M1SCB7</t>
  </si>
  <si>
    <t>IS10INV4M1SCB8</t>
  </si>
  <si>
    <t>IS10INV4M1SCB9</t>
  </si>
  <si>
    <t>IS10INV4M1SCB10</t>
  </si>
  <si>
    <t>IS10INV4M2SCB1</t>
  </si>
  <si>
    <t>IS10INV4M2SCB2</t>
  </si>
  <si>
    <t>IS10INV4M2SCB3</t>
  </si>
  <si>
    <t>IS10INV4M2SCB4</t>
  </si>
  <si>
    <t>IS10INV4M2SCB5</t>
  </si>
  <si>
    <t>IS10INV4M2SCB6</t>
  </si>
  <si>
    <t>IS10INV4M2SCB7</t>
  </si>
  <si>
    <t>IS10INV4M2SCB8</t>
  </si>
  <si>
    <t>IS10INV4M2SCB9</t>
  </si>
  <si>
    <t>IS10INV4M2SCB10</t>
  </si>
  <si>
    <t>IS11INV1M1SCB1</t>
  </si>
  <si>
    <t>IS11INV1M1SCB2</t>
  </si>
  <si>
    <t>IS11INV1M1SCB3</t>
  </si>
  <si>
    <t>IS11INV1M1SCB4</t>
  </si>
  <si>
    <t>IS11INV1M1SCB5</t>
  </si>
  <si>
    <t>IS11INV1M1SCB6</t>
  </si>
  <si>
    <t>IS11INV1M1SCB7</t>
  </si>
  <si>
    <t>IS11INV1M1SCB8</t>
  </si>
  <si>
    <t>IS11INV1M1SCB9</t>
  </si>
  <si>
    <t>IS11INV1M1SCB10</t>
  </si>
  <si>
    <t>IS11INV1M2SCB1</t>
  </si>
  <si>
    <t>IS11INV1M2SCB2</t>
  </si>
  <si>
    <t>IS11INV1M2SCB3</t>
  </si>
  <si>
    <t>IS11INV1M2SCB4</t>
  </si>
  <si>
    <t>IS11INV1M2SCB5</t>
  </si>
  <si>
    <t>IS11INV1M2SCB6</t>
  </si>
  <si>
    <t>IS11INV1M2SCB7</t>
  </si>
  <si>
    <t>IS11INV1M2SCB8</t>
  </si>
  <si>
    <t>IS11INV1M2SCB9</t>
  </si>
  <si>
    <t>IS11INV1M2SCB10</t>
  </si>
  <si>
    <t>IS11INV2M1SCB1</t>
  </si>
  <si>
    <t>IS11INV2M1SCB2</t>
  </si>
  <si>
    <t>IS11INV2M1SCB3</t>
  </si>
  <si>
    <t>IS11INV2M1SCB4</t>
  </si>
  <si>
    <t>IS11INV2M1SCB5</t>
  </si>
  <si>
    <t>IS11INV2M1SCB6</t>
  </si>
  <si>
    <t>IS11INV2M1SCB7</t>
  </si>
  <si>
    <t>IS11INV2M1SCB8</t>
  </si>
  <si>
    <t>IS11INV2M1SCB9</t>
  </si>
  <si>
    <t>IS11INV2M1SCB10</t>
  </si>
  <si>
    <t>IS11INV2M2SCB1</t>
  </si>
  <si>
    <t>IS11INV2M2SCB2</t>
  </si>
  <si>
    <t>IS11INV2M2SCB3</t>
  </si>
  <si>
    <t>IS11INV2M2SCB4</t>
  </si>
  <si>
    <t>IS11INV2M2SCB5</t>
  </si>
  <si>
    <t>IS11INV2M2SCB6</t>
  </si>
  <si>
    <t>IS11INV2M2SCB7</t>
  </si>
  <si>
    <t>IS11INV2M2SCB8</t>
  </si>
  <si>
    <t>IS11INV2M2SCB9</t>
  </si>
  <si>
    <t>IS11INV2M2SCB10</t>
  </si>
  <si>
    <t>IS11INV3M1SCB1</t>
  </si>
  <si>
    <t>IS11INV3M1SCB2</t>
  </si>
  <si>
    <t>IS11INV3M1SCB3</t>
  </si>
  <si>
    <t>IS11INV3M1SCB4</t>
  </si>
  <si>
    <t>IS11INV3M1SCB5</t>
  </si>
  <si>
    <t>IS11INV3M1SCB6</t>
  </si>
  <si>
    <t>IS11INV3M1SCB7</t>
  </si>
  <si>
    <t>IS11INV3M1SCB8</t>
  </si>
  <si>
    <t>IS11INV3M1SCB9</t>
  </si>
  <si>
    <t>IS11INV3M1SCB10</t>
  </si>
  <si>
    <t>IS11INV3M2SCB1</t>
  </si>
  <si>
    <t>IS11INV3M2SCB2</t>
  </si>
  <si>
    <t>IS11INV3M2SCB3</t>
  </si>
  <si>
    <t>IS11INV3M2SCB4</t>
  </si>
  <si>
    <t>IS11INV3M2SCB5</t>
  </si>
  <si>
    <t>IS11INV3M2SCB6</t>
  </si>
  <si>
    <t>IS11INV3M2SCB7</t>
  </si>
  <si>
    <t>IS11INV3M2SCB8</t>
  </si>
  <si>
    <t>IS11INV3M2SCB9</t>
  </si>
  <si>
    <t>IS11INV3M2SCB10</t>
  </si>
  <si>
    <t>IS11INV4M1SCB1</t>
  </si>
  <si>
    <t>IS11INV4M1SCB2</t>
  </si>
  <si>
    <t>IS11INV4M1SCB3</t>
  </si>
  <si>
    <t>IS11INV4M1SCB4</t>
  </si>
  <si>
    <t>IS11INV4M1SCB5</t>
  </si>
  <si>
    <t>IS11INV4M1SCB6</t>
  </si>
  <si>
    <t>IS11INV4M1SCB7</t>
  </si>
  <si>
    <t>IS11INV4M1SCB8</t>
  </si>
  <si>
    <t>IS11INV4M1SCB9</t>
  </si>
  <si>
    <t>IS11INV4M1SCB10</t>
  </si>
  <si>
    <t>IS11INV4M2SCB1</t>
  </si>
  <si>
    <t>IS11INV4M2SCB2</t>
  </si>
  <si>
    <t>IS11INV4M2SCB3</t>
  </si>
  <si>
    <t>IS11INV4M2SCB4</t>
  </si>
  <si>
    <t>IS11INV4M2SCB5</t>
  </si>
  <si>
    <t>IS11INV4M2SCB6</t>
  </si>
  <si>
    <t>IS11INV4M2SCB7</t>
  </si>
  <si>
    <t>IS11INV4M2SCB8</t>
  </si>
  <si>
    <t>IS11INV4M2SCB9</t>
  </si>
  <si>
    <t>IS11INV4M2SCB10</t>
  </si>
  <si>
    <t>IS12INV1M1SCB1</t>
  </si>
  <si>
    <t>IS12INV1M1SCB2</t>
  </si>
  <si>
    <t>IS12INV1M1SCB3</t>
  </si>
  <si>
    <t>IS12INV1M1SCB4</t>
  </si>
  <si>
    <t>IS12INV1M1SCB5</t>
  </si>
  <si>
    <t>IS12INV1M1SCB6</t>
  </si>
  <si>
    <t>IS12INV1M1SCB7</t>
  </si>
  <si>
    <t>IS12INV1M1SCB8</t>
  </si>
  <si>
    <t>IS12INV1M1SCB9</t>
  </si>
  <si>
    <t>IS12INV1M1SCB10</t>
  </si>
  <si>
    <t>IS12INV1M2SCB1</t>
  </si>
  <si>
    <t>IS12INV1M2SCB2</t>
  </si>
  <si>
    <t>IS12INV1M2SCB3</t>
  </si>
  <si>
    <t>IS12INV1M2SCB4</t>
  </si>
  <si>
    <t>IS12INV1M2SCB5</t>
  </si>
  <si>
    <t>IS12INV1M2SCB6</t>
  </si>
  <si>
    <t>IS12INV1M2SCB7</t>
  </si>
  <si>
    <t>IS12INV1M2SCB8</t>
  </si>
  <si>
    <t>IS12INV1M2SCB9</t>
  </si>
  <si>
    <t>IS12INV1M2SCB10</t>
  </si>
  <si>
    <t>IS12INV2M1SCB1</t>
  </si>
  <si>
    <t>IS12INV2M1SCB2</t>
  </si>
  <si>
    <t>IS12INV2M1SCB3</t>
  </si>
  <si>
    <t>IS12INV2M1SCB4</t>
  </si>
  <si>
    <t>IS12INV2M1SCB5</t>
  </si>
  <si>
    <t>IS12INV2M1SCB6</t>
  </si>
  <si>
    <t>IS12INV2M1SCB7</t>
  </si>
  <si>
    <t>IS12INV2M1SCB8</t>
  </si>
  <si>
    <t>IS12INV2M1SCB9</t>
  </si>
  <si>
    <t>IS12INV2M1SCB10</t>
  </si>
  <si>
    <t>IS12INV2M2SCB1</t>
  </si>
  <si>
    <t>IS12INV2M2SCB2</t>
  </si>
  <si>
    <t>IS12INV2M2SCB3</t>
  </si>
  <si>
    <t>IS12INV2M2SCB4</t>
  </si>
  <si>
    <t>IS12INV2M2SCB5</t>
  </si>
  <si>
    <t>IS12INV2M2SCB6</t>
  </si>
  <si>
    <t>IS12INV2M2SCB7</t>
  </si>
  <si>
    <t>IS12INV2M2SCB8</t>
  </si>
  <si>
    <t>IS12INV2M2SCB9</t>
  </si>
  <si>
    <t>IS12INV2M2SCB10</t>
  </si>
  <si>
    <t>IS12INV3M1SCB1</t>
  </si>
  <si>
    <t>IS12INV3M1SCB2</t>
  </si>
  <si>
    <t>IS12INV3M1SCB3</t>
  </si>
  <si>
    <t>IS12INV3M1SCB4</t>
  </si>
  <si>
    <t>IS12INV3M1SCB5</t>
  </si>
  <si>
    <t>IS12INV3M1SCB6</t>
  </si>
  <si>
    <t>IS12INV3M1SCB7</t>
  </si>
  <si>
    <t>IS12INV3M1SCB8</t>
  </si>
  <si>
    <t>IS12INV3M1SCB9</t>
  </si>
  <si>
    <t>IS12INV3M1SCB10</t>
  </si>
  <si>
    <t>IS12INV3M2SCB1</t>
  </si>
  <si>
    <t>IS12INV3M2SCB2</t>
  </si>
  <si>
    <t>IS12INV3M2SCB3</t>
  </si>
  <si>
    <t>IS12INV3M2SCB4</t>
  </si>
  <si>
    <t>IS12INV3M2SCB5</t>
  </si>
  <si>
    <t>IS12INV3M2SCB6</t>
  </si>
  <si>
    <t>IS12INV3M2SCB7</t>
  </si>
  <si>
    <t>IS12INV3M2SCB8</t>
  </si>
  <si>
    <t>IS12INV3M2SCB9</t>
  </si>
  <si>
    <t>IS12INV3M2SCB10</t>
  </si>
  <si>
    <t>IS12INV4M1SCB1</t>
  </si>
  <si>
    <t>IS12INV4M1SCB2</t>
  </si>
  <si>
    <t>IS12INV4M1SCB3</t>
  </si>
  <si>
    <t>IS12INV4M1SCB4</t>
  </si>
  <si>
    <t>IS12INV4M1SCB5</t>
  </si>
  <si>
    <t>IS12INV4M1SCB6</t>
  </si>
  <si>
    <t>IS12INV4M1SCB7</t>
  </si>
  <si>
    <t>IS12INV4M1SCB8</t>
  </si>
  <si>
    <t>IS12INV4M1SCB9</t>
  </si>
  <si>
    <t>IS12INV4M1SCB10</t>
  </si>
  <si>
    <t>IS12INV4M2SCB1</t>
  </si>
  <si>
    <t>IS12INV4M2SCB2</t>
  </si>
  <si>
    <t>IS12INV4M2SCB3</t>
  </si>
  <si>
    <t>IS12INV4M2SCB4</t>
  </si>
  <si>
    <t>IS12INV4M2SCB5</t>
  </si>
  <si>
    <t>IS12INV4M2SCB6</t>
  </si>
  <si>
    <t>IS12INV4M2SCB7</t>
  </si>
  <si>
    <t>IS12INV4M2SCB8</t>
  </si>
  <si>
    <t>IS12INV4M2SCB9</t>
  </si>
  <si>
    <t>IS12INV4M2SCB10</t>
  </si>
  <si>
    <t>IS13INV1M1SCB1</t>
  </si>
  <si>
    <t>IS13INV1M1SCB2</t>
  </si>
  <si>
    <t>IS13INV1M1SCB3</t>
  </si>
  <si>
    <t>IS13INV1M1SCB4</t>
  </si>
  <si>
    <t>IS13INV1M1SCB5</t>
  </si>
  <si>
    <t>IS13INV1M1SCB6</t>
  </si>
  <si>
    <t>IS13INV1M1SCB7</t>
  </si>
  <si>
    <t>IS13INV1M1SCB8</t>
  </si>
  <si>
    <t>IS13INV1M1SCB9</t>
  </si>
  <si>
    <t>IS13INV1M1SCB10</t>
  </si>
  <si>
    <t>IS13INV1M2SCB1</t>
  </si>
  <si>
    <t>IS13INV1M2SCB2</t>
  </si>
  <si>
    <t>IS13INV1M2SCB3</t>
  </si>
  <si>
    <t>IS13INV1M2SCB4</t>
  </si>
  <si>
    <t>IS13INV1M2SCB5</t>
  </si>
  <si>
    <t>IS13INV1M2SCB6</t>
  </si>
  <si>
    <t>IS13INV1M2SCB7</t>
  </si>
  <si>
    <t>IS13INV1M2SCB8</t>
  </si>
  <si>
    <t>IS13INV1M2SCB9</t>
  </si>
  <si>
    <t>IS13INV1M2SCB10</t>
  </si>
  <si>
    <t>IS13INV2M1SCB1</t>
  </si>
  <si>
    <t>IS13INV2M1SCB2</t>
  </si>
  <si>
    <t>IS13INV2M1SCB3</t>
  </si>
  <si>
    <t>IS13INV2M1SCB4</t>
  </si>
  <si>
    <t>IS13INV2M1SCB5</t>
  </si>
  <si>
    <t>IS13INV2M1SCB6</t>
  </si>
  <si>
    <t>IS13INV2M1SCB7</t>
  </si>
  <si>
    <t>IS13INV2M1SCB8</t>
  </si>
  <si>
    <t>IS13INV2M1SCB9</t>
  </si>
  <si>
    <t>IS13INV2M1SCB10</t>
  </si>
  <si>
    <t>IS13INV2M2SCB1</t>
  </si>
  <si>
    <t>IS13INV2M2SCB2</t>
  </si>
  <si>
    <t>IS13INV2M2SCB3</t>
  </si>
  <si>
    <t>IS13INV2M2SCB4</t>
  </si>
  <si>
    <t>IS13INV2M2SCB5</t>
  </si>
  <si>
    <t>IS13INV2M2SCB6</t>
  </si>
  <si>
    <t>IS13INV2M2SCB7</t>
  </si>
  <si>
    <t>IS13INV2M2SCB8</t>
  </si>
  <si>
    <t>IS13INV2M2SCB9</t>
  </si>
  <si>
    <t>IS13INV2M2SCB10</t>
  </si>
  <si>
    <t>IS13INV3M1SCB1</t>
  </si>
  <si>
    <t>IS13INV3M1SCB2</t>
  </si>
  <si>
    <t>IS13INV3M1SCB3</t>
  </si>
  <si>
    <t>IS13INV3M1SCB4</t>
  </si>
  <si>
    <t>IS13INV3M1SCB5</t>
  </si>
  <si>
    <t>IS13INV3M1SCB6</t>
  </si>
  <si>
    <t>IS13INV3M1SCB7</t>
  </si>
  <si>
    <t>IS13INV3M1SCB8</t>
  </si>
  <si>
    <t>IS13INV3M1SCB9</t>
  </si>
  <si>
    <t>IS13INV3M1SCB10</t>
  </si>
  <si>
    <t>IS13INV3M2SCB1</t>
  </si>
  <si>
    <t>IS13INV3M2SCB2</t>
  </si>
  <si>
    <t>IS13INV3M2SCB3</t>
  </si>
  <si>
    <t>IS13INV3M2SCB4</t>
  </si>
  <si>
    <t>IS13INV3M2SCB5</t>
  </si>
  <si>
    <t>IS13INV3M2SCB6</t>
  </si>
  <si>
    <t>IS13INV3M2SCB7</t>
  </si>
  <si>
    <t>IS13INV3M2SCB8</t>
  </si>
  <si>
    <t>IS13INV3M2SCB9</t>
  </si>
  <si>
    <t>IS13INV3M2SCB10</t>
  </si>
  <si>
    <t>IS13INV4M1SCB1</t>
  </si>
  <si>
    <t>IS13INV4M1SCB2</t>
  </si>
  <si>
    <t>IS13INV4M1SCB3</t>
  </si>
  <si>
    <t>IS13INV4M1SCB4</t>
  </si>
  <si>
    <t>IS13INV4M1SCB5</t>
  </si>
  <si>
    <t>IS13INV4M1SCB6</t>
  </si>
  <si>
    <t>IS13INV4M1SCB7</t>
  </si>
  <si>
    <t>IS13INV4M1SCB8</t>
  </si>
  <si>
    <t>IS13INV4M1SCB9</t>
  </si>
  <si>
    <t>IS13INV4M1SCB10</t>
  </si>
  <si>
    <t>IS13INV4M2SCB1</t>
  </si>
  <si>
    <t>IS13INV4M2SCB2</t>
  </si>
  <si>
    <t>IS13INV4M2SCB3</t>
  </si>
  <si>
    <t>IS13INV4M2SCB4</t>
  </si>
  <si>
    <t>IS13INV4M2SCB5</t>
  </si>
  <si>
    <t>IS13INV4M2SCB6</t>
  </si>
  <si>
    <t>IS13INV4M2SCB7</t>
  </si>
  <si>
    <t>IS13INV4M2SCB8</t>
  </si>
  <si>
    <t>IS13INV4M2SCB9</t>
  </si>
  <si>
    <t>IS13INV4M2SCB10</t>
  </si>
  <si>
    <t>IS14INV1M1SCB1</t>
  </si>
  <si>
    <t>IS14INV1M1SCB2</t>
  </si>
  <si>
    <t>IS14INV1M1SCB3</t>
  </si>
  <si>
    <t>IS14INV1M1SCB4</t>
  </si>
  <si>
    <t>IS14INV1M1SCB5</t>
  </si>
  <si>
    <t>IS14INV1M1SCB6</t>
  </si>
  <si>
    <t>IS14INV1M1SCB7</t>
  </si>
  <si>
    <t>IS14INV1M1SCB8</t>
  </si>
  <si>
    <t>IS14INV1M1SCB9</t>
  </si>
  <si>
    <t>IS14INV1M1SCB10</t>
  </si>
  <si>
    <t>IS14INV1M2SCB1</t>
  </si>
  <si>
    <t>IS14INV1M2SCB2</t>
  </si>
  <si>
    <t>IS14INV1M2SCB3</t>
  </si>
  <si>
    <t>IS14INV1M2SCB4</t>
  </si>
  <si>
    <t>IS14INV1M2SCB5</t>
  </si>
  <si>
    <t>IS14INV1M2SCB6</t>
  </si>
  <si>
    <t>IS14INV1M2SCB7</t>
  </si>
  <si>
    <t>IS14INV1M2SCB8</t>
  </si>
  <si>
    <t>IS14INV1M2SCB9</t>
  </si>
  <si>
    <t>IS14INV1M2SCB10</t>
  </si>
  <si>
    <t>IS14INV2M1SCB1</t>
  </si>
  <si>
    <t>IS14INV2M1SCB2</t>
  </si>
  <si>
    <t>IS14INV2M1SCB3</t>
  </si>
  <si>
    <t>IS14INV2M1SCB4</t>
  </si>
  <si>
    <t>IS14INV2M1SCB5</t>
  </si>
  <si>
    <t>IS14INV2M1SCB6</t>
  </si>
  <si>
    <t>IS14INV2M1SCB7</t>
  </si>
  <si>
    <t>IS14INV2M1SCB8</t>
  </si>
  <si>
    <t>IS14INV2M1SCB9</t>
  </si>
  <si>
    <t>IS14INV2M1SCB10</t>
  </si>
  <si>
    <t>IS14INV2M2SCB1</t>
  </si>
  <si>
    <t>IS14INV2M2SCB2</t>
  </si>
  <si>
    <t>IS14INV2M2SCB3</t>
  </si>
  <si>
    <t>IS14INV2M2SCB4</t>
  </si>
  <si>
    <t>IS14INV2M2SCB5</t>
  </si>
  <si>
    <t>IS14INV2M2SCB6</t>
  </si>
  <si>
    <t>IS14INV2M2SCB7</t>
  </si>
  <si>
    <t>IS14INV2M2SCB8</t>
  </si>
  <si>
    <t>IS14INV2M2SCB9</t>
  </si>
  <si>
    <t>IS14INV2M2SCB10</t>
  </si>
  <si>
    <t>IS14INV3M1SCB1</t>
  </si>
  <si>
    <t>IS14INV3M1SCB2</t>
  </si>
  <si>
    <t>IS14INV3M1SCB3</t>
  </si>
  <si>
    <t>IS14INV3M1SCB4</t>
  </si>
  <si>
    <t>IS14INV3M1SCB5</t>
  </si>
  <si>
    <t>IS14INV3M1SCB6</t>
  </si>
  <si>
    <t>IS14INV3M1SCB7</t>
  </si>
  <si>
    <t>IS14INV3M1SCB8</t>
  </si>
  <si>
    <t>IS14INV3M1SCB9</t>
  </si>
  <si>
    <t>IS14INV3M1SCB10</t>
  </si>
  <si>
    <t>IS14INV3M2SCB1</t>
  </si>
  <si>
    <t>IS14INV3M2SCB2</t>
  </si>
  <si>
    <t>IS14INV3M2SCB3</t>
  </si>
  <si>
    <t>IS14INV3M2SCB4</t>
  </si>
  <si>
    <t>IS14INV3M2SCB5</t>
  </si>
  <si>
    <t>IS14INV3M2SCB6</t>
  </si>
  <si>
    <t>IS14INV3M2SCB7</t>
  </si>
  <si>
    <t>IS14INV3M2SCB8</t>
  </si>
  <si>
    <t>IS14INV3M2SCB9</t>
  </si>
  <si>
    <t>IS14INV3M2SCB10</t>
  </si>
  <si>
    <t>IS14INV4M1SCB1</t>
  </si>
  <si>
    <t>IS14INV4M1SCB2</t>
  </si>
  <si>
    <t>IS14INV4M1SCB3</t>
  </si>
  <si>
    <t>IS14INV4M1SCB4</t>
  </si>
  <si>
    <t>IS14INV4M1SCB5</t>
  </si>
  <si>
    <t>IS14INV4M1SCB6</t>
  </si>
  <si>
    <t>IS14INV4M1SCB7</t>
  </si>
  <si>
    <t>IS14INV4M1SCB8</t>
  </si>
  <si>
    <t>IS14INV4M1SCB9</t>
  </si>
  <si>
    <t>IS14INV4M1SCB10</t>
  </si>
  <si>
    <t>IS14INV4M2SCB1</t>
  </si>
  <si>
    <t>IS14INV4M2SCB2</t>
  </si>
  <si>
    <t>IS14INV4M2SCB3</t>
  </si>
  <si>
    <t>IS14INV4M2SCB4</t>
  </si>
  <si>
    <t>IS14INV4M2SCB5</t>
  </si>
  <si>
    <t>IS14INV4M2SCB6</t>
  </si>
  <si>
    <t>IS14INV4M2SCB7</t>
  </si>
  <si>
    <t>IS14INV4M2SCB8</t>
  </si>
  <si>
    <t>IS14INV4M2SCB9</t>
  </si>
  <si>
    <t>IS14INV4M2SCB10</t>
  </si>
  <si>
    <t>IS15INV1M1SCB1</t>
  </si>
  <si>
    <t>IS15INV1M1SCB2</t>
  </si>
  <si>
    <t>IS15INV1M1SCB3</t>
  </si>
  <si>
    <t>IS15INV1M1SCB4</t>
  </si>
  <si>
    <t>IS15INV1M1SCB5</t>
  </si>
  <si>
    <t>IS15INV1M1SCB6</t>
  </si>
  <si>
    <t>IS15INV1M1SCB7</t>
  </si>
  <si>
    <t>IS15INV1M1SCB8</t>
  </si>
  <si>
    <t>IS15INV1M1SCB9</t>
  </si>
  <si>
    <t>IS15INV1M1SCB10</t>
  </si>
  <si>
    <t>IS15INV1M2SCB1</t>
  </si>
  <si>
    <t>IS15INV1M2SCB2</t>
  </si>
  <si>
    <t>IS15INV1M2SCB3</t>
  </si>
  <si>
    <t>IS15INV1M2SCB4</t>
  </si>
  <si>
    <t>IS15INV1M2SCB5</t>
  </si>
  <si>
    <t>IS15INV1M2SCB6</t>
  </si>
  <si>
    <t>IS15INV1M2SCB7</t>
  </si>
  <si>
    <t>IS15INV1M2SCB8</t>
  </si>
  <si>
    <t>IS15INV1M2SCB9</t>
  </si>
  <si>
    <t>IS15INV1M2SCB10</t>
  </si>
  <si>
    <t>IS15INV2M1SCB1</t>
  </si>
  <si>
    <t>IS15INV2M1SCB2</t>
  </si>
  <si>
    <t>IS15INV2M1SCB3</t>
  </si>
  <si>
    <t>IS15INV2M1SCB4</t>
  </si>
  <si>
    <t>IS15INV2M1SCB5</t>
  </si>
  <si>
    <t>IS15INV2M1SCB6</t>
  </si>
  <si>
    <t>IS15INV2M1SCB7</t>
  </si>
  <si>
    <t>IS15INV2M1SCB8</t>
  </si>
  <si>
    <t>IS15INV2M1SCB9</t>
  </si>
  <si>
    <t>IS15INV2M1SCB10</t>
  </si>
  <si>
    <t>IS15INV2M2SCB1</t>
  </si>
  <si>
    <t>IS15INV2M2SCB2</t>
  </si>
  <si>
    <t>IS15INV2M2SCB3</t>
  </si>
  <si>
    <t>IS15INV2M2SCB4</t>
  </si>
  <si>
    <t>IS15INV2M2SCB5</t>
  </si>
  <si>
    <t>IS15INV2M2SCB6</t>
  </si>
  <si>
    <t>IS15INV2M2SCB7</t>
  </si>
  <si>
    <t>IS15INV2M2SCB8</t>
  </si>
  <si>
    <t>IS15INV2M2SCB9</t>
  </si>
  <si>
    <t>IS15INV2M2SCB10</t>
  </si>
  <si>
    <t>IS15INV3M1SCB1</t>
  </si>
  <si>
    <t>IS15INV3M1SCB2</t>
  </si>
  <si>
    <t>IS15INV3M1SCB3</t>
  </si>
  <si>
    <t>IS15INV3M1SCB4</t>
  </si>
  <si>
    <t>IS15INV3M1SCB5</t>
  </si>
  <si>
    <t>IS15INV3M1SCB6</t>
  </si>
  <si>
    <t>IS15INV3M1SCB7</t>
  </si>
  <si>
    <t>IS15INV3M1SCB8</t>
  </si>
  <si>
    <t>IS15INV3M1SCB9</t>
  </si>
  <si>
    <t>IS15INV3M1SCB10</t>
  </si>
  <si>
    <t>IS15INV3M2SCB1</t>
  </si>
  <si>
    <t>IS15INV3M2SCB2</t>
  </si>
  <si>
    <t>IS15INV3M2SCB3</t>
  </si>
  <si>
    <t>IS15INV3M2SCB4</t>
  </si>
  <si>
    <t>IS15INV3M2SCB5</t>
  </si>
  <si>
    <t>IS15INV3M2SCB6</t>
  </si>
  <si>
    <t>IS15INV3M2SCB7</t>
  </si>
  <si>
    <t>IS15INV3M2SCB8</t>
  </si>
  <si>
    <t>IS15INV3M2SCB9</t>
  </si>
  <si>
    <t>IS15INV3M2SCB10</t>
  </si>
  <si>
    <t>IS15INV4M1SCB1</t>
  </si>
  <si>
    <t>IS15INV4M1SCB2</t>
  </si>
  <si>
    <t>IS15INV4M1SCB3</t>
  </si>
  <si>
    <t>IS15INV4M1SCB4</t>
  </si>
  <si>
    <t>IS15INV4M1SCB5</t>
  </si>
  <si>
    <t>IS15INV4M1SCB6</t>
  </si>
  <si>
    <t>IS15INV4M1SCB7</t>
  </si>
  <si>
    <t>IS15INV4M1SCB8</t>
  </si>
  <si>
    <t>IS15INV4M1SCB9</t>
  </si>
  <si>
    <t>IS15INV4M1SCB10</t>
  </si>
  <si>
    <t>IS15INV4M2SCB1</t>
  </si>
  <si>
    <t>IS15INV4M2SCB2</t>
  </si>
  <si>
    <t>IS15INV4M2SCB3</t>
  </si>
  <si>
    <t>IS15INV4M2SCB4</t>
  </si>
  <si>
    <t>IS15INV4M2SCB5</t>
  </si>
  <si>
    <t>IS15INV4M2SCB6</t>
  </si>
  <si>
    <t>IS15INV4M2SCB7</t>
  </si>
  <si>
    <t>IS15INV4M2SCB8</t>
  </si>
  <si>
    <t>IS15INV4M2SCB9</t>
  </si>
  <si>
    <t>IS15INV4M2SCB10</t>
  </si>
  <si>
    <t>IS16INV1M1SCB1</t>
  </si>
  <si>
    <t>IS16INV1M1SCB2</t>
  </si>
  <si>
    <t>IS16INV1M1SCB3</t>
  </si>
  <si>
    <t>IS16INV1M1SCB4</t>
  </si>
  <si>
    <t>IS16INV1M1SCB5</t>
  </si>
  <si>
    <t>IS16INV1M1SCB6</t>
  </si>
  <si>
    <t>IS16INV1M1SCB7</t>
  </si>
  <si>
    <t>IS16INV1M1SCB8</t>
  </si>
  <si>
    <t>IS16INV1M1SCB9</t>
  </si>
  <si>
    <t>IS16INV1M1SCB10</t>
  </si>
  <si>
    <t>IS16INV1M2SCB1</t>
  </si>
  <si>
    <t>IS16INV1M2SCB2</t>
  </si>
  <si>
    <t>IS16INV1M2SCB3</t>
  </si>
  <si>
    <t>IS16INV1M2SCB4</t>
  </si>
  <si>
    <t>IS16INV1M2SCB5</t>
  </si>
  <si>
    <t>IS16INV1M2SCB6</t>
  </si>
  <si>
    <t>IS16INV1M2SCB7</t>
  </si>
  <si>
    <t>IS16INV1M2SCB8</t>
  </si>
  <si>
    <t>IS16INV1M2SCB9</t>
  </si>
  <si>
    <t>IS16INV1M2SCB10</t>
  </si>
  <si>
    <t>IS16INV2M1SCB1</t>
  </si>
  <si>
    <t>IS16INV2M1SCB2</t>
  </si>
  <si>
    <t>IS16INV2M1SCB3</t>
  </si>
  <si>
    <t>IS16INV2M1SCB4</t>
  </si>
  <si>
    <t>IS16INV2M1SCB5</t>
  </si>
  <si>
    <t>IS16INV2M1SCB6</t>
  </si>
  <si>
    <t>IS16INV2M1SCB7</t>
  </si>
  <si>
    <t>IS16INV2M1SCB8</t>
  </si>
  <si>
    <t>IS16INV2M1SCB9</t>
  </si>
  <si>
    <t>IS16INV2M1SCB10</t>
  </si>
  <si>
    <t>IS16INV2M2SCB1</t>
  </si>
  <si>
    <t>IS16INV2M2SCB2</t>
  </si>
  <si>
    <t>IS16INV2M2SCB3</t>
  </si>
  <si>
    <t>IS16INV2M2SCB4</t>
  </si>
  <si>
    <t>IS16INV2M2SCB5</t>
  </si>
  <si>
    <t>IS16INV2M2SCB6</t>
  </si>
  <si>
    <t>IS16INV2M2SCB7</t>
  </si>
  <si>
    <t>IS16INV2M2SCB8</t>
  </si>
  <si>
    <t>IS16INV2M2SCB9</t>
  </si>
  <si>
    <t>IS16INV2M2SCB10</t>
  </si>
  <si>
    <t>IS16INV3M1SCB1</t>
  </si>
  <si>
    <t>IS16INV3M1SCB2</t>
  </si>
  <si>
    <t>IS16INV3M1SCB3</t>
  </si>
  <si>
    <t>IS16INV3M1SCB4</t>
  </si>
  <si>
    <t>IS16INV3M1SCB5</t>
  </si>
  <si>
    <t>IS16INV3M1SCB6</t>
  </si>
  <si>
    <t>IS16INV3M1SCB7</t>
  </si>
  <si>
    <t>IS16INV3M1SCB8</t>
  </si>
  <si>
    <t>IS16INV3M1SCB9</t>
  </si>
  <si>
    <t>IS16INV3M1SCB10</t>
  </si>
  <si>
    <t>IS16INV3M2SCB1</t>
  </si>
  <si>
    <t>IS16INV3M2SCB2</t>
  </si>
  <si>
    <t>IS16INV3M2SCB3</t>
  </si>
  <si>
    <t>IS16INV3M2SCB4</t>
  </si>
  <si>
    <t>IS16INV3M2SCB5</t>
  </si>
  <si>
    <t>IS16INV3M2SCB6</t>
  </si>
  <si>
    <t>IS16INV3M2SCB7</t>
  </si>
  <si>
    <t>IS16INV3M2SCB8</t>
  </si>
  <si>
    <t>IS16INV3M2SCB9</t>
  </si>
  <si>
    <t>IS16INV3M2SCB10</t>
  </si>
  <si>
    <t>IS16INV4M1SCB1</t>
  </si>
  <si>
    <t>IS16INV4M1SCB2</t>
  </si>
  <si>
    <t>IS16INV4M1SCB3</t>
  </si>
  <si>
    <t>IS16INV4M1SCB4</t>
  </si>
  <si>
    <t>IS16INV4M1SCB5</t>
  </si>
  <si>
    <t>IS16INV4M1SCB6</t>
  </si>
  <si>
    <t>IS16INV4M1SCB7</t>
  </si>
  <si>
    <t>IS16INV4M1SCB8</t>
  </si>
  <si>
    <t>IS16INV4M1SCB9</t>
  </si>
  <si>
    <t>IS16INV4M1SCB10</t>
  </si>
  <si>
    <t>IS16INV4M2SCB1</t>
  </si>
  <si>
    <t>IS16INV4M2SCB2</t>
  </si>
  <si>
    <t>IS16INV4M2SCB3</t>
  </si>
  <si>
    <t>IS16INV4M2SCB4</t>
  </si>
  <si>
    <t>IS16INV4M2SCB5</t>
  </si>
  <si>
    <t>IS16INV4M2SCB6</t>
  </si>
  <si>
    <t>IS16INV4M2SCB7</t>
  </si>
  <si>
    <t>IS16INV4M2SCB8</t>
  </si>
  <si>
    <t>IS16INV4M2SCB9</t>
  </si>
  <si>
    <t>IS16INV4M2SCB10</t>
  </si>
  <si>
    <t>IS17INV1M1SCB1</t>
  </si>
  <si>
    <t>IS17INV1M1SCB2</t>
  </si>
  <si>
    <t>IS17INV1M1SCB3</t>
  </si>
  <si>
    <t>IS17INV1M1SCB4</t>
  </si>
  <si>
    <t>IS17INV1M1SCB5</t>
  </si>
  <si>
    <t>IS17INV1M1SCB6</t>
  </si>
  <si>
    <t>IS17INV1M1SCB7</t>
  </si>
  <si>
    <t>IS17INV1M1SCB8</t>
  </si>
  <si>
    <t>IS17INV1M1SCB9</t>
  </si>
  <si>
    <t>IS17INV1M1SCB10</t>
  </si>
  <si>
    <t>IS17INV1M2SCB1</t>
  </si>
  <si>
    <t>IS17INV1M2SCB2</t>
  </si>
  <si>
    <t>IS17INV1M2SCB3</t>
  </si>
  <si>
    <t>IS17INV1M2SCB4</t>
  </si>
  <si>
    <t>IS17INV1M2SCB5</t>
  </si>
  <si>
    <t>IS17INV1M2SCB6</t>
  </si>
  <si>
    <t>IS17INV1M2SCB7</t>
  </si>
  <si>
    <t>IS17INV1M2SCB8</t>
  </si>
  <si>
    <t>IS17INV1M2SCB9</t>
  </si>
  <si>
    <t>IS17INV1M2SCB10</t>
  </si>
  <si>
    <t>IS17INV2M1SCB1</t>
  </si>
  <si>
    <t>IS17INV2M1SCB2</t>
  </si>
  <si>
    <t>IS17INV2M1SCB3</t>
  </si>
  <si>
    <t>IS17INV2M1SCB4</t>
  </si>
  <si>
    <t>IS17INV2M1SCB5</t>
  </si>
  <si>
    <t>IS17INV2M1SCB6</t>
  </si>
  <si>
    <t>IS17INV2M1SCB7</t>
  </si>
  <si>
    <t>IS17INV2M1SCB8</t>
  </si>
  <si>
    <t>IS17INV2M1SCB9</t>
  </si>
  <si>
    <t>IS17INV2M1SCB10</t>
  </si>
  <si>
    <t>IS17INV2M2SCB1</t>
  </si>
  <si>
    <t>IS17INV2M2SCB2</t>
  </si>
  <si>
    <t>IS17INV2M2SCB3</t>
  </si>
  <si>
    <t>IS17INV2M2SCB4</t>
  </si>
  <si>
    <t>IS17INV2M2SCB5</t>
  </si>
  <si>
    <t>IS17INV2M2SCB6</t>
  </si>
  <si>
    <t>IS17INV2M2SCB7</t>
  </si>
  <si>
    <t>IS17INV2M2SCB8</t>
  </si>
  <si>
    <t>IS17INV2M2SCB9</t>
  </si>
  <si>
    <t>IS17INV2M2SCB10</t>
  </si>
  <si>
    <t>IS17INV3M1SCB1</t>
  </si>
  <si>
    <t>IS17INV3M1SCB2</t>
  </si>
  <si>
    <t>IS17INV3M1SCB3</t>
  </si>
  <si>
    <t>IS17INV3M1SCB4</t>
  </si>
  <si>
    <t>IS17INV3M1SCB5</t>
  </si>
  <si>
    <t>IS17INV3M1SCB6</t>
  </si>
  <si>
    <t>IS17INV3M1SCB7</t>
  </si>
  <si>
    <t>IS17INV3M1SCB8</t>
  </si>
  <si>
    <t>IS17INV3M1SCB9</t>
  </si>
  <si>
    <t>IS17INV3M1SCB10</t>
  </si>
  <si>
    <t>IS17INV3M2SCB1</t>
  </si>
  <si>
    <t>IS17INV3M2SCB2</t>
  </si>
  <si>
    <t>IS17INV3M2SCB3</t>
  </si>
  <si>
    <t>IS17INV3M2SCB4</t>
  </si>
  <si>
    <t>IS17INV3M2SCB5</t>
  </si>
  <si>
    <t>IS17INV3M2SCB6</t>
  </si>
  <si>
    <t>IS17INV3M2SCB7</t>
  </si>
  <si>
    <t>IS17INV3M2SCB8</t>
  </si>
  <si>
    <t>IS17INV3M2SCB9</t>
  </si>
  <si>
    <t>IS17INV3M2SCB10</t>
  </si>
  <si>
    <t>IS17INV4M1SCB1</t>
  </si>
  <si>
    <t>IS17INV4M1SCB2</t>
  </si>
  <si>
    <t>IS17INV4M1SCB3</t>
  </si>
  <si>
    <t>IS17INV4M1SCB4</t>
  </si>
  <si>
    <t>IS17INV4M1SCB5</t>
  </si>
  <si>
    <t>IS17INV4M1SCB6</t>
  </si>
  <si>
    <t>IS17INV4M1SCB7</t>
  </si>
  <si>
    <t>IS17INV4M1SCB8</t>
  </si>
  <si>
    <t>IS17INV4M1SCB9</t>
  </si>
  <si>
    <t>IS17INV4M1SCB10</t>
  </si>
  <si>
    <t>IS17INV4M2SCB1</t>
  </si>
  <si>
    <t>IS17INV4M2SCB2</t>
  </si>
  <si>
    <t>IS17INV4M2SCB3</t>
  </si>
  <si>
    <t>IS17INV4M2SCB4</t>
  </si>
  <si>
    <t>IS17INV4M2SCB5</t>
  </si>
  <si>
    <t>IS17INV4M2SCB6</t>
  </si>
  <si>
    <t>IS17INV4M2SCB7</t>
  </si>
  <si>
    <t>IS17INV4M2SCB8</t>
  </si>
  <si>
    <t>IS17INV4M2SCB9</t>
  </si>
  <si>
    <t>IS17INV4M2SCB10</t>
  </si>
  <si>
    <t>IS18INV1M1SCB1</t>
  </si>
  <si>
    <t>IS18INV1M1SCB2</t>
  </si>
  <si>
    <t>IS18INV1M1SCB3</t>
  </si>
  <si>
    <t>IS18INV1M1SCB4</t>
  </si>
  <si>
    <t>IS18INV1M1SCB5</t>
  </si>
  <si>
    <t>IS18INV1M1SCB6</t>
  </si>
  <si>
    <t>IS18INV1M1SCB7</t>
  </si>
  <si>
    <t>IS18INV1M1SCB8</t>
  </si>
  <si>
    <t>IS18INV1M1SCB9</t>
  </si>
  <si>
    <t>IS18INV1M1SCB10</t>
  </si>
  <si>
    <t>IS18INV1M2SCB1</t>
  </si>
  <si>
    <t>IS18INV1M2SCB2</t>
  </si>
  <si>
    <t>IS18INV1M2SCB3</t>
  </si>
  <si>
    <t>IS18INV1M2SCB4</t>
  </si>
  <si>
    <t>IS18INV1M2SCB5</t>
  </si>
  <si>
    <t>IS18INV1M2SCB6</t>
  </si>
  <si>
    <t>IS18INV1M2SCB7</t>
  </si>
  <si>
    <t>IS18INV1M2SCB8</t>
  </si>
  <si>
    <t>IS18INV1M2SCB9</t>
  </si>
  <si>
    <t>IS18INV1M2SCB10</t>
  </si>
  <si>
    <t>IS18INV2M1SCB1</t>
  </si>
  <si>
    <t>IS18INV2M1SCB2</t>
  </si>
  <si>
    <t>IS18INV2M1SCB3</t>
  </si>
  <si>
    <t>IS18INV2M1SCB4</t>
  </si>
  <si>
    <t>IS18INV2M1SCB5</t>
  </si>
  <si>
    <t>IS18INV2M1SCB6</t>
  </si>
  <si>
    <t>IS18INV2M1SCB7</t>
  </si>
  <si>
    <t>IS18INV2M1SCB8</t>
  </si>
  <si>
    <t>IS18INV2M1SCB9</t>
  </si>
  <si>
    <t>IS18INV2M1SCB10</t>
  </si>
  <si>
    <t>IS18INV2M2SCB1</t>
  </si>
  <si>
    <t>IS18INV2M2SCB2</t>
  </si>
  <si>
    <t>IS18INV2M2SCB3</t>
  </si>
  <si>
    <t>IS18INV2M2SCB4</t>
  </si>
  <si>
    <t>IS18INV2M2SCB5</t>
  </si>
  <si>
    <t>IS18INV2M2SCB6</t>
  </si>
  <si>
    <t>IS18INV2M2SCB7</t>
  </si>
  <si>
    <t>IS18INV2M2SCB8</t>
  </si>
  <si>
    <t>IS18INV2M2SCB9</t>
  </si>
  <si>
    <t>IS18INV2M2SCB10</t>
  </si>
  <si>
    <t>IS18INV3M1SCB1</t>
  </si>
  <si>
    <t>IS18INV3M1SCB2</t>
  </si>
  <si>
    <t>IS18INV3M1SCB3</t>
  </si>
  <si>
    <t>IS18INV3M1SCB4</t>
  </si>
  <si>
    <t>IS18INV3M1SCB5</t>
  </si>
  <si>
    <t>IS18INV3M1SCB6</t>
  </si>
  <si>
    <t>IS18INV3M1SCB7</t>
  </si>
  <si>
    <t>IS18INV3M1SCB8</t>
  </si>
  <si>
    <t>IS18INV3M1SCB9</t>
  </si>
  <si>
    <t>IS18INV3M1SCB10</t>
  </si>
  <si>
    <t>IS18INV3M2SCB1</t>
  </si>
  <si>
    <t>IS18INV3M2SCB2</t>
  </si>
  <si>
    <t>IS18INV3M2SCB3</t>
  </si>
  <si>
    <t>IS18INV3M2SCB4</t>
  </si>
  <si>
    <t>IS18INV3M2SCB5</t>
  </si>
  <si>
    <t>IS18INV3M2SCB6</t>
  </si>
  <si>
    <t>IS18INV3M2SCB7</t>
  </si>
  <si>
    <t>IS18INV3M2SCB8</t>
  </si>
  <si>
    <t>IS18INV3M2SCB9</t>
  </si>
  <si>
    <t>IS18INV3M2SCB10</t>
  </si>
  <si>
    <t>IS18INV4M1SCB1</t>
  </si>
  <si>
    <t>IS18INV4M1SCB2</t>
  </si>
  <si>
    <t>IS18INV4M1SCB3</t>
  </si>
  <si>
    <t>IS18INV4M1SCB4</t>
  </si>
  <si>
    <t>IS18INV4M1SCB5</t>
  </si>
  <si>
    <t>IS18INV4M1SCB6</t>
  </si>
  <si>
    <t>IS18INV4M1SCB7</t>
  </si>
  <si>
    <t>IS18INV4M1SCB8</t>
  </si>
  <si>
    <t>IS18INV4M1SCB9</t>
  </si>
  <si>
    <t>IS18INV4M1SCB10</t>
  </si>
  <si>
    <t>IS18INV4M2SCB1</t>
  </si>
  <si>
    <t>IS18INV4M2SCB2</t>
  </si>
  <si>
    <t>IS18INV4M2SCB3</t>
  </si>
  <si>
    <t>IS18INV4M2SCB4</t>
  </si>
  <si>
    <t>IS18INV4M2SCB5</t>
  </si>
  <si>
    <t>IS18INV4M2SCB6</t>
  </si>
  <si>
    <t>IS18INV4M2SCB7</t>
  </si>
  <si>
    <t>IS18INV4M2SCB8</t>
  </si>
  <si>
    <t>IS18INV4M2SCB9</t>
  </si>
  <si>
    <t>IS18INV4M2SCB10</t>
  </si>
  <si>
    <t>IS19INV1M1SCB1</t>
  </si>
  <si>
    <t>IS19INV1M1SCB2</t>
  </si>
  <si>
    <t>IS19INV1M1SCB3</t>
  </si>
  <si>
    <t>IS19INV1M1SCB4</t>
  </si>
  <si>
    <t>IS19INV1M1SCB5</t>
  </si>
  <si>
    <t>IS19INV1M1SCB6</t>
  </si>
  <si>
    <t>IS19INV1M1SCB7</t>
  </si>
  <si>
    <t>IS19INV1M1SCB8</t>
  </si>
  <si>
    <t>IS19INV1M1SCB9</t>
  </si>
  <si>
    <t>IS19INV1M1SCB10</t>
  </si>
  <si>
    <t>IS19INV1M2SCB1</t>
  </si>
  <si>
    <t>IS19INV1M2SCB2</t>
  </si>
  <si>
    <t>IS19INV1M2SCB3</t>
  </si>
  <si>
    <t>IS19INV1M2SCB4</t>
  </si>
  <si>
    <t>IS19INV1M2SCB5</t>
  </si>
  <si>
    <t>IS19INV1M2SCB6</t>
  </si>
  <si>
    <t>IS19INV1M2SCB7</t>
  </si>
  <si>
    <t>IS19INV1M2SCB8</t>
  </si>
  <si>
    <t>IS19INV1M2SCB9</t>
  </si>
  <si>
    <t>IS19INV1M2SCB10</t>
  </si>
  <si>
    <t>IS19INV2M1SCB1</t>
  </si>
  <si>
    <t>IS19INV2M1SCB2</t>
  </si>
  <si>
    <t>IS19INV2M1SCB3</t>
  </si>
  <si>
    <t>IS19INV2M1SCB4</t>
  </si>
  <si>
    <t>IS19INV2M1SCB5</t>
  </si>
  <si>
    <t>IS19INV2M1SCB6</t>
  </si>
  <si>
    <t>IS19INV2M1SCB7</t>
  </si>
  <si>
    <t>IS19INV2M1SCB8</t>
  </si>
  <si>
    <t>IS19INV2M1SCB9</t>
  </si>
  <si>
    <t>IS19INV2M1SCB10</t>
  </si>
  <si>
    <t>IS19INV2M2SCB1</t>
  </si>
  <si>
    <t>IS19INV2M2SCB2</t>
  </si>
  <si>
    <t>IS19INV2M2SCB3</t>
  </si>
  <si>
    <t>IS19INV2M2SCB4</t>
  </si>
  <si>
    <t>IS19INV2M2SCB5</t>
  </si>
  <si>
    <t>IS19INV2M2SCB6</t>
  </si>
  <si>
    <t>IS19INV2M2SCB7</t>
  </si>
  <si>
    <t>IS19INV2M2SCB8</t>
  </si>
  <si>
    <t>IS19INV2M2SCB9</t>
  </si>
  <si>
    <t>IS19INV2M2SCB10</t>
  </si>
  <si>
    <t>IS19INV3M1SCB1</t>
  </si>
  <si>
    <t>IS19INV3M1SCB2</t>
  </si>
  <si>
    <t>IS19INV3M1SCB3</t>
  </si>
  <si>
    <t>IS19INV3M1SCB4</t>
  </si>
  <si>
    <t>IS19INV3M1SCB5</t>
  </si>
  <si>
    <t>IS19INV3M1SCB6</t>
  </si>
  <si>
    <t>IS19INV3M1SCB7</t>
  </si>
  <si>
    <t>IS19INV3M1SCB8</t>
  </si>
  <si>
    <t>IS19INV3M1SCB9</t>
  </si>
  <si>
    <t>IS19INV3M1SCB10</t>
  </si>
  <si>
    <t>IS19INV3M2SCB1</t>
  </si>
  <si>
    <t>IS19INV3M2SCB2</t>
  </si>
  <si>
    <t>IS19INV3M2SCB3</t>
  </si>
  <si>
    <t>IS19INV3M2SCB4</t>
  </si>
  <si>
    <t>IS19INV3M2SCB5</t>
  </si>
  <si>
    <t>IS19INV3M2SCB6</t>
  </si>
  <si>
    <t>IS19INV3M2SCB7</t>
  </si>
  <si>
    <t>IS19INV3M2SCB8</t>
  </si>
  <si>
    <t>IS19INV3M2SCB9</t>
  </si>
  <si>
    <t>IS19INV3M2SCB10</t>
  </si>
  <si>
    <t>IS19INV4M1SCB1</t>
  </si>
  <si>
    <t>IS19INV4M1SCB2</t>
  </si>
  <si>
    <t>IS19INV4M1SCB3</t>
  </si>
  <si>
    <t>IS19INV4M1SCB4</t>
  </si>
  <si>
    <t>IS19INV4M1SCB5</t>
  </si>
  <si>
    <t>IS19INV4M1SCB6</t>
  </si>
  <si>
    <t>IS19INV4M1SCB7</t>
  </si>
  <si>
    <t>IS19INV4M1SCB8</t>
  </si>
  <si>
    <t>IS19INV4M1SCB9</t>
  </si>
  <si>
    <t>IS19INV4M1SCB10</t>
  </si>
  <si>
    <t>IS19INV4M2SCB1</t>
  </si>
  <si>
    <t>IS19INV4M2SCB2</t>
  </si>
  <si>
    <t>IS19INV4M2SCB3</t>
  </si>
  <si>
    <t>IS19INV4M2SCB4</t>
  </si>
  <si>
    <t>IS19INV4M2SCB5</t>
  </si>
  <si>
    <t>IS19INV4M2SCB6</t>
  </si>
  <si>
    <t>IS19INV4M2SCB7</t>
  </si>
  <si>
    <t>IS19INV4M2SCB8</t>
  </si>
  <si>
    <t>IS19INV4M2SCB9</t>
  </si>
  <si>
    <t>IS19INV4M2SCB10</t>
  </si>
  <si>
    <t>IS20INV1M1SCB1</t>
  </si>
  <si>
    <t>IS20INV1M1SCB2</t>
  </si>
  <si>
    <t>IS20INV1M1SCB3</t>
  </si>
  <si>
    <t>IS20INV1M1SCB4</t>
  </si>
  <si>
    <t>IS20INV1M1SCB5</t>
  </si>
  <si>
    <t>IS20INV1M1SCB6</t>
  </si>
  <si>
    <t>IS20INV1M1SCB7</t>
  </si>
  <si>
    <t>IS20INV1M1SCB8</t>
  </si>
  <si>
    <t>IS20INV1M1SCB9</t>
  </si>
  <si>
    <t>IS20INV1M1SCB10</t>
  </si>
  <si>
    <t>IS20INV1M2SCB1</t>
  </si>
  <si>
    <t>IS20INV1M2SCB2</t>
  </si>
  <si>
    <t>IS20INV1M2SCB3</t>
  </si>
  <si>
    <t>IS20INV1M2SCB4</t>
  </si>
  <si>
    <t>IS20INV1M2SCB5</t>
  </si>
  <si>
    <t>IS20INV1M2SCB6</t>
  </si>
  <si>
    <t>IS20INV1M2SCB7</t>
  </si>
  <si>
    <t>IS20INV1M2SCB8</t>
  </si>
  <si>
    <t>IS20INV1M2SCB9</t>
  </si>
  <si>
    <t>IS20INV1M2SCB10</t>
  </si>
  <si>
    <t>IS20INV2M1SCB1</t>
  </si>
  <si>
    <t>IS20INV2M1SCB2</t>
  </si>
  <si>
    <t>IS20INV2M1SCB3</t>
  </si>
  <si>
    <t>IS20INV2M1SCB4</t>
  </si>
  <si>
    <t>IS20INV2M1SCB5</t>
  </si>
  <si>
    <t>IS20INV2M1SCB6</t>
  </si>
  <si>
    <t>IS20INV2M1SCB7</t>
  </si>
  <si>
    <t>IS20INV2M1SCB8</t>
  </si>
  <si>
    <t>IS20INV2M1SCB9</t>
  </si>
  <si>
    <t>IS20INV2M1SCB10</t>
  </si>
  <si>
    <t>IS20INV2M2SCB1</t>
  </si>
  <si>
    <t>IS20INV2M2SCB2</t>
  </si>
  <si>
    <t>IS20INV2M2SCB3</t>
  </si>
  <si>
    <t>IS20INV2M2SCB4</t>
  </si>
  <si>
    <t>IS20INV2M2SCB5</t>
  </si>
  <si>
    <t>IS20INV2M2SCB6</t>
  </si>
  <si>
    <t>IS20INV2M2SCB7</t>
  </si>
  <si>
    <t>IS20INV2M2SCB8</t>
  </si>
  <si>
    <t>IS20INV2M2SCB9</t>
  </si>
  <si>
    <t>IS20INV2M2SCB10</t>
  </si>
  <si>
    <t>IS20INV3M1SCB1</t>
  </si>
  <si>
    <t>IS20INV3M1SCB2</t>
  </si>
  <si>
    <t>IS20INV3M1SCB3</t>
  </si>
  <si>
    <t>IS20INV3M1SCB4</t>
  </si>
  <si>
    <t>IS20INV3M1SCB5</t>
  </si>
  <si>
    <t>IS20INV3M1SCB6</t>
  </si>
  <si>
    <t>IS20INV3M1SCB7</t>
  </si>
  <si>
    <t>IS20INV3M1SCB8</t>
  </si>
  <si>
    <t>IS20INV3M1SCB9</t>
  </si>
  <si>
    <t>IS20INV3M1SCB10</t>
  </si>
  <si>
    <t>IS20INV3M2SCB1</t>
  </si>
  <si>
    <t>IS20INV3M2SCB2</t>
  </si>
  <si>
    <t>IS20INV3M2SCB3</t>
  </si>
  <si>
    <t>IS20INV3M2SCB4</t>
  </si>
  <si>
    <t>IS20INV3M2SCB5</t>
  </si>
  <si>
    <t>IS20INV3M2SCB6</t>
  </si>
  <si>
    <t>IS20INV3M2SCB7</t>
  </si>
  <si>
    <t>IS20INV3M2SCB8</t>
  </si>
  <si>
    <t>IS20INV3M2SCB9</t>
  </si>
  <si>
    <t>IS20INV3M2SCB10</t>
  </si>
  <si>
    <t>IS20INV4M1SCB1</t>
  </si>
  <si>
    <t>IS20INV4M1SCB2</t>
  </si>
  <si>
    <t>IS20INV4M1SCB3</t>
  </si>
  <si>
    <t>IS20INV4M1SCB4</t>
  </si>
  <si>
    <t>IS20INV4M1SCB5</t>
  </si>
  <si>
    <t>IS20INV4M1SCB6</t>
  </si>
  <si>
    <t>IS20INV4M1SCB7</t>
  </si>
  <si>
    <t>IS20INV4M1SCB8</t>
  </si>
  <si>
    <t>IS20INV4M1SCB9</t>
  </si>
  <si>
    <t>IS20INV4M1SCB10</t>
  </si>
  <si>
    <t>IS20INV4M2SCB1</t>
  </si>
  <si>
    <t>IS20INV4M2SCB2</t>
  </si>
  <si>
    <t>IS20INV4M2SCB3</t>
  </si>
  <si>
    <t>IS20INV4M2SCB4</t>
  </si>
  <si>
    <t>IS20INV4M2SCB5</t>
  </si>
  <si>
    <t>IS20INV4M2SCB6</t>
  </si>
  <si>
    <t>IS20INV4M2SCB7</t>
  </si>
  <si>
    <t>IS20INV4M2SCB8</t>
  </si>
  <si>
    <t>IS20INV4M2SCB9</t>
  </si>
  <si>
    <t>IS20INV4M2SCB10</t>
  </si>
  <si>
    <t>IS1Tx</t>
  </si>
  <si>
    <t>IS2Tx</t>
  </si>
  <si>
    <t>IS3Tx</t>
  </si>
  <si>
    <t>IS4Tx</t>
  </si>
  <si>
    <t>IS5Tx</t>
  </si>
  <si>
    <t>IS6Tx</t>
  </si>
  <si>
    <t>IS7Tx</t>
  </si>
  <si>
    <t>IS8Tx</t>
  </si>
  <si>
    <t>IS9Tx</t>
  </si>
  <si>
    <t>IS10Tx</t>
  </si>
  <si>
    <t>IS11Tx</t>
  </si>
  <si>
    <t>IS12Tx</t>
  </si>
  <si>
    <t>IS13Tx</t>
  </si>
  <si>
    <t>IS14Tx</t>
  </si>
  <si>
    <t>IS15Tx</t>
  </si>
  <si>
    <t>IS16Tx</t>
  </si>
  <si>
    <t>IS17Tx</t>
  </si>
  <si>
    <t>IS18Tx</t>
  </si>
  <si>
    <t>IS19Tx</t>
  </si>
  <si>
    <t>IS20Tx</t>
  </si>
  <si>
    <t>IS1MVP</t>
  </si>
  <si>
    <t>IS2MVP</t>
  </si>
  <si>
    <t>IS3MVP</t>
  </si>
  <si>
    <t>IS4MVP</t>
  </si>
  <si>
    <t>IS5MVP</t>
  </si>
  <si>
    <t>IS6MVP</t>
  </si>
  <si>
    <t>IS7MVP</t>
  </si>
  <si>
    <t>IS8MVP</t>
  </si>
  <si>
    <t>IS9MVP</t>
  </si>
  <si>
    <t>IS10MVP</t>
  </si>
  <si>
    <t>IS11MVP</t>
  </si>
  <si>
    <t>IS12MVP</t>
  </si>
  <si>
    <t>IS13MVP</t>
  </si>
  <si>
    <t>IS14MVP</t>
  </si>
  <si>
    <t>IS15MVP</t>
  </si>
  <si>
    <t>IS16MVP</t>
  </si>
  <si>
    <t>IS17MVP</t>
  </si>
  <si>
    <t>IS18MVP</t>
  </si>
  <si>
    <t>IS19MVP</t>
  </si>
  <si>
    <t>IS20MVP</t>
  </si>
  <si>
    <t>IS1AuxTx</t>
  </si>
  <si>
    <t>IS2AuxTx</t>
  </si>
  <si>
    <t>IS3AuxTx</t>
  </si>
  <si>
    <t>IS4AuxTx</t>
  </si>
  <si>
    <t>IS5AuxTx</t>
  </si>
  <si>
    <t>IS6AuxTx</t>
  </si>
  <si>
    <t>IS7AuxTx</t>
  </si>
  <si>
    <t>IS8AuxTx</t>
  </si>
  <si>
    <t>IS9AuxTx</t>
  </si>
  <si>
    <t>IS10AuxTx</t>
  </si>
  <si>
    <t>IS11AuxTx</t>
  </si>
  <si>
    <t>IS12AuxTx</t>
  </si>
  <si>
    <t>IS13AuxTx</t>
  </si>
  <si>
    <t>IS14AuxTx</t>
  </si>
  <si>
    <t>IS15AuxTx</t>
  </si>
  <si>
    <t>IS16AuxTx</t>
  </si>
  <si>
    <t>IS17AuxTx</t>
  </si>
  <si>
    <t>IS18AuxTx</t>
  </si>
  <si>
    <t>IS19AuxTx</t>
  </si>
  <si>
    <t>IS20AuxTx</t>
  </si>
  <si>
    <t>Incomer</t>
  </si>
  <si>
    <t>Incomer 12</t>
  </si>
  <si>
    <t>Incomer 11</t>
  </si>
  <si>
    <t>Incomer 10</t>
  </si>
  <si>
    <t>Incomer 8</t>
  </si>
  <si>
    <t>Incomer 9</t>
  </si>
  <si>
    <t>Incomer 5</t>
  </si>
  <si>
    <t>Incomer 4</t>
  </si>
  <si>
    <t>Incomer 3</t>
  </si>
  <si>
    <t>Incomer 2</t>
  </si>
  <si>
    <t>Incomer 1</t>
  </si>
  <si>
    <t xml:space="preserve">DC Capacity (kwh) </t>
  </si>
  <si>
    <t>Block</t>
  </si>
  <si>
    <t>IR1-IR2</t>
  </si>
  <si>
    <t>IR3-IR4</t>
  </si>
  <si>
    <t>IR5-IR6</t>
  </si>
  <si>
    <t>IR8-IR7</t>
  </si>
  <si>
    <t>IR9-IR10</t>
  </si>
  <si>
    <t>IR12-IR11</t>
  </si>
  <si>
    <t>IR13-IR14</t>
  </si>
  <si>
    <t>IR15-IR16</t>
  </si>
  <si>
    <t>IR17-IR18</t>
  </si>
  <si>
    <t>IR19-IR20</t>
  </si>
  <si>
    <t>Full Load current</t>
  </si>
  <si>
    <t>Plant</t>
  </si>
  <si>
    <t>Sr. No</t>
  </si>
  <si>
    <t>Plant Name</t>
  </si>
  <si>
    <t>Categoty</t>
  </si>
  <si>
    <t>Equipment Name</t>
  </si>
  <si>
    <t>Inverter No.</t>
  </si>
  <si>
    <t>From</t>
  </si>
  <si>
    <t>To</t>
  </si>
  <si>
    <t>Duration in MIN</t>
  </si>
  <si>
    <t>Total Breakdown Hrs.</t>
  </si>
  <si>
    <t>Avg POA During BD time</t>
  </si>
  <si>
    <t>Lost POA</t>
  </si>
  <si>
    <t xml:space="preserve">Total POA </t>
  </si>
  <si>
    <t>Net POA</t>
  </si>
  <si>
    <t>Loss of Capacity in KWp</t>
  </si>
  <si>
    <t>Estimated PR % (Pvsyst)</t>
  </si>
  <si>
    <t>Loss of Generation kWh</t>
  </si>
  <si>
    <t>Remark</t>
  </si>
  <si>
    <t>Current Load befor Load Sheeding (AC MW)</t>
  </si>
  <si>
    <t>Load to be maintain (AC Mw)</t>
  </si>
  <si>
    <t>CSPPL</t>
  </si>
  <si>
    <t>Load Shedding</t>
  </si>
  <si>
    <t>June</t>
  </si>
  <si>
    <t>July</t>
  </si>
  <si>
    <t>April</t>
  </si>
  <si>
    <t>LD Msg 110 for 250 to 200MW and LD Msg 118 for 250MW</t>
  </si>
  <si>
    <t xml:space="preserve">LD Msg 148 for 250 to 150MW </t>
  </si>
  <si>
    <t>LD Msg 157 for 150 to 200MW and LD Msg 160 for 250MW</t>
  </si>
  <si>
    <t>LD Msg 276 for 250 to 200MW and LD Msg 278 for 250MW</t>
  </si>
  <si>
    <t>LD Msg 728 for 250 to 225MW and LD Msg 732 for 250MW</t>
  </si>
  <si>
    <t>LD Msg 764 for 250 to 212MW</t>
  </si>
  <si>
    <t>LD Msg 768 for 212 to 188MW and LD Msg 771 for 250MW</t>
  </si>
  <si>
    <t>POA UPWARD</t>
  </si>
  <si>
    <t>POA DOWNWARD</t>
  </si>
  <si>
    <t>AMB. TEMP</t>
  </si>
  <si>
    <t>WIND SPEED</t>
  </si>
  <si>
    <t>Month Number</t>
  </si>
  <si>
    <t>CY</t>
  </si>
  <si>
    <t>FY</t>
  </si>
  <si>
    <t>No. of Days in Month</t>
  </si>
  <si>
    <t>GHI</t>
  </si>
  <si>
    <t>POA</t>
  </si>
  <si>
    <t>WS</t>
  </si>
  <si>
    <t>Tamb</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</si>
  <si>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</si>
  <si>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</si>
  <si>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</si>
  <si>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</si>
  <si>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</si>
  <si>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</si>
  <si>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</si>
  <si>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</si>
  <si>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</si>
  <si>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</si>
  <si>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</si>
  <si>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</si>
  <si>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</si>
  <si>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</si>
  <si>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</si>
  <si>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</si>
  <si>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</si>
  <si>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</si>
  <si>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</si>
  <si>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</si>
  <si>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</si>
  <si>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</si>
  <si>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</si>
  <si>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</si>
  <si>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</si>
  <si>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</si>
  <si>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</si>
  <si>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</si>
  <si>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</si>
  <si>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August</t>
  </si>
  <si>
    <t>September</t>
  </si>
  <si>
    <t>October</t>
  </si>
  <si>
    <t>November</t>
  </si>
  <si>
    <t>December</t>
  </si>
  <si>
    <t>January</t>
  </si>
  <si>
    <t>February</t>
  </si>
  <si>
    <t>March</t>
  </si>
  <si>
    <t>FY26</t>
  </si>
  <si>
    <t>Generation loss Due to Load Shedding</t>
  </si>
  <si>
    <t>Generation loss(Kwh)</t>
  </si>
  <si>
    <t>OP. year</t>
  </si>
  <si>
    <t>Year-0</t>
  </si>
  <si>
    <t>YOY Degradation(2nd Year Onwards)</t>
  </si>
  <si>
    <t>DC Capacity</t>
  </si>
  <si>
    <t>Year-1</t>
  </si>
  <si>
    <t>Year-2</t>
  </si>
  <si>
    <t>Year-3</t>
  </si>
  <si>
    <t>Year-4</t>
  </si>
  <si>
    <t>Year-5</t>
  </si>
  <si>
    <t>Year-6</t>
  </si>
  <si>
    <t>Year-7</t>
  </si>
  <si>
    <t>Year-8</t>
  </si>
  <si>
    <t>Year-9</t>
  </si>
  <si>
    <t>Year-10</t>
  </si>
  <si>
    <t>Year-11</t>
  </si>
  <si>
    <t>Year-12</t>
  </si>
  <si>
    <t>Year-13</t>
  </si>
  <si>
    <t>Year-14</t>
  </si>
  <si>
    <t>Year-15</t>
  </si>
  <si>
    <t>Year-16</t>
  </si>
  <si>
    <t>Year-17</t>
  </si>
  <si>
    <t>Year-18</t>
  </si>
  <si>
    <t>Year-19</t>
  </si>
  <si>
    <t>Year-20</t>
  </si>
  <si>
    <t>Year-21</t>
  </si>
  <si>
    <t>Year-22</t>
  </si>
  <si>
    <t>Year-23</t>
  </si>
  <si>
    <t>Year-24</t>
  </si>
  <si>
    <t>Year-25</t>
  </si>
  <si>
    <t>PTW291748</t>
  </si>
  <si>
    <t>PTW291888</t>
  </si>
  <si>
    <t>Y-connector fuse Replaced.</t>
  </si>
  <si>
    <t>PTW292024</t>
  </si>
  <si>
    <t>PTW292263</t>
  </si>
  <si>
    <t>String Affected Due to Wind Strom.</t>
  </si>
  <si>
    <t>PTW292403</t>
  </si>
  <si>
    <t>After Genration Fan Replace by OEM Team.</t>
  </si>
  <si>
    <t>PTW292723</t>
  </si>
  <si>
    <t>PTW292890</t>
  </si>
  <si>
    <t>SF6 Line CB tripped Due to Fault at GSS End. (NTPC Feeder R-Phase Jumper broken)</t>
  </si>
  <si>
    <t>PTW293037</t>
  </si>
  <si>
    <t>PTW292903</t>
  </si>
  <si>
    <t>PTR-1 Trip in Differencial Protection</t>
  </si>
  <si>
    <t>After IR Testing &amp; CT connection check, after discussed with our HT Team charged the PTR-1 Normally.</t>
  </si>
  <si>
    <t>One Nos. Module found is ground, so bypass the module and restart the inverter.</t>
  </si>
  <si>
    <t>PTW293345</t>
  </si>
  <si>
    <t>PTW293405</t>
  </si>
  <si>
    <t>PTW293628</t>
  </si>
  <si>
    <t xml:space="preserve"> MC4 connector apply and  fuse replace &amp; restored the string.</t>
  </si>
  <si>
    <t>MC4 Connector Found Open</t>
  </si>
  <si>
    <t>MC4 Connector Connect properly.</t>
  </si>
  <si>
    <t>MC4 Connector Found Burn</t>
  </si>
  <si>
    <t>MC4 Connector Replace.</t>
  </si>
  <si>
    <t>PTW293802</t>
  </si>
  <si>
    <t>LD Msg 366 for 250 to 200MW and LD Msg 373 for 250MW</t>
  </si>
  <si>
    <t>LD Msg 401 for 250 to 225MW and LD Msg 404 for 250MW</t>
  </si>
  <si>
    <t>IDT_Manual stop for LV  Side Thermography</t>
  </si>
  <si>
    <t>IDT_Manual stop for LV Side Thermography</t>
  </si>
  <si>
    <t>After LV Box Cover Open IDT Charged.</t>
  </si>
  <si>
    <t>After thermography work done IDT Charged.</t>
  </si>
  <si>
    <t>PTW295047</t>
  </si>
  <si>
    <t>PTW295240</t>
  </si>
  <si>
    <t>PTW295805</t>
  </si>
  <si>
    <t>LD Msg 603 for 250 to 225MW and LD Msg 605 for 250MW</t>
  </si>
  <si>
    <t>LD Msg 622 for 250 to 225MW and LD Msg 627 for 250MW</t>
  </si>
  <si>
    <t>PTW295967</t>
  </si>
  <si>
    <t>PTW296741</t>
  </si>
  <si>
    <t>51,8</t>
  </si>
  <si>
    <t>LD Msg 743 for 250 to 225MW and LD Msg 745 for 250MW</t>
  </si>
  <si>
    <t>PTW297021</t>
  </si>
  <si>
    <t>PTW297883</t>
  </si>
  <si>
    <t>PTW297811</t>
  </si>
  <si>
    <t>LD Msg 966 for 250 to 225MW and LD Msg 970 for 250MW</t>
  </si>
  <si>
    <t>Manully stop due to IV Testing work</t>
  </si>
  <si>
    <t>PTW298338</t>
  </si>
  <si>
    <t>PTW298409</t>
  </si>
  <si>
    <t>LD Msg 09 for 200 to 160MW and LD Msg 15 for 250MW</t>
  </si>
  <si>
    <t>Load Curtailment 20% of Current Load.</t>
  </si>
  <si>
    <t xml:space="preserve">Tripped due to the 87T Differential Protection operation. </t>
  </si>
  <si>
    <t>R-Phase Cable End Termination Failure</t>
  </si>
  <si>
    <t>R phase End termination replaced and Check IR Value then PTR Charged.</t>
  </si>
  <si>
    <t>PTW298610</t>
  </si>
  <si>
    <t>LD Msg 30 for 250 to 225MW and LD Msg 38 for 250MW</t>
  </si>
  <si>
    <t>Load Curtailment 10% of Active Power.</t>
  </si>
  <si>
    <t>Load Curtailment 20% of Active Power.</t>
  </si>
  <si>
    <t>LD Msg 60 for 250 to 225MW and LD Msg 62 for 250MW</t>
  </si>
  <si>
    <t>PTW298884</t>
  </si>
  <si>
    <t>LD Msg 90 for 250 to 200MW</t>
  </si>
  <si>
    <t>LD Msg 91 for 200 to 225MW and LD Msg 99 for 250MW</t>
  </si>
  <si>
    <t>PTW299319</t>
  </si>
  <si>
    <t>PTW299485</t>
  </si>
  <si>
    <t>PTW299590</t>
  </si>
  <si>
    <t>Inverter trip in GFDI falut</t>
  </si>
  <si>
    <t>Inverter Auto Reset and Run</t>
  </si>
  <si>
    <t xml:space="preserve"> </t>
  </si>
  <si>
    <t>PTW299638</t>
  </si>
  <si>
    <t>PTW299810</t>
  </si>
  <si>
    <t>LD Msg 211 for 207 to 166MW and LD Msg 213 for 250MW</t>
  </si>
  <si>
    <t>PTW299846</t>
  </si>
  <si>
    <t>PTW300061</t>
  </si>
  <si>
    <t>PTW300295</t>
  </si>
  <si>
    <t>PTW300457</t>
  </si>
  <si>
    <t>PTW300540</t>
  </si>
  <si>
    <t>After thermography work IDT Charged Sucessfully.</t>
  </si>
  <si>
    <t>PTW300678</t>
  </si>
  <si>
    <t>LD Msg 313 for 250 to 200MW</t>
  </si>
  <si>
    <t>LD Msg 316 for 200 to 180MW and LD Msg 317 for 250MW</t>
  </si>
  <si>
    <t>Load Curtailment 30% of Active Power due to 400KV Akal Line trip.</t>
  </si>
  <si>
    <t>Load Curtailment 20% of Active Power due to 400KV Akal Line trip.</t>
  </si>
  <si>
    <t>PTW300966</t>
  </si>
  <si>
    <t>LD Msg 341 for 178.95 to 155MW and LD Msg 359 for 250MW</t>
  </si>
  <si>
    <t>Load Curtailment 10% of Current Load due to 400KV Akal Line trip.(PPC Set Point 155MW)</t>
  </si>
  <si>
    <t>Module Remove for damage module replacement work</t>
  </si>
  <si>
    <t>PTW301070</t>
  </si>
  <si>
    <t>PTW301312</t>
  </si>
  <si>
    <t>PTW301465</t>
  </si>
  <si>
    <t>LD Msg 484 for 168 to 135MW and LD Msg 498 for 250MW</t>
  </si>
  <si>
    <t>Load Curtailment 20% of Current Load.(PPC Set Point 135MW)</t>
  </si>
  <si>
    <t>Load Curtailment @ 20% of Active Power due to heavy under drawl, high frequency.</t>
  </si>
  <si>
    <t>PTW301944</t>
  </si>
  <si>
    <t>LD Msg 529 for 250 to 200MW and LD Msg 533 for 250MW</t>
  </si>
  <si>
    <t>PTW302162</t>
  </si>
  <si>
    <t>Auto Reset and Run.</t>
  </si>
  <si>
    <t>PTR-1 Trip in 87 Activated.</t>
  </si>
  <si>
    <t>Cheack Related parameter and IR value after that disscuss with HT team then PTR charged.</t>
  </si>
  <si>
    <t>PTW302345</t>
  </si>
  <si>
    <t>LD Msg 555 for 232 to 200MW and LD Msg 562 for 250MW</t>
  </si>
  <si>
    <t>LD Msg 605 for 250 to 200MW and LD Msg 607 for 250MW</t>
  </si>
  <si>
    <t>Manually stop for Inv Unit_GFDI Fault  rectification</t>
  </si>
  <si>
    <t>Manually stop SCB_GFDI Fault  rectification</t>
  </si>
  <si>
    <t>Due to heavy wind strom module found damage so string remove from SCB side in B/D</t>
  </si>
  <si>
    <t>PTW302566</t>
  </si>
  <si>
    <t>PTW302616</t>
  </si>
  <si>
    <t>PTW302441</t>
  </si>
  <si>
    <t>After Genration OEM team replaced AC Breaker and inverter kept in observation</t>
  </si>
  <si>
    <t>After Genration OEM team attend inverter and found 20Amp. Fuse was blown, fuse arrenge other site and replaced in early morning then inverter reboot and run.</t>
  </si>
  <si>
    <t>PTW302772</t>
  </si>
  <si>
    <t>Load Curtailment @ 40% of Active Power due to heavy under drawl, high frequency.</t>
  </si>
  <si>
    <t>LD Msg 659 for 250 to 200MW</t>
  </si>
  <si>
    <t>LD Msg  for 663 to 160MW and LD Msg 659 for 250MW</t>
  </si>
  <si>
    <t>PTW303787</t>
  </si>
  <si>
    <t>MC4 Connector Replaced &amp; Run.</t>
  </si>
  <si>
    <t>MC4 connector found burn, replace and Run.</t>
  </si>
  <si>
    <t>PTW304064</t>
  </si>
  <si>
    <t>N/A</t>
  </si>
  <si>
    <t>PTW304339</t>
  </si>
  <si>
    <t xml:space="preserve">WMS-09 &amp; 15 POA_UP VALUE EXCLUDED DUE TO CABLE ISSUE. </t>
  </si>
  <si>
    <t>Y-connector fuse found damage</t>
  </si>
  <si>
    <t>Fuse Replaced &amp; Run.</t>
  </si>
  <si>
    <t>PTW304900</t>
  </si>
  <si>
    <t>PTW304763</t>
  </si>
  <si>
    <t>Inverter Reboot and Run</t>
  </si>
  <si>
    <t>Module found damage</t>
  </si>
  <si>
    <t>Module found damage, module bypass and run</t>
  </si>
  <si>
    <t>Manually stop due to IDT LV side thermography work</t>
  </si>
  <si>
    <t>PTW305128</t>
  </si>
  <si>
    <t>PTW305276</t>
  </si>
  <si>
    <t>PTW305479</t>
  </si>
  <si>
    <t>PTW305457</t>
  </si>
  <si>
    <t>PTW305652</t>
  </si>
  <si>
    <t>PTW305658</t>
  </si>
  <si>
    <t>Module Junction Box Burn.</t>
  </si>
  <si>
    <t>During String current checking found 8 nos. Module JB found.</t>
  </si>
  <si>
    <t>PTW305848</t>
  </si>
  <si>
    <t>LD Msg 162 for 250 to 200MW and LD Msg 164 for 250MW</t>
  </si>
  <si>
    <t>PTW306053</t>
  </si>
  <si>
    <t>PTW305917</t>
  </si>
  <si>
    <t>Auto Reboot and Run.</t>
  </si>
  <si>
    <t>PTW306126</t>
  </si>
  <si>
    <t>Module Restored and Run</t>
  </si>
  <si>
    <t>]</t>
  </si>
  <si>
    <t>After Genration Fan Replace and issue resolve.</t>
  </si>
  <si>
    <t>PTW306687</t>
  </si>
  <si>
    <t>Inverter trip in Abnormar Deration of fan(DSP-Com-flt)</t>
  </si>
  <si>
    <t>Manually stop for Inv Unit_2 rectification work</t>
  </si>
  <si>
    <t>OEM engineer inspection and found LVRT, Fuses,PE card and control cables are faulty. So, due to unavailability of control cable Unit is under B/D.</t>
  </si>
  <si>
    <t>PTW307089</t>
  </si>
  <si>
    <t xml:space="preserve">During Visual inspection LV side found CTs damage and after that check all related parameters &amp; connection IDT charge </t>
  </si>
  <si>
    <t>Inverter trip in GFDI Pro falut</t>
  </si>
  <si>
    <t>OEM engineer inspection and found LVRT, Fuses,PE card and control cables are faulty and replaced.</t>
  </si>
  <si>
    <t>checked related connection and parameter then the inverter and inverter Kept in observation.</t>
  </si>
  <si>
    <t>PTW307294</t>
  </si>
  <si>
    <t>PTW307276</t>
  </si>
  <si>
    <t>PTW307131</t>
  </si>
  <si>
    <t>LD Msg 400 for 200 to 160MW and LD Msg 160 for 250MW</t>
  </si>
  <si>
    <t>Load Curtailment @ 20% of Current Load.</t>
  </si>
  <si>
    <t>Inverter trip in INS fault</t>
  </si>
  <si>
    <t>IDT trip manually due to LV side CT connection checking work</t>
  </si>
  <si>
    <t>As per instruction OEM Team remove the AC coil from the breaker, clean the breaker with the blower and use CRC Spray to clean coil contact points, manually charged and discharged the breaker for 2-3 times and then again installed the coil in the breaker, take the test of the inverter and now ok.</t>
  </si>
  <si>
    <t>checked all SCB Voc, found ok &amp; inverter phase to phase and phase to ground voltage, found ok finally taken shutdown IDT-7 and found CT  connection wire touch to LV-2 busbar, close the point and charge IDT sucessfully  and then the inverter Run.</t>
  </si>
  <si>
    <t>Reboot the inverter and Run</t>
  </si>
  <si>
    <t>IDT trip manully LV side CT connection checking work due to inverter B/D</t>
  </si>
  <si>
    <t>PTW307503</t>
  </si>
  <si>
    <t>PTW307297</t>
  </si>
  <si>
    <t>PTW307462</t>
  </si>
  <si>
    <t>During String Current cheaking Activity one nos. string found off condition</t>
  </si>
  <si>
    <t>During String Current cheaking Activity found one string off Due to lightining or surge 26 Nos Module's JB failure_Talesun 540Wp</t>
  </si>
  <si>
    <t>PTW307709</t>
  </si>
  <si>
    <t>During String Current cheaking Activity found Half string off Due to lightining or surge 10 Nos Module's JB failure_Talesun 540Wp</t>
  </si>
  <si>
    <t>During String Current cheaking Activity found Half string off Due to lightining or surge 14 Nos Module's JB failure_Talesun 540Wp</t>
  </si>
  <si>
    <t>During String Current cheaking Activity found Half string off Due to lightining or surge 08 Nos Module's JB failure_Talesun 540Wp</t>
  </si>
  <si>
    <t>During String Current cheaking Activity found Half string off Due to lightining or surge 15 Nos Module's JB failure_Talesun 540Wp</t>
  </si>
  <si>
    <t>PTW308100</t>
  </si>
  <si>
    <t>IDT trip manually due to LV side thermography work</t>
  </si>
  <si>
    <t>PTW308192</t>
  </si>
  <si>
    <t xml:space="preserve">  Cloudy &amp; Rainy Weather</t>
  </si>
  <si>
    <t>PTW308575</t>
  </si>
  <si>
    <t>PTW308449</t>
  </si>
  <si>
    <t>PTW308683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</si>
</sst>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0_);_(* \(#,##0.00\);_(* &quot;-&quot;??_);_(@_)"/>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409]dd/mmm/yy;@"/>
    <numFmt numFmtId="175" formatCode="[$-F800]dddd\,\ mmmm\ dd\,\ yyyy"/>
    <numFmt numFmtId="176" formatCode="0.000"/>
    <numFmt numFmtId="177" formatCode="d\-mmm\-yy"/>
    <numFmt numFmtId="178" formatCode="h:mm"/>
  </numFmts>
  <fonts count="50">
    <font>
      <sz val="11"/>
      <color theme="1"/>
      <name val="Calibri"/>
      <family val="2"/>
      <scheme val="minor"/>
    </font>
    <font>
      <sz val="11"/>
      <color theme="1"/>
      <name val="Helvetica Neue"/>
      <family val="2"/>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1"/>
      <color rgb="FFFFFFFF"/>
      <name val="Calibri"/>
      <family val="2"/>
    </font>
    <font>
      <b/>
      <sz val="16"/>
      <color theme="0"/>
      <name val="Calibri"/>
      <family val="2"/>
      <scheme val="minor"/>
    </font>
    <font>
      <b/>
      <sz val="12"/>
      <color theme="0"/>
      <name val="Hadassah Friedlaender"/>
      <family val="1"/>
      <charset val="177"/>
    </font>
    <font>
      <sz val="10"/>
      <name val="Arial"/>
      <family val="2"/>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2"/>
      <name val="Hadassah Friedlaender"/>
      <family val="1"/>
      <charset val="177"/>
    </font>
    <font>
      <sz val="12"/>
      <color theme="1"/>
      <name val="Hadassah Friedlaender"/>
      <family val="1"/>
      <charset val="177"/>
    </font>
    <font>
      <b/>
      <sz val="12"/>
      <name val="Hadassah Friedlaender"/>
      <family val="1"/>
      <charset val="177"/>
    </font>
    <font>
      <sz val="11"/>
      <color theme="1"/>
      <name val="Calibri"/>
      <family val="2"/>
    </font>
    <font>
      <sz val="11"/>
      <color theme="0"/>
      <name val="Calibri"/>
      <family val="2"/>
      <charset val="134"/>
      <scheme val="minor"/>
    </font>
    <font>
      <sz val="11"/>
      <name val="Calibri"/>
      <family val="2"/>
      <scheme val="minor"/>
    </font>
    <font>
      <sz val="9"/>
      <color indexed="81"/>
      <name val="Tahoma"/>
      <family val="2"/>
    </font>
    <font>
      <b/>
      <sz val="9"/>
      <color indexed="81"/>
      <name val="Tahoma"/>
      <family val="2"/>
    </font>
    <font>
      <sz val="11"/>
      <color theme="1"/>
      <name val="Hadassah Friedlaender"/>
      <family val="1"/>
      <charset val="177"/>
    </font>
    <font>
      <b/>
      <sz val="12"/>
      <color theme="1"/>
      <name val="Hadassah Friedlaender"/>
      <family val="1"/>
      <charset val="177"/>
    </font>
  </fonts>
  <fills count="92">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5" tint="0.79998168889431442"/>
        <bgColor indexed="64"/>
      </patternFill>
    </fill>
    <fill>
      <patternFill patternType="solid">
        <fgColor theme="8"/>
        <bgColor theme="9" tint="0.79998168889431442"/>
      </patternFill>
    </fill>
  </fills>
  <borders count="53">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thin">
        <color indexed="64"/>
      </left>
      <right style="thin">
        <color indexed="64"/>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auto="1"/>
      </top>
      <bottom/>
      <diagonal/>
    </border>
    <border>
      <left/>
      <right style="thin">
        <color indexed="64"/>
      </right>
      <top style="thin">
        <color auto="1"/>
      </top>
      <bottom/>
      <diagonal/>
    </border>
    <border>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style="double">
        <color rgb="FF3F3F3F"/>
      </right>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style="dotted">
        <color auto="1"/>
      </left>
      <right/>
      <top/>
      <bottom style="dotted">
        <color auto="1"/>
      </bottom>
      <diagonal/>
    </border>
    <border>
      <left/>
      <right style="dotted">
        <color auto="1"/>
      </right>
      <top/>
      <bottom style="dotted">
        <color auto="1"/>
      </bottom>
      <diagonal/>
    </border>
  </borders>
  <cellStyleXfs count="38299">
    <xf numFmtId="0" fontId="0" fillId="0" borderId="0"/>
    <xf numFmtId="164" fontId="2" fillId="0" borderId="0" applyFont="0" applyFill="0" applyBorder="0" applyAlignment="0" applyProtection="0"/>
    <xf numFmtId="9" fontId="2" fillId="0" borderId="0" applyFont="0" applyFill="0" applyBorder="0" applyAlignment="0" applyProtection="0"/>
    <xf numFmtId="0" fontId="12" fillId="0" borderId="0"/>
    <xf numFmtId="9" fontId="13" fillId="0" borderId="0" applyFont="0" applyFill="0" applyBorder="0" applyAlignment="0" applyProtection="0"/>
    <xf numFmtId="0" fontId="14" fillId="0" borderId="0" applyNumberFormat="0" applyFill="0" applyBorder="0" applyAlignment="0" applyProtection="0"/>
    <xf numFmtId="0" fontId="15" fillId="0" borderId="26" applyNumberFormat="0" applyFill="0" applyAlignment="0" applyProtection="0"/>
    <xf numFmtId="0" fontId="16" fillId="0" borderId="27" applyNumberFormat="0" applyFill="0" applyAlignment="0" applyProtection="0"/>
    <xf numFmtId="0" fontId="17" fillId="0" borderId="28" applyNumberFormat="0" applyFill="0" applyAlignment="0" applyProtection="0"/>
    <xf numFmtId="0" fontId="17" fillId="0" borderId="0" applyNumberFormat="0" applyFill="0" applyBorder="0" applyAlignment="0" applyProtection="0"/>
    <xf numFmtId="0" fontId="18" fillId="17" borderId="0" applyNumberFormat="0" applyBorder="0" applyAlignment="0" applyProtection="0"/>
    <xf numFmtId="0" fontId="19" fillId="18" borderId="0" applyNumberFormat="0" applyBorder="0" applyAlignment="0" applyProtection="0"/>
    <xf numFmtId="0" fontId="20" fillId="19" borderId="0" applyNumberFormat="0" applyBorder="0" applyAlignment="0" applyProtection="0"/>
    <xf numFmtId="0" fontId="21" fillId="20" borderId="29" applyNumberFormat="0" applyAlignment="0" applyProtection="0"/>
    <xf numFmtId="0" fontId="22" fillId="21" borderId="30" applyNumberFormat="0" applyAlignment="0" applyProtection="0"/>
    <xf numFmtId="0" fontId="23" fillId="21" borderId="29" applyNumberFormat="0" applyAlignment="0" applyProtection="0"/>
    <xf numFmtId="0" fontId="24" fillId="0" borderId="31" applyNumberFormat="0" applyFill="0" applyAlignment="0" applyProtection="0"/>
    <xf numFmtId="0" fontId="3" fillId="22" borderId="17" applyNumberFormat="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6" fillId="0" borderId="33" applyNumberFormat="0" applyFill="0" applyAlignment="0" applyProtection="0"/>
    <xf numFmtId="0" fontId="7"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7"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7"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7"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7"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7"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7" fillId="0" borderId="0"/>
    <xf numFmtId="9" fontId="12" fillId="0" borderId="0" applyFont="0" applyFill="0" applyBorder="0" applyAlignment="0" applyProtection="0"/>
    <xf numFmtId="0" fontId="12" fillId="0" borderId="0"/>
    <xf numFmtId="0" fontId="12" fillId="0" borderId="0"/>
    <xf numFmtId="175" fontId="2" fillId="0" borderId="0"/>
    <xf numFmtId="0" fontId="1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3" fillId="0" borderId="0"/>
    <xf numFmtId="0" fontId="13" fillId="0" borderId="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5" fillId="0" borderId="0" applyNumberFormat="0" applyFill="0" applyBorder="0" applyAlignment="0" applyProtection="0"/>
    <xf numFmtId="0" fontId="2" fillId="23" borderId="32" applyNumberFormat="0" applyFont="0" applyAlignment="0" applyProtection="0"/>
    <xf numFmtId="0" fontId="6" fillId="0" borderId="33" applyNumberFormat="0" applyFill="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8" fillId="0" borderId="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9" fontId="2" fillId="0" borderId="0" applyFont="0" applyFill="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6"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13" fillId="0" borderId="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9" fillId="0" borderId="0"/>
    <xf numFmtId="0" fontId="2" fillId="55" borderId="0" applyNumberFormat="0" applyBorder="0" applyAlignment="0" applyProtection="0"/>
    <xf numFmtId="0" fontId="2" fillId="0" borderId="0"/>
    <xf numFmtId="0" fontId="3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3" borderId="32" applyNumberFormat="0" applyFont="0" applyAlignment="0" applyProtection="0"/>
    <xf numFmtId="0" fontId="1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17" fillId="0" borderId="35" applyNumberFormat="0" applyFill="0" applyAlignment="0" applyProtection="0"/>
    <xf numFmtId="0" fontId="16" fillId="0" borderId="27" applyNumberFormat="0" applyFill="0" applyAlignment="0" applyProtection="0"/>
    <xf numFmtId="0" fontId="2" fillId="66" borderId="0" applyNumberFormat="0" applyBorder="0" applyAlignment="0" applyProtection="0"/>
    <xf numFmtId="0" fontId="15" fillId="0" borderId="26" applyNumberFormat="0" applyFill="0" applyAlignment="0" applyProtection="0"/>
    <xf numFmtId="0" fontId="19" fillId="75" borderId="0" applyNumberFormat="0" applyBorder="0" applyAlignment="0" applyProtection="0"/>
    <xf numFmtId="0" fontId="2" fillId="0" borderId="0"/>
    <xf numFmtId="0" fontId="2" fillId="67" borderId="0" applyNumberFormat="0" applyBorder="0" applyAlignment="0" applyProtection="0"/>
    <xf numFmtId="0" fontId="19" fillId="75" borderId="0" applyNumberFormat="0" applyBorder="0" applyAlignment="0" applyProtection="0"/>
    <xf numFmtId="0" fontId="7" fillId="7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7" fillId="8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13"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7" fillId="8"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3" fillId="85" borderId="29" applyNumberForma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1" fillId="80" borderId="29" applyNumberFormat="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1" fillId="56"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30" fillId="49"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13"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2" fillId="0" borderId="0"/>
    <xf numFmtId="0" fontId="2" fillId="11" borderId="0" applyNumberFormat="0" applyBorder="0" applyAlignment="0" applyProtection="0"/>
    <xf numFmtId="175"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1" fillId="80" borderId="29" applyNumberForma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7" fillId="7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8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7"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59"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88"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7" fillId="7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79"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7" fillId="8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9" fillId="0" borderId="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9"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78"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17" fillId="0" borderId="34" applyNumberFormat="0" applyFill="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30" fillId="49"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7" fillId="7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13" fillId="0" borderId="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6" fillId="0" borderId="0" applyNumberFormat="0" applyFill="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7" fillId="58"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1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1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3" fillId="85" borderId="29" applyNumberFormat="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1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164" fontId="2" fillId="0" borderId="0" applyFont="0" applyFill="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8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4" fillId="0" borderId="31" applyNumberFormat="0" applyFill="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70"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8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9"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8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17" fillId="0" borderId="0" applyNumberFormat="0" applyFill="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13"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8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8"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7" fillId="58"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5"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7" fillId="0" borderId="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8"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1" fillId="0" borderId="0"/>
    <xf numFmtId="0" fontId="2" fillId="0" borderId="0">
      <alignment vertical="center"/>
    </xf>
    <xf numFmtId="0" fontId="2" fillId="0" borderId="0">
      <alignment vertical="center"/>
    </xf>
    <xf numFmtId="0" fontId="2" fillId="0" borderId="0">
      <alignment vertical="center"/>
    </xf>
  </cellStyleXfs>
  <cellXfs count="291">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5"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6" fontId="0" fillId="0" borderId="1" xfId="0" applyNumberFormat="1" applyBorder="1"/>
    <xf numFmtId="2" fontId="0" fillId="0" borderId="1" xfId="0" applyNumberFormat="1" applyBorder="1"/>
    <xf numFmtId="169" fontId="0" fillId="0" borderId="1" xfId="1" applyNumberFormat="1" applyFont="1" applyBorder="1" applyAlignment="1">
      <alignment horizontal="center"/>
    </xf>
    <xf numFmtId="169" fontId="0" fillId="0" borderId="1" xfId="1" applyNumberFormat="1" applyFont="1" applyBorder="1"/>
    <xf numFmtId="0" fontId="0" fillId="0" borderId="3" xfId="0" applyBorder="1" applyAlignment="1">
      <alignment horizontal="center"/>
    </xf>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6" fontId="0" fillId="0" borderId="2" xfId="0" applyNumberFormat="1" applyBorder="1" applyAlignment="1">
      <alignment horizontal="center"/>
    </xf>
    <xf numFmtId="170" fontId="0" fillId="0" borderId="2" xfId="2" applyNumberFormat="1" applyFont="1" applyBorder="1" applyAlignment="1">
      <alignment horizontal="center"/>
    </xf>
    <xf numFmtId="0" fontId="0" fillId="0" borderId="2" xfId="0" applyBorder="1" applyAlignment="1">
      <alignment horizontal="center"/>
    </xf>
    <xf numFmtId="0" fontId="0" fillId="0" borderId="11" xfId="0" applyBorder="1"/>
    <xf numFmtId="0" fontId="0" fillId="0" borderId="0" xfId="0" applyAlignment="1">
      <alignment horizontal="left"/>
    </xf>
    <xf numFmtId="1" fontId="0" fillId="0" borderId="2" xfId="0" applyNumberFormat="1" applyBorder="1" applyAlignment="1">
      <alignment horizontal="center"/>
    </xf>
    <xf numFmtId="2" fontId="0" fillId="0" borderId="2" xfId="0" applyNumberFormat="1" applyBorder="1" applyAlignment="1">
      <alignment horizontal="center"/>
    </xf>
    <xf numFmtId="10" fontId="0" fillId="0" borderId="0" xfId="0" applyNumberFormat="1"/>
    <xf numFmtId="2" fontId="0" fillId="0" borderId="2" xfId="0" applyNumberFormat="1" applyBorder="1"/>
    <xf numFmtId="17" fontId="0" fillId="0" borderId="2" xfId="0" applyNumberFormat="1" applyBorder="1" applyAlignment="1">
      <alignment horizontal="center"/>
    </xf>
    <xf numFmtId="10" fontId="0" fillId="0" borderId="0" xfId="2" applyNumberFormat="1" applyFont="1"/>
    <xf numFmtId="0" fontId="9" fillId="6" borderId="17" xfId="0" applyFont="1" applyFill="1" applyBorder="1" applyAlignment="1">
      <alignment vertical="center"/>
    </xf>
    <xf numFmtId="0" fontId="9" fillId="6" borderId="20" xfId="0" applyFont="1" applyFill="1" applyBorder="1" applyAlignment="1">
      <alignment vertical="center"/>
    </xf>
    <xf numFmtId="0" fontId="9" fillId="6" borderId="21" xfId="0" applyFont="1" applyFill="1" applyBorder="1" applyAlignment="1">
      <alignment vertical="center"/>
    </xf>
    <xf numFmtId="0" fontId="9" fillId="6" borderId="22" xfId="0" applyFont="1" applyFill="1" applyBorder="1" applyAlignment="1">
      <alignment vertical="center"/>
    </xf>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4" borderId="2" xfId="0" applyFont="1" applyFill="1" applyBorder="1" applyAlignment="1">
      <alignment vertical="center"/>
    </xf>
    <xf numFmtId="0" fontId="3" fillId="14" borderId="2" xfId="0" applyFont="1" applyFill="1" applyBorder="1" applyAlignment="1">
      <alignment horizontal="center" vertical="center" wrapText="1"/>
    </xf>
    <xf numFmtId="17" fontId="7" fillId="14" borderId="2" xfId="0" applyNumberFormat="1" applyFont="1" applyFill="1" applyBorder="1" applyAlignment="1">
      <alignment horizontal="center"/>
    </xf>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74" fontId="0" fillId="0" borderId="2" xfId="0" applyNumberFormat="1" applyBorder="1"/>
    <xf numFmtId="173" fontId="0" fillId="0" borderId="2" xfId="0" applyNumberFormat="1" applyBorder="1"/>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 fontId="0" fillId="12" borderId="2" xfId="2" applyNumberFormat="1" applyFont="1" applyFill="1" applyBorder="1" applyAlignment="1">
      <alignment horizontal="center" vertical="center"/>
    </xf>
    <xf numFmtId="165"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9" fontId="0" fillId="0" borderId="1" xfId="2" applyFon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9" fontId="0" fillId="0" borderId="1" xfId="0" applyNumberFormat="1" applyBorder="1" applyAlignment="1">
      <alignment horizontal="center"/>
    </xf>
    <xf numFmtId="2" fontId="0" fillId="5" borderId="1" xfId="0" applyNumberFormat="1" applyFill="1" applyBorder="1" applyAlignment="1">
      <alignment horizontal="center"/>
    </xf>
    <xf numFmtId="166" fontId="0" fillId="0" borderId="3" xfId="0" applyNumberFormat="1" applyBorder="1" applyAlignment="1">
      <alignment horizontal="center"/>
    </xf>
    <xf numFmtId="9" fontId="0" fillId="0" borderId="3" xfId="0" applyNumberFormat="1" applyBorder="1" applyAlignment="1">
      <alignment horizontal="center"/>
    </xf>
    <xf numFmtId="1" fontId="0" fillId="0" borderId="3" xfId="0" applyNumberFormat="1" applyBorder="1" applyAlignment="1">
      <alignment horizontal="center"/>
    </xf>
    <xf numFmtId="0" fontId="0" fillId="0" borderId="1" xfId="0" applyBorder="1"/>
    <xf numFmtId="15" fontId="0" fillId="16" borderId="1" xfId="0" applyNumberFormat="1" applyFill="1" applyBorder="1"/>
    <xf numFmtId="0" fontId="0" fillId="16" borderId="1" xfId="0" applyFill="1" applyBorder="1" applyAlignment="1">
      <alignment horizontal="center"/>
    </xf>
    <xf numFmtId="20" fontId="0" fillId="0" borderId="1" xfId="0" applyNumberFormat="1" applyBorder="1" applyAlignment="1">
      <alignment horizontal="center"/>
    </xf>
    <xf numFmtId="170" fontId="0" fillId="0" borderId="1" xfId="2" applyNumberFormat="1" applyFont="1" applyBorder="1" applyAlignment="1">
      <alignment horizontal="center"/>
    </xf>
    <xf numFmtId="2" fontId="0" fillId="0" borderId="1" xfId="0" applyNumberFormat="1" applyBorder="1" applyAlignment="1">
      <alignment horizontal="center" vertical="center"/>
    </xf>
    <xf numFmtId="173" fontId="0" fillId="16" borderId="1" xfId="0" applyNumberFormat="1" applyFill="1" applyBorder="1" applyAlignment="1">
      <alignment horizontal="center"/>
    </xf>
    <xf numFmtId="0" fontId="0" fillId="16" borderId="3" xfId="0" applyFill="1" applyBorder="1" applyAlignment="1">
      <alignment horizontal="center"/>
    </xf>
    <xf numFmtId="0" fontId="0" fillId="0" borderId="3" xfId="0" applyBorder="1"/>
    <xf numFmtId="166" fontId="0" fillId="16" borderId="1" xfId="0" applyNumberFormat="1" applyFill="1" applyBorder="1" applyAlignment="1">
      <alignment horizontal="center"/>
    </xf>
    <xf numFmtId="2" fontId="0" fillId="0" borderId="1" xfId="0" applyNumberFormat="1" applyBorder="1" applyAlignment="1">
      <alignment horizontal="center"/>
    </xf>
    <xf numFmtId="0" fontId="0" fillId="16" borderId="8" xfId="0" applyFill="1" applyBorder="1" applyAlignment="1">
      <alignment horizontal="center"/>
    </xf>
    <xf numFmtId="0" fontId="0" fillId="0" borderId="9" xfId="0" applyBorder="1" applyAlignment="1">
      <alignment horizontal="center"/>
    </xf>
    <xf numFmtId="17" fontId="0" fillId="16" borderId="3" xfId="0" applyNumberFormat="1" applyFill="1" applyBorder="1" applyAlignment="1">
      <alignment horizontal="center"/>
    </xf>
    <xf numFmtId="20" fontId="0" fillId="16" borderId="3" xfId="0" applyNumberFormat="1" applyFill="1" applyBorder="1" applyAlignment="1">
      <alignment horizontal="center"/>
    </xf>
    <xf numFmtId="166" fontId="0" fillId="16" borderId="3" xfId="0" applyNumberFormat="1" applyFill="1" applyBorder="1" applyAlignment="1">
      <alignment horizontal="center"/>
    </xf>
    <xf numFmtId="173" fontId="0" fillId="16" borderId="3" xfId="0" applyNumberFormat="1" applyFill="1" applyBorder="1" applyAlignment="1">
      <alignment horizontal="center"/>
    </xf>
    <xf numFmtId="2" fontId="0" fillId="0" borderId="3" xfId="0" applyNumberFormat="1" applyBorder="1" applyAlignment="1">
      <alignment horizontal="center"/>
    </xf>
    <xf numFmtId="0" fontId="0" fillId="16" borderId="10" xfId="0" applyFill="1" applyBorder="1" applyAlignment="1">
      <alignment horizontal="center"/>
    </xf>
    <xf numFmtId="0" fontId="0" fillId="0" borderId="15" xfId="0" applyBorder="1"/>
    <xf numFmtId="0" fontId="0" fillId="0" borderId="16" xfId="0" applyBorder="1"/>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2" fontId="0" fillId="0" borderId="10" xfId="0" applyNumberFormat="1" applyBorder="1" applyAlignment="1">
      <alignment horizontal="center"/>
    </xf>
    <xf numFmtId="2" fontId="0" fillId="3" borderId="1" xfId="0" applyNumberFormat="1" applyFill="1" applyBorder="1"/>
    <xf numFmtId="167" fontId="0" fillId="3" borderId="1" xfId="0" applyNumberFormat="1" applyFill="1" applyBorder="1" applyAlignment="1">
      <alignment horizontal="center" vertical="center"/>
    </xf>
    <xf numFmtId="0" fontId="0" fillId="16" borderId="1" xfId="0" applyFill="1" applyBorder="1" applyAlignment="1">
      <alignment horizontal="left"/>
    </xf>
    <xf numFmtId="2" fontId="0" fillId="0" borderId="1" xfId="0" applyNumberFormat="1" applyBorder="1" applyAlignment="1">
      <alignment horizontal="right" vertical="center"/>
    </xf>
    <xf numFmtId="20" fontId="0" fillId="0" borderId="2" xfId="0" applyNumberFormat="1" applyBorder="1"/>
    <xf numFmtId="166" fontId="0" fillId="0" borderId="2" xfId="0" applyNumberFormat="1" applyBorder="1"/>
    <xf numFmtId="15" fontId="0" fillId="0" borderId="2" xfId="0" applyNumberFormat="1" applyBorder="1"/>
    <xf numFmtId="2" fontId="0" fillId="16" borderId="1" xfId="0" applyNumberFormat="1" applyFill="1" applyBorder="1" applyAlignment="1">
      <alignment horizontal="center"/>
    </xf>
    <xf numFmtId="1" fontId="0" fillId="0" borderId="8" xfId="0" applyNumberFormat="1" applyBorder="1" applyAlignment="1">
      <alignment horizontal="center"/>
    </xf>
    <xf numFmtId="2" fontId="0" fillId="16" borderId="1" xfId="0" applyNumberFormat="1" applyFill="1" applyBorder="1" applyAlignment="1">
      <alignment horizontal="center" vertical="center"/>
    </xf>
    <xf numFmtId="0" fontId="0" fillId="90" borderId="2" xfId="0" applyFill="1" applyBorder="1"/>
    <xf numFmtId="0" fontId="6" fillId="10" borderId="12" xfId="0" applyFont="1" applyFill="1" applyBorder="1" applyAlignment="1">
      <alignment horizontal="center"/>
    </xf>
    <xf numFmtId="0" fontId="6" fillId="10" borderId="13" xfId="0" applyFont="1" applyFill="1" applyBorder="1" applyAlignment="1">
      <alignment horizontal="center"/>
    </xf>
    <xf numFmtId="0" fontId="6" fillId="10" borderId="14" xfId="0" applyFont="1" applyFill="1" applyBorder="1" applyAlignment="1">
      <alignment horizontal="center"/>
    </xf>
    <xf numFmtId="0" fontId="6" fillId="90" borderId="0" xfId="0" applyFont="1" applyFill="1" applyAlignment="1">
      <alignment horizontal="center"/>
    </xf>
    <xf numFmtId="0" fontId="0" fillId="0" borderId="15" xfId="0" applyBorder="1" applyAlignment="1">
      <alignment horizontal="center"/>
    </xf>
    <xf numFmtId="166" fontId="0" fillId="0" borderId="16" xfId="0" applyNumberFormat="1" applyBorder="1" applyAlignment="1">
      <alignment horizontal="center"/>
    </xf>
    <xf numFmtId="170" fontId="0" fillId="0" borderId="0" xfId="2" applyNumberFormat="1" applyFont="1" applyBorder="1" applyAlignment="1">
      <alignment horizontal="center"/>
    </xf>
    <xf numFmtId="166" fontId="0" fillId="0" borderId="0" xfId="0" applyNumberFormat="1" applyAlignment="1">
      <alignment horizontal="center"/>
    </xf>
    <xf numFmtId="0" fontId="0" fillId="4" borderId="2" xfId="0" applyFill="1" applyBorder="1"/>
    <xf numFmtId="0" fontId="0" fillId="4" borderId="15" xfId="0" applyFill="1" applyBorder="1" applyAlignment="1">
      <alignment horizontal="center"/>
    </xf>
    <xf numFmtId="17" fontId="0" fillId="4" borderId="2" xfId="0" applyNumberFormat="1" applyFill="1" applyBorder="1" applyAlignment="1">
      <alignment horizontal="center"/>
    </xf>
    <xf numFmtId="166" fontId="0" fillId="4" borderId="2" xfId="0" applyNumberFormat="1" applyFill="1" applyBorder="1" applyAlignment="1">
      <alignment horizontal="center"/>
    </xf>
    <xf numFmtId="0" fontId="34" fillId="0" borderId="0" xfId="0" applyFont="1" applyAlignment="1">
      <alignment horizontal="center" vertical="center"/>
    </xf>
    <xf numFmtId="166" fontId="0" fillId="4" borderId="16" xfId="0" applyNumberFormat="1" applyFill="1" applyBorder="1" applyAlignment="1">
      <alignment horizontal="center"/>
    </xf>
    <xf numFmtId="170" fontId="0" fillId="4" borderId="0" xfId="2" applyNumberFormat="1" applyFont="1" applyFill="1" applyBorder="1" applyAlignment="1">
      <alignment horizontal="center"/>
    </xf>
    <xf numFmtId="166" fontId="0" fillId="4" borderId="0" xfId="0" applyNumberFormat="1" applyFill="1" applyAlignment="1">
      <alignment horizontal="center"/>
    </xf>
    <xf numFmtId="0" fontId="0" fillId="4" borderId="0" xfId="0" applyFill="1"/>
    <xf numFmtId="0" fontId="34" fillId="0" borderId="0" xfId="0" applyFont="1" applyAlignment="1">
      <alignment horizontal="right" vertical="center"/>
    </xf>
    <xf numFmtId="0" fontId="0" fillId="0" borderId="19" xfId="0" applyBorder="1" applyAlignment="1">
      <alignment horizontal="center"/>
    </xf>
    <xf numFmtId="17" fontId="0" fillId="0" borderId="24" xfId="0" applyNumberFormat="1" applyBorder="1" applyAlignment="1">
      <alignment horizontal="center"/>
    </xf>
    <xf numFmtId="166" fontId="0" fillId="0" borderId="24" xfId="0" applyNumberFormat="1" applyBorder="1" applyAlignment="1">
      <alignment horizontal="center"/>
    </xf>
    <xf numFmtId="1" fontId="0" fillId="0" borderId="24" xfId="0" applyNumberFormat="1" applyBorder="1" applyAlignment="1">
      <alignment horizontal="center"/>
    </xf>
    <xf numFmtId="166" fontId="0" fillId="0" borderId="18" xfId="0" applyNumberFormat="1" applyBorder="1" applyAlignment="1">
      <alignment horizontal="center"/>
    </xf>
    <xf numFmtId="176" fontId="0" fillId="0" borderId="0" xfId="0" applyNumberFormat="1"/>
    <xf numFmtId="170" fontId="0" fillId="0" borderId="1" xfId="0" applyNumberFormat="1" applyBorder="1" applyAlignment="1">
      <alignment horizontal="center"/>
    </xf>
    <xf numFmtId="170" fontId="0" fillId="0" borderId="3" xfId="0" applyNumberFormat="1" applyBorder="1" applyAlignment="1">
      <alignment horizont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14" fontId="0" fillId="0" borderId="0" xfId="0" applyNumberFormat="1"/>
    <xf numFmtId="14" fontId="0" fillId="0" borderId="0" xfId="0" applyNumberFormat="1" applyAlignment="1">
      <alignment vertical="center"/>
    </xf>
    <xf numFmtId="0" fontId="39" fillId="7" borderId="0" xfId="0" applyFont="1" applyFill="1"/>
    <xf numFmtId="0" fontId="11" fillId="15" borderId="2" xfId="0" applyFont="1" applyFill="1" applyBorder="1"/>
    <xf numFmtId="0" fontId="41" fillId="7" borderId="2" xfId="0" applyFont="1" applyFill="1" applyBorder="1"/>
    <xf numFmtId="165" fontId="42" fillId="7" borderId="2" xfId="3" applyNumberFormat="1" applyFont="1" applyFill="1" applyBorder="1" applyAlignment="1">
      <alignment horizontal="left" vertical="center"/>
    </xf>
    <xf numFmtId="0" fontId="11" fillId="15" borderId="2" xfId="0" applyFont="1" applyFill="1" applyBorder="1" applyAlignment="1">
      <alignment horizontal="center" vertical="center" wrapText="1"/>
    </xf>
    <xf numFmtId="1" fontId="40" fillId="7" borderId="2" xfId="3" applyNumberFormat="1" applyFont="1" applyFill="1" applyBorder="1" applyAlignment="1">
      <alignment horizontal="center" vertical="center"/>
    </xf>
    <xf numFmtId="3" fontId="41" fillId="7" borderId="2" xfId="0" applyNumberFormat="1" applyFont="1" applyFill="1" applyBorder="1" applyAlignment="1">
      <alignment horizontal="center"/>
    </xf>
    <xf numFmtId="10" fontId="41" fillId="7" borderId="2" xfId="4" applyNumberFormat="1" applyFont="1" applyFill="1" applyBorder="1" applyAlignment="1">
      <alignment horizontal="center"/>
    </xf>
    <xf numFmtId="1" fontId="41" fillId="7" borderId="2" xfId="0" applyNumberFormat="1" applyFont="1" applyFill="1" applyBorder="1" applyAlignment="1">
      <alignment horizontal="center"/>
    </xf>
    <xf numFmtId="9" fontId="39" fillId="7" borderId="0" xfId="2" applyFont="1" applyFill="1"/>
    <xf numFmtId="170" fontId="40" fillId="7" borderId="2" xfId="2" applyNumberFormat="1" applyFont="1" applyFill="1" applyBorder="1" applyAlignment="1">
      <alignment horizontal="center" vertical="center"/>
    </xf>
    <xf numFmtId="170" fontId="41" fillId="7" borderId="2" xfId="2" applyNumberFormat="1" applyFont="1" applyFill="1" applyBorder="1" applyAlignment="1">
      <alignment horizontal="center"/>
    </xf>
    <xf numFmtId="170" fontId="40" fillId="7" borderId="2" xfId="4" applyNumberFormat="1" applyFont="1" applyFill="1" applyBorder="1" applyAlignment="1">
      <alignment horizontal="center" vertical="center"/>
    </xf>
    <xf numFmtId="10" fontId="41" fillId="0" borderId="2" xfId="4" applyNumberFormat="1" applyFont="1" applyFill="1" applyBorder="1" applyAlignment="1">
      <alignment horizontal="center"/>
    </xf>
    <xf numFmtId="166" fontId="0" fillId="0" borderId="0" xfId="0" applyNumberFormat="1"/>
    <xf numFmtId="2" fontId="0" fillId="0" borderId="2" xfId="0" applyNumberFormat="1" applyBorder="1" applyAlignment="1">
      <alignment wrapText="1"/>
    </xf>
    <xf numFmtId="0" fontId="2" fillId="0" borderId="2" xfId="0" applyFont="1" applyBorder="1" applyAlignment="1">
      <alignment wrapText="1"/>
    </xf>
    <xf numFmtId="0" fontId="41" fillId="7" borderId="2" xfId="0" applyFont="1" applyFill="1" applyBorder="1" applyAlignment="1">
      <alignment vertical="center"/>
    </xf>
    <xf numFmtId="170" fontId="41" fillId="7" borderId="2" xfId="2" applyNumberFormat="1" applyFont="1" applyFill="1" applyBorder="1" applyAlignment="1">
      <alignment horizontal="center" vertical="center"/>
    </xf>
    <xf numFmtId="10" fontId="41" fillId="7" borderId="2" xfId="4" applyNumberFormat="1" applyFont="1" applyFill="1" applyBorder="1" applyAlignment="1">
      <alignment horizontal="center" vertical="center"/>
    </xf>
    <xf numFmtId="0" fontId="0" fillId="0" borderId="1" xfId="0" applyBorder="1" applyAlignment="1">
      <alignment horizontal="center" vertical="center"/>
    </xf>
    <xf numFmtId="0" fontId="0" fillId="16" borderId="7" xfId="0" applyFill="1" applyBorder="1" applyAlignment="1">
      <alignment horizontal="center" vertical="center"/>
    </xf>
    <xf numFmtId="0" fontId="0" fillId="16" borderId="1" xfId="0" applyFill="1" applyBorder="1" applyAlignment="1">
      <alignment horizontal="center" vertical="center"/>
    </xf>
    <xf numFmtId="17" fontId="0" fillId="16" borderId="1" xfId="0" applyNumberFormat="1" applyFill="1" applyBorder="1" applyAlignment="1">
      <alignment horizontal="center" vertical="center"/>
    </xf>
    <xf numFmtId="20" fontId="0" fillId="0" borderId="1" xfId="0" applyNumberFormat="1" applyBorder="1" applyAlignment="1">
      <alignment horizontal="center" vertical="center"/>
    </xf>
    <xf numFmtId="166" fontId="0" fillId="0" borderId="1" xfId="0" applyNumberFormat="1" applyBorder="1" applyAlignment="1">
      <alignment horizontal="center" vertical="center"/>
    </xf>
    <xf numFmtId="170" fontId="0" fillId="0" borderId="1" xfId="0" applyNumberFormat="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wrapText="1"/>
    </xf>
    <xf numFmtId="15" fontId="0" fillId="16" borderId="1" xfId="0" applyNumberFormat="1" applyFill="1" applyBorder="1" applyAlignment="1">
      <alignment horizontal="center" vertical="center"/>
    </xf>
    <xf numFmtId="0" fontId="0" fillId="0" borderId="0" xfId="0" applyAlignment="1">
      <alignment horizontal="center" vertical="center"/>
    </xf>
    <xf numFmtId="9" fontId="0" fillId="0" borderId="0" xfId="2" applyFont="1"/>
    <xf numFmtId="0" fontId="3" fillId="0" borderId="47" xfId="0" applyFont="1" applyBorder="1" applyAlignment="1">
      <alignment horizontal="center" vertical="center" wrapText="1"/>
    </xf>
    <xf numFmtId="2" fontId="0" fillId="0" borderId="0" xfId="0" applyNumberFormat="1" applyAlignment="1">
      <alignment horizontal="center" vertical="center"/>
    </xf>
    <xf numFmtId="1" fontId="0" fillId="0" borderId="48" xfId="1" applyNumberFormat="1" applyFont="1" applyFill="1" applyBorder="1" applyAlignment="1">
      <alignment horizontal="center" vertical="center"/>
    </xf>
    <xf numFmtId="1" fontId="0" fillId="0" borderId="49" xfId="1" applyNumberFormat="1" applyFont="1" applyFill="1" applyBorder="1" applyAlignment="1">
      <alignment horizontal="center" vertical="center"/>
    </xf>
    <xf numFmtId="17" fontId="0" fillId="0" borderId="48" xfId="1" applyNumberFormat="1" applyFont="1" applyFill="1" applyBorder="1" applyAlignment="1">
      <alignment horizontal="center" vertical="center"/>
    </xf>
    <xf numFmtId="0" fontId="0" fillId="0" borderId="48" xfId="1" applyNumberFormat="1" applyFont="1" applyFill="1" applyBorder="1" applyAlignment="1">
      <alignment horizontal="center" vertical="center"/>
    </xf>
    <xf numFmtId="0" fontId="0" fillId="0" borderId="48" xfId="0" applyBorder="1" applyAlignment="1">
      <alignment horizontal="center" vertical="center"/>
    </xf>
    <xf numFmtId="2" fontId="0" fillId="0" borderId="49" xfId="0" applyNumberFormat="1" applyBorder="1" applyAlignment="1">
      <alignment horizontal="center" vertical="center"/>
    </xf>
    <xf numFmtId="166" fontId="0" fillId="0" borderId="48" xfId="0" applyNumberFormat="1" applyBorder="1" applyAlignment="1">
      <alignment horizontal="center" vertical="center"/>
    </xf>
    <xf numFmtId="1" fontId="0" fillId="0" borderId="48" xfId="0" applyNumberFormat="1" applyBorder="1" applyAlignment="1">
      <alignment horizontal="center" vertical="center"/>
    </xf>
    <xf numFmtId="10" fontId="0" fillId="0" borderId="48" xfId="2" applyNumberFormat="1" applyFont="1" applyFill="1" applyBorder="1" applyAlignment="1">
      <alignment horizontal="center" vertical="center"/>
    </xf>
    <xf numFmtId="2" fontId="0" fillId="0" borderId="48" xfId="0" applyNumberFormat="1" applyBorder="1" applyAlignment="1">
      <alignment horizontal="center" vertical="center"/>
    </xf>
    <xf numFmtId="0" fontId="0" fillId="0" borderId="49" xfId="0" applyBorder="1" applyAlignment="1">
      <alignment horizontal="center" vertical="center"/>
    </xf>
    <xf numFmtId="166"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166" fontId="3" fillId="0" borderId="48" xfId="0" applyNumberFormat="1" applyFont="1" applyBorder="1" applyAlignment="1">
      <alignment horizontal="center" vertical="center"/>
    </xf>
    <xf numFmtId="1" fontId="44" fillId="91" borderId="50" xfId="0" applyNumberFormat="1" applyFont="1" applyFill="1" applyBorder="1" applyAlignment="1">
      <alignment horizontal="center" vertical="center"/>
    </xf>
    <xf numFmtId="1" fontId="0" fillId="3" borderId="0" xfId="0" applyNumberFormat="1" applyFill="1" applyAlignment="1">
      <alignment horizontal="center" vertical="center"/>
    </xf>
    <xf numFmtId="0" fontId="41" fillId="7" borderId="25" xfId="0" applyFont="1" applyFill="1" applyBorder="1"/>
    <xf numFmtId="0" fontId="41" fillId="7" borderId="15" xfId="0" applyFont="1" applyFill="1" applyBorder="1"/>
    <xf numFmtId="0" fontId="41" fillId="7" borderId="16" xfId="0" applyFont="1" applyFill="1" applyBorder="1" applyAlignment="1">
      <alignment horizontal="left"/>
    </xf>
    <xf numFmtId="2" fontId="0" fillId="16" borderId="8" xfId="0" applyNumberFormat="1" applyFill="1" applyBorder="1" applyAlignment="1">
      <alignment horizontal="center"/>
    </xf>
    <xf numFmtId="2" fontId="40" fillId="7" borderId="2" xfId="2" applyNumberFormat="1" applyFont="1" applyFill="1" applyBorder="1" applyAlignment="1">
      <alignment horizontal="center" vertical="center"/>
    </xf>
    <xf numFmtId="2" fontId="41" fillId="7" borderId="2" xfId="0" applyNumberFormat="1" applyFont="1" applyFill="1" applyBorder="1" applyAlignment="1">
      <alignment horizontal="center"/>
    </xf>
    <xf numFmtId="10" fontId="40"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xf>
    <xf numFmtId="10" fontId="41" fillId="0" borderId="2" xfId="2" applyNumberFormat="1" applyFont="1" applyFill="1" applyBorder="1" applyAlignment="1">
      <alignment horizontal="center"/>
    </xf>
    <xf numFmtId="10" fontId="40" fillId="7" borderId="2" xfId="4" applyNumberFormat="1" applyFont="1" applyFill="1" applyBorder="1" applyAlignment="1">
      <alignment horizontal="center" vertical="center"/>
    </xf>
    <xf numFmtId="0" fontId="45" fillId="0" borderId="47" xfId="2" applyNumberFormat="1" applyFont="1" applyFill="1" applyBorder="1" applyAlignment="1">
      <alignment horizontal="center" vertical="center"/>
    </xf>
    <xf numFmtId="1" fontId="45" fillId="0" borderId="47" xfId="2" applyNumberFormat="1" applyFont="1" applyFill="1" applyBorder="1" applyAlignment="1">
      <alignment horizontal="center" vertical="center"/>
    </xf>
    <xf numFmtId="1" fontId="0" fillId="0" borderId="8" xfId="0" applyNumberFormat="1" applyBorder="1" applyAlignment="1">
      <alignment horizontal="center" vertical="center"/>
    </xf>
    <xf numFmtId="0" fontId="0" fillId="0" borderId="0" xfId="0" applyProtection="1">
      <protection locked="0"/>
    </xf>
    <xf numFmtId="0" fontId="3" fillId="0" borderId="23" xfId="0" applyFont="1" applyBorder="1" applyAlignment="1">
      <alignment horizontal="center" vertical="center" wrapText="1"/>
    </xf>
    <xf numFmtId="0" fontId="3" fillId="0" borderId="23" xfId="0" applyFont="1" applyBorder="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0" fontId="0" fillId="0" borderId="0" xfId="0" applyAlignment="1" applyProtection="1">
      <alignment horizontal="center" vertical="center"/>
      <protection locked="0"/>
    </xf>
    <xf numFmtId="10" fontId="29" fillId="0" borderId="0" xfId="0" applyNumberFormat="1" applyFont="1" applyAlignment="1" applyProtection="1">
      <alignment horizontal="center"/>
      <protection locked="0"/>
    </xf>
    <xf numFmtId="10" fontId="0" fillId="0" borderId="0" xfId="0" applyNumberFormat="1" applyAlignment="1" applyProtection="1">
      <alignment horizontal="center" vertical="center"/>
      <protection locked="0"/>
    </xf>
    <xf numFmtId="1" fontId="0" fillId="0" borderId="0" xfId="0" applyNumberFormat="1" applyAlignment="1">
      <alignment horizontal="center" vertical="center"/>
    </xf>
    <xf numFmtId="165" fontId="4" fillId="0" borderId="52" xfId="0" applyNumberFormat="1" applyFont="1" applyBorder="1" applyAlignment="1">
      <alignment horizontal="center" vertical="center" wrapText="1"/>
    </xf>
    <xf numFmtId="0" fontId="4" fillId="0" borderId="23" xfId="0" applyFont="1" applyBorder="1" applyAlignment="1">
      <alignment horizontal="center" vertical="center" wrapText="1"/>
    </xf>
    <xf numFmtId="9" fontId="3" fillId="0" borderId="23" xfId="2" applyFont="1" applyFill="1" applyBorder="1" applyAlignment="1" applyProtection="1">
      <alignment horizontal="center" vertical="center" wrapText="1"/>
    </xf>
    <xf numFmtId="0" fontId="3" fillId="0" borderId="51" xfId="0" applyFont="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2" applyNumberFormat="1" applyFont="1" applyFill="1" applyBorder="1" applyAlignment="1" applyProtection="1">
      <alignment horizontal="center" vertical="center"/>
    </xf>
    <xf numFmtId="166" fontId="0" fillId="0" borderId="0" xfId="2" applyNumberFormat="1" applyFont="1" applyFill="1" applyBorder="1" applyAlignment="1" applyProtection="1">
      <alignment horizontal="center" vertical="center"/>
    </xf>
    <xf numFmtId="170" fontId="0" fillId="0" borderId="0" xfId="2" applyNumberFormat="1" applyFont="1" applyFill="1" applyBorder="1" applyAlignment="1" applyProtection="1">
      <alignment horizontal="center" vertical="center"/>
    </xf>
    <xf numFmtId="9" fontId="0" fillId="0" borderId="0" xfId="2" applyFont="1" applyFill="1" applyBorder="1" applyAlignment="1" applyProtection="1">
      <alignment horizontal="center" vertical="center"/>
    </xf>
    <xf numFmtId="10" fontId="43" fillId="0" borderId="0" xfId="2" applyNumberFormat="1" applyFont="1" applyFill="1" applyBorder="1" applyAlignment="1" applyProtection="1">
      <alignment horizontal="center" vertical="center"/>
    </xf>
    <xf numFmtId="10" fontId="0" fillId="0" borderId="0" xfId="2" applyNumberFormat="1" applyFont="1" applyFill="1" applyBorder="1" applyAlignment="1" applyProtection="1">
      <alignment horizontal="center" vertical="center"/>
    </xf>
    <xf numFmtId="166" fontId="0" fillId="0" borderId="0" xfId="0" applyNumberFormat="1" applyAlignment="1">
      <alignment horizontal="center" vertical="center"/>
    </xf>
    <xf numFmtId="1" fontId="0" fillId="0" borderId="0" xfId="0" applyNumberFormat="1"/>
    <xf numFmtId="17" fontId="7" fillId="10" borderId="2" xfId="0" applyNumberFormat="1" applyFont="1" applyFill="1" applyBorder="1" applyAlignment="1">
      <alignment horizontal="center" vertical="center"/>
    </xf>
    <xf numFmtId="0" fontId="49" fillId="4" borderId="2" xfId="0" applyFont="1" applyFill="1" applyBorder="1" applyAlignment="1" applyProtection="1">
      <alignment horizontal="center" vertical="center"/>
      <protection locked="0"/>
    </xf>
    <xf numFmtId="0" fontId="41" fillId="7" borderId="2" xfId="0" applyFont="1" applyFill="1" applyBorder="1" applyProtection="1">
      <protection locked="0"/>
    </xf>
    <xf numFmtId="1" fontId="41" fillId="7" borderId="2" xfId="0" applyNumberFormat="1" applyFont="1" applyFill="1" applyBorder="1" applyProtection="1">
      <protection locked="0"/>
    </xf>
    <xf numFmtId="0" fontId="41" fillId="7" borderId="2" xfId="0" applyFont="1" applyFill="1" applyBorder="1" applyAlignment="1" applyProtection="1">
      <alignment wrapText="1"/>
      <protection locked="0"/>
    </xf>
    <xf numFmtId="0" fontId="48" fillId="7" borderId="2" xfId="0" applyFont="1" applyFill="1" applyBorder="1" applyAlignment="1" applyProtection="1">
      <alignment wrapText="1"/>
      <protection locked="0"/>
    </xf>
    <xf numFmtId="0" fontId="39" fillId="7" borderId="0" xfId="0" applyFont="1" applyFill="1" applyProtection="1">
      <protection locked="0"/>
    </xf>
    <xf numFmtId="177" fontId="0" fillId="3" borderId="7" xfId="0" applyNumberFormat="1" applyFill="1" applyBorder="1" applyAlignment="1">
      <alignment horizontal="center"/>
    </xf>
    <xf numFmtId="0" fontId="0" fillId="16" borderId="3" xfId="0" applyFill="1" applyBorder="1" applyAlignment="1">
      <alignment horizontal="center" vertical="center"/>
    </xf>
    <xf numFmtId="164" fontId="0" fillId="0" borderId="2" xfId="1" applyFont="1" applyBorder="1"/>
    <xf numFmtId="166" fontId="0" fillId="16" borderId="1" xfId="0" applyNumberFormat="1" applyFill="1" applyBorder="1" applyAlignment="1">
      <alignment horizontal="left"/>
    </xf>
    <xf numFmtId="177" fontId="0" fillId="16" borderId="1" xfId="0" applyNumberFormat="1" applyFill="1" applyBorder="1"/>
    <xf numFmtId="178" fontId="0" fillId="0" borderId="1" xfId="0" applyNumberFormat="1" applyBorder="1" applyAlignment="1">
      <alignment horizontal="center"/>
    </xf>
    <xf numFmtId="177" fontId="0" fillId="16" borderId="3" xfId="0" applyNumberFormat="1" applyFill="1" applyBorder="1"/>
    <xf numFmtId="178" fontId="0" fillId="0" borderId="3" xfId="0" applyNumberFormat="1" applyBorder="1" applyAlignment="1">
      <alignment horizontal="center"/>
    </xf>
    <xf numFmtId="1" fontId="0" fillId="0" borderId="10" xfId="0" applyNumberFormat="1" applyBorder="1" applyAlignment="1">
      <alignment horizontal="center"/>
    </xf>
    <xf numFmtId="9" fontId="0" fillId="0" borderId="0" xfId="0" applyNumberFormat="1" applyAlignment="1" applyProtection="1">
      <alignment horizontal="center" vertical="center"/>
      <protection locked="0"/>
    </xf>
    <xf numFmtId="15" fontId="0" fillId="16" borderId="3" xfId="0" applyNumberFormat="1" applyFill="1" applyBorder="1" applyAlignment="1">
      <alignment horizontal="center" vertical="center"/>
    </xf>
    <xf numFmtId="0" fontId="41" fillId="7" borderId="24" xfId="0" applyFont="1" applyFill="1" applyBorder="1" applyAlignment="1">
      <alignment horizontal="center" vertical="center"/>
    </xf>
    <xf numFmtId="0" fontId="41" fillId="7" borderId="11" xfId="0" applyFont="1" applyFill="1" applyBorder="1" applyAlignment="1">
      <alignment horizontal="center" vertical="center"/>
    </xf>
    <xf numFmtId="0" fontId="41" fillId="7" borderId="13" xfId="0" applyFont="1" applyFill="1" applyBorder="1" applyAlignment="1">
      <alignment horizontal="center" vertical="center"/>
    </xf>
    <xf numFmtId="165" fontId="40" fillId="7" borderId="16" xfId="3" applyNumberFormat="1" applyFont="1" applyFill="1" applyBorder="1" applyAlignment="1">
      <alignment horizontal="left" vertical="center"/>
    </xf>
    <xf numFmtId="165" fontId="40" fillId="7" borderId="25" xfId="3" applyNumberFormat="1" applyFont="1" applyFill="1" applyBorder="1" applyAlignment="1">
      <alignment horizontal="left" vertical="center"/>
    </xf>
    <xf numFmtId="165" fontId="40" fillId="7" borderId="15" xfId="3" applyNumberFormat="1" applyFont="1" applyFill="1" applyBorder="1" applyAlignment="1">
      <alignment horizontal="left" vertical="center"/>
    </xf>
    <xf numFmtId="0" fontId="11" fillId="15" borderId="16" xfId="0" applyFont="1" applyFill="1" applyBorder="1" applyAlignment="1">
      <alignment horizontal="center"/>
    </xf>
    <xf numFmtId="0" fontId="11" fillId="15" borderId="25" xfId="0" applyFont="1" applyFill="1" applyBorder="1" applyAlignment="1">
      <alignment horizontal="center"/>
    </xf>
    <xf numFmtId="0" fontId="11" fillId="15" borderId="15" xfId="0" applyFont="1" applyFill="1" applyBorder="1" applyAlignment="1">
      <alignment horizontal="center"/>
    </xf>
    <xf numFmtId="171" fontId="40" fillId="7" borderId="16" xfId="3" applyNumberFormat="1" applyFont="1" applyFill="1" applyBorder="1" applyAlignment="1" applyProtection="1">
      <alignment horizontal="left" vertical="center"/>
      <protection locked="0"/>
    </xf>
    <xf numFmtId="171" fontId="40" fillId="7" borderId="25" xfId="3" applyNumberFormat="1" applyFont="1" applyFill="1" applyBorder="1" applyAlignment="1" applyProtection="1">
      <alignment horizontal="left" vertical="center"/>
      <protection locked="0"/>
    </xf>
    <xf numFmtId="171" fontId="40" fillId="7" borderId="15" xfId="3" applyNumberFormat="1" applyFont="1" applyFill="1" applyBorder="1" applyAlignment="1" applyProtection="1">
      <alignment horizontal="left" vertical="center"/>
      <protection locked="0"/>
    </xf>
    <xf numFmtId="165" fontId="40" fillId="7" borderId="16" xfId="3" applyNumberFormat="1" applyFont="1" applyFill="1" applyBorder="1" applyAlignment="1" applyProtection="1">
      <alignment horizontal="left" vertical="center"/>
      <protection locked="0"/>
    </xf>
    <xf numFmtId="165" fontId="40" fillId="7" borderId="25" xfId="3" applyNumberFormat="1" applyFont="1" applyFill="1" applyBorder="1" applyAlignment="1" applyProtection="1">
      <alignment horizontal="left" vertical="center"/>
      <protection locked="0"/>
    </xf>
    <xf numFmtId="165" fontId="40" fillId="7" borderId="15" xfId="3" applyNumberFormat="1" applyFont="1" applyFill="1" applyBorder="1" applyAlignment="1" applyProtection="1">
      <alignment horizontal="left" vertical="center"/>
      <protection locked="0"/>
    </xf>
    <xf numFmtId="0" fontId="10" fillId="9" borderId="2" xfId="0" applyFont="1" applyFill="1" applyBorder="1" applyAlignment="1">
      <alignment horizontal="center" vertical="center"/>
    </xf>
    <xf numFmtId="0" fontId="10" fillId="13" borderId="2" xfId="0" applyFont="1" applyFill="1" applyBorder="1" applyAlignment="1">
      <alignment horizontal="center" vertic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44" xfId="0" applyFill="1" applyBorder="1" applyAlignment="1">
      <alignment horizontal="center"/>
    </xf>
    <xf numFmtId="0" fontId="0" fillId="7" borderId="45" xfId="0" applyFill="1" applyBorder="1" applyAlignment="1">
      <alignment horizontal="center"/>
    </xf>
    <xf numFmtId="0" fontId="0" fillId="7" borderId="46"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0" fontId="6" fillId="0" borderId="2" xfId="0" applyFont="1" applyBorder="1" applyAlignment="1">
      <alignment horizontal="center"/>
    </xf>
  </cellXfs>
  <cellStyles count="38299">
    <cellStyle name="20% - Accent1" xfId="22" builtinId="30" customBuiltin="1"/>
    <cellStyle name="20% - Accent1 10" xfId="177" xr:uid="{F03A3F81-A491-4CCD-86EB-6BB75240986E}"/>
    <cellStyle name="20% - Accent1 10 2" xfId="27477" xr:uid="{D4707BA4-3565-4D3D-A538-DF2932FD426D}"/>
    <cellStyle name="20% - Accent1 10 2 2" xfId="31906" xr:uid="{3B27C5F2-E6CF-4250-AEE9-683A51A7D398}"/>
    <cellStyle name="20% - Accent1 10 2 3" xfId="34890" xr:uid="{E5E8C9F0-D48A-4999-ADC2-62DF43DD5089}"/>
    <cellStyle name="20% - Accent1 10 3" xfId="32991" xr:uid="{83A5121E-4A1E-43C6-A2C5-1D2F72163928}"/>
    <cellStyle name="20% - Accent1 10 3 2" xfId="35092" xr:uid="{74299394-A4DC-4EC5-BADF-96E3645F87BA}"/>
    <cellStyle name="20% - Accent1 10 4" xfId="34519" xr:uid="{B6544E8E-D150-4E3D-81DD-7829731E324D}"/>
    <cellStyle name="20% - Accent1 10 5" xfId="33796" xr:uid="{E3408126-3CFA-438F-92E7-BC1DCD3D99E0}"/>
    <cellStyle name="20% - Accent1 10 5 2" xfId="35515" xr:uid="{D56398CA-8CC6-4B94-9DC1-96C4F987CD35}"/>
    <cellStyle name="20% - Accent1 10 6" xfId="36388" xr:uid="{9BD566E8-078B-459D-936C-E8053870ED8D}"/>
    <cellStyle name="20% - Accent1 10 7" xfId="36674" xr:uid="{6CB49BB5-B7C3-4278-ACF9-8941B646AC49}"/>
    <cellStyle name="20% - Accent1 10 8" xfId="37559" xr:uid="{C559942E-FFBC-4833-82D4-362CEEB83170}"/>
    <cellStyle name="20% - Accent1 11" xfId="33457" xr:uid="{F453B79E-8318-42FB-9169-DEDF26D92878}"/>
    <cellStyle name="20% - Accent1 11 2" xfId="31713" xr:uid="{28EC3199-CA32-4A25-AB5C-7028F4ED1F48}"/>
    <cellStyle name="20% - Accent1 11 2 2" xfId="35111" xr:uid="{93FB874F-18E8-497A-8208-7E90FE1BFFD2}"/>
    <cellStyle name="20% - Accent1 11 3" xfId="34688" xr:uid="{FDBB3BAA-D89C-4EB0-9B61-A7C266C79B9A}"/>
    <cellStyle name="20% - Accent1 11 4" xfId="35535" xr:uid="{E3851A63-782F-4463-91CD-88E89EE2CB51}"/>
    <cellStyle name="20% - Accent1 11 5" xfId="36408" xr:uid="{8B0B021A-F1B0-4519-ABA9-AA18ED676DAE}"/>
    <cellStyle name="20% - Accent1 11 6" xfId="36694" xr:uid="{89F21680-90CF-4D7A-9814-EB1171919015}"/>
    <cellStyle name="20% - Accent1 11 7" xfId="37579" xr:uid="{FF9A2197-C4E8-4F2D-BF9B-082B975027DF}"/>
    <cellStyle name="20% - Accent1 12" xfId="17714" xr:uid="{0E54492F-41AD-4B09-8DD8-E40C58997A8E}"/>
    <cellStyle name="20% - Accent1 12 2" xfId="34701" xr:uid="{BF3190E4-152F-4BAB-8525-209B5653C92E}"/>
    <cellStyle name="20% - Accent1 12 3" xfId="35314" xr:uid="{63169F0D-98A5-4B60-A76C-17C692F8D924}"/>
    <cellStyle name="20% - Accent1 12 4" xfId="35554" xr:uid="{08DD1ADF-7A54-4C47-95DA-1E8A5685C438}"/>
    <cellStyle name="20% - Accent1 12 5" xfId="36427" xr:uid="{CC6C4E95-DF89-4450-8B87-F798FC09798A}"/>
    <cellStyle name="20% - Accent1 12 6" xfId="36713" xr:uid="{14176822-EE5C-44E5-A67D-CCEC5B49490A}"/>
    <cellStyle name="20% - Accent1 12 7" xfId="37598" xr:uid="{DF7C2D60-E982-4CEF-B9EC-ADBBB303CC8A}"/>
    <cellStyle name="20% - Accent1 13" xfId="18970" xr:uid="{AC32764B-FA08-4D9D-A01E-F3E668594F94}"/>
    <cellStyle name="20% - Accent1 13 2" xfId="34729" xr:uid="{681668FD-1822-4864-BAB1-C484E84A614D}"/>
    <cellStyle name="20% - Accent1 13 3" xfId="35573" xr:uid="{5E21F3DE-A620-4992-83A6-1E158BAC72DA}"/>
    <cellStyle name="20% - Accent1 13 4" xfId="36448" xr:uid="{C6CBB2EA-2EA7-47D7-B405-974AF8169862}"/>
    <cellStyle name="20% - Accent1 13 5" xfId="36734" xr:uid="{7D5BA1FF-C3A2-4AE1-A449-69D763ACC88C}"/>
    <cellStyle name="20% - Accent1 13 6" xfId="37619" xr:uid="{A14B8383-6433-4247-9176-BD70DEA10F5B}"/>
    <cellStyle name="20% - Accent1 14" xfId="18968" xr:uid="{5C35B987-7B1F-4F45-AA60-28812E3BDDB3}"/>
    <cellStyle name="20% - Accent1 14 2" xfId="34919" xr:uid="{24D2E464-28AF-4F3B-B284-B4EB3671BC86}"/>
    <cellStyle name="20% - Accent1 14 3" xfId="36752" xr:uid="{A3315E89-C4E8-4EFE-B64C-7E6273E23EE7}"/>
    <cellStyle name="20% - Accent1 14 4" xfId="37637" xr:uid="{4C63C706-BACB-4202-ACEC-7B329FB9FE3C}"/>
    <cellStyle name="20% - Accent1 15" xfId="34646" xr:uid="{EA1CC439-79BF-41E8-8FDB-55DFBFD3443F}"/>
    <cellStyle name="20% - Accent1 15 2" xfId="36473" xr:uid="{364F079F-0488-44F9-B9DF-134393B19D12}"/>
    <cellStyle name="20% - Accent1 15 3" xfId="36771" xr:uid="{56723FBA-413C-416E-BF0C-E9D5F2D20BC8}"/>
    <cellStyle name="20% - Accent1 15 4" xfId="37659" xr:uid="{72585DD6-5BD0-49C9-B19F-FED1CEAD4C1B}"/>
    <cellStyle name="20% - Accent1 16" xfId="35353" xr:uid="{CE52379B-5E5A-48EE-8BAA-7216CBB7A25E}"/>
    <cellStyle name="20% - Accent1 16 2" xfId="36491" xr:uid="{9E65EFD4-472C-4308-AC29-39DA0A34AEBE}"/>
    <cellStyle name="20% - Accent1 16 3" xfId="36789" xr:uid="{0B886461-2813-4416-BFAD-2CEFE52A19D3}"/>
    <cellStyle name="20% - Accent1 16 4" xfId="37678" xr:uid="{50B82FEB-324D-493D-B160-8D3EE97946F4}"/>
    <cellStyle name="20% - Accent1 17" xfId="35640" xr:uid="{CDFF4A23-E06D-4FF9-9F1E-A094564C62F2}"/>
    <cellStyle name="20% - Accent1 17 2" xfId="36808" xr:uid="{1CED9970-9346-4C5C-B709-7B4DDED107C5}"/>
    <cellStyle name="20% - Accent1 17 3" xfId="37698" xr:uid="{9B4F1A17-7E43-40EC-ADFC-3109EBA0748A}"/>
    <cellStyle name="20% - Accent1 18" xfId="35658" xr:uid="{D898786B-37C0-450F-B2FB-6E4B16018C85}"/>
    <cellStyle name="20% - Accent1 18 2" xfId="36827" xr:uid="{A62ABFDA-3019-4E23-A905-ADA1C4953975}"/>
    <cellStyle name="20% - Accent1 18 3" xfId="37717" xr:uid="{372FE852-45BC-47E7-86BE-30BB30B9DF7F}"/>
    <cellStyle name="20% - Accent1 19" xfId="35677" xr:uid="{ED7E871A-EB65-4750-BBA0-B162FF2822E8}"/>
    <cellStyle name="20% - Accent1 19 2" xfId="36846" xr:uid="{54066DA4-0D63-4683-B798-8C566160CD76}"/>
    <cellStyle name="20% - Accent1 19 3" xfId="37736" xr:uid="{BA9D4ACD-2672-437F-96DA-61E9E64B72D6}"/>
    <cellStyle name="20% - Accent1 2" xfId="77" xr:uid="{796EC57E-E557-4F3F-B397-24FEBAAE6389}"/>
    <cellStyle name="20% - Accent1 2 10" xfId="28548" xr:uid="{3435732E-53F3-4AAF-A58D-052714FBB002}"/>
    <cellStyle name="20% - Accent1 2 10 2" xfId="28130" xr:uid="{AED04E0E-B988-4C45-BB5B-98DEA36325B2}"/>
    <cellStyle name="20% - Accent1 2 10 3" xfId="37417" xr:uid="{25F3B23B-4679-4C46-997C-0CE0A31306F9}"/>
    <cellStyle name="20% - Accent1 2 11" xfId="29595" xr:uid="{4BAF2B86-FE6C-4B7D-9EAA-88DD5345E967}"/>
    <cellStyle name="20% - Accent1 2 12" xfId="34437" xr:uid="{546D8A55-DAE9-45EC-A674-0C79CAF36088}"/>
    <cellStyle name="20% - Accent1 2 13" xfId="14862" xr:uid="{0224C89B-F568-4091-9F2E-0BFA8A42EBEE}"/>
    <cellStyle name="20% - Accent1 2 2" xfId="138" xr:uid="{5D20FA8B-8958-4675-A01A-FE823D4774CC}"/>
    <cellStyle name="20% - Accent1 2 2 10" xfId="34289" xr:uid="{AF2B9C60-EAAE-4192-80E6-2ECFAE38184B}"/>
    <cellStyle name="20% - Accent1 2 2 11" xfId="34492" xr:uid="{4F9338BD-633D-4DD7-BFB8-81F9C87F5E1D}"/>
    <cellStyle name="20% - Accent1 2 2 12" xfId="14860" xr:uid="{E9F94CA9-DAA2-45DE-9951-4863F47198F4}"/>
    <cellStyle name="20% - Accent1 2 2 2" xfId="32000" xr:uid="{233B2F69-8683-448E-ACD5-75D756C959C1}"/>
    <cellStyle name="20% - Accent1 2 2 2 2" xfId="32969" xr:uid="{D339EC13-3300-44D3-B390-07E476C8D3A8}"/>
    <cellStyle name="20% - Accent1 2 2 2 2 2" xfId="26513" xr:uid="{456678E2-050C-43A8-B176-12210F6B105D}"/>
    <cellStyle name="20% - Accent1 2 2 2 2 2 2" xfId="32386" xr:uid="{A37AD6E2-060A-4517-85D2-76FADF1A1567}"/>
    <cellStyle name="20% - Accent1 2 2 2 2 2 2 2" xfId="27490" xr:uid="{2CE5ACB7-C5B4-4924-B088-CF1FE50EA180}"/>
    <cellStyle name="20% - Accent1 2 2 2 2 2 2 2 2" xfId="33625" xr:uid="{01A2DDA3-6C1E-4825-AC2A-06366CB67436}"/>
    <cellStyle name="20% - Accent1 2 2 2 2 2 2 2 2 2" xfId="28090" xr:uid="{9247EA1A-14C1-4C97-AD85-D2306ABEDA60}"/>
    <cellStyle name="20% - Accent1 2 2 2 2 2 2 2 2 2 2" xfId="20665" xr:uid="{050B0AED-6BDD-48FE-A3DA-D70CA4BC8DA5}"/>
    <cellStyle name="20% - Accent1 2 2 2 2 2 2 2 2 2 2 2" xfId="33294" xr:uid="{A2008631-CE17-41A6-8C71-AE329BECDEA6}"/>
    <cellStyle name="20% - Accent1 2 2 2 2 2 2 2 2 2 3" xfId="32572" xr:uid="{2874F343-A017-460D-992A-FE3CC53F5A6D}"/>
    <cellStyle name="20% - Accent1 2 2 2 2 2 2 2 2 3" xfId="27216" xr:uid="{318C90FD-00E9-466D-B11E-66F555F9F289}"/>
    <cellStyle name="20% - Accent1 2 2 2 2 2 2 2 2 3 2" xfId="20604" xr:uid="{8CD7CE84-C4D4-4537-9681-2E88A6FC3E6B}"/>
    <cellStyle name="20% - Accent1 2 2 2 2 2 2 2 2 4" xfId="27209" xr:uid="{6FA7DB2B-C515-4FC7-9AE1-9B0C6DC1116E}"/>
    <cellStyle name="20% - Accent1 2 2 2 2 2 2 2 3" xfId="14314" xr:uid="{603A2DF8-EFBB-4CB0-A9D8-5F020CD28C97}"/>
    <cellStyle name="20% - Accent1 2 2 2 2 2 2 2 3 2" xfId="12985" xr:uid="{1E4C563E-C6D0-455C-A1DC-78925E500E7B}"/>
    <cellStyle name="20% - Accent1 2 2 2 2 2 2 2 3 2 2" xfId="20416" xr:uid="{D91566EC-5402-44EE-AEB0-1C06B3154F61}"/>
    <cellStyle name="20% - Accent1 2 2 2 2 2 2 2 3 3" xfId="28982" xr:uid="{4057E995-D5DF-4EB0-A059-024A65908FF9}"/>
    <cellStyle name="20% - Accent1 2 2 2 2 2 2 2 4" xfId="25064" xr:uid="{10AE885B-3D20-4A16-9348-D23804D05526}"/>
    <cellStyle name="20% - Accent1 2 2 2 2 2 2 2 4 2" xfId="15851" xr:uid="{434CCF90-9C16-425B-8A86-F754ADBE98CB}"/>
    <cellStyle name="20% - Accent1 2 2 2 2 2 2 2 5" xfId="25050" xr:uid="{CEB7329A-AB91-4813-8840-8B8F26AE4846}"/>
    <cellStyle name="20% - Accent1 2 2 2 2 2 2 3" xfId="31532" xr:uid="{50B57E67-F9A7-48D5-84A0-0EEA8349E460}"/>
    <cellStyle name="20% - Accent1 2 2 2 2 2 2 3 2" xfId="34006" xr:uid="{D59F5940-C64B-45B7-8A39-084106BFEC76}"/>
    <cellStyle name="20% - Accent1 2 2 2 2 2 2 3 2 2" xfId="27202" xr:uid="{84E094BC-8861-45FA-ABBD-D9317A8EE2BA}"/>
    <cellStyle name="20% - Accent1 2 2 2 2 2 2 3 2 2 2" xfId="18593" xr:uid="{D437D07E-BB5C-455D-90C9-F12D6DF26B34}"/>
    <cellStyle name="20% - Accent1 2 2 2 2 2 2 3 2 3" xfId="25705" xr:uid="{117D8A90-8242-4378-A80B-1544B9862155}"/>
    <cellStyle name="20% - Accent1 2 2 2 2 2 2 3 3" xfId="34329" xr:uid="{913429E5-BF59-47F3-9C99-09AD8F3A017C}"/>
    <cellStyle name="20% - Accent1 2 2 2 2 2 2 3 3 2" xfId="22759" xr:uid="{D030E187-05A7-4745-85E2-E56B23AE93C4}"/>
    <cellStyle name="20% - Accent1 2 2 2 2 2 2 3 4" xfId="34385" xr:uid="{6053BDC6-BB53-4EAD-8DFA-2E675275EC8F}"/>
    <cellStyle name="20% - Accent1 2 2 2 2 2 2 4" xfId="27014" xr:uid="{08ACDEE4-9979-4BB2-B3BE-45CD10E2573A}"/>
    <cellStyle name="20% - Accent1 2 2 2 2 2 2 4 2" xfId="31031" xr:uid="{CD62E290-B999-4474-A8D7-6C8E1B7359F5}"/>
    <cellStyle name="20% - Accent1 2 2 2 2 2 2 4 2 2" xfId="25561" xr:uid="{78A68A16-85C8-4F42-BA68-E5B7F9C0069F}"/>
    <cellStyle name="20% - Accent1 2 2 2 2 2 2 4 3" xfId="31010" xr:uid="{B203719E-E0D6-432F-882A-DA18E8E58C64}"/>
    <cellStyle name="20% - Accent1 2 2 2 2 2 2 5" xfId="22017" xr:uid="{A01DB041-CFB9-473E-9EC0-F2B285368ACF}"/>
    <cellStyle name="20% - Accent1 2 2 2 2 2 2 5 2" xfId="12156" xr:uid="{82E47CDA-69A7-4C13-8DBA-66BD3BF00E64}"/>
    <cellStyle name="20% - Accent1 2 2 2 2 2 2 6" xfId="22013" xr:uid="{8EADD931-657F-4691-9B71-EE2E247AC31F}"/>
    <cellStyle name="20% - Accent1 2 2 2 2 2 3" xfId="31858" xr:uid="{B915106E-D3F3-4044-AAD7-2E67C71AAED7}"/>
    <cellStyle name="20% - Accent1 2 2 2 2 2 3 2" xfId="29910" xr:uid="{D7CE0708-5211-460F-9A7E-DAD3B777E27D}"/>
    <cellStyle name="20% - Accent1 2 2 2 2 2 3 2 2" xfId="30758" xr:uid="{34105239-9DE2-41FF-AB15-4D4C25F391AE}"/>
    <cellStyle name="20% - Accent1 2 2 2 2 2 3 2 2 2" xfId="27176" xr:uid="{4C21C87A-0AB3-4583-92A2-4645C1C67266}"/>
    <cellStyle name="20% - Accent1 2 2 2 2 2 3 2 2 2 2" xfId="30630" xr:uid="{E66D2441-8D4C-4218-B6D0-43601240E0EB}"/>
    <cellStyle name="20% - Accent1 2 2 2 2 2 3 2 2 3" xfId="27166" xr:uid="{9E8A233D-A535-47A3-93F3-22F168682F09}"/>
    <cellStyle name="20% - Accent1 2 2 2 2 2 3 2 3" xfId="28704" xr:uid="{4CF5B8EE-2617-4C71-8100-CB81DBED2931}"/>
    <cellStyle name="20% - Accent1 2 2 2 2 2 3 2 3 2" xfId="25972" xr:uid="{1AB3FED7-E8C0-4C20-8B9F-466B1835BE63}"/>
    <cellStyle name="20% - Accent1 2 2 2 2 2 3 2 4" xfId="33349" xr:uid="{7F9E56A5-35FF-455F-90BC-F153A859CC3D}"/>
    <cellStyle name="20% - Accent1 2 2 2 2 2 3 3" xfId="24771" xr:uid="{FFA94338-6B38-4143-B3C9-241E13FB2ECB}"/>
    <cellStyle name="20% - Accent1 2 2 2 2 2 3 3 2" xfId="33828" xr:uid="{400345C0-63B5-4BD2-B267-21487CAA8394}"/>
    <cellStyle name="20% - Accent1 2 2 2 2 2 3 3 2 2" xfId="25370" xr:uid="{5AEBC764-FE96-40CE-9926-B6DE885AAA00}"/>
    <cellStyle name="20% - Accent1 2 2 2 2 2 3 3 3" xfId="28590" xr:uid="{BEF85A3B-E61D-43BA-9F94-BBB9079B245B}"/>
    <cellStyle name="20% - Accent1 2 2 2 2 2 3 4" xfId="22002" xr:uid="{02BB3A1B-A59B-49E7-B296-51747297A332}"/>
    <cellStyle name="20% - Accent1 2 2 2 2 2 3 4 2" xfId="34096" xr:uid="{BB330D32-AA79-4B10-AB54-9112EECA6677}"/>
    <cellStyle name="20% - Accent1 2 2 2 2 2 3 5" xfId="15155" xr:uid="{3738847F-93F2-45BE-BD80-4D92CC3E6FDE}"/>
    <cellStyle name="20% - Accent1 2 2 2 2 2 4" xfId="34183" xr:uid="{793FBE20-15C7-4778-9E7A-D5A56BC23828}"/>
    <cellStyle name="20% - Accent1 2 2 2 2 2 4 2" xfId="29553" xr:uid="{6770FCA8-8117-4EAD-A61A-14338DBB9EA8}"/>
    <cellStyle name="20% - Accent1 2 2 2 2 2 4 2 2" xfId="29208" xr:uid="{B2EE7212-399F-4E5A-898E-8C67359BC801}"/>
    <cellStyle name="20% - Accent1 2 2 2 2 2 4 2 2 2" xfId="24344" xr:uid="{D1E0EB73-207B-4646-AA1B-5F7C299A8BD7}"/>
    <cellStyle name="20% - Accent1 2 2 2 2 2 4 2 3" xfId="28176" xr:uid="{64CFD59B-37C9-4143-B9F5-4709B6B751EC}"/>
    <cellStyle name="20% - Accent1 2 2 2 2 2 4 3" xfId="31482" xr:uid="{9C30370F-9691-4DFA-A3D4-9D58912C9EA0}"/>
    <cellStyle name="20% - Accent1 2 2 2 2 2 4 3 2" xfId="31409" xr:uid="{5B12B9D0-2AA9-40EA-A922-F9D0C155EC9E}"/>
    <cellStyle name="20% - Accent1 2 2 2 2 2 4 4" xfId="28432" xr:uid="{F436E7D0-6378-43CA-AD1E-FE9F2BDDE0C3}"/>
    <cellStyle name="20% - Accent1 2 2 2 2 2 5" xfId="34252" xr:uid="{D3837C48-3C63-4B3E-8E9D-46BD44B45468}"/>
    <cellStyle name="20% - Accent1 2 2 2 2 2 5 2" xfId="23204" xr:uid="{832D8EC9-5473-41D5-A65F-3809A14D3CFC}"/>
    <cellStyle name="20% - Accent1 2 2 2 2 2 5 2 2" xfId="33743" xr:uid="{17C093CD-C7E2-418C-96F8-744214AE2B82}"/>
    <cellStyle name="20% - Accent1 2 2 2 2 2 5 3" xfId="20167" xr:uid="{38F286A2-0E0A-4A70-8E43-067701E7607B}"/>
    <cellStyle name="20% - Accent1 2 2 2 2 2 6" xfId="34159" xr:uid="{8847FC1E-3736-4E91-98CC-9A0F40302EA9}"/>
    <cellStyle name="20% - Accent1 2 2 2 2 2 6 2" xfId="30321" xr:uid="{222818D6-9347-46CF-AC27-7389B6140FE8}"/>
    <cellStyle name="20% - Accent1 2 2 2 2 2 7" xfId="34139" xr:uid="{EA6C0120-CBB6-4469-A42E-C87C6F8C512C}"/>
    <cellStyle name="20% - Accent1 2 2 2 2 3" xfId="27923" xr:uid="{4EAECE9D-CEC5-4E36-9883-FD0DEF4B528E}"/>
    <cellStyle name="20% - Accent1 2 2 2 2 3 2" xfId="33377" xr:uid="{D4C833AD-3888-4459-ABC1-6AFB52174642}"/>
    <cellStyle name="20% - Accent1 2 2 2 2 3 2 2" xfId="29480" xr:uid="{D28082D1-DEC0-4120-8B06-08E5A15AA06D}"/>
    <cellStyle name="20% - Accent1 2 2 2 2 3 2 2 2" xfId="33632" xr:uid="{A8AFE0A8-9AA8-4693-B7B5-2BF58439916C}"/>
    <cellStyle name="20% - Accent1 2 2 2 2 3 2 2 2 2" xfId="20085" xr:uid="{44F44F61-FC79-4CC6-AF50-507A9D11EACD}"/>
    <cellStyle name="20% - Accent1 2 2 2 2 3 2 2 2 2 2" xfId="17724" xr:uid="{C2269761-A506-4F87-B18A-5ACF2A3E8103}"/>
    <cellStyle name="20% - Accent1 2 2 2 2 3 2 2 2 3" xfId="20076" xr:uid="{7AA42F3A-9BF2-49BA-A127-C388CEE15DB1}"/>
    <cellStyle name="20% - Accent1 2 2 2 2 3 2 2 3" xfId="34285" xr:uid="{6ED4594B-FC4B-4CB0-BF83-E491BADD9BDB}"/>
    <cellStyle name="20% - Accent1 2 2 2 2 3 2 2 3 2" xfId="20050" xr:uid="{FA9D14C1-8090-4060-9C35-AA5C6BB51B84}"/>
    <cellStyle name="20% - Accent1 2 2 2 2 3 2 2 4" xfId="16490" xr:uid="{B11A3D52-2C94-42AA-A1B3-982D70BB7D8B}"/>
    <cellStyle name="20% - Accent1 2 2 2 2 3 2 3" xfId="24590" xr:uid="{2F5E8D70-D012-486C-BD11-1A24C46093BD}"/>
    <cellStyle name="20% - Accent1 2 2 2 2 3 2 3 2" xfId="5676" xr:uid="{C81A6C30-A237-4ED9-BDEF-03E6B786F38C}"/>
    <cellStyle name="20% - Accent1 2 2 2 2 3 2 3 2 2" xfId="26942" xr:uid="{85874172-385D-446A-8FB8-668FC7A66A0F}"/>
    <cellStyle name="20% - Accent1 2 2 2 2 3 2 3 3" xfId="6718" xr:uid="{F1EBC00B-81EB-41E9-8C27-B54C89CF2798}"/>
    <cellStyle name="20% - Accent1 2 2 2 2 3 2 4" xfId="23691" xr:uid="{1690235C-6DA7-47D1-9F75-7CDA1D599118}"/>
    <cellStyle name="20% - Accent1 2 2 2 2 3 2 4 2" xfId="5652" xr:uid="{B7A69F98-0068-4DD9-A1E2-6B2A3F820175}"/>
    <cellStyle name="20% - Accent1 2 2 2 2 3 2 5" xfId="31411" xr:uid="{42C6143B-E297-4209-A282-DBBEE9BB0D6E}"/>
    <cellStyle name="20% - Accent1 2 2 2 2 3 3" xfId="29176" xr:uid="{BB8FFFA6-A78F-44C4-80B0-27EEE278C8FC}"/>
    <cellStyle name="20% - Accent1 2 2 2 2 3 3 2" xfId="24563" xr:uid="{DC9BB44A-8F98-4DCB-BBB1-C965C6C753A6}"/>
    <cellStyle name="20% - Accent1 2 2 2 2 3 3 2 2" xfId="34267" xr:uid="{C189D11A-8DB7-4B5F-9BAB-190F79933C69}"/>
    <cellStyle name="20% - Accent1 2 2 2 2 3 3 2 2 2" xfId="20009" xr:uid="{803D743C-DF0B-4AD1-88AD-74A72D1D0FD7}"/>
    <cellStyle name="20% - Accent1 2 2 2 2 3 3 2 3" xfId="28693" xr:uid="{9F2A9F17-36BF-4C2A-BF85-AA59D73CB4F4}"/>
    <cellStyle name="20% - Accent1 2 2 2 2 3 3 3" xfId="21966" xr:uid="{159D418A-67EA-4551-B58D-8E201CD884FA}"/>
    <cellStyle name="20% - Accent1 2 2 2 2 3 3 3 2" xfId="34253" xr:uid="{0B90425B-05F2-4478-A10F-E30EC2142A31}"/>
    <cellStyle name="20% - Accent1 2 2 2 2 3 3 4" xfId="23453" xr:uid="{8A68654C-474C-443A-9B1A-0864889F106C}"/>
    <cellStyle name="20% - Accent1 2 2 2 2 3 4" xfId="29171" xr:uid="{57712731-F515-4A3E-A4E2-4E689F922CDB}"/>
    <cellStyle name="20% - Accent1 2 2 2 2 3 4 2" xfId="26478" xr:uid="{821C9CA8-8CC9-45D0-8277-FA06C50F5C6D}"/>
    <cellStyle name="20% - Accent1 2 2 2 2 3 4 2 2" xfId="34038" xr:uid="{BDD7679D-7629-45D2-B7AC-9BE84C8AC911}"/>
    <cellStyle name="20% - Accent1 2 2 2 2 3 4 3" xfId="26655" xr:uid="{D1CC3920-52C3-49E8-A08F-CCC0537A9382}"/>
    <cellStyle name="20% - Accent1 2 2 2 2 3 5" xfId="34153" xr:uid="{5E9E5A0E-C34D-423C-A878-AA58C2BDDB66}"/>
    <cellStyle name="20% - Accent1 2 2 2 2 3 5 2" xfId="20140" xr:uid="{4218984C-07B7-4C63-9008-7B0C20AFD564}"/>
    <cellStyle name="20% - Accent1 2 2 2 2 3 6" xfId="34279" xr:uid="{B9AD6E81-5F4B-4244-A95C-E302E186B00D}"/>
    <cellStyle name="20% - Accent1 2 2 2 2 4" xfId="27919" xr:uid="{DC70A15E-DA95-4BC0-BB7D-38A3BBB3D3EE}"/>
    <cellStyle name="20% - Accent1 2 2 2 2 4 2" xfId="34240" xr:uid="{E11A32E0-00F6-483D-AB12-D6BFFD3FF44D}"/>
    <cellStyle name="20% - Accent1 2 2 2 2 4 2 2" xfId="32635" xr:uid="{B3BB8536-9530-4249-8E8D-40928564CF63}"/>
    <cellStyle name="20% - Accent1 2 2 2 2 4 2 2 2" xfId="34229" xr:uid="{70BFA278-06C2-4BB3-892E-456581FD9E06}"/>
    <cellStyle name="20% - Accent1 2 2 2 2 4 2 2 2 2" xfId="18552" xr:uid="{1CA2AEE2-F807-4B0B-8301-9BC89397C070}"/>
    <cellStyle name="20% - Accent1 2 2 2 2 4 2 2 3" xfId="32830" xr:uid="{B3D18F1B-EA9B-4E29-9B36-B4473E677A2E}"/>
    <cellStyle name="20% - Accent1 2 2 2 2 4 2 3" xfId="30161" xr:uid="{C3523757-EFE7-4773-9D88-E7E72E059EA4}"/>
    <cellStyle name="20% - Accent1 2 2 2 2 4 2 3 2" xfId="32615" xr:uid="{DBDAB604-A62D-4A47-ACD7-99962A470902}"/>
    <cellStyle name="20% - Accent1 2 2 2 2 4 2 4" xfId="23249" xr:uid="{8D78370D-BEA0-4CAE-A26A-855299FDC87F}"/>
    <cellStyle name="20% - Accent1 2 2 2 2 4 3" xfId="33948" xr:uid="{D840D2CD-D9E6-4503-AC56-0EC2EC837214}"/>
    <cellStyle name="20% - Accent1 2 2 2 2 4 3 2" xfId="32153" xr:uid="{75EFDA8C-42D5-480A-B83D-78515FCE3480}"/>
    <cellStyle name="20% - Accent1 2 2 2 2 4 3 2 2" xfId="34218" xr:uid="{D1FA71DF-3059-4018-A669-4B9044C4D11A}"/>
    <cellStyle name="20% - Accent1 2 2 2 2 4 3 3" xfId="21942" xr:uid="{1917AFE6-C135-496F-AA2B-A931A052AB9B}"/>
    <cellStyle name="20% - Accent1 2 2 2 2 4 4" xfId="27135" xr:uid="{D953CB46-ABDA-4620-8E8B-91B4ACD22C89}"/>
    <cellStyle name="20% - Accent1 2 2 2 2 4 4 2" xfId="30876" xr:uid="{FFDED4CD-D89C-467D-BF6C-8413291B443E}"/>
    <cellStyle name="20% - Accent1 2 2 2 2 4 5" xfId="34307" xr:uid="{D3791DB6-2101-49D3-818B-7EC36F71F3DC}"/>
    <cellStyle name="20% - Accent1 2 2 2 2 5" xfId="8510" xr:uid="{65837E4A-66C6-4DB4-B6A4-E7B58D6A1940}"/>
    <cellStyle name="20% - Accent1 2 2 2 2 5 2" xfId="25899" xr:uid="{A01AD47C-CD59-480D-ACE4-3FC64F8F4888}"/>
    <cellStyle name="20% - Accent1 2 2 2 2 5 2 2" xfId="30862" xr:uid="{5E4165F5-4EB0-4E27-B3FF-A714FE1F25AE}"/>
    <cellStyle name="20% - Accent1 2 2 2 2 5 2 2 2" xfId="21226" xr:uid="{C65039D9-F167-4BD4-8F4A-D22856CE20DA}"/>
    <cellStyle name="20% - Accent1 2 2 2 2 5 2 3" xfId="21932" xr:uid="{BE2D3979-8823-4763-A810-153DE0D14617}"/>
    <cellStyle name="20% - Accent1 2 2 2 2 5 3" xfId="31646" xr:uid="{43E2009C-7512-4128-9D9F-B13F2776ECFD}"/>
    <cellStyle name="20% - Accent1 2 2 2 2 5 3 2" xfId="21924" xr:uid="{C58835DC-F45E-4F53-8B3A-D913B477898E}"/>
    <cellStyle name="20% - Accent1 2 2 2 2 5 4" xfId="30043" xr:uid="{F2F34BFD-181F-4B17-A485-9D065694B45A}"/>
    <cellStyle name="20% - Accent1 2 2 2 2 6" xfId="22925" xr:uid="{8430E77A-91BB-44E6-BED7-3FE45A2B4B97}"/>
    <cellStyle name="20% - Accent1 2 2 2 2 6 2" xfId="25461" xr:uid="{2AE1B07F-80BE-418C-BD59-133F243C472C}"/>
    <cellStyle name="20% - Accent1 2 2 2 2 6 2 2" xfId="30824" xr:uid="{EE796EE8-DBB1-4E57-8306-8AB044801C16}"/>
    <cellStyle name="20% - Accent1 2 2 2 2 6 3" xfId="33492" xr:uid="{4EFE98B8-A298-4178-BD35-2AE151FCFAED}"/>
    <cellStyle name="20% - Accent1 2 2 2 2 7" xfId="22922" xr:uid="{8AA9B061-6639-4A3B-96C8-FD290A9EA34F}"/>
    <cellStyle name="20% - Accent1 2 2 2 2 7 2" xfId="19258" xr:uid="{F95C327C-3377-4FD0-BBAB-205FCA377D0C}"/>
    <cellStyle name="20% - Accent1 2 2 2 2 8" xfId="34382" xr:uid="{41E51892-205A-4C4F-B381-10EA78DB6357}"/>
    <cellStyle name="20% - Accent1 2 2 2 3" xfId="30583" xr:uid="{71CE5EB1-CDD9-41C4-B2A7-F70E10366490}"/>
    <cellStyle name="20% - Accent1 2 2 2 3 2" xfId="9470" xr:uid="{4982E5EE-109E-41BA-8A22-10F8531BCC54}"/>
    <cellStyle name="20% - Accent1 2 2 2 3 2 2" xfId="13531" xr:uid="{BDAFEB9F-9FB2-40A3-BA40-5BA99FD84FAE}"/>
    <cellStyle name="20% - Accent1 2 2 2 3 2 2 2" xfId="24908" xr:uid="{26295D3A-D023-44AC-B6B9-A1131217B95C}"/>
    <cellStyle name="20% - Accent1 2 2 2 3 2 2 2 2" xfId="19953" xr:uid="{9CA6D8AD-F833-4F0A-882E-564851F25418}"/>
    <cellStyle name="20% - Accent1 2 2 2 3 2 2 2 2 2" xfId="20295" xr:uid="{10722A1F-C87A-4658-8722-664E007782DF}"/>
    <cellStyle name="20% - Accent1 2 2 2 3 2 2 2 2 2 2" xfId="24584" xr:uid="{F9D6F090-4F33-49FE-A6D7-4507F51E894A}"/>
    <cellStyle name="20% - Accent1 2 2 2 3 2 2 2 2 3" xfId="26088" xr:uid="{A5AE193F-8FAA-459B-82DE-FAACEFB80FFC}"/>
    <cellStyle name="20% - Accent1 2 2 2 3 2 2 2 3" xfId="22174" xr:uid="{51F45B1C-07EA-4185-A659-8856295DED1E}"/>
    <cellStyle name="20% - Accent1 2 2 2 3 2 2 2 3 2" xfId="26135" xr:uid="{EF74B2EB-DDD1-4378-A11C-8C608EFCA77A}"/>
    <cellStyle name="20% - Accent1 2 2 2 3 2 2 2 4" xfId="22128" xr:uid="{A1528B8F-EE9F-4C00-BC67-94A5863B9C96}"/>
    <cellStyle name="20% - Accent1 2 2 2 3 2 2 3" xfId="24221" xr:uid="{F994247B-DDF9-4EFB-9290-9E8E7F5335B0}"/>
    <cellStyle name="20% - Accent1 2 2 2 3 2 2 3 2" xfId="22336" xr:uid="{66FABB3C-E8BF-4CA0-B60F-E3BA9A5271E8}"/>
    <cellStyle name="20% - Accent1 2 2 2 3 2 2 3 2 2" xfId="26126" xr:uid="{46DB543A-DE9D-41F1-BA1C-725E1A4F3AE6}"/>
    <cellStyle name="20% - Accent1 2 2 2 3 2 2 3 3" xfId="33098" xr:uid="{EE47CAAD-3966-4C1F-9BB3-AD8DDBA63461}"/>
    <cellStyle name="20% - Accent1 2 2 2 3 2 2 4" xfId="21798" xr:uid="{549FD624-E859-4E75-AFE7-275AC98B694D}"/>
    <cellStyle name="20% - Accent1 2 2 2 3 2 2 4 2" xfId="19936" xr:uid="{928D0242-D3F6-47BB-829E-6853E8358908}"/>
    <cellStyle name="20% - Accent1 2 2 2 3 2 2 5" xfId="26073" xr:uid="{6A65F068-CFB7-4C03-B619-19EB7AC40DEC}"/>
    <cellStyle name="20% - Accent1 2 2 2 3 2 3" xfId="11410" xr:uid="{8F9BC25D-9714-4912-855C-1940AC7046BF}"/>
    <cellStyle name="20% - Accent1 2 2 2 3 2 3 2" xfId="24182" xr:uid="{C085C92F-8394-4B5F-94BE-44CB6E47A663}"/>
    <cellStyle name="20% - Accent1 2 2 2 3 2 3 2 2" xfId="7777" xr:uid="{57CBFFDB-B370-4D91-BC74-3671CEFB4349}"/>
    <cellStyle name="20% - Accent1 2 2 2 3 2 3 2 2 2" xfId="20204" xr:uid="{F26D580C-7CBE-4807-9E89-4911F79B28DF}"/>
    <cellStyle name="20% - Accent1 2 2 2 3 2 3 2 3" xfId="21911" xr:uid="{FBF5B0F9-6042-4084-86FC-4B612CA0CA37}"/>
    <cellStyle name="20% - Accent1 2 2 2 3 2 3 3" xfId="21791" xr:uid="{AD723CA4-32D9-41A0-B072-C8CFE10EFF89}"/>
    <cellStyle name="20% - Accent1 2 2 2 3 2 3 3 2" xfId="19800" xr:uid="{8709BA28-45B7-4A1D-9F37-10BAA54430F4}"/>
    <cellStyle name="20% - Accent1 2 2 2 3 2 3 4" xfId="21785" xr:uid="{F496ACEB-4287-48AA-A094-CEDD2EEF2E8A}"/>
    <cellStyle name="20% - Accent1 2 2 2 3 2 4" xfId="11384" xr:uid="{63AF4540-10A8-45EA-A50A-6434E0326DD0}"/>
    <cellStyle name="20% - Accent1 2 2 2 3 2 4 2" xfId="29375" xr:uid="{8FC3AB6D-976D-4EDE-B574-5572B4EFAF82}"/>
    <cellStyle name="20% - Accent1 2 2 2 3 2 4 2 2" xfId="14934" xr:uid="{13FBA915-A7A4-4A61-96DF-6D73A53CD1CA}"/>
    <cellStyle name="20% - Accent1 2 2 2 3 2 4 3" xfId="18975" xr:uid="{3ECF5717-FD14-4481-9A6A-671162D32F38}"/>
    <cellStyle name="20% - Accent1 2 2 2 3 2 5" xfId="13240" xr:uid="{0178595F-CE14-43EE-8790-306BCA164B4D}"/>
    <cellStyle name="20% - Accent1 2 2 2 3 2 5 2" xfId="18089" xr:uid="{856B2C5E-BC7A-45CF-8140-B13E1FAC8950}"/>
    <cellStyle name="20% - Accent1 2 2 2 3 2 6" xfId="11371" xr:uid="{4BDE196C-F05E-481D-A698-25C410843EFF}"/>
    <cellStyle name="20% - Accent1 2 2 2 3 3" xfId="9452" xr:uid="{E1C10B67-BE03-4708-B8D7-B93E025BE620}"/>
    <cellStyle name="20% - Accent1 2 2 2 3 3 2" xfId="9450" xr:uid="{649A5675-BF92-4855-A08F-32D28A9A4AE5}"/>
    <cellStyle name="20% - Accent1 2 2 2 3 3 2 2" xfId="23671" xr:uid="{2B0B1966-CF23-474F-87ED-797A18E041B6}"/>
    <cellStyle name="20% - Accent1 2 2 2 3 3 2 2 2" xfId="19627" xr:uid="{3B8D0C37-42F9-437C-8E52-4E3136093DCF}"/>
    <cellStyle name="20% - Accent1 2 2 2 3 3 2 2 2 2" xfId="17510" xr:uid="{3E1AB06F-16E5-4060-A2EB-CB9156A3C4F7}"/>
    <cellStyle name="20% - Accent1 2 2 2 3 3 2 2 3" xfId="21539" xr:uid="{AA6DE908-E98D-4149-ADEF-D8F0491D0AD2}"/>
    <cellStyle name="20% - Accent1 2 2 2 3 3 2 3" xfId="21764" xr:uid="{930EB784-54A4-4682-9C46-1404F88D43C5}"/>
    <cellStyle name="20% - Accent1 2 2 2 3 3 2 3 2" xfId="19621" xr:uid="{CFD039A3-DFD4-4E56-83C9-308862FD750C}"/>
    <cellStyle name="20% - Accent1 2 2 2 3 3 2 4" xfId="22906" xr:uid="{4A7B1178-67B1-469D-9D94-8B4D9E801F1E}"/>
    <cellStyle name="20% - Accent1 2 2 2 3 3 3" xfId="11366" xr:uid="{A8F7B901-8A2C-46F8-84AD-F766128958CF}"/>
    <cellStyle name="20% - Accent1 2 2 2 3 3 3 2" xfId="21760" xr:uid="{2AE7C836-33F7-4B6E-8A4E-84CE30D7BCB8}"/>
    <cellStyle name="20% - Accent1 2 2 2 3 3 3 2 2" xfId="27172" xr:uid="{7404AA3B-CDC9-40AC-A3E9-51536BE8110F}"/>
    <cellStyle name="20% - Accent1 2 2 2 3 3 3 3" xfId="21756" xr:uid="{18EF4E64-A9D4-4491-8069-B5E5137C42FA}"/>
    <cellStyle name="20% - Accent1 2 2 2 3 3 4" xfId="11352" xr:uid="{ED99A2D0-3B9E-4294-AC45-BC8799961ED2}"/>
    <cellStyle name="20% - Accent1 2 2 2 3 3 4 2" xfId="29297" xr:uid="{0A5AE7ED-1184-4169-924B-AAA4BACF437F}"/>
    <cellStyle name="20% - Accent1 2 2 2 3 3 5" xfId="11346" xr:uid="{F2368E49-3FD3-49D9-871B-9F127F66D94E}"/>
    <cellStyle name="20% - Accent1 2 2 2 3 4" xfId="9445" xr:uid="{644CC1CB-74C9-485D-A605-4FC7F089FDB2}"/>
    <cellStyle name="20% - Accent1 2 2 2 3 4 2" xfId="9442" xr:uid="{BD7A3014-ACD3-49FB-9B2B-6158B12F48A9}"/>
    <cellStyle name="20% - Accent1 2 2 2 3 4 2 2" xfId="31944" xr:uid="{40F70F05-400A-4614-9C57-FDD24E15E544}"/>
    <cellStyle name="20% - Accent1 2 2 2 3 4 2 2 2" xfId="19525" xr:uid="{E019C4C1-97AC-47BB-B651-C83516E58AE3}"/>
    <cellStyle name="20% - Accent1 2 2 2 3 4 2 3" xfId="29667" xr:uid="{3C4AE8C3-F928-4982-9E62-F0776F8ECF07}"/>
    <cellStyle name="20% - Accent1 2 2 2 3 4 3" xfId="11338" xr:uid="{43E84679-DFFE-4B18-A655-A7377F9231DF}"/>
    <cellStyle name="20% - Accent1 2 2 2 3 4 3 2" xfId="21743" xr:uid="{EA1574E4-81E6-437F-95EA-848EFD336FF9}"/>
    <cellStyle name="20% - Accent1 2 2 2 3 4 4" xfId="11325" xr:uid="{01F6365A-0046-4A92-B5B3-0649977E7437}"/>
    <cellStyle name="20% - Accent1 2 2 2 3 5" xfId="22372" xr:uid="{8BA01199-1DBE-492E-8187-3C0E5C775E92}"/>
    <cellStyle name="20% - Accent1 2 2 2 3 5 2" xfId="9437" xr:uid="{72C8D618-7C8E-4F0D-8482-1F312D90C6C0}"/>
    <cellStyle name="20% - Accent1 2 2 2 3 5 2 2" xfId="21735" xr:uid="{7F2394DF-9AAE-4926-A49F-DD4C0762BDC3}"/>
    <cellStyle name="20% - Accent1 2 2 2 3 5 3" xfId="11319" xr:uid="{AE7C38D7-4FF3-47AB-BAA8-336F2665E2C5}"/>
    <cellStyle name="20% - Accent1 2 2 2 3 6" xfId="18146" xr:uid="{CE828825-2423-4CD2-A219-E246D5A718A1}"/>
    <cellStyle name="20% - Accent1 2 2 2 3 6 2" xfId="30440" xr:uid="{96823C84-CC53-489D-948C-E2C77E99A034}"/>
    <cellStyle name="20% - Accent1 2 2 2 3 7" xfId="26112" xr:uid="{450894FD-82E3-4A8D-82C4-A803414C602E}"/>
    <cellStyle name="20% - Accent1 2 2 2 4" xfId="33978" xr:uid="{97546154-4091-4172-B50B-38E29E0E52E5}"/>
    <cellStyle name="20% - Accent1 2 2 2 4 2" xfId="9417" xr:uid="{1FCA467E-A946-4A25-9D79-942E91F29464}"/>
    <cellStyle name="20% - Accent1 2 2 2 4 2 2" xfId="14187" xr:uid="{BC71AC6D-992F-45E2-917E-5869EA7DE09B}"/>
    <cellStyle name="20% - Accent1 2 2 2 4 2 2 2" xfId="23945" xr:uid="{675CF36D-0376-41BF-9DE4-5499918BFEE4}"/>
    <cellStyle name="20% - Accent1 2 2 2 4 2 2 2 2" xfId="19370" xr:uid="{EA3B0564-C804-429C-9B61-4C18107A9FF8}"/>
    <cellStyle name="20% - Accent1 2 2 2 4 2 2 2 2 2" xfId="25617" xr:uid="{DCF3C042-2BDC-4B10-B25C-8EC38C29BE70}"/>
    <cellStyle name="20% - Accent1 2 2 2 4 2 2 2 3" xfId="20467" xr:uid="{40E362D9-6F99-481D-B55C-E676E67552F2}"/>
    <cellStyle name="20% - Accent1 2 2 2 4 2 2 3" xfId="21678" xr:uid="{4CA2B6CD-6CA7-4A78-87A5-775E9E8ABA51}"/>
    <cellStyle name="20% - Accent1 2 2 2 4 2 2 3 2" xfId="20192" xr:uid="{82C2A052-C50F-47F3-AA79-2ECA38822992}"/>
    <cellStyle name="20% - Accent1 2 2 2 4 2 2 4" xfId="21673" xr:uid="{F709BCB9-8738-496A-B20D-A0BD08C46AD3}"/>
    <cellStyle name="20% - Accent1 2 2 2 4 2 3" xfId="11194" xr:uid="{00E160E9-351F-49F6-A890-6DF368041E6C}"/>
    <cellStyle name="20% - Accent1 2 2 2 4 2 3 2" xfId="30603" xr:uid="{D2F43313-2955-4275-8707-44999D840AD5}"/>
    <cellStyle name="20% - Accent1 2 2 2 4 2 3 2 2" xfId="19333" xr:uid="{9088B44B-6BA9-4F56-B08F-28A845B6B8F1}"/>
    <cellStyle name="20% - Accent1 2 2 2 4 2 3 3" xfId="21665" xr:uid="{BA1E998C-2CC5-4FC4-AE72-C4DFB2B72EA7}"/>
    <cellStyle name="20% - Accent1 2 2 2 4 2 4" xfId="11175" xr:uid="{A48EAC13-883A-4798-B40E-3006F0A15ADD}"/>
    <cellStyle name="20% - Accent1 2 2 2 4 2 4 2" xfId="23461" xr:uid="{D3B174BA-EB1B-4659-8112-671E62FCE1A1}"/>
    <cellStyle name="20% - Accent1 2 2 2 4 2 5" xfId="11170" xr:uid="{A2B9366F-3249-4703-BE7D-FDE64A6F4A09}"/>
    <cellStyle name="20% - Accent1 2 2 2 4 3" xfId="9412" xr:uid="{4F27AA33-990E-4C74-86FD-377A25DD8971}"/>
    <cellStyle name="20% - Accent1 2 2 2 4 3 2" xfId="9410" xr:uid="{F5568C7B-D954-4764-B5B0-772E45975C38}"/>
    <cellStyle name="20% - Accent1 2 2 2 4 3 2 2" xfId="21660" xr:uid="{BAAA00CD-C17A-4518-B270-35AEE05E05DD}"/>
    <cellStyle name="20% - Accent1 2 2 2 4 3 2 2 2" xfId="19282" xr:uid="{EB69B93D-3CF7-4EF3-8DA3-CBBA0FE7466E}"/>
    <cellStyle name="20% - Accent1 2 2 2 4 3 2 3" xfId="21653" xr:uid="{B49FE1BA-4324-4691-AD9B-8A7CFD58F2DB}"/>
    <cellStyle name="20% - Accent1 2 2 2 4 3 3" xfId="11166" xr:uid="{D3EF928B-4D59-4BC5-B70A-9EFB076A209B}"/>
    <cellStyle name="20% - Accent1 2 2 2 4 3 3 2" xfId="21647" xr:uid="{D5447CCF-80FE-4B71-98B6-57BA7403EADE}"/>
    <cellStyle name="20% - Accent1 2 2 2 4 3 4" xfId="11150" xr:uid="{93A3F3F5-A451-43AC-B894-B5AF357E5E67}"/>
    <cellStyle name="20% - Accent1 2 2 2 4 4" xfId="17005" xr:uid="{D26CCFC2-DF39-4ABC-BA94-8232C985F8A4}"/>
    <cellStyle name="20% - Accent1 2 2 2 4 4 2" xfId="9403" xr:uid="{1624F995-4C71-432A-8E08-DAC2F5A721B7}"/>
    <cellStyle name="20% - Accent1 2 2 2 4 4 2 2" xfId="21640" xr:uid="{1A11D213-8319-495A-8D4F-461B33AB6E26}"/>
    <cellStyle name="20% - Accent1 2 2 2 4 4 3" xfId="11144" xr:uid="{7DA01D6B-0FD8-43F7-9021-097B4B7DF3F1}"/>
    <cellStyle name="20% - Accent1 2 2 2 4 5" xfId="22805" xr:uid="{09DF8942-3639-4F80-9A62-134420DB25BF}"/>
    <cellStyle name="20% - Accent1 2 2 2 4 5 2" xfId="29769" xr:uid="{D241C65B-02B4-4F8F-BC49-37E85B03D961}"/>
    <cellStyle name="20% - Accent1 2 2 2 4 6" xfId="27822" xr:uid="{E6D40026-26FC-4796-B8B9-F6BC48965ED6}"/>
    <cellStyle name="20% - Accent1 2 2 2 5" xfId="33484" xr:uid="{2910C0F0-E236-4B96-874F-9AE84CB9E89D}"/>
    <cellStyle name="20% - Accent1 2 2 2 5 2" xfId="9383" xr:uid="{D4877711-4873-4151-9F05-332AF3F90938}"/>
    <cellStyle name="20% - Accent1 2 2 2 5 2 2" xfId="9381" xr:uid="{D4BDFDB3-1162-411F-97EC-FEF4AC963B0D}"/>
    <cellStyle name="20% - Accent1 2 2 2 5 2 2 2" xfId="21596" xr:uid="{BB07DAB1-DD52-4558-BA40-080CC0762117}"/>
    <cellStyle name="20% - Accent1 2 2 2 5 2 2 2 2" xfId="22549" xr:uid="{CA5BFC72-D96A-4902-9C55-EBFF74F6BB5A}"/>
    <cellStyle name="20% - Accent1 2 2 2 5 2 2 3" xfId="20240" xr:uid="{4BA80B13-1FD4-4ADB-8DF1-A987EE233FC8}"/>
    <cellStyle name="20% - Accent1 2 2 2 5 2 3" xfId="11060" xr:uid="{9F82B889-C24B-4B20-9A1F-DED61D5B98FF}"/>
    <cellStyle name="20% - Accent1 2 2 2 5 2 3 2" xfId="21589" xr:uid="{A6B01C86-4203-4EF3-9662-655E9287F24A}"/>
    <cellStyle name="20% - Accent1 2 2 2 5 2 4" xfId="11043" xr:uid="{D6E04BC3-D341-4C72-88E7-6A19E0B64E97}"/>
    <cellStyle name="20% - Accent1 2 2 2 5 3" xfId="13649" xr:uid="{AEED615B-E307-47BF-B82B-FB422DB54227}"/>
    <cellStyle name="20% - Accent1 2 2 2 5 3 2" xfId="28064" xr:uid="{3BC8EE61-283F-4DD1-B6F9-2250CC27F1C1}"/>
    <cellStyle name="20% - Accent1 2 2 2 5 3 2 2" xfId="21585" xr:uid="{EB16A1BD-92A1-437A-B09B-4477406FCE4B}"/>
    <cellStyle name="20% - Accent1 2 2 2 5 3 3" xfId="11039" xr:uid="{3917A277-8BDE-4D5B-AE06-4E49A1E3667A}"/>
    <cellStyle name="20% - Accent1 2 2 2 5 4" xfId="9375" xr:uid="{671C2681-6C8F-467C-A5D1-FDC400A30649}"/>
    <cellStyle name="20% - Accent1 2 2 2 5 4 2" xfId="9371" xr:uid="{EC0F19C3-D508-463D-B942-2E883B0B29F2}"/>
    <cellStyle name="20% - Accent1 2 2 2 5 5" xfId="5514" xr:uid="{62E6ABC4-8102-4915-95EA-10831ADCC678}"/>
    <cellStyle name="20% - Accent1 2 2 2 6" xfId="32416" xr:uid="{F46759BA-9165-474E-8EA7-A9FDBAC6CF2E}"/>
    <cellStyle name="20% - Accent1 2 2 2 6 2" xfId="11953" xr:uid="{83A86BDA-8893-4FFA-BFBB-BEBD31525670}"/>
    <cellStyle name="20% - Accent1 2 2 2 6 2 2" xfId="11950" xr:uid="{82068CE1-6519-4D24-ACC0-5427EEB75DA9}"/>
    <cellStyle name="20% - Accent1 2 2 2 6 2 2 2" xfId="21563" xr:uid="{502D3EFD-A581-4DCF-B4CE-2827F9087605}"/>
    <cellStyle name="20% - Accent1 2 2 2 6 2 3" xfId="10979" xr:uid="{8989FC3C-3B25-4E12-A480-0DD91862CDE8}"/>
    <cellStyle name="20% - Accent1 2 2 2 6 3" xfId="11946" xr:uid="{0FCF58BA-8033-47A9-9231-9E59DC5AFBA6}"/>
    <cellStyle name="20% - Accent1 2 2 2 6 3 2" xfId="9359" xr:uid="{35512C17-745B-4FCE-A7E3-0B6F4EA1D1D1}"/>
    <cellStyle name="20% - Accent1 2 2 2 6 4" xfId="9357" xr:uid="{83831630-9872-4060-A95C-A08788E30B91}"/>
    <cellStyle name="20% - Accent1 2 2 2 7" xfId="30886" xr:uid="{5037CB9D-87C4-4D53-9841-718930940985}"/>
    <cellStyle name="20% - Accent1 2 2 2 7 2" xfId="12257" xr:uid="{5E59A592-CA1A-40E7-A9D5-F4B50A7C56FE}"/>
    <cellStyle name="20% - Accent1 2 2 2 7 2 2" xfId="9352" xr:uid="{B8F90806-ACA0-4CE3-A7C6-0BA55A74CC00}"/>
    <cellStyle name="20% - Accent1 2 2 2 7 3" xfId="9350" xr:uid="{987B35D2-2AFC-429D-8620-8094E879B3F0}"/>
    <cellStyle name="20% - Accent1 2 2 2 8" xfId="29220" xr:uid="{668A280C-443D-4DA5-BDCC-35282A37A771}"/>
    <cellStyle name="20% - Accent1 2 2 2 8 2" xfId="9343" xr:uid="{338A0F1B-6B46-450A-95E8-DA427069590F}"/>
    <cellStyle name="20% - Accent1 2 2 2 9" xfId="25928" xr:uid="{74B0CF4F-CC1C-4017-8746-B41E5F60E837}"/>
    <cellStyle name="20% - Accent1 2 2 3" xfId="17470" xr:uid="{8E10BDFB-2E78-40BF-A238-5B7B6A4C4050}"/>
    <cellStyle name="20% - Accent1 2 2 3 2" xfId="31573" xr:uid="{BAEB3036-22A5-4C5E-97F3-8E8AAC9861A4}"/>
    <cellStyle name="20% - Accent1 2 2 3 2 2" xfId="34093" xr:uid="{C68773F6-BD64-46C5-BC5D-4B48847F4607}"/>
    <cellStyle name="20% - Accent1 2 2 3 2 2 2" xfId="33628" xr:uid="{A8AE31D3-9A00-48B3-B4C5-928473899CEF}"/>
    <cellStyle name="20% - Accent1 2 2 3 2 2 2 2" xfId="30395" xr:uid="{B6E3E8A4-7F90-4776-9C7C-26052CDC23E1}"/>
    <cellStyle name="20% - Accent1 2 2 3 2 2 2 2 2" xfId="14725" xr:uid="{DA756C7E-442B-442A-815F-973E8A22B79C}"/>
    <cellStyle name="20% - Accent1 2 2 3 2 2 2 2 2 2" xfId="22267" xr:uid="{CB7F8E04-4443-47DB-862B-ABB23CAC08B1}"/>
    <cellStyle name="20% - Accent1 2 2 3 2 2 2 2 2 2 2" xfId="33119" xr:uid="{B0F41B45-B36D-471B-82D4-C42F23BEAF27}"/>
    <cellStyle name="20% - Accent1 2 2 3 2 2 2 2 2 3" xfId="7206" xr:uid="{FE63CF4E-7821-4338-A5AE-9B0265A510AD}"/>
    <cellStyle name="20% - Accent1 2 2 3 2 2 2 2 3" xfId="12853" xr:uid="{20D778E4-3F03-4958-BCEB-2612BF7AC174}"/>
    <cellStyle name="20% - Accent1 2 2 3 2 2 2 2 3 2" xfId="24419" xr:uid="{83418ABA-F567-45B3-A59C-873D5ACA0A83}"/>
    <cellStyle name="20% - Accent1 2 2 3 2 2 2 2 4" xfId="7110" xr:uid="{F3885DC2-6432-4EA9-A22B-E6F09FD702ED}"/>
    <cellStyle name="20% - Accent1 2 2 3 2 2 2 3" xfId="23520" xr:uid="{46D0D95C-8786-46EA-8CD8-9BF7A8F0C6CB}"/>
    <cellStyle name="20% - Accent1 2 2 3 2 2 2 3 2" xfId="12851" xr:uid="{243B01CE-16FD-4D93-9AA4-7BD961A0522D}"/>
    <cellStyle name="20% - Accent1 2 2 3 2 2 2 3 2 2" xfId="24408" xr:uid="{286DBDF6-00C1-46FA-B10F-A5A2688F0226}"/>
    <cellStyle name="20% - Accent1 2 2 3 2 2 2 3 3" xfId="7102" xr:uid="{36099C32-1947-476D-8D9C-C9B67ACAC28D}"/>
    <cellStyle name="20% - Accent1 2 2 3 2 2 2 4" xfId="21477" xr:uid="{360111A7-74B6-4CB1-B209-30D10F0A3DC0}"/>
    <cellStyle name="20% - Accent1 2 2 3 2 2 2 4 2" xfId="15398" xr:uid="{16963E35-0D56-4179-934E-1D4FE11A2756}"/>
    <cellStyle name="20% - Accent1 2 2 3 2 2 2 5" xfId="21472" xr:uid="{7BC1FE0F-987E-4941-AA30-6FB40FD8F19A}"/>
    <cellStyle name="20% - Accent1 2 2 3 2 2 3" xfId="33919" xr:uid="{5BBFD814-8684-428A-A4CA-987F15EED7AF}"/>
    <cellStyle name="20% - Accent1 2 2 3 2 2 3 2" xfId="23500" xr:uid="{DFD5E195-B2D3-49DB-AA52-5D9DCC52AEA1}"/>
    <cellStyle name="20% - Accent1 2 2 3 2 2 3 2 2" xfId="12847" xr:uid="{A25EC735-E3B8-400E-BC3A-614CF7ACAD4F}"/>
    <cellStyle name="20% - Accent1 2 2 3 2 2 3 2 2 2" xfId="20159" xr:uid="{B4260FA1-A7A4-46B3-B898-0C18F0BEA60B}"/>
    <cellStyle name="20% - Accent1 2 2 3 2 2 3 2 3" xfId="22764" xr:uid="{712CC55A-24FE-4986-BC0A-8A4148CCAD71}"/>
    <cellStyle name="20% - Accent1 2 2 3 2 2 3 3" xfId="21464" xr:uid="{9FB13792-55AB-4920-A19A-A027433EB27E}"/>
    <cellStyle name="20% - Accent1 2 2 3 2 2 3 3 2" xfId="32962" xr:uid="{E47E8B3E-7BE1-40CE-91AC-CB4265FCFAB1}"/>
    <cellStyle name="20% - Accent1 2 2 3 2 2 3 4" xfId="21460" xr:uid="{16B0A2EE-6D16-4262-A7FE-AEEE344BAD90}"/>
    <cellStyle name="20% - Accent1 2 2 3 2 2 4" xfId="32390" xr:uid="{06B5F418-43F2-4BD6-BC2E-6A96A8FFF2E3}"/>
    <cellStyle name="20% - Accent1 2 2 3 2 2 4 2" xfId="21458" xr:uid="{A4CD052A-C6EF-490A-9436-D2EE4440CD66}"/>
    <cellStyle name="20% - Accent1 2 2 3 2 2 4 2 2" xfId="30446" xr:uid="{C5D0AEB3-7419-469E-86E2-18797C61B77D}"/>
    <cellStyle name="20% - Accent1 2 2 3 2 2 4 3" xfId="21454" xr:uid="{8AB360AC-13BC-4C5A-988F-BEF4B13DE3C1}"/>
    <cellStyle name="20% - Accent1 2 2 3 2 2 5" xfId="34020" xr:uid="{88710317-3DF3-4D8B-B0A8-2B2FCB5F1C34}"/>
    <cellStyle name="20% - Accent1 2 2 3 2 2 5 2" xfId="29825" xr:uid="{D032DD59-B966-4752-B96F-D37C793C9979}"/>
    <cellStyle name="20% - Accent1 2 2 3 2 2 6" xfId="32803" xr:uid="{1F48F9CF-E859-4F2F-9D57-07C8ED3222DB}"/>
    <cellStyle name="20% - Accent1 2 2 3 2 3" xfId="27908" xr:uid="{E86695B3-9678-4794-BE2E-D5D09754D87D}"/>
    <cellStyle name="20% - Accent1 2 2 3 2 3 2" xfId="34007" xr:uid="{52CBE39F-B2C5-46F2-8DD5-78C53132C117}"/>
    <cellStyle name="20% - Accent1 2 2 3 2 3 2 2" xfId="23341" xr:uid="{E5437F72-C5E1-4D64-A8DD-4A01B952A8AD}"/>
    <cellStyle name="20% - Accent1 2 2 3 2 3 2 2 2" xfId="29266" xr:uid="{77D819AC-D8BD-4A69-A3A4-2532231343A1}"/>
    <cellStyle name="20% - Accent1 2 2 3 2 3 2 2 2 2" xfId="24075" xr:uid="{65CC2D55-CA1A-4899-A660-64C55E670813}"/>
    <cellStyle name="20% - Accent1 2 2 3 2 3 2 2 3" xfId="28564" xr:uid="{FC0DD2D2-8E6C-4AF0-9EC5-7099D8FBC46A}"/>
    <cellStyle name="20% - Accent1 2 2 3 2 3 2 3" xfId="21444" xr:uid="{7722C9C1-AF30-4300-9B25-42C8540D500F}"/>
    <cellStyle name="20% - Accent1 2 2 3 2 3 2 3 2" xfId="30552" xr:uid="{B72D2827-4C9D-4BD4-A71B-79A1099AE3A1}"/>
    <cellStyle name="20% - Accent1 2 2 3 2 3 2 4" xfId="21439" xr:uid="{0A57E2B7-97D8-443F-B788-0E639E87D2C3}"/>
    <cellStyle name="20% - Accent1 2 2 3 2 3 3" xfId="22143" xr:uid="{8C9CD898-D7AF-4287-80E6-D4D5DC74F468}"/>
    <cellStyle name="20% - Accent1 2 2 3 2 3 3 2" xfId="21437" xr:uid="{40C86764-709E-41E6-85ED-3ACD9C93F10D}"/>
    <cellStyle name="20% - Accent1 2 2 3 2 3 3 2 2" xfId="33890" xr:uid="{15AAD415-4195-49A2-82D8-25CB41522A0E}"/>
    <cellStyle name="20% - Accent1 2 2 3 2 3 3 3" xfId="21430" xr:uid="{E85A31F8-C4BB-4A00-AD4E-822F19500222}"/>
    <cellStyle name="20% - Accent1 2 2 3 2 3 4" xfId="34003" xr:uid="{58583BCE-6FBF-4501-B174-5997DFA9733B}"/>
    <cellStyle name="20% - Accent1 2 2 3 2 3 4 2" xfId="30309" xr:uid="{896E2394-8D12-4A83-B862-574BC12168E5}"/>
    <cellStyle name="20% - Accent1 2 2 3 2 3 5" xfId="33893" xr:uid="{9EB98C9F-8F89-4501-9D98-DC330BB5522D}"/>
    <cellStyle name="20% - Accent1 2 2 3 2 4" xfId="33989" xr:uid="{D0467C5E-AEC5-4150-94F0-488531AB3BDB}"/>
    <cellStyle name="20% - Accent1 2 2 3 2 4 2" xfId="33571" xr:uid="{171B719F-0096-4D67-83A3-2A3F0AAE3A4D}"/>
    <cellStyle name="20% - Accent1 2 2 3 2 4 2 2" xfId="12738" xr:uid="{DA6D6EC6-8FB5-4E32-B81E-44D9D2AF740D}"/>
    <cellStyle name="20% - Accent1 2 2 3 2 4 2 2 2" xfId="31851" xr:uid="{FEE9E680-1E0D-4811-907A-A8FE21DCEE09}"/>
    <cellStyle name="20% - Accent1 2 2 3 2 4 2 3" xfId="12731" xr:uid="{F9AE953A-7B48-43DF-84E2-9834298454A3}"/>
    <cellStyle name="20% - Accent1 2 2 3 2 4 3" xfId="33567" xr:uid="{11CC818B-F66A-47CE-9E23-51B6CD1FA82B}"/>
    <cellStyle name="20% - Accent1 2 2 3 2 4 3 2" xfId="21414" xr:uid="{4611F9CA-08FF-42BF-BE91-3EA37D4570FC}"/>
    <cellStyle name="20% - Accent1 2 2 3 2 4 4" xfId="33907" xr:uid="{E0091692-1430-45D1-9F0E-EDCF8E28789E}"/>
    <cellStyle name="20% - Accent1 2 2 3 2 5" xfId="34237" xr:uid="{946701FF-143A-44DD-9395-EDA0BCCDD9D7}"/>
    <cellStyle name="20% - Accent1 2 2 3 2 5 2" xfId="31377" xr:uid="{AB02202B-1998-4311-B1AB-EBBBA079E63B}"/>
    <cellStyle name="20% - Accent1 2 2 3 2 5 2 2" xfId="12280" xr:uid="{FBC89EB8-F4AC-4010-919F-45496A088790}"/>
    <cellStyle name="20% - Accent1 2 2 3 2 5 3" xfId="25423" xr:uid="{6E3140AF-66CD-4029-AE6C-7429F1CB05AB}"/>
    <cellStyle name="20% - Accent1 2 2 3 2 6" xfId="22911" xr:uid="{D6016AF0-A721-4BBF-B331-153DD8DBF568}"/>
    <cellStyle name="20% - Accent1 2 2 3 2 6 2" xfId="33831" xr:uid="{6CF88260-58E0-4189-A9BE-6E433CE1E335}"/>
    <cellStyle name="20% - Accent1 2 2 3 2 7" xfId="34021" xr:uid="{8064C5EF-68AD-416E-ADE7-04225EFDC454}"/>
    <cellStyle name="20% - Accent1 2 2 3 3" xfId="34037" xr:uid="{FFABCF6C-3BB5-4AF8-B7A3-49E9B0224679}"/>
    <cellStyle name="20% - Accent1 2 2 3 3 2" xfId="31701" xr:uid="{9D58C019-6A36-4E73-8830-09C3EAE66E45}"/>
    <cellStyle name="20% - Accent1 2 2 3 3 2 2" xfId="24432" xr:uid="{372DFC9C-7094-4DC6-8433-C14A857B5B16}"/>
    <cellStyle name="20% - Accent1 2 2 3 3 2 2 2" xfId="30444" xr:uid="{99D430C4-C3F8-46FF-A54B-1262344C947F}"/>
    <cellStyle name="20% - Accent1 2 2 3 3 2 2 2 2" xfId="12800" xr:uid="{C35989C5-0DE4-4E21-BBE5-B86CE2CE01F0}"/>
    <cellStyle name="20% - Accent1 2 2 3 3 2 2 2 2 2" xfId="22543" xr:uid="{1BE89805-53B1-4BF9-A6FD-D22C8BA86AF7}"/>
    <cellStyle name="20% - Accent1 2 2 3 3 2 2 2 3" xfId="11618" xr:uid="{F471E39F-E593-4CD1-919A-FAA98F78A258}"/>
    <cellStyle name="20% - Accent1 2 2 3 3 2 2 3" xfId="30176" xr:uid="{3DCDDE90-F638-4A30-8379-1F32F2889320}"/>
    <cellStyle name="20% - Accent1 2 2 3 3 2 2 3 2" xfId="20595" xr:uid="{32F80CE4-23BE-4F46-85C3-FF09AFAFBCC9}"/>
    <cellStyle name="20% - Accent1 2 2 3 3 2 2 4" xfId="21385" xr:uid="{6DCECD8E-B180-42FF-808B-9D84800DCC7E}"/>
    <cellStyle name="20% - Accent1 2 2 3 3 2 3" xfId="25743" xr:uid="{81A9EDFA-82AF-40E5-B40F-A3E42A647949}"/>
    <cellStyle name="20% - Accent1 2 2 3 3 2 3 2" xfId="29712" xr:uid="{F8D46F02-E454-4DC6-A4E3-AB4014BB8E01}"/>
    <cellStyle name="20% - Accent1 2 2 3 3 2 3 2 2" xfId="26140" xr:uid="{8C539443-578B-4E44-A885-AD4A7334CEEF}"/>
    <cellStyle name="20% - Accent1 2 2 3 3 2 3 3" xfId="21383" xr:uid="{BEE7D3C6-14B5-4612-84D0-2CC03DB9CAE9}"/>
    <cellStyle name="20% - Accent1 2 2 3 3 2 4" xfId="32884" xr:uid="{B473C2EB-52D2-4F3D-AF49-D7145B651B14}"/>
    <cellStyle name="20% - Accent1 2 2 3 3 2 4 2" xfId="21381" xr:uid="{78C9328A-8B6C-4198-A770-A55C7059EE4B}"/>
    <cellStyle name="20% - Accent1 2 2 3 3 2 5" xfId="10805" xr:uid="{FDB6FEDD-3C40-4A50-B182-1AFFC276DB96}"/>
    <cellStyle name="20% - Accent1 2 2 3 3 3" xfId="31675" xr:uid="{E4B42468-CCC3-44BD-9A1C-408D4E70A66C}"/>
    <cellStyle name="20% - Accent1 2 2 3 3 3 2" xfId="31663" xr:uid="{11D03077-CD15-4042-89E5-1D79C23DF35D}"/>
    <cellStyle name="20% - Accent1 2 2 3 3 3 2 2" xfId="30142" xr:uid="{77554AAE-7248-4B58-9E25-6AE449BD1913}"/>
    <cellStyle name="20% - Accent1 2 2 3 3 3 2 2 2" xfId="18806" xr:uid="{62DD1BA6-705A-48A5-957E-B8804988DC6F}"/>
    <cellStyle name="20% - Accent1 2 2 3 3 3 2 3" xfId="21375" xr:uid="{E7F795DC-27BB-4125-9740-0E632659FCE9}"/>
    <cellStyle name="20% - Accent1 2 2 3 3 3 3" xfId="10799" xr:uid="{EF0126FC-C617-4FA4-BD3E-EF3A6120351C}"/>
    <cellStyle name="20% - Accent1 2 2 3 3 3 3 2" xfId="18015" xr:uid="{DE768231-AB99-4F0B-BCAE-0FA8F5518853}"/>
    <cellStyle name="20% - Accent1 2 2 3 3 3 4" xfId="10789" xr:uid="{51242A66-8352-4635-A21B-A7A7254F20F6}"/>
    <cellStyle name="20% - Accent1 2 2 3 3 4" xfId="22259" xr:uid="{8B2B8AC4-82A0-4371-A767-B8B4434CEB44}"/>
    <cellStyle name="20% - Accent1 2 2 3 3 4 2" xfId="9273" xr:uid="{EB3D3603-62EC-43FA-879E-73F75606F0B4}"/>
    <cellStyle name="20% - Accent1 2 2 3 3 4 2 2" xfId="11992" xr:uid="{9E8FB907-7D4E-4FD4-B27F-565543A5511F}"/>
    <cellStyle name="20% - Accent1 2 2 3 3 4 3" xfId="22879" xr:uid="{BD659CBE-68AE-4D92-9B99-6E2C0D49108C}"/>
    <cellStyle name="20% - Accent1 2 2 3 3 5" xfId="22789" xr:uid="{9C6C5F57-21FF-408D-870B-C09DAE32F528}"/>
    <cellStyle name="20% - Accent1 2 2 3 3 5 2" xfId="9271" xr:uid="{159DB9B0-0246-40A1-A9F7-05F3FF93664C}"/>
    <cellStyle name="20% - Accent1 2 2 3 3 6" xfId="27382" xr:uid="{9FFF97AA-7ADA-4BD4-B6A0-D20A7EFFFB9E}"/>
    <cellStyle name="20% - Accent1 2 2 3 4" xfId="31148" xr:uid="{BA403CEF-3F64-4E70-A443-F439433EDA47}"/>
    <cellStyle name="20% - Accent1 2 2 3 4 2" xfId="31643" xr:uid="{E4A61F36-94DB-49BA-8DF9-2F8B1F6F8888}"/>
    <cellStyle name="20% - Accent1 2 2 3 4 2 2" xfId="31146" xr:uid="{1D514563-74C4-43B1-9F0F-514379C22E5B}"/>
    <cellStyle name="20% - Accent1 2 2 3 4 2 2 2" xfId="29924" xr:uid="{D26F897E-A330-4FF3-A260-041715E7B032}"/>
    <cellStyle name="20% - Accent1 2 2 3 4 2 2 2 2" xfId="18682" xr:uid="{616C8EEE-68FA-4B05-B460-8BCB8DB1F9CC}"/>
    <cellStyle name="20% - Accent1 2 2 3 4 2 2 3" xfId="21357" xr:uid="{0AC8F51D-9F23-41C6-9AED-9BFE68353481}"/>
    <cellStyle name="20% - Accent1 2 2 3 4 2 3" xfId="14573" xr:uid="{4436E1D3-BB01-4576-8446-141D66D7E122}"/>
    <cellStyle name="20% - Accent1 2 2 3 4 2 3 2" xfId="21353" xr:uid="{90D0247B-0F0D-4BBD-B777-E6F52BB37B2C}"/>
    <cellStyle name="20% - Accent1 2 2 3 4 2 4" xfId="10692" xr:uid="{8E63DBB5-2842-43BC-AD41-3E14F97C9823}"/>
    <cellStyle name="20% - Accent1 2 2 3 4 3" xfId="30799" xr:uid="{6ABE08F8-D221-40E1-823E-B696733E94E6}"/>
    <cellStyle name="20% - Accent1 2 2 3 4 3 2" xfId="14566" xr:uid="{6BFCA1D5-8208-46A5-9A77-1985FDEE7643}"/>
    <cellStyle name="20% - Accent1 2 2 3 4 3 2 2" xfId="21350" xr:uid="{66990E71-5830-4F14-B51C-A7E92FA94490}"/>
    <cellStyle name="20% - Accent1 2 2 3 4 3 3" xfId="10686" xr:uid="{5F31DC73-335F-4132-BFE2-E5E69468119E}"/>
    <cellStyle name="20% - Accent1 2 2 3 4 4" xfId="9237" xr:uid="{570F7AAB-CFBC-4794-A92E-76C3A16819FB}"/>
    <cellStyle name="20% - Accent1 2 2 3 4 4 2" xfId="9234" xr:uid="{4CF62058-A275-4D2A-BA90-49F026232398}"/>
    <cellStyle name="20% - Accent1 2 2 3 4 5" xfId="9232" xr:uid="{A5090C39-66F6-45D7-A1A3-1464A9BE1988}"/>
    <cellStyle name="20% - Accent1 2 2 3 5" xfId="25418" xr:uid="{CA22E56E-21B8-4B9E-986C-E3203C4CC10E}"/>
    <cellStyle name="20% - Accent1 2 2 3 5 2" xfId="31623" xr:uid="{5A908493-F80C-4CD8-A295-4E56F7C5B165}"/>
    <cellStyle name="20% - Accent1 2 2 3 5 2 2" xfId="14559" xr:uid="{E090C8AF-F1D2-42DC-BC21-1C53E4C933E1}"/>
    <cellStyle name="20% - Accent1 2 2 3 5 2 2 2" xfId="21340" xr:uid="{15CD825F-AB7F-4245-9AC2-45884AC3D079}"/>
    <cellStyle name="20% - Accent1 2 2 3 5 2 3" xfId="10625" xr:uid="{69E91594-4DD3-4849-8CD3-A77A134D2989}"/>
    <cellStyle name="20% - Accent1 2 2 3 5 3" xfId="18208" xr:uid="{32678BC8-A691-4592-A716-CAADF2A20A30}"/>
    <cellStyle name="20% - Accent1 2 2 3 5 3 2" xfId="9212" xr:uid="{76FB59C6-FA4C-4F9B-82A5-ED07CCB74ADF}"/>
    <cellStyle name="20% - Accent1 2 2 3 5 4" xfId="27713" xr:uid="{52CEBD7B-4DA1-44E8-953D-62F61090B3AC}"/>
    <cellStyle name="20% - Accent1 2 2 3 6" xfId="29905" xr:uid="{72B1B1FC-2A34-4B53-88AE-E7E361AAD2CF}"/>
    <cellStyle name="20% - Accent1 2 2 3 6 2" xfId="11940" xr:uid="{E614396F-F54A-47AD-AF5F-636737D41651}"/>
    <cellStyle name="20% - Accent1 2 2 3 6 2 2" xfId="12812" xr:uid="{99AE741B-774C-4738-B5C6-05981F7F5E2B}"/>
    <cellStyle name="20% - Accent1 2 2 3 6 3" xfId="18204" xr:uid="{E2D09239-AC73-43C8-A0F9-5992FFAD3CEB}"/>
    <cellStyle name="20% - Accent1 2 2 3 7" xfId="29576" xr:uid="{B157EE99-A763-4705-9931-FD4DEF1C25CF}"/>
    <cellStyle name="20% - Accent1 2 2 3 7 2" xfId="9194" xr:uid="{850C9819-4450-4E97-9FB9-179966E39584}"/>
    <cellStyle name="20% - Accent1 2 2 3 8" xfId="29007" xr:uid="{634403BC-2DB0-4D40-A695-F50BA219C159}"/>
    <cellStyle name="20% - Accent1 2 2 4" xfId="5638" xr:uid="{23BCFC5A-A600-4C5A-B0BF-0C66E8683E0C}"/>
    <cellStyle name="20% - Accent1 2 2 4 2" xfId="9426" xr:uid="{752BB461-1533-4B7A-B0D4-FE54F0270CB5}"/>
    <cellStyle name="20% - Accent1 2 2 4 2 2" xfId="9423" xr:uid="{558346C9-4972-4187-B6FE-8A69B83EA661}"/>
    <cellStyle name="20% - Accent1 2 2 4 2 2 2" xfId="33337" xr:uid="{045054BC-A42F-4A5D-AE76-429E591373A5}"/>
    <cellStyle name="20% - Accent1 2 2 4 2 2 2 2" xfId="22849" xr:uid="{81295138-922D-491A-AE17-33D0708ABE5D}"/>
    <cellStyle name="20% - Accent1 2 2 4 2 2 2 2 2" xfId="29348" xr:uid="{C69CEC70-FB23-4E62-A31A-BE23909BB540}"/>
    <cellStyle name="20% - Accent1 2 2 4 2 2 2 2 2 2" xfId="26326" xr:uid="{EBD39EDB-6F9A-4556-A787-5FF7FCC4F89A}"/>
    <cellStyle name="20% - Accent1 2 2 4 2 2 2 2 3" xfId="10071" xr:uid="{F4EA54D1-D696-4DF1-B38D-AEEC11177DC9}"/>
    <cellStyle name="20% - Accent1 2 2 4 2 2 2 3" xfId="23553" xr:uid="{285AB00B-970A-4CC7-A291-36406C1B2D86}"/>
    <cellStyle name="20% - Accent1 2 2 4 2 2 2 3 2" xfId="28382" xr:uid="{E89BB16C-7964-425B-8241-7ABE88F0F2A2}"/>
    <cellStyle name="20% - Accent1 2 2 4 2 2 2 4" xfId="21251" xr:uid="{340A5467-6B98-4605-9C0C-F582AF55DB4E}"/>
    <cellStyle name="20% - Accent1 2 2 4 2 2 3" xfId="33330" xr:uid="{745C0051-F500-4E37-ABE5-161123E54757}"/>
    <cellStyle name="20% - Accent1 2 2 4 2 2 3 2" xfId="21247" xr:uid="{CE5B5F6A-16E4-43F9-9DDA-C349EC7300FB}"/>
    <cellStyle name="20% - Accent1 2 2 4 2 2 3 2 2" xfId="21216" xr:uid="{F6E7A8CC-D5DA-4C03-B198-89FC02A38DBD}"/>
    <cellStyle name="20% - Accent1 2 2 4 2 2 3 3" xfId="21244" xr:uid="{484CE8C2-DF30-40DA-ADCC-36BE6FEB3DCD}"/>
    <cellStyle name="20% - Accent1 2 2 4 2 2 4" xfId="33320" xr:uid="{47971D2F-76D1-41FE-8806-5F7B74A922C5}"/>
    <cellStyle name="20% - Accent1 2 2 4 2 2 4 2" xfId="21241" xr:uid="{02B5D2E8-2D8F-47AD-A542-F5606C103917}"/>
    <cellStyle name="20% - Accent1 2 2 4 2 2 5" xfId="32715" xr:uid="{EA6BA893-ADB8-41D5-A9AD-FA508FE639D5}"/>
    <cellStyle name="20% - Accent1 2 2 4 2 3" xfId="5636" xr:uid="{BC9962AA-A113-4F03-8700-AB36EF15B123}"/>
    <cellStyle name="20% - Accent1 2 2 4 2 3 2" xfId="33305" xr:uid="{8C3AB4F3-F744-46BA-B3EF-DFC86151286C}"/>
    <cellStyle name="20% - Accent1 2 2 4 2 3 2 2" xfId="21232" xr:uid="{02DEF2BF-577E-418D-97FD-270C87FA7AE9}"/>
    <cellStyle name="20% - Accent1 2 2 4 2 3 2 2 2" xfId="20697" xr:uid="{CD9B7E36-E858-4864-863E-C4A46E969A4F}"/>
    <cellStyle name="20% - Accent1 2 2 4 2 3 2 3" xfId="21228" xr:uid="{DFB44914-EC61-4DF3-AA5F-894CCC0B6692}"/>
    <cellStyle name="20% - Accent1 2 2 4 2 3 3" xfId="33290" xr:uid="{37846177-5C42-47F5-A08F-A8657CEDEB9A}"/>
    <cellStyle name="20% - Accent1 2 2 4 2 3 3 2" xfId="21224" xr:uid="{42DF9AB1-24DB-4171-8108-2D103B43C20F}"/>
    <cellStyle name="20% - Accent1 2 2 4 2 3 4" xfId="32646" xr:uid="{8C7BB2CE-C0F5-4663-9FAF-6390E1216C23}"/>
    <cellStyle name="20% - Accent1 2 2 4 2 4" xfId="33216" xr:uid="{E575D396-1A3C-4F59-B313-A73648FA6FF5}"/>
    <cellStyle name="20% - Accent1 2 2 4 2 4 2" xfId="31992" xr:uid="{B21F4D93-FB01-4D67-BDC9-FEF4E41B04BE}"/>
    <cellStyle name="20% - Accent1 2 2 4 2 4 2 2" xfId="24393" xr:uid="{895C13CC-E277-42D0-8129-2ED667D43200}"/>
    <cellStyle name="20% - Accent1 2 2 4 2 4 3" xfId="32621" xr:uid="{C5CCCA3D-D08F-448E-B475-C1407A5FA915}"/>
    <cellStyle name="20% - Accent1 2 2 4 2 5" xfId="29112" xr:uid="{A640E50F-E6C7-4AFC-8B6E-1ACDBFC6A5D2}"/>
    <cellStyle name="20% - Accent1 2 2 4 2 5 2" xfId="16822" xr:uid="{6215301D-381D-4A84-A668-28BA1F90CFA9}"/>
    <cellStyle name="20% - Accent1 2 2 4 2 6" xfId="32583" xr:uid="{97CD6ADF-E70A-439F-A714-9655E6136D99}"/>
    <cellStyle name="20% - Accent1 2 2 4 3" xfId="9420" xr:uid="{927C322C-D3CA-44D9-80FC-E631E00F2B1F}"/>
    <cellStyle name="20% - Accent1 2 2 4 3 2" xfId="5632" xr:uid="{00C7230E-8BA7-4BFB-A3ED-2CC4AE9DF481}"/>
    <cellStyle name="20% - Accent1 2 2 4 3 2 2" xfId="13513" xr:uid="{2D1A2CC1-1A50-46D8-9315-CA104531673F}"/>
    <cellStyle name="20% - Accent1 2 2 4 3 2 2 2" xfId="23356" xr:uid="{63B7B2C8-0F57-4103-BA57-FFB9054D7D36}"/>
    <cellStyle name="20% - Accent1 2 2 4 3 2 2 2 2" xfId="18429" xr:uid="{3C7AA92D-6619-4429-AABA-3B17C050A8D3}"/>
    <cellStyle name="20% - Accent1 2 2 4 3 2 2 3" xfId="21207" xr:uid="{AF746381-C529-47DE-BEDC-EBACB823A5D3}"/>
    <cellStyle name="20% - Accent1 2 2 4 3 2 3" xfId="10511" xr:uid="{DC102FB9-01ED-4B56-9497-DA1C1B11E24D}"/>
    <cellStyle name="20% - Accent1 2 2 4 3 2 3 2" xfId="10419" xr:uid="{4876AEC9-76EB-4051-A602-A3D40756F37A}"/>
    <cellStyle name="20% - Accent1 2 2 4 3 2 4" xfId="10505" xr:uid="{D4DA0D8C-BF3E-480F-B4E0-6D152B7CE8E5}"/>
    <cellStyle name="20% - Accent1 2 2 4 3 3" xfId="25484" xr:uid="{21F763F4-7FEE-4109-8E9D-E56D7A866543}"/>
    <cellStyle name="20% - Accent1 2 2 4 3 3 2" xfId="9140" xr:uid="{0B2072A1-B2A5-4362-87DA-7F0E9CBB3B33}"/>
    <cellStyle name="20% - Accent1 2 2 4 3 3 2 2" xfId="21201" xr:uid="{0AED103D-4FBB-4563-B489-543E38E8C8AB}"/>
    <cellStyle name="20% - Accent1 2 2 4 3 3 3" xfId="10496" xr:uid="{BE3ECCF6-A331-4750-AD70-7389E093308B}"/>
    <cellStyle name="20% - Accent1 2 2 4 3 4" xfId="22548" xr:uid="{FF7EAC28-C38D-470F-BAEC-5C7E0C833C89}"/>
    <cellStyle name="20% - Accent1 2 2 4 3 4 2" xfId="9136" xr:uid="{BC29DF06-0BAF-471A-9B1E-5016A1ECFA97}"/>
    <cellStyle name="20% - Accent1 2 2 4 3 5" xfId="18750" xr:uid="{EB4B5720-240D-4A28-A9D0-05AA57DDE5B7}"/>
    <cellStyle name="20% - Accent1 2 2 4 4" xfId="5630" xr:uid="{31FB83B4-EADF-46D1-AAEE-DFF3C067D2E5}"/>
    <cellStyle name="20% - Accent1 2 2 4 4 2" xfId="13291" xr:uid="{741DEF29-DF04-43BE-84A1-8FBF85DB2200}"/>
    <cellStyle name="20% - Accent1 2 2 4 4 2 2" xfId="13286" xr:uid="{732679AC-B763-4F8E-8602-FEB62F074BB0}"/>
    <cellStyle name="20% - Accent1 2 2 4 4 2 2 2" xfId="23860" xr:uid="{DCB2F1F4-7168-44DD-A08F-729820D8C35C}"/>
    <cellStyle name="20% - Accent1 2 2 4 4 2 3" xfId="10439" xr:uid="{B702C884-5199-43C9-B5EC-566ACC9F36D6}"/>
    <cellStyle name="20% - Accent1 2 2 4 4 3" xfId="24502" xr:uid="{38E78D4D-9729-4B29-BB1C-EE038D5EAE30}"/>
    <cellStyle name="20% - Accent1 2 2 4 4 3 2" xfId="9111" xr:uid="{5A249D15-7207-4952-AD11-E3E162648478}"/>
    <cellStyle name="20% - Accent1 2 2 4 4 4" xfId="13626" xr:uid="{D22CF987-AAF4-4C55-847C-D896B7EE1306}"/>
    <cellStyle name="20% - Accent1 2 2 4 5" xfId="25404" xr:uid="{C118CC62-436E-4BB5-93D3-A90C72D18BB6}"/>
    <cellStyle name="20% - Accent1 2 2 4 5 2" xfId="19583" xr:uid="{D5825D1B-E7DA-4869-A44A-3949BA13B956}"/>
    <cellStyle name="20% - Accent1 2 2 4 5 2 2" xfId="9096" xr:uid="{74950D8F-AD31-44FC-8D17-2E13A63EFAF5}"/>
    <cellStyle name="20% - Accent1 2 2 4 5 3" xfId="13165" xr:uid="{3771591B-E29A-46C2-87DD-42B0E5EDDB3A}"/>
    <cellStyle name="20% - Accent1 2 2 4 6" xfId="33024" xr:uid="{9BCE4995-C929-4894-B547-A4D3C2026CDB}"/>
    <cellStyle name="20% - Accent1 2 2 4 6 2" xfId="13144" xr:uid="{EB6D9E7E-C4DC-4E45-8FEC-14A557F19B2C}"/>
    <cellStyle name="20% - Accent1 2 2 4 7" xfId="31102" xr:uid="{AC415C29-49B1-4188-912E-06B7846ACB4D}"/>
    <cellStyle name="20% - Accent1 2 2 5" xfId="5628" xr:uid="{FED300FD-7CE1-40DB-86DF-9DBCC8968446}"/>
    <cellStyle name="20% - Accent1 2 2 5 2" xfId="33157" xr:uid="{62A37CD8-FDD5-4526-B075-C2394FEB3A2B}"/>
    <cellStyle name="20% - Accent1 2 2 5 2 2" xfId="29214" xr:uid="{D8ED8B0C-7937-424F-AA96-4295AAE41575}"/>
    <cellStyle name="20% - Accent1 2 2 5 2 2 2" xfId="25018" xr:uid="{860E0798-13AF-4D60-8127-00E155EADED1}"/>
    <cellStyle name="20% - Accent1 2 2 5 2 2 2 2" xfId="23178" xr:uid="{89A4367C-047E-460E-BA32-F31D92DD6A45}"/>
    <cellStyle name="20% - Accent1 2 2 5 2 2 2 2 2" xfId="30998" xr:uid="{BB4FE16D-CE61-4F5F-9A65-F630B2798C08}"/>
    <cellStyle name="20% - Accent1 2 2 5 2 2 2 3" xfId="23349" xr:uid="{99E3B81E-F862-42DE-9210-E062BB1E59BE}"/>
    <cellStyle name="20% - Accent1 2 2 5 2 2 3" xfId="33078" xr:uid="{C3F56262-AE90-4BFB-ABB2-37828009AF61}"/>
    <cellStyle name="20% - Accent1 2 2 5 2 2 3 2" xfId="23345" xr:uid="{697B563B-9B09-415D-A589-4759E5BFC729}"/>
    <cellStyle name="20% - Accent1 2 2 5 2 2 4" xfId="32746" xr:uid="{592FF544-45AA-4C0B-B439-C0C012705A16}"/>
    <cellStyle name="20% - Accent1 2 2 5 2 3" xfId="26216" xr:uid="{F2115329-C063-451F-8853-42B107B679C9}"/>
    <cellStyle name="20% - Accent1 2 2 5 2 3 2" xfId="16848" xr:uid="{B498DDC6-3FDD-4B0B-9E19-283D9CB1AA04}"/>
    <cellStyle name="20% - Accent1 2 2 5 2 3 2 2" xfId="23331" xr:uid="{7F6AF059-D41C-4C6D-A8C8-EF875FB96FED}"/>
    <cellStyle name="20% - Accent1 2 2 5 2 3 3" xfId="32374" xr:uid="{E2123C8B-C595-41D2-BDDB-A48D2FA87DB7}"/>
    <cellStyle name="20% - Accent1 2 2 5 2 4" xfId="27252" xr:uid="{639F8B29-07D5-42DE-B779-2C9320350C11}"/>
    <cellStyle name="20% - Accent1 2 2 5 2 4 2" xfId="27308" xr:uid="{42EDE8B2-AD96-4447-805C-2FBB7083804B}"/>
    <cellStyle name="20% - Accent1 2 2 5 2 5" xfId="31115" xr:uid="{1D824FF4-659D-407B-AD68-8ED267E7FF62}"/>
    <cellStyle name="20% - Accent1 2 2 5 3" xfId="11244" xr:uid="{3FDCDC5D-C9BF-4713-B68F-3286623FC934}"/>
    <cellStyle name="20% - Accent1 2 2 5 3 2" xfId="13050" xr:uid="{3B33DE20-F85F-46EC-846A-43E1956CD9C5}"/>
    <cellStyle name="20% - Accent1 2 2 5 3 2 2" xfId="13047" xr:uid="{DBE4EA58-80FA-4534-B0AF-0EAAF30E208F}"/>
    <cellStyle name="20% - Accent1 2 2 5 3 2 2 2" xfId="29260" xr:uid="{BF5513BC-1A65-4183-B4E5-DB9382C94CBD}"/>
    <cellStyle name="20% - Accent1 2 2 5 3 2 3" xfId="10369" xr:uid="{258C6248-5F47-4958-9785-509AB99F8C64}"/>
    <cellStyle name="20% - Accent1 2 2 5 3 3" xfId="25458" xr:uid="{41A37F68-D087-4126-9058-BE32DA9F47C1}"/>
    <cellStyle name="20% - Accent1 2 2 5 3 3 2" xfId="9065" xr:uid="{3A74C0FA-F28D-4566-8530-E97E7AD0A24F}"/>
    <cellStyle name="20% - Accent1 2 2 5 3 4" xfId="13584" xr:uid="{CFA53A37-0954-4F68-9CBC-5F46FDECCA57}"/>
    <cellStyle name="20% - Accent1 2 2 5 4" xfId="33279" xr:uid="{FC7B2D44-487C-4365-BEB7-B411FC604590}"/>
    <cellStyle name="20% - Accent1 2 2 5 4 2" xfId="12966" xr:uid="{ECC330D9-DF84-4253-87F0-08ED63259807}"/>
    <cellStyle name="20% - Accent1 2 2 5 4 2 2" xfId="9057" xr:uid="{C2AA8B16-22F2-48C9-A435-149B3EB018EC}"/>
    <cellStyle name="20% - Accent1 2 2 5 4 3" xfId="12951" xr:uid="{D6952803-3E56-4592-ADFA-87E9D9D40EC3}"/>
    <cellStyle name="20% - Accent1 2 2 5 5" xfId="32695" xr:uid="{4451B588-91A8-4DC3-B5B0-90395A8AE872}"/>
    <cellStyle name="20% - Accent1 2 2 5 5 2" xfId="12928" xr:uid="{50D7BFC2-EB6F-4576-8722-8A0F10E54A8B}"/>
    <cellStyle name="20% - Accent1 2 2 5 6" xfId="30591" xr:uid="{56DD3DD2-F99F-42A3-972A-9183F30E3193}"/>
    <cellStyle name="20% - Accent1 2 2 6" xfId="5626" xr:uid="{993D0289-9775-42D1-8601-03C6AD463461}"/>
    <cellStyle name="20% - Accent1 2 2 6 2" xfId="11212" xr:uid="{BC8432B3-3CD8-4388-ADB3-090FA048B4DB}"/>
    <cellStyle name="20% - Accent1 2 2 6 2 2" xfId="27600" xr:uid="{DC7206C4-4BD5-4FF4-98F7-AB65D5EC8B9A}"/>
    <cellStyle name="20% - Accent1 2 2 6 2 2 2" xfId="24469" xr:uid="{D96FD56C-8543-4B93-991A-66B0E318D464}"/>
    <cellStyle name="20% - Accent1 2 2 6 2 2 2 2" xfId="23126" xr:uid="{2011F6B4-1F64-47AF-B52A-F36C33D17137}"/>
    <cellStyle name="20% - Accent1 2 2 6 2 2 3" xfId="18701" xr:uid="{D8C31FD0-212B-4811-A28F-5B7E16D7875F}"/>
    <cellStyle name="20% - Accent1 2 2 6 2 3" xfId="26042" xr:uid="{4714D3BD-A54E-4BFC-AAE5-EE66CB834F7E}"/>
    <cellStyle name="20% - Accent1 2 2 6 2 3 2" xfId="18691" xr:uid="{E8F3D5EB-5DF6-4FEE-8DFC-8C632A0E64C9}"/>
    <cellStyle name="20% - Accent1 2 2 6 2 4" xfId="31084" xr:uid="{548D2635-0FB9-4814-A2DB-7754152BD029}"/>
    <cellStyle name="20% - Accent1 2 2 6 3" xfId="32176" xr:uid="{B7BAF2C9-E75F-42DF-B0A3-4E5ACD4B791F}"/>
    <cellStyle name="20% - Accent1 2 2 6 3 2" xfId="14748" xr:uid="{38826D4D-9DDA-4CF4-BA6B-08CB2BC605D8}"/>
    <cellStyle name="20% - Accent1 2 2 6 3 2 2" xfId="9022" xr:uid="{02644923-BAEF-4A17-805C-A879372AB004}"/>
    <cellStyle name="20% - Accent1 2 2 6 3 3" xfId="14731" xr:uid="{40E49A33-5CD9-4042-852F-123395A7FEE9}"/>
    <cellStyle name="20% - Accent1 2 2 6 4" xfId="32523" xr:uid="{53B819D2-4546-4F0E-B1DD-16D7EE33B8A5}"/>
    <cellStyle name="20% - Accent1 2 2 6 4 2" xfId="14690" xr:uid="{0874B773-1371-4462-B5F2-71499DB55FFC}"/>
    <cellStyle name="20% - Accent1 2 2 6 5" xfId="32655" xr:uid="{66E07E76-6AA3-4E01-AFDD-E07E15BBFAAF}"/>
    <cellStyle name="20% - Accent1 2 2 7" xfId="5624" xr:uid="{FC2E1CF7-14E6-4703-8C25-8A6417021460}"/>
    <cellStyle name="20% - Accent1 2 2 7 2" xfId="25107" xr:uid="{A942F44F-DAC3-455A-B871-FA37001A2252}"/>
    <cellStyle name="20% - Accent1 2 2 7 2 2" xfId="25105" xr:uid="{E80D78D6-2E71-492E-BAA5-13C98E4C8A60}"/>
    <cellStyle name="20% - Accent1 2 2 7 2 2 2" xfId="19046" xr:uid="{251B4127-B4F0-4F5F-B378-831E80FC7866}"/>
    <cellStyle name="20% - Accent1 2 2 7 2 3" xfId="32104" xr:uid="{490787AF-6635-4262-9503-9453457947C6}"/>
    <cellStyle name="20% - Accent1 2 2 7 3" xfId="29155" xr:uid="{292A2EA8-BE2B-469E-AC61-18AEA9A52697}"/>
    <cellStyle name="20% - Accent1 2 2 7 3 2" xfId="14280" xr:uid="{E84E0EC2-7571-4E2B-BCC8-E0FC46D79426}"/>
    <cellStyle name="20% - Accent1 2 2 7 4" xfId="29151" xr:uid="{02E66A5D-809A-478F-BA3A-3B2A2450FA50}"/>
    <cellStyle name="20% - Accent1 2 2 8" xfId="32073" xr:uid="{F1CB39E6-6A84-4533-B2AA-3974C6CA58D5}"/>
    <cellStyle name="20% - Accent1 2 2 8 2" xfId="30661" xr:uid="{D540F026-2A06-49F6-AC5C-550FB0CD7749}"/>
    <cellStyle name="20% - Accent1 2 2 8 2 2" xfId="25767" xr:uid="{2444107F-3698-4E6C-91C7-8C5F2E5ACD5F}"/>
    <cellStyle name="20% - Accent1 2 2 8 3" xfId="29142" xr:uid="{812C49CE-8B3D-40CD-981B-98099F3E72A5}"/>
    <cellStyle name="20% - Accent1 2 2 9" xfId="32580" xr:uid="{94897DB4-6E6B-4B09-87F2-A120A52D3F23}"/>
    <cellStyle name="20% - Accent1 2 2 9 2" xfId="28558" xr:uid="{12A3A63E-CFAE-4149-BAC6-DFEFACB9C561}"/>
    <cellStyle name="20% - Accent1 2 3" xfId="199" xr:uid="{26DBD2F6-059C-4233-85A9-84B8093BA569}"/>
    <cellStyle name="20% - Accent1 2 3 10" xfId="34534" xr:uid="{D4B8FFA2-BA4E-41D9-8646-D89B388D381E}"/>
    <cellStyle name="20% - Accent1 2 3 11" xfId="30785" xr:uid="{89899D93-429F-491A-8A9A-2D82A34467C1}"/>
    <cellStyle name="20% - Accent1 2 3 2" xfId="31372" xr:uid="{C8B4FFC5-7408-4BBC-B5A6-5103AA3A081A}"/>
    <cellStyle name="20% - Accent1 2 3 2 2" xfId="31119" xr:uid="{3DAFB7D1-9B7F-4421-91D3-337F061C3E06}"/>
    <cellStyle name="20% - Accent1 2 3 2 2 2" xfId="25745" xr:uid="{28F50A0B-5E38-415D-977C-A46232B0570E}"/>
    <cellStyle name="20% - Accent1 2 3 2 2 2 2" xfId="25792" xr:uid="{4190C6E6-5BDE-4FE6-8520-5B51E3168786}"/>
    <cellStyle name="20% - Accent1 2 3 2 2 2 2 2" xfId="29205" xr:uid="{D2927121-8299-4F41-9270-33CA84DB5BA4}"/>
    <cellStyle name="20% - Accent1 2 3 2 2 2 2 2 2" xfId="16638" xr:uid="{80910350-9115-4456-82C2-F4B3954D9FEC}"/>
    <cellStyle name="20% - Accent1 2 3 2 2 2 2 2 2 2" xfId="22346" xr:uid="{3F21406E-A170-47A6-B489-9EDCE0D4E502}"/>
    <cellStyle name="20% - Accent1 2 3 2 2 2 2 2 2 2 2" xfId="18442" xr:uid="{F7CB5E6E-5ECD-4308-9E7D-75856EFE4025}"/>
    <cellStyle name="20% - Accent1 2 3 2 2 2 2 2 2 3" xfId="26138" xr:uid="{41146B3C-D53A-4132-A099-2323A3258946}"/>
    <cellStyle name="20% - Accent1 2 3 2 2 2 2 2 3" xfId="27647" xr:uid="{56530BA7-C434-4FE0-B902-79F7C46C29D6}"/>
    <cellStyle name="20% - Accent1 2 3 2 2 2 2 2 3 2" xfId="26132" xr:uid="{133DCF3E-DD36-4FC8-9C0D-6B4F6CF89F30}"/>
    <cellStyle name="20% - Accent1 2 3 2 2 2 2 2 4" xfId="33551" xr:uid="{60DA95AD-7326-418E-B729-11C6DE094467}"/>
    <cellStyle name="20% - Accent1 2 3 2 2 2 2 3" xfId="21982" xr:uid="{2842DD70-9B63-421F-95FE-A117D39F8FCB}"/>
    <cellStyle name="20% - Accent1 2 3 2 2 2 2 3 2" xfId="31353" xr:uid="{FF76C810-F504-49CD-BECA-986743253078}"/>
    <cellStyle name="20% - Accent1 2 3 2 2 2 2 3 2 2" xfId="26123" xr:uid="{D6AA8E82-AD6F-4F1D-9AC4-F208C4207E32}"/>
    <cellStyle name="20% - Accent1 2 3 2 2 2 2 3 3" xfId="33003" xr:uid="{73199A17-B6F1-4659-B63F-5E797663818D}"/>
    <cellStyle name="20% - Accent1 2 3 2 2 2 2 4" xfId="20764" xr:uid="{19C8CBD3-5BEA-492E-B612-CC0D7E5B050A}"/>
    <cellStyle name="20% - Accent1 2 3 2 2 2 2 4 2" xfId="31839" xr:uid="{5F25C5A0-B7BB-4577-9F30-CAF90E391D6D}"/>
    <cellStyle name="20% - Accent1 2 3 2 2 2 2 5" xfId="20652" xr:uid="{B9EF1CF7-C367-4084-B08B-A9C2339F71D0}"/>
    <cellStyle name="20% - Accent1 2 3 2 2 2 3" xfId="24858" xr:uid="{EAF11448-242B-4E4F-B21B-7FBFB5EB45B8}"/>
    <cellStyle name="20% - Accent1 2 3 2 2 2 3 2" xfId="21959" xr:uid="{6390E05C-DE6D-4015-A90B-6C5A13090D27}"/>
    <cellStyle name="20% - Accent1 2 3 2 2 2 3 2 2" xfId="31346" xr:uid="{3B57C211-F4E3-4348-AC5E-B51105EBBCAF}"/>
    <cellStyle name="20% - Accent1 2 3 2 2 2 3 2 2 2" xfId="26107" xr:uid="{D5265A5A-9514-465A-921E-252799AF18FF}"/>
    <cellStyle name="20% - Accent1 2 3 2 2 2 3 2 3" xfId="28195" xr:uid="{B3529649-E4FF-4F28-A398-062841A55174}"/>
    <cellStyle name="20% - Accent1 2 3 2 2 2 3 3" xfId="21951" xr:uid="{F8F85064-938E-4415-A4DF-E56CCA849D61}"/>
    <cellStyle name="20% - Accent1 2 3 2 2 2 3 3 2" xfId="33720" xr:uid="{24758F99-1F94-4EA5-A8EC-07A79CC8C361}"/>
    <cellStyle name="20% - Accent1 2 3 2 2 2 3 4" xfId="20455" xr:uid="{464D4DF5-28A2-4E02-A171-F0161AE21184}"/>
    <cellStyle name="20% - Accent1 2 3 2 2 2 4" xfId="24827" xr:uid="{F1015E4E-B712-417D-8304-37696E616F5E}"/>
    <cellStyle name="20% - Accent1 2 3 2 2 2 4 2" xfId="21936" xr:uid="{EA0C2642-7104-45B3-9F26-0CEDB8DF9390}"/>
    <cellStyle name="20% - Accent1 2 3 2 2 2 4 2 2" xfId="33716" xr:uid="{C66888AD-6333-4372-86E8-00A29A7076DB}"/>
    <cellStyle name="20% - Accent1 2 3 2 2 2 4 3" xfId="20966" xr:uid="{A2E527C0-A694-4BDD-9FF1-7F72475A8938}"/>
    <cellStyle name="20% - Accent1 2 3 2 2 2 5" xfId="31523" xr:uid="{213F40C7-EDF8-42DE-B5A1-788615D6492F}"/>
    <cellStyle name="20% - Accent1 2 3 2 2 2 5 2" xfId="20961" xr:uid="{98078D49-8F57-48FA-ADA2-45F0FC488855}"/>
    <cellStyle name="20% - Accent1 2 3 2 2 2 6" xfId="33108" xr:uid="{EF334603-0133-4114-8C04-E5D96DB762D9}"/>
    <cellStyle name="20% - Accent1 2 3 2 2 3" xfId="23056" xr:uid="{545BF4DF-0829-43C6-A7B1-E0F27B92F14F}"/>
    <cellStyle name="20% - Accent1 2 3 2 2 3 2" xfId="24817" xr:uid="{4B8932A6-337E-409E-AA6A-A2293A7C3C65}"/>
    <cellStyle name="20% - Accent1 2 3 2 2 3 2 2" xfId="21780" xr:uid="{5EC31075-028B-4F61-A086-4891FA9DACD6}"/>
    <cellStyle name="20% - Accent1 2 3 2 2 3 2 2 2" xfId="31199" xr:uid="{13ADBA34-DFEB-4045-AB5B-5DC7834C6B80}"/>
    <cellStyle name="20% - Accent1 2 3 2 2 3 2 2 2 2" xfId="25960" xr:uid="{8FD01120-26D4-4B78-A52C-AECA146B17FA}"/>
    <cellStyle name="20% - Accent1 2 3 2 2 3 2 2 3" xfId="32843" xr:uid="{61A410E5-8BD2-439B-BF81-C9D0399C96FB}"/>
    <cellStyle name="20% - Accent1 2 3 2 2 3 2 3" xfId="21769" xr:uid="{F9B0C4C9-A40E-4383-809D-55D4645A6E99}"/>
    <cellStyle name="20% - Accent1 2 3 2 2 3 2 3 2" xfId="34063" xr:uid="{67E3AEE1-BA9A-4FF4-B8B3-E5A0B1BB1A0C}"/>
    <cellStyle name="20% - Accent1 2 3 2 2 3 2 4" xfId="19143" xr:uid="{CD47D777-EADB-4894-93A4-927D840005A9}"/>
    <cellStyle name="20% - Accent1 2 3 2 2 3 3" xfId="26759" xr:uid="{7EBCC094-7A12-4972-B8F3-2E421A2035C2}"/>
    <cellStyle name="20% - Accent1 2 3 2 2 3 3 2" xfId="21749" xr:uid="{690E3AFF-933D-496C-827E-026121223FCC}"/>
    <cellStyle name="20% - Accent1 2 3 2 2 3 3 2 2" xfId="32099" xr:uid="{C811AC04-1237-4ABE-A150-24FFBBC00F4B}"/>
    <cellStyle name="20% - Accent1 2 3 2 2 3 3 3" xfId="20957" xr:uid="{3E4D631F-C209-4C7A-94E7-6D99CA312641}"/>
    <cellStyle name="20% - Accent1 2 3 2 2 3 4" xfId="34280" xr:uid="{FD43C7CD-7F3E-4B56-A3B7-29E679183F3A}"/>
    <cellStyle name="20% - Accent1 2 3 2 2 3 4 2" xfId="20952" xr:uid="{9D60C317-5804-4518-89B2-04AE4A354E27}"/>
    <cellStyle name="20% - Accent1 2 3 2 2 3 5" xfId="29912" xr:uid="{56CCE556-46AA-4C32-8173-02C5A684F9DD}"/>
    <cellStyle name="20% - Accent1 2 3 2 2 4" xfId="20473" xr:uid="{E580EB72-2B8F-4569-B721-45571EB22EB1}"/>
    <cellStyle name="20% - Accent1 2 3 2 2 4 2" xfId="28419" xr:uid="{37D52930-6BF6-434E-B0C0-BC48A92AFEF2}"/>
    <cellStyle name="20% - Accent1 2 3 2 2 4 2 2" xfId="29125" xr:uid="{E305E696-4922-4597-9B34-C039BC77E141}"/>
    <cellStyle name="20% - Accent1 2 3 2 2 4 2 2 2" xfId="33262" xr:uid="{DF01AE55-6FD3-4DF0-AAE3-2718D0178883}"/>
    <cellStyle name="20% - Accent1 2 3 2 2 4 2 3" xfId="20944" xr:uid="{86D6ED0F-BAF0-495E-8C09-F212A0FC7F35}"/>
    <cellStyle name="20% - Accent1 2 3 2 2 4 3" xfId="32762" xr:uid="{62DFAFC7-56BA-43D7-BF80-68FA8A16493F}"/>
    <cellStyle name="20% - Accent1 2 3 2 2 4 3 2" xfId="29116" xr:uid="{12A597AC-24DB-4E99-A0BB-4128642BD0CE}"/>
    <cellStyle name="20% - Accent1 2 3 2 2 4 4" xfId="32752" xr:uid="{9F23B88A-D485-4701-88E8-10EE8A65C773}"/>
    <cellStyle name="20% - Accent1 2 3 2 2 5" xfId="22781" xr:uid="{0FDAE279-4785-4E23-9B40-FA778505A0C6}"/>
    <cellStyle name="20% - Accent1 2 3 2 2 5 2" xfId="32264" xr:uid="{5965AECB-36FE-4A37-AFFB-7984C0A30304}"/>
    <cellStyle name="20% - Accent1 2 3 2 2 5 2 2" xfId="20936" xr:uid="{E78B65ED-E20C-479B-B744-79BAC88CB0D3}"/>
    <cellStyle name="20% - Accent1 2 3 2 2 5 3" xfId="33280" xr:uid="{89E63E03-007A-43C4-BFE5-5782E30343C2}"/>
    <cellStyle name="20% - Accent1 2 3 2 2 6" xfId="24318" xr:uid="{F217E97F-6766-40BC-9F25-BFB1D72D1CC1}"/>
    <cellStyle name="20% - Accent1 2 3 2 2 6 2" xfId="34173" xr:uid="{B45D85C0-AA9B-410C-A662-0E46913F7CE7}"/>
    <cellStyle name="20% - Accent1 2 3 2 2 7" xfId="21958" xr:uid="{58B855B0-2EA3-4C93-8A74-D7D6906E5FEB}"/>
    <cellStyle name="20% - Accent1 2 3 2 3" xfId="33682" xr:uid="{085DC21D-696A-4A74-B64E-991D54B002A8}"/>
    <cellStyle name="20% - Accent1 2 3 2 3 2" xfId="7545" xr:uid="{405B3094-8788-46A5-9163-9F845A460570}"/>
    <cellStyle name="20% - Accent1 2 3 2 3 2 2" xfId="7542" xr:uid="{3DEF85E4-0F19-4C04-B557-176FBB096584}"/>
    <cellStyle name="20% - Accent1 2 3 2 3 2 2 2" xfId="21450" xr:uid="{B9853E38-E9A5-49C7-A7FF-BAA364BEDAAA}"/>
    <cellStyle name="20% - Accent1 2 3 2 3 2 2 2 2" xfId="30279" xr:uid="{CE45791F-04C9-4F06-BC17-DEC8589F5B4E}"/>
    <cellStyle name="20% - Accent1 2 3 2 3 2 2 2 2 2" xfId="24603" xr:uid="{9179E9CA-2C08-4323-91F4-4FC7EDAC0881}"/>
    <cellStyle name="20% - Accent1 2 3 2 3 2 2 2 3" xfId="30722" xr:uid="{260C8DCF-B525-4D64-A162-A4676CCC9136}"/>
    <cellStyle name="20% - Accent1 2 3 2 3 2 2 3" xfId="21446" xr:uid="{5E7F8561-A2D0-4F25-8C7E-CE051978AF35}"/>
    <cellStyle name="20% - Accent1 2 3 2 3 2 2 3 2" xfId="33671" xr:uid="{045055BD-393D-487E-93C4-073D27FF66B4}"/>
    <cellStyle name="20% - Accent1 2 3 2 3 2 2 4" xfId="22404" xr:uid="{FB8E814E-9A07-42BB-9A81-23CEB3E7F293}"/>
    <cellStyle name="20% - Accent1 2 3 2 3 2 3" xfId="10126" xr:uid="{C91FC78A-7B0B-41FC-8375-A39C484A99EF}"/>
    <cellStyle name="20% - Accent1 2 3 2 3 2 3 2" xfId="21428" xr:uid="{8ADB12F1-99CC-4A41-B710-014550D7754B}"/>
    <cellStyle name="20% - Accent1 2 3 2 3 2 3 2 2" xfId="32869" xr:uid="{F6EDF5EA-51C6-41AB-A312-0019E38FC70C}"/>
    <cellStyle name="20% - Accent1 2 3 2 3 2 3 3" xfId="20888" xr:uid="{7FD06327-D693-4079-94B8-4214824ED717}"/>
    <cellStyle name="20% - Accent1 2 3 2 3 2 4" xfId="10113" xr:uid="{27AB8C4F-E39C-4367-8F03-93A139611F4A}"/>
    <cellStyle name="20% - Accent1 2 3 2 3 2 4 2" xfId="20885" xr:uid="{7F9FB759-C19C-4DEB-95AE-FD889D63BCE0}"/>
    <cellStyle name="20% - Accent1 2 3 2 3 2 5" xfId="10109" xr:uid="{C6E2BC88-0B1C-4F55-AF56-A95EBE5FBA11}"/>
    <cellStyle name="20% - Accent1 2 3 2 3 3" xfId="7523" xr:uid="{3F2E50E9-B8EE-4ACA-93BB-24CB3BD75EE3}"/>
    <cellStyle name="20% - Accent1 2 3 2 3 3 2" xfId="7521" xr:uid="{2E23A41B-CBBE-416E-9B47-7CB7179CD4FC}"/>
    <cellStyle name="20% - Accent1 2 3 2 3 3 2 2" xfId="21378" xr:uid="{6F114202-F7C7-40CC-87DD-A53142BF9656}"/>
    <cellStyle name="20% - Accent1 2 3 2 3 3 2 2 2" xfId="34113" xr:uid="{C253AF57-B7C3-4FEE-883D-3B8D4A81DDAF}"/>
    <cellStyle name="20% - Accent1 2 3 2 3 3 2 3" xfId="20879" xr:uid="{3B8B8F4F-764C-42D4-83F8-584FC94A17A1}"/>
    <cellStyle name="20% - Accent1 2 3 2 3 3 3" xfId="10103" xr:uid="{EFBA15D1-F26A-485B-B2F7-D934689FF82D}"/>
    <cellStyle name="20% - Accent1 2 3 2 3 3 3 2" xfId="20876" xr:uid="{05D7EC9C-5773-49E7-ADCC-6D8AA86B9FEE}"/>
    <cellStyle name="20% - Accent1 2 3 2 3 3 4" xfId="10091" xr:uid="{A73EEFF1-4FB4-4B07-8C97-1A642BFBA516}"/>
    <cellStyle name="20% - Accent1 2 3 2 3 4" xfId="7513" xr:uid="{6C2DD05A-472B-46F0-BB2C-4AC0F7DD090C}"/>
    <cellStyle name="20% - Accent1 2 3 2 3 4 2" xfId="7511" xr:uid="{6BD065EE-4416-4168-8038-1784AE3AE10E}"/>
    <cellStyle name="20% - Accent1 2 3 2 3 4 2 2" xfId="20874" xr:uid="{1E605D7C-ECC4-4190-90A4-6EABC5D67C36}"/>
    <cellStyle name="20% - Accent1 2 3 2 3 4 3" xfId="10085" xr:uid="{C0644B66-6CE7-4BB9-B63C-F0448DCEA9BF}"/>
    <cellStyle name="20% - Accent1 2 3 2 3 5" xfId="20073" xr:uid="{003E1B28-344E-47DF-8C36-8EDD957E1D2C}"/>
    <cellStyle name="20% - Accent1 2 3 2 3 5 2" xfId="7504" xr:uid="{A846EB13-6E72-4109-A14D-B682E2C33FE8}"/>
    <cellStyle name="20% - Accent1 2 3 2 3 6" xfId="17639" xr:uid="{71487070-3B4D-4278-840C-8E4DD6A637E2}"/>
    <cellStyle name="20% - Accent1 2 3 2 4" xfId="6918" xr:uid="{55CD271A-FE6E-491B-9E38-D8D74D64700D}"/>
    <cellStyle name="20% - Accent1 2 3 2 4 2" xfId="7475" xr:uid="{5B734540-89FF-4A87-877E-D1E0F0290460}"/>
    <cellStyle name="20% - Accent1 2 3 2 4 2 2" xfId="7472" xr:uid="{0AB1447F-CD9A-4C76-A682-BADFC48D0ABE}"/>
    <cellStyle name="20% - Accent1 2 3 2 4 2 2 2" xfId="21237" xr:uid="{80672150-3ED3-4995-A2C8-6620D42DAB25}"/>
    <cellStyle name="20% - Accent1 2 3 2 4 2 2 2 2" xfId="33019" xr:uid="{F3CA74A9-7AB2-42F4-85B8-2043848AD6BA}"/>
    <cellStyle name="20% - Accent1 2 3 2 4 2 2 3" xfId="22179" xr:uid="{296BD2E4-F690-4CA9-83DC-4ED80D468520}"/>
    <cellStyle name="20% - Accent1 2 3 2 4 2 3" xfId="10005" xr:uid="{8A966783-1BD1-4D4F-BC2E-7DE529A400C5}"/>
    <cellStyle name="20% - Accent1 2 3 2 4 2 3 2" xfId="20832" xr:uid="{40EAE2B3-EE60-4414-B1AC-FAF6A3C6ACF4}"/>
    <cellStyle name="20% - Accent1 2 3 2 4 2 4" xfId="9993" xr:uid="{FE126BFF-CBB7-4E19-AE3E-489333D096F9}"/>
    <cellStyle name="20% - Accent1 2 3 2 4 3" xfId="7465" xr:uid="{7C4E4E8B-3675-4F57-A5D0-7292B0978213}"/>
    <cellStyle name="20% - Accent1 2 3 2 4 3 2" xfId="7463" xr:uid="{FA54F745-B956-4234-8055-6A0519F95D14}"/>
    <cellStyle name="20% - Accent1 2 3 2 4 3 2 2" xfId="20829" xr:uid="{471CE8D3-0048-461F-80A9-F06825CB3289}"/>
    <cellStyle name="20% - Accent1 2 3 2 4 3 3" xfId="9988" xr:uid="{8F785071-01E9-41E1-8167-7D72AC6747BD}"/>
    <cellStyle name="20% - Accent1 2 3 2 4 4" xfId="7458" xr:uid="{39A69190-6AC1-4BCB-86B0-D5635D956D6F}"/>
    <cellStyle name="20% - Accent1 2 3 2 4 4 2" xfId="7456" xr:uid="{D95B63CE-AFBD-494B-A7E5-9172364522EF}"/>
    <cellStyle name="20% - Accent1 2 3 2 4 5" xfId="7453" xr:uid="{49AB838D-D676-4D8B-BC0F-128DA5ACA293}"/>
    <cellStyle name="20% - Accent1 2 3 2 5" xfId="33932" xr:uid="{CDF736EF-2019-4EDE-ADE9-88C487ECEB80}"/>
    <cellStyle name="20% - Accent1 2 3 2 5 2" xfId="7428" xr:uid="{43501871-6C0A-4EE6-835A-1B5BB1F74A7C}"/>
    <cellStyle name="20% - Accent1 2 3 2 5 2 2" xfId="7426" xr:uid="{65DB2E70-328F-49E9-BCDB-13FA7C04BACD}"/>
    <cellStyle name="20% - Accent1 2 3 2 5 2 2 2" xfId="21442" xr:uid="{7ECC417A-892C-42BA-A0A3-508F2248D7CD}"/>
    <cellStyle name="20% - Accent1 2 3 2 5 2 3" xfId="21884" xr:uid="{F9BC0645-342E-4DCE-B5E6-40889383D9DB}"/>
    <cellStyle name="20% - Accent1 2 3 2 5 3" xfId="7421" xr:uid="{25D28F4D-4C94-4709-B8D9-47847B0F5376}"/>
    <cellStyle name="20% - Accent1 2 3 2 5 3 2" xfId="32199" xr:uid="{F19015FC-0759-4C98-8477-98FF62E57145}"/>
    <cellStyle name="20% - Accent1 2 3 2 5 4" xfId="7416" xr:uid="{34BCF388-4387-4C19-8D70-4994B57CB638}"/>
    <cellStyle name="20% - Accent1 2 3 2 6" xfId="31138" xr:uid="{0DFBADBA-8022-419D-B84D-D1DD8D4EFE82}"/>
    <cellStyle name="20% - Accent1 2 3 2 6 2" xfId="11778" xr:uid="{76BC2DD7-9603-4C92-B322-7099DD01DCBC}"/>
    <cellStyle name="20% - Accent1 2 3 2 6 2 2" xfId="7402" xr:uid="{17DD657D-993E-4696-8BD4-F3730E1EDBF9}"/>
    <cellStyle name="20% - Accent1 2 3 2 6 3" xfId="7398" xr:uid="{901C65AF-E5FE-4E04-BD37-90D753F7A3F9}"/>
    <cellStyle name="20% - Accent1 2 3 2 7" xfId="31088" xr:uid="{7C8CBECA-607F-455E-B2B8-2D58D51BAF71}"/>
    <cellStyle name="20% - Accent1 2 3 2 7 2" xfId="7388" xr:uid="{8426F9C5-EA27-4610-BF57-90B9D88E11FB}"/>
    <cellStyle name="20% - Accent1 2 3 2 8" xfId="25915" xr:uid="{C5E4E2D3-9A57-47C8-9D96-B572A442E5BE}"/>
    <cellStyle name="20% - Accent1 2 3 3" xfId="33552" xr:uid="{3C799794-1C68-4E57-8A0B-452B9DF59D21}"/>
    <cellStyle name="20% - Accent1 2 3 3 2" xfId="33967" xr:uid="{B7D41508-572A-4694-88DD-CF652DE1B905}"/>
    <cellStyle name="20% - Accent1 2 3 3 2 2" xfId="22932" xr:uid="{CF6608D5-D5B1-4F52-AC58-AA2693F5B3CB}"/>
    <cellStyle name="20% - Accent1 2 3 3 2 2 2" xfId="22928" xr:uid="{142ABDF5-6D3E-4FE7-8D84-BFA35FB068F6}"/>
    <cellStyle name="20% - Accent1 2 3 3 2 2 2 2" xfId="20963" xr:uid="{DB2C3650-873E-4DAE-9E7E-55BBC436B919}"/>
    <cellStyle name="20% - Accent1 2 3 3 2 2 2 2 2" xfId="12567" xr:uid="{D58E531E-946C-4E38-92D4-0C0652DA095B}"/>
    <cellStyle name="20% - Accent1 2 3 3 2 2 2 2 2 2" xfId="28639" xr:uid="{782A9DD3-C8B8-4C2B-91D6-5A8346C21E2C}"/>
    <cellStyle name="20% - Accent1 2 3 3 2 2 2 2 3" xfId="6683" xr:uid="{75EC8217-86A8-418D-85F6-29F8A871AC26}"/>
    <cellStyle name="20% - Accent1 2 3 3 2 2 2 3" xfId="28828" xr:uid="{E1E192DC-5D38-4F88-BA1E-07DFF7A0C813}"/>
    <cellStyle name="20% - Accent1 2 3 3 2 2 2 3 2" xfId="16037" xr:uid="{CE69922B-5459-48E9-B171-37BEA651D381}"/>
    <cellStyle name="20% - Accent1 2 3 3 2 2 2 4" xfId="20716" xr:uid="{E2EE50EF-C868-4805-8BBC-D93BDE0E9CBD}"/>
    <cellStyle name="20% - Accent1 2 3 3 2 2 3" xfId="29700" xr:uid="{59D097EA-B848-4C4D-894A-54718234B9ED}"/>
    <cellStyle name="20% - Accent1 2 3 3 2 2 3 2" xfId="20948" xr:uid="{50BFAE34-3649-4318-8BFB-A0DBEDC2D8DB}"/>
    <cellStyle name="20% - Accent1 2 3 3 2 2 3 2 2" xfId="10491" xr:uid="{108385B7-889E-4358-97BC-1D71CA3662D9}"/>
    <cellStyle name="20% - Accent1 2 3 3 2 2 3 3" xfId="20712" xr:uid="{E0DC6ADC-EF0F-4B07-98E2-57F7B5326F27}"/>
    <cellStyle name="20% - Accent1 2 3 3 2 2 4" xfId="29691" xr:uid="{4830003B-313F-403B-92DC-67C13CD7161C}"/>
    <cellStyle name="20% - Accent1 2 3 3 2 2 4 2" xfId="20709" xr:uid="{35DF17CC-44AE-48BC-B24A-FA242ABC4BF0}"/>
    <cellStyle name="20% - Accent1 2 3 3 2 2 5" xfId="33593" xr:uid="{E3768AA7-2696-4341-965D-BF983E436DE6}"/>
    <cellStyle name="20% - Accent1 2 3 3 2 3" xfId="22919" xr:uid="{7EF4F221-9011-4A10-98D1-0A5D336F59ED}"/>
    <cellStyle name="20% - Accent1 2 3 3 2 3 2" xfId="22915" xr:uid="{786390F2-7681-4FA6-9F5D-209EF7FB88B8}"/>
    <cellStyle name="20% - Accent1 2 3 3 2 3 2 2" xfId="20883" xr:uid="{EB8D2AA7-2430-4FD2-B3DF-0E3F454A5726}"/>
    <cellStyle name="20% - Accent1 2 3 3 2 3 2 2 2" xfId="33583" xr:uid="{7CF94859-7D9E-490A-839D-839B4546FD3D}"/>
    <cellStyle name="20% - Accent1 2 3 3 2 3 2 3" xfId="20707" xr:uid="{396C9B03-C90C-4B17-B224-26DD2F818E93}"/>
    <cellStyle name="20% - Accent1 2 3 3 2 3 3" xfId="29682" xr:uid="{606560AF-9A19-48F9-A16E-3C11D280C7F5}"/>
    <cellStyle name="20% - Accent1 2 3 3 2 3 3 2" xfId="28778" xr:uid="{6A4CEBE8-AA10-4596-A2F6-659677F85C30}"/>
    <cellStyle name="20% - Accent1 2 3 3 2 3 4" xfId="33970" xr:uid="{9B5C5222-2B1C-4115-811E-1BBCE72880AB}"/>
    <cellStyle name="20% - Accent1 2 3 3 2 4" xfId="27617" xr:uid="{FA77F1DD-24E8-420F-AB69-FF238564FB15}"/>
    <cellStyle name="20% - Accent1 2 3 3 2 4 2" xfId="25052" xr:uid="{B41A7576-7AC3-4837-B075-6A1FE39E8F58}"/>
    <cellStyle name="20% - Accent1 2 3 3 2 4 2 2" xfId="20700" xr:uid="{30311E54-C163-489A-A072-21C6679D392B}"/>
    <cellStyle name="20% - Accent1 2 3 3 2 4 3" xfId="28520" xr:uid="{70C8B899-4019-4ECB-8CBB-2F14DFE87288}"/>
    <cellStyle name="20% - Accent1 2 3 3 2 5" xfId="33574" xr:uid="{D73B5E40-C0B8-4ACE-8AE7-1266014DD747}"/>
    <cellStyle name="20% - Accent1 2 3 3 2 5 2" xfId="34130" xr:uid="{BB301CD4-03A8-45A4-A41C-59159C6A2ADB}"/>
    <cellStyle name="20% - Accent1 2 3 3 2 6" xfId="33569" xr:uid="{60545895-883C-4679-8E2C-C0D5E7463D2D}"/>
    <cellStyle name="20% - Accent1 2 3 3 3" xfId="33773" xr:uid="{4ACEE521-8804-43C9-B167-C2C3A7E7039C}"/>
    <cellStyle name="20% - Accent1 2 3 3 3 2" xfId="22620" xr:uid="{E76A9972-489F-4FDF-AFF5-729D8A090D49}"/>
    <cellStyle name="20% - Accent1 2 3 3 3 2 2" xfId="21626" xr:uid="{50DC666C-5CE4-46C4-87F7-5D0D11FF0167}"/>
    <cellStyle name="20% - Accent1 2 3 3 3 2 2 2" xfId="27164" xr:uid="{D2316AA7-8B7B-464C-B954-098B24EA108B}"/>
    <cellStyle name="20% - Accent1 2 3 3 3 2 2 2 2" xfId="24166" xr:uid="{E440AE86-3917-4C97-B1B3-05288952BA93}"/>
    <cellStyle name="20% - Accent1 2 3 3 3 2 2 3" xfId="27156" xr:uid="{36EE7454-8835-4AB1-98C9-C7DCABA15F30}"/>
    <cellStyle name="20% - Accent1 2 3 3 3 2 3" xfId="9820" xr:uid="{7632E7A4-BA5E-40F8-8250-831E746EBCD4}"/>
    <cellStyle name="20% - Accent1 2 3 3 3 2 3 2" xfId="28563" xr:uid="{5303E5D1-C7BE-4686-BC5B-6810993CBF0B}"/>
    <cellStyle name="20% - Accent1 2 3 3 3 2 4" xfId="9804" xr:uid="{37AE0B9C-DD2F-470F-B2BB-8D9F776F0129}"/>
    <cellStyle name="20% - Accent1 2 3 3 3 3" xfId="22614" xr:uid="{81C34AD3-668E-488A-9461-41DC03A1D907}"/>
    <cellStyle name="20% - Accent1 2 3 3 3 3 2" xfId="7321" xr:uid="{7474981A-7E61-43E0-875C-20A5437884E8}"/>
    <cellStyle name="20% - Accent1 2 3 3 3 3 2 2" xfId="27136" xr:uid="{D25C033D-E0D4-420F-84EB-67314CE7F7BB}"/>
    <cellStyle name="20% - Accent1 2 3 3 3 3 3" xfId="9797" xr:uid="{396378FA-57E6-4B9D-80DD-60999ACC9678}"/>
    <cellStyle name="20% - Accent1 2 3 3 3 4" xfId="7314" xr:uid="{2AE0C438-17D6-4C2E-B8EA-C5896DA20175}"/>
    <cellStyle name="20% - Accent1 2 3 3 3 4 2" xfId="6318" xr:uid="{F6696FDF-8D51-45D5-B249-1EED8E86A213}"/>
    <cellStyle name="20% - Accent1 2 3 3 3 5" xfId="7308" xr:uid="{7F8E7122-9983-4CF6-AF7C-01FBAE4B364E}"/>
    <cellStyle name="20% - Accent1 2 3 3 4" xfId="25387" xr:uid="{C0C77C46-1A10-4C30-B108-2408201D888B}"/>
    <cellStyle name="20% - Accent1 2 3 3 4 2" xfId="23362" xr:uid="{98BE81F0-9D08-4ED6-9B5C-CAD74219AF1E}"/>
    <cellStyle name="20% - Accent1 2 3 3 4 2 2" xfId="14509" xr:uid="{486FCC3E-3632-4957-A0D9-1ABDEC3F3AA5}"/>
    <cellStyle name="20% - Accent1 2 3 3 4 2 2 2" xfId="26926" xr:uid="{633DBCAB-9736-46D1-870D-8CE928055B70}"/>
    <cellStyle name="20% - Accent1 2 3 3 4 2 3" xfId="9737" xr:uid="{58EF5083-556A-4AA6-890D-C43682EF7582}"/>
    <cellStyle name="20% - Accent1 2 3 3 4 3" xfId="7284" xr:uid="{9097F4F8-6FE6-40F1-B732-807293FE1170}"/>
    <cellStyle name="20% - Accent1 2 3 3 4 3 2" xfId="7281" xr:uid="{3AA0375D-F394-490E-B294-3A17608D27B1}"/>
    <cellStyle name="20% - Accent1 2 3 3 4 4" xfId="7277" xr:uid="{C9CCAB0D-8EEB-4D03-95E3-75DA407E6480}"/>
    <cellStyle name="20% - Accent1 2 3 3 5" xfId="25384" xr:uid="{F7E28186-EFF7-48A9-88DE-6EA700F4C59A}"/>
    <cellStyle name="20% - Accent1 2 3 3 5 2" xfId="7260" xr:uid="{5E72AEA0-9531-46C1-9832-612A31EC79CF}"/>
    <cellStyle name="20% - Accent1 2 3 3 5 2 2" xfId="7258" xr:uid="{232601AE-E67C-4DFB-8333-3036590117D6}"/>
    <cellStyle name="20% - Accent1 2 3 3 5 3" xfId="28736" xr:uid="{3ACC5F85-5B17-4A9B-B0C3-8A9A9E96E3B8}"/>
    <cellStyle name="20% - Accent1 2 3 3 6" xfId="32521" xr:uid="{C2BD08F0-78BA-4256-8F22-8B8631F67E27}"/>
    <cellStyle name="20% - Accent1 2 3 3 6 2" xfId="7245" xr:uid="{8C1EFA50-3598-4C5D-A04E-EF29C964E501}"/>
    <cellStyle name="20% - Accent1 2 3 3 7" xfId="31083" xr:uid="{8D851B4E-8737-4A3C-AC6D-197112362DA0}"/>
    <cellStyle name="20% - Accent1 2 3 4" xfId="32048" xr:uid="{1320CB6D-626C-4D00-8BEE-C9F55A36A32D}"/>
    <cellStyle name="20% - Accent1 2 3 4 2" xfId="24724" xr:uid="{4211CCC9-62BE-40B9-BC4C-D323673AB4FE}"/>
    <cellStyle name="20% - Accent1 2 3 4 2 2" xfId="32031" xr:uid="{809CE402-5B2F-4ABD-8272-DFC6E4A4D34D}"/>
    <cellStyle name="20% - Accent1 2 3 4 2 2 2" xfId="29460" xr:uid="{DC2583C0-BA28-4028-85B6-1E790CD52C5F}"/>
    <cellStyle name="20% - Accent1 2 3 4 2 2 2 2" xfId="16955" xr:uid="{66F352DE-7F0D-4262-9E56-3FC1C182C780}"/>
    <cellStyle name="20% - Accent1 2 3 4 2 2 2 2 2" xfId="26891" xr:uid="{3B583C6B-18F4-487D-BCCA-7A8BEA144651}"/>
    <cellStyle name="20% - Accent1 2 3 4 2 2 2 3" xfId="21691" xr:uid="{B323CFFF-B98B-4141-A61E-D263DA5DB3B6}"/>
    <cellStyle name="20% - Accent1 2 3 4 2 2 3" xfId="29623" xr:uid="{BE1B28F7-81C0-4430-9566-4EBDC348EB26}"/>
    <cellStyle name="20% - Accent1 2 3 4 2 2 3 2" xfId="20631" xr:uid="{C8B2BFD4-4C16-4CC2-BCEB-7636B7F8A2AD}"/>
    <cellStyle name="20% - Accent1 2 3 4 2 2 4" xfId="20015" xr:uid="{1ABDE289-44D1-44CB-9593-28896BF182CA}"/>
    <cellStyle name="20% - Accent1 2 3 4 2 3" xfId="29853" xr:uid="{081FA6EC-EB13-4C79-BD94-B389C2141504}"/>
    <cellStyle name="20% - Accent1 2 3 4 2 3 2" xfId="31683" xr:uid="{A99D3FB7-CF79-4AFF-A7A3-30C62AB7540D}"/>
    <cellStyle name="20% - Accent1 2 3 4 2 3 2 2" xfId="20627" xr:uid="{AA4E0237-5E3F-4AB1-BAE1-98F233A57BA4}"/>
    <cellStyle name="20% - Accent1 2 3 4 2 3 3" xfId="33770" xr:uid="{56504C59-945D-4BFC-AA42-0AA8AC638A90}"/>
    <cellStyle name="20% - Accent1 2 3 4 2 4" xfId="31193" xr:uid="{9088AD76-FF26-4D4D-8664-B502F0C0189A}"/>
    <cellStyle name="20% - Accent1 2 3 4 2 4 2" xfId="34050" xr:uid="{F59EADAA-1FAD-4C59-9CD5-849EEE0E5589}"/>
    <cellStyle name="20% - Accent1 2 3 4 2 5" xfId="31961" xr:uid="{39F2BC7D-7915-478A-868F-314EBA44ECD3}"/>
    <cellStyle name="20% - Accent1 2 3 4 3" xfId="24720" xr:uid="{F3161A2B-C009-4C4E-809E-249FE890D5A5}"/>
    <cellStyle name="20% - Accent1 2 3 4 3 2" xfId="12632" xr:uid="{E4A397C7-3092-439A-B8B1-49DE46C392A6}"/>
    <cellStyle name="20% - Accent1 2 3 4 3 2 2" xfId="7221" xr:uid="{FC9D2591-DE8D-4990-BC68-B3C92DED949E}"/>
    <cellStyle name="20% - Accent1 2 3 4 3 2 2 2" xfId="26097" xr:uid="{C9EC2476-9B49-45A9-939C-68F216412644}"/>
    <cellStyle name="20% - Accent1 2 3 4 3 2 3" xfId="9640" xr:uid="{1D84F00E-CD5B-4E0E-A3B6-6F8ED1F66366}"/>
    <cellStyle name="20% - Accent1 2 3 4 3 3" xfId="25443" xr:uid="{D3200AE3-0B50-4375-AF14-B02FCB98987B}"/>
    <cellStyle name="20% - Accent1 2 3 4 3 3 2" xfId="7214" xr:uid="{C7AD9D15-DB8B-4C31-B7D0-8C17F9839214}"/>
    <cellStyle name="20% - Accent1 2 3 4 3 4" xfId="21808" xr:uid="{F49E127E-5EFB-4813-966E-0D4AD8DBE426}"/>
    <cellStyle name="20% - Accent1 2 3 4 4" xfId="25372" xr:uid="{B65D3704-04B1-43F2-A8FA-44D661CB98BB}"/>
    <cellStyle name="20% - Accent1 2 3 4 4 2" xfId="12518" xr:uid="{45AEB75B-65E7-4F1D-AB68-346990CF9102}"/>
    <cellStyle name="20% - Accent1 2 3 4 4 2 2" xfId="7195" xr:uid="{DFDD6D28-C532-40B2-9D6C-8C135F8D2191}"/>
    <cellStyle name="20% - Accent1 2 3 4 4 3" xfId="21801" xr:uid="{7941B441-4FDD-4CEE-A7ED-FD6D20B44499}"/>
    <cellStyle name="20% - Accent1 2 3 4 5" xfId="32108" xr:uid="{3394B180-704C-4E75-BFD3-D2B123C33954}"/>
    <cellStyle name="20% - Accent1 2 3 4 5 2" xfId="12464" xr:uid="{A2189A3F-666F-422A-8B27-760364C8D27A}"/>
    <cellStyle name="20% - Accent1 2 3 4 6" xfId="31827" xr:uid="{B251BD52-2C44-4842-B8E9-1CC8458B7AC6}"/>
    <cellStyle name="20% - Accent1 2 3 5" xfId="31798" xr:uid="{A6187FA0-C038-4801-B88D-FAFE463BDBFA}"/>
    <cellStyle name="20% - Accent1 2 3 5 2" xfId="24712" xr:uid="{AE66073E-529E-4C5A-86EF-B1E7B1A4F5F6}"/>
    <cellStyle name="20% - Accent1 2 3 5 2 2" xfId="31791" xr:uid="{5F6E348F-9414-4F5B-A0AC-D95644E285FF}"/>
    <cellStyle name="20% - Accent1 2 3 5 2 2 2" xfId="26255" xr:uid="{DEA7C860-516C-4C85-823E-748C368E6834}"/>
    <cellStyle name="20% - Accent1 2 3 5 2 2 2 2" xfId="22784" xr:uid="{DA9E6044-BA3D-4457-BEF9-15CE54BB325C}"/>
    <cellStyle name="20% - Accent1 2 3 5 2 2 3" xfId="31932" xr:uid="{14A74963-652B-47D0-9521-24925EED63C9}"/>
    <cellStyle name="20% - Accent1 2 3 5 2 3" xfId="31755" xr:uid="{365F8667-4E9C-4B04-8139-C587E4DE4E65}"/>
    <cellStyle name="20% - Accent1 2 3 5 2 3 2" xfId="26232" xr:uid="{753D2546-9072-4906-B943-ADA1D27DD4AF}"/>
    <cellStyle name="20% - Accent1 2 3 5 2 4" xfId="31059" xr:uid="{77421AD0-201E-44B7-B725-A02E2D5BCB0A}"/>
    <cellStyle name="20% - Accent1 2 3 5 3" xfId="31714" xr:uid="{D9632D6A-0C2C-403F-AA52-EA9956658F30}"/>
    <cellStyle name="20% - Accent1 2 3 5 3 2" xfId="12392" xr:uid="{B78342B8-0F61-4525-8B44-F4DF512B2A87}"/>
    <cellStyle name="20% - Accent1 2 3 5 3 2 2" xfId="7156" xr:uid="{4EB9233D-C140-4868-8B62-72D80DFC1062}"/>
    <cellStyle name="20% - Accent1 2 3 5 3 3" xfId="12381" xr:uid="{96871877-2352-4936-9C03-07D53D738E44}"/>
    <cellStyle name="20% - Accent1 2 3 5 4" xfId="32963" xr:uid="{5CD120CD-4081-4470-AA37-9AEED18501D6}"/>
    <cellStyle name="20% - Accent1 2 3 5 4 2" xfId="16965" xr:uid="{52DAFA92-4552-4F07-9BDC-31DDFEFF5133}"/>
    <cellStyle name="20% - Accent1 2 3 5 5" xfId="33478" xr:uid="{37DB36EF-F531-4ECD-B9FC-924264928FCF}"/>
    <cellStyle name="20% - Accent1 2 3 6" xfId="27844" xr:uid="{1DD2887B-0923-4997-9C02-1FA810BF246F}"/>
    <cellStyle name="20% - Accent1 2 3 6 2" xfId="22341" xr:uid="{7A060C6F-3E14-4655-9128-9AB5CFA5D3A0}"/>
    <cellStyle name="20% - Accent1 2 3 6 2 2" xfId="20371" xr:uid="{121A16A1-08EE-4490-9326-AA1CE953E927}"/>
    <cellStyle name="20% - Accent1 2 3 6 2 2 2" xfId="18639" xr:uid="{9BA8D77D-EF0A-472A-8768-13EA4FA97387}"/>
    <cellStyle name="20% - Accent1 2 3 6 2 3" xfId="31652" xr:uid="{C8998EAE-ACA0-48B1-81FD-2D63A93790A3}"/>
    <cellStyle name="20% - Accent1 2 3 6 3" xfId="31614" xr:uid="{CF629269-68CD-45FB-A68C-45500EEE4FCD}"/>
    <cellStyle name="20% - Accent1 2 3 6 3 2" xfId="12768" xr:uid="{4A16E960-3AC7-4968-BD2C-537698098DCE}"/>
    <cellStyle name="20% - Accent1 2 3 6 4" xfId="32505" xr:uid="{89B9D725-B017-4E48-AA4C-2D327CA6F155}"/>
    <cellStyle name="20% - Accent1 2 3 7" xfId="23032" xr:uid="{30015C1C-8DAE-4001-AE46-5A7792AB7C7B}"/>
    <cellStyle name="20% - Accent1 2 3 7 2" xfId="23026" xr:uid="{7D0F0E0E-BD58-4070-A09D-29C4797D026A}"/>
    <cellStyle name="20% - Accent1 2 3 7 2 2" xfId="31586" xr:uid="{E195884C-0891-45F3-AC7F-7CF31FC22C4C}"/>
    <cellStyle name="20% - Accent1 2 3 7 3" xfId="22738" xr:uid="{3A6E2EAD-D0B5-4AB7-BACE-7DABDABDF7AE}"/>
    <cellStyle name="20% - Accent1 2 3 8" xfId="16914" xr:uid="{D890A230-6A72-4237-AD99-52DE542B6831}"/>
    <cellStyle name="20% - Accent1 2 3 8 2" xfId="23015" xr:uid="{73A8338C-8E92-43D8-A2FC-68EDE14F46BE}"/>
    <cellStyle name="20% - Accent1 2 3 9" xfId="23445" xr:uid="{E305424D-F6FF-4260-B8BD-B2A4833CCF66}"/>
    <cellStyle name="20% - Accent1 2 4" xfId="29805" xr:uid="{AE40DB42-F605-474C-AE4A-DE40B6A29F30}"/>
    <cellStyle name="20% - Accent1 2 4 2" xfId="33002" xr:uid="{93D2FA64-174E-4A26-943A-8298FA41E892}"/>
    <cellStyle name="20% - Accent1 2 4 2 2" xfId="34086" xr:uid="{D471F16A-54D3-41CB-94AD-0751933110E9}"/>
    <cellStyle name="20% - Accent1 2 4 2 2 2" xfId="32975" xr:uid="{195FE133-8A73-4B1D-BB13-011C670AF3A4}"/>
    <cellStyle name="20% - Accent1 2 4 2 2 2 2" xfId="31843" xr:uid="{824C00E3-BFF2-4401-ABE0-F3A9291905DC}"/>
    <cellStyle name="20% - Accent1 2 4 2 2 2 2 2" xfId="22318" xr:uid="{6AC7873E-85D6-4C1E-AF4B-7C01DE902856}"/>
    <cellStyle name="20% - Accent1 2 4 2 2 2 2 2 2" xfId="27480" xr:uid="{4547A88E-3C49-4C3D-A47B-8E17A2E81E40}"/>
    <cellStyle name="20% - Accent1 2 4 2 2 2 2 2 2 2" xfId="29013" xr:uid="{C31C46F5-1AA7-41FD-A313-5027B44AD674}"/>
    <cellStyle name="20% - Accent1 2 4 2 2 2 2 2 3" xfId="22368" xr:uid="{024DA6E5-A101-48D1-BCE0-D111D79C340B}"/>
    <cellStyle name="20% - Accent1 2 4 2 2 2 2 3" xfId="22305" xr:uid="{C17B8E11-EB78-4BBE-AFF5-B07CCDABD5C4}"/>
    <cellStyle name="20% - Accent1 2 4 2 2 2 2 3 2" xfId="27800" xr:uid="{48F972A5-BC7B-4560-9F96-D49EF236EAD0}"/>
    <cellStyle name="20% - Accent1 2 4 2 2 2 2 4" xfId="18562" xr:uid="{75C99D50-7E1B-4422-ACA4-991C6FDE3ABC}"/>
    <cellStyle name="20% - Accent1 2 4 2 2 2 3" xfId="31837" xr:uid="{32A596A0-D567-4FC9-A968-52F2ED80CC46}"/>
    <cellStyle name="20% - Accent1 2 4 2 2 2 3 2" xfId="22297" xr:uid="{760B7EE2-3134-486A-8034-16D0E973F285}"/>
    <cellStyle name="20% - Accent1 2 4 2 2 2 3 2 2" xfId="27465" xr:uid="{13B8F496-1979-4DAD-807D-479B56320889}"/>
    <cellStyle name="20% - Accent1 2 4 2 2 2 3 3" xfId="20528" xr:uid="{921D0B95-C419-46AB-AC54-25B25BBCC3E7}"/>
    <cellStyle name="20% - Accent1 2 4 2 2 2 4" xfId="33443" xr:uid="{E96069CF-D1D9-4B47-A564-326503F078C2}"/>
    <cellStyle name="20% - Accent1 2 4 2 2 2 4 2" xfId="20518" xr:uid="{525BDB8C-6A4E-4947-86B1-74572F03B2E5}"/>
    <cellStyle name="20% - Accent1 2 4 2 2 2 5" xfId="32112" xr:uid="{6E3277AF-37C8-4096-B44A-37222F857538}"/>
    <cellStyle name="20% - Accent1 2 4 2 2 3" xfId="31823" xr:uid="{208C7605-517D-40E2-A44C-87368A691CCF}"/>
    <cellStyle name="20% - Accent1 2 4 2 2 3 2" xfId="33440" xr:uid="{6DEBA4BF-F989-46E9-BCDD-536632905A7A}"/>
    <cellStyle name="20% - Accent1 2 4 2 2 3 2 2" xfId="22241" xr:uid="{6837EAFC-B2E7-4536-80C3-65AA0765D1CE}"/>
    <cellStyle name="20% - Accent1 2 4 2 2 3 2 2 2" xfId="33434" xr:uid="{FA51A21B-FCB8-4A80-802F-CB377033DBA4}"/>
    <cellStyle name="20% - Accent1 2 4 2 2 3 2 3" xfId="20509" xr:uid="{31B53D59-FD59-4345-B918-FA25137D5DA9}"/>
    <cellStyle name="20% - Accent1 2 4 2 2 3 3" xfId="33427" xr:uid="{BB718FBE-82A0-457D-9B34-EAC107A8C6E7}"/>
    <cellStyle name="20% - Accent1 2 4 2 2 3 3 2" xfId="5660" xr:uid="{21F83B99-DEA1-4857-B958-065ED5EAE15C}"/>
    <cellStyle name="20% - Accent1 2 4 2 2 3 4" xfId="33412" xr:uid="{BF22FB49-010D-469A-BFA8-A4F3DFAFBF56}"/>
    <cellStyle name="20% - Accent1 2 4 2 2 4" xfId="22718" xr:uid="{2A126181-770D-4073-99D6-E870D1AC0B91}"/>
    <cellStyle name="20% - Accent1 2 4 2 2 4 2" xfId="33404" xr:uid="{276CA053-F9FE-4E73-9F7C-CC9359C3735B}"/>
    <cellStyle name="20% - Accent1 2 4 2 2 4 2 2" xfId="20499" xr:uid="{BF6EFEC8-5449-4D03-B077-5725F457BC67}"/>
    <cellStyle name="20% - Accent1 2 4 2 2 4 3" xfId="26610" xr:uid="{C4818230-F233-409B-9831-CDD170881AF0}"/>
    <cellStyle name="20% - Accent1 2 4 2 2 5" xfId="31799" xr:uid="{A59878B2-22F3-47C6-AAB3-B20525119AF3}"/>
    <cellStyle name="20% - Accent1 2 4 2 2 5 2" xfId="33391" xr:uid="{1359DBF1-7936-45AF-B586-F517B6865B07}"/>
    <cellStyle name="20% - Accent1 2 4 2 2 6" xfId="33378" xr:uid="{475EA615-50C2-4D04-8930-666BB77A2E9F}"/>
    <cellStyle name="20% - Accent1 2 4 2 3" xfId="31282" xr:uid="{857AAB37-0646-479F-A4CB-F6361F62ACAE}"/>
    <cellStyle name="20% - Accent1 2 4 2 3 2" xfId="7908" xr:uid="{34623550-77B8-42B3-A19C-AF322E9E96E5}"/>
    <cellStyle name="20% - Accent1 2 4 2 3 2 2" xfId="6048" xr:uid="{2757BD2D-DA41-4CAC-80E7-D55F9B6AC440}"/>
    <cellStyle name="20% - Accent1 2 4 2 3 2 2 2" xfId="28345" xr:uid="{574AD837-6A39-4AFA-BAA0-88669C0BDF7E}"/>
    <cellStyle name="20% - Accent1 2 4 2 3 2 2 2 2" xfId="28390" xr:uid="{AE0208CA-1F66-4156-BEA4-98585B9C27CC}"/>
    <cellStyle name="20% - Accent1 2 4 2 3 2 2 3" xfId="28328" xr:uid="{7D6B87DA-0DD7-44D3-8510-2980FBAF1C92}"/>
    <cellStyle name="20% - Accent1 2 4 2 3 2 3" xfId="11459" xr:uid="{25BE0397-5B60-49C2-9760-869C8119AC88}"/>
    <cellStyle name="20% - Accent1 2 4 2 3 2 3 2" xfId="25844" xr:uid="{7787B621-EB21-46BB-B4BC-69611BA1D041}"/>
    <cellStyle name="20% - Accent1 2 4 2 3 2 4" xfId="11446" xr:uid="{CD9856A9-F3CB-4448-989E-21A1301343C0}"/>
    <cellStyle name="20% - Accent1 2 4 2 3 3" xfId="30526" xr:uid="{9D59633C-4070-4A28-839E-AE471CCE931F}"/>
    <cellStyle name="20% - Accent1 2 4 2 3 3 2" xfId="32921" xr:uid="{9E942E84-EC8A-4ABD-B325-B69405B70F6A}"/>
    <cellStyle name="20% - Accent1 2 4 2 3 3 2 2" xfId="5606" xr:uid="{8BA599C4-FD42-4054-BD3C-CF81F06EC54D}"/>
    <cellStyle name="20% - Accent1 2 4 2 3 3 3" xfId="32823" xr:uid="{AC42A6B4-C75F-44AD-82DC-B85F0F062723}"/>
    <cellStyle name="20% - Accent1 2 4 2 3 4" xfId="20004" xr:uid="{0EBE5ED2-D18B-4B71-8FF4-B0A05880C460}"/>
    <cellStyle name="20% - Accent1 2 4 2 3 4 2" xfId="14051" xr:uid="{63956BF6-5BC6-4481-B89F-7F200D4277D9}"/>
    <cellStyle name="20% - Accent1 2 4 2 3 5" xfId="17525" xr:uid="{431D618C-A800-476E-A5A1-7556A53F0E47}"/>
    <cellStyle name="20% - Accent1 2 4 2 4" xfId="33276" xr:uid="{B1E54BBB-4AF1-4180-B6F5-CF28868D7741}"/>
    <cellStyle name="20% - Accent1 2 4 2 4 2" xfId="6011" xr:uid="{85AAA50E-1F75-4209-BF32-16FFD30134A1}"/>
    <cellStyle name="20% - Accent1 2 4 2 4 2 2" xfId="17406" xr:uid="{082E5F2E-28BD-4AF1-A03F-95A1683B4145}"/>
    <cellStyle name="20% - Accent1 2 4 2 4 2 2 2" xfId="28279" xr:uid="{688BC505-2059-4685-BF13-D9AF5A77C225}"/>
    <cellStyle name="20% - Accent1 2 4 2 4 2 3" xfId="17381" xr:uid="{BFCDAB1E-575E-438F-8B3B-CBD7936C3A03}"/>
    <cellStyle name="20% - Accent1 2 4 2 4 3" xfId="17295" xr:uid="{A9EA5FAD-1721-4260-A0F7-D0E04732F1DF}"/>
    <cellStyle name="20% - Accent1 2 4 2 4 3 2" xfId="29005" xr:uid="{87AFD419-1065-476F-B44C-09838A13ED7E}"/>
    <cellStyle name="20% - Accent1 2 4 2 4 4" xfId="18049" xr:uid="{6F51E935-8AEB-4F78-990B-E43950D56057}"/>
    <cellStyle name="20% - Accent1 2 4 2 5" xfId="32694" xr:uid="{5CF30631-860D-4BF8-B1C1-78E3D441DEF2}"/>
    <cellStyle name="20% - Accent1 2 4 2 5 2" xfId="5992" xr:uid="{B4267E6A-45F3-43E1-AD0E-5D02B75C6CB2}"/>
    <cellStyle name="20% - Accent1 2 4 2 5 2 2" xfId="17280" xr:uid="{00CEF909-F94D-4115-8674-5C41028E1E66}"/>
    <cellStyle name="20% - Accent1 2 4 2 5 3" xfId="23694" xr:uid="{545ED936-9B1F-4C39-BA27-259F9DC6D26C}"/>
    <cellStyle name="20% - Accent1 2 4 2 6" xfId="29289" xr:uid="{601779FC-86FD-4F8E-A3A1-85A1135B0B4D}"/>
    <cellStyle name="20% - Accent1 2 4 2 6 2" xfId="5974" xr:uid="{0CDA80C0-2994-4190-AB26-5E493EF868EF}"/>
    <cellStyle name="20% - Accent1 2 4 2 7" xfId="31077" xr:uid="{7E5568B3-1852-471F-B829-1F6F1EC56605}"/>
    <cellStyle name="20% - Accent1 2 4 3" xfId="22344" xr:uid="{97240709-8DE7-4F06-B364-4551BB02D427}"/>
    <cellStyle name="20% - Accent1 2 4 3 2" xfId="33284" xr:uid="{D038CB1D-815D-49E1-92E3-10B2EEE86447}"/>
    <cellStyle name="20% - Accent1 2 4 3 2 2" xfId="31468" xr:uid="{6E139910-DBAE-4014-90F8-E32CF9AAFA62}"/>
    <cellStyle name="20% - Accent1 2 4 3 2 2 2" xfId="31462" xr:uid="{E9DE4A61-99F4-4B95-99A5-492AF4A36958}"/>
    <cellStyle name="20% - Accent1 2 4 3 2 2 2 2" xfId="28257" xr:uid="{4F2D471F-9EAC-4010-820F-9D1D92F8CCE8}"/>
    <cellStyle name="20% - Accent1 2 4 3 2 2 2 2 2" xfId="26321" xr:uid="{1FE4CE19-21C1-4BF9-B729-6917661B87EB}"/>
    <cellStyle name="20% - Accent1 2 4 3 2 2 2 3" xfId="20446" xr:uid="{BC086F1C-E724-491E-B48B-7D26DB0D262A}"/>
    <cellStyle name="20% - Accent1 2 4 3 2 2 3" xfId="31456" xr:uid="{6A34556E-2E2C-41E5-B45C-B7BD46ACA7D1}"/>
    <cellStyle name="20% - Accent1 2 4 3 2 2 3 2" xfId="20438" xr:uid="{660EE4AB-D15C-495D-B921-0648D22C51BF}"/>
    <cellStyle name="20% - Accent1 2 4 3 2 2 4" xfId="30031" xr:uid="{5353C696-E43D-4D6E-A984-152818813A9B}"/>
    <cellStyle name="20% - Accent1 2 4 3 2 3" xfId="31444" xr:uid="{A6A9B7D8-F775-4335-A47A-260A0FA6760E}"/>
    <cellStyle name="20% - Accent1 2 4 3 2 3 2" xfId="33269" xr:uid="{765A5592-68C5-41CC-A437-CEE2F296A793}"/>
    <cellStyle name="20% - Accent1 2 4 3 2 3 2 2" xfId="20747" xr:uid="{BDD89139-981E-429E-855E-369DEECB9A2E}"/>
    <cellStyle name="20% - Accent1 2 4 3 2 3 3" xfId="29437" xr:uid="{2296A42F-7980-43A7-86A3-5D93FF12EC32}"/>
    <cellStyle name="20% - Accent1 2 4 3 2 4" xfId="31439" xr:uid="{D1D1A655-0738-4989-BDD5-B834CA5723CD}"/>
    <cellStyle name="20% - Accent1 2 4 3 2 4 2" xfId="33267" xr:uid="{DCD485D1-E022-4F6D-902D-2ECCAB031F10}"/>
    <cellStyle name="20% - Accent1 2 4 3 2 5" xfId="33220" xr:uid="{E673F81B-83CE-41F0-B1E7-326C6E31F4F8}"/>
    <cellStyle name="20% - Accent1 2 4 3 3" xfId="33263" xr:uid="{0EECD04D-B2BD-47A5-B62B-F923E13112B5}"/>
    <cellStyle name="20% - Accent1 2 4 3 3 2" xfId="24582" xr:uid="{EBE86D10-DA08-4016-83F1-D8BA8612DF08}"/>
    <cellStyle name="20% - Accent1 2 4 3 3 2 2" xfId="19489" xr:uid="{039CD74F-AC6E-44EF-9A3B-A0418ED6D66F}"/>
    <cellStyle name="20% - Accent1 2 4 3 3 2 2 2" xfId="28200" xr:uid="{E65D923A-F6FC-4FBB-B700-33EA49264176}"/>
    <cellStyle name="20% - Accent1 2 4 3 3 2 3" xfId="11236" xr:uid="{0B89A4F9-B0E5-499E-B5EC-4DEC3322BD1F}"/>
    <cellStyle name="20% - Accent1 2 4 3 3 3" xfId="17286" xr:uid="{B74D3ED8-6F78-4EC7-89AE-0B720CBEC4EF}"/>
    <cellStyle name="20% - Accent1 2 4 3 3 3 2" xfId="27371" xr:uid="{CF9C5CA2-122E-4799-A452-B1934C3B4629}"/>
    <cellStyle name="20% - Accent1 2 4 3 3 4" xfId="30465" xr:uid="{486BF2A0-1CB8-4B50-9A3E-CCDBAC356EAB}"/>
    <cellStyle name="20% - Accent1 2 4 3 4" xfId="32677" xr:uid="{BC6BB203-6FD7-434D-881E-71B2928AD549}"/>
    <cellStyle name="20% - Accent1 2 4 3 4 2" xfId="5955" xr:uid="{1275149B-AE3C-4E3C-851F-82FC67A26F92}"/>
    <cellStyle name="20% - Accent1 2 4 3 4 2 2" xfId="17155" xr:uid="{62D23BC6-8DE4-489F-A986-D2994CD1FB35}"/>
    <cellStyle name="20% - Accent1 2 4 3 4 3" xfId="30460" xr:uid="{D5CC0629-31D8-47C7-B359-8D01342A9D9F}"/>
    <cellStyle name="20% - Accent1 2 4 3 5" xfId="32101" xr:uid="{7A34512B-87C7-4EFD-8417-E8B626217B8C}"/>
    <cellStyle name="20% - Accent1 2 4 3 5 2" xfId="7825" xr:uid="{3E75C9D1-534D-4B55-9524-FDB38732E835}"/>
    <cellStyle name="20% - Accent1 2 4 3 6" xfId="33211" xr:uid="{D25D94E2-B31C-4AB3-A688-5EFEFB7C586A}"/>
    <cellStyle name="20% - Accent1 2 4 4" xfId="5622" xr:uid="{F3B2C980-C2A2-4DB5-A13E-6BDB0310104B}"/>
    <cellStyle name="20% - Accent1 2 4 4 2" xfId="18963" xr:uid="{56D93F6D-E8B3-45E4-A10E-74DEF0C343CE}"/>
    <cellStyle name="20% - Accent1 2 4 4 2 2" xfId="12330" xr:uid="{0330F9FC-9B56-442D-80F0-6B0E4C6B31A8}"/>
    <cellStyle name="20% - Accent1 2 4 4 2 2 2" xfId="31239" xr:uid="{D7DBE4BD-6EC8-4199-80D8-3175DDA7AA1A}"/>
    <cellStyle name="20% - Accent1 2 4 4 2 2 2 2" xfId="19534" xr:uid="{F6ECFF5E-A205-4CFE-AECF-C09FA97A754D}"/>
    <cellStyle name="20% - Accent1 2 4 4 2 2 3" xfId="32037" xr:uid="{032F093E-FBC6-4FF2-9155-E471CE34E0BD}"/>
    <cellStyle name="20% - Accent1 2 4 4 2 3" xfId="31234" xr:uid="{16FA6AA7-0C10-4D91-B817-07D291BA3738}"/>
    <cellStyle name="20% - Accent1 2 4 4 2 3 2" xfId="31514" xr:uid="{84E374FC-2ED4-48B9-AC72-9CEADCA479DD}"/>
    <cellStyle name="20% - Accent1 2 4 4 2 4" xfId="31510" xr:uid="{0FC01CD3-E1DB-410B-9A8B-6149B5DD847D}"/>
    <cellStyle name="20% - Accent1 2 4 4 3" xfId="25056" xr:uid="{6D38AD4C-5608-4424-A578-6A80C37E5FBF}"/>
    <cellStyle name="20% - Accent1 2 4 4 3 2" xfId="12178" xr:uid="{573C4A24-8637-4A0A-B3C7-7201B661BC44}"/>
    <cellStyle name="20% - Accent1 2 4 4 3 2 2" xfId="5920" xr:uid="{1BB1571A-2C21-4FC7-AC19-70DB621F73A7}"/>
    <cellStyle name="20% - Accent1 2 4 4 3 3" xfId="20114" xr:uid="{93CA2978-506B-4F1D-96CE-9EC2A64B8DD0}"/>
    <cellStyle name="20% - Accent1 2 4 4 4" xfId="22777" xr:uid="{90458BDA-EBB9-43B1-A828-029640648317}"/>
    <cellStyle name="20% - Accent1 2 4 4 4 2" xfId="12142" xr:uid="{6E221C11-FC64-4688-86DF-BA9257726FD3}"/>
    <cellStyle name="20% - Accent1 2 4 4 5" xfId="31466" xr:uid="{69B7F180-07AF-49C3-9DEB-97C73BA7187A}"/>
    <cellStyle name="20% - Accent1 2 4 5" xfId="5619" xr:uid="{BC9A8ADA-309B-4BFF-8D02-BBAD3A949643}"/>
    <cellStyle name="20% - Accent1 2 4 5 2" xfId="18953" xr:uid="{7FCFFE78-D163-40A7-9650-75374080B1A3}"/>
    <cellStyle name="20% - Accent1 2 4 5 2 2" xfId="28397" xr:uid="{0CB23FF0-1AA3-42F7-9604-DE5E256017B5}"/>
    <cellStyle name="20% - Accent1 2 4 5 2 2 2" xfId="25676" xr:uid="{E7E3226E-58CC-4E54-A6D9-42064AAFDB85}"/>
    <cellStyle name="20% - Accent1 2 4 5 2 3" xfId="31423" xr:uid="{80DB353B-13C8-4EB6-AEA0-B299E2C380D0}"/>
    <cellStyle name="20% - Accent1 2 4 5 3" xfId="12516" xr:uid="{898B1428-F364-418C-A172-003352867EFF}"/>
    <cellStyle name="20% - Accent1 2 4 5 3 2" xfId="12077" xr:uid="{488969AF-48A0-42DF-ADBD-27492A70528D}"/>
    <cellStyle name="20% - Accent1 2 4 5 4" xfId="12507" xr:uid="{A61D60C6-6AA6-4D3C-BEB7-7EE5BBF91FF5}"/>
    <cellStyle name="20% - Accent1 2 4 6" xfId="5404" xr:uid="{7D32C3F6-5139-407D-A6DC-204461599E4C}"/>
    <cellStyle name="20% - Accent1 2 4 6 2" xfId="31383" xr:uid="{1D7B127D-7B9C-46F0-80F5-36A495AF7077}"/>
    <cellStyle name="20% - Accent1 2 4 6 2 2" xfId="31381" xr:uid="{84EDD4EE-7793-4208-ABDC-605975CC1343}"/>
    <cellStyle name="20% - Accent1 2 4 6 3" xfId="12503" xr:uid="{9575CE71-ABC2-487A-9C29-F73601BE98D7}"/>
    <cellStyle name="20% - Accent1 2 4 7" xfId="23404" xr:uid="{1F6B52EF-4319-4A87-A9B6-9B18EF05E2BD}"/>
    <cellStyle name="20% - Accent1 2 4 7 2" xfId="23011" xr:uid="{A4AE742A-DEB0-458D-9D4E-FC7C654E991F}"/>
    <cellStyle name="20% - Accent1 2 4 8" xfId="7703" xr:uid="{A1DC06F8-63F0-4D98-88C0-E637010FB821}"/>
    <cellStyle name="20% - Accent1 2 4 9" xfId="34750" xr:uid="{F399E49E-9963-46D7-9A44-F0D4F59F8A3B}"/>
    <cellStyle name="20% - Accent1 2 5" xfId="26400" xr:uid="{2C26A60C-3855-4B92-BA25-81876D698059}"/>
    <cellStyle name="20% - Accent1 2 5 2" xfId="14267" xr:uid="{9F58BB5F-2ACE-43E2-90CA-E3E1F51FF742}"/>
    <cellStyle name="20% - Accent1 2 5 2 2" xfId="14265" xr:uid="{2F79409B-6571-4084-8410-919E09D3BA16}"/>
    <cellStyle name="20% - Accent1 2 5 2 2 2" xfId="28009" xr:uid="{9FA0A01A-2CAF-4175-B858-6DF524927D35}"/>
    <cellStyle name="20% - Accent1 2 5 2 2 2 2" xfId="24191" xr:uid="{F986152D-5874-4C06-8D4F-A2E7B18EAC01}"/>
    <cellStyle name="20% - Accent1 2 5 2 2 2 2 2" xfId="20352" xr:uid="{B763FC1D-F08D-48B2-9CE7-677EF2C0028B}"/>
    <cellStyle name="20% - Accent1 2 5 2 2 2 2 2 2" xfId="24799" xr:uid="{B06E0D7B-F4B1-455C-86B8-E59081612B29}"/>
    <cellStyle name="20% - Accent1 2 5 2 2 2 2 3" xfId="18020" xr:uid="{A02985DA-7E60-4B2B-8ED0-CED503E7455B}"/>
    <cellStyle name="20% - Accent1 2 5 2 2 2 3" xfId="24186" xr:uid="{E005A482-9BAF-484F-946F-24489AA1691F}"/>
    <cellStyle name="20% - Accent1 2 5 2 2 2 3 2" xfId="20342" xr:uid="{EE02376D-274F-4A29-8B3C-D73FFACA2256}"/>
    <cellStyle name="20% - Accent1 2 5 2 2 2 4" xfId="33963" xr:uid="{AE9ED619-B1E8-466F-84C5-932D8FFD2FED}"/>
    <cellStyle name="20% - Accent1 2 5 2 2 3" xfId="33168" xr:uid="{B6D2BE03-AAAA-44B8-A83C-B7A9BCBAEE74}"/>
    <cellStyle name="20% - Accent1 2 5 2 2 3 2" xfId="33161" xr:uid="{ABE645A2-486B-4F13-91E3-6029EBC95597}"/>
    <cellStyle name="20% - Accent1 2 5 2 2 3 2 2" xfId="28084" xr:uid="{B5803FB3-E539-4C85-8548-F71B30734A7E}"/>
    <cellStyle name="20% - Accent1 2 5 2 2 3 3" xfId="33802" xr:uid="{BA9C3508-E487-474C-82F1-848B44784066}"/>
    <cellStyle name="20% - Accent1 2 5 2 2 4" xfId="33147" xr:uid="{192A5991-04B2-43F5-9A4A-122A6F187E4F}"/>
    <cellStyle name="20% - Accent1 2 5 2 2 4 2" xfId="33142" xr:uid="{5AB3CEBC-BCD2-4197-BAC1-597AFB44C4D4}"/>
    <cellStyle name="20% - Accent1 2 5 2 2 5" xfId="19969" xr:uid="{10501D2F-43DA-48A8-91C9-843ADFDECA9F}"/>
    <cellStyle name="20% - Accent1 2 5 2 3" xfId="28006" xr:uid="{DEEA56F1-8DE8-40AA-A123-4C73C66B5718}"/>
    <cellStyle name="20% - Accent1 2 5 2 3 2" xfId="33517" xr:uid="{2A1C93EB-D95D-479A-94E3-7F9215FD04E6}"/>
    <cellStyle name="20% - Accent1 2 5 2 3 2 2" xfId="6490" xr:uid="{FDEF9358-1B1D-46E9-9276-D775A75E047E}"/>
    <cellStyle name="20% - Accent1 2 5 2 3 2 2 2" xfId="28047" xr:uid="{883692B1-837C-4521-8EDC-87AA70ABFB31}"/>
    <cellStyle name="20% - Accent1 2 5 2 3 2 3" xfId="26736" xr:uid="{2D82210E-E1AC-4270-80B6-C5F14CC90E45}"/>
    <cellStyle name="20% - Accent1 2 5 2 3 3" xfId="17273" xr:uid="{D1479B37-149B-4306-8686-0F437DBDB269}"/>
    <cellStyle name="20% - Accent1 2 5 2 3 3 2" xfId="6475" xr:uid="{C2983604-B7A5-486D-B507-0D93869F30E4}"/>
    <cellStyle name="20% - Accent1 2 5 2 3 4" xfId="17463" xr:uid="{C6A6AA2B-F25F-47AF-B1EF-5D1D08D0CBFD}"/>
    <cellStyle name="20% - Accent1 2 5 2 4" xfId="32960" xr:uid="{7B416883-68A7-4A4F-A2C5-5E12BDD4C1C2}"/>
    <cellStyle name="20% - Accent1 2 5 2 4 2" xfId="32940" xr:uid="{D8B1D7EA-DA73-4537-BFDC-4D91C69D00EB}"/>
    <cellStyle name="20% - Accent1 2 5 2 4 2 2" xfId="6455" xr:uid="{F8F8A980-F9DD-4BD2-8CD8-814774EB00C3}"/>
    <cellStyle name="20% - Accent1 2 5 2 4 3" xfId="33096" xr:uid="{BBBAC4DA-E28D-4304-B3F0-CBBE9DCF52C8}"/>
    <cellStyle name="20% - Accent1 2 5 2 5" xfId="33074" xr:uid="{95F41EDA-CE23-4F3A-9E7C-9E721FB4D401}"/>
    <cellStyle name="20% - Accent1 2 5 2 5 2" xfId="25684" xr:uid="{C436AAA7-FCF0-4267-A63C-D8FBB89F9FCF}"/>
    <cellStyle name="20% - Accent1 2 5 2 6" xfId="33999" xr:uid="{613E317B-65FF-4C0B-99DF-1A8E5F6E64DC}"/>
    <cellStyle name="20% - Accent1 2 5 3" xfId="9879" xr:uid="{B86DC536-3C05-4A04-9CA7-F99310DBA39B}"/>
    <cellStyle name="20% - Accent1 2 5 3 2" xfId="32711" xr:uid="{38E79DCF-EA4A-4B1B-930C-A0673F88943F}"/>
    <cellStyle name="20% - Accent1 2 5 3 2 2" xfId="30916" xr:uid="{E08A711C-6C11-4A68-A5F6-1A136667427B}"/>
    <cellStyle name="20% - Accent1 2 5 3 2 2 2" xfId="24093" xr:uid="{D7746343-136C-4761-936F-EB7C2BD493F1}"/>
    <cellStyle name="20% - Accent1 2 5 3 2 2 2 2" xfId="20289" xr:uid="{F150D2B1-EB19-4F2B-A8C1-39D17047F957}"/>
    <cellStyle name="20% - Accent1 2 5 3 2 2 3" xfId="19060" xr:uid="{7E521CAE-8AAC-416F-B9E9-FB7015867E78}"/>
    <cellStyle name="20% - Accent1 2 5 3 2 3" xfId="32448" xr:uid="{FB6EDA72-429D-4A0E-840B-D7EEB221A440}"/>
    <cellStyle name="20% - Accent1 2 5 3 2 3 2" xfId="19036" xr:uid="{EF399CEC-E4D2-4689-BEB0-0BD1D8382107}"/>
    <cellStyle name="20% - Accent1 2 5 3 2 4" xfId="33033" xr:uid="{F978297E-2424-44C1-A458-70C2A4E07225}"/>
    <cellStyle name="20% - Accent1 2 5 3 3" xfId="33014" xr:uid="{037C51DD-52DE-4967-BFA8-A70C67C20B49}"/>
    <cellStyle name="20% - Accent1 2 5 3 3 2" xfId="32958" xr:uid="{64FC05FB-BDC3-45BD-B697-9FF7F1608857}"/>
    <cellStyle name="20% - Accent1 2 5 3 3 2 2" xfId="13252" xr:uid="{7AAC808B-963D-4F78-A374-E7695A7B6951}"/>
    <cellStyle name="20% - Accent1 2 5 3 3 3" xfId="32691" xr:uid="{C8ABAEB9-52A0-40E4-B607-6CB91F80EF2D}"/>
    <cellStyle name="20% - Accent1 2 5 3 4" xfId="28270" xr:uid="{B56C4072-74F4-4348-9135-0123175C257B}"/>
    <cellStyle name="20% - Accent1 2 5 3 4 2" xfId="32674" xr:uid="{EBDD2421-0A84-4604-8EB5-532AEBF4117A}"/>
    <cellStyle name="20% - Accent1 2 5 3 5" xfId="28268" xr:uid="{D3278A7B-3FC6-407B-853C-C2719A188B55}"/>
    <cellStyle name="20% - Accent1 2 5 4" xfId="26789" xr:uid="{5BD52B5E-84A0-49D0-8EAA-2690AC35B88D}"/>
    <cellStyle name="20% - Accent1 2 5 4 2" xfId="31324" xr:uid="{4A4A5590-489A-478E-9676-51CBABD4019F}"/>
    <cellStyle name="20% - Accent1 2 5 4 2 2" xfId="31318" xr:uid="{C1AE3976-CAC2-44EE-94F3-8496E53072D7}"/>
    <cellStyle name="20% - Accent1 2 5 4 2 2 2" xfId="29184" xr:uid="{0A8D6C02-495B-48E7-A2E4-79208E0B9277}"/>
    <cellStyle name="20% - Accent1 2 5 4 2 3" xfId="30439" xr:uid="{908E45C3-EDC2-4430-B960-F8BE09822244}"/>
    <cellStyle name="20% - Accent1 2 5 4 3" xfId="31288" xr:uid="{1EF87078-D319-42A7-B749-1A053C90F557}"/>
    <cellStyle name="20% - Accent1 2 5 4 3 2" xfId="27279" xr:uid="{86F57638-CC46-4C27-B818-4E76E7AAE4FA}"/>
    <cellStyle name="20% - Accent1 2 5 4 4" xfId="29457" xr:uid="{92547518-A5D7-488F-95DE-183C64BF170E}"/>
    <cellStyle name="20% - Accent1 2 5 5" xfId="13487" xr:uid="{22A5C2F5-F378-4F78-8671-AD41AE95E20F}"/>
    <cellStyle name="20% - Accent1 2 5 5 2" xfId="31231" xr:uid="{ADA27AD7-9CA9-4848-A6A1-4E8A0C4BF7DC}"/>
    <cellStyle name="20% - Accent1 2 5 5 2 2" xfId="31228" xr:uid="{C3ADD812-C7C4-4ED0-BF34-5FA48F0F05C7}"/>
    <cellStyle name="20% - Accent1 2 5 5 3" xfId="12494" xr:uid="{F619DABD-624E-4B09-A564-A4A79033C1C3}"/>
    <cellStyle name="20% - Accent1 2 5 6" xfId="28410" xr:uid="{20CEB163-A27F-448D-9EB2-C466C0C6E2DA}"/>
    <cellStyle name="20% - Accent1 2 5 6 2" xfId="31202" xr:uid="{DA3D3019-7B18-409C-AA07-8440F5C3CC47}"/>
    <cellStyle name="20% - Accent1 2 5 7" xfId="23008" xr:uid="{E496C3C8-1656-4C86-8631-821E95712C01}"/>
    <cellStyle name="20% - Accent1 2 5 8" xfId="34940" xr:uid="{A6159C26-8848-4FFB-8EEA-E9FA30AFF141}"/>
    <cellStyle name="20% - Accent1 2 6" xfId="17182" xr:uid="{4729F253-76D0-4161-B350-1C8F88C58171}"/>
    <cellStyle name="20% - Accent1 2 6 2" xfId="14254" xr:uid="{ABB7D41A-EDBB-4401-88A1-4DA45EA8DED9}"/>
    <cellStyle name="20% - Accent1 2 6 2 2" xfId="27988" xr:uid="{EACE8BC0-645D-41A7-8F1C-E05CD2F79D94}"/>
    <cellStyle name="20% - Accent1 2 6 2 2 2" xfId="24735" xr:uid="{0F0A54B2-FF3D-4640-8F61-4F213A8D9773}"/>
    <cellStyle name="20% - Accent1 2 6 2 2 2 2" xfId="28330" xr:uid="{4839DD51-A27B-499E-9459-B60DEB013AF3}"/>
    <cellStyle name="20% - Accent1 2 6 2 2 2 2 2" xfId="20237" xr:uid="{2B80B052-0B87-4665-B33C-3981F215F453}"/>
    <cellStyle name="20% - Accent1 2 6 2 2 2 3" xfId="27413" xr:uid="{09BE27F5-1127-48DA-9200-29E652BC0AA2}"/>
    <cellStyle name="20% - Accent1 2 6 2 2 3" xfId="24732" xr:uid="{30D776E0-C03B-4E82-8850-170D2535B9C4}"/>
    <cellStyle name="20% - Accent1 2 6 2 2 3 2" xfId="26510" xr:uid="{C88C0FFA-FB79-40A0-96D8-8CC6C770B5D2}"/>
    <cellStyle name="20% - Accent1 2 6 2 2 4" xfId="24211" xr:uid="{4F9DA9C7-7E94-451A-B12F-FF930AAE95DA}"/>
    <cellStyle name="20% - Accent1 2 6 2 3" xfId="33834" xr:uid="{403B0423-1E52-47BB-ACB4-DAEA7C98D566}"/>
    <cellStyle name="20% - Accent1 2 6 2 3 2" xfId="24726" xr:uid="{FCFF9EAD-0330-4E86-8DEB-6A3AB1B2989E}"/>
    <cellStyle name="20% - Accent1 2 6 2 3 2 2" xfId="6138" xr:uid="{42750DD0-D9BF-48EE-80B9-BA558983D2B3}"/>
    <cellStyle name="20% - Accent1 2 6 2 3 3" xfId="32932" xr:uid="{44C60A5D-D489-4F3C-9E97-C2A95A0C30E7}"/>
    <cellStyle name="20% - Accent1 2 6 2 4" xfId="32928" xr:uid="{F72EDCD2-E58B-4844-895D-3CAEE9369E44}"/>
    <cellStyle name="20% - Accent1 2 6 2 4 2" xfId="24722" xr:uid="{1A4D0C21-B2B2-42B3-8874-0FFCA8B8E84A}"/>
    <cellStyle name="20% - Accent1 2 6 2 5" xfId="32399" xr:uid="{620E5CDE-B4B7-4B8D-AD8B-FE63F6CAA162}"/>
    <cellStyle name="20% - Accent1 2 6 3" xfId="27987" xr:uid="{18FC38F7-2589-4EC2-A5FE-50A5A6EB129D}"/>
    <cellStyle name="20% - Accent1 2 6 3 2" xfId="19404" xr:uid="{6DFFA216-B786-405E-BE37-0C8D0F9C26D3}"/>
    <cellStyle name="20% - Accent1 2 6 3 2 2" xfId="30167" xr:uid="{A20CF8E5-5B13-4B74-ABFE-D0B68879C582}"/>
    <cellStyle name="20% - Accent1 2 6 3 2 2 2" xfId="31189" xr:uid="{D8E444CD-19E6-4928-8682-37747DE75157}"/>
    <cellStyle name="20% - Accent1 2 6 3 2 3" xfId="32579" xr:uid="{01377C30-D99F-41FE-BAB6-525A73BA215E}"/>
    <cellStyle name="20% - Accent1 2 6 3 3" xfId="32891" xr:uid="{D1508BEA-4812-403B-8A58-4647806D9A89}"/>
    <cellStyle name="20% - Accent1 2 6 3 3 2" xfId="30605" xr:uid="{81E0FA40-D119-46D9-A5D8-CC2E106CE29C}"/>
    <cellStyle name="20% - Accent1 2 6 3 4" xfId="28262" xr:uid="{F70BEBC7-5A72-472C-ADA6-82A7293C62E0}"/>
    <cellStyle name="20% - Accent1 2 6 4" xfId="29541" xr:uid="{FC76A733-D2ED-475C-AFDA-88092929C9C6}"/>
    <cellStyle name="20% - Accent1 2 6 4 2" xfId="31175" xr:uid="{D17BAC6F-174A-4168-AD0C-4B8E7D772C28}"/>
    <cellStyle name="20% - Accent1 2 6 4 2 2" xfId="32860" xr:uid="{60CEABB4-F496-40E3-B42F-239CFAD26DAE}"/>
    <cellStyle name="20% - Accent1 2 6 4 3" xfId="31168" xr:uid="{3C3025BC-33FF-4F01-BA83-594718869947}"/>
    <cellStyle name="20% - Accent1 2 6 5" xfId="13479" xr:uid="{304027A7-E12F-4C24-AEEB-04208B05686A}"/>
    <cellStyle name="20% - Accent1 2 6 5 2" xfId="31164" xr:uid="{DEAFD2ED-6E79-428C-869E-54AF2355D613}"/>
    <cellStyle name="20% - Accent1 2 6 6" xfId="27651" xr:uid="{86FBAB29-90DF-458A-A699-BCE6179EE982}"/>
    <cellStyle name="20% - Accent1 2 6 7" xfId="35145" xr:uid="{A75E6B85-2369-49F3-A382-A6AC80B3287B}"/>
    <cellStyle name="20% - Accent1 2 7" xfId="28413" xr:uid="{62718CE8-ACCA-4CDC-B592-AC42EBE0FB9C}"/>
    <cellStyle name="20% - Accent1 2 7 2" xfId="28784" xr:uid="{EB26C46A-C2F3-47DA-A7F3-5BCF783C164E}"/>
    <cellStyle name="20% - Accent1 2 7 2 2" xfId="33857" xr:uid="{91E9E791-2944-44BC-AC61-1CE0E1261F2A}"/>
    <cellStyle name="20% - Accent1 2 7 2 2 2" xfId="24686" xr:uid="{AF386D00-E46E-4A0A-B75A-0F54FE1086D7}"/>
    <cellStyle name="20% - Accent1 2 7 2 2 2 2" xfId="19981" xr:uid="{CB8B1DAD-B356-450F-A240-518B9FC35ED9}"/>
    <cellStyle name="20% - Accent1 2 7 2 2 3" xfId="24683" xr:uid="{8297B4BE-C7BC-4E17-B941-DBCF515C3FBF}"/>
    <cellStyle name="20% - Accent1 2 7 2 3" xfId="34056" xr:uid="{E14C44AE-6D20-4A9E-8014-E04150EFBB80}"/>
    <cellStyle name="20% - Accent1 2 7 2 3 2" xfId="33662" xr:uid="{48A1B3F1-7094-4E4C-8E60-DE826B5A5376}"/>
    <cellStyle name="20% - Accent1 2 7 2 4" xfId="32292" xr:uid="{4C60BEB3-BF2A-4572-BEC3-18C86152A8D1}"/>
    <cellStyle name="20% - Accent1 2 7 3" xfId="32005" xr:uid="{ECE36A23-8A66-415F-9217-76DF6867DAC2}"/>
    <cellStyle name="20% - Accent1 2 7 3 2" xfId="33746" xr:uid="{248B005F-0AD0-4BB7-AA74-0FA90501466B}"/>
    <cellStyle name="20% - Accent1 2 7 3 2 2" xfId="15480" xr:uid="{375F2CB1-B888-4D70-B3AC-54865CF48BA6}"/>
    <cellStyle name="20% - Accent1 2 7 3 3" xfId="33808" xr:uid="{007BC5AB-5783-438C-9253-608CEC47388D}"/>
    <cellStyle name="20% - Accent1 2 7 4" xfId="25180" xr:uid="{F5F186C6-10CF-4CD3-9474-02DB85896CC3}"/>
    <cellStyle name="20% - Accent1 2 7 4 2" xfId="30967" xr:uid="{99129F16-E282-421B-8372-60F61F921674}"/>
    <cellStyle name="20% - Accent1 2 7 5" xfId="19724" xr:uid="{F4CC5DC1-1FA5-4527-B94F-E2532B52EB71}"/>
    <cellStyle name="20% - Accent1 2 7 6" xfId="35374" xr:uid="{DBF6F05A-B1EA-4040-A178-A9D9460768EF}"/>
    <cellStyle name="20% - Accent1 2 8" xfId="32586" xr:uid="{3CDE89E5-5C38-4DE3-A42B-E3369CEDCB28}"/>
    <cellStyle name="20% - Accent1 2 8 2" xfId="30221" xr:uid="{A277B843-9B29-4784-B6C7-5BF0F8891D82}"/>
    <cellStyle name="20% - Accent1 2 8 2 2" xfId="33678" xr:uid="{F85F7B20-C9E7-4C6F-A882-6208E54318C7}"/>
    <cellStyle name="20% - Accent1 2 8 2 2 2" xfId="24652" xr:uid="{0B718C09-B732-4150-8D10-1BF6000CD87B}"/>
    <cellStyle name="20% - Accent1 2 8 2 3" xfId="33672" xr:uid="{A3415410-9645-41BC-ADB2-499736EF4255}"/>
    <cellStyle name="20% - Accent1 2 8 3" xfId="20275" xr:uid="{BFFD7B89-9B0C-417B-AAA0-954BEF86DC17}"/>
    <cellStyle name="20% - Accent1 2 8 3 2" xfId="27648" xr:uid="{183431CA-D5E4-4C86-B40A-3B2F2C7043EF}"/>
    <cellStyle name="20% - Accent1 2 8 4" xfId="32840" xr:uid="{FD15B037-10D6-4CF6-B1CA-ED0BEFA40602}"/>
    <cellStyle name="20% - Accent1 2 8 5" xfId="36246" xr:uid="{88BBC94B-D3BD-4116-B6B1-3E122BB33FA6}"/>
    <cellStyle name="20% - Accent1 2 9" xfId="33374" xr:uid="{589D964F-4B3A-4E80-ADB2-4388BF137B59}"/>
    <cellStyle name="20% - Accent1 2 9 2" xfId="32836" xr:uid="{1C378614-1FDD-4DC9-819B-B3CDBF6F7C6E}"/>
    <cellStyle name="20% - Accent1 2 9 2 2" xfId="25903" xr:uid="{7615A0C9-C909-4830-8630-EA2C38707238}"/>
    <cellStyle name="20% - Accent1 2 9 3" xfId="32828" xr:uid="{F0F85A6A-C9F0-44CF-8E22-C1E26E6B63F4}"/>
    <cellStyle name="20% - Accent1 2 9 4" xfId="36532" xr:uid="{0F1CEA26-D7C5-484B-84AF-70F1F9B3CB0E}"/>
    <cellStyle name="20% - Accent1 20" xfId="35696" xr:uid="{5ECD1496-4C3E-4092-8F74-6726F006DE59}"/>
    <cellStyle name="20% - Accent1 20 2" xfId="36865" xr:uid="{72843F11-BACD-4BE1-8F12-1AC2DA5C0554}"/>
    <cellStyle name="20% - Accent1 20 3" xfId="37756" xr:uid="{65324EB9-E2EC-4D5E-897D-1F2797A4CC02}"/>
    <cellStyle name="20% - Accent1 21" xfId="35715" xr:uid="{D1FC8BEF-3940-4D8E-8249-DD67AC15E475}"/>
    <cellStyle name="20% - Accent1 21 2" xfId="36885" xr:uid="{7850AD14-632B-4672-B1FF-DC0296D966D1}"/>
    <cellStyle name="20% - Accent1 21 3" xfId="37776" xr:uid="{47F5410C-4415-4E07-8B1F-D3EE8CB762EB}"/>
    <cellStyle name="20% - Accent1 22" xfId="35734" xr:uid="{679C83D8-DB72-4120-8523-B7CB576908A6}"/>
    <cellStyle name="20% - Accent1 22 2" xfId="36905" xr:uid="{2A673722-405A-48FD-9B05-252328090E35}"/>
    <cellStyle name="20% - Accent1 22 3" xfId="37796" xr:uid="{63CC4352-E0AE-4E98-B656-0305C69F5E55}"/>
    <cellStyle name="20% - Accent1 23" xfId="35754" xr:uid="{E51BB6BA-9855-47E0-8B48-2AD9FB56A26B}"/>
    <cellStyle name="20% - Accent1 23 2" xfId="36924" xr:uid="{AD0D49E5-58B0-4170-824D-70BDAEAEF2C2}"/>
    <cellStyle name="20% - Accent1 23 3" xfId="37816" xr:uid="{416A11F7-45B4-4307-AD3D-893C7988F20C}"/>
    <cellStyle name="20% - Accent1 24" xfId="35774" xr:uid="{F76A3478-464F-44B5-A533-B6F52BA0357E}"/>
    <cellStyle name="20% - Accent1 24 2" xfId="36943" xr:uid="{89297C21-3CB8-447E-A7AC-4746CE8B4EC0}"/>
    <cellStyle name="20% - Accent1 24 3" xfId="37836" xr:uid="{7081C263-F34D-4759-9CBA-F4D1872CA963}"/>
    <cellStyle name="20% - Accent1 25" xfId="35793" xr:uid="{D1D0F8A5-0C6D-492F-8521-58D35BAEFAF5}"/>
    <cellStyle name="20% - Accent1 25 2" xfId="36963" xr:uid="{C6C3A41A-55A9-4B30-9B43-30C4A308ADB6}"/>
    <cellStyle name="20% - Accent1 25 3" xfId="37856" xr:uid="{C0F5D504-4B64-4287-850B-0B42E1E535DE}"/>
    <cellStyle name="20% - Accent1 26" xfId="35812" xr:uid="{72479FF2-07C0-4A58-99EC-5FCC1E1DB948}"/>
    <cellStyle name="20% - Accent1 26 2" xfId="36983" xr:uid="{5CB3B2E9-87B4-4152-8794-DF6D7A390070}"/>
    <cellStyle name="20% - Accent1 26 3" xfId="37876" xr:uid="{4C743974-5046-4112-89EE-0CE6F036E33A}"/>
    <cellStyle name="20% - Accent1 27" xfId="35831" xr:uid="{046BD717-DE90-40CC-A053-D67BC845469F}"/>
    <cellStyle name="20% - Accent1 27 2" xfId="37003" xr:uid="{A0A4A941-505E-4B1E-8585-AD7C1491A8F8}"/>
    <cellStyle name="20% - Accent1 27 3" xfId="37896" xr:uid="{7CB1FA25-86D8-437C-BEEF-92CEDD49DD6C}"/>
    <cellStyle name="20% - Accent1 28" xfId="35850" xr:uid="{2081BA2E-646A-4113-BF02-F3AFB612204C}"/>
    <cellStyle name="20% - Accent1 28 2" xfId="37023" xr:uid="{B7B1F9B8-39DB-4692-9277-7FB36882AD16}"/>
    <cellStyle name="20% - Accent1 28 3" xfId="37916" xr:uid="{40480A40-9815-4F7F-BAA8-9F61C71C1754}"/>
    <cellStyle name="20% - Accent1 29" xfId="35869" xr:uid="{B263ACE0-BA9E-4C5C-81E7-9FE2A2BACE7D}"/>
    <cellStyle name="20% - Accent1 29 2" xfId="37041" xr:uid="{08670ED8-6B54-4D74-9C25-172DEE8E7FF1}"/>
    <cellStyle name="20% - Accent1 29 3" xfId="37935" xr:uid="{EC863F76-80C4-46DA-BB35-A6032202EE31}"/>
    <cellStyle name="20% - Accent1 3" xfId="97" xr:uid="{8661AA4D-623B-4E35-A103-28065AA6C86B}"/>
    <cellStyle name="20% - Accent1 3 10" xfId="29833" xr:uid="{99CDE6BE-CB1A-4DCA-8032-4F0882DE0725}"/>
    <cellStyle name="20% - Accent1 3 10 2" xfId="37436" xr:uid="{85E02155-1FD6-4980-9758-533CA007B7E5}"/>
    <cellStyle name="20% - Accent1 3 11" xfId="34451" xr:uid="{1E4A3F4E-47BE-4ADC-8AE2-67A9A6360425}"/>
    <cellStyle name="20% - Accent1 3 12" xfId="26677" xr:uid="{8AE39BE7-0711-4DBF-820F-04FD0610F82E}"/>
    <cellStyle name="20% - Accent1 3 2" xfId="158" xr:uid="{5EFE2CAB-DF9C-4C27-AFB7-E685357B9872}"/>
    <cellStyle name="20% - Accent1 3 2 10" xfId="34506" xr:uid="{BAE291E7-6217-486B-AFAE-62FD8316D2E4}"/>
    <cellStyle name="20% - Accent1 3 2 11" xfId="27049" xr:uid="{63A84305-BC16-4AD9-8554-3566CAFAAFDD}"/>
    <cellStyle name="20% - Accent1 3 2 2" xfId="32204" xr:uid="{E0C93906-9627-44D3-B5B8-B21C99F228D6}"/>
    <cellStyle name="20% - Accent1 3 2 2 2" xfId="30821" xr:uid="{6E8FA27A-BFD7-45ED-AFE9-0D54B9BED2E2}"/>
    <cellStyle name="20% - Accent1 3 2 2 2 2" xfId="33338" xr:uid="{D7EE84B7-A5CE-4BFC-BA44-377DFD110EF5}"/>
    <cellStyle name="20% - Accent1 3 2 2 2 2 2" xfId="33512" xr:uid="{51B00E36-2483-4C88-B51E-CD9C874D6966}"/>
    <cellStyle name="20% - Accent1 3 2 2 2 2 2 2" xfId="14829" xr:uid="{C3E1E64A-BE5E-4884-9EFC-A9D6F53F43E5}"/>
    <cellStyle name="20% - Accent1 3 2 2 2 2 2 2 2" xfId="25311" xr:uid="{3FA43F22-4C4F-4DA5-AE19-3002B07E4CAC}"/>
    <cellStyle name="20% - Accent1 3 2 2 2 2 2 2 2 2" xfId="20152" xr:uid="{FD7F3C17-9325-4C7F-A2BE-707667997CA8}"/>
    <cellStyle name="20% - Accent1 3 2 2 2 2 2 2 2 2 2" xfId="28252" xr:uid="{4C3EE1FB-E077-4FC7-8D1A-EA00700E0F3D}"/>
    <cellStyle name="20% - Accent1 3 2 2 2 2 2 2 2 3" xfId="25937" xr:uid="{C6CFBF60-05A2-4637-8C74-9B95816B31E2}"/>
    <cellStyle name="20% - Accent1 3 2 2 2 2 2 2 3" xfId="12289" xr:uid="{FA8FE301-0E63-4101-97CB-51CEA0253081}"/>
    <cellStyle name="20% - Accent1 3 2 2 2 2 2 2 3 2" xfId="26817" xr:uid="{CDBCFD97-599E-41B3-9290-0FA58A926018}"/>
    <cellStyle name="20% - Accent1 3 2 2 2 2 2 2 4" xfId="32801" xr:uid="{05D21904-5028-4627-A5A8-AC9140F9855B}"/>
    <cellStyle name="20% - Accent1 3 2 2 2 2 2 3" xfId="14824" xr:uid="{C3D4E0C5-1BD9-419A-8E41-B85E6F54D469}"/>
    <cellStyle name="20% - Accent1 3 2 2 2 2 2 3 2" xfId="32778" xr:uid="{234159AD-11AF-4175-BF98-6C55599FF37D}"/>
    <cellStyle name="20% - Accent1 3 2 2 2 2 2 3 2 2" xfId="18068" xr:uid="{5FAAD91D-A084-45AE-B0A4-01981FE53426}"/>
    <cellStyle name="20% - Accent1 3 2 2 2 2 2 3 3" xfId="32767" xr:uid="{D8747A0A-B756-4F99-9C1B-513F9B16E468}"/>
    <cellStyle name="20% - Accent1 3 2 2 2 2 2 4" xfId="19889" xr:uid="{F46B0A80-9FB0-4E22-9317-C974D4B783A5}"/>
    <cellStyle name="20% - Accent1 3 2 2 2 2 2 4 2" xfId="24058" xr:uid="{42ED704B-B092-40AE-84EC-FA299F91E396}"/>
    <cellStyle name="20% - Accent1 3 2 2 2 2 2 5" xfId="19872" xr:uid="{4155B14F-673A-4743-838B-39CB2512BA9B}"/>
    <cellStyle name="20% - Accent1 3 2 2 2 2 3" xfId="28542" xr:uid="{B05AC070-7AC8-47B2-BA97-9BFA298007F8}"/>
    <cellStyle name="20% - Accent1 3 2 2 2 2 3 2" xfId="18533" xr:uid="{1E575464-0A9B-4F44-BE9D-3C2D4F0B8E94}"/>
    <cellStyle name="20% - Accent1 3 2 2 2 2 3 2 2" xfId="33124" xr:uid="{AFF81C04-962B-4CD8-9925-0F375668B935}"/>
    <cellStyle name="20% - Accent1 3 2 2 2 2 3 2 2 2" xfId="25587" xr:uid="{3D16F7B7-109E-43EB-BD89-F6A7CE9B7B38}"/>
    <cellStyle name="20% - Accent1 3 2 2 2 2 3 2 3" xfId="25493" xr:uid="{39358301-08AF-4697-87B2-D27EDAA2354C}"/>
    <cellStyle name="20% - Accent1 3 2 2 2 2 3 3" xfId="19850" xr:uid="{CE3E63AA-0EE3-4534-9B2C-5F4814151D78}"/>
    <cellStyle name="20% - Accent1 3 2 2 2 2 3 3 2" xfId="32750" xr:uid="{7A93615D-9A53-4CF9-B098-0BBBADBF531E}"/>
    <cellStyle name="20% - Accent1 3 2 2 2 2 3 4" xfId="19837" xr:uid="{4B7ABC74-7265-43D2-913C-055E6279827C}"/>
    <cellStyle name="20% - Accent1 3 2 2 2 2 4" xfId="26771" xr:uid="{E878658A-BF33-4764-BA62-5D848386443D}"/>
    <cellStyle name="20% - Accent1 3 2 2 2 2 4 2" xfId="19828" xr:uid="{D1CBDFF0-4599-4E45-B87B-04ABA38F3F07}"/>
    <cellStyle name="20% - Accent1 3 2 2 2 2 4 2 2" xfId="29891" xr:uid="{9EA96B7E-2B7D-41CC-A2E1-17E835A325F6}"/>
    <cellStyle name="20% - Accent1 3 2 2 2 2 4 3" xfId="19815" xr:uid="{B3097EC9-C177-4A93-9733-6AA1FCFA2448}"/>
    <cellStyle name="20% - Accent1 3 2 2 2 2 5" xfId="29876" xr:uid="{9352463E-FE81-49B1-8B46-01F9E8B7EFB0}"/>
    <cellStyle name="20% - Accent1 3 2 2 2 2 5 2" xfId="5324" xr:uid="{6D29A740-C0A6-4390-83CA-4ABCB5FBEFA4}"/>
    <cellStyle name="20% - Accent1 3 2 2 2 2 6" xfId="22561" xr:uid="{143603D1-C9A6-477F-B861-54E47DCC5646}"/>
    <cellStyle name="20% - Accent1 3 2 2 2 3" xfId="28058" xr:uid="{21800989-7B71-4177-9846-45A63C396AAB}"/>
    <cellStyle name="20% - Accent1 3 2 2 2 3 2" xfId="33324" xr:uid="{85EC0277-E3B0-4A7D-9552-2E06495999FF}"/>
    <cellStyle name="20% - Accent1 3 2 2 2 3 2 2" xfId="10715" xr:uid="{898639C2-7A43-40D1-9902-942B92352214}"/>
    <cellStyle name="20% - Accent1 3 2 2 2 3 2 2 2" xfId="34235" xr:uid="{7209A222-0917-4936-A86B-F47C95C1FAC4}"/>
    <cellStyle name="20% - Accent1 3 2 2 2 3 2 2 2 2" xfId="31637" xr:uid="{520B0E83-A676-4D0A-B851-AB441DD44439}"/>
    <cellStyle name="20% - Accent1 3 2 2 2 3 2 2 3" xfId="34374" xr:uid="{5AE08858-F7B3-42C8-9C79-5BDB73BC905D}"/>
    <cellStyle name="20% - Accent1 3 2 2 2 3 2 3" xfId="19778" xr:uid="{8CC88109-F397-4954-A6D5-CC67F06B5EF9}"/>
    <cellStyle name="20% - Accent1 3 2 2 2 3 2 3 2" xfId="29219" xr:uid="{E2F854BE-6967-4083-8AA5-AB7AE6673A13}"/>
    <cellStyle name="20% - Accent1 3 2 2 2 3 2 4" xfId="21945" xr:uid="{22ED366C-E3A0-4F58-ACB4-D75D59C75EA0}"/>
    <cellStyle name="20% - Accent1 3 2 2 2 3 3" xfId="33195" xr:uid="{5883B319-AAFD-4CD9-B715-C30B4E00B8CD}"/>
    <cellStyle name="20% - Accent1 3 2 2 2 3 3 2" xfId="31876" xr:uid="{A0EEE148-C75B-4DAA-A824-AAA5B985AEFA}"/>
    <cellStyle name="20% - Accent1 3 2 2 2 3 3 2 2" xfId="24475" xr:uid="{6BDA5006-AD04-41A6-A0C0-89C32A88B493}"/>
    <cellStyle name="20% - Accent1 3 2 2 2 3 3 3" xfId="32731" xr:uid="{031D77B1-3E76-4499-AAB5-36AAB5FB970E}"/>
    <cellStyle name="20% - Accent1 3 2 2 2 3 4" xfId="29839" xr:uid="{28835E66-6504-46D5-991F-9CA5729EC65B}"/>
    <cellStyle name="20% - Accent1 3 2 2 2 3 4 2" xfId="29837" xr:uid="{144F3C92-E7A9-437E-9C2C-7BD8EDDD130F}"/>
    <cellStyle name="20% - Accent1 3 2 2 2 3 5" xfId="22580" xr:uid="{6AC6247F-B35A-4D9B-81F7-3CB9090D947C}"/>
    <cellStyle name="20% - Accent1 3 2 2 2 4" xfId="33322" xr:uid="{EBA26AAE-EC35-41DA-B857-874CE251EC4F}"/>
    <cellStyle name="20% - Accent1 3 2 2 2 4 2" xfId="33194" xr:uid="{5ECDB6DA-9262-4F96-BA9B-CB03DEB8E062}"/>
    <cellStyle name="20% - Accent1 3 2 2 2 4 2 2" xfId="32043" xr:uid="{C9941C2F-243B-48AD-AF73-EBA3E43A1ABE}"/>
    <cellStyle name="20% - Accent1 3 2 2 2 4 2 2 2" xfId="33446" xr:uid="{88C3D392-1ACC-4E70-8993-D912FAEC21ED}"/>
    <cellStyle name="20% - Accent1 3 2 2 2 4 2 3" xfId="19743" xr:uid="{311AD872-EA25-4DB3-A16D-1BF84147DD2F}"/>
    <cellStyle name="20% - Accent1 3 2 2 2 4 3" xfId="33061" xr:uid="{F157DCC6-E609-47D7-911B-1B54311472F3}"/>
    <cellStyle name="20% - Accent1 3 2 2 2 4 3 2" xfId="30904" xr:uid="{D3ABD0D5-427F-4B60-B9CC-B1F474C2F713}"/>
    <cellStyle name="20% - Accent1 3 2 2 2 4 4" xfId="26755" xr:uid="{7D9F45C9-6C7F-4D67-AB25-E0D15A4356D2}"/>
    <cellStyle name="20% - Accent1 3 2 2 2 5" xfId="32719" xr:uid="{DCA7CC30-4811-422A-BA9E-7246B16A4C4F}"/>
    <cellStyle name="20% - Accent1 3 2 2 2 5 2" xfId="29938" xr:uid="{E7EAB5CF-95A3-409D-B7EE-F016D9979E24}"/>
    <cellStyle name="20% - Accent1 3 2 2 2 5 2 2" xfId="19712" xr:uid="{D8C2291B-8B78-421A-8177-725C0856D477}"/>
    <cellStyle name="20% - Accent1 3 2 2 2 5 3" xfId="33735" xr:uid="{074C2700-8374-47B2-BE58-A96BB8A6E6FE}"/>
    <cellStyle name="20% - Accent1 3 2 2 2 6" xfId="20572" xr:uid="{60454FA7-EB8B-491F-B746-18B503EE21BA}"/>
    <cellStyle name="20% - Accent1 3 2 2 2 6 2" xfId="22657" xr:uid="{595180D4-1C8A-443C-B95B-A31D5ED96FE8}"/>
    <cellStyle name="20% - Accent1 3 2 2 2 7" xfId="20571" xr:uid="{FFFC6BCA-8A5A-4072-A412-002C6083473F}"/>
    <cellStyle name="20% - Accent1 3 2 2 3" xfId="25703" xr:uid="{3175F4C9-3C6A-4933-8D23-7488B02C5132}"/>
    <cellStyle name="20% - Accent1 3 2 2 3 2" xfId="27860" xr:uid="{2491DD62-808A-4A8E-A804-6F3DB30CF6F5}"/>
    <cellStyle name="20% - Accent1 3 2 2 3 2 2" xfId="33297" xr:uid="{345F1847-2257-4E29-AAD7-526CB4FFA7F9}"/>
    <cellStyle name="20% - Accent1 3 2 2 3 2 2 2" xfId="14322" xr:uid="{0110BF50-2B56-4CC9-81EF-AA5F54A5F395}"/>
    <cellStyle name="20% - Accent1 3 2 2 3 2 2 2 2" xfId="22591" xr:uid="{ED215D39-D0B9-4DEE-B064-A2E5E4D25ED0}"/>
    <cellStyle name="20% - Accent1 3 2 2 3 2 2 2 2 2" xfId="32337" xr:uid="{7FCD5857-76F5-4968-BBB1-30E9AEE86959}"/>
    <cellStyle name="20% - Accent1 3 2 2 3 2 2 2 3" xfId="32707" xr:uid="{E6774377-52CB-48CF-9CCA-A72DB3351FC4}"/>
    <cellStyle name="20% - Accent1 3 2 2 3 2 2 3" xfId="30789" xr:uid="{0BD49D2A-3377-4F47-890C-08B0A9788C7D}"/>
    <cellStyle name="20% - Accent1 3 2 2 3 2 2 3 2" xfId="32701" xr:uid="{61DC177B-24F9-4287-BAA8-D2F89785A4D5}"/>
    <cellStyle name="20% - Accent1 3 2 2 3 2 2 4" xfId="20613" xr:uid="{1788932A-BC15-41EB-93E0-4A35BFD7F999}"/>
    <cellStyle name="20% - Accent1 3 2 2 3 2 3" xfId="32700" xr:uid="{A0FCC768-E41C-4B0C-AAA5-0A69914E8708}"/>
    <cellStyle name="20% - Accent1 3 2 2 3 2 3 2" xfId="19607" xr:uid="{7028BF4B-B186-4779-B9F3-900636768CE4}"/>
    <cellStyle name="20% - Accent1 3 2 2 3 2 3 2 2" xfId="26889" xr:uid="{8A7B4BA1-E534-419B-9EFA-909F3A409D05}"/>
    <cellStyle name="20% - Accent1 3 2 2 3 2 3 3" xfId="32685" xr:uid="{E986CE14-D718-4531-8346-CB4C76DEC942}"/>
    <cellStyle name="20% - Accent1 3 2 2 3 2 4" xfId="26680" xr:uid="{3C2A13DF-DDF3-43C3-AE50-DE8C20338BA5}"/>
    <cellStyle name="20% - Accent1 3 2 2 3 2 4 2" xfId="19599" xr:uid="{E75206B5-18E4-4824-9A81-03E62864A549}"/>
    <cellStyle name="20% - Accent1 3 2 2 3 2 5" xfId="22488" xr:uid="{8A7FDCC8-B11B-4BC3-AB70-5F5F281B1155}"/>
    <cellStyle name="20% - Accent1 3 2 2 3 3" xfId="33291" xr:uid="{896E7A57-2D9B-4CF4-BCE2-65C3BB5D33AB}"/>
    <cellStyle name="20% - Accent1 3 2 2 3 3 2" xfId="32681" xr:uid="{A33F4412-DF62-454F-B769-F0626A6DBC95}"/>
    <cellStyle name="20% - Accent1 3 2 2 3 3 2 2" xfId="19587" xr:uid="{472F0BEF-3BAF-4346-9CC4-DBB152D7799C}"/>
    <cellStyle name="20% - Accent1 3 2 2 3 3 2 2 2" xfId="34378" xr:uid="{3B0BF04F-8BDC-4AC5-A20A-8E4A9549AA75}"/>
    <cellStyle name="20% - Accent1 3 2 2 3 3 2 3" xfId="31549" xr:uid="{6B43D727-BBD1-4A29-BEF5-8498486B84D6}"/>
    <cellStyle name="20% - Accent1 3 2 2 3 3 3" xfId="28537" xr:uid="{7A4939BB-5621-4B06-A14B-A11D2F7DF35E}"/>
    <cellStyle name="20% - Accent1 3 2 2 3 3 3 2" xfId="32650" xr:uid="{15E0C30A-D5AD-4EE7-BCE7-B8E8C5CCD752}"/>
    <cellStyle name="20% - Accent1 3 2 2 3 3 4" xfId="26671" xr:uid="{7D7C74A9-A3F7-4C04-9287-C92ED752F0E6}"/>
    <cellStyle name="20% - Accent1 3 2 2 3 4" xfId="10249" xr:uid="{A5F486A1-8D9B-4E56-9127-526B872E87CB}"/>
    <cellStyle name="20% - Accent1 3 2 2 3 4 2" xfId="8457" xr:uid="{53217740-C70F-4458-9CAF-3859F4F40B1E}"/>
    <cellStyle name="20% - Accent1 3 2 2 3 4 2 2" xfId="19571" xr:uid="{ADE43B93-2C4A-44FC-AC06-BF2013635546}"/>
    <cellStyle name="20% - Accent1 3 2 2 3 4 3" xfId="8454" xr:uid="{797BB7AA-675D-4B9F-9802-D4029A6556E6}"/>
    <cellStyle name="20% - Accent1 3 2 2 3 5" xfId="8452" xr:uid="{8D5C5340-4DF9-4DB2-B7E7-CAC3E42B4565}"/>
    <cellStyle name="20% - Accent1 3 2 2 3 5 2" xfId="31418" xr:uid="{A8B65CD0-E911-4C2D-860A-06D1EFAADF19}"/>
    <cellStyle name="20% - Accent1 3 2 2 3 6" xfId="8450" xr:uid="{51288477-3B7B-44FB-B5AB-3B22F907785B}"/>
    <cellStyle name="20% - Accent1 3 2 2 4" xfId="33289" xr:uid="{8020A354-FFD9-4D95-BE56-8364BAC58817}"/>
    <cellStyle name="20% - Accent1 3 2 2 4 2" xfId="27655" xr:uid="{25A6BEF9-DA1C-4493-AD25-4024E3A9E912}"/>
    <cellStyle name="20% - Accent1 3 2 2 4 2 2" xfId="32629" xr:uid="{76D67482-3816-47CF-9DA2-BC6A174BB191}"/>
    <cellStyle name="20% - Accent1 3 2 2 4 2 2 2" xfId="19517" xr:uid="{506283A7-7919-473E-830D-89981F4B7C9C}"/>
    <cellStyle name="20% - Accent1 3 2 2 4 2 2 2 2" xfId="5573" xr:uid="{367D0E18-9638-43E9-B4C4-78E6D42FB7A0}"/>
    <cellStyle name="20% - Accent1 3 2 2 4 2 2 3" xfId="31359" xr:uid="{B4A48604-CAA5-4C63-A290-071F691C2D2D}"/>
    <cellStyle name="20% - Accent1 3 2 2 4 2 3" xfId="32626" xr:uid="{97D5D372-B63F-4F1B-9D5E-C3C4575F01C9}"/>
    <cellStyle name="20% - Accent1 3 2 2 4 2 3 2" xfId="19511" xr:uid="{A200754F-6FB5-4C6A-92EC-40BCD9E34456}"/>
    <cellStyle name="20% - Accent1 3 2 2 4 2 4" xfId="25839" xr:uid="{5C8F16F0-8C62-4B88-8788-922A1E526EB2}"/>
    <cellStyle name="20% - Accent1 3 2 2 4 3" xfId="21102" xr:uid="{30D48748-F0A3-484A-AD30-F98A1B11AC76}"/>
    <cellStyle name="20% - Accent1 3 2 2 4 3 2" xfId="27654" xr:uid="{664FD1CD-C8CF-45AE-B495-BDFD44700B1B}"/>
    <cellStyle name="20% - Accent1 3 2 2 4 3 2 2" xfId="19502" xr:uid="{3BD6C135-831C-4DB9-BE44-141AB82CCC51}"/>
    <cellStyle name="20% - Accent1 3 2 2 4 3 3" xfId="32613" xr:uid="{7BEA34A3-4BC6-47C4-828B-3D8B1EC45F38}"/>
    <cellStyle name="20% - Accent1 3 2 2 4 4" xfId="8447" xr:uid="{25A40EAE-CAFD-45C4-8F8A-B683941FA4F9}"/>
    <cellStyle name="20% - Accent1 3 2 2 4 4 2" xfId="32612" xr:uid="{FC091DBE-E596-4CF8-BBA6-5F2C3179CDAC}"/>
    <cellStyle name="20% - Accent1 3 2 2 4 5" xfId="18866" xr:uid="{72F7147A-9DF3-4521-BEA2-A12DA3277C75}"/>
    <cellStyle name="20% - Accent1 3 2 2 5" xfId="33288" xr:uid="{53E7BC46-C066-4BA0-9DD0-4A70BC43B714}"/>
    <cellStyle name="20% - Accent1 3 2 2 5 2" xfId="28580" xr:uid="{07C24762-96A7-455F-B762-1634EB9867E6}"/>
    <cellStyle name="20% - Accent1 3 2 2 5 2 2" xfId="32950" xr:uid="{CC914781-31F0-47E2-88E4-4920ADBF0534}"/>
    <cellStyle name="20% - Accent1 3 2 2 5 2 2 2" xfId="18415" xr:uid="{2319B0FA-7C3D-4F4C-9594-CC0920A94581}"/>
    <cellStyle name="20% - Accent1 3 2 2 5 2 3" xfId="32599" xr:uid="{124B9C04-FF3E-45FA-9030-A4BF5048F232}"/>
    <cellStyle name="20% - Accent1 3 2 2 5 3" xfId="32336" xr:uid="{E579E46F-4AF9-4493-A033-0DAC7B53B2BB}"/>
    <cellStyle name="20% - Accent1 3 2 2 5 3 2" xfId="32594" xr:uid="{9B081ADD-0E5E-4AE9-AC65-AE09DE3B5CAE}"/>
    <cellStyle name="20% - Accent1 3 2 2 5 4" xfId="28406" xr:uid="{72B38D5E-E483-4618-8D19-E35491FDF7E4}"/>
    <cellStyle name="20% - Accent1 3 2 2 6" xfId="32055" xr:uid="{3EA07CD6-553E-4599-8254-58C9272DE40E}"/>
    <cellStyle name="20% - Accent1 3 2 2 6 2" xfId="20148" xr:uid="{2202CEED-9252-4766-AF95-77374124D300}"/>
    <cellStyle name="20% - Accent1 3 2 2 6 2 2" xfId="31671" xr:uid="{7BFD3255-A269-4B67-98BC-A10B29B1BA08}"/>
    <cellStyle name="20% - Accent1 3 2 2 6 3" xfId="31810" xr:uid="{C0E87DEC-D8F1-4677-B753-E1EAE4B0E94A}"/>
    <cellStyle name="20% - Accent1 3 2 2 7" xfId="17830" xr:uid="{7F71DDEA-0EEA-4491-8988-273C59B97DA3}"/>
    <cellStyle name="20% - Accent1 3 2 2 7 2" xfId="34216" xr:uid="{B156A71A-4CD3-4AB7-94E3-354C850EFB25}"/>
    <cellStyle name="20% - Accent1 3 2 2 8" xfId="25891" xr:uid="{70464023-D156-438C-9944-2A5A677B1166}"/>
    <cellStyle name="20% - Accent1 3 2 3" xfId="32560" xr:uid="{1AACBB5E-B3C9-4D19-A298-3FCB2E42A915}"/>
    <cellStyle name="20% - Accent1 3 2 3 2" xfId="25666" xr:uid="{0BF4BCC7-E836-4355-8F01-32AF2B33AA80}"/>
    <cellStyle name="20% - Accent1 3 2 3 2 2" xfId="33222" xr:uid="{6855F7A9-DB1C-4B9D-AB31-A42B6B2C0EB5}"/>
    <cellStyle name="20% - Accent1 3 2 3 2 2 2" xfId="30168" xr:uid="{2CA13C94-BFE2-4650-AB7C-5F4E415F147C}"/>
    <cellStyle name="20% - Accent1 3 2 3 2 2 2 2" xfId="29847" xr:uid="{8CFB5DC1-FB09-4EF6-A9A5-09DC38EDE936}"/>
    <cellStyle name="20% - Accent1 3 2 3 2 2 2 2 2" xfId="26674" xr:uid="{66BF7287-89BF-475B-A446-32B84CE96F96}"/>
    <cellStyle name="20% - Accent1 3 2 3 2 2 2 2 2 2" xfId="30428" xr:uid="{94477B75-1E40-41F0-8015-CE0A034B4867}"/>
    <cellStyle name="20% - Accent1 3 2 3 2 2 2 2 3" xfId="18388" xr:uid="{E7C8DEEC-9B23-41B9-950F-52573C214BA5}"/>
    <cellStyle name="20% - Accent1 3 2 3 2 2 2 3" xfId="15732" xr:uid="{E345724F-FBF2-4A18-8E4E-B278E1032C0E}"/>
    <cellStyle name="20% - Accent1 3 2 3 2 2 2 3 2" xfId="23055" xr:uid="{B14E7C5C-AD64-4DFA-A750-0402E5A2F666}"/>
    <cellStyle name="20% - Accent1 3 2 3 2 2 2 4" xfId="10001" xr:uid="{AF679177-DA93-40B6-9D15-D854D4B8CD97}"/>
    <cellStyle name="20% - Accent1 3 2 3 2 2 3" xfId="32559" xr:uid="{FD0CF90B-376D-4921-9E47-51215CD9321F}"/>
    <cellStyle name="20% - Accent1 3 2 3 2 2 3 2" xfId="19355" xr:uid="{339D9CF2-57BE-4F66-880A-75BE2C98B68A}"/>
    <cellStyle name="20% - Accent1 3 2 3 2 2 3 2 2" xfId="33421" xr:uid="{189EC15C-1B01-4D49-877B-43834CBB611B}"/>
    <cellStyle name="20% - Accent1 3 2 3 2 2 3 3" xfId="19351" xr:uid="{1901F3DE-8D0C-4818-B21F-54F91E621384}"/>
    <cellStyle name="20% - Accent1 3 2 3 2 2 4" xfId="29720" xr:uid="{8FB46A0E-929A-4DB5-A317-867B635BB9BA}"/>
    <cellStyle name="20% - Accent1 3 2 3 2 2 4 2" xfId="19339" xr:uid="{ED31DF53-3BB1-4EC4-BC7A-BFF267F0AA34}"/>
    <cellStyle name="20% - Accent1 3 2 3 2 2 5" xfId="22378" xr:uid="{B9D8C6C4-38A7-478C-9144-29EE603C1410}"/>
    <cellStyle name="20% - Accent1 3 2 3 2 3" xfId="29555" xr:uid="{1FAEE748-732B-4E28-9085-3861AFFB5A20}"/>
    <cellStyle name="20% - Accent1 3 2 3 2 3 2" xfId="29544" xr:uid="{1263FEC0-225E-46E6-822F-7281E9E2CE8F}"/>
    <cellStyle name="20% - Accent1 3 2 3 2 3 2 2" xfId="12759" xr:uid="{2F1E57A1-5668-42DF-863E-7B19FEC72A80}"/>
    <cellStyle name="20% - Accent1 3 2 3 2 3 2 2 2" xfId="29660" xr:uid="{554E2A6A-058D-41FC-B2E2-A85E42A1CC87}"/>
    <cellStyle name="20% - Accent1 3 2 3 2 3 2 3" xfId="19327" xr:uid="{27D7C0F2-F262-4E81-AAB9-1697241FDD70}"/>
    <cellStyle name="20% - Accent1 3 2 3 2 3 3" xfId="29532" xr:uid="{4940CB16-94C1-4EBE-8884-DCB802C2E0D5}"/>
    <cellStyle name="20% - Accent1 3 2 3 2 3 3 2" xfId="29527" xr:uid="{2F0B7511-64B3-44F6-AEB5-9F3084C5CC6F}"/>
    <cellStyle name="20% - Accent1 3 2 3 2 3 4" xfId="29565" xr:uid="{FBF89782-E4BE-4804-BAFF-5B2C7947E6CA}"/>
    <cellStyle name="20% - Accent1 3 2 3 2 4" xfId="31478" xr:uid="{0333048C-7962-41BE-BCDA-13A62A68E521}"/>
    <cellStyle name="20% - Accent1 3 2 3 2 4 2" xfId="32451" xr:uid="{5C60C582-E4C9-445D-95EE-DA90189EC209}"/>
    <cellStyle name="20% - Accent1 3 2 3 2 4 2 2" xfId="19322" xr:uid="{400B8BE8-BF18-49AD-90A3-06EFAA0D12EE}"/>
    <cellStyle name="20% - Accent1 3 2 3 2 4 3" xfId="32899" xr:uid="{053227A6-A1A4-46A4-8385-CFA7C5DA61B5}"/>
    <cellStyle name="20% - Accent1 3 2 3 2 5" xfId="31471" xr:uid="{0A9B7753-2C2B-4614-A156-3E7B386CF018}"/>
    <cellStyle name="20% - Accent1 3 2 3 2 5 2" xfId="32538" xr:uid="{EA90D399-DAD4-483D-B933-14D2B030CD44}"/>
    <cellStyle name="20% - Accent1 3 2 3 2 6" xfId="29343" xr:uid="{4D7086A3-DFDB-4A40-AEBA-6D011E20406B}"/>
    <cellStyle name="20% - Accent1 3 2 3 3" xfId="33855" xr:uid="{7BDCF7BB-3FE6-409F-8EC9-7F1E93304EF9}"/>
    <cellStyle name="20% - Accent1 3 2 3 3 2" xfId="33212" xr:uid="{9A31C06F-DFE2-470D-A7F8-31915A628C2D}"/>
    <cellStyle name="20% - Accent1 3 2 3 3 2 2" xfId="32175" xr:uid="{D85C8FA6-6913-4B01-B70B-4D723B4397E4}"/>
    <cellStyle name="20% - Accent1 3 2 3 3 2 2 2" xfId="12709" xr:uid="{185E1FE9-0AA1-4731-A339-85CC09F16A1D}"/>
    <cellStyle name="20% - Accent1 3 2 3 3 2 2 2 2" xfId="18051" xr:uid="{8C490311-1DBC-41C1-AA0C-A5E0AA358369}"/>
    <cellStyle name="20% - Accent1 3 2 3 3 2 2 3" xfId="28139" xr:uid="{F863E20F-EA9C-4862-B224-6BFBD68EAC3F}"/>
    <cellStyle name="20% - Accent1 3 2 3 3 2 3" xfId="32524" xr:uid="{226B19A0-1C30-4664-850F-10C31D542771}"/>
    <cellStyle name="20% - Accent1 3 2 3 3 2 3 2" xfId="19279" xr:uid="{CB7F4680-B331-4336-A9AB-551F4515F97E}"/>
    <cellStyle name="20% - Accent1 3 2 3 3 2 4" xfId="29676" xr:uid="{01BF7D72-02A6-4408-A155-7983C7D1887C}"/>
    <cellStyle name="20% - Accent1 3 2 3 3 3" xfId="30986" xr:uid="{2D8A811C-FFDF-4E30-8E9D-E8CC01947700}"/>
    <cellStyle name="20% - Accent1 3 2 3 3 3 2" xfId="29525" xr:uid="{40114D5D-991C-49B9-9DDB-7A6A381D0BC7}"/>
    <cellStyle name="20% - Accent1 3 2 3 3 3 2 2" xfId="19275" xr:uid="{236F7B19-736C-4870-AC01-45D47C99090B}"/>
    <cellStyle name="20% - Accent1 3 2 3 3 3 3" xfId="29521" xr:uid="{B0FAC669-0DE9-4511-AF73-2391CDCE8F75}"/>
    <cellStyle name="20% - Accent1 3 2 3 3 4" xfId="8443" xr:uid="{9B49E1CE-3B43-4FF3-8C35-54503173FA43}"/>
    <cellStyle name="20% - Accent1 3 2 3 3 4 2" xfId="8441" xr:uid="{7BEA8FF3-AB1A-4B28-B8DA-11D2F11F05C0}"/>
    <cellStyle name="20% - Accent1 3 2 3 3 5" xfId="8439" xr:uid="{545F1AFC-967B-414D-BE92-30F346E00CE4}"/>
    <cellStyle name="20% - Accent1 3 2 3 4" xfId="25350" xr:uid="{40752BF4-787D-4BAB-AB13-020A22C3E676}"/>
    <cellStyle name="20% - Accent1 3 2 3 4 2" xfId="20896" xr:uid="{C2CD3957-7E11-44AA-A3D0-23B849D6BE48}"/>
    <cellStyle name="20% - Accent1 3 2 3 4 2 2" xfId="31613" xr:uid="{240903ED-BC9F-47FF-AACF-828BCD17D279}"/>
    <cellStyle name="20% - Accent1 3 2 3 4 2 2 2" xfId="19231" xr:uid="{90CF6AC9-FB44-4209-AF96-98A6CEAD5C69}"/>
    <cellStyle name="20% - Accent1 3 2 3 4 2 3" xfId="32506" xr:uid="{607C1590-721E-4AFF-88B7-6D35C48EC0A3}"/>
    <cellStyle name="20% - Accent1 3 2 3 4 3" xfId="30953" xr:uid="{E49300A7-8E14-4352-9323-F99892AEC2BB}"/>
    <cellStyle name="20% - Accent1 3 2 3 4 3 2" xfId="29506" xr:uid="{74D8E3AA-5B43-43A2-B7A8-D95117321CDE}"/>
    <cellStyle name="20% - Accent1 3 2 3 4 4" xfId="8435" xr:uid="{24E9092F-5A69-40EB-AD8A-45ABA2D7CA5F}"/>
    <cellStyle name="20% - Accent1 3 2 3 5" xfId="25345" xr:uid="{75D64A6D-FC2D-432D-BD3C-20B796888423}"/>
    <cellStyle name="20% - Accent1 3 2 3 5 2" xfId="32498" xr:uid="{3D0F8459-C8C1-4FA0-884F-083516E4DE5B}"/>
    <cellStyle name="20% - Accent1 3 2 3 5 2 2" xfId="31370" xr:uid="{5E646F54-A289-4469-9670-3F48FC98C5A7}"/>
    <cellStyle name="20% - Accent1 3 2 3 5 3" xfId="29485" xr:uid="{DC38731B-3F27-4264-9F57-72150F4B9E54}"/>
    <cellStyle name="20% - Accent1 3 2 3 6" xfId="33656" xr:uid="{D9CCE21A-89BF-4C3F-884D-A2D94E093BF1}"/>
    <cellStyle name="20% - Accent1 3 2 3 6 2" xfId="32496" xr:uid="{201BED49-24DA-4A5B-9B49-8030D756F1A6}"/>
    <cellStyle name="20% - Accent1 3 2 3 7" xfId="31056" xr:uid="{4B6BFA9F-B2AE-4458-A25A-41245D880D38}"/>
    <cellStyle name="20% - Accent1 3 2 4" xfId="30944" xr:uid="{84A17F54-092A-4E6B-86DB-30659BF6AD01}"/>
    <cellStyle name="20% - Accent1 3 2 4 2" xfId="33058" xr:uid="{D8B961A5-E7B7-4FF9-985E-D72E568A4EFD}"/>
    <cellStyle name="20% - Accent1 3 2 4 2 2" xfId="30544" xr:uid="{70786424-47F9-4A45-8EFC-C6AA6DC5196E}"/>
    <cellStyle name="20% - Accent1 3 2 4 2 2 2" xfId="29207" xr:uid="{40C12957-670F-49C3-B30D-473D7365C710}"/>
    <cellStyle name="20% - Accent1 3 2 4 2 2 2 2" xfId="5546" xr:uid="{DE8D19BB-1AAC-4955-9CE5-8ECED43011D4}"/>
    <cellStyle name="20% - Accent1 3 2 4 2 2 2 2 2" xfId="21745" xr:uid="{63D48A63-6F66-4662-B5EB-3790733BE822}"/>
    <cellStyle name="20% - Accent1 3 2 4 2 2 2 3" xfId="20654" xr:uid="{7F4DA100-AF54-4EC7-A955-7D821A5A8F84}"/>
    <cellStyle name="20% - Accent1 3 2 4 2 2 3" xfId="29193" xr:uid="{C400C80B-15D7-4CCB-9ED6-BE5D59ED34B4}"/>
    <cellStyle name="20% - Accent1 3 2 4 2 2 3 2" xfId="16609" xr:uid="{6780D67E-DD3B-4C0D-92FF-C0102DA62A06}"/>
    <cellStyle name="20% - Accent1 3 2 4 2 2 4" xfId="29166" xr:uid="{D6AE0A64-3A4E-4335-AB13-541E375AFED8}"/>
    <cellStyle name="20% - Accent1 3 2 4 2 3" xfId="29162" xr:uid="{4A5E7E50-C3AB-46F5-8F58-914B4BEAF858}"/>
    <cellStyle name="20% - Accent1 3 2 4 2 3 2" xfId="29261" xr:uid="{26CC547A-FD85-4B24-BD13-D79A66E1F05B}"/>
    <cellStyle name="20% - Accent1 3 2 4 2 3 2 2" xfId="10332" xr:uid="{BC2A1926-6D91-4A66-88D9-56025B688BE7}"/>
    <cellStyle name="20% - Accent1 3 2 4 2 3 3" xfId="29249" xr:uid="{9F42CE23-F6F1-4D44-AA2B-5E4224D492C8}"/>
    <cellStyle name="20% - Accent1 3 2 4 2 4" xfId="26962" xr:uid="{443644DA-1E60-4169-8B1B-D8FD74FB27D8}"/>
    <cellStyle name="20% - Accent1 3 2 4 2 4 2" xfId="29247" xr:uid="{F4CF3EDE-60C2-4414-A5DF-589901B6E0D7}"/>
    <cellStyle name="20% - Accent1 3 2 4 2 5" xfId="29454" xr:uid="{A6B57EAE-3231-494A-AA57-A817E2AD1633}"/>
    <cellStyle name="20% - Accent1 3 2 4 3" xfId="33848" xr:uid="{C94486C5-A0CA-44A1-BB70-019C5D6825C0}"/>
    <cellStyle name="20% - Accent1 3 2 4 3 2" xfId="11506" xr:uid="{4CA9A581-9045-4CB1-AD1E-1B7002097911}"/>
    <cellStyle name="20% - Accent1 3 2 4 3 2 2" xfId="13549" xr:uid="{E2D11241-04D2-4D94-AA1F-347EC770E880}"/>
    <cellStyle name="20% - Accent1 3 2 4 3 2 2 2" xfId="9594" xr:uid="{E3DEC881-9F6D-43B6-B52F-DC492B784DD0}"/>
    <cellStyle name="20% - Accent1 3 2 4 3 2 3" xfId="11464" xr:uid="{9D0D657B-FB9F-41C2-80E0-ABD74906034D}"/>
    <cellStyle name="20% - Accent1 3 2 4 3 3" xfId="29300" xr:uid="{4FE6771B-CC67-4338-852E-5C7EB3753D9D}"/>
    <cellStyle name="20% - Accent1 3 2 4 3 3 2" xfId="11412" xr:uid="{3D3BFEE7-7C2D-472C-84B2-51172CBC5B3E}"/>
    <cellStyle name="20% - Accent1 3 2 4 3 4" xfId="8429" xr:uid="{A2D3752E-C93A-46C3-AD93-5139C922EDB3}"/>
    <cellStyle name="20% - Accent1 3 2 4 4" xfId="25334" xr:uid="{05DEDB75-436B-4B07-B9C7-ADB63E1B1B54}"/>
    <cellStyle name="20% - Accent1 3 2 4 4 2" xfId="11262" xr:uid="{CAA176A7-3C22-47CF-9607-8A6518012312}"/>
    <cellStyle name="20% - Accent1 3 2 4 4 2 2" xfId="11260" xr:uid="{8DAA1F1A-3207-4C17-92C7-EEDAABCAF5A3}"/>
    <cellStyle name="20% - Accent1 3 2 4 4 3" xfId="11198" xr:uid="{3292A39C-8216-43EA-BF07-68BBF4A45DED}"/>
    <cellStyle name="20% - Accent1 3 2 4 5" xfId="33929" xr:uid="{19607582-D2ED-4135-A744-FC389AB3AFCE}"/>
    <cellStyle name="20% - Accent1 3 2 4 5 2" xfId="11107" xr:uid="{8E31D298-07C9-44C6-AF84-B1BF6403A82F}"/>
    <cellStyle name="20% - Accent1 3 2 4 6" xfId="32467" xr:uid="{2F47DDB2-F9A5-4C22-8743-2A58B270B6AF}"/>
    <cellStyle name="20% - Accent1 3 2 5" xfId="32456" xr:uid="{7B5B253B-D50B-4F33-A9C9-98C51C8762BC}"/>
    <cellStyle name="20% - Accent1 3 2 5 2" xfId="33042" xr:uid="{D8B9E9D0-087F-4CB6-A52A-25D38EF6225F}"/>
    <cellStyle name="20% - Accent1 3 2 5 2 2" xfId="21779" xr:uid="{532770B5-9A07-4139-A151-FEF659B3E7FC}"/>
    <cellStyle name="20% - Accent1 3 2 5 2 2 2" xfId="34039" xr:uid="{ADF7B45C-9E97-4EC5-902F-E057BD277268}"/>
    <cellStyle name="20% - Accent1 3 2 5 2 2 2 2" xfId="20718" xr:uid="{75389EF1-5BF3-4F5B-99DD-47FC62D04EFE}"/>
    <cellStyle name="20% - Accent1 3 2 5 2 2 3" xfId="33444" xr:uid="{BF59043D-99A9-4E6F-B6B5-E71C4A74AC12}"/>
    <cellStyle name="20% - Accent1 3 2 5 2 3" xfId="30873" xr:uid="{80289178-295C-4CBE-B2B5-ACB95820A2D7}"/>
    <cellStyle name="20% - Accent1 3 2 5 2 3 2" xfId="23478" xr:uid="{40E1925D-F762-4E24-939F-603C2D1E7AC3}"/>
    <cellStyle name="20% - Accent1 3 2 5 2 4" xfId="21851" xr:uid="{FAF6F550-BE44-4C0C-A17B-08C0F07891FD}"/>
    <cellStyle name="20% - Accent1 3 2 5 3" xfId="33644" xr:uid="{48739264-1DE1-4B50-9D49-27F0E106603B}"/>
    <cellStyle name="20% - Accent1 3 2 5 3 2" xfId="24466" xr:uid="{7F4607F6-0577-4CE5-80E4-EF50A2DF831B}"/>
    <cellStyle name="20% - Accent1 3 2 5 3 2 2" xfId="24549" xr:uid="{479B4648-B63D-4FF5-AD50-739C792C5DC9}"/>
    <cellStyle name="20% - Accent1 3 2 5 3 3" xfId="10824" xr:uid="{C882D2DA-9DE0-4673-A73D-5077873C89D9}"/>
    <cellStyle name="20% - Accent1 3 2 5 4" xfId="22022" xr:uid="{A78465C3-D7DD-49E9-A0E0-3A204425AF21}"/>
    <cellStyle name="20% - Accent1 3 2 5 4 2" xfId="10743" xr:uid="{F2C933EB-4FC2-4BE8-9D16-38A0CBD2E11F}"/>
    <cellStyle name="20% - Accent1 3 2 5 5" xfId="27584" xr:uid="{9EAA9AA5-32A4-4676-B246-D37990AABD90}"/>
    <cellStyle name="20% - Accent1 3 2 6" xfId="29344" xr:uid="{C8D2ECDA-C534-4CDD-B971-084B558B6912}"/>
    <cellStyle name="20% - Accent1 3 2 6 2" xfId="33829" xr:uid="{A66B66AA-AD3D-4056-B79F-6D0908A47638}"/>
    <cellStyle name="20% - Accent1 3 2 6 2 2" xfId="31545" xr:uid="{DF5F3240-7459-4C81-9514-D8FFBBE13524}"/>
    <cellStyle name="20% - Accent1 3 2 6 2 2 2" xfId="18578" xr:uid="{35CC3466-CF88-4E47-A054-0585C80A5540}"/>
    <cellStyle name="20% - Accent1 3 2 6 2 3" xfId="29386" xr:uid="{AE63D8DD-BA23-4C9B-B5E8-1D74A46B6B8C}"/>
    <cellStyle name="20% - Accent1 3 2 6 3" xfId="33744" xr:uid="{5E8AF209-3C04-472B-8020-8B602EA20D5A}"/>
    <cellStyle name="20% - Accent1 3 2 6 3 2" xfId="10551" xr:uid="{BD71C991-E4C0-4530-9D39-2BA7990E36C5}"/>
    <cellStyle name="20% - Accent1 3 2 6 4" xfId="28308" xr:uid="{CC251A6A-901D-417C-8F0A-4CDA2DEE4DD9}"/>
    <cellStyle name="20% - Accent1 3 2 7" xfId="31105" xr:uid="{FA91FCAD-D55C-4ABE-801D-15D6E7986382}"/>
    <cellStyle name="20% - Accent1 3 2 7 2" xfId="22274" xr:uid="{F454A559-3650-45BC-A2CE-EB230F30829B}"/>
    <cellStyle name="20% - Accent1 3 2 7 2 2" xfId="31306" xr:uid="{52ECE18B-A6EC-415F-B266-3BC658903904}"/>
    <cellStyle name="20% - Accent1 3 2 7 3" xfId="22270" xr:uid="{20088026-D0FB-4836-978B-ADA6FDD53501}"/>
    <cellStyle name="20% - Accent1 3 2 8" xfId="33712" xr:uid="{A7854184-F8F9-4B97-8148-6D7A206C7FD0}"/>
    <cellStyle name="20% - Accent1 3 2 8 2" xfId="22256" xr:uid="{2D2F3AC0-AEEE-4D8C-9586-82EAB6A18BE9}"/>
    <cellStyle name="20% - Accent1 3 2 9" xfId="15393" xr:uid="{780B800A-09F6-48C9-8F28-9B1B7CCC1A1B}"/>
    <cellStyle name="20% - Accent1 3 3" xfId="219" xr:uid="{05387347-6790-4DF0-9E3B-BC1FA2D918B2}"/>
    <cellStyle name="20% - Accent1 3 3 10" xfId="33163" xr:uid="{738CE7DF-6439-47B3-BA9E-5C984F5247EE}"/>
    <cellStyle name="20% - Accent1 3 3 2" xfId="28196" xr:uid="{1F841F95-528C-4631-AD37-0A4CB56440ED}"/>
    <cellStyle name="20% - Accent1 3 3 2 2" xfId="25559" xr:uid="{483D25DB-21DB-4F0A-83AB-28D54504B0D2}"/>
    <cellStyle name="20% - Accent1 3 3 2 2 2" xfId="33739" xr:uid="{E5E5A519-8118-44AE-A99F-DE8CB57162C5}"/>
    <cellStyle name="20% - Accent1 3 3 2 2 2 2" xfId="33101" xr:uid="{8747BCAB-C53D-48C3-9EED-18B5BC0A4484}"/>
    <cellStyle name="20% - Accent1 3 3 2 2 2 2 2" xfId="30438" xr:uid="{9BB5F75A-EE42-430A-A170-B277423A317C}"/>
    <cellStyle name="20% - Accent1 3 3 2 2 2 2 2 2" xfId="31001" xr:uid="{13DAD54A-0B44-45D8-BEA2-F0A9B2F9BB3B}"/>
    <cellStyle name="20% - Accent1 3 3 2 2 2 2 2 2 2" xfId="24941" xr:uid="{049018CD-71F4-43B3-BB8D-EE8F1749CC3D}"/>
    <cellStyle name="20% - Accent1 3 3 2 2 2 2 2 3" xfId="32425" xr:uid="{5F335446-D90D-4104-A765-75288784EB6E}"/>
    <cellStyle name="20% - Accent1 3 3 2 2 2 2 3" xfId="30433" xr:uid="{A2513BF0-18DA-48C9-8DE9-69F419066086}"/>
    <cellStyle name="20% - Accent1 3 3 2 2 2 2 3 2" xfId="32418" xr:uid="{26238B0F-3E9A-450D-94BE-5314CF51587C}"/>
    <cellStyle name="20% - Accent1 3 3 2 2 2 2 4" xfId="17879" xr:uid="{B201C00F-E30C-4FCA-9EC2-9EA1983D26D6}"/>
    <cellStyle name="20% - Accent1 3 3 2 2 2 3" xfId="34034" xr:uid="{CC3307A2-621D-4AAC-914E-F7DA6676E607}"/>
    <cellStyle name="20% - Accent1 3 3 2 2 2 3 2" xfId="18906" xr:uid="{E22DC803-A111-47E8-894E-8837807B82E5}"/>
    <cellStyle name="20% - Accent1 3 3 2 2 2 3 2 2" xfId="32417" xr:uid="{0DF610FB-A979-4570-B197-51DB4F36D08A}"/>
    <cellStyle name="20% - Accent1 3 3 2 2 2 3 3" xfId="17942" xr:uid="{6B9CCD13-CD35-4E0A-B386-387A2294E23E}"/>
    <cellStyle name="20% - Accent1 3 3 2 2 2 4" xfId="29545" xr:uid="{06D1A55E-8891-4FEE-8C87-9A04F4E55BCE}"/>
    <cellStyle name="20% - Accent1 3 3 2 2 2 4 2" xfId="18895" xr:uid="{5811BF41-B9C5-4E8D-81DE-19BD63DBA6B9}"/>
    <cellStyle name="20% - Accent1 3 3 2 2 2 5" xfId="26994" xr:uid="{8E2989F0-336E-4D03-B9B0-1CA95A50892F}"/>
    <cellStyle name="20% - Accent1 3 3 2 2 3" xfId="33083" xr:uid="{1C5B0DC0-8919-4DD6-A63F-464B0D999562}"/>
    <cellStyle name="20% - Accent1 3 3 2 2 3 2" xfId="32412" xr:uid="{AAA30574-A3FB-4AFE-AB3C-A8E10E463989}"/>
    <cellStyle name="20% - Accent1 3 3 2 2 3 2 2" xfId="18889" xr:uid="{CA79DD21-B158-4888-B710-8B31B887E129}"/>
    <cellStyle name="20% - Accent1 3 3 2 2 3 2 2 2" xfId="32409" xr:uid="{2269FE57-D7A2-456C-89CF-CABFBCA81516}"/>
    <cellStyle name="20% - Accent1 3 3 2 2 3 2 3" xfId="27227" xr:uid="{7EBAA83A-E628-4838-9272-EABC400FDC0B}"/>
    <cellStyle name="20% - Accent1 3 3 2 2 3 3" xfId="32404" xr:uid="{A77BD8A4-AA89-41CF-9F63-18FA0D837DC7}"/>
    <cellStyle name="20% - Accent1 3 3 2 2 3 3 2" xfId="29665" xr:uid="{DF65D35A-FC47-4D7E-8721-2D864D341AA9}"/>
    <cellStyle name="20% - Accent1 3 3 2 2 3 4" xfId="32450" xr:uid="{D505ED6D-5DBD-4291-9E2F-E93C452D1EBE}"/>
    <cellStyle name="20% - Accent1 3 3 2 2 4" xfId="26785" xr:uid="{1DD8F8B2-28D1-4678-BF1F-E2F77051601A}"/>
    <cellStyle name="20% - Accent1 3 3 2 2 4 2" xfId="34188" xr:uid="{FB1EE85A-F657-433A-BF52-9B82E1095EC9}"/>
    <cellStyle name="20% - Accent1 3 3 2 2 4 2 2" xfId="16867" xr:uid="{8F236779-FB35-4A68-975D-5AECB7D32482}"/>
    <cellStyle name="20% - Accent1 3 3 2 2 4 3" xfId="18529" xr:uid="{731489BC-D5A5-46B8-94E0-9C50FDC3A77F}"/>
    <cellStyle name="20% - Accent1 3 3 2 2 5" xfId="26315" xr:uid="{BFABD225-E4D0-4783-881F-4158C9A521B8}"/>
    <cellStyle name="20% - Accent1 3 3 2 2 5 2" xfId="32392" xr:uid="{CDCA6BAB-D733-41F8-BB50-C1F8B94DCD57}"/>
    <cellStyle name="20% - Accent1 3 3 2 2 6" xfId="20389" xr:uid="{5977576C-2221-46A5-959C-1F43F1AD74CB}"/>
    <cellStyle name="20% - Accent1 3 3 2 3" xfId="29217" xr:uid="{614C2106-4C12-48EE-BD58-1F2C21D99405}"/>
    <cellStyle name="20% - Accent1 3 3 2 3 2" xfId="33065" xr:uid="{631D1C73-AE9D-4CEF-BD6E-A954BACB07FF}"/>
    <cellStyle name="20% - Accent1 3 3 2 3 2 2" xfId="33710" xr:uid="{410D41AB-16BB-46F0-8D5C-4AFA14ED2E27}"/>
    <cellStyle name="20% - Accent1 3 3 2 3 2 2 2" xfId="18803" xr:uid="{438E9A88-4DC0-45E9-AE98-86F1C4191A5D}"/>
    <cellStyle name="20% - Accent1 3 3 2 3 2 2 2 2" xfId="33961" xr:uid="{783570CE-A765-4402-AC93-23101D2E9FFD}"/>
    <cellStyle name="20% - Accent1 3 3 2 3 2 2 3" xfId="26287" xr:uid="{B1A07DD4-639E-4ADC-814F-CADD281F464C}"/>
    <cellStyle name="20% - Accent1 3 3 2 3 2 3" xfId="31840" xr:uid="{FC49880F-ECDB-4ACA-BD3F-EB6318A49489}"/>
    <cellStyle name="20% - Accent1 3 3 2 3 2 3 2" xfId="18792" xr:uid="{62C953F5-DD9D-47CB-A0BB-CDB6C4E0D0FA}"/>
    <cellStyle name="20% - Accent1 3 3 2 3 2 4" xfId="28012" xr:uid="{4BF2779A-76CA-4B24-B7E7-06A2F8143CDC}"/>
    <cellStyle name="20% - Accent1 3 3 2 3 3" xfId="32375" xr:uid="{36089134-98B9-4A6F-9C62-EFD15C9BA4F8}"/>
    <cellStyle name="20% - Accent1 3 3 2 3 3 2" xfId="32373" xr:uid="{044E2798-4DCA-45E0-A468-9A895419D6F4}"/>
    <cellStyle name="20% - Accent1 3 3 2 3 3 2 2" xfId="18782" xr:uid="{EAF41DBC-4604-433B-9F85-C67D9B11810C}"/>
    <cellStyle name="20% - Accent1 3 3 2 3 3 3" xfId="22049" xr:uid="{E5F9A980-0ABE-4EDD-B02A-E5531AEBE11C}"/>
    <cellStyle name="20% - Accent1 3 3 2 3 4" xfId="8189" xr:uid="{DC9BB5FE-A241-4C64-A926-081912D1F685}"/>
    <cellStyle name="20% - Accent1 3 3 2 3 4 2" xfId="8186" xr:uid="{D5E11E86-3B98-470E-9E48-516CF5E25203}"/>
    <cellStyle name="20% - Accent1 3 3 2 3 5" xfId="8184" xr:uid="{0E4568DE-E843-4212-AC8F-2B8DF74EAABE}"/>
    <cellStyle name="20% - Accent1 3 3 2 4" xfId="33990" xr:uid="{2CA0F53D-8663-4973-B722-9615F22808C4}"/>
    <cellStyle name="20% - Accent1 3 3 2 4 2" xfId="27570" xr:uid="{1CF733B5-4FC0-42AA-BEE4-9061FEB5765E}"/>
    <cellStyle name="20% - Accent1 3 3 2 4 2 2" xfId="30048" xr:uid="{A49B2FB8-304D-4668-8988-CF32F3156C46}"/>
    <cellStyle name="20% - Accent1 3 3 2 4 2 2 2" xfId="18761" xr:uid="{5E0DE74F-916C-4E68-81E3-083AEF5F6F9B}"/>
    <cellStyle name="20% - Accent1 3 3 2 4 2 3" xfId="34031" xr:uid="{F13DFB0A-74CD-4C2D-B0F7-A7A809AA584D}"/>
    <cellStyle name="20% - Accent1 3 3 2 4 3" xfId="32325" xr:uid="{52C377DC-32C1-4A27-A9D5-1FC74AA2C81C}"/>
    <cellStyle name="20% - Accent1 3 3 2 4 3 2" xfId="34284" xr:uid="{268A0F4F-24F7-4C8C-BAFD-235D2B01D11E}"/>
    <cellStyle name="20% - Accent1 3 3 2 4 4" xfId="8180" xr:uid="{9B1251F6-CA05-4952-90FF-99BAC84ACE97}"/>
    <cellStyle name="20% - Accent1 3 3 2 5" xfId="32362" xr:uid="{0BB8339F-B78F-4DC0-8CEB-0280C66B8797}"/>
    <cellStyle name="20% - Accent1 3 3 2 5 2" xfId="32312" xr:uid="{3431F006-BD61-4049-99A8-A16DADA8DF2B}"/>
    <cellStyle name="20% - Accent1 3 3 2 5 2 2" xfId="33922" xr:uid="{F6113BD5-A87E-47CC-916F-9E58D52CF14E}"/>
    <cellStyle name="20% - Accent1 3 3 2 5 3" xfId="24913" xr:uid="{D3382620-D2B0-43E5-9C08-4D0066B290CA}"/>
    <cellStyle name="20% - Accent1 3 3 2 6" xfId="32351" xr:uid="{2EE24AF7-B05D-41AF-8738-099EB5CC3DEF}"/>
    <cellStyle name="20% - Accent1 3 3 2 6 2" xfId="24898" xr:uid="{0881A6DD-6F5F-4981-B9E7-88463DF48F1A}"/>
    <cellStyle name="20% - Accent1 3 3 2 7" xfId="31048" xr:uid="{4615C5DD-EE92-4560-A4C5-74BFF3902947}"/>
    <cellStyle name="20% - Accent1 3 3 3" xfId="33804" xr:uid="{3FA9BF0B-92EE-4725-A99A-C629470B9532}"/>
    <cellStyle name="20% - Accent1 3 3 3 2" xfId="29574" xr:uid="{39F4FF58-F5B7-4BA6-91E6-B133870B232E}"/>
    <cellStyle name="20% - Accent1 3 3 3 2 2" xfId="33001" xr:uid="{F03383C7-778B-4CCB-B05D-478354CE14E5}"/>
    <cellStyle name="20% - Accent1 3 3 3 2 2 2" xfId="32951" xr:uid="{00BD0D07-8CFA-480F-BA8F-34EB05863FDD}"/>
    <cellStyle name="20% - Accent1 3 3 3 2 2 2 2" xfId="18681" xr:uid="{56826B81-31A2-4943-AFB4-26A24E52FC6B}"/>
    <cellStyle name="20% - Accent1 3 3 3 2 2 2 2 2" xfId="11139" xr:uid="{5E91A1B0-100A-4755-9998-DADBA237045B}"/>
    <cellStyle name="20% - Accent1 3 3 3 2 2 2 3" xfId="30122" xr:uid="{08586580-06DE-43C0-8460-5FF9D355EDD1}"/>
    <cellStyle name="20% - Accent1 3 3 3 2 2 3" xfId="34027" xr:uid="{0A2DA522-8F63-4615-BD4D-8B5B43FD6E5A}"/>
    <cellStyle name="20% - Accent1 3 3 3 2 2 3 2" xfId="18673" xr:uid="{D451F7B4-8C9B-4108-B9F9-BEA9CE1925F3}"/>
    <cellStyle name="20% - Accent1 3 3 3 2 2 4" xfId="29265" xr:uid="{2FF55477-C5A8-4704-9C68-F573AAB3016C}"/>
    <cellStyle name="20% - Accent1 3 3 3 2 3" xfId="29378" xr:uid="{ED847CAE-D6E7-4965-9CF4-BCC38367CB65}"/>
    <cellStyle name="20% - Accent1 3 3 3 2 3 2" xfId="29365" xr:uid="{D546C526-9955-4EFF-88C6-0B717C65D213}"/>
    <cellStyle name="20% - Accent1 3 3 3 2 3 2 2" xfId="18666" xr:uid="{297BFB52-195E-41E4-8087-64D11065DE13}"/>
    <cellStyle name="20% - Accent1 3 3 3 2 3 3" xfId="29358" xr:uid="{FE2A6C76-4744-41EB-8FA3-9FA4B4CF5328}"/>
    <cellStyle name="20% - Accent1 3 3 3 2 4" xfId="31259" xr:uid="{E10AAA7D-F540-46F8-8B14-EED3AECB3722}"/>
    <cellStyle name="20% - Accent1 3 3 3 2 4 2" xfId="33915" xr:uid="{1680E3FE-1A53-4B49-AF24-D451589E3E49}"/>
    <cellStyle name="20% - Accent1 3 3 3 2 5" xfId="29349" xr:uid="{90CD5F17-5BF7-40FF-A4DB-32A6EF3083A2}"/>
    <cellStyle name="20% - Accent1 3 3 3 3" xfId="32996" xr:uid="{B08CA97F-1779-43D6-9C27-B23AB13A0503}"/>
    <cellStyle name="20% - Accent1 3 3 3 3 2" xfId="32332" xr:uid="{9AB04E20-040C-4DC0-876D-05C3660CE0F2}"/>
    <cellStyle name="20% - Accent1 3 3 3 3 2 2" xfId="30448" xr:uid="{044FB5FB-2EF3-4A2A-9A44-70984D3FE050}"/>
    <cellStyle name="20% - Accent1 3 3 3 3 2 2 2" xfId="18630" xr:uid="{1B06DE68-3C52-42C3-97D1-180488F1EC76}"/>
    <cellStyle name="20% - Accent1 3 3 3 3 2 3" xfId="30431" xr:uid="{436C800A-3066-43FD-AADA-41EACD8DFFCE}"/>
    <cellStyle name="20% - Accent1 3 3 3 3 3" xfId="30946" xr:uid="{58C23994-9E42-409B-96A9-2D48980DEC6D}"/>
    <cellStyle name="20% - Accent1 3 3 3 3 3 2" xfId="30889" xr:uid="{6FA29334-63F4-413C-9690-49B3AE90240B}"/>
    <cellStyle name="20% - Accent1 3 3 3 3 4" xfId="8172" xr:uid="{FBA3E0B8-B685-4BD1-8F78-D1FE78FA4C4B}"/>
    <cellStyle name="20% - Accent1 3 3 3 4" xfId="25319" xr:uid="{B49AE942-452A-466C-80C0-07A9B5AE9E3B}"/>
    <cellStyle name="20% - Accent1 3 3 3 4 2" xfId="32282" xr:uid="{B78C9DE6-89E1-4558-ADF7-DE5E35A7DC02}"/>
    <cellStyle name="20% - Accent1 3 3 3 4 2 2" xfId="29926" xr:uid="{8580F57F-5176-4938-A337-620265BCB9FA}"/>
    <cellStyle name="20% - Accent1 3 3 3 4 3" xfId="29324" xr:uid="{EC4AB08B-6865-43EB-AEDE-B49CA74A7BA7}"/>
    <cellStyle name="20% - Accent1 3 3 3 5" xfId="29036" xr:uid="{C62C864A-F5C7-4CD0-92B2-74362643CB98}"/>
    <cellStyle name="20% - Accent1 3 3 3 5 2" xfId="32324" xr:uid="{28EED8FF-75AC-48A2-971E-223A90801ED2}"/>
    <cellStyle name="20% - Accent1 3 3 3 6" xfId="32307" xr:uid="{3B70FE2C-B3C2-4C40-9A93-DA87FAFB6BB7}"/>
    <cellStyle name="20% - Accent1 3 3 4" xfId="33278" xr:uid="{D0D2D0E3-E9B7-4435-9634-B618C41F0DF7}"/>
    <cellStyle name="20% - Accent1 3 3 4 2" xfId="24629" xr:uid="{97CCD6DF-1F8B-42AE-8D64-DE484F18A91D}"/>
    <cellStyle name="20% - Accent1 3 3 4 2 2" xfId="32302" xr:uid="{BF50BCF0-8CAD-4C24-9E3E-6540CB630E13}"/>
    <cellStyle name="20% - Accent1 3 3 4 2 2 2" xfId="32561" xr:uid="{094D6495-180D-42D0-A77C-2E2032B7E36C}"/>
    <cellStyle name="20% - Accent1 3 3 4 2 2 2 2" xfId="8487" xr:uid="{F8D825C3-A563-469E-8EE1-1BBF2010660C}"/>
    <cellStyle name="20% - Accent1 3 3 4 2 2 3" xfId="32298" xr:uid="{AA3DA607-2A1F-43F4-BF44-80CBF62A1D60}"/>
    <cellStyle name="20% - Accent1 3 3 4 2 3" xfId="29303" xr:uid="{15E882D8-BEC7-437F-B523-51EEAE0D52E0}"/>
    <cellStyle name="20% - Accent1 3 3 4 2 3 2" xfId="29290" xr:uid="{E5E4B9F3-0E27-4E07-B175-073819007C45}"/>
    <cellStyle name="20% - Accent1 3 3 4 2 4" xfId="29283" xr:uid="{D467293A-8920-4231-8A17-32018BAEC13C}"/>
    <cellStyle name="20% - Accent1 3 3 4 3" xfId="33900" xr:uid="{556F167D-8C38-4986-953F-925A15114A8D}"/>
    <cellStyle name="20% - Accent1 3 3 4 3 2" xfId="10182" xr:uid="{4E8E6986-B20A-4182-8624-9171D19935AD}"/>
    <cellStyle name="20% - Accent1 3 3 4 3 2 2" xfId="10180" xr:uid="{BFAF0930-BF2C-4C0F-9C08-F13AB0C0D44D}"/>
    <cellStyle name="20% - Accent1 3 3 4 3 3" xfId="29274" xr:uid="{64B4304B-CB0A-417E-99D6-520087C8C1BF}"/>
    <cellStyle name="20% - Accent1 3 3 4 4" xfId="33891" xr:uid="{1568BBD2-4EAD-4DE2-B03E-75873B55929B}"/>
    <cellStyle name="20% - Accent1 3 3 4 4 2" xfId="10039" xr:uid="{BB31E6CD-89A8-45BA-A736-D3DDCF99F8EB}"/>
    <cellStyle name="20% - Accent1 3 3 4 5" xfId="33205" xr:uid="{8331565A-6F8D-4CB1-8AA8-77BB39C56197}"/>
    <cellStyle name="20% - Accent1 3 3 5" xfId="13473" xr:uid="{750BD66F-A0E9-4D66-B6DB-9D672C542F3B}"/>
    <cellStyle name="20% - Accent1 3 3 5 2" xfId="33782" xr:uid="{1B0B8479-5AC7-4492-B228-EC14B95104E9}"/>
    <cellStyle name="20% - Accent1 3 3 5 2 2" xfId="32281" xr:uid="{31461A94-1DB1-420B-BE7F-BAF174F3E528}"/>
    <cellStyle name="20% - Accent1 3 3 5 2 2 2" xfId="32570" xr:uid="{A0F481D9-2121-4F05-8869-69E63034B17F}"/>
    <cellStyle name="20% - Accent1 3 3 5 2 3" xfId="29254" xr:uid="{5395AF06-4CEE-42FC-A381-BAB9D83CD6AE}"/>
    <cellStyle name="20% - Accent1 3 3 5 3" xfId="33189" xr:uid="{2E9564DF-3477-4609-9170-574E5FB375E7}"/>
    <cellStyle name="20% - Accent1 3 3 5 3 2" xfId="9871" xr:uid="{725704E5-7BBA-4B1E-A20B-8C6D97E7A9C6}"/>
    <cellStyle name="20% - Accent1 3 3 5 4" xfId="27523" xr:uid="{3C88523A-34C9-4F78-BB62-077AB8D188FA}"/>
    <cellStyle name="20% - Accent1 3 3 6" xfId="29996" xr:uid="{2D0DE67D-3D3C-4EF5-BCAA-AE1384058BF7}"/>
    <cellStyle name="20% - Accent1 3 3 6 2" xfId="32274" xr:uid="{D6325B14-D4BD-458C-B505-45F3D596EFA4}"/>
    <cellStyle name="20% - Accent1 3 3 6 2 2" xfId="32267" xr:uid="{AC26941A-AEE5-4B11-BE59-ABDF155EE213}"/>
    <cellStyle name="20% - Accent1 3 3 6 3" xfId="33669" xr:uid="{45CC0B55-F42A-419C-AC28-E451F956609B}"/>
    <cellStyle name="20% - Accent1 3 3 7" xfId="23386" xr:uid="{4247FCB4-B693-499B-8599-42BEE2ECE1E0}"/>
    <cellStyle name="20% - Accent1 3 3 7 2" xfId="22227" xr:uid="{8CAFF815-11CC-47D0-A8BB-9FC45263B813}"/>
    <cellStyle name="20% - Accent1 3 3 8" xfId="22750" xr:uid="{5451E991-3665-45DD-8540-75BB14AB91BB}"/>
    <cellStyle name="20% - Accent1 3 3 9" xfId="34548" xr:uid="{1D65399F-F9C2-49ED-A99B-140C9ABB302C}"/>
    <cellStyle name="20% - Accent1 3 4" xfId="23059" xr:uid="{115FE26E-C000-4AD1-8763-C13240309DD5}"/>
    <cellStyle name="20% - Accent1 3 4 2" xfId="33136" xr:uid="{BB2800EA-D465-43B2-BCAD-7D022BB00FE5}"/>
    <cellStyle name="20% - Accent1 3 4 2 2" xfId="31086" xr:uid="{7618D30B-617B-4D64-AB0B-474C8B8CC94F}"/>
    <cellStyle name="20% - Accent1 3 4 2 2 2" xfId="29994" xr:uid="{F0466939-D867-4A76-9FD4-3E856D1B3B26}"/>
    <cellStyle name="20% - Accent1 3 4 2 2 2 2" xfId="30573" xr:uid="{DEC2D82E-4B7D-4C5D-B2C7-E1B36F719190}"/>
    <cellStyle name="20% - Accent1 3 4 2 2 2 2 2" xfId="18427" xr:uid="{0138822C-D9A8-4B1F-9E57-612A866AE2BE}"/>
    <cellStyle name="20% - Accent1 3 4 2 2 2 2 2 2" xfId="33557" xr:uid="{CFB42105-B9AC-4516-B188-4A9985E51A43}"/>
    <cellStyle name="20% - Accent1 3 4 2 2 2 2 3" xfId="27153" xr:uid="{D9ECBCF0-45C4-4456-AB84-DB06C257DAAA}"/>
    <cellStyle name="20% - Accent1 3 4 2 2 2 3" xfId="32258" xr:uid="{1784537E-8531-43BE-B178-168934E4C892}"/>
    <cellStyle name="20% - Accent1 3 4 2 2 2 3 2" xfId="18709" xr:uid="{058DC925-ECC0-4B94-A818-EA263A9245E3}"/>
    <cellStyle name="20% - Accent1 3 4 2 2 2 4" xfId="29368" xr:uid="{84FAC5F3-EF0F-4699-A6C9-12F5B3132C51}"/>
    <cellStyle name="20% - Accent1 3 4 2 2 3" xfId="29981" xr:uid="{90A7FFDB-9851-4AF0-9C69-596407A673C1}"/>
    <cellStyle name="20% - Accent1 3 4 2 2 3 2" xfId="32250" xr:uid="{7257125A-3DA5-45F7-A935-0DF52FD16743}"/>
    <cellStyle name="20% - Accent1 3 4 2 2 3 2 2" xfId="18407" xr:uid="{4906DAAE-E009-4B05-91A2-EF389678AE2B}"/>
    <cellStyle name="20% - Accent1 3 4 2 2 3 3" xfId="32240" xr:uid="{B4432495-4DE1-4047-B169-152052808AA0}"/>
    <cellStyle name="20% - Accent1 3 4 2 2 4" xfId="34119" xr:uid="{D6683A43-48B3-4A00-8CE2-730D8BFF34FF}"/>
    <cellStyle name="20% - Accent1 3 4 2 2 4 2" xfId="34146" xr:uid="{168916BD-3510-4107-93E9-F5FF18FCAF39}"/>
    <cellStyle name="20% - Accent1 3 4 2 2 5" xfId="33765" xr:uid="{AD62BF2A-8563-47A9-ACAB-D41048DA1536}"/>
    <cellStyle name="20% - Accent1 3 4 2 3" xfId="32901" xr:uid="{88DDA207-C9DC-4AA7-9CA9-AE64B1FFB4D5}"/>
    <cellStyle name="20% - Accent1 3 4 2 3 2" xfId="29951" xr:uid="{755077DC-7380-44CD-8928-C72D7A2C0CDB}"/>
    <cellStyle name="20% - Accent1 3 4 2 3 2 2" xfId="34368" xr:uid="{AB8A8524-5F00-4950-8FFF-2FDF20D3528C}"/>
    <cellStyle name="20% - Accent1 3 4 2 3 2 2 2" xfId="26924" xr:uid="{48E32086-3F04-469B-9490-7F354FBB3FB9}"/>
    <cellStyle name="20% - Accent1 3 4 2 3 2 3" xfId="34223" xr:uid="{7431B569-7D7F-40E0-8D0D-39C8B7437C5A}"/>
    <cellStyle name="20% - Accent1 3 4 2 3 3" xfId="17248" xr:uid="{CF19A3CA-577B-4344-9988-585E372E80BF}"/>
    <cellStyle name="20% - Accent1 3 4 2 3 3 2" xfId="32218" xr:uid="{1307D496-A757-48C9-988F-666C7AF859AE}"/>
    <cellStyle name="20% - Accent1 3 4 2 3 4" xfId="8072" xr:uid="{60C0830C-07B7-4680-B2B3-8CA5670E446A}"/>
    <cellStyle name="20% - Accent1 3 4 2 4" xfId="30553" xr:uid="{A8EE5E71-D5B7-4936-978C-C15393CC7AD1}"/>
    <cellStyle name="20% - Accent1 3 4 2 4 2" xfId="32212" xr:uid="{ED7FFAD3-1CFE-495F-8EAD-BADF66E87537}"/>
    <cellStyle name="20% - Accent1 3 4 2 4 2 2" xfId="28178" xr:uid="{C7F761E4-F456-49C1-8D1B-3EE7F3A7F7E9}"/>
    <cellStyle name="20% - Accent1 3 4 2 4 3" xfId="18279" xr:uid="{08D1B495-38AA-4BD6-BB1C-012693A6F176}"/>
    <cellStyle name="20% - Accent1 3 4 2 5" xfId="28822" xr:uid="{D79ACFD3-EA8C-462A-9722-B1A465E5D025}"/>
    <cellStyle name="20% - Accent1 3 4 2 5 2" xfId="26157" xr:uid="{7BB25931-C493-4FDD-A5B4-BFD8D657114B}"/>
    <cellStyle name="20% - Accent1 3 4 2 6" xfId="32190" xr:uid="{2DD3BEE0-EFBA-4E02-8E8E-6703BD18E938}"/>
    <cellStyle name="20% - Accent1 3 4 3" xfId="32178" xr:uid="{80ACBA1F-320A-4561-84AD-E6E81EFE0B1A}"/>
    <cellStyle name="20% - Accent1 3 4 3 2" xfId="32864" xr:uid="{1B329F30-1DF6-4545-97A5-34845F6AD72D}"/>
    <cellStyle name="20% - Accent1 3 4 3 2 2" xfId="32174" xr:uid="{1654EBC4-6A42-4D37-B140-45A6ECB78222}"/>
    <cellStyle name="20% - Accent1 3 4 3 2 2 2" xfId="32163" xr:uid="{FF4F3558-2653-4D15-84B2-3A3B222B74F1}"/>
    <cellStyle name="20% - Accent1 3 4 3 2 2 2 2" xfId="18368" xr:uid="{889CD752-22CE-4DD9-9F76-DD06F2B74CE9}"/>
    <cellStyle name="20% - Accent1 3 4 3 2 2 3" xfId="34345" xr:uid="{251B78A4-7F35-4E0E-9372-A69EEA5639FE}"/>
    <cellStyle name="20% - Accent1 3 4 3 2 3" xfId="25916" xr:uid="{1888E9A9-84B1-4440-9E7B-8C0774201306}"/>
    <cellStyle name="20% - Accent1 3 4 3 2 3 2" xfId="34160" xr:uid="{28F4FB9D-E890-439E-B24D-6B6B19025F70}"/>
    <cellStyle name="20% - Accent1 3 4 3 2 4" xfId="25908" xr:uid="{7CE85FD8-BA9E-4F20-8074-A51638ADBC5D}"/>
    <cellStyle name="20% - Accent1 3 4 3 3" xfId="34179" xr:uid="{09A4B731-A665-4C2B-B49B-D1F5BA67F79A}"/>
    <cellStyle name="20% - Accent1 3 4 3 3 2" xfId="25897" xr:uid="{73FBD665-3A88-401F-B21E-678A84730ED0}"/>
    <cellStyle name="20% - Accent1 3 4 3 3 2 2" xfId="32056" xr:uid="{54A2DE82-5A52-43C2-A419-2D79D83246D4}"/>
    <cellStyle name="20% - Accent1 3 4 3 3 3" xfId="25885" xr:uid="{74761C4B-9577-473D-AC00-0FB6D3885B63}"/>
    <cellStyle name="20% - Accent1 3 4 3 4" xfId="28810" xr:uid="{6FCA45E4-3ABD-4994-9532-26B593156586}"/>
    <cellStyle name="20% - Accent1 3 4 3 4 2" xfId="31859" xr:uid="{25FFA471-F003-4E87-AA9C-A0C8F440A9C3}"/>
    <cellStyle name="20% - Accent1 3 4 3 5" xfId="33049" xr:uid="{880F7B50-7367-4CD3-B8BF-697DEFD4AB89}"/>
    <cellStyle name="20% - Accent1 3 4 4" xfId="32678" xr:uid="{C5D629B1-74D6-467B-A05E-B149BC316F39}"/>
    <cellStyle name="20% - Accent1 3 4 4 2" xfId="34108" xr:uid="{996120C5-4C7C-4305-8348-9D4805621A5D}"/>
    <cellStyle name="20% - Accent1 3 4 4 2 2" xfId="18917" xr:uid="{2BD55794-6338-4BB9-9602-7E04192FC221}"/>
    <cellStyle name="20% - Accent1 3 4 4 2 2 2" xfId="32144" xr:uid="{6BCA1A09-983B-43D1-801D-84EF7F546E1A}"/>
    <cellStyle name="20% - Accent1 3 4 4 2 3" xfId="17983" xr:uid="{6FB4E939-8932-4AD2-95B7-17E48BDAEE97}"/>
    <cellStyle name="20% - Accent1 3 4 4 3" xfId="33862" xr:uid="{D62641F1-A624-4E0D-919A-F7AC97751C9A}"/>
    <cellStyle name="20% - Accent1 3 4 4 3 2" xfId="13546" xr:uid="{CBCF4114-AB91-4A0E-8FF7-32252C0A0EEB}"/>
    <cellStyle name="20% - Accent1 3 4 4 4" xfId="33856" xr:uid="{1DB63F1C-F421-4FB5-AD34-B8835AF29973}"/>
    <cellStyle name="20% - Accent1 3 4 5" xfId="13465" xr:uid="{57044DA5-1646-4F2B-BF17-A8CCBB855548}"/>
    <cellStyle name="20% - Accent1 3 4 5 2" xfId="32139" xr:uid="{F84C1900-3100-423D-A7BB-F7C922434871}"/>
    <cellStyle name="20% - Accent1 3 4 5 2 2" xfId="17963" xr:uid="{E6098B46-3F73-4170-AB77-C0B7DB93E104}"/>
    <cellStyle name="20% - Accent1 3 4 5 3" xfId="12485" xr:uid="{BF3D303F-3A2A-44B1-A883-DECC91E183B8}"/>
    <cellStyle name="20% - Accent1 3 4 6" xfId="25925" xr:uid="{2841D851-D066-44B1-BBB9-746A911CBAC5}"/>
    <cellStyle name="20% - Accent1 3 4 6 2" xfId="33665" xr:uid="{B794DA87-145E-481E-B938-6066F45737CD}"/>
    <cellStyle name="20% - Accent1 3 4 7" xfId="22994" xr:uid="{837580F7-A359-49A1-BB15-027AD85A98C4}"/>
    <cellStyle name="20% - Accent1 3 4 8" xfId="34769" xr:uid="{1B0B5849-4527-4BAC-BDD3-F03CE40C2CC8}"/>
    <cellStyle name="20% - Accent1 3 5" xfId="24831" xr:uid="{0003CC92-F37A-45B2-A306-8FEFFCF825AC}"/>
    <cellStyle name="20% - Accent1 3 5 2" xfId="24911" xr:uid="{C104D840-1F9C-4DEF-8223-01570A2F407D}"/>
    <cellStyle name="20% - Accent1 3 5 2 2" xfId="27968" xr:uid="{035220D7-2E6A-4D5C-917C-83010C8B825C}"/>
    <cellStyle name="20% - Accent1 3 5 2 2 2" xfId="22490" xr:uid="{0CEA1D36-DF46-4E30-B46F-59345F4BB1EC}"/>
    <cellStyle name="20% - Accent1 3 5 2 2 2 2" xfId="22251" xr:uid="{B669BDE7-EAC2-4D85-BB6E-63A81B33D956}"/>
    <cellStyle name="20% - Accent1 3 5 2 2 2 2 2" xfId="18262" xr:uid="{DC739A4E-1A6A-4E2F-9C5E-19EFD3F20A6D}"/>
    <cellStyle name="20% - Accent1 3 5 2 2 2 3" xfId="30825" xr:uid="{CB6B2462-3601-41DC-B3E8-8524CF48A432}"/>
    <cellStyle name="20% - Accent1 3 5 2 2 3" xfId="28771" xr:uid="{3D0E0F40-BFD5-4447-B188-5C58472B20C1}"/>
    <cellStyle name="20% - Accent1 3 5 2 2 3 2" xfId="20184" xr:uid="{A781299E-7D25-4F86-9CDA-EB1E06C4C2FA}"/>
    <cellStyle name="20% - Accent1 3 5 2 2 4" xfId="33955" xr:uid="{44A428A3-A497-4F8D-8012-0C68CE243A49}"/>
    <cellStyle name="20% - Accent1 3 5 2 3" xfId="32105" xr:uid="{8F279145-3B21-4F0E-903D-C7018C071467}"/>
    <cellStyle name="20% - Accent1 3 5 2 3 2" xfId="32414" xr:uid="{7237D2BD-3C17-494E-BB9C-BA0A91212C94}"/>
    <cellStyle name="20% - Accent1 3 5 2 3 2 2" xfId="32103" xr:uid="{C3CA15BE-759E-41BE-967F-BA1F682FDD6E}"/>
    <cellStyle name="20% - Accent1 3 5 2 3 3" xfId="32092" xr:uid="{CA6CC646-955C-433E-BE53-D325D3802C18}"/>
    <cellStyle name="20% - Accent1 3 5 2 4" xfId="28806" xr:uid="{0E59A2F7-536B-456E-AF8B-8FFB10AE39A2}"/>
    <cellStyle name="20% - Accent1 3 5 2 4 2" xfId="29903" xr:uid="{BBC8C04B-E2F9-4951-AC03-8F1B95633311}"/>
    <cellStyle name="20% - Accent1 3 5 2 5" xfId="32081" xr:uid="{32C18F92-4B36-4CA4-A0C5-8D1379C25977}"/>
    <cellStyle name="20% - Accent1 3 5 3" xfId="27964" xr:uid="{9E926631-5BF2-4384-B671-5880446F4F59}"/>
    <cellStyle name="20% - Accent1 3 5 3 2" xfId="32814" xr:uid="{B26BEAE6-E692-437F-84C4-1A6948AF9671}"/>
    <cellStyle name="20% - Accent1 3 5 3 2 2" xfId="28321" xr:uid="{290BA81A-671E-4898-89B9-3392DD95E367}"/>
    <cellStyle name="20% - Accent1 3 5 3 2 2 2" xfId="24882" xr:uid="{3F4FA06A-DD00-4E41-8AEF-8311B3D74FCE}"/>
    <cellStyle name="20% - Accent1 3 5 3 2 3" xfId="28313" xr:uid="{B7FAE3E7-3F61-45CE-BD93-F29D86AAF60B}"/>
    <cellStyle name="20% - Accent1 3 5 3 3" xfId="34352" xr:uid="{296C47EC-4FB5-44C1-A391-57187A4E2310}"/>
    <cellStyle name="20% - Accent1 3 5 3 3 2" xfId="28296" xr:uid="{D806BB39-21E3-4CA5-8A04-0F923BEF3D8E}"/>
    <cellStyle name="20% - Accent1 3 5 3 4" xfId="26813" xr:uid="{6554B118-B6FF-4A2F-A672-1E8F79FD165C}"/>
    <cellStyle name="20% - Accent1 3 5 4" xfId="26696" xr:uid="{BD8C0DB7-0EE2-4DF9-92D1-E2235F047D4A}"/>
    <cellStyle name="20% - Accent1 3 5 4 2" xfId="32023" xr:uid="{B50A04E6-16B1-4A6C-917D-52F968B4CE33}"/>
    <cellStyle name="20% - Accent1 3 5 4 2 2" xfId="17940" xr:uid="{204E7611-598B-4AB8-8860-C7BC2DF97947}"/>
    <cellStyle name="20% - Accent1 3 5 4 3" xfId="33727" xr:uid="{F8201BAA-EF85-4B29-AB0A-10CF8ACFDC3C}"/>
    <cellStyle name="20% - Accent1 3 5 5" xfId="13458" xr:uid="{DC86C847-A61A-47F9-A02E-BF1E47EA1854}"/>
    <cellStyle name="20% - Accent1 3 5 5 2" xfId="32012" xr:uid="{4738875A-3DAE-4BA2-A27B-E6B069A8DB69}"/>
    <cellStyle name="20% - Accent1 3 5 6" xfId="26418" xr:uid="{E028807A-A485-44F4-8E10-42D67411C7C3}"/>
    <cellStyle name="20% - Accent1 3 5 7" xfId="34959" xr:uid="{BB06943E-D8E7-4E99-A5E0-DC92D0BA4C5E}"/>
    <cellStyle name="20% - Accent1 3 6" xfId="29500" xr:uid="{B8FECF34-D84F-4DFA-BD53-3C31F2885A38}"/>
    <cellStyle name="20% - Accent1 3 6 2" xfId="27955" xr:uid="{C7F6B265-8D5D-412B-8427-135887B3D117}"/>
    <cellStyle name="20% - Accent1 3 6 2 2" xfId="18697" xr:uid="{2AB318B9-61EF-4C88-B689-5FE4A6FEBE96}"/>
    <cellStyle name="20% - Accent1 3 6 2 2 2" xfId="24633" xr:uid="{E162C2FB-F102-4EFC-A51D-3A811B4488D5}"/>
    <cellStyle name="20% - Accent1 3 6 2 2 2 2" xfId="30100" xr:uid="{3FEF60C4-B720-4214-8E16-69522C389961}"/>
    <cellStyle name="20% - Accent1 3 6 2 2 3" xfId="32066" xr:uid="{D3C43B69-76FD-458E-B9C6-FDBBD1FB8B57}"/>
    <cellStyle name="20% - Accent1 3 6 2 3" xfId="32062" xr:uid="{D7206B1D-99E1-4B77-BA00-68D7C09100CD}"/>
    <cellStyle name="20% - Accent1 3 6 2 3 2" xfId="24631" xr:uid="{E8F3045E-F4D4-49FC-AEB6-77ECE1460BEF}"/>
    <cellStyle name="20% - Accent1 3 6 2 4" xfId="32049" xr:uid="{DE2CAA38-B77A-494F-AEAE-15366447BD84}"/>
    <cellStyle name="20% - Accent1 3 6 3" xfId="32002" xr:uid="{50241335-70B8-42E0-B0C2-AB8580F1F47E}"/>
    <cellStyle name="20% - Accent1 3 6 3 2" xfId="32045" xr:uid="{5F9690BB-FDE6-47D0-A090-D55D1C0FBF6A}"/>
    <cellStyle name="20% - Accent1 3 6 3 2 2" xfId="26553" xr:uid="{822FCEDD-8EB4-42F9-8A90-BA6DDFE222C0}"/>
    <cellStyle name="20% - Accent1 3 6 3 3" xfId="34231" xr:uid="{B2218951-E69E-49E4-A7F6-19491CEB91D7}"/>
    <cellStyle name="20% - Accent1 3 6 4" xfId="29524" xr:uid="{B633BD69-59A2-4716-8EB6-55ADDD763532}"/>
    <cellStyle name="20% - Accent1 3 6 4 2" xfId="32008" xr:uid="{B54AFF26-8C58-4210-AE3D-DF0B17F8FC41}"/>
    <cellStyle name="20% - Accent1 3 6 5" xfId="29520" xr:uid="{22AB39D1-457F-4297-B422-E3424458C834}"/>
    <cellStyle name="20% - Accent1 3 6 6" xfId="35164" xr:uid="{50883D51-414E-4606-BF1C-EC4B1C2101D5}"/>
    <cellStyle name="20% - Accent1 3 7" xfId="32363" xr:uid="{9A811D7F-CCF9-4B2C-A239-D49EFEBC5B4A}"/>
    <cellStyle name="20% - Accent1 3 7 2" xfId="31677" xr:uid="{ADF9DBB7-9D4F-4ABB-986C-D67AF2DA1FE4}"/>
    <cellStyle name="20% - Accent1 3 7 2 2" xfId="31665" xr:uid="{5E64238B-2F36-4862-BA9B-8BD192C1CBCC}"/>
    <cellStyle name="20% - Accent1 3 7 2 2 2" xfId="24613" xr:uid="{F046A8D8-5175-482B-A616-63514A39E71F}"/>
    <cellStyle name="20% - Accent1 3 7 2 3" xfId="33613" xr:uid="{577EAD79-A349-4031-901D-DC595ADD23F9}"/>
    <cellStyle name="20% - Accent1 3 7 3" xfId="31659" xr:uid="{D0E1BA46-6A6B-49C4-8F8B-FD1D21D0309E}"/>
    <cellStyle name="20% - Accent1 3 7 3 2" xfId="33714" xr:uid="{668BF1FB-DBE6-4C89-AD80-2301033073BE}"/>
    <cellStyle name="20% - Accent1 3 7 4" xfId="32433" xr:uid="{7F000FFB-AF16-436F-99F7-34688E03E4D2}"/>
    <cellStyle name="20% - Accent1 3 7 5" xfId="35393" xr:uid="{BC827C3D-9AFD-43F2-BCEA-10E79F7E27C2}"/>
    <cellStyle name="20% - Accent1 3 8" xfId="24960" xr:uid="{32D899EE-2AED-4748-B2F7-AD3A0C163832}"/>
    <cellStyle name="20% - Accent1 3 8 2" xfId="31630" xr:uid="{DBC3D8D8-264D-4340-B3E4-D23893663958}"/>
    <cellStyle name="20% - Accent1 3 8 2 2" xfId="33525" xr:uid="{10978E39-CCFF-4760-AFAB-8E89A050E8A1}"/>
    <cellStyle name="20% - Accent1 3 8 3" xfId="29937" xr:uid="{D7E42E91-13E1-4C26-AC2D-A25336765849}"/>
    <cellStyle name="20% - Accent1 3 8 4" xfId="36265" xr:uid="{7344BFF5-EF65-443F-B6D6-6C70FE2885E3}"/>
    <cellStyle name="20% - Accent1 3 9" xfId="8389" xr:uid="{5ACF6B32-75BA-4D0F-B922-FDFD2BC828D0}"/>
    <cellStyle name="20% - Accent1 3 9 2" xfId="32546" xr:uid="{05E8CDF1-B83F-418F-9BFE-FA5044F789B1}"/>
    <cellStyle name="20% - Accent1 3 9 3" xfId="36551" xr:uid="{B3B952C0-AE5C-41FF-A62C-963C1D18100D}"/>
    <cellStyle name="20% - Accent1 30" xfId="35890" xr:uid="{9C0E3B1A-3F12-4C73-8674-44D2AA756937}"/>
    <cellStyle name="20% - Accent1 30 2" xfId="37062" xr:uid="{63C9B6C0-9A41-489E-B5C6-C56FAEF6D418}"/>
    <cellStyle name="20% - Accent1 30 3" xfId="37957" xr:uid="{DE77D99B-A64A-4EF9-A917-ED78A7032A74}"/>
    <cellStyle name="20% - Accent1 31" xfId="35910" xr:uid="{116C80F4-C7DB-4091-8849-26D632140ACA}"/>
    <cellStyle name="20% - Accent1 31 2" xfId="37081" xr:uid="{C3425602-D727-4359-9C59-A26F51CD9DCC}"/>
    <cellStyle name="20% - Accent1 31 3" xfId="37977" xr:uid="{9292264E-4D8B-4036-B46B-0CD8570A8440}"/>
    <cellStyle name="20% - Accent1 32" xfId="35930" xr:uid="{957B905F-AB98-425C-80E0-0DE9D1A64B47}"/>
    <cellStyle name="20% - Accent1 32 2" xfId="37100" xr:uid="{D36BF391-018E-47E2-9744-E569E92CB4E8}"/>
    <cellStyle name="20% - Accent1 32 3" xfId="37997" xr:uid="{0350E72C-D992-42E5-AD54-B81A46CBE6DA}"/>
    <cellStyle name="20% - Accent1 33" xfId="35950" xr:uid="{A9430968-5B16-42BA-9DF6-E905E052DE49}"/>
    <cellStyle name="20% - Accent1 33 2" xfId="37119" xr:uid="{961E14D6-3B0D-4954-B780-1DF65733F7F1}"/>
    <cellStyle name="20% - Accent1 33 3" xfId="38017" xr:uid="{F9587CC3-78BE-4E75-A9F9-0BE5012B1494}"/>
    <cellStyle name="20% - Accent1 34" xfId="35970" xr:uid="{708468E7-3520-41CA-BD82-E527869CA2A4}"/>
    <cellStyle name="20% - Accent1 34 2" xfId="37139" xr:uid="{7F2A4911-2A55-4644-A42C-85BE602F9094}"/>
    <cellStyle name="20% - Accent1 34 3" xfId="38037" xr:uid="{7789D37B-DF2C-457A-9A3F-129F9FBD2E9F}"/>
    <cellStyle name="20% - Accent1 35" xfId="35990" xr:uid="{E3286647-2B06-4092-A628-592B2949507D}"/>
    <cellStyle name="20% - Accent1 35 2" xfId="37159" xr:uid="{3356BA67-F96F-45F3-B3C4-54C4D9D55F18}"/>
    <cellStyle name="20% - Accent1 35 3" xfId="38057" xr:uid="{65000F5C-2A07-4710-873F-0F6702CB106C}"/>
    <cellStyle name="20% - Accent1 36" xfId="36010" xr:uid="{E71064EA-3F0A-411E-8943-517B4237BC59}"/>
    <cellStyle name="20% - Accent1 36 2" xfId="37179" xr:uid="{9579D46D-D97A-4A1B-950D-B842FAFE56CA}"/>
    <cellStyle name="20% - Accent1 36 3" xfId="38077" xr:uid="{27D2D894-7027-4DE1-B594-754099A3C72E}"/>
    <cellStyle name="20% - Accent1 37" xfId="36030" xr:uid="{80165B50-58E1-4F72-B161-F4A3C9827B65}"/>
    <cellStyle name="20% - Accent1 37 2" xfId="37199" xr:uid="{A3C310FB-7ED8-46B1-9B5D-2C10E17D469B}"/>
    <cellStyle name="20% - Accent1 37 3" xfId="38097" xr:uid="{735BDA27-727F-4C22-BEBC-A7331D30ED97}"/>
    <cellStyle name="20% - Accent1 38" xfId="36050" xr:uid="{54417695-680A-4E69-9ACE-087147793E6E}"/>
    <cellStyle name="20% - Accent1 38 2" xfId="37219" xr:uid="{2F6E05F6-AA32-4B04-9B15-91DC865073D8}"/>
    <cellStyle name="20% - Accent1 38 3" xfId="38117" xr:uid="{AAEA5F6B-BE66-403D-9A22-415C0DA64638}"/>
    <cellStyle name="20% - Accent1 39" xfId="36070" xr:uid="{1569B8BF-AC36-4FF8-A7F1-1092A8F500E3}"/>
    <cellStyle name="20% - Accent1 39 2" xfId="37239" xr:uid="{A0F34AE9-0FEF-41D7-803C-AD53CDD9483C}"/>
    <cellStyle name="20% - Accent1 39 3" xfId="38137" xr:uid="{26F4BA55-5B1B-4041-84F5-F1984E30DB7F}"/>
    <cellStyle name="20% - Accent1 4" xfId="116" xr:uid="{41A4691F-1513-4A2C-B38F-8C5EDB243CE1}"/>
    <cellStyle name="20% - Accent1 4 10" xfId="34470" xr:uid="{4928165A-4441-4C21-8E02-986D0AF2DD81}"/>
    <cellStyle name="20% - Accent1 4 11" xfId="5972" xr:uid="{BBA664D3-BCC8-41D9-97AC-8D450A9CFCB8}"/>
    <cellStyle name="20% - Accent1 4 2" xfId="239" xr:uid="{0B48BA6F-2C67-4B4E-9FE1-59CE7E1F9309}"/>
    <cellStyle name="20% - Accent1 4 2 10" xfId="19753" xr:uid="{2A5AEE7B-66EC-4435-8595-068F55E83D2F}"/>
    <cellStyle name="20% - Accent1 4 2 2" xfId="27636" xr:uid="{8F31AC24-0C88-42C4-A617-78A9079FA3CD}"/>
    <cellStyle name="20% - Accent1 4 2 2 2" xfId="25368" xr:uid="{7B4439D4-8EB3-4340-9A52-5D018901C71A}"/>
    <cellStyle name="20% - Accent1 4 2 2 2 2" xfId="13640" xr:uid="{DEBBFA73-B56E-44A9-AFC7-545DA759F11E}"/>
    <cellStyle name="20% - Accent1 4 2 2 2 2 2" xfId="13890" xr:uid="{F15F4560-A81F-4646-BBCA-AE501E947A93}"/>
    <cellStyle name="20% - Accent1 4 2 2 2 2 2 2" xfId="25033" xr:uid="{F77B026B-02FA-48F5-BF2E-1D5449B02134}"/>
    <cellStyle name="20% - Accent1 4 2 2 2 2 2 2 2" xfId="25952" xr:uid="{F7A134AC-0CC3-491A-AD20-BFB1CB868F1E}"/>
    <cellStyle name="20% - Accent1 4 2 2 2 2 2 2 2 2" xfId="29568" xr:uid="{4050E53B-7BAB-4C1A-A51F-4E8B9F083BD9}"/>
    <cellStyle name="20% - Accent1 4 2 2 2 2 2 2 3" xfId="22481" xr:uid="{0209CFFD-D8C1-4FDB-8094-0851486C6E33}"/>
    <cellStyle name="20% - Accent1 4 2 2 2 2 2 3" xfId="7403" xr:uid="{65C55BCE-70C9-45F1-BF68-8C20073358FB}"/>
    <cellStyle name="20% - Accent1 4 2 2 2 2 2 3 2" xfId="32014" xr:uid="{05C65272-C153-49C8-A5F7-7B441D0B7440}"/>
    <cellStyle name="20% - Accent1 4 2 2 2 2 2 4" xfId="9928" xr:uid="{7917E174-EA77-412F-8E0E-349B8A9B3BEE}"/>
    <cellStyle name="20% - Accent1 4 2 2 2 2 3" xfId="24013" xr:uid="{2D4DEAD6-2655-4F67-951B-F7B40224D195}"/>
    <cellStyle name="20% - Accent1 4 2 2 2 2 3 2" xfId="24963" xr:uid="{B4766570-BEB5-4DCE-AD0B-4FC1988C0198}"/>
    <cellStyle name="20% - Accent1 4 2 2 2 2 3 2 2" xfId="32009" xr:uid="{8BA67FBE-70BF-4DB0-8DE6-DCEAD5203C7C}"/>
    <cellStyle name="20% - Accent1 4 2 2 2 2 3 3" xfId="7396" xr:uid="{C228F183-BD95-4B47-B80A-5FAA5C3657EE}"/>
    <cellStyle name="20% - Accent1 4 2 2 2 2 4" xfId="7854" xr:uid="{B581989B-FFA8-4823-A0D5-A6DFD80F859E}"/>
    <cellStyle name="20% - Accent1 4 2 2 2 2 4 2" xfId="26355" xr:uid="{E66D9EB0-AC1F-425C-930B-1F21C5C07C32}"/>
    <cellStyle name="20% - Accent1 4 2 2 2 2 5" xfId="28634" xr:uid="{1BEA99F4-AF7E-4F6F-9689-85102DBCE3F8}"/>
    <cellStyle name="20% - Accent1 4 2 2 2 3" xfId="5488" xr:uid="{BABB3F11-DB00-4E65-BD3A-E0AC94067B54}"/>
    <cellStyle name="20% - Accent1 4 2 2 2 3 2" xfId="23652" xr:uid="{C1C01C8C-AF1A-45FB-9F67-3CC43F3F372C}"/>
    <cellStyle name="20% - Accent1 4 2 2 2 3 2 2" xfId="24952" xr:uid="{25938158-E568-40EF-B5B2-D7A67A85CC86}"/>
    <cellStyle name="20% - Accent1 4 2 2 2 3 2 2 2" xfId="33640" xr:uid="{351B2E26-A0C9-4CA1-AFB6-97EABD1E1F7C}"/>
    <cellStyle name="20% - Accent1 4 2 2 2 3 2 3" xfId="7386" xr:uid="{19B69F60-C13C-4B9C-A707-06327614AD34}"/>
    <cellStyle name="20% - Accent1 4 2 2 2 3 3" xfId="32578" xr:uid="{D45737CB-F5FB-48E6-8201-3B12A6151F81}"/>
    <cellStyle name="20% - Accent1 4 2 2 2 3 3 2" xfId="31783" xr:uid="{2A865C75-6964-43D4-8514-1661983E8CBA}"/>
    <cellStyle name="20% - Accent1 4 2 2 2 3 4" xfId="7847" xr:uid="{98E6EEA2-5CFA-496B-AFEC-68DDB5B82D69}"/>
    <cellStyle name="20% - Accent1 4 2 2 2 4" xfId="32568" xr:uid="{C5A40845-A3BE-4ED2-9459-6380C8E910F1}"/>
    <cellStyle name="20% - Accent1 4 2 2 2 4 2" xfId="34213" xr:uid="{99494136-19E1-47C3-9098-E6F89A6698CC}"/>
    <cellStyle name="20% - Accent1 4 2 2 2 4 2 2" xfId="24813" xr:uid="{CA6C29B1-ACFA-4655-92B6-B2B0AD2428FB}"/>
    <cellStyle name="20% - Accent1 4 2 2 2 4 3" xfId="33503" xr:uid="{6CB87A55-10FA-4BFD-927D-9DD40E9C6EB5}"/>
    <cellStyle name="20% - Accent1 4 2 2 2 5" xfId="32563" xr:uid="{15EC254E-CC35-4660-8E33-657AB44656CB}"/>
    <cellStyle name="20% - Accent1 4 2 2 2 5 2" xfId="33691" xr:uid="{ABFF6876-6C6F-4369-AEBE-D9073ABBDF02}"/>
    <cellStyle name="20% - Accent1 4 2 2 2 6" xfId="25126" xr:uid="{E3850F79-0A6C-4373-8A1E-3628910E1739}"/>
    <cellStyle name="20% - Accent1 4 2 2 3" xfId="31997" xr:uid="{18B4E0E6-2F42-4201-BE33-7594E82E9C30}"/>
    <cellStyle name="20% - Accent1 4 2 2 3 2" xfId="10793" xr:uid="{92BC6FC9-E33A-4F95-B7DD-3F3D6A26F26C}"/>
    <cellStyle name="20% - Accent1 4 2 2 3 2 2" xfId="31773" xr:uid="{E774C5C7-3682-4A32-AAD1-3A0EA24FA020}"/>
    <cellStyle name="20% - Accent1 4 2 2 3 2 2 2" xfId="29459" xr:uid="{E1D3543D-2EB9-4EA7-ACAA-1DC1606BDAAB}"/>
    <cellStyle name="20% - Accent1 4 2 2 3 2 2 2 2" xfId="19563" xr:uid="{294D3671-9813-43B9-A19C-5AE75C7F6530}"/>
    <cellStyle name="20% - Accent1 4 2 2 3 2 2 3" xfId="7242" xr:uid="{F1B2156F-2601-4205-8E6D-5020C361193F}"/>
    <cellStyle name="20% - Accent1 4 2 2 3 2 3" xfId="33562" xr:uid="{43774660-A1FF-4436-9337-C1611BBA193F}"/>
    <cellStyle name="20% - Accent1 4 2 2 3 2 3 2" xfId="29305" xr:uid="{70672064-8562-41BB-9833-04DF395A1D9D}"/>
    <cellStyle name="20% - Accent1 4 2 2 3 2 4" xfId="7842" xr:uid="{06525CBD-BA6C-4147-908E-BC65C0275972}"/>
    <cellStyle name="20% - Accent1 4 2 2 3 3" xfId="34079" xr:uid="{2148590F-9DFE-4B82-9433-3CCE2F8975A0}"/>
    <cellStyle name="20% - Accent1 4 2 2 3 3 2" xfId="32492" xr:uid="{E7944EA5-628A-4456-9EFE-F692B5619008}"/>
    <cellStyle name="20% - Accent1 4 2 2 3 3 2 2" xfId="25396" xr:uid="{F2E6C633-B61D-4EE3-8B45-12EDFCA95921}"/>
    <cellStyle name="20% - Accent1 4 2 2 3 3 3" xfId="31987" xr:uid="{F6BAE0BC-7DAD-4E3B-86E2-418902B80AE1}"/>
    <cellStyle name="20% - Accent1 4 2 2 3 4" xfId="33114" xr:uid="{761965A3-E250-4148-96D4-B638C593567A}"/>
    <cellStyle name="20% - Accent1 4 2 2 3 4 2" xfId="7722" xr:uid="{8A1E381E-40A5-480B-B6D0-4C4BBEA39A0B}"/>
    <cellStyle name="20% - Accent1 4 2 2 3 5" xfId="28338" xr:uid="{10E73B0A-8821-4AF9-8724-C4630C1BC439}"/>
    <cellStyle name="20% - Accent1 4 2 2 4" xfId="31984" xr:uid="{7A4DE825-A554-41E7-B202-EF2A0C1C3626}"/>
    <cellStyle name="20% - Accent1 4 2 2 4 2" xfId="21881" xr:uid="{FD7B74EC-334A-449B-B2B6-72AB87EF5B8D}"/>
    <cellStyle name="20% - Accent1 4 2 2 4 2 2" xfId="31424" xr:uid="{3F6CD6C5-51C9-449F-A050-F4E299D7C970}"/>
    <cellStyle name="20% - Accent1 4 2 2 4 2 2 2" xfId="31974" xr:uid="{CFFD7339-54B4-4845-BD54-3DBCCD58A12C}"/>
    <cellStyle name="20% - Accent1 4 2 2 4 2 3" xfId="30688" xr:uid="{F5F6D43C-083C-43A2-9B1C-8ADEB83CE2AE}"/>
    <cellStyle name="20% - Accent1 4 2 2 4 3" xfId="32461" xr:uid="{25534E60-0791-485A-9A81-03C598548B8B}"/>
    <cellStyle name="20% - Accent1 4 2 2 4 3 2" xfId="31967" xr:uid="{7224395E-9EE8-4F76-A417-13FEADDC88CE}"/>
    <cellStyle name="20% - Accent1 4 2 2 4 4" xfId="7719" xr:uid="{63C63062-D71F-4903-A5E4-F19A119EE517}"/>
    <cellStyle name="20% - Accent1 4 2 2 5" xfId="31964" xr:uid="{0B8B3607-FA90-46BC-A353-7EC9E601C68A}"/>
    <cellStyle name="20% - Accent1 4 2 2 5 2" xfId="32442" xr:uid="{0E93917E-A002-49C7-990F-F34C17DB3B39}"/>
    <cellStyle name="20% - Accent1 4 2 2 5 2 2" xfId="15219" xr:uid="{28396EAF-A8F6-46EF-979A-B727FFC8FF08}"/>
    <cellStyle name="20% - Accent1 4 2 2 5 3" xfId="31956" xr:uid="{20F624AA-870F-4BAC-AF16-BDAA818019C3}"/>
    <cellStyle name="20% - Accent1 4 2 2 6" xfId="31940" xr:uid="{A4CF71C3-F505-4492-BC8C-122176E89B97}"/>
    <cellStyle name="20% - Accent1 4 2 2 6 2" xfId="31929" xr:uid="{8AFF486F-2962-4AD7-B735-974EED9AA6D0}"/>
    <cellStyle name="20% - Accent1 4 2 2 7" xfId="31041" xr:uid="{25437AEF-81B7-44AE-95A7-38A3D38AE2E8}"/>
    <cellStyle name="20% - Accent1 4 2 3" xfId="13031" xr:uid="{5728B456-491E-497B-B9A1-BD168707D062}"/>
    <cellStyle name="20% - Accent1 4 2 3 2" xfId="31912" xr:uid="{858447D9-121C-41A3-820A-2AB1FF01AF93}"/>
    <cellStyle name="20% - Accent1 4 2 3 2 2" xfId="5486" xr:uid="{037879B6-605A-4E21-B181-89095E5C4388}"/>
    <cellStyle name="20% - Accent1 4 2 3 2 2 2" xfId="31748" xr:uid="{161D9EDA-6F18-4198-9D19-5B2896546421}"/>
    <cellStyle name="20% - Accent1 4 2 3 2 2 2 2" xfId="24850" xr:uid="{E77A482E-3C74-487A-BB5A-9701690DC745}"/>
    <cellStyle name="20% - Accent1 4 2 3 2 2 2 2 2" xfId="29668" xr:uid="{C89C9550-2712-4EFD-B1CD-38DADD3EB500}"/>
    <cellStyle name="20% - Accent1 4 2 3 2 2 2 3" xfId="29199" xr:uid="{0CEFFD51-0D0E-4838-AB4D-924F1CCE7B23}"/>
    <cellStyle name="20% - Accent1 4 2 3 2 2 3" xfId="32352" xr:uid="{C2B4C4AB-A250-4F1F-A9A4-AB0D04A57354}"/>
    <cellStyle name="20% - Accent1 4 2 3 2 2 3 2" xfId="32668" xr:uid="{09A7A0CE-CD2C-4494-A067-315F3DF6447B}"/>
    <cellStyle name="20% - Accent1 4 2 3 2 2 4" xfId="13133" xr:uid="{5DFCC871-6B8C-4609-9893-A085706252E8}"/>
    <cellStyle name="20% - Accent1 4 2 3 2 3" xfId="30328" xr:uid="{A780D191-D042-40FE-8BFB-1DAB868E0E73}"/>
    <cellStyle name="20% - Accent1 4 2 3 2 3 2" xfId="28497" xr:uid="{D4A4F736-2DC1-4019-B907-76EAB5AAFDA7}"/>
    <cellStyle name="20% - Accent1 4 2 3 2 3 2 2" xfId="29782" xr:uid="{61CCA1D1-9513-42EC-8BEC-AB6D329F5B3F}"/>
    <cellStyle name="20% - Accent1 4 2 3 2 3 3" xfId="28492" xr:uid="{B79EC1F7-1852-489D-9AF3-C6F87B535D35}"/>
    <cellStyle name="20% - Accent1 4 2 3 2 4" xfId="30326" xr:uid="{07B78600-37CD-4798-99FE-BC582B48CC5C}"/>
    <cellStyle name="20% - Accent1 4 2 3 2 4 2" xfId="28483" xr:uid="{DAAEC4F8-193D-4E32-8A62-B430B9A8E25B}"/>
    <cellStyle name="20% - Accent1 4 2 3 2 5" xfId="29514" xr:uid="{C44300DA-744E-4D62-BB91-0C624AFAF3DE}"/>
    <cellStyle name="20% - Accent1 4 2 3 3" xfId="31902" xr:uid="{08D715C8-9EBE-4419-9BA0-8C6F79EA2E0C}"/>
    <cellStyle name="20% - Accent1 4 2 3 3 2" xfId="27531" xr:uid="{A6F65A53-B3CF-4377-9AAA-7D7218293CB6}"/>
    <cellStyle name="20% - Accent1 4 2 3 3 2 2" xfId="32310" xr:uid="{851BF586-4FC0-42C8-9099-2C5F23A49D4D}"/>
    <cellStyle name="20% - Accent1 4 2 3 3 2 2 2" xfId="32875" xr:uid="{F747F65C-CD09-45A6-A587-3D2D68ACD37E}"/>
    <cellStyle name="20% - Accent1 4 2 3 3 2 3" xfId="31898" xr:uid="{3CD14EBF-01B1-41EB-BBB1-18084377BCB6}"/>
    <cellStyle name="20% - Accent1 4 2 3 3 3" xfId="30322" xr:uid="{74466F7B-BB75-4B1F-8D69-39E85B8999BA}"/>
    <cellStyle name="20% - Accent1 4 2 3 3 3 2" xfId="28472" xr:uid="{81636415-6065-4255-A15B-CF5D3A4EDBA7}"/>
    <cellStyle name="20% - Accent1 4 2 3 3 4" xfId="29495" xr:uid="{3E95B655-6719-489C-96FE-F82C01CB96D4}"/>
    <cellStyle name="20% - Accent1 4 2 3 4" xfId="25308" xr:uid="{0B3D3F4C-DB2A-4C90-909A-E6DF65339437}"/>
    <cellStyle name="20% - Accent1 4 2 3 4 2" xfId="25179" xr:uid="{8609521B-87B2-497A-B7F3-23EA293AB68C}"/>
    <cellStyle name="20% - Accent1 4 2 3 4 2 2" xfId="31894" xr:uid="{6E401A3E-6039-49B9-A276-011D83A77A43}"/>
    <cellStyle name="20% - Accent1 4 2 3 4 3" xfId="29476" xr:uid="{02D88B63-4C6C-43D1-8833-2A94067F6A75}"/>
    <cellStyle name="20% - Accent1 4 2 3 5" xfId="31893" xr:uid="{7F51058B-7D7D-41B7-ACD4-35288ADA84F0}"/>
    <cellStyle name="20% - Accent1 4 2 3 5 2" xfId="29795" xr:uid="{D2FD0912-D121-4421-9DF6-40112D2AB2F8}"/>
    <cellStyle name="20% - Accent1 4 2 3 6" xfId="26124" xr:uid="{50BBBBAD-45D6-49DE-8A96-8A2130B5B28E}"/>
    <cellStyle name="20% - Accent1 4 2 4" xfId="32993" xr:uid="{1820DBE3-F0E8-4D8A-AB7C-F7924E985A33}"/>
    <cellStyle name="20% - Accent1 4 2 4 2" xfId="23938" xr:uid="{BA45D583-B47D-45A9-A10B-EB2D364F15A8}"/>
    <cellStyle name="20% - Accent1 4 2 4 2 2" xfId="32203" xr:uid="{9DF5BB9A-1310-46FF-9DBA-6B51468E003A}"/>
    <cellStyle name="20% - Accent1 4 2 4 2 2 2" xfId="30447" xr:uid="{CCB9C3C7-C8B0-44DE-9436-CF3B0E497BF3}"/>
    <cellStyle name="20% - Accent1 4 2 4 2 2 2 2" xfId="21041" xr:uid="{042452FD-E405-4339-8481-7B7EEF5768C8}"/>
    <cellStyle name="20% - Accent1 4 2 4 2 2 3" xfId="30426" xr:uid="{3E2B4531-346D-48C0-BE51-737C13A21B04}"/>
    <cellStyle name="20% - Accent1 4 2 4 2 3" xfId="30193" xr:uid="{A47D5D01-C00A-4329-920F-1F3A6CA33BE0}"/>
    <cellStyle name="20% - Accent1 4 2 4 2 3 2" xfId="21424" xr:uid="{B754821C-A8AE-4092-B0A9-AC8CEA66358F}"/>
    <cellStyle name="20% - Accent1 4 2 4 2 4" xfId="26412" xr:uid="{08D5FF76-0D83-4D4A-ACC2-DD0539140067}"/>
    <cellStyle name="20% - Accent1 4 2 4 3" xfId="23934" xr:uid="{2366F355-18E4-47C7-9B3A-D3885313B127}"/>
    <cellStyle name="20% - Accent1 4 2 4 3 2" xfId="8851" xr:uid="{39D8E6CE-25BC-4D0C-B0C0-E1AC0D7F5E6D}"/>
    <cellStyle name="20% - Accent1 4 2 4 3 2 2" xfId="10558" xr:uid="{53E4008A-9AB0-4AF2-A150-B8F7577BB325}"/>
    <cellStyle name="20% - Accent1 4 2 4 3 3" xfId="8779" xr:uid="{36775582-15A3-4C3B-9FE7-375C39DBCFE0}"/>
    <cellStyle name="20% - Accent1 4 2 4 4" xfId="31853" xr:uid="{488E0D11-1A71-4FD7-81E6-55269434DADA}"/>
    <cellStyle name="20% - Accent1 4 2 4 4 2" xfId="8636" xr:uid="{CEC0F1E3-F956-4659-BE5E-BD5672C77408}"/>
    <cellStyle name="20% - Accent1 4 2 4 5" xfId="34405" xr:uid="{50D28811-780A-4814-9A55-88BB1FD940A9}"/>
    <cellStyle name="20% - Accent1 4 2 5" xfId="32983" xr:uid="{948031D0-0759-44A2-B130-0822A79C6A72}"/>
    <cellStyle name="20% - Accent1 4 2 5 2" xfId="28120" xr:uid="{B6E13F7D-1F36-4DD7-BADE-34B0AA4B719E}"/>
    <cellStyle name="20% - Accent1 4 2 5 2 2" xfId="31973" xr:uid="{B37E9668-FEBB-4B59-BFB5-82780A7FF921}"/>
    <cellStyle name="20% - Accent1 4 2 5 2 2 2" xfId="22191" xr:uid="{FEE1FFED-20D7-4539-8B05-21B6710F8BEE}"/>
    <cellStyle name="20% - Accent1 4 2 5 2 3" xfId="30184" xr:uid="{08584592-9110-4B1D-9779-19151E4A5598}"/>
    <cellStyle name="20% - Accent1 4 2 5 3" xfId="25614" xr:uid="{4F8568D7-8B74-46ED-9417-BDABB613D15D}"/>
    <cellStyle name="20% - Accent1 4 2 5 3 2" xfId="8360" xr:uid="{FEC77AB3-9970-4ADE-9788-AAE6A6325C4B}"/>
    <cellStyle name="20% - Accent1 4 2 5 4" xfId="27426" xr:uid="{3BFAB37F-CB80-4F4B-BD7A-D8AEFCAB9D69}"/>
    <cellStyle name="20% - Accent1 4 2 6" xfId="23932" xr:uid="{5A7AA882-894A-4439-8AC8-33D75D497875}"/>
    <cellStyle name="20% - Accent1 4 2 6 2" xfId="33439" xr:uid="{C3D217D0-7C87-4E3D-80ED-84F7DE80CC10}"/>
    <cellStyle name="20% - Accent1 4 2 6 2 2" xfId="31806" xr:uid="{5603B67C-7DDD-4154-A8B5-2145CA1A0F0B}"/>
    <cellStyle name="20% - Accent1 4 2 6 3" xfId="33422" xr:uid="{B1467458-2A59-4100-A460-72140CF0FD36}"/>
    <cellStyle name="20% - Accent1 4 2 7" xfId="33407" xr:uid="{A6971D72-86D0-47C0-A02B-8C1B8128C79B}"/>
    <cellStyle name="20% - Accent1 4 2 7 2" xfId="20165" xr:uid="{2E986D38-E41C-4D2E-8F82-78146398DD0E}"/>
    <cellStyle name="20% - Accent1 4 2 8" xfId="31804" xr:uid="{0B6763E2-5B13-4F8F-BF77-599F13995007}"/>
    <cellStyle name="20% - Accent1 4 2 9" xfId="34562" xr:uid="{1715315A-5E9A-40D7-AA1E-52977FCD932E}"/>
    <cellStyle name="20% - Accent1 4 3" xfId="19746" xr:uid="{5BB4D101-8A06-4EC8-B2DC-C94E0E9D6AC4}"/>
    <cellStyle name="20% - Accent1 4 3 2" xfId="31794" xr:uid="{883470D1-B2D6-4845-8CFF-9478E37F58B1}"/>
    <cellStyle name="20% - Accent1 4 3 2 2" xfId="31066" xr:uid="{8F374A35-CA5E-4AF1-9368-77479D72FB10}"/>
    <cellStyle name="20% - Accent1 4 3 2 2 2" xfId="5464" xr:uid="{CD1A27D0-D211-4053-ADC8-64ABE636F745}"/>
    <cellStyle name="20% - Accent1 4 3 2 2 2 2" xfId="27229" xr:uid="{8B98C3C8-AE8D-4D74-B396-82B80F299488}"/>
    <cellStyle name="20% - Accent1 4 3 2 2 2 2 2" xfId="25523" xr:uid="{B4676307-7B89-4965-98D2-63E34E0D753A}"/>
    <cellStyle name="20% - Accent1 4 3 2 2 2 2 2 2" xfId="20068" xr:uid="{6E766CE7-80CD-4056-AA10-A2516D820518}"/>
    <cellStyle name="20% - Accent1 4 3 2 2 2 2 3" xfId="25520" xr:uid="{81E14A50-7D1B-4BDD-9982-DC1CDFE2A451}"/>
    <cellStyle name="20% - Accent1 4 3 2 2 2 3" xfId="31951" xr:uid="{A5C5879B-35D4-45BD-BFC2-9F4173F0F316}"/>
    <cellStyle name="20% - Accent1 4 3 2 2 2 3 2" xfId="25514" xr:uid="{F22FB21F-470B-43E6-ACAB-36E2A8F42F9E}"/>
    <cellStyle name="20% - Accent1 4 3 2 2 2 4" xfId="28502" xr:uid="{308BE2B7-824B-4EC5-8998-CEF6983EED40}"/>
    <cellStyle name="20% - Accent1 4 3 2 2 3" xfId="31935" xr:uid="{591A9286-DE62-440F-88F6-668E5ADC315D}"/>
    <cellStyle name="20% - Accent1 4 3 2 2 3 2" xfId="31923" xr:uid="{2C5529C3-96B2-4A2E-BAD7-3CE8600FBDC4}"/>
    <cellStyle name="20% - Accent1 4 3 2 2 3 2 2" xfId="26743" xr:uid="{51D3BE04-F29D-418E-9D81-F39C17EEC2C7}"/>
    <cellStyle name="20% - Accent1 4 3 2 2 3 3" xfId="31772" xr:uid="{C49B89A4-F8B7-4DC1-98C4-DC711A810FE8}"/>
    <cellStyle name="20% - Accent1 4 3 2 2 4" xfId="34302" xr:uid="{F1C8AD68-3D90-4751-BAB1-A5FDD7668130}"/>
    <cellStyle name="20% - Accent1 4 3 2 2 4 2" xfId="31764" xr:uid="{A53835BE-CACD-46CD-8926-A274981260B6}"/>
    <cellStyle name="20% - Accent1 4 3 2 2 5" xfId="22858" xr:uid="{F2E16C52-254E-4B76-A192-853D93A57D1F}"/>
    <cellStyle name="20% - Accent1 4 3 2 3" xfId="22161" xr:uid="{41684FDD-DD69-4FD5-9F49-CE14A5DBA327}"/>
    <cellStyle name="20% - Accent1 4 3 2 3 2" xfId="31891" xr:uid="{ECB5288A-8F84-48F4-BC8A-A4AB264D9D34}"/>
    <cellStyle name="20% - Accent1 4 3 2 3 2 2" xfId="31887" xr:uid="{056E626B-0AF5-47A5-ACAE-E2D14E7D8C69}"/>
    <cellStyle name="20% - Accent1 4 3 2 3 2 2 2" xfId="25224" xr:uid="{65FFE8B4-7E05-4B0F-820F-DDEC042A7B4E}"/>
    <cellStyle name="20% - Accent1 4 3 2 3 2 3" xfId="31747" xr:uid="{5389407B-5F32-4959-89D9-A24142878796}"/>
    <cellStyle name="20% - Accent1 4 3 2 3 3" xfId="31879" xr:uid="{E28E10F0-C7B6-476A-A257-1E8F6AD48761}"/>
    <cellStyle name="20% - Accent1 4 3 2 3 3 2" xfId="31741" xr:uid="{087B5FEA-895B-4B98-A02E-D789AA3F7821}"/>
    <cellStyle name="20% - Accent1 4 3 2 3 4" xfId="22362" xr:uid="{059353A4-AF8B-4392-8AD6-CEC003A99400}"/>
    <cellStyle name="20% - Accent1 4 3 2 4" xfId="31733" xr:uid="{0240178C-1721-401F-B37B-6B0F628A9ED4}"/>
    <cellStyle name="20% - Accent1 4 3 2 4 2" xfId="19711" xr:uid="{BC136114-3054-40B6-9AD2-BEAF94B7C911}"/>
    <cellStyle name="20% - Accent1 4 3 2 4 2 2" xfId="32770" xr:uid="{2336371A-A5E3-41D0-8F5E-7EC3847826E1}"/>
    <cellStyle name="20% - Accent1 4 3 2 4 3" xfId="31732" xr:uid="{9976B31B-F40F-4C21-8239-90C5EC652EA1}"/>
    <cellStyle name="20% - Accent1 4 3 2 5" xfId="31727" xr:uid="{200CF79B-959B-40D5-B960-493AE357423D}"/>
    <cellStyle name="20% - Accent1 4 3 2 5 2" xfId="33888" xr:uid="{89FF7CAC-568C-4AE9-838D-8A9192732CB1}"/>
    <cellStyle name="20% - Accent1 4 3 2 6" xfId="31723" xr:uid="{575C76B5-C0DE-4343-9AC4-824F7F81B9A4}"/>
    <cellStyle name="20% - Accent1 4 3 3" xfId="31717" xr:uid="{3B204A65-00C5-4E89-8CD7-F603DFA45054}"/>
    <cellStyle name="20% - Accent1 4 3 3 2" xfId="31052" xr:uid="{FF9B5E2F-9440-4326-834C-9ADFEB1BDE49}"/>
    <cellStyle name="20% - Accent1 4 3 3 2 2" xfId="31725" xr:uid="{06DBB90C-933C-4DE2-9953-8010C4F4ED70}"/>
    <cellStyle name="20% - Accent1 4 3 3 2 2 2" xfId="33883" xr:uid="{697CD159-2C77-4FE4-9A57-2670B03AC0A3}"/>
    <cellStyle name="20% - Accent1 4 3 3 2 2 2 2" xfId="26442" xr:uid="{E9902FB3-43D5-4124-B2FC-8DADA0F21FE0}"/>
    <cellStyle name="20% - Accent1 4 3 3 2 2 3" xfId="32927" xr:uid="{75CB731D-08E3-420F-99A6-26E357B1A015}"/>
    <cellStyle name="20% - Accent1 4 3 3 2 3" xfId="30147" xr:uid="{146CFD89-4417-42C2-A1CE-A113A62F04B5}"/>
    <cellStyle name="20% - Accent1 4 3 3 2 3 2" xfId="32890" xr:uid="{BA9C07F2-7C22-4238-846A-6CE168C23567}"/>
    <cellStyle name="20% - Accent1 4 3 3 2 4" xfId="29331" xr:uid="{5FD23D6E-1864-44D6-8930-88A455D17DA4}"/>
    <cellStyle name="20% - Accent1 4 3 3 3" xfId="32896" xr:uid="{E28AB307-5C95-472A-92B7-BB2BFF4C1DC1}"/>
    <cellStyle name="20% - Accent1 4 3 3 3 2" xfId="31709" xr:uid="{7AB815B4-F11B-47ED-92B8-7C206CFBAFD8}"/>
    <cellStyle name="20% - Accent1 4 3 3 3 2 2" xfId="32500" xr:uid="{598EA5DF-8856-4ED8-AC50-A82A1CFEA3CC}"/>
    <cellStyle name="20% - Accent1 4 3 3 3 3" xfId="29316" xr:uid="{05DA08D8-8245-474F-985C-041ED1F21917}"/>
    <cellStyle name="20% - Accent1 4 3 3 4" xfId="31707" xr:uid="{3EA9C205-5060-4CE4-B443-9198D054B99D}"/>
    <cellStyle name="20% - Accent1 4 3 3 4 2" xfId="34206" xr:uid="{523B66CD-C9F9-48B9-9F6E-845A78731610}"/>
    <cellStyle name="20% - Accent1 4 3 3 5" xfId="28826" xr:uid="{9FA953F2-FE44-4E06-A4E3-7F692B302834}"/>
    <cellStyle name="20% - Accent1 4 3 4" xfId="32966" xr:uid="{E9A6D650-0002-4514-A422-DBFCE4AA71B4}"/>
    <cellStyle name="20% - Accent1 4 3 4 2" xfId="23928" xr:uid="{A1F96BCB-E669-4B5B-921E-BA95FD69F749}"/>
    <cellStyle name="20% - Accent1 4 3 4 2 2" xfId="32385" xr:uid="{983CB084-F50C-46EE-A843-71CBF7C773F7}"/>
    <cellStyle name="20% - Accent1 4 3 4 2 2 2" xfId="32061" xr:uid="{0ADE4F19-32E5-45AD-AD74-09C5CCE2420B}"/>
    <cellStyle name="20% - Accent1 4 3 4 2 3" xfId="29270" xr:uid="{D4AC3336-86A2-4D58-B195-670388BC1023}"/>
    <cellStyle name="20% - Accent1 4 3 4 3" xfId="25604" xr:uid="{16C3540A-1AF8-4B8E-8E46-3C84E097E51C}"/>
    <cellStyle name="20% - Accent1 4 3 4 3 2" xfId="7831" xr:uid="{B825036F-BB6C-479E-9976-2F814F2236B1}"/>
    <cellStyle name="20% - Accent1 4 3 4 4" xfId="34243" xr:uid="{2C352023-E7E1-40D9-82FF-DA8E7FAE20DF}"/>
    <cellStyle name="20% - Accent1 4 3 5" xfId="13450" xr:uid="{6F739CA3-5E7F-46CE-8599-9ACE3E6361CB}"/>
    <cellStyle name="20% - Accent1 4 3 5 2" xfId="34186" xr:uid="{F6F060B1-46AE-4864-9FE1-9B2E6940BCEF}"/>
    <cellStyle name="20% - Accent1 4 3 5 2 2" xfId="33768" xr:uid="{00C62309-4C32-4435-BAF5-B73C33815185}"/>
    <cellStyle name="20% - Accent1 4 3 5 3" xfId="33373" xr:uid="{4DA7768F-B88E-4B3D-8BAF-2843BD1E6B8F}"/>
    <cellStyle name="20% - Accent1 4 3 6" xfId="32167" xr:uid="{293CBE71-482D-4FA8-A76D-BC593E5AC137}"/>
    <cellStyle name="20% - Accent1 4 3 6 2" xfId="33589" xr:uid="{6D30397E-6E7E-436C-BED2-E85C378451C5}"/>
    <cellStyle name="20% - Accent1 4 3 7" xfId="22983" xr:uid="{DF55D6CA-546C-45D5-A419-B24C0808594D}"/>
    <cellStyle name="20% - Accent1 4 3 8" xfId="34782" xr:uid="{D2848F05-A9A2-4B87-BB0A-79FAEA877CBA}"/>
    <cellStyle name="20% - Accent1 4 4" xfId="31706" xr:uid="{99CA605F-5221-4E53-8232-B23F6EE4EB5D}"/>
    <cellStyle name="20% - Accent1 4 4 2" xfId="31705" xr:uid="{D61E992B-1BAA-4F57-B3A5-514251DD6790}"/>
    <cellStyle name="20% - Accent1 4 4 2 2" xfId="31046" xr:uid="{62BA7325-8D5B-4AAE-9BE0-60507BC8623D}"/>
    <cellStyle name="20% - Accent1 4 4 2 2 2" xfId="31703" xr:uid="{033DF62B-AB84-47CE-8401-30D020596A8A}"/>
    <cellStyle name="20% - Accent1 4 4 2 2 2 2" xfId="24434" xr:uid="{09D997E6-1650-4C2D-8C6B-68D93E626B96}"/>
    <cellStyle name="20% - Accent1 4 4 2 2 2 2 2" xfId="19854" xr:uid="{5E860618-6674-43A7-8FCC-698B07784091}"/>
    <cellStyle name="20% - Accent1 4 4 2 2 2 3" xfId="31681" xr:uid="{28F870E5-0DC9-47C3-BA73-047F74B988CE}"/>
    <cellStyle name="20% - Accent1 4 4 2 2 3" xfId="31678" xr:uid="{903B4C72-43CD-4636-A31F-CC9E6B03E6FB}"/>
    <cellStyle name="20% - Accent1 4 4 2 2 3 2" xfId="31666" xr:uid="{562D077A-E0AC-4FA8-96C8-64A5AE3FCE0F}"/>
    <cellStyle name="20% - Accent1 4 4 2 2 4" xfId="31660" xr:uid="{72281183-C8B4-4843-B296-86AF52CBA076}"/>
    <cellStyle name="20% - Accent1 4 4 2 3" xfId="31653" xr:uid="{EDEFC27C-AB3B-47C4-A2D9-308F3AEFEA3E}"/>
    <cellStyle name="20% - Accent1 4 4 2 3 2" xfId="31645" xr:uid="{8C8C0D23-6EDB-46E8-89C3-50ED1FEE7CD5}"/>
    <cellStyle name="20% - Accent1 4 4 2 3 2 2" xfId="24979" xr:uid="{1ADCEC25-6CEF-4510-AAD5-685F3F9C10A1}"/>
    <cellStyle name="20% - Accent1 4 4 2 3 3" xfId="31631" xr:uid="{DECE4762-41DA-45AB-A9A1-2A4DFB70DD84}"/>
    <cellStyle name="20% - Accent1 4 4 2 4" xfId="28783" xr:uid="{4A22E4B0-6108-4756-9F38-BEBF619751F3}"/>
    <cellStyle name="20% - Accent1 4 4 2 4 2" xfId="31625" xr:uid="{26FE0D38-DC59-477C-8307-BAA4A29414AB}"/>
    <cellStyle name="20% - Accent1 4 4 2 5" xfId="32381" xr:uid="{B18009CD-BB6C-40F0-A5C7-EDD3089778DF}"/>
    <cellStyle name="20% - Accent1 4 4 3" xfId="26465" xr:uid="{FFD79B7B-C43A-43D0-BAD7-592505805035}"/>
    <cellStyle name="20% - Accent1 4 4 3 2" xfId="33013" xr:uid="{B28E5C06-9E5E-4254-97AC-E68BC5D37E6F}"/>
    <cellStyle name="20% - Accent1 4 4 3 2 2" xfId="25594" xr:uid="{867F7045-C771-4BE7-B0B6-C49F2027761D}"/>
    <cellStyle name="20% - Accent1 4 4 3 2 2 2" xfId="31606" xr:uid="{D94DCA75-0C11-4A8D-83A2-C03102FB1B01}"/>
    <cellStyle name="20% - Accent1 4 4 3 2 3" xfId="25488" xr:uid="{EE0790EA-EF95-4472-B3E9-CBFD06C0DF3B}"/>
    <cellStyle name="20% - Accent1 4 4 3 3" xfId="31597" xr:uid="{5AB28EEA-ED2E-4894-BFE8-EE3CFD41D73A}"/>
    <cellStyle name="20% - Accent1 4 4 3 3 2" xfId="27611" xr:uid="{689C9177-7703-4DA3-A6DB-0D17B9FE506E}"/>
    <cellStyle name="20% - Accent1 4 4 3 4" xfId="31593" xr:uid="{7F5EB7D7-F8A6-45C9-8771-31E31ABD714B}"/>
    <cellStyle name="20% - Accent1 4 4 4" xfId="23922" xr:uid="{8BD2B2B3-7B64-49FA-B62F-1E2CF5EF1448}"/>
    <cellStyle name="20% - Accent1 4 4 4 2" xfId="34091" xr:uid="{1583108B-82A8-4368-AC89-6C043AB3E49B}"/>
    <cellStyle name="20% - Accent1 4 4 4 2 2" xfId="17898" xr:uid="{31126236-D8E1-4F62-8C47-274EB9B8AB8C}"/>
    <cellStyle name="20% - Accent1 4 4 4 3" xfId="34176" xr:uid="{590D64AF-81CD-4F42-B18F-C7B50405F7A4}"/>
    <cellStyle name="20% - Accent1 4 4 5" xfId="13443" xr:uid="{F195C2FF-8727-4A88-806D-33B036394E96}"/>
    <cellStyle name="20% - Accent1 4 4 5 2" xfId="33514" xr:uid="{9E8B53E6-E2E3-4511-BDFE-5E08E8C33D77}"/>
    <cellStyle name="20% - Accent1 4 4 6" xfId="30205" xr:uid="{C73974A2-D67E-4DB8-942E-6560A29668A8}"/>
    <cellStyle name="20% - Accent1 4 4 7" xfId="34978" xr:uid="{18804AB9-6FFD-4239-B6F5-F4D2C7015FEE}"/>
    <cellStyle name="20% - Accent1 4 5" xfId="29487" xr:uid="{DC07DB0B-7FB5-42CB-A766-D12E0D2B8DA0}"/>
    <cellStyle name="20% - Accent1 4 5 2" xfId="29536" xr:uid="{BFB0FA86-F28A-4846-91B3-A852C2EBBF9C}"/>
    <cellStyle name="20% - Accent1 4 5 2 2" xfId="31587" xr:uid="{2A5C240D-AD39-469B-8D00-95E81FF2375F}"/>
    <cellStyle name="20% - Accent1 4 5 2 2 2" xfId="31584" xr:uid="{F3E397E7-DBAD-4F6C-B95C-6064515D03C3}"/>
    <cellStyle name="20% - Accent1 4 5 2 2 2 2" xfId="21630" xr:uid="{7D658CB7-7AF9-4475-8BF4-9D55DB7185D9}"/>
    <cellStyle name="20% - Accent1 4 5 2 2 3" xfId="17958" xr:uid="{BA661D56-C982-420E-9099-9E0F16116428}"/>
    <cellStyle name="20% - Accent1 4 5 2 3" xfId="31570" xr:uid="{47DB23A4-B75B-4387-BC1C-3E9C60963BE8}"/>
    <cellStyle name="20% - Accent1 4 5 2 3 2" xfId="30834" xr:uid="{52F0D007-3ECB-4367-8298-808C023D566B}"/>
    <cellStyle name="20% - Accent1 4 5 2 4" xfId="31569" xr:uid="{19A70C1B-3FD5-4D40-8C88-EE62C134C8FA}"/>
    <cellStyle name="20% - Accent1 4 5 3" xfId="31561" xr:uid="{6A0DAA53-1E68-4FCE-A944-F09B42E5919F}"/>
    <cellStyle name="20% - Accent1 4 5 3 2" xfId="31553" xr:uid="{8C0D6951-3A0C-4F02-9C5A-319A02045A8F}"/>
    <cellStyle name="20% - Accent1 4 5 3 2 2" xfId="28288" xr:uid="{918FB7F6-6F1C-4312-947A-5CB0BE0E0685}"/>
    <cellStyle name="20% - Accent1 4 5 3 3" xfId="31551" xr:uid="{2CBC5F03-CCA2-4AEF-9119-3CA3C64BC173}"/>
    <cellStyle name="20% - Accent1 4 5 4" xfId="33905" xr:uid="{A90A6E89-8E77-429E-B70D-D9EFADA0EDB0}"/>
    <cellStyle name="20% - Accent1 4 5 4 2" xfId="32472" xr:uid="{A0F1ED1D-1845-4F70-BB51-D96EE52C04E2}"/>
    <cellStyle name="20% - Accent1 4 5 5" xfId="33311" xr:uid="{9B01FCAE-ED36-420C-A9A2-8ECE98420E07}"/>
    <cellStyle name="20% - Accent1 4 5 6" xfId="35183" xr:uid="{3ADB522A-D265-4D33-BFC7-F2E97B4111BE}"/>
    <cellStyle name="20% - Accent1 4 6" xfId="32354" xr:uid="{9DD33E07-68BB-45C1-9277-2692307163AD}"/>
    <cellStyle name="20% - Accent1 4 6 2" xfId="31547" xr:uid="{A8393963-ADA3-4D41-AF21-1DB6F4F78DF5}"/>
    <cellStyle name="20% - Accent1 4 6 2 2" xfId="31543" xr:uid="{3B03495F-35B2-4853-925D-9DA21C51BA88}"/>
    <cellStyle name="20% - Accent1 4 6 2 2 2" xfId="24585" xr:uid="{5E83BFCA-E53E-4513-964D-C6D15CCF3FC2}"/>
    <cellStyle name="20% - Accent1 4 6 2 3" xfId="32954" xr:uid="{9FAE6081-D576-4A89-9A7D-8DC608C8F448}"/>
    <cellStyle name="20% - Accent1 4 6 3" xfId="31542" xr:uid="{8B35E00A-45A4-49AD-8089-CECFC1C76E89}"/>
    <cellStyle name="20% - Accent1 4 6 3 2" xfId="31537" xr:uid="{2EE6BB4D-05F0-4DA4-9908-876E6AB01884}"/>
    <cellStyle name="20% - Accent1 4 6 4" xfId="28707" xr:uid="{D7481E7D-D6F7-44FA-897C-8010CCB745FC}"/>
    <cellStyle name="20% - Accent1 4 6 5" xfId="35412" xr:uid="{9CFFFE49-3313-40D6-B92B-71B7190BF434}"/>
    <cellStyle name="20% - Accent1 4 7" xfId="24948" xr:uid="{364A14AA-6043-4543-ABB6-085A89C3D3D3}"/>
    <cellStyle name="20% - Accent1 4 7 2" xfId="25487" xr:uid="{9CE62349-4A6C-4305-B85B-0FD4C8D2F307}"/>
    <cellStyle name="20% - Accent1 4 7 2 2" xfId="21490" xr:uid="{4CE7B361-849B-4733-BA88-1E15B064EC65}"/>
    <cellStyle name="20% - Accent1 4 7 3" xfId="31535" xr:uid="{F4CB9567-CCB8-4F98-A77B-7FB6C45A8CAA}"/>
    <cellStyle name="20% - Accent1 4 7 4" xfId="36284" xr:uid="{0115607E-2014-4649-B884-DC3F098B20E5}"/>
    <cellStyle name="20% - Accent1 4 8" xfId="8378" xr:uid="{440BB795-9004-4846-8D06-6BB84181FDD5}"/>
    <cellStyle name="20% - Accent1 4 8 2" xfId="31534" xr:uid="{45ED5D7E-8249-4C7C-AC61-26C254F7AE33}"/>
    <cellStyle name="20% - Accent1 4 8 3" xfId="36570" xr:uid="{37637C0F-03C3-4F35-8E5D-EC51E7D4E65F}"/>
    <cellStyle name="20% - Accent1 4 9" xfId="17779" xr:uid="{433433F8-2C3D-4FF5-88C4-3695B708388D}"/>
    <cellStyle name="20% - Accent1 4 9 2" xfId="37455" xr:uid="{B20B2758-66FE-4121-8695-CFC59BDF7FD6}"/>
    <cellStyle name="20% - Accent1 40" xfId="36090" xr:uid="{99B97337-A9B5-4577-B6C6-FF13990275F5}"/>
    <cellStyle name="20% - Accent1 40 2" xfId="37259" xr:uid="{AC947B1E-D21D-4340-80E0-031430E42FFC}"/>
    <cellStyle name="20% - Accent1 40 3" xfId="38157" xr:uid="{860A0E35-14FF-4A2D-8E23-99FCEFAC7938}"/>
    <cellStyle name="20% - Accent1 41" xfId="36110" xr:uid="{C42386BF-DC0C-4450-A56A-50E7157C90D9}"/>
    <cellStyle name="20% - Accent1 41 2" xfId="37279" xr:uid="{C027D8C1-1709-43A9-A249-8018F7B2CE6F}"/>
    <cellStyle name="20% - Accent1 41 3" xfId="38177" xr:uid="{A87FBC8D-50F9-435E-A910-08F133B521E1}"/>
    <cellStyle name="20% - Accent1 42" xfId="36130" xr:uid="{238FD9C3-CB5A-4892-9728-953558527DC1}"/>
    <cellStyle name="20% - Accent1 42 2" xfId="37299" xr:uid="{759623A1-A90C-47AD-AF4B-22B56C29F847}"/>
    <cellStyle name="20% - Accent1 42 3" xfId="38197" xr:uid="{4CC4DDFC-DD38-4641-9A86-16A5022E2448}"/>
    <cellStyle name="20% - Accent1 43" xfId="36150" xr:uid="{FFBAFBB0-3B41-4CEB-AFF6-05033B5AA96A}"/>
    <cellStyle name="20% - Accent1 43 2" xfId="37319" xr:uid="{6CAF7E7E-22F8-48CD-9082-BD772F0B7363}"/>
    <cellStyle name="20% - Accent1 43 3" xfId="38217" xr:uid="{D4FCA417-9DD4-437A-85BD-6A238DCC1D09}"/>
    <cellStyle name="20% - Accent1 44" xfId="36170" xr:uid="{C062B085-978C-4538-B228-DB019A369185}"/>
    <cellStyle name="20% - Accent1 44 2" xfId="37339" xr:uid="{267F0A1B-4A2A-45FD-BB1C-D274C571FB26}"/>
    <cellStyle name="20% - Accent1 44 3" xfId="38237" xr:uid="{14D9DE33-60FD-4F18-94DF-FF29B7BF20B9}"/>
    <cellStyle name="20% - Accent1 45" xfId="36190" xr:uid="{3B31EB3C-0402-41B2-B194-AFC6F85F207F}"/>
    <cellStyle name="20% - Accent1 45 2" xfId="37359" xr:uid="{2711F5B2-BCC0-4085-A8C2-0BC6F24C91EE}"/>
    <cellStyle name="20% - Accent1 45 3" xfId="38257" xr:uid="{D74F829E-D0A4-4FB4-9334-17962297BF65}"/>
    <cellStyle name="20% - Accent1 46" xfId="36210" xr:uid="{150A257E-7E48-45B0-BBB0-0838A5A94F11}"/>
    <cellStyle name="20% - Accent1 46 2" xfId="37377" xr:uid="{F9D44012-14C9-462D-9387-ED658BA69066}"/>
    <cellStyle name="20% - Accent1 46 3" xfId="38277" xr:uid="{9384C989-0272-4E68-B806-033F74F87F86}"/>
    <cellStyle name="20% - Accent1 47" xfId="36511" xr:uid="{632886BB-E263-4EB4-9121-77D297511F09}"/>
    <cellStyle name="20% - Accent1 48" xfId="37396" xr:uid="{D7A7F7CA-F129-4F00-8F13-6DE86DA6E7E4}"/>
    <cellStyle name="20% - Accent1 5" xfId="259" xr:uid="{05B577F7-B98D-4B39-BA8B-AE090CAB626E}"/>
    <cellStyle name="20% - Accent1 5 10" xfId="5970" xr:uid="{4D8FDB76-FF4B-4B0F-857B-9BA5F79E5A66}"/>
    <cellStyle name="20% - Accent1 5 2" xfId="19736" xr:uid="{F0961D59-8586-404F-B878-7FBB84BC3BF8}"/>
    <cellStyle name="20% - Accent1 5 2 2" xfId="33105" xr:uid="{299A6027-8847-41B6-91FB-7B45466B79B4}"/>
    <cellStyle name="20% - Accent1 5 2 2 2" xfId="21436" xr:uid="{FF26556E-D29F-48DA-8DF4-1CFED90C1F4A}"/>
    <cellStyle name="20% - Accent1 5 2 2 2 2" xfId="5402" xr:uid="{84EB243C-F9A7-4A9A-9E59-01B07D80B01A}"/>
    <cellStyle name="20% - Accent1 5 2 2 2 2 2" xfId="28412" xr:uid="{74FC7EA0-F057-402A-A9E6-DE1666BF5569}"/>
    <cellStyle name="20% - Accent1 5 2 2 2 2 2 2" xfId="31528" xr:uid="{8872A131-C6C9-4B3A-A250-1FE54050FFB4}"/>
    <cellStyle name="20% - Accent1 5 2 2 2 2 2 2 2" xfId="23383" xr:uid="{861B1C6E-47B8-47A8-BB9C-F414A2DDC0FE}"/>
    <cellStyle name="20% - Accent1 5 2 2 2 2 2 3" xfId="17644" xr:uid="{AA9E8F88-E12A-466E-9A55-65FFEB017F22}"/>
    <cellStyle name="20% - Accent1 5 2 2 2 2 3" xfId="23007" xr:uid="{0CA002B8-A316-46DA-B435-C99D279723AA}"/>
    <cellStyle name="20% - Accent1 5 2 2 2 2 3 2" xfId="33866" xr:uid="{46E526C0-07DD-48B8-BFF7-858CEEE9EEB2}"/>
    <cellStyle name="20% - Accent1 5 2 2 2 2 4" xfId="9565" xr:uid="{D1B3729C-1BEB-4EBB-8BDD-2922F1E97125}"/>
    <cellStyle name="20% - Accent1 5 2 2 2 3" xfId="32038" xr:uid="{A7CCC265-B861-4A26-8C89-094C892A4200}"/>
    <cellStyle name="20% - Accent1 5 2 2 2 3 2" xfId="27650" xr:uid="{33B4AE56-83DF-40A8-9169-3DA7953D7EF1}"/>
    <cellStyle name="20% - Accent1 5 2 2 2 3 2 2" xfId="31524" xr:uid="{88AC6F09-DC48-482E-B7A1-452C44CA4860}"/>
    <cellStyle name="20% - Accent1 5 2 2 2 3 3" xfId="33611" xr:uid="{CA7D66BE-C418-4FAE-804F-4D4D678C3584}"/>
    <cellStyle name="20% - Accent1 5 2 2 2 4" xfId="32436" xr:uid="{0B364FA7-D8EC-42AE-8D11-F8BE26C4744B}"/>
    <cellStyle name="20% - Accent1 5 2 2 2 4 2" xfId="11253" xr:uid="{73F8D42F-C4A3-4490-B6F4-737E8924186A}"/>
    <cellStyle name="20% - Accent1 5 2 2 2 5" xfId="32431" xr:uid="{8838DDE0-A8D3-4128-86A9-22CF57AE7356}"/>
    <cellStyle name="20% - Accent1 5 2 2 3" xfId="21429" xr:uid="{DC71A1AC-50D7-420E-B265-A33E5F671284}"/>
    <cellStyle name="20% - Accent1 5 2 2 3 2" xfId="31516" xr:uid="{C572A142-2504-4923-8942-64D028B7B66E}"/>
    <cellStyle name="20% - Accent1 5 2 2 3 2 2" xfId="26417" xr:uid="{1F0D2443-612F-4AC7-AEE4-8D3544279D58}"/>
    <cellStyle name="20% - Accent1 5 2 2 3 2 2 2" xfId="16543" xr:uid="{FC694CFB-8FB0-405A-B018-B05153AB4235}"/>
    <cellStyle name="20% - Accent1 5 2 2 3 2 3" xfId="33570" xr:uid="{4F0FB9EE-DE3F-4A62-BD8E-2D90DEC5424B}"/>
    <cellStyle name="20% - Accent1 5 2 2 3 3" xfId="20953" xr:uid="{010F9EFC-16FB-4DDF-92FF-0F9E3EB91F36}"/>
    <cellStyle name="20% - Accent1 5 2 2 3 3 2" xfId="33522" xr:uid="{F8F1E8CE-68C0-4CD6-A677-06ECB9A0E0D8}"/>
    <cellStyle name="20% - Accent1 5 2 2 3 4" xfId="7502" xr:uid="{45F90097-CBD5-451D-A210-9930179C0EB9}"/>
    <cellStyle name="20% - Accent1 5 2 2 4" xfId="31511" xr:uid="{86D9E4C3-9B13-4629-8E6B-1CF8B8C03660}"/>
    <cellStyle name="20% - Accent1 5 2 2 4 2" xfId="31506" xr:uid="{D95E8FA0-B3F5-49B3-9FE7-C2EAD5A33F59}"/>
    <cellStyle name="20% - Accent1 5 2 2 4 2 2" xfId="33500" xr:uid="{85C72FF5-B1C3-48BB-A7DC-84598620F610}"/>
    <cellStyle name="20% - Accent1 5 2 2 4 3" xfId="32545" xr:uid="{72BB98BA-2A23-42C3-ABFA-67ACAE1C8B6C}"/>
    <cellStyle name="20% - Accent1 5 2 2 5" xfId="31697" xr:uid="{061F7529-2C54-4906-8231-745DA3CA936D}"/>
    <cellStyle name="20% - Accent1 5 2 2 5 2" xfId="31690" xr:uid="{D654F04E-FE95-4AA4-9211-EAB7BED6082D}"/>
    <cellStyle name="20% - Accent1 5 2 2 6" xfId="13055" xr:uid="{1BC83E20-A4FF-4D18-B75A-557452222B80}"/>
    <cellStyle name="20% - Accent1 5 2 3" xfId="23290" xr:uid="{D251D791-6E42-4854-A60B-CBC8668E6997}"/>
    <cellStyle name="20% - Accent1 5 2 3 2" xfId="30308" xr:uid="{007257E8-EAC6-4D6D-B6FF-2CA3D3ED4495}"/>
    <cellStyle name="20% - Accent1 5 2 3 2 2" xfId="31488" xr:uid="{43D7D614-86EB-44A4-A311-012585797254}"/>
    <cellStyle name="20% - Accent1 5 2 3 2 2 2" xfId="33186" xr:uid="{3B4A5F68-44F1-493F-9336-262D6D43CAB5}"/>
    <cellStyle name="20% - Accent1 5 2 3 2 2 2 2" xfId="33902" xr:uid="{9BDD0B5F-FD86-4FE7-A2E0-546F835AFAA2}"/>
    <cellStyle name="20% - Accent1 5 2 3 2 2 3" xfId="29381" xr:uid="{A87CB152-B4DB-4835-A6ED-50B50ED9D2C0}"/>
    <cellStyle name="20% - Accent1 5 2 3 2 3" xfId="29824" xr:uid="{6F9356F7-1C2D-4A60-9577-B05033EBA8CC}"/>
    <cellStyle name="20% - Accent1 5 2 3 2 3 2" xfId="27604" xr:uid="{A93896CF-4A5B-4AFA-9437-88B88E05B90D}"/>
    <cellStyle name="20% - Accent1 5 2 3 2 4" xfId="29820" xr:uid="{1D0E7680-384A-4CA7-9E57-F382F4034195}"/>
    <cellStyle name="20% - Accent1 5 2 3 3" xfId="25570" xr:uid="{5AD333F9-8786-40E1-9E80-2E1F93D4FD8C}"/>
    <cellStyle name="20% - Accent1 5 2 3 3 2" xfId="30775" xr:uid="{B9DD727E-643A-4A04-9C2E-6CB7B243598B}"/>
    <cellStyle name="20% - Accent1 5 2 3 3 2 2" xfId="28458" xr:uid="{B113D8D1-0001-432A-8C47-EE3ACF322F46}"/>
    <cellStyle name="20% - Accent1 5 2 3 3 3" xfId="29810" xr:uid="{48BA2658-0910-473E-845C-2F9077869463}"/>
    <cellStyle name="20% - Accent1 5 2 3 4" xfId="25567" xr:uid="{9C8C9086-8336-4BDA-A55D-656DE9650065}"/>
    <cellStyle name="20% - Accent1 5 2 3 4 2" xfId="29674" xr:uid="{8E4206AF-F84B-4A14-90F0-35640233AC33}"/>
    <cellStyle name="20% - Accent1 5 2 3 5" xfId="31640" xr:uid="{C14F6470-35E8-4C6F-A08F-8FF910D47991}"/>
    <cellStyle name="20% - Accent1 5 2 4" xfId="32953" xr:uid="{25D669E1-3C1E-4CF1-B981-8BA27A9C8FE1}"/>
    <cellStyle name="20% - Accent1 5 2 4 2" xfId="23874" xr:uid="{A7233DB0-C314-41BD-B998-9E75EA4C20DC}"/>
    <cellStyle name="20% - Accent1 5 2 4 2 2" xfId="33651" xr:uid="{ED49D15A-3696-44C1-83F6-0C8F11703A2A}"/>
    <cellStyle name="20% - Accent1 5 2 4 2 2 2" xfId="26498" xr:uid="{77E70053-75E2-4117-BD00-1F9E50870625}"/>
    <cellStyle name="20% - Accent1 5 2 4 2 3" xfId="30075" xr:uid="{BC110E42-9E86-4842-8E7A-526EC2BBAFDB}"/>
    <cellStyle name="20% - Accent1 5 2 4 3" xfId="22452" xr:uid="{27FB5785-6D43-415C-A51A-0A3D16855C98}"/>
    <cellStyle name="20% - Accent1 5 2 4 3 2" xfId="25140" xr:uid="{0BADECAE-6E41-4614-8906-338E7A78AD7C}"/>
    <cellStyle name="20% - Accent1 5 2 4 4" xfId="29226" xr:uid="{6E540A2F-EFF5-4EA6-B3E2-F3EA4649D8E3}"/>
    <cellStyle name="20% - Accent1 5 2 5" xfId="23872" xr:uid="{A44919EC-9A50-4629-9D84-CE16C9547B88}"/>
    <cellStyle name="20% - Accent1 5 2 5 2" xfId="31463" xr:uid="{FC4A4FBC-BA96-4264-B1C5-A86879E4A340}"/>
    <cellStyle name="20% - Accent1 5 2 5 2 2" xfId="22074" xr:uid="{C7918DE7-79F2-4FE2-927A-6E67450CE3EF}"/>
    <cellStyle name="20% - Accent1 5 2 5 3" xfId="31457" xr:uid="{99BB3906-77B4-4BE9-B286-37361CBEC50B}"/>
    <cellStyle name="20% - Accent1 5 2 6" xfId="31449" xr:uid="{710E3785-B419-4F83-8BDE-9F950A85F796}"/>
    <cellStyle name="20% - Accent1 5 2 6 2" xfId="33268" xr:uid="{4356BEBE-04AB-4399-B26C-B144296623B3}"/>
    <cellStyle name="20% - Accent1 5 2 7" xfId="31442" xr:uid="{0718E08B-644C-42D4-BB95-A5CF514E401D}"/>
    <cellStyle name="20% - Accent1 5 2 8" xfId="34795" xr:uid="{C655D051-7E11-41A1-B982-8E46358DDE38}"/>
    <cellStyle name="20% - Accent1 5 3" xfId="32339" xr:uid="{1B4D088D-A582-4221-8D9F-800439AA9AF6}"/>
    <cellStyle name="20% - Accent1 5 3 2" xfId="27043" xr:uid="{56F5305F-29BE-40E0-A8A7-044E3E108FF3}"/>
    <cellStyle name="20% - Accent1 5 3 2 2" xfId="21412" xr:uid="{DAA331BF-CE28-4FE4-A311-2E2431186B5A}"/>
    <cellStyle name="20% - Accent1 5 3 2 2 2" xfId="16104" xr:uid="{7FE6DDCB-5E48-471A-B1D2-2001FD3713BE}"/>
    <cellStyle name="20% - Accent1 5 3 2 2 2 2" xfId="32744" xr:uid="{6A1CB6D4-7A11-4F6D-9B56-5C73A4310DD9}"/>
    <cellStyle name="20% - Accent1 5 3 2 2 2 2 2" xfId="17743" xr:uid="{2D2E1C8C-C7B2-4E34-9957-4D7C6C3DBC4F}"/>
    <cellStyle name="20% - Accent1 5 3 2 2 2 3" xfId="32394" xr:uid="{0674D4D7-746D-46A4-89B3-EB446CF24A6B}"/>
    <cellStyle name="20% - Accent1 5 3 2 2 3" xfId="31429" xr:uid="{9F4B9581-451A-4629-998C-02B012E18B88}"/>
    <cellStyle name="20% - Accent1 5 3 2 2 3 2" xfId="32368" xr:uid="{FAB1D8E5-455C-4B08-818F-4BF6A5BAF1AA}"/>
    <cellStyle name="20% - Accent1 5 3 2 2 4" xfId="31428" xr:uid="{6A2070CF-86D6-49EC-9726-EAA95AFCB850}"/>
    <cellStyle name="20% - Accent1 5 3 2 3" xfId="12720" xr:uid="{0481E904-9EB3-4A18-9722-E38E34234FCD}"/>
    <cellStyle name="20% - Accent1 5 3 2 3 2" xfId="25874" xr:uid="{3D06669D-A495-48E4-8610-29C58E6950F2}"/>
    <cellStyle name="20% - Accent1 5 3 2 3 2 2" xfId="32340" xr:uid="{4DD6B264-7230-4EE3-81D6-0F4028CEAF67}"/>
    <cellStyle name="20% - Accent1 5 3 2 3 3" xfId="31415" xr:uid="{7791BDAF-6CAB-4B8E-BB91-CC3589644F91}"/>
    <cellStyle name="20% - Accent1 5 3 2 4" xfId="31414" xr:uid="{297EE920-1191-4516-A228-7B0534A90157}"/>
    <cellStyle name="20% - Accent1 5 3 2 4 2" xfId="31408" xr:uid="{E0B86D9B-ADE3-44B5-9AF8-7FE371A5FCBA}"/>
    <cellStyle name="20% - Accent1 5 3 2 5" xfId="31610" xr:uid="{806CB755-0B8A-4A18-86DB-E162B2AF29F2}"/>
    <cellStyle name="20% - Accent1 5 3 3" xfId="31398" xr:uid="{3FDB5381-4A5F-413A-8560-175444A00260}"/>
    <cellStyle name="20% - Accent1 5 3 3 2" xfId="15667" xr:uid="{FE5F45C9-A1B2-4C83-88ED-7E4FF3F35025}"/>
    <cellStyle name="20% - Accent1 5 3 3 2 2" xfId="31396" xr:uid="{3F9DB16B-5C57-4E91-A828-E3B64864AF43}"/>
    <cellStyle name="20% - Accent1 5 3 3 2 2 2" xfId="34114" xr:uid="{8C75E12B-2C87-4157-9C53-1C4F59757C47}"/>
    <cellStyle name="20% - Accent1 5 3 3 2 3" xfId="29679" xr:uid="{F9D7D610-2F1C-4B55-900B-F3C9A6F21D5D}"/>
    <cellStyle name="20% - Accent1 5 3 3 3" xfId="29475" xr:uid="{8AB2D551-21F4-4CF9-92BF-5B8FAF9B3D04}"/>
    <cellStyle name="20% - Accent1 5 3 3 3 2" xfId="31395" xr:uid="{07BF309C-3939-4EE1-8E26-A8F4080A900D}"/>
    <cellStyle name="20% - Accent1 5 3 3 4" xfId="31391" xr:uid="{FD7D447B-CDC5-4567-B4B3-059F875E6AAC}"/>
    <cellStyle name="20% - Accent1 5 3 4" xfId="23868" xr:uid="{73E4AE5D-EFCB-476C-88A5-EC71DE64A568}"/>
    <cellStyle name="20% - Accent1 5 3 4 2" xfId="33820" xr:uid="{3B3E17BC-11F0-415C-8DF4-76B3E225C5AD}"/>
    <cellStyle name="20% - Accent1 5 3 4 2 2" xfId="33756" xr:uid="{2F1851FE-F28E-4EDF-8B1C-7D70AD087EFB}"/>
    <cellStyle name="20% - Accent1 5 3 4 3" xfId="31399" xr:uid="{18F1BA46-AAF0-429B-AD10-B26E7D620EC7}"/>
    <cellStyle name="20% - Accent1 5 3 5" xfId="23242" xr:uid="{3F2E813A-A3ED-400A-980C-09EE7C9BD993}"/>
    <cellStyle name="20% - Accent1 5 3 5 2" xfId="33256" xr:uid="{5087798B-0FDB-446D-9D29-13D394CA68AC}"/>
    <cellStyle name="20% - Accent1 5 3 6" xfId="33380" xr:uid="{6CC063EA-2D57-47EA-92D3-9B522BCEC49F}"/>
    <cellStyle name="20% - Accent1 5 3 7" xfId="34997" xr:uid="{A14DC53C-14EB-46E7-A48A-9D944B099118}"/>
    <cellStyle name="20% - Accent1 5 4" xfId="31389" xr:uid="{4A22C903-769C-42C8-8229-37D177571124}"/>
    <cellStyle name="20% - Accent1 5 4 2" xfId="31385" xr:uid="{12EE7540-19C8-4140-919A-EEB4D026DF48}"/>
    <cellStyle name="20% - Accent1 5 4 2 2" xfId="12266" xr:uid="{5009AA1D-4FA0-404F-AEB3-2EA25B7891E8}"/>
    <cellStyle name="20% - Accent1 5 4 2 2 2" xfId="31376" xr:uid="{489DFE5C-241F-4089-9C3F-F5778BC1B7E4}"/>
    <cellStyle name="20% - Accent1 5 4 2 2 2 2" xfId="34298" xr:uid="{F905378B-C36A-4C0B-88D9-20757B56642B}"/>
    <cellStyle name="20% - Accent1 5 4 2 2 3" xfId="31375" xr:uid="{F099C53B-2FD2-42B7-8ABA-2BC02AF6FC54}"/>
    <cellStyle name="20% - Accent1 5 4 2 3" xfId="31141" xr:uid="{FB643201-B4A6-419F-A710-09DEBDE3731B}"/>
    <cellStyle name="20% - Accent1 5 4 2 3 2" xfId="32824" xr:uid="{3C7451DC-2E6B-401C-92EF-0A12552DB7A6}"/>
    <cellStyle name="20% - Accent1 5 4 2 4" xfId="27095" xr:uid="{C3597696-8DBA-4781-8133-689E85B03FBA}"/>
    <cellStyle name="20% - Accent1 5 4 3" xfId="31371" xr:uid="{34846121-4382-4456-90CC-67F0B5495987}"/>
    <cellStyle name="20% - Accent1 5 4 3 2" xfId="31362" xr:uid="{3672967E-BAE8-497B-9197-D77D5C90F5AC}"/>
    <cellStyle name="20% - Accent1 5 4 3 2 2" xfId="25208" xr:uid="{9C8081EF-16B4-4620-8B38-FF3A2089D72B}"/>
    <cellStyle name="20% - Accent1 5 4 3 3" xfId="30786" xr:uid="{8C3DFD40-88C4-4527-9F53-1305FB599F87}"/>
    <cellStyle name="20% - Accent1 5 4 4" xfId="33964" xr:uid="{450B12E5-C6D3-4F7A-AEFD-456A0D0F0571}"/>
    <cellStyle name="20% - Accent1 5 4 4 2" xfId="27050" xr:uid="{7E7E5864-01AC-4449-A889-29E48EFDA3D8}"/>
    <cellStyle name="20% - Accent1 5 4 5" xfId="33225" xr:uid="{AE907EBE-E302-477C-98D8-3881AD71012E}"/>
    <cellStyle name="20% - Accent1 5 4 6" xfId="35203" xr:uid="{8AADCEBE-A1C0-4E5B-93DE-C41F0AD07F8D}"/>
    <cellStyle name="20% - Accent1 5 5" xfId="26953" xr:uid="{5AB154B4-5197-4A9E-A901-DB73DB078375}"/>
    <cellStyle name="20% - Accent1 5 5 2" xfId="31351" xr:uid="{68A2534A-6D32-4E90-AFB5-5A3F4C725469}"/>
    <cellStyle name="20% - Accent1 5 5 2 2" xfId="27039" xr:uid="{9F17B526-3874-4AA8-8AEF-7761E4FA2BAB}"/>
    <cellStyle name="20% - Accent1 5 5 2 2 2" xfId="19941" xr:uid="{A82EFFFD-90B3-44CE-BD00-686E21F8DFD6}"/>
    <cellStyle name="20% - Accent1 5 5 2 3" xfId="31350" xr:uid="{B5E4A310-4467-4EF6-A4BF-3EA2032668CE}"/>
    <cellStyle name="20% - Accent1 5 5 3" xfId="29888" xr:uid="{BC5F8F73-3531-4946-B85F-7213950376F6}"/>
    <cellStyle name="20% - Accent1 5 5 3 2" xfId="27035" xr:uid="{830613AC-5949-4FF0-897A-3A563DFCC9AC}"/>
    <cellStyle name="20% - Accent1 5 5 4" xfId="29887" xr:uid="{D010F0B6-7E95-4878-868E-C423BED6E9C3}"/>
    <cellStyle name="20% - Accent1 5 5 5" xfId="35432" xr:uid="{7DEEE8DA-F743-497E-AF5A-4642127732E4}"/>
    <cellStyle name="20% - Accent1 5 6" xfId="33178" xr:uid="{CB132363-0259-428A-ADC7-062B61698A87}"/>
    <cellStyle name="20% - Accent1 5 6 2" xfId="33702" xr:uid="{A0DB9308-2BC9-4767-BA2B-95821F617E4A}"/>
    <cellStyle name="20% - Accent1 5 6 2 2" xfId="27025" xr:uid="{4F8504F4-14C0-4517-BF73-763C49383799}"/>
    <cellStyle name="20% - Accent1 5 6 3" xfId="29879" xr:uid="{E3803791-51E0-4CCF-BC71-7D8A7CCF250D}"/>
    <cellStyle name="20% - Accent1 5 6 4" xfId="36304" xr:uid="{275090E4-17DE-48B0-BE4B-310CDE349838}"/>
    <cellStyle name="20% - Accent1 5 7" xfId="22495" xr:uid="{536ECEE2-9D69-4BAC-9D6C-543BE1C584B0}"/>
    <cellStyle name="20% - Accent1 5 7 2" xfId="31474" xr:uid="{C8C394B7-2FFF-4C60-9A88-729ECE43473D}"/>
    <cellStyle name="20% - Accent1 5 7 3" xfId="36590" xr:uid="{90250F97-7B07-416F-BB5C-52ECFEB06FAB}"/>
    <cellStyle name="20% - Accent1 5 8" xfId="33859" xr:uid="{1D45965B-1C45-4CDC-9F1B-B975C56DF054}"/>
    <cellStyle name="20% - Accent1 5 8 2" xfId="37475" xr:uid="{FE348978-BD76-4732-B54C-C55660927333}"/>
    <cellStyle name="20% - Accent1 5 9" xfId="34576" xr:uid="{396F17EE-1EE8-4C12-B81D-90A6AC36D503}"/>
    <cellStyle name="20% - Accent1 6" xfId="279" xr:uid="{F4FB294F-52C7-4A2A-B1F2-27D24D15B833}"/>
    <cellStyle name="20% - Accent1 6 2" xfId="29834" xr:uid="{28AF6200-6895-4C34-9786-74161F506EFC}"/>
    <cellStyle name="20% - Accent1 6 2 2" xfId="31326" xr:uid="{D35DCA55-72A8-4883-8305-ACC81876F561}"/>
    <cellStyle name="20% - Accent1 6 2 2 2" xfId="18016" xr:uid="{175F3055-F0B6-42E1-AF9F-9E3A622006AD}"/>
    <cellStyle name="20% - Accent1 6 2 2 2 2" xfId="26607" xr:uid="{3E36CF9A-7549-4FA4-B3CC-C7FB4CB118F7}"/>
    <cellStyle name="20% - Accent1 6 2 2 2 2 2" xfId="5352" xr:uid="{68628E1F-C387-4B5E-B0C6-8FAE9B99F3B1}"/>
    <cellStyle name="20% - Accent1 6 2 2 2 2 2 2" xfId="29762" xr:uid="{6D6E3B4F-8D55-40BA-9F3A-33FBF2CF6C0B}"/>
    <cellStyle name="20% - Accent1 6 2 2 2 2 3" xfId="18186" xr:uid="{5B2E2B94-3965-4749-BB89-9910FC83520A}"/>
    <cellStyle name="20% - Accent1 6 2 2 2 3" xfId="31303" xr:uid="{B4597F6F-9852-4C19-B3FD-F1D507FA9E22}"/>
    <cellStyle name="20% - Accent1 6 2 2 2 3 2" xfId="33747" xr:uid="{9D4313DD-4700-4E56-BC03-2FBAFDECF81B}"/>
    <cellStyle name="20% - Accent1 6 2 2 2 4" xfId="31300" xr:uid="{716F540F-D528-4944-AD6B-D1235EF02AE4}"/>
    <cellStyle name="20% - Accent1 6 2 2 3" xfId="23392" xr:uid="{AAFB3EF3-1FBA-4110-9CA7-5EAA52697201}"/>
    <cellStyle name="20% - Accent1 6 2 2 3 2" xfId="25545" xr:uid="{518FD9A0-5D12-4B2F-AC40-F14CE4456EF3}"/>
    <cellStyle name="20% - Accent1 6 2 2 3 2 2" xfId="31299" xr:uid="{DA6522B2-97CA-41D3-AFA5-C9B6445EA429}"/>
    <cellStyle name="20% - Accent1 6 2 2 3 3" xfId="31293" xr:uid="{7EC179BB-4370-4B2A-B0B7-21F781495D20}"/>
    <cellStyle name="20% - Accent1 6 2 2 4" xfId="32550" xr:uid="{31FD40F0-25E4-4838-8627-229ACDB31DD9}"/>
    <cellStyle name="20% - Accent1 6 2 2 4 2" xfId="31292" xr:uid="{555E6F78-3E51-4EA8-9347-A11857104874}"/>
    <cellStyle name="20% - Accent1 6 2 2 5" xfId="31579" xr:uid="{59E64BDF-746C-4897-AF08-A3C7BEBBB6C9}"/>
    <cellStyle name="20% - Accent1 6 2 3" xfId="31290" xr:uid="{4C5125D7-2E95-476B-BB36-4DDF467DF4BC}"/>
    <cellStyle name="20% - Accent1 6 2 3 2" xfId="25777" xr:uid="{DD34E94C-34C3-4448-B06C-8021C343DE55}"/>
    <cellStyle name="20% - Accent1 6 2 3 2 2" xfId="27123" xr:uid="{BC6F2561-17BD-4615-91D4-2CBDA9C4759F}"/>
    <cellStyle name="20% - Accent1 6 2 3 2 2 2" xfId="28366" xr:uid="{A9AD75F5-AC34-4989-9B32-95C35DF222AD}"/>
    <cellStyle name="20% - Accent1 6 2 3 2 3" xfId="27120" xr:uid="{775F68D0-C426-46C5-9888-CDF4A1ABA762}"/>
    <cellStyle name="20% - Accent1 6 2 3 3" xfId="25533" xr:uid="{510849D7-3C5B-449A-9453-283CE491D111}"/>
    <cellStyle name="20% - Accent1 6 2 3 3 2" xfId="7684" xr:uid="{CE034851-2D32-47D1-A2C5-569FA6DBD2DE}"/>
    <cellStyle name="20% - Accent1 6 2 3 4" xfId="31272" xr:uid="{554E6D5A-733D-441D-8D8D-4F27A251B3D2}"/>
    <cellStyle name="20% - Accent1 6 2 4" xfId="23843" xr:uid="{722EDC80-C372-4734-98A8-E73AC478B9B6}"/>
    <cellStyle name="20% - Accent1 6 2 4 2" xfId="31267" xr:uid="{5AC00B5F-9ED3-4DFA-A86E-0546DB07E0C4}"/>
    <cellStyle name="20% - Accent1 6 2 4 2 2" xfId="26076" xr:uid="{BE83CB44-6A33-4018-A0DD-95E0E022BFE2}"/>
    <cellStyle name="20% - Accent1 6 2 4 3" xfId="31254" xr:uid="{F720B79A-D89B-47ED-894E-AF93950BDCF2}"/>
    <cellStyle name="20% - Accent1 6 2 5" xfId="31251" xr:uid="{FFD7866A-251C-48B4-8D7C-81CC9A1879CA}"/>
    <cellStyle name="20% - Accent1 6 2 5 2" xfId="31242" xr:uid="{739D0FE1-DF65-4C19-B4C6-E8F965565741}"/>
    <cellStyle name="20% - Accent1 6 2 6" xfId="17574" xr:uid="{170F8DE4-F75E-4C84-B9E3-B14B011FE8EC}"/>
    <cellStyle name="20% - Accent1 6 2 7" xfId="34814" xr:uid="{0C224F0A-C485-47A5-88DB-7A34BB6A285D}"/>
    <cellStyle name="20% - Accent1 6 3" xfId="31233" xr:uid="{5A2827A6-DFE6-4E69-9F72-045D48E186DA}"/>
    <cellStyle name="20% - Accent1 6 3 2" xfId="30253" xr:uid="{02AA5780-2F24-4AB0-948C-2A3B3C9BD60B}"/>
    <cellStyle name="20% - Accent1 6 3 2 2" xfId="11982" xr:uid="{D0707DC5-3610-4870-8309-8572309BD95D}"/>
    <cellStyle name="20% - Accent1 6 3 2 2 2" xfId="10275" xr:uid="{5A6E7112-6029-4481-A73C-6A5B3911F0A8}"/>
    <cellStyle name="20% - Accent1 6 3 2 2 2 2" xfId="31220" xr:uid="{8BF7737B-1A8F-4456-A37F-69315765C0DA}"/>
    <cellStyle name="20% - Accent1 6 3 2 2 3" xfId="25373" xr:uid="{86CDA872-F775-4087-BD24-872E6922C3A7}"/>
    <cellStyle name="20% - Accent1 6 3 2 3" xfId="10273" xr:uid="{CA9CC436-65A5-4A05-B74E-3F34A91897C1}"/>
    <cellStyle name="20% - Accent1 6 3 2 3 2" xfId="31217" xr:uid="{5B1AC455-5721-4289-A1E5-C75F8EDBD357}"/>
    <cellStyle name="20% - Accent1 6 3 2 4" xfId="29027" xr:uid="{833474C1-5FEF-4683-9F87-4786D763177E}"/>
    <cellStyle name="20% - Accent1 6 3 3" xfId="31214" xr:uid="{69EFA6EB-B187-4367-B7AE-DFCD304E7BA7}"/>
    <cellStyle name="20% - Accent1 6 3 3 2" xfId="15629" xr:uid="{3EC32210-25D7-44A1-B14C-1F8EA726F88B}"/>
    <cellStyle name="20% - Accent1 6 3 3 2 2" xfId="24360" xr:uid="{BD9A9AEF-0D56-4720-8511-6A42A3EF08D5}"/>
    <cellStyle name="20% - Accent1 6 3 3 3" xfId="29020" xr:uid="{E9754C6B-657F-4871-A0D7-96078089A53D}"/>
    <cellStyle name="20% - Accent1 6 3 4" xfId="34084" xr:uid="{DB59C9F1-93ED-46E6-B52F-898DA07BA349}"/>
    <cellStyle name="20% - Accent1 6 3 4 2" xfId="33489" xr:uid="{7EF7D266-9E54-4A8A-8178-075C31EF96DA}"/>
    <cellStyle name="20% - Accent1 6 3 5" xfId="31497" xr:uid="{13D577DA-2D75-4071-85FA-17651A900069}"/>
    <cellStyle name="20% - Accent1 6 3 6" xfId="35016" xr:uid="{28F217CF-6B65-432F-977A-8D938C17CE21}"/>
    <cellStyle name="20% - Accent1 6 4" xfId="28953" xr:uid="{8BC7A792-361B-4751-9EE2-BC85F3624416}"/>
    <cellStyle name="20% - Accent1 6 4 2" xfId="31206" xr:uid="{C1043627-0D89-4A5C-AB41-5B050C8701E5}"/>
    <cellStyle name="20% - Accent1 6 4 2 2" xfId="9524" xr:uid="{44DB9E6D-BB31-4569-9570-158DFD2E8B4E}"/>
    <cellStyle name="20% - Accent1 6 4 2 2 2" xfId="31201" xr:uid="{9CA0CCD0-A83E-4542-B0A0-E8EE151D855B}"/>
    <cellStyle name="20% - Accent1 6 4 2 3" xfId="29010" xr:uid="{204F2516-BA3F-4914-8EA6-B42396546586}"/>
    <cellStyle name="20% - Accent1 6 4 3" xfId="30390" xr:uid="{A3085CBA-3611-4853-AC2B-81381B9917AB}"/>
    <cellStyle name="20% - Accent1 6 4 3 2" xfId="27002" xr:uid="{68F2A117-FC1A-43D3-B108-F178C5E01977}"/>
    <cellStyle name="20% - Accent1 6 4 4" xfId="33283" xr:uid="{6DBD9834-D2BC-4699-BF5F-C1100ECBB25C}"/>
    <cellStyle name="20% - Accent1 6 4 5" xfId="35222" xr:uid="{FE6431BE-ABAE-4AE6-A115-A0043966D576}"/>
    <cellStyle name="20% - Accent1 6 5" xfId="33016" xr:uid="{17E5C455-9CA1-4E89-B097-76B03D4F0A89}"/>
    <cellStyle name="20% - Accent1 6 5 2" xfId="30388" xr:uid="{7DFDB722-CA97-455F-97E3-FB89FD884CC1}"/>
    <cellStyle name="20% - Accent1 6 5 2 2" xfId="26990" xr:uid="{DEB22F3C-3690-43E3-B3B9-4EA6A157D256}"/>
    <cellStyle name="20% - Accent1 6 5 3" xfId="29869" xr:uid="{029F1738-5C59-467E-9884-7C8C03FFC8F5}"/>
    <cellStyle name="20% - Accent1 6 5 4" xfId="35451" xr:uid="{AAC919B8-C319-4F9A-94BC-5D3567A0A325}"/>
    <cellStyle name="20% - Accent1 6 6" xfId="8366" xr:uid="{CF15509C-A9B0-4B9A-B73F-25CD421EE5B3}"/>
    <cellStyle name="20% - Accent1 6 6 2" xfId="31180" xr:uid="{27E0F3B0-F20E-4B4D-AAE5-1B216A545913}"/>
    <cellStyle name="20% - Accent1 6 6 3" xfId="36323" xr:uid="{B14D3727-977A-4E18-9581-582F7DE79168}"/>
    <cellStyle name="20% - Accent1 6 7" xfId="33689" xr:uid="{2A6DC5F7-9AE6-4690-B8FE-BF2FC95CF4D1}"/>
    <cellStyle name="20% - Accent1 6 7 2" xfId="36609" xr:uid="{B6DF81FA-F95C-47D4-9037-D25B5F6FA8A1}"/>
    <cellStyle name="20% - Accent1 6 8" xfId="34590" xr:uid="{602246C1-9988-42D0-8FCF-95183610DD26}"/>
    <cellStyle name="20% - Accent1 6 9" xfId="13855" xr:uid="{09B71B3C-6773-426B-BD3B-E170ED076AE2}"/>
    <cellStyle name="20% - Accent1 7" xfId="299" xr:uid="{586FFDDB-C877-4E02-96AD-0B59DB528D1A}"/>
    <cellStyle name="20% - Accent1 7 2" xfId="29543" xr:uid="{19BDF226-A175-4445-8633-4BB6ACCA8E11}"/>
    <cellStyle name="20% - Accent1 7 2 2" xfId="31179" xr:uid="{12213769-2093-4615-811A-5503AB2FE007}"/>
    <cellStyle name="20% - Accent1 7 2 2 2" xfId="26831" xr:uid="{FEFAE085-449A-4F52-90DC-B4DF0198E5BB}"/>
    <cellStyle name="20% - Accent1 7 2 2 2 2" xfId="33309" xr:uid="{05429E16-670E-44A1-AEA2-DF6E90931F32}"/>
    <cellStyle name="20% - Accent1 7 2 2 2 2 2" xfId="33301" xr:uid="{0CA3A5F0-DAD8-41C9-BE1D-F977AA96E9C2}"/>
    <cellStyle name="20% - Accent1 7 2 2 2 3" xfId="33292" xr:uid="{12826188-DB86-476C-B34F-82A5E5773D49}"/>
    <cellStyle name="20% - Accent1 7 2 2 3" xfId="32794" xr:uid="{6920F5BC-8258-459D-B27B-5EE1792C5FC5}"/>
    <cellStyle name="20% - Accent1 7 2 2 3 2" xfId="31694" xr:uid="{CD4111A0-32B1-46A9-912B-9EA765384E9B}"/>
    <cellStyle name="20% - Accent1 7 2 2 4" xfId="33012" xr:uid="{D144937C-A47E-44F8-B715-A6973965C767}"/>
    <cellStyle name="20% - Accent1 7 2 3" xfId="31174" xr:uid="{8FAC0C83-8DA0-4A1D-B5B9-00CFB2F5747B}"/>
    <cellStyle name="20% - Accent1 7 2 3 2" xfId="33118" xr:uid="{986BF586-4C40-4748-A8DE-7FFB6874E4F7}"/>
    <cellStyle name="20% - Accent1 7 2 3 2 2" xfId="30685" xr:uid="{CAA59319-4ACA-4AA8-B0AF-0CEB8F712843}"/>
    <cellStyle name="20% - Accent1 7 2 3 3" xfId="33208" xr:uid="{81E3B7B7-6459-4267-A7A2-15E3776D44F8}"/>
    <cellStyle name="20% - Accent1 7 2 4" xfId="27914" xr:uid="{5FFD37DE-4141-4168-9E87-298C77BE4AA6}"/>
    <cellStyle name="20% - Accent1 7 2 4 2" xfId="27909" xr:uid="{840BA99E-FA00-4B51-A2F0-AD148B55A2CE}"/>
    <cellStyle name="20% - Accent1 7 2 5" xfId="25035" xr:uid="{A89592AA-47C4-4432-9D9F-475707D2A049}"/>
    <cellStyle name="20% - Accent1 7 2 6" xfId="34833" xr:uid="{17CC157D-6276-47C0-961C-B80B285D102C}"/>
    <cellStyle name="20% - Accent1 7 3" xfId="29530" xr:uid="{6D705138-9645-47B3-9DB3-F9B9C3F57A4E}"/>
    <cellStyle name="20% - Accent1 7 3 2" xfId="28725" xr:uid="{73D44791-8C19-4E33-A34E-53AA2FD78D20}"/>
    <cellStyle name="20% - Accent1 7 3 2 2" xfId="8405" xr:uid="{C1099C8A-6410-466A-9CBD-8B49563DF6D6}"/>
    <cellStyle name="20% - Accent1 7 3 2 2 2" xfId="7924" xr:uid="{F9EDBCDB-B4EB-486A-84CB-4625D141F766}"/>
    <cellStyle name="20% - Accent1 7 3 2 3" xfId="7921" xr:uid="{A09E6E81-20C5-4625-B876-A0C83458293B}"/>
    <cellStyle name="20% - Accent1 7 3 3" xfId="31163" xr:uid="{60411542-84A1-4A8B-81A9-FAA979531843}"/>
    <cellStyle name="20% - Accent1 7 3 3 2" xfId="15601" xr:uid="{99F2553F-F75E-4C39-94E1-2E455E49B2CB}"/>
    <cellStyle name="20% - Accent1 7 3 4" xfId="27902" xr:uid="{517DF642-CD85-49AD-BF04-EE419B2D6FC3}"/>
    <cellStyle name="20% - Accent1 7 3 5" xfId="35035" xr:uid="{4F14DCC1-066D-46D4-BAB3-5076F54852AB}"/>
    <cellStyle name="20% - Accent1 7 4" xfId="29562" xr:uid="{2B71CDBB-9FB9-4BD9-A900-ABC5ED44A49B}"/>
    <cellStyle name="20% - Accent1 7 4 2" xfId="30385" xr:uid="{4FEC0906-0E25-40AA-88A4-B741D51A75ED}"/>
    <cellStyle name="20% - Accent1 7 4 2 2" xfId="7592" xr:uid="{B373C84B-2B41-4A94-A14C-872005B3D3CA}"/>
    <cellStyle name="20% - Accent1 7 4 3" xfId="31160" xr:uid="{09BBCC12-2A7A-4CD3-A079-AC2D3DB2DAD1}"/>
    <cellStyle name="20% - Accent1 7 4 4" xfId="35242" xr:uid="{239C6ED0-400E-44A3-A9F7-AF1AF798D31E}"/>
    <cellStyle name="20% - Accent1 7 5" xfId="8363" xr:uid="{8C7AB2EF-B224-44E8-A947-3E1EB1406004}"/>
    <cellStyle name="20% - Accent1 7 5 2" xfId="20379" xr:uid="{BE607978-0BFF-40F9-AAB6-F87FCC4127B7}"/>
    <cellStyle name="20% - Accent1 7 5 3" xfId="35471" xr:uid="{48B7DDF4-798E-407B-9C96-ACCAB5AC8FBC}"/>
    <cellStyle name="20% - Accent1 7 6" xfId="33686" xr:uid="{5CD315CA-0124-41A5-9F47-B9390F864535}"/>
    <cellStyle name="20% - Accent1 7 6 2" xfId="36343" xr:uid="{2F1E2058-7267-4B66-BD0B-DED645DDD6DB}"/>
    <cellStyle name="20% - Accent1 7 7" xfId="34604" xr:uid="{C9BA96F3-ECE4-44BC-B612-819CB6C411B8}"/>
    <cellStyle name="20% - Accent1 7 8" xfId="29551" xr:uid="{B8EF393C-8561-4F65-886C-4469A42705F4}"/>
    <cellStyle name="20% - Accent1 7 8 2" xfId="37501" xr:uid="{D8A69142-77B4-4DA3-ABA2-35E686B6B95B}"/>
    <cellStyle name="20% - Accent1 8" xfId="319" xr:uid="{1D7A5E93-BACA-4A82-9533-AE3A1AB4C7B0}"/>
    <cellStyle name="20% - Accent1 8 2" xfId="23688" xr:uid="{973484EC-E40B-4326-9F48-A1A7FC471B6D}"/>
    <cellStyle name="20% - Accent1 8 2 2" xfId="19885" xr:uid="{8FCC911C-7D98-4AB4-9ECE-7DB20AFFC7A5}"/>
    <cellStyle name="20% - Accent1 8 2 2 2" xfId="32197" xr:uid="{E6F8449A-FFC5-41C8-9EB6-4B26E44CB89A}"/>
    <cellStyle name="20% - Accent1 8 2 2 2 2" xfId="32191" xr:uid="{F3D8A50C-6C2D-4E09-9EE0-E987F2224A26}"/>
    <cellStyle name="20% - Accent1 8 2 2 3" xfId="32184" xr:uid="{126D49C5-FFA9-4C37-A3AC-E40E559B7249}"/>
    <cellStyle name="20% - Accent1 8 2 3" xfId="26857" xr:uid="{FB5086A8-0E29-4CB4-81C9-76B6906E0256}"/>
    <cellStyle name="20% - Accent1 8 2 3 2" xfId="33045" xr:uid="{7D205C1E-9946-44E2-A7F5-14BB4E6E0418}"/>
    <cellStyle name="20% - Accent1 8 2 4" xfId="30133" xr:uid="{A49FA2FE-262C-4F6E-A4DD-E76A0BC78848}"/>
    <cellStyle name="20% - Accent1 8 2 5" xfId="34852" xr:uid="{7EA0966D-D321-4689-89CA-6E34CCE6A439}"/>
    <cellStyle name="20% - Accent1 8 3" xfId="32972" xr:uid="{A42421B7-CBDC-45AD-A220-466F50DF48BB}"/>
    <cellStyle name="20% - Accent1 8 3 2" xfId="17661" xr:uid="{3E748C98-8556-47A0-8983-1FFF33770899}"/>
    <cellStyle name="20% - Accent1 8 3 2 2" xfId="6350" xr:uid="{DD15958B-4298-4A3B-9277-A8B79C8A6BDD}"/>
    <cellStyle name="20% - Accent1 8 3 3" xfId="27520" xr:uid="{83897B29-06B3-409D-9902-032DDDE7158E}"/>
    <cellStyle name="20% - Accent1 8 3 4" xfId="35054" xr:uid="{EB9539D9-B7A2-42B4-BECC-9D279A14869B}"/>
    <cellStyle name="20% - Accent1 8 4" xfId="31818" xr:uid="{E8856BF1-0636-4BDF-8EC6-30F4D4E833E1}"/>
    <cellStyle name="20% - Accent1 8 4 2" xfId="34032" xr:uid="{A93BBB9A-F148-4F91-9439-1F7355FFE623}"/>
    <cellStyle name="20% - Accent1 8 4 3" xfId="35261" xr:uid="{F15E8EA7-FBA5-4A99-8407-746F3CF7E4B4}"/>
    <cellStyle name="20% - Accent1 8 5" xfId="33451" xr:uid="{0A781D30-1D00-49AD-9A0F-63F226304F74}"/>
    <cellStyle name="20% - Accent1 8 5 2" xfId="35490" xr:uid="{6D02A1F6-4B73-4806-910F-938CAD0A60F2}"/>
    <cellStyle name="20% - Accent1 8 6" xfId="34618" xr:uid="{168E3B6E-7236-4263-868B-3235E36B5463}"/>
    <cellStyle name="20% - Accent1 8 7" xfId="31481" xr:uid="{B20B74C3-A68F-49AC-95AD-9CEC2F89E8FC}"/>
    <cellStyle name="20% - Accent1 8 7 2" xfId="36635" xr:uid="{8E8AA111-F502-4F7E-918B-4209E5CA494B}"/>
    <cellStyle name="20% - Accent1 8 8" xfId="37520" xr:uid="{3713531F-61FE-4EBC-9F4F-22A560785E95}"/>
    <cellStyle name="20% - Accent1 9" xfId="339" xr:uid="{1D697CE9-1093-4AFF-93B7-59591E71A1EA}"/>
    <cellStyle name="20% - Accent1 9 2" xfId="32839" xr:uid="{1FDAE6C9-6782-46C7-B2D9-D85428CB661A}"/>
    <cellStyle name="20% - Accent1 9 2 2" xfId="25785" xr:uid="{F7509DFF-48D9-4244-87B9-202DFEFECD65}"/>
    <cellStyle name="20% - Accent1 9 2 2 2" xfId="32378" xr:uid="{A47A8074-6891-497E-B0D5-46DBE65E865C}"/>
    <cellStyle name="20% - Accent1 9 2 3" xfId="25867" xr:uid="{E657C8EA-BA23-4910-BEFE-0F09F70F5B2F}"/>
    <cellStyle name="20% - Accent1 9 2 4" xfId="34872" xr:uid="{3B16C2EF-BD27-40C8-8E24-B3D2398DB0EC}"/>
    <cellStyle name="20% - Accent1 9 3" xfId="34362" xr:uid="{8216B4DC-97E1-4B76-9A35-14DB2882F32E}"/>
    <cellStyle name="20% - Accent1 9 3 2" xfId="34184" xr:uid="{DB5B0C8E-1EB9-4015-B0B9-EBA71E85A75C}"/>
    <cellStyle name="20% - Accent1 9 3 3" xfId="35073" xr:uid="{0578EE37-0B22-4A4C-ACB1-C72068E3A888}"/>
    <cellStyle name="20% - Accent1 9 4" xfId="33977" xr:uid="{A02C38F7-815F-4ECF-9DF6-214668C4A3B1}"/>
    <cellStyle name="20% - Accent1 9 4 2" xfId="35281" xr:uid="{E1CF2A80-D96B-4DC2-8B9D-F2122A2E383E}"/>
    <cellStyle name="20% - Accent1 9 5" xfId="34632" xr:uid="{661FB453-9873-4DDA-AC78-941EADF188A7}"/>
    <cellStyle name="20% - Accent1 9 6" xfId="31310" xr:uid="{3916DBFE-D651-48E0-BCBA-46600913AD0D}"/>
    <cellStyle name="20% - Accent1 9 6 2" xfId="36369" xr:uid="{3E27C17B-2815-4404-9B8F-654701C1663A}"/>
    <cellStyle name="20% - Accent1 9 7" xfId="36655" xr:uid="{2BC85AD0-918C-4E95-B4E8-86C370CB3735}"/>
    <cellStyle name="20% - Accent1 9 8" xfId="37540" xr:uid="{EC1D2CCA-F71B-4602-BC1E-B9B021F5CE42}"/>
    <cellStyle name="20% - Accent2" xfId="26" builtinId="34" customBuiltin="1"/>
    <cellStyle name="20% - Accent2 10" xfId="180" xr:uid="{458C503E-410C-404D-9E43-2FC48B36EB7D}"/>
    <cellStyle name="20% - Accent2 10 2" xfId="28605" xr:uid="{17A9085F-202C-4D7F-90A2-DB59DEDB3F66}"/>
    <cellStyle name="20% - Accent2 10 2 2" xfId="25195" xr:uid="{4DA52F91-7278-448C-9AB1-34B40695D174}"/>
    <cellStyle name="20% - Accent2 10 2 3" xfId="34893" xr:uid="{E4F7F691-AB4A-4CD3-A8E1-8E9CC9AF3BA2}"/>
    <cellStyle name="20% - Accent2 10 3" xfId="25191" xr:uid="{24432820-9213-419E-B90C-2763000EF542}"/>
    <cellStyle name="20% - Accent2 10 3 2" xfId="35095" xr:uid="{0315D86D-6890-4541-A989-CB78DBFDF2A5}"/>
    <cellStyle name="20% - Accent2 10 4" xfId="34521" xr:uid="{74DA8EBD-46DC-4768-91A6-EF44D85D57B8}"/>
    <cellStyle name="20% - Accent2 10 5" xfId="27390" xr:uid="{6C633154-97D6-44C1-AC77-1222E70C698C}"/>
    <cellStyle name="20% - Accent2 10 5 2" xfId="35518" xr:uid="{C2470DAC-BD6C-4D32-AC1A-AB886C6F8223}"/>
    <cellStyle name="20% - Accent2 10 6" xfId="36391" xr:uid="{52A34867-E1C3-45AD-B3EA-A571B4F996E1}"/>
    <cellStyle name="20% - Accent2 10 7" xfId="36677" xr:uid="{F69DE521-E964-4C34-964A-2F2352CC8FFF}"/>
    <cellStyle name="20% - Accent2 10 8" xfId="37562" xr:uid="{F5B849D0-E7E1-43B2-8D46-44DC068878EA}"/>
    <cellStyle name="20% - Accent2 11" xfId="26645" xr:uid="{43CA0540-1A43-4887-930C-D68B77DEC1A4}"/>
    <cellStyle name="20% - Accent2 11 2" xfId="26636" xr:uid="{19C2C3A2-8E55-4109-BD74-CE1837D63AC9}"/>
    <cellStyle name="20% - Accent2 11 2 2" xfId="35114" xr:uid="{4263FBB4-FE7D-46C1-A3C5-73E1013ABCFE}"/>
    <cellStyle name="20% - Accent2 11 3" xfId="34690" xr:uid="{ABE22275-B090-4FAE-B960-95DC590BB72A}"/>
    <cellStyle name="20% - Accent2 11 4" xfId="35538" xr:uid="{A4F6AD3B-0A6C-4007-A623-CBFF118B1BEC}"/>
    <cellStyle name="20% - Accent2 11 5" xfId="36411" xr:uid="{602D025C-8534-490F-BBFA-247A6A8F3775}"/>
    <cellStyle name="20% - Accent2 11 6" xfId="36697" xr:uid="{86A80F9E-9EC2-4E69-A31F-6B350F80F4D2}"/>
    <cellStyle name="20% - Accent2 11 7" xfId="37582" xr:uid="{693550DB-62DF-4AC9-83E7-EE52CA261547}"/>
    <cellStyle name="20% - Accent2 12" xfId="30673" xr:uid="{DB7EF990-6098-4E5B-8229-79BB1B7B67D1}"/>
    <cellStyle name="20% - Accent2 12 2" xfId="34704" xr:uid="{9FAF8B47-ADCA-4B1B-8DC2-0F8C4F352C50}"/>
    <cellStyle name="20% - Accent2 12 3" xfId="35317" xr:uid="{FC2000E1-772F-4042-A729-DE0CAE958F8B}"/>
    <cellStyle name="20% - Accent2 12 4" xfId="35557" xr:uid="{D1F4807A-2B7A-4659-93F4-E02F813587F5}"/>
    <cellStyle name="20% - Accent2 12 5" xfId="36430" xr:uid="{A121B3CC-FDCA-4FDB-9EA4-B4000CB57D10}"/>
    <cellStyle name="20% - Accent2 12 6" xfId="36716" xr:uid="{68C352A8-D8DC-44D9-BEB4-E90E34031F18}"/>
    <cellStyle name="20% - Accent2 12 7" xfId="37601" xr:uid="{A3F8E793-9D5E-4666-9E11-1FBD825F573D}"/>
    <cellStyle name="20% - Accent2 13" xfId="31154" xr:uid="{81121D06-2EDD-4A84-AC43-250271A9BEDE}"/>
    <cellStyle name="20% - Accent2 13 2" xfId="34732" xr:uid="{54FE4E79-1436-4610-8320-2014DA5F7DD4}"/>
    <cellStyle name="20% - Accent2 13 3" xfId="35576" xr:uid="{0CEC4BA4-E2D7-495A-B579-C4BFEE10C744}"/>
    <cellStyle name="20% - Accent2 13 4" xfId="36451" xr:uid="{CEF7D26D-AE43-4E0E-AE2C-F1C88775C2FA}"/>
    <cellStyle name="20% - Accent2 13 5" xfId="36737" xr:uid="{CFCB195F-3362-4D63-95CA-869E8AC6EDF8}"/>
    <cellStyle name="20% - Accent2 13 6" xfId="37622" xr:uid="{D646C935-38A8-4A01-AC8C-9977EE0366C5}"/>
    <cellStyle name="20% - Accent2 14" xfId="31152" xr:uid="{DB080C13-554D-48E1-B4CA-D87AE7CC1D12}"/>
    <cellStyle name="20% - Accent2 14 2" xfId="34922" xr:uid="{32AB0578-C188-4B4F-B2A8-5F687E23CF7C}"/>
    <cellStyle name="20% - Accent2 14 3" xfId="36753" xr:uid="{FB4DDDFE-6BE6-4144-B1F9-4C07902ABBE9}"/>
    <cellStyle name="20% - Accent2 14 4" xfId="37638" xr:uid="{035FFFDE-B4A1-43CB-AA1B-CF52C7CC8EC1}"/>
    <cellStyle name="20% - Accent2 15" xfId="34647" xr:uid="{09B763AC-2B68-45E9-85AF-7D77996D7E5A}"/>
    <cellStyle name="20% - Accent2 15 2" xfId="36476" xr:uid="{CB2F90F4-98E9-4123-8A84-C123D390AEA5}"/>
    <cellStyle name="20% - Accent2 15 3" xfId="36774" xr:uid="{71715D4F-C766-4386-9506-A900D89639F7}"/>
    <cellStyle name="20% - Accent2 15 4" xfId="37662" xr:uid="{A460319A-0810-42CA-852B-3EEFBE3EEBA2}"/>
    <cellStyle name="20% - Accent2 16" xfId="35356" xr:uid="{51BFC636-C8E1-4301-8CA6-2408A7F4BFB6}"/>
    <cellStyle name="20% - Accent2 16 2" xfId="36494" xr:uid="{89FC2431-969A-448B-AF13-CAB7A2FE8320}"/>
    <cellStyle name="20% - Accent2 16 3" xfId="36792" xr:uid="{BC1E8E8E-C509-417D-9389-BBF2C7CC371B}"/>
    <cellStyle name="20% - Accent2 16 4" xfId="37681" xr:uid="{DA56BB89-DAD5-47ED-9F1F-D23CEF6FD1E3}"/>
    <cellStyle name="20% - Accent2 17" xfId="35643" xr:uid="{F5869EC7-1253-4748-AAEC-BA62CFCC2C4F}"/>
    <cellStyle name="20% - Accent2 17 2" xfId="36811" xr:uid="{FAEAAEB9-B63C-4805-AFA7-FFC9331231C8}"/>
    <cellStyle name="20% - Accent2 17 3" xfId="37701" xr:uid="{E6A6EADD-50E7-4A12-83A2-3EDC06C916A8}"/>
    <cellStyle name="20% - Accent2 18" xfId="35661" xr:uid="{A894377E-6DBA-47AF-9741-99A1C06D6C9A}"/>
    <cellStyle name="20% - Accent2 18 2" xfId="36830" xr:uid="{A4770D8C-0638-412E-BA69-361402ED620A}"/>
    <cellStyle name="20% - Accent2 18 3" xfId="37720" xr:uid="{433D4DCA-99BB-4D95-9C33-46A39F2DD6C8}"/>
    <cellStyle name="20% - Accent2 19" xfId="35680" xr:uid="{CC79D6AA-5CEA-410C-AAE7-A8702CFBB1BF}"/>
    <cellStyle name="20% - Accent2 19 2" xfId="36849" xr:uid="{CD82D2CE-5F57-453F-9EE7-641FB210ED78}"/>
    <cellStyle name="20% - Accent2 19 3" xfId="37739" xr:uid="{D74EC993-47E5-421E-B111-569840DC6EAB}"/>
    <cellStyle name="20% - Accent2 2" xfId="80" xr:uid="{1F743947-8EC5-4AC3-A99D-6E34107EE95B}"/>
    <cellStyle name="20% - Accent2 2 10" xfId="6018" xr:uid="{06204B25-7EAE-45BB-8CB0-919D22D1AA86}"/>
    <cellStyle name="20% - Accent2 2 10 2" xfId="32577" xr:uid="{AF2A78ED-E311-46FD-8E61-3B36F72BE5FC}"/>
    <cellStyle name="20% - Accent2 2 10 3" xfId="37420" xr:uid="{7D426818-378A-4C6A-AC42-CF9CDDE9B86C}"/>
    <cellStyle name="20% - Accent2 2 11" xfId="6016" xr:uid="{4BE4A75C-9483-45F6-9DF9-9215BEB85915}"/>
    <cellStyle name="20% - Accent2 2 12" xfId="34439" xr:uid="{E9F0C6E5-B5A0-45C9-BC31-01800DCDE32C}"/>
    <cellStyle name="20% - Accent2 2 13" xfId="14854" xr:uid="{9CADD58D-AF07-4897-9F4E-2D8DC986B9A0}"/>
    <cellStyle name="20% - Accent2 2 2" xfId="141" xr:uid="{FB1DC91E-1B50-4C8E-B33D-E93417A705FE}"/>
    <cellStyle name="20% - Accent2 2 2 10" xfId="34054" xr:uid="{B380C936-2E90-46F9-9FEC-172FFDD08AE8}"/>
    <cellStyle name="20% - Accent2 2 2 11" xfId="34494" xr:uid="{95073129-90D8-4AE6-BFF8-68ACA4E5B741}"/>
    <cellStyle name="20% - Accent2 2 2 12" xfId="27034" xr:uid="{14469D35-792C-44E8-A913-DD9035C8547E}"/>
    <cellStyle name="20% - Accent2 2 2 2" xfId="33851" xr:uid="{70F65F23-77DD-4F38-8857-2B4BF064B695}"/>
    <cellStyle name="20% - Accent2 2 2 2 2" xfId="31147" xr:uid="{788EE273-681B-49F5-942A-A11F7C4B251D}"/>
    <cellStyle name="20% - Accent2 2 2 2 2 2" xfId="27219" xr:uid="{ED7022AA-9E01-46D7-8597-9464B4404FAB}"/>
    <cellStyle name="20% - Accent2 2 2 2 2 2 2" xfId="31128" xr:uid="{063F828E-FE34-41AE-92C7-312BB3B05AFB}"/>
    <cellStyle name="20% - Accent2 2 2 2 2 2 2 2" xfId="9145" xr:uid="{E357A4E1-283F-4CAA-BF46-9017D29BC28B}"/>
    <cellStyle name="20% - Accent2 2 2 2 2 2 2 2 2" xfId="26963" xr:uid="{445AB8A4-F504-4919-A036-FA1F225EABB9}"/>
    <cellStyle name="20% - Accent2 2 2 2 2 2 2 2 2 2" xfId="19860" xr:uid="{9D397CBF-7E1A-43F4-BF8D-47B161B2733F}"/>
    <cellStyle name="20% - Accent2 2 2 2 2 2 2 2 2 2 2" xfId="25893" xr:uid="{8CB4C487-E5E6-4B8C-B33D-AA5C172A175C}"/>
    <cellStyle name="20% - Accent2 2 2 2 2 2 2 2 2 2 2 2" xfId="32309" xr:uid="{2A044A33-0B50-4C66-84AB-F6D52EFBCC61}"/>
    <cellStyle name="20% - Accent2 2 2 2 2 2 2 2 2 2 3" xfId="30980" xr:uid="{2830FEE3-1D8D-4C8F-836A-DDB5146474D7}"/>
    <cellStyle name="20% - Accent2 2 2 2 2 2 2 2 2 3" xfId="19855" xr:uid="{3B53015C-07AD-4368-8314-E0924B3E42C8}"/>
    <cellStyle name="20% - Accent2 2 2 2 2 2 2 2 2 3 2" xfId="29884" xr:uid="{2B43AA64-13E6-4CE5-B7DA-30113AF4AF66}"/>
    <cellStyle name="20% - Accent2 2 2 2 2 2 2 2 2 4" xfId="28977" xr:uid="{13A3E003-6BBC-4A74-AD95-C6AE8C18691B}"/>
    <cellStyle name="20% - Accent2 2 2 2 2 2 2 2 3" xfId="30114" xr:uid="{14C137D7-FE3A-41BC-B484-394B14E7B550}"/>
    <cellStyle name="20% - Accent2 2 2 2 2 2 2 2 3 2" xfId="19844" xr:uid="{B886AD23-B9C8-4265-9F21-46D3A59E3A91}"/>
    <cellStyle name="20% - Accent2 2 2 2 2 2 2 2 3 2 2" xfId="31116" xr:uid="{D1B8272B-B982-423C-80C9-A17B4309CED9}"/>
    <cellStyle name="20% - Accent2 2 2 2 2 2 2 2 3 3" xfId="28969" xr:uid="{873BBC5D-0659-4FD1-9621-89065C4F5A51}"/>
    <cellStyle name="20% - Accent2 2 2 2 2 2 2 2 4" xfId="30110" xr:uid="{4A0C8194-590E-4569-8615-ED5B094A4F75}"/>
    <cellStyle name="20% - Accent2 2 2 2 2 2 2 2 4 2" xfId="31109" xr:uid="{3B61249B-DD2F-44C8-952F-4492A7D8AB09}"/>
    <cellStyle name="20% - Accent2 2 2 2 2 2 2 2 5" xfId="6232" xr:uid="{9F1D59F1-E2F1-41B9-B1D2-2DA801180932}"/>
    <cellStyle name="20% - Accent2 2 2 2 2 2 2 3" xfId="13495" xr:uid="{A6026BE7-4A6C-49BD-86B9-2AC3FBB9A4C6}"/>
    <cellStyle name="20% - Accent2 2 2 2 2 2 2 3 2" xfId="33639" xr:uid="{B508237F-1A82-43E1-8D7C-953654A501D1}"/>
    <cellStyle name="20% - Accent2 2 2 2 2 2 2 3 2 2" xfId="19821" xr:uid="{679389F0-BCD8-43CC-BDC4-80C13B1E2EE3}"/>
    <cellStyle name="20% - Accent2 2 2 2 2 2 2 3 2 2 2" xfId="27064" xr:uid="{97649A85-538B-4834-BE50-66AC79C59B76}"/>
    <cellStyle name="20% - Accent2 2 2 2 2 2 2 3 2 3" xfId="28895" xr:uid="{B3000A16-FA2D-4924-BB5F-10573BDF462D}"/>
    <cellStyle name="20% - Accent2 2 2 2 2 2 2 3 3" xfId="32638" xr:uid="{918A25C0-9476-43FF-99BD-3292D52FA816}"/>
    <cellStyle name="20% - Accent2 2 2 2 2 2 2 3 3 2" xfId="31085" xr:uid="{A481A7AB-48F3-46DF-A1A8-61D6F171DBEB}"/>
    <cellStyle name="20% - Accent2 2 2 2 2 2 2 3 4" xfId="27961" xr:uid="{593BE877-1C4B-4D36-BB75-D1AA8A05066A}"/>
    <cellStyle name="20% - Accent2 2 2 2 2 2 2 4" xfId="13482" xr:uid="{D8D92BD2-AF52-48E3-B729-3ABDC5BA8CE4}"/>
    <cellStyle name="20% - Accent2 2 2 2 2 2 2 4 2" xfId="33837" xr:uid="{3D0CE3C7-E552-4087-B6C8-CAC9778232A3}"/>
    <cellStyle name="20% - Accent2 2 2 2 2 2 2 4 2 2" xfId="31078" xr:uid="{B7719651-8BDD-4A4B-8674-7B63C32049B5}"/>
    <cellStyle name="20% - Accent2 2 2 2 2 2 2 4 3" xfId="27948" xr:uid="{BCDC2C97-0C17-4424-A584-74EE8A50CAB3}"/>
    <cellStyle name="20% - Accent2 2 2 2 2 2 2 5" xfId="13476" xr:uid="{5070516E-54AD-4752-87F5-9ACB17A36F09}"/>
    <cellStyle name="20% - Accent2 2 2 2 2 2 2 5 2" xfId="9463" xr:uid="{DED1664B-0ABE-4049-AF65-46BE75A429F8}"/>
    <cellStyle name="20% - Accent2 2 2 2 2 2 2 6" xfId="24851" xr:uid="{9674AF30-E154-494E-AD4A-FC44932A41C7}"/>
    <cellStyle name="20% - Accent2 2 2 2 2 2 3" xfId="31533" xr:uid="{D033AF5A-DEC6-4198-936C-F22EEA8DB8F9}"/>
    <cellStyle name="20% - Accent2 2 2 2 2 2 3 2" xfId="13467" xr:uid="{93DDF8F4-8956-4741-86C0-08B0FAD48F74}"/>
    <cellStyle name="20% - Accent2 2 2 2 2 2 3 2 2" xfId="23004" xr:uid="{44FE5AF2-23F7-4F89-AB67-AEE9EDC3CE0B}"/>
    <cellStyle name="20% - Accent2 2 2 2 2 2 3 2 2 2" xfId="27191" xr:uid="{4FB8C2E0-3E9E-4F6A-9896-D911864EDE82}"/>
    <cellStyle name="20% - Accent2 2 2 2 2 2 3 2 2 2 2" xfId="26203" xr:uid="{B8AAC723-6887-47A3-89F8-2C9B377D68DD}"/>
    <cellStyle name="20% - Accent2 2 2 2 2 2 3 2 2 3" xfId="28687" xr:uid="{54D54EC0-F732-4B33-86F0-9F8708C014F2}"/>
    <cellStyle name="20% - Accent2 2 2 2 2 2 3 2 3" xfId="31133" xr:uid="{DEDE6B11-1136-4640-AF56-BC7636FAE1D6}"/>
    <cellStyle name="20% - Accent2 2 2 2 2 2 3 2 3 2" xfId="21479" xr:uid="{55CAD12A-4560-45CC-83CC-CD19E0973798}"/>
    <cellStyle name="20% - Accent2 2 2 2 2 2 3 2 4" xfId="27866" xr:uid="{E9B76A4B-23DB-4C2F-9611-2D8B21A81B4A}"/>
    <cellStyle name="20% - Accent2 2 2 2 2 2 3 3" xfId="13461" xr:uid="{2CE6CB22-BB57-4FC0-A521-08CD4CEFF7F0}"/>
    <cellStyle name="20% - Accent2 2 2 2 2 2 3 3 2" xfId="33793" xr:uid="{FEBFADCF-2A2E-4AEA-A85D-240D57DB4908}"/>
    <cellStyle name="20% - Accent2 2 2 2 2 2 3 3 2 2" xfId="31049" xr:uid="{FC3C54CC-DFF8-41B5-8EEC-9F4012C085ED}"/>
    <cellStyle name="20% - Accent2 2 2 2 2 2 3 3 3" xfId="30849" xr:uid="{600BEFF9-CAB3-47DF-8C24-E335D875450E}"/>
    <cellStyle name="20% - Accent2 2 2 2 2 2 3 4" xfId="13454" xr:uid="{BABD4A40-2049-4C6B-BF29-D6E9AB331C75}"/>
    <cellStyle name="20% - Accent2 2 2 2 2 2 3 4 2" xfId="12183" xr:uid="{CD736DC1-007C-4B9E-91B3-CADC1FC93877}"/>
    <cellStyle name="20% - Accent2 2 2 2 2 2 3 5" xfId="13073" xr:uid="{56C67807-419F-4B54-9FEF-BB256CC294F4}"/>
    <cellStyle name="20% - Accent2 2 2 2 2 2 4" xfId="31518" xr:uid="{2AF7C840-AD0C-4F58-8FCB-F90DEE4CDCB7}"/>
    <cellStyle name="20% - Accent2 2 2 2 2 2 4 2" xfId="13445" xr:uid="{0BC0BFA1-B300-4442-B9F2-1F27432C049D}"/>
    <cellStyle name="20% - Accent2 2 2 2 2 2 4 2 2" xfId="16942" xr:uid="{511CE56E-6C0E-4BBB-9787-B567A7C1A2B5}"/>
    <cellStyle name="20% - Accent2 2 2 2 2 2 4 2 2 2" xfId="16496" xr:uid="{F4DD0B1F-50BF-401F-B289-96FA948E69CE}"/>
    <cellStyle name="20% - Accent2 2 2 2 2 2 4 2 3" xfId="16938" xr:uid="{4F6F29F9-4D7E-46C1-8707-2B8DB8AA7E38}"/>
    <cellStyle name="20% - Accent2 2 2 2 2 2 4 3" xfId="14191" xr:uid="{F92014D2-7730-4345-8866-B17616339DF9}"/>
    <cellStyle name="20% - Accent2 2 2 2 2 2 4 3 2" xfId="16934" xr:uid="{35137B04-17FE-4D6B-BD74-56972395841E}"/>
    <cellStyle name="20% - Accent2 2 2 2 2 2 4 4" xfId="27984" xr:uid="{CBB71855-7E04-4BAD-AA03-C097A64252A9}"/>
    <cellStyle name="20% - Accent2 2 2 2 2 2 5" xfId="5593" xr:uid="{F3F4CECF-CD8E-4595-9375-E11908FBA58D}"/>
    <cellStyle name="20% - Accent2 2 2 2 2 2 5 2" xfId="13437" xr:uid="{0D46D37D-7AA9-4781-BD74-9BF6AEF1C282}"/>
    <cellStyle name="20% - Accent2 2 2 2 2 2 5 2 2" xfId="16900" xr:uid="{5051FD77-454D-44FC-B528-0496D95511F5}"/>
    <cellStyle name="20% - Accent2 2 2 2 2 2 5 3" xfId="33438" xr:uid="{C913A903-A056-4BF4-BA2D-F1C3BB1C0B39}"/>
    <cellStyle name="20% - Accent2 2 2 2 2 2 6" xfId="31696" xr:uid="{C18B9637-02F7-49F9-A420-08D1CFD49154}"/>
    <cellStyle name="20% - Accent2 2 2 2 2 2 6 2" xfId="31947" xr:uid="{45463F4E-C7BE-4A92-A939-0BCF52DBF3A9}"/>
    <cellStyle name="20% - Accent2 2 2 2 2 2 7" xfId="30014" xr:uid="{8EED7F68-8C19-4C4F-A6D1-CE1A05D1D395}"/>
    <cellStyle name="20% - Accent2 2 2 2 2 3" xfId="27812" xr:uid="{0EB84C97-B748-4065-B214-3F3D3A4BE5F3}"/>
    <cellStyle name="20% - Accent2 2 2 2 2 3 2" xfId="31030" xr:uid="{40209F58-170B-436B-ACD3-DEF2C7CCB14C}"/>
    <cellStyle name="20% - Accent2 2 2 2 2 3 2 2" xfId="13426" xr:uid="{CD3B9B94-D9F8-4D08-9113-E6732306DB4F}"/>
    <cellStyle name="20% - Accent2 2 2 2 2 3 2 2 2" xfId="33496" xr:uid="{4C6C9CE5-769B-483F-91B5-EF00DF372BA3}"/>
    <cellStyle name="20% - Accent2 2 2 2 2 3 2 2 2 2" xfId="19604" xr:uid="{30D76B48-AC13-41D7-9F29-3A69614B5C65}"/>
    <cellStyle name="20% - Accent2 2 2 2 2 3 2 2 2 2 2" xfId="25722" xr:uid="{5BFF1054-064F-4D04-B2A9-EE7BB7206D91}"/>
    <cellStyle name="20% - Accent2 2 2 2 2 3 2 2 2 3" xfId="27751" xr:uid="{E52E9E40-A345-41FE-B2B5-FCDD6E917A61}"/>
    <cellStyle name="20% - Accent2 2 2 2 2 3 2 2 3" xfId="18905" xr:uid="{74FCF22D-B55C-44BD-A862-48A129A7AF13}"/>
    <cellStyle name="20% - Accent2 2 2 2 2 3 2 2 3 2" xfId="29399" xr:uid="{74DE87A0-F3B1-4209-A0AA-99221B919DA0}"/>
    <cellStyle name="20% - Accent2 2 2 2 2 3 2 2 4" xfId="17943" xr:uid="{72143827-DE29-4BDF-AF4A-16A9FB436A45}"/>
    <cellStyle name="20% - Accent2 2 2 2 2 3 2 3" xfId="25473" xr:uid="{AF0B7FF0-BD5A-4D6B-853C-028B049E84CB}"/>
    <cellStyle name="20% - Accent2 2 2 2 2 3 2 3 2" xfId="33482" xr:uid="{C5BC0D74-E7EF-44A3-AA2E-D72EEA390C20}"/>
    <cellStyle name="20% - Accent2 2 2 2 2 3 2 3 2 2" xfId="27696" xr:uid="{BA9B69AE-23CD-4686-9EA6-31D9595C3294}"/>
    <cellStyle name="20% - Accent2 2 2 2 2 3 2 3 3" xfId="18894" xr:uid="{5BBB512D-5FBD-4210-BA3E-680621CA8802}"/>
    <cellStyle name="20% - Accent2 2 2 2 2 3 2 4" xfId="29102" xr:uid="{41D40B9F-C9FF-4679-9FDD-1774E1EFBAA7}"/>
    <cellStyle name="20% - Accent2 2 2 2 2 3 2 4 2" xfId="33475" xr:uid="{4CA5E1E7-E1D2-4F01-94FF-1B872158FD95}"/>
    <cellStyle name="20% - Accent2 2 2 2 2 3 2 5" xfId="29096" xr:uid="{B53797EE-0C6E-4B16-B6A0-4912ADDE2A82}"/>
    <cellStyle name="20% - Accent2 2 2 2 2 3 3" xfId="31494" xr:uid="{BA4CAD27-7E5D-46DD-A225-AD5D4EA1BE9F}"/>
    <cellStyle name="20% - Accent2 2 2 2 2 3 3 2" xfId="13410" xr:uid="{A99F78A6-7D84-49D4-9053-61EEB9F84F30}"/>
    <cellStyle name="20% - Accent2 2 2 2 2 3 3 2 2" xfId="33460" xr:uid="{0BF2F964-86AB-4684-89E1-5E10B30161D1}"/>
    <cellStyle name="20% - Accent2 2 2 2 2 3 3 2 2 2" xfId="30692" xr:uid="{3B6430D7-A3E5-41D0-B215-9E353C989BFB}"/>
    <cellStyle name="20% - Accent2 2 2 2 2 3 3 2 3" xfId="29664" xr:uid="{4B72A4D1-FA84-476C-B2BC-E7B68CD28863}"/>
    <cellStyle name="20% - Accent2 2 2 2 2 3 3 3" xfId="13404" xr:uid="{F7120938-3B61-4D52-9A28-45FACD4B22A0}"/>
    <cellStyle name="20% - Accent2 2 2 2 2 3 3 3 2" xfId="34211" xr:uid="{2D46BA0C-F5E9-4366-AA97-B041289B318D}"/>
    <cellStyle name="20% - Accent2 2 2 2 2 3 3 4" xfId="29088" xr:uid="{E6D9E24A-F6FF-4F5A-A51E-98A0E7880740}"/>
    <cellStyle name="20% - Accent2 2 2 2 2 3 4" xfId="33465" xr:uid="{7E7DB348-A504-4114-98FB-F24CC47BA720}"/>
    <cellStyle name="20% - Accent2 2 2 2 2 3 4 2" xfId="31019" xr:uid="{A5F9CE48-536E-4AB8-A806-A6D10BFEF4E8}"/>
    <cellStyle name="20% - Accent2 2 2 2 2 3 4 2 2" xfId="24087" xr:uid="{27BA27CD-BF99-4A51-A5A1-C76401C040F8}"/>
    <cellStyle name="20% - Accent2 2 2 2 2 3 4 3" xfId="30924" xr:uid="{FBECB5CA-6B5C-4D5C-B32A-E826DCD9D9A6}"/>
    <cellStyle name="20% - Accent2 2 2 2 2 3 5" xfId="31485" xr:uid="{19A8DAF3-F29E-4EF5-8A07-F2DC4D67AE4F}"/>
    <cellStyle name="20% - Accent2 2 2 2 2 3 5 2" xfId="32478" xr:uid="{6C5F9C04-45D1-478F-B703-35106666E0C7}"/>
    <cellStyle name="20% - Accent2 2 2 2 2 3 6" xfId="30957" xr:uid="{D5522813-7F71-44A2-AC70-8A9233D58EF6}"/>
    <cellStyle name="20% - Accent2 2 2 2 2 4" xfId="31015" xr:uid="{30BBECD9-9F71-492D-A728-24FD494543D3}"/>
    <cellStyle name="20% - Accent2 2 2 2 2 4 2" xfId="29554" xr:uid="{23A7EF85-DB04-4819-93EB-F2DB5780EC0A}"/>
    <cellStyle name="20% - Accent2 2 2 2 2 4 2 2" xfId="13385" xr:uid="{33A6D8D5-72DC-40ED-A64C-399BD094E79A}"/>
    <cellStyle name="20% - Accent2 2 2 2 2 4 2 2 2" xfId="30982" xr:uid="{2460CFDC-604B-4A03-8406-5B58144810D3}"/>
    <cellStyle name="20% - Accent2 2 2 2 2 4 2 2 2 2" xfId="29397" xr:uid="{4ED43E95-BDC8-45FF-951A-BA859828F159}"/>
    <cellStyle name="20% - Accent2 2 2 2 2 4 2 2 3" xfId="18791" xr:uid="{85D43D4E-09EE-4985-9F07-FB49C1A12791}"/>
    <cellStyle name="20% - Accent2 2 2 2 2 4 2 3" xfId="13383" xr:uid="{45A97BEA-06A5-4AB7-A3BB-21EC01FE4E3D}"/>
    <cellStyle name="20% - Accent2 2 2 2 2 4 2 3 2" xfId="34310" xr:uid="{BE885CD9-9A9A-4EB3-8D33-5CC800396C15}"/>
    <cellStyle name="20% - Accent2 2 2 2 2 4 2 4" xfId="24293" xr:uid="{AB27AABD-63D9-4CAC-B31C-E4F2175ED432}"/>
    <cellStyle name="20% - Accent2 2 2 2 2 4 3" xfId="27281" xr:uid="{D9BD4BB7-618B-4240-AED3-A475AD300C47}"/>
    <cellStyle name="20% - Accent2 2 2 2 2 4 3 2" xfId="13374" xr:uid="{6A860F54-6022-4F08-A30D-FAD9E80E8E8A}"/>
    <cellStyle name="20% - Accent2 2 2 2 2 4 3 2 2" xfId="30994" xr:uid="{9B2751E7-F282-4608-8BA6-78788430CE06}"/>
    <cellStyle name="20% - Accent2 2 2 2 2 4 3 3" xfId="30993" xr:uid="{F23340A3-B0D7-4A90-A351-8E6B85DBB5E7}"/>
    <cellStyle name="20% - Accent2 2 2 2 2 4 4" xfId="11930" xr:uid="{6F336F99-9AA7-4F36-AA48-661203643B14}"/>
    <cellStyle name="20% - Accent2 2 2 2 2 4 4 2" xfId="28242" xr:uid="{321E43F9-C18F-4191-8A6F-15D804E89F6B}"/>
    <cellStyle name="20% - Accent2 2 2 2 2 4 5" xfId="11926" xr:uid="{385E6F01-DB78-43B3-81EF-03AC88AC3FDB}"/>
    <cellStyle name="20% - Accent2 2 2 2 2 5" xfId="14921" xr:uid="{9914D7F2-05ED-45DA-A645-2BEA998FB2A0}"/>
    <cellStyle name="20% - Accent2 2 2 2 2 5 2" xfId="12955" xr:uid="{9B51E96B-5D7F-4558-88EA-10523400FE8F}"/>
    <cellStyle name="20% - Accent2 2 2 2 2 5 2 2" xfId="19360" xr:uid="{C5AD5ECF-2058-40CC-B452-86A0FE314517}"/>
    <cellStyle name="20% - Accent2 2 2 2 2 5 2 2 2" xfId="15959" xr:uid="{5C08054E-CE86-4EBF-BF14-9FDFB367296A}"/>
    <cellStyle name="20% - Accent2 2 2 2 2 5 2 3" xfId="25574" xr:uid="{98414094-6E19-4DF8-8B9A-AAB17D81983D}"/>
    <cellStyle name="20% - Accent2 2 2 2 2 5 3" xfId="11923" xr:uid="{84251B23-A526-4E41-8186-EB42F9FB9BA7}"/>
    <cellStyle name="20% - Accent2 2 2 2 2 5 3 2" xfId="25861" xr:uid="{07D470DA-49D8-4D85-9F7C-A71CA703F9A6}"/>
    <cellStyle name="20% - Accent2 2 2 2 2 5 4" xfId="11917" xr:uid="{0F6C7F95-4068-4078-9290-44C3AB8DC576}"/>
    <cellStyle name="20% - Accent2 2 2 2 2 6" xfId="25222" xr:uid="{FA8F3369-43DC-45B7-A0BE-E688D8B0501F}"/>
    <cellStyle name="20% - Accent2 2 2 2 2 6 2" xfId="6375" xr:uid="{DD1068E1-9E63-4968-BE22-600ED5F1E18D}"/>
    <cellStyle name="20% - Accent2 2 2 2 2 6 2 2" xfId="25848" xr:uid="{5940EEBB-6F77-4D93-890D-D3B4F572ED70}"/>
    <cellStyle name="20% - Accent2 2 2 2 2 6 3" xfId="11910" xr:uid="{1B23709E-089E-45A0-90C0-A3DA4A9BAAE4}"/>
    <cellStyle name="20% - Accent2 2 2 2 2 7" xfId="19909" xr:uid="{C121FC8F-38F7-47D8-8015-357772075500}"/>
    <cellStyle name="20% - Accent2 2 2 2 2 7 2" xfId="29126" xr:uid="{2E5B41E5-3AB9-4AF0-9364-5F3083ACE392}"/>
    <cellStyle name="20% - Accent2 2 2 2 2 8" xfId="19903" xr:uid="{6E2C4354-3469-4979-AFBC-5B3EF23BB2AB}"/>
    <cellStyle name="20% - Accent2 2 2 2 3" xfId="33942" xr:uid="{B2E45CEF-4158-4304-9D88-6A858664A5F3}"/>
    <cellStyle name="20% - Accent2 2 2 2 3 2" xfId="19977" xr:uid="{B62D97E3-9845-4779-8930-EAE645BFA953}"/>
    <cellStyle name="20% - Accent2 2 2 2 3 2 2" xfId="30974" xr:uid="{BB181347-092A-4238-8261-308AE1148F0A}"/>
    <cellStyle name="20% - Accent2 2 2 2 3 2 2 2" xfId="30966" xr:uid="{0FC897CA-85F9-4F94-882D-487FEAFEC2AC}"/>
    <cellStyle name="20% - Accent2 2 2 2 3 2 2 2 2" xfId="31390" xr:uid="{04574851-B484-4710-9464-0D63B241B52E}"/>
    <cellStyle name="20% - Accent2 2 2 2 3 2 2 2 2 2" xfId="17408" xr:uid="{097BE0E7-D46B-4682-8968-20B1E0DEE7FE}"/>
    <cellStyle name="20% - Accent2 2 2 2 3 2 2 2 2 2 2" xfId="25672" xr:uid="{4DE75373-9806-4020-9776-84AC1556756B}"/>
    <cellStyle name="20% - Accent2 2 2 2 3 2 2 2 2 3" xfId="17385" xr:uid="{9A40635A-4267-4925-B342-5E9B8052DA07}"/>
    <cellStyle name="20% - Accent2 2 2 2 3 2 2 2 3" xfId="29657" xr:uid="{DDF8A87F-0855-49C2-8197-03BE5A535B99}"/>
    <cellStyle name="20% - Accent2 2 2 2 3 2 2 2 3 2" xfId="24285" xr:uid="{D0F74F4C-6C5C-4C1A-996F-38DB6F21BC29}"/>
    <cellStyle name="20% - Accent2 2 2 2 3 2 2 2 4" xfId="34207" xr:uid="{3DED0AD1-1661-4292-83A4-57C7B95D3E81}"/>
    <cellStyle name="20% - Accent2 2 2 2 3 2 2 3" xfId="25882" xr:uid="{F3AD255C-CBE0-491A-B621-0553C950F357}"/>
    <cellStyle name="20% - Accent2 2 2 2 3 2 2 3 2" xfId="27148" xr:uid="{0413A71A-AC22-4785-A4E3-8E926F76E88A}"/>
    <cellStyle name="20% - Accent2 2 2 2 3 2 2 3 2 2" xfId="17282" xr:uid="{804066B2-07AA-4F58-A429-ABCE8EDC001A}"/>
    <cellStyle name="20% - Accent2 2 2 2 3 2 2 3 3" xfId="33254" xr:uid="{76BFC06E-6EDE-4A40-B108-2C2D34BAE5C3}"/>
    <cellStyle name="20% - Accent2 2 2 2 3 2 2 4" xfId="29407" xr:uid="{EEF8DB04-6F31-426E-B742-A70E624680F2}"/>
    <cellStyle name="20% - Accent2 2 2 2 3 2 2 4 2" xfId="25756" xr:uid="{B33117E9-556E-43BD-A7AF-B2E3E7455196}"/>
    <cellStyle name="20% - Accent2 2 2 2 3 2 2 5" xfId="23247" xr:uid="{4EDDCBCE-5833-4CD5-B2E5-3F7C6EE1C97C}"/>
    <cellStyle name="20% - Accent2 2 2 2 3 2 3" xfId="31432" xr:uid="{5243459E-39E8-4B38-95A5-A9FF5F246046}"/>
    <cellStyle name="20% - Accent2 2 2 2 3 2 3 2" xfId="30961" xr:uid="{1B9B379E-4285-442F-8D7E-9E0C316F954D}"/>
    <cellStyle name="20% - Accent2 2 2 2 3 2 3 2 2" xfId="31695" xr:uid="{831D4FB2-5956-489C-9729-C2AD3CB3C79B}"/>
    <cellStyle name="20% - Accent2 2 2 2 3 2 3 2 2 2" xfId="17157" xr:uid="{3BC28FAB-4796-4E2E-A0C7-9F84148B8F90}"/>
    <cellStyle name="20% - Accent2 2 2 2 3 2 3 2 3" xfId="30015" xr:uid="{1B87975D-0E3D-469D-BCAE-A8988F351800}"/>
    <cellStyle name="20% - Accent2 2 2 2 3 2 3 3" xfId="23746" xr:uid="{B1C61614-9184-4CC0-B80E-17AC62B0B27D}"/>
    <cellStyle name="20% - Accent2 2 2 2 3 2 3 3 2" xfId="30958" xr:uid="{DC3D800F-E085-467E-9E07-6559F7C777EE}"/>
    <cellStyle name="20% - Accent2 2 2 2 3 2 3 4" xfId="23741" xr:uid="{30508546-3CE0-4DBF-8318-4CD004642823}"/>
    <cellStyle name="20% - Accent2 2 2 2 3 2 4" xfId="31420" xr:uid="{42557B57-D774-4A67-857A-693031B9433A}"/>
    <cellStyle name="20% - Accent2 2 2 2 3 2 4 2" xfId="27718" xr:uid="{618158C8-984D-405D-9D42-E0B9A1AB533F}"/>
    <cellStyle name="20% - Accent2 2 2 2 3 2 4 2 2" xfId="16264" xr:uid="{CF7DC0B5-9368-4525-95C5-6601B3749355}"/>
    <cellStyle name="20% - Accent2 2 2 2 3 2 4 3" xfId="23731" xr:uid="{DD8929C4-987F-457F-8940-B5D4F1343BAF}"/>
    <cellStyle name="20% - Accent2 2 2 2 3 2 5" xfId="31413" xr:uid="{0120D467-6290-4223-A7B7-AF2D86E2C05C}"/>
    <cellStyle name="20% - Accent2 2 2 2 3 2 5 2" xfId="32047" xr:uid="{922B56B1-ABF5-41CA-A1EC-150FDBCB70B8}"/>
    <cellStyle name="20% - Accent2 2 2 2 3 2 6" xfId="16262" xr:uid="{CAF1C12F-C3AC-467B-9319-3617FEC91638}"/>
    <cellStyle name="20% - Accent2 2 2 2 3 3" xfId="32164" xr:uid="{1FABB886-F178-46F7-AD6F-3830FEED687E}"/>
    <cellStyle name="20% - Accent2 2 2 2 3 3 2" xfId="32160" xr:uid="{1B77CCE2-9ABF-4FCB-A896-E3ADF84C3277}"/>
    <cellStyle name="20% - Accent2 2 2 2 3 3 2 2" xfId="31981" xr:uid="{A376FD0E-5AFB-491D-A0C6-3CEA08C1396E}"/>
    <cellStyle name="20% - Accent2 2 2 2 3 3 2 2 2" xfId="32913" xr:uid="{CFC2883B-CD61-402B-AAF2-F55C0BD38F02}"/>
    <cellStyle name="20% - Accent2 2 2 2 3 3 2 2 2 2" xfId="23677" xr:uid="{B0A44796-815C-41A8-B87D-A98E08EF5EE9}"/>
    <cellStyle name="20% - Accent2 2 2 2 3 3 2 2 3" xfId="18672" xr:uid="{AAF27ECF-3391-413B-8289-F57F75A3C0F8}"/>
    <cellStyle name="20% - Accent2 2 2 2 3 3 2 3" xfId="23719" xr:uid="{59F20920-DCB1-49D3-B4C2-01D6D58E5A55}"/>
    <cellStyle name="20% - Accent2 2 2 2 3 3 2 3 2" xfId="34349" xr:uid="{2BBA789F-F3FC-438B-92CF-CEEE90A343F4}"/>
    <cellStyle name="20% - Accent2 2 2 2 3 3 2 4" xfId="20559" xr:uid="{036381F7-ED56-46B6-9839-719D8E754E7A}"/>
    <cellStyle name="20% - Accent2 2 2 2 3 3 3" xfId="26663" xr:uid="{6ADA03C8-23D4-4196-A216-708E51AC0D0C}"/>
    <cellStyle name="20% - Accent2 2 2 2 3 3 3 2" xfId="29968" xr:uid="{296AA0CF-003A-4A79-91A9-0C683BCDEF22}"/>
    <cellStyle name="20% - Accent2 2 2 2 3 3 3 2 2" xfId="30949" xr:uid="{FF2F5EDD-972B-4868-8AA7-433175D17F7E}"/>
    <cellStyle name="20% - Accent2 2 2 2 3 3 3 3" xfId="23717" xr:uid="{65D38613-C3F2-4059-8204-3279BEAC24DE}"/>
    <cellStyle name="20% - Accent2 2 2 2 3 3 4" xfId="26659" xr:uid="{613AB4EB-A9A7-414C-AE29-58ED4ADA2C02}"/>
    <cellStyle name="20% - Accent2 2 2 2 3 3 4 2" xfId="30945" xr:uid="{4EC5A73B-EA7A-4EA8-AB31-E217DDD0CF1A}"/>
    <cellStyle name="20% - Accent2 2 2 2 3 3 5" xfId="28556" xr:uid="{EF748DD4-DFA7-4431-9708-E1CB04398CD6}"/>
    <cellStyle name="20% - Accent2 2 2 2 3 4" xfId="20892" xr:uid="{3593124A-93D1-485D-A967-0C34701034BC}"/>
    <cellStyle name="20% - Accent2 2 2 2 3 4 2" xfId="29455" xr:uid="{EA38BC24-5B22-4608-859A-D8D949028BC7}"/>
    <cellStyle name="20% - Accent2 2 2 2 3 4 2 2" xfId="24028" xr:uid="{2242793A-FABE-4F01-849F-293C29245CF9}"/>
    <cellStyle name="20% - Accent2 2 2 2 3 4 2 2 2" xfId="32861" xr:uid="{0327CB20-7E6B-493E-BC1A-6EDC66F84712}"/>
    <cellStyle name="20% - Accent2 2 2 2 3 4 2 3" xfId="23704" xr:uid="{A14CC85D-66CF-4B1E-A49E-F49A78812A03}"/>
    <cellStyle name="20% - Accent2 2 2 2 3 4 3" xfId="11906" xr:uid="{988D2E5C-3DBC-4913-95EA-1A2FF9921AAA}"/>
    <cellStyle name="20% - Accent2 2 2 2 3 4 3 2" xfId="32799" xr:uid="{9F3A7A99-0673-48B2-86D2-3C0AA49681B2}"/>
    <cellStyle name="20% - Accent2 2 2 2 3 4 4" xfId="11899" xr:uid="{41B120F0-406F-4DBF-A8B9-A997074513DE}"/>
    <cellStyle name="20% - Accent2 2 2 2 3 5" xfId="28597" xr:uid="{B71E86CB-A3F4-4830-B9EF-F733B1DF5ED0}"/>
    <cellStyle name="20% - Accent2 2 2 2 3 5 2" xfId="6373" xr:uid="{DF10C579-B1AE-41B3-9956-1E4B1C3E2E9E}"/>
    <cellStyle name="20% - Accent2 2 2 2 3 5 2 2" xfId="23919" xr:uid="{A34459C8-C285-4C09-9154-BB8406D57457}"/>
    <cellStyle name="20% - Accent2 2 2 2 3 5 3" xfId="11890" xr:uid="{D376EF5B-0AD8-4DC2-A452-D9BB3EC4DA32}"/>
    <cellStyle name="20% - Accent2 2 2 2 3 6" xfId="19899" xr:uid="{48BE7A53-FE85-4C47-88E9-5F221829C4A9}"/>
    <cellStyle name="20% - Accent2 2 2 2 3 6 2" xfId="6371" xr:uid="{3CD0C1A9-C02D-4A88-B147-AE1E8A7022ED}"/>
    <cellStyle name="20% - Accent2 2 2 2 3 7" xfId="19893" xr:uid="{6252F5C1-8DAA-45F3-B71A-5460182CAA4C}"/>
    <cellStyle name="20% - Accent2 2 2 2 4" xfId="33631" xr:uid="{9898C551-35C4-459E-A164-66CC1D03D3C9}"/>
    <cellStyle name="20% - Accent2 2 2 2 4 2" xfId="30941" xr:uid="{EE3F8224-0E5D-4C48-A079-A3C467144F5C}"/>
    <cellStyle name="20% - Accent2 2 2 2 4 2 2" xfId="32633" xr:uid="{934C1EAF-4BD9-4615-9EA9-6DFD4F33D8C6}"/>
    <cellStyle name="20% - Accent2 2 2 2 4 2 2 2" xfId="30937" xr:uid="{F542D40D-CC3E-4791-BCF7-3836CEEB3B4D}"/>
    <cellStyle name="20% - Accent2 2 2 2 4 2 2 2 2" xfId="31877" xr:uid="{287A57B0-9B68-472E-A921-44E23A3F2AD1}"/>
    <cellStyle name="20% - Accent2 2 2 2 4 2 2 2 2 2" xfId="15169" xr:uid="{C9B3BB97-9DCF-482A-9BBD-9D1993A8D8AC}"/>
    <cellStyle name="20% - Accent2 2 2 2 4 2 2 2 3" xfId="8576" xr:uid="{2FC24F5F-5BBD-412E-8FCE-0C526A331E76}"/>
    <cellStyle name="20% - Accent2 2 2 2 4 2 2 3" xfId="22942" xr:uid="{EBA9F4FB-3C5C-4FAC-B3CB-F5A06C964862}"/>
    <cellStyle name="20% - Accent2 2 2 2 4 2 2 3 2" xfId="30935" xr:uid="{24BA09A5-FE20-4B61-88F1-325C55BF2877}"/>
    <cellStyle name="20% - Accent2 2 2 2 4 2 2 4" xfId="21985" xr:uid="{02CF4944-DAF0-4F37-BDF8-CC6EE96BBBBD}"/>
    <cellStyle name="20% - Accent2 2 2 2 4 2 3" xfId="25618" xr:uid="{FE4120FD-4FA0-484C-AF52-B9705FD2F054}"/>
    <cellStyle name="20% - Accent2 2 2 2 4 2 3 2" xfId="30920" xr:uid="{D9F5575A-57C5-43AE-B3F5-59B7453D2B72}"/>
    <cellStyle name="20% - Accent2 2 2 2 4 2 3 2 2" xfId="30910" xr:uid="{A5012951-0FF7-4268-9116-811BE501C7AD}"/>
    <cellStyle name="20% - Accent2 2 2 2 4 2 3 3" xfId="21960" xr:uid="{A0F84A93-810B-4DFD-9672-98DA0F570A77}"/>
    <cellStyle name="20% - Accent2 2 2 2 4 2 4" xfId="30152" xr:uid="{4B643C00-5EA4-436F-867C-13E2984EC18A}"/>
    <cellStyle name="20% - Accent2 2 2 2 4 2 4 2" xfId="30899" xr:uid="{E05E337C-701A-4648-96BE-20E29875B7E5}"/>
    <cellStyle name="20% - Accent2 2 2 2 4 2 5" xfId="31374" xr:uid="{A0BB5E80-C40B-49DA-BB3F-914DC852F7FD}"/>
    <cellStyle name="20% - Accent2 2 2 2 4 3" xfId="32810" xr:uid="{D3FF2777-ED35-4EE7-9C3D-B8BEEDB71ADE}"/>
    <cellStyle name="20% - Accent2 2 2 2 4 3 2" xfId="25274" xr:uid="{587DB15E-DF8B-4896-BB32-AC386D49CCC6}"/>
    <cellStyle name="20% - Accent2 2 2 2 4 3 2 2" xfId="22374" xr:uid="{D23796AB-6BB8-4574-9EA5-4489D15644AD}"/>
    <cellStyle name="20% - Accent2 2 2 2 4 3 2 2 2" xfId="34181" xr:uid="{550324BF-7732-4E71-BA14-D0336F63A977}"/>
    <cellStyle name="20% - Accent2 2 2 2 4 3 2 3" xfId="21781" xr:uid="{7B186144-EA22-4667-AAF2-0B408E29155C}"/>
    <cellStyle name="20% - Accent2 2 2 2 4 3 3" xfId="26640" xr:uid="{AED519FD-2A5F-45EF-8DF1-2635B44875AB}"/>
    <cellStyle name="20% - Accent2 2 2 2 4 3 3 2" xfId="27840" xr:uid="{9A0CE04B-E247-46EB-8F7F-E769FC3FD9BF}"/>
    <cellStyle name="20% - Accent2 2 2 2 4 3 4" xfId="31356" xr:uid="{21B5A9D3-4F62-4E9D-B0CE-FBDC05EE31CD}"/>
    <cellStyle name="20% - Accent2 2 2 2 4 4" xfId="29404" xr:uid="{5ED8AD68-596E-4C6A-8B8D-9DB47C90E5BB}"/>
    <cellStyle name="20% - Accent2 2 2 2 4 4 2" xfId="30880" xr:uid="{1C6D0B15-4047-41E7-B54D-13D0CB75E2CF}"/>
    <cellStyle name="20% - Accent2 2 2 2 4 4 2 2" xfId="29917" xr:uid="{0EF98405-701C-4429-9E1E-94A1FAEF391E}"/>
    <cellStyle name="20% - Accent2 2 2 2 4 4 3" xfId="11880" xr:uid="{2281416B-DB18-450B-8203-167859D3841D}"/>
    <cellStyle name="20% - Accent2 2 2 2 4 5" xfId="19880" xr:uid="{11554650-DE83-4D31-B634-F9E3BCC5EC22}"/>
    <cellStyle name="20% - Accent2 2 2 2 4 5 2" xfId="6369" xr:uid="{C36E3B5A-396F-4F75-A6F2-2336092D18BE}"/>
    <cellStyle name="20% - Accent2 2 2 2 4 6" xfId="19875" xr:uid="{F47DF670-5A32-447C-A238-E1B3CAB5A55C}"/>
    <cellStyle name="20% - Accent2 2 2 2 5" xfId="34133" xr:uid="{F26A8A23-5A2C-4B54-B909-1DD0144238C2}"/>
    <cellStyle name="20% - Accent2 2 2 2 5 2" xfId="30866" xr:uid="{0E39F5BD-C916-462E-A1BB-B37288E464A5}"/>
    <cellStyle name="20% - Accent2 2 2 2 5 2 2" xfId="30864" xr:uid="{E81554D4-A0A7-4564-A7CF-333195D6DC0E}"/>
    <cellStyle name="20% - Accent2 2 2 2 5 2 2 2" xfId="6366" xr:uid="{C0264C4F-16FA-4763-895E-30598D59989F}"/>
    <cellStyle name="20% - Accent2 2 2 2 5 2 2 2 2" xfId="30852" xr:uid="{C344B7DD-F909-49FC-A79A-CB7AB70D4819}"/>
    <cellStyle name="20% - Accent2 2 2 2 5 2 2 3" xfId="5540" xr:uid="{F192ACC5-85A7-4973-AC7D-2A796D7103FE}"/>
    <cellStyle name="20% - Accent2 2 2 2 5 2 3" xfId="30120" xr:uid="{8DC9AE12-D6AF-46FA-8241-F960EA49AF2C}"/>
    <cellStyle name="20% - Accent2 2 2 2 5 2 3 2" xfId="5520" xr:uid="{40EFEFC9-D0F8-48AA-AFD2-8C6D858C678A}"/>
    <cellStyle name="20% - Accent2 2 2 2 5 2 4" xfId="31348" xr:uid="{69FD41AA-9074-4D11-A502-CF23C073738A}"/>
    <cellStyle name="20% - Accent2 2 2 2 5 3" xfId="32808" xr:uid="{863807A2-39CD-41DE-A851-26EABE498C73}"/>
    <cellStyle name="20% - Accent2 2 2 2 5 3 2" xfId="30844" xr:uid="{3804FED4-4744-46C5-9DFA-EA2E2677D77F}"/>
    <cellStyle name="20% - Accent2 2 2 2 5 3 2 2" xfId="20074" xr:uid="{18040BBB-04B0-4265-AA26-DC338A8B5944}"/>
    <cellStyle name="20% - Accent2 2 2 2 5 3 3" xfId="31336" xr:uid="{359CB663-2F75-4494-9D8D-0034AB78CA68}"/>
    <cellStyle name="20% - Accent2 2 2 2 5 4" xfId="29394" xr:uid="{3EB4BA1D-5ABC-4FF9-8351-DCDD65C02DDD}"/>
    <cellStyle name="20% - Accent2 2 2 2 5 4 2" xfId="29385" xr:uid="{DC3F1D8F-5FEA-46A7-8A5B-28A4C75BB50A}"/>
    <cellStyle name="20% - Accent2 2 2 2 5 5" xfId="19868" xr:uid="{A6D80AF5-96BC-4C00-9F9E-F3DA7D3E94D1}"/>
    <cellStyle name="20% - Accent2 2 2 2 6" xfId="30835" xr:uid="{342A83AE-2E3B-4A6C-8876-BB0A8B22BD4C}"/>
    <cellStyle name="20% - Accent2 2 2 2 6 2" xfId="30831" xr:uid="{FA848AF0-CE33-4C96-A4DE-39CAA2BA41FC}"/>
    <cellStyle name="20% - Accent2 2 2 2 6 2 2" xfId="30829" xr:uid="{05A450C5-7FEE-451F-ADA7-81495DAB8D52}"/>
    <cellStyle name="20% - Accent2 2 2 2 6 2 2 2" xfId="17568" xr:uid="{CD22858A-926D-4D51-AC5A-412130B88F83}"/>
    <cellStyle name="20% - Accent2 2 2 2 6 2 3" xfId="27001" xr:uid="{EEF425D1-5158-44F9-A24F-336AED6858F5}"/>
    <cellStyle name="20% - Accent2 2 2 2 6 3" xfId="31856" xr:uid="{A90B8D55-C6DE-4751-9788-728D2544ADF5}"/>
    <cellStyle name="20% - Accent2 2 2 2 6 3 2" xfId="30820" xr:uid="{CF018777-B82C-4704-A0AC-6A3DA675AE35}"/>
    <cellStyle name="20% - Accent2 2 2 2 6 4" xfId="30353" xr:uid="{6E742736-D37A-4A65-8268-DBE1E5C5CBDC}"/>
    <cellStyle name="20% - Accent2 2 2 2 7" xfId="30813" xr:uid="{C0457124-EC83-4696-AD56-56362B56A07D}"/>
    <cellStyle name="20% - Accent2 2 2 2 7 2" xfId="13183" xr:uid="{8579BF4C-737E-44EB-BE79-976FC7BDA9EE}"/>
    <cellStyle name="20% - Accent2 2 2 2 7 2 2" xfId="33218" xr:uid="{DFF408A9-A443-411F-BAAC-A221E502A6EB}"/>
    <cellStyle name="20% - Accent2 2 2 2 7 3" xfId="33731" xr:uid="{D84012D9-87F1-4AA8-B4B6-86CCAB793043}"/>
    <cellStyle name="20% - Accent2 2 2 2 8" xfId="27208" xr:uid="{89BE70AF-40BA-4932-9897-0273C1F84109}"/>
    <cellStyle name="20% - Accent2 2 2 2 8 2" xfId="30803" xr:uid="{56D278F7-ECEF-446B-AD87-3139670E1465}"/>
    <cellStyle name="20% - Accent2 2 2 2 9" xfId="30801" xr:uid="{BF21CCB5-3076-468D-A9EF-EEF857D94963}"/>
    <cellStyle name="20% - Accent2 2 2 3" xfId="29560" xr:uid="{C6EDC49C-BF30-4FF8-875E-7D7285408206}"/>
    <cellStyle name="20% - Accent2 2 2 3 2" xfId="30796" xr:uid="{276E7AF6-3455-4917-9BEC-4097E8E7F66E}"/>
    <cellStyle name="20% - Accent2 2 2 3 2 2" xfId="30769" xr:uid="{C75EB67D-8557-4DEE-95DD-B59271315F4E}"/>
    <cellStyle name="20% - Accent2 2 2 3 2 2 2" xfId="30768" xr:uid="{6FF343DA-ABF6-4B0A-AB3B-517E692DC6C2}"/>
    <cellStyle name="20% - Accent2 2 2 3 2 2 2 2" xfId="27691" xr:uid="{9FB38229-CCBD-49ED-825C-B83217B2D3EB}"/>
    <cellStyle name="20% - Accent2 2 2 3 2 2 2 2 2" xfId="30766" xr:uid="{381EE559-E2B5-4220-9B09-F4422FC54156}"/>
    <cellStyle name="20% - Accent2 2 2 3 2 2 2 2 2 2" xfId="18903" xr:uid="{FF248ECD-4710-4130-A27F-D47011819CB1}"/>
    <cellStyle name="20% - Accent2 2 2 3 2 2 2 2 2 2 2" xfId="21965" xr:uid="{7A7CDEDB-60B5-4486-919F-37F85AEA25DB}"/>
    <cellStyle name="20% - Accent2 2 2 3 2 2 2 2 2 3" xfId="30341" xr:uid="{596C0E14-B94A-4130-8DAD-24ABFD34D2CA}"/>
    <cellStyle name="20% - Accent2 2 2 3 2 2 2 2 3" xfId="31274" xr:uid="{337EC1D6-58FD-4922-93F6-9C472D93DDBE}"/>
    <cellStyle name="20% - Accent2 2 2 3 2 2 2 2 3 2" xfId="30760" xr:uid="{EB3CD8F3-7106-487F-ADBE-DED93970DB40}"/>
    <cellStyle name="20% - Accent2 2 2 3 2 2 2 2 4" xfId="31993" xr:uid="{C5D0A638-D619-4541-9B78-E4A800D93A69}"/>
    <cellStyle name="20% - Accent2 2 2 3 2 2 2 3" xfId="13033" xr:uid="{9247DB75-2179-499C-BDD0-B809F3895C38}"/>
    <cellStyle name="20% - Accent2 2 2 3 2 2 2 3 2" xfId="30755" xr:uid="{E7CC8C50-1AF2-4EC9-9937-C41375546F27}"/>
    <cellStyle name="20% - Accent2 2 2 3 2 2 2 3 2 2" xfId="30806" xr:uid="{6BA18867-5F15-4897-B3B6-8850C416ECC3}"/>
    <cellStyle name="20% - Accent2 2 2 3 2 2 2 3 3" xfId="32631" xr:uid="{88A8FEFF-A38F-4EB5-887C-6A738D855E9D}"/>
    <cellStyle name="20% - Accent2 2 2 3 2 2 2 4" xfId="13027" xr:uid="{89F2AE56-B649-4E01-85AA-B3D538E90AB3}"/>
    <cellStyle name="20% - Accent2 2 2 3 2 2 2 4 2" xfId="25786" xr:uid="{B93A48C7-EB18-4678-9D40-5CC7C1DCC31B}"/>
    <cellStyle name="20% - Accent2 2 2 3 2 2 2 5" xfId="33976" xr:uid="{6EDCEA9D-6803-496A-A46C-968AE6A8ED47}"/>
    <cellStyle name="20% - Accent2 2 2 3 2 2 3" xfId="31312" xr:uid="{21AFC9F8-0619-4376-AECD-E83A9BA62F61}"/>
    <cellStyle name="20% - Accent2 2 2 3 2 2 3 2" xfId="13023" xr:uid="{F9DD983D-FC28-409B-AC20-5C4C6F1125A6}"/>
    <cellStyle name="20% - Accent2 2 2 3 2 2 3 2 2" xfId="18927" xr:uid="{FE4DF95F-3364-478C-89B8-AE5356DC2C9D}"/>
    <cellStyle name="20% - Accent2 2 2 3 2 2 3 2 2 2" xfId="30731" xr:uid="{1FA74ECB-7EF5-4015-8BCD-2DFF008DF4DC}"/>
    <cellStyle name="20% - Accent2 2 2 3 2 2 3 2 3" xfId="18919" xr:uid="{2F61A581-8652-4327-A9FB-98E11E71F188}"/>
    <cellStyle name="20% - Accent2 2 2 3 2 2 3 3" xfId="13020" xr:uid="{3D0FAB08-F652-4D82-87E7-576DA9673526}"/>
    <cellStyle name="20% - Accent2 2 2 3 2 2 3 3 2" xfId="18911" xr:uid="{1B867B91-1F5E-4778-A09A-4708F6874262}"/>
    <cellStyle name="20% - Accent2 2 2 3 2 2 3 4" xfId="32914" xr:uid="{3CB5BB10-0383-4B69-8E36-6D834212A04F}"/>
    <cellStyle name="20% - Accent2 2 2 3 2 2 4" xfId="32553" xr:uid="{077F6FBC-B417-4FE1-9FA6-6DFFF4A0A04E}"/>
    <cellStyle name="20% - Accent2 2 2 3 2 2 4 2" xfId="13013" xr:uid="{79E64076-D34E-4167-B74A-3385DEA34007}"/>
    <cellStyle name="20% - Accent2 2 2 3 2 2 4 2 2" xfId="14799" xr:uid="{AFA1FCE5-6813-414B-B664-62950F8080CC}"/>
    <cellStyle name="20% - Accent2 2 2 3 2 2 4 3" xfId="25100" xr:uid="{CEAF1ABB-D7B3-4668-84B7-668272592753}"/>
    <cellStyle name="20% - Accent2 2 2 3 2 2 5" xfId="32427" xr:uid="{5BDEDE16-5BDA-4482-95BF-C954B7DEFB60}"/>
    <cellStyle name="20% - Accent2 2 2 3 2 2 5 2" xfId="25091" xr:uid="{37E085A8-1F32-4F16-85DF-449E3B5F5DE4}"/>
    <cellStyle name="20% - Accent2 2 2 3 2 2 6" xfId="30948" xr:uid="{B71D3B61-8D27-40ED-B7EF-1930529C6668}"/>
    <cellStyle name="20% - Accent2 2 2 3 2 3" xfId="34097" xr:uid="{3A553384-EE40-4E57-96C5-5FC06C3F2DB3}"/>
    <cellStyle name="20% - Accent2 2 2 3 2 3 2" xfId="30717" xr:uid="{02C2A097-F0CF-4DB9-90A2-CEE12FFC505E}"/>
    <cellStyle name="20% - Accent2 2 2 3 2 3 2 2" xfId="13006" xr:uid="{E512ACE9-6D3D-47CD-8A7C-4B2C74264505}"/>
    <cellStyle name="20% - Accent2 2 2 3 2 3 2 2 2" xfId="31007" xr:uid="{95A4F609-BEC5-4243-9A3C-817BD856E776}"/>
    <cellStyle name="20% - Accent2 2 2 3 2 3 2 2 2 2" xfId="29045" xr:uid="{0BE9F4AC-E090-410E-9921-3C3A0F0E5F6F}"/>
    <cellStyle name="20% - Accent2 2 2 3 2 3 2 2 3" xfId="18708" xr:uid="{7F42CD16-43F5-4E3F-8921-B40896BACB00}"/>
    <cellStyle name="20% - Accent2 2 2 3 2 3 2 3" xfId="13003" xr:uid="{EC7B3601-BE10-47F2-8FF2-85B20F86E12F}"/>
    <cellStyle name="20% - Accent2 2 2 3 2 3 2 3 2" xfId="33988" xr:uid="{268A3AE3-5F0F-4F16-9964-948939DE273F}"/>
    <cellStyle name="20% - Accent2 2 2 3 2 3 2 4" xfId="28739" xr:uid="{0FFC56EC-065C-497C-BBAB-7151EEB29E60}"/>
    <cellStyle name="20% - Accent2 2 2 3 2 3 3" xfId="25030" xr:uid="{316FAFC7-E4FF-4A0B-8EE0-2BC4EFE6527B}"/>
    <cellStyle name="20% - Accent2 2 2 3 2 3 3 2" xfId="12999" xr:uid="{4FEE740F-C2C5-45C9-9554-C3D56A685E18}"/>
    <cellStyle name="20% - Accent2 2 2 3 2 3 3 2 2" xfId="18881" xr:uid="{CF83D094-557A-415F-9DA9-5CE110F96E43}"/>
    <cellStyle name="20% - Accent2 2 2 3 2 3 3 3" xfId="31264" xr:uid="{BCA58CD1-EB6B-44F5-96EA-B223E8EF69F8}"/>
    <cellStyle name="20% - Accent2 2 2 3 2 3 4" xfId="32411" xr:uid="{B8A88FAB-C655-43CF-817D-166E68CD65A2}"/>
    <cellStyle name="20% - Accent2 2 2 3 2 3 4 2" xfId="31273" xr:uid="{10C11839-544E-4D5A-9199-472E5254399D}"/>
    <cellStyle name="20% - Accent2 2 2 3 2 3 5" xfId="31269" xr:uid="{F956F5B1-DAB0-403A-B81D-FBF6340A31AB}"/>
    <cellStyle name="20% - Accent2 2 2 3 2 4" xfId="30706" xr:uid="{2ADABFB3-279D-409D-A67D-4F80F5336B1C}"/>
    <cellStyle name="20% - Accent2 2 2 3 2 4 2" xfId="21710" xr:uid="{9E82FAF3-04F8-4026-AD1D-DD0C767F838B}"/>
    <cellStyle name="20% - Accent2 2 2 3 2 4 2 2" xfId="12993" xr:uid="{92CBB6AF-1439-485C-B56D-E3E917944C72}"/>
    <cellStyle name="20% - Accent2 2 2 3 2 4 2 2 2" xfId="32589" xr:uid="{F8C448CB-5006-4F84-A6AC-537C86F2EE89}"/>
    <cellStyle name="20% - Accent2 2 2 3 2 4 2 3" xfId="23218" xr:uid="{1727C18E-4319-42AC-8955-C0265BAB2D06}"/>
    <cellStyle name="20% - Accent2 2 2 3 2 4 3" xfId="11855" xr:uid="{854EEF09-222B-4877-8315-1BDEE8B779E7}"/>
    <cellStyle name="20% - Accent2 2 2 3 2 4 3 2" xfId="31197" xr:uid="{91E9B5B6-94DA-48AA-ACA5-E6A8B6D8328D}"/>
    <cellStyle name="20% - Accent2 2 2 3 2 4 4" xfId="11851" xr:uid="{59AC9C26-6625-4ED4-8C3E-01A045A2CA3A}"/>
    <cellStyle name="20% - Accent2 2 2 3 2 5" xfId="15560" xr:uid="{F35B3F76-398E-4E59-84A9-54E91DBFD378}"/>
    <cellStyle name="20% - Accent2 2 2 3 2 5 2" xfId="6358" xr:uid="{E03A357C-CC0C-4FEE-B989-35BCC92F1FC3}"/>
    <cellStyle name="20% - Accent2 2 2 3 2 5 2 2" xfId="23146" xr:uid="{99734608-DC22-4C23-A379-4AF1DE065430}"/>
    <cellStyle name="20% - Accent2 2 2 3 2 5 3" xfId="15362" xr:uid="{911AF9F6-0980-4072-94A9-F9C9BE7627F6}"/>
    <cellStyle name="20% - Accent2 2 2 3 2 6" xfId="15554" xr:uid="{854C4844-AEB6-4AFD-A69F-9A8FB20E4A76}"/>
    <cellStyle name="20% - Accent2 2 2 3 2 6 2" xfId="6355" xr:uid="{FAF28D83-8E98-44B5-8018-8F02C0ECCD3F}"/>
    <cellStyle name="20% - Accent2 2 2 3 2 7" xfId="19852" xr:uid="{5814C128-3EB0-4E44-84E5-373DB1C4F725}"/>
    <cellStyle name="20% - Accent2 2 2 3 3" xfId="30701" xr:uid="{048901F2-46DE-4F0F-AB2E-F3530537C7F4}"/>
    <cellStyle name="20% - Accent2 2 2 3 3 2" xfId="30697" xr:uid="{8A0F80A5-23C2-453A-972A-D649AB34065E}"/>
    <cellStyle name="20% - Accent2 2 2 3 3 2 2" xfId="30696" xr:uid="{FD7CB2E9-F73C-42A1-BDFD-B457593E27AD}"/>
    <cellStyle name="20% - Accent2 2 2 3 3 2 2 2" xfId="16591" xr:uid="{50F35C77-FD68-45EF-8E1A-1FD51DE449AB}"/>
    <cellStyle name="20% - Accent2 2 2 3 3 2 2 2 2" xfId="30686" xr:uid="{E6E2D55E-68B1-4FB5-88D1-55F5035B4FF8}"/>
    <cellStyle name="20% - Accent2 2 2 3 3 2 2 2 2 2" xfId="21503" xr:uid="{ABDFA6FB-90DA-489E-90D9-9CE50DD2ABAF}"/>
    <cellStyle name="20% - Accent2 2 2 3 3 2 2 2 3" xfId="27562" xr:uid="{A48F77C3-B662-4FB7-A326-919EC7038BF5}"/>
    <cellStyle name="20% - Accent2 2 2 3 3 2 2 3" xfId="16198" xr:uid="{B3326040-7D19-457A-984F-29BEF13EA9C4}"/>
    <cellStyle name="20% - Accent2 2 2 3 3 2 2 3 2" xfId="31609" xr:uid="{88F0B995-1304-450E-B186-B94D8AE43763}"/>
    <cellStyle name="20% - Accent2 2 2 3 3 2 2 4" xfId="17447" xr:uid="{90602CCC-564C-4A67-96ED-0761BA6847B4}"/>
    <cellStyle name="20% - Accent2 2 2 3 3 2 3" xfId="31226" xr:uid="{DB418B69-44AF-4888-B545-F2C2ED314377}"/>
    <cellStyle name="20% - Accent2 2 2 3 3 2 3 2" xfId="29335" xr:uid="{CF1A255B-314E-4948-8F94-61333246AFDA}"/>
    <cellStyle name="20% - Accent2 2 2 3 3 2 3 2 2" xfId="18798" xr:uid="{F965A8EA-D58F-4A0C-9295-B29E104DA4EE}"/>
    <cellStyle name="20% - Accent2 2 2 3 3 2 3 3" xfId="16179" xr:uid="{43140764-916B-4374-B662-2C25322BF630}"/>
    <cellStyle name="20% - Accent2 2 2 3 3 2 4" xfId="32541" xr:uid="{8C8C178F-EA2D-4A57-9877-DB524392004E}"/>
    <cellStyle name="20% - Accent2 2 2 3 3 2 4 2" xfId="25077" xr:uid="{FFF792CE-A12B-4CCA-9F53-DCA5D14783DB}"/>
    <cellStyle name="20% - Accent2 2 2 3 3 2 5" xfId="31216" xr:uid="{001B0B6A-A8ED-4D7E-9E1C-BCB7AD395687}"/>
    <cellStyle name="20% - Accent2 2 2 3 3 3" xfId="32145" xr:uid="{3C080A78-932C-44B1-83CE-F2340608465F}"/>
    <cellStyle name="20% - Accent2 2 2 3 3 3 2" xfId="32143" xr:uid="{1A9325AB-6C88-40A2-BEE5-63A584DE952C}"/>
    <cellStyle name="20% - Accent2 2 2 3 3 3 2 2" xfId="29281" xr:uid="{50378596-614D-4FAE-A40A-DA9D041AA8EC}"/>
    <cellStyle name="20% - Accent2 2 2 3 3 3 2 2 2" xfId="31120" xr:uid="{871A6544-752C-4130-BA3C-3D4BC4132382}"/>
    <cellStyle name="20% - Accent2 2 2 3 3 3 2 3" xfId="16158" xr:uid="{92F9C422-1ACB-4069-86E8-8A73D16C11B2}"/>
    <cellStyle name="20% - Accent2 2 2 3 3 3 3" xfId="26619" xr:uid="{4F6D4C02-F848-41DC-A498-6530482596A3}"/>
    <cellStyle name="20% - Accent2 2 2 3 3 3 3 2" xfId="30671" xr:uid="{C06D3029-7D5C-4321-8FFC-5ACE478E43DA}"/>
    <cellStyle name="20% - Accent2 2 2 3 3 3 4" xfId="31210" xr:uid="{B8442736-5219-4E77-8DBC-FB87C5E8E5F7}"/>
    <cellStyle name="20% - Accent2 2 2 3 3 4" xfId="30212" xr:uid="{8EB31F7B-BED3-4635-8FD7-BC0FEA5701F4}"/>
    <cellStyle name="20% - Accent2 2 2 3 3 4 2" xfId="29298" xr:uid="{FC9F59E0-C8E8-4219-988D-04A738187469}"/>
    <cellStyle name="20% - Accent2 2 2 3 3 4 2 2" xfId="23078" xr:uid="{E6827BD3-85A3-46AA-8B98-7A7A21B98882}"/>
    <cellStyle name="20% - Accent2 2 2 3 3 4 3" xfId="11844" xr:uid="{A85DB91D-F670-439B-B21C-AD4467447EAC}"/>
    <cellStyle name="20% - Accent2 2 2 3 3 5" xfId="15550" xr:uid="{A2BEE767-80C7-4D1D-8541-69EFE848476E}"/>
    <cellStyle name="20% - Accent2 2 2 3 3 5 2" xfId="6352" xr:uid="{E37277A2-258A-4A77-AA69-E19218D1DBC6}"/>
    <cellStyle name="20% - Accent2 2 2 3 3 6" xfId="19841" xr:uid="{73E2D4EF-25D4-4A5D-B8B1-F70DB901952E}"/>
    <cellStyle name="20% - Accent2 2 2 3 4" xfId="25280" xr:uid="{A9F2F31E-FA44-4CF0-AC42-ABA942C26B01}"/>
    <cellStyle name="20% - Accent2 2 2 3 4 2" xfId="30660" xr:uid="{2585F92C-7DFA-4A99-80B1-7EF52E254872}"/>
    <cellStyle name="20% - Accent2 2 2 3 4 2 2" xfId="31946" xr:uid="{83F24D72-3AB4-4A3D-BE93-8885C3FD9177}"/>
    <cellStyle name="20% - Accent2 2 2 3 4 2 2 2" xfId="31779" xr:uid="{9350533E-3ABA-43B5-BC3A-113A34B0A10F}"/>
    <cellStyle name="20% - Accent2 2 2 3 4 2 2 2 2" xfId="30657" xr:uid="{12DDC84D-3909-402A-9F15-3ADE36D4829F}"/>
    <cellStyle name="20% - Accent2 2 2 3 4 2 2 3" xfId="16114" xr:uid="{D99D21CE-9A12-4987-9A8C-61FB024AE00B}"/>
    <cellStyle name="20% - Accent2 2 2 3 4 2 3" xfId="19052" xr:uid="{D058A0EC-67CB-4974-B424-F191F53F0F39}"/>
    <cellStyle name="20% - Accent2 2 2 3 4 2 3 2" xfId="30656" xr:uid="{D0E099CD-382B-4033-B59B-A7A8AA19D49A}"/>
    <cellStyle name="20% - Accent2 2 2 3 4 2 4" xfId="19049" xr:uid="{9171E211-72D3-4DD0-9105-BD0F03310A29}"/>
    <cellStyle name="20% - Accent2 2 2 3 4 3" xfId="32141" xr:uid="{77ECB2A9-EDFC-44D9-AD2B-6C0B72410276}"/>
    <cellStyle name="20% - Accent2 2 2 3 4 3 2" xfId="31766" xr:uid="{DF29A9C9-C342-4B6E-AB89-9931F09E6668}"/>
    <cellStyle name="20% - Accent2 2 2 3 4 3 2 2" xfId="30400" xr:uid="{A615C1D7-CCED-4E87-AA1F-4E9674B5BB6E}"/>
    <cellStyle name="20% - Accent2 2 2 3 4 3 3" xfId="31183" xr:uid="{591BC48D-841D-490F-8500-F27B3FE0E1A7}"/>
    <cellStyle name="20% - Accent2 2 2 3 4 4" xfId="30179" xr:uid="{640858A1-673F-42B1-9682-109FF6B19C28}"/>
    <cellStyle name="20% - Accent2 2 2 3 4 4 2" xfId="29252" xr:uid="{70ED0088-A917-4A77-9811-C473705FE5A8}"/>
    <cellStyle name="20% - Accent2 2 2 3 4 5" xfId="19830" xr:uid="{6F4E37E8-6251-4BDC-8D44-9004DE0D7326}"/>
    <cellStyle name="20% - Accent2 2 2 3 5" xfId="25275" xr:uid="{8140E476-75DF-4606-81BE-B8A5F7DB2F9E}"/>
    <cellStyle name="20% - Accent2 2 2 3 5 2" xfId="30652" xr:uid="{E3A324F3-80AF-47D0-BFF0-4C36C9804685}"/>
    <cellStyle name="20% - Accent2 2 2 3 5 2 2" xfId="27894" xr:uid="{027B0238-A8DA-4A2C-8105-D04082ADA345}"/>
    <cellStyle name="20% - Accent2 2 2 3 5 2 2 2" xfId="31123" xr:uid="{ED26DC40-841B-4056-B936-91C6A3AE7A69}"/>
    <cellStyle name="20% - Accent2 2 2 3 5 2 3" xfId="30922" xr:uid="{465525CA-971C-4F1E-B391-2A8263C67B48}"/>
    <cellStyle name="20% - Accent2 2 2 3 5 3" xfId="30650" xr:uid="{ACC9E1FF-3982-4967-BFA8-4A12DCB911A9}"/>
    <cellStyle name="20% - Accent2 2 2 3 5 3 2" xfId="27693" xr:uid="{DD32C115-91EE-43CF-BBED-14E716DEF57F}"/>
    <cellStyle name="20% - Accent2 2 2 3 5 4" xfId="30638" xr:uid="{DB9EB0B6-7707-44E4-81AA-B2034DBAFDB4}"/>
    <cellStyle name="20% - Accent2 2 2 3 6" xfId="30633" xr:uid="{BB056042-E703-4F6E-8700-AFE600ACCC57}"/>
    <cellStyle name="20% - Accent2 2 2 3 6 2" xfId="30632" xr:uid="{908EB7B0-7B5E-43A1-9626-09E0DF383B7E}"/>
    <cellStyle name="20% - Accent2 2 2 3 6 2 2" xfId="27796" xr:uid="{329B3BC0-BB83-4A42-854F-5E284148C46C}"/>
    <cellStyle name="20% - Accent2 2 2 3 6 3" xfId="30625" xr:uid="{70AF76F6-E6E4-4BBA-8C21-229734080971}"/>
    <cellStyle name="20% - Accent2 2 2 3 7" xfId="30620" xr:uid="{99AD1B21-0768-4DD2-ACDF-2E21FCDB9C61}"/>
    <cellStyle name="20% - Accent2 2 2 3 7 2" xfId="30617" xr:uid="{16D649E3-826D-4919-965C-3D5D63564CA5}"/>
    <cellStyle name="20% - Accent2 2 2 3 8" xfId="27849" xr:uid="{30C1E0D8-2EE8-42AB-84DE-94BD553E1EF6}"/>
    <cellStyle name="20% - Accent2 2 2 4" xfId="5602" xr:uid="{910E317B-2585-4CBA-9A06-C2DDC7A9FD3B}"/>
    <cellStyle name="20% - Accent2 2 2 4 2" xfId="32942" xr:uid="{9E96A2F6-532A-470A-9E42-6DA6FCB5EFE6}"/>
    <cellStyle name="20% - Accent2 2 2 4 2 2" xfId="30612" xr:uid="{15A2504E-9A88-429B-81B3-8E4A85CFFB15}"/>
    <cellStyle name="20% - Accent2 2 2 4 2 2 2" xfId="34101" xr:uid="{276957BF-F9E8-4AC1-973E-64B0569010AE}"/>
    <cellStyle name="20% - Accent2 2 2 4 2 2 2 2" xfId="14740" xr:uid="{3DD12C52-8A3E-4BCB-AF62-5A3BA460A608}"/>
    <cellStyle name="20% - Accent2 2 2 4 2 2 2 2 2" xfId="30607" xr:uid="{07B6624F-7543-428D-B427-16792530FCBD}"/>
    <cellStyle name="20% - Accent2 2 2 4 2 2 2 2 2 2" xfId="28827" xr:uid="{7A565871-80CB-40DC-8D91-6673E401CE94}"/>
    <cellStyle name="20% - Accent2 2 2 4 2 2 2 2 3" xfId="27292" xr:uid="{687B5F52-2357-4442-939B-603484EED491}"/>
    <cellStyle name="20% - Accent2 2 2 4 2 2 2 3" xfId="12862" xr:uid="{14B84613-D275-4840-907D-4E6F10A6D0AF}"/>
    <cellStyle name="20% - Accent2 2 2 4 2 2 2 3 2" xfId="30599" xr:uid="{DD2865F7-FC64-46BC-AB58-42A563F3956B}"/>
    <cellStyle name="20% - Accent2 2 2 4 2 2 2 4" xfId="34230" xr:uid="{56B68626-2AA8-4A3A-8003-728310828DDC}"/>
    <cellStyle name="20% - Accent2 2 2 4 2 2 3" xfId="33319" xr:uid="{B6CB2E3B-01E2-4429-BA21-856246250A31}"/>
    <cellStyle name="20% - Accent2 2 2 4 2 2 3 2" xfId="12859" xr:uid="{F0C3227B-F862-4AF0-A321-42D0BBF7D73B}"/>
    <cellStyle name="20% - Accent2 2 2 4 2 2 3 2 2" xfId="19045" xr:uid="{35EF42A7-9229-48AC-ABAF-27DB34AF11FF}"/>
    <cellStyle name="20% - Accent2 2 2 4 2 2 3 3" xfId="30782" xr:uid="{794EF74F-A40E-4810-ACB7-2B55A52F563F}"/>
    <cellStyle name="20% - Accent2 2 2 4 2 2 4" xfId="32786" xr:uid="{07292A40-3F48-4285-BE1E-ABA114677E65}"/>
    <cellStyle name="20% - Accent2 2 2 4 2 2 4 2" xfId="15411" xr:uid="{1871AB48-4E61-4141-86A7-EFD8D983A48A}"/>
    <cellStyle name="20% - Accent2 2 2 4 2 2 5" xfId="12449" xr:uid="{0E1CACE9-C148-4C2D-BA64-7BECFF260B97}"/>
    <cellStyle name="20% - Accent2 2 2 4 2 3" xfId="26106" xr:uid="{768426E3-2F0C-4B91-A749-6FD1E3191627}"/>
    <cellStyle name="20% - Accent2 2 2 4 2 3 2" xfId="33229" xr:uid="{5E80B241-3F97-4253-BC67-2443815BCCC6}"/>
    <cellStyle name="20% - Accent2 2 2 4 2 3 2 2" xfId="12854" xr:uid="{2FB5B2B4-D254-4C1D-9C03-6BA93BC9B8DB}"/>
    <cellStyle name="20% - Accent2 2 2 4 2 3 2 2 2" xfId="21824" xr:uid="{F388C1E1-5F4C-47EA-B38F-CBC6A553F785}"/>
    <cellStyle name="20% - Accent2 2 2 4 2 3 2 3" xfId="7109" xr:uid="{CF45B3AC-01C2-4127-B80D-E2554078B088}"/>
    <cellStyle name="20% - Accent2 2 2 4 2 3 3" xfId="32628" xr:uid="{17678976-0493-4D5F-AAED-D1149888A5D4}"/>
    <cellStyle name="20% - Accent2 2 2 4 2 3 3 2" xfId="7103" xr:uid="{1D7B9A6D-93A4-4BC1-AE7E-487F879861D0}"/>
    <cellStyle name="20% - Accent2 2 2 4 2 3 4" xfId="32625" xr:uid="{326BE186-E89D-46E8-9B96-A2E836C13C59}"/>
    <cellStyle name="20% - Accent2 2 2 4 2 4" xfId="26194" xr:uid="{07692D67-B607-44D6-94B2-7FF8A4897437}"/>
    <cellStyle name="20% - Accent2 2 2 4 2 4 2" xfId="32645" xr:uid="{3E7168A1-64CF-4119-99A6-5F3B6CD07A53}"/>
    <cellStyle name="20% - Accent2 2 2 4 2 4 2 2" xfId="22766" xr:uid="{1DA5658F-92A1-4DA7-B17E-4E0FCA31CF88}"/>
    <cellStyle name="20% - Accent2 2 2 4 2 4 3" xfId="11820" xr:uid="{3ACC9ECF-0B94-4442-BE67-F088A7BE6B67}"/>
    <cellStyle name="20% - Accent2 2 2 4 2 5" xfId="15540" xr:uid="{7215462B-CADF-432D-B1A9-4889017DBAED}"/>
    <cellStyle name="20% - Accent2 2 2 4 2 5 2" xfId="6346" xr:uid="{CA368CD0-CB01-483E-BB10-1E69EF741594}"/>
    <cellStyle name="20% - Accent2 2 2 4 2 6" xfId="19819" xr:uid="{31489AC6-14BA-4C4D-A61B-D2040D1F5C2C}"/>
    <cellStyle name="20% - Accent2 2 2 4 3" xfId="27436" xr:uid="{625ED280-F518-41E8-AA03-38EB97680860}"/>
    <cellStyle name="20% - Accent2 2 2 4 3 2" xfId="30561" xr:uid="{D2B8A798-8F2F-4157-9BED-AD0A10BD099E}"/>
    <cellStyle name="20% - Accent2 2 2 4 3 2 2" xfId="33122" xr:uid="{4987FDC5-4299-4052-B21F-10A742C1E0EC}"/>
    <cellStyle name="20% - Accent2 2 2 4 3 2 2 2" xfId="18434" xr:uid="{1674FF4C-86DD-4DEC-8DE4-F3D91226DBD2}"/>
    <cellStyle name="20% - Accent2 2 2 4 3 2 2 2 2" xfId="30556" xr:uid="{F3900B94-99B7-41FB-B26B-B09FCE581EA3}"/>
    <cellStyle name="20% - Accent2 2 2 4 3 2 2 3" xfId="16045" xr:uid="{86EA4247-3041-43D0-8C87-EEB9A8890602}"/>
    <cellStyle name="20% - Accent2 2 2 4 3 2 3" xfId="33069" xr:uid="{A5B38547-8B40-4434-BED3-EEFA5E7BC837}"/>
    <cellStyle name="20% - Accent2 2 2 4 3 2 3 2" xfId="30543" xr:uid="{7263D41C-38E9-4DAD-AC38-B9E3278E88E5}"/>
    <cellStyle name="20% - Accent2 2 2 4 3 2 4" xfId="28438" xr:uid="{834D6392-9B68-4B11-B087-EFB15AF2D737}"/>
    <cellStyle name="20% - Accent2 2 2 4 3 3" xfId="26806" xr:uid="{F723C54F-7185-4DCF-8F99-13BAA945B98F}"/>
    <cellStyle name="20% - Accent2 2 2 4 3 3 2" xfId="33008" xr:uid="{9E71E8F2-913D-427E-906B-B671E9C07342}"/>
    <cellStyle name="20% - Accent2 2 2 4 3 3 2 2" xfId="28565" xr:uid="{4DCBA0EB-3ABA-4024-AD5F-ED244AFA7C37}"/>
    <cellStyle name="20% - Accent2 2 2 4 3 3 3" xfId="32948" xr:uid="{B3CE0F9F-9FB8-462C-93CD-8517573F5B16}"/>
    <cellStyle name="20% - Accent2 2 2 4 3 4" xfId="30752" xr:uid="{39BC2DFD-81B9-4B1F-9C82-B648796FDB79}"/>
    <cellStyle name="20% - Accent2 2 2 4 3 4 2" xfId="32608" xr:uid="{1AABAAF6-1233-4A7B-BBE0-8BDD7302234E}"/>
    <cellStyle name="20% - Accent2 2 2 4 3 5" xfId="19807" xr:uid="{D7257C84-F4AA-4AAC-B854-E3708F046001}"/>
    <cellStyle name="20% - Accent2 2 2 4 4" xfId="25269" xr:uid="{440AFE76-4361-4AD5-833F-243857A9C3D2}"/>
    <cellStyle name="20% - Accent2 2 2 4 4 2" xfId="23303" xr:uid="{29200DDE-7437-4C56-833D-B12E4405B554}"/>
    <cellStyle name="20% - Accent2 2 2 4 4 2 2" xfId="32923" xr:uid="{7B9067EE-A671-4E3F-8299-8F2BF5561BD1}"/>
    <cellStyle name="20% - Accent2 2 2 4 4 2 2 2" xfId="30524" xr:uid="{4EC544A3-DC52-4AD7-985D-45D47869E342}"/>
    <cellStyle name="20% - Accent2 2 2 4 4 2 3" xfId="32902" xr:uid="{FC5AA604-EB1E-4013-8437-3550653C4F72}"/>
    <cellStyle name="20% - Accent2 2 2 4 4 3" xfId="30518" xr:uid="{F4DD7875-3A5B-4A7A-941F-ECEB35704391}"/>
    <cellStyle name="20% - Accent2 2 2 4 4 3 2" xfId="32867" xr:uid="{3E8159E3-1472-4A86-B964-D6A5B20DB158}"/>
    <cellStyle name="20% - Accent2 2 2 4 4 4" xfId="30741" xr:uid="{AE56D414-B86E-4496-991E-D08B3DD4338D}"/>
    <cellStyle name="20% - Accent2 2 2 4 5" xfId="30517" xr:uid="{0332DF1A-4308-4D72-AFED-AF0D7FB2F758}"/>
    <cellStyle name="20% - Accent2 2 2 4 5 2" xfId="30511" xr:uid="{941BCCD4-D304-4574-9A82-4C0CACD3355D}"/>
    <cellStyle name="20% - Accent2 2 2 4 5 2 2" xfId="30123" xr:uid="{6E6B8350-63B9-4264-ACA5-97F2B81B6ECD}"/>
    <cellStyle name="20% - Accent2 2 2 4 5 3" xfId="30507" xr:uid="{67ED13F8-BDF2-439A-9219-7F4081452864}"/>
    <cellStyle name="20% - Accent2 2 2 4 6" xfId="30498" xr:uid="{E658D37C-3C2A-47D0-B274-A81B1B49F01D}"/>
    <cellStyle name="20% - Accent2 2 2 4 6 2" xfId="30495" xr:uid="{BB33769B-7DB9-4C2E-9C5D-A867034FA184}"/>
    <cellStyle name="20% - Accent2 2 2 4 7" xfId="30492" xr:uid="{99E610D4-2FD0-45C4-B5BE-846DB529178A}"/>
    <cellStyle name="20% - Accent2 2 2 5" xfId="32938" xr:uid="{3CC6748B-DDC7-405D-87DE-5E9096BCE373}"/>
    <cellStyle name="20% - Accent2 2 2 5 2" xfId="32933" xr:uid="{B693FB00-6625-4249-AAC1-D67DA4105A9E}"/>
    <cellStyle name="20% - Accent2 2 2 5 2 2" xfId="33129" xr:uid="{22852083-D399-4414-A6C3-F0055CFD18C3}"/>
    <cellStyle name="20% - Accent2 2 2 5 2 2 2" xfId="32214" xr:uid="{C29BC4D2-C33F-421B-86B7-C659A4F44271}"/>
    <cellStyle name="20% - Accent2 2 2 5 2 2 2 2" xfId="12804" xr:uid="{9BC71DB7-B337-4A39-A3A8-D7DBB22F4B5C}"/>
    <cellStyle name="20% - Accent2 2 2 5 2 2 2 2 2" xfId="27729" xr:uid="{D3B0D2A7-68CC-4060-962E-A9D433FFA278}"/>
    <cellStyle name="20% - Accent2 2 2 5 2 2 2 3" xfId="33877" xr:uid="{625639FF-9D56-4D32-8DD0-F440B4E1D29A}"/>
    <cellStyle name="20% - Accent2 2 2 5 2 2 3" xfId="30329" xr:uid="{E0ACFBBC-E9EC-4296-AAC8-D0463E770B39}"/>
    <cellStyle name="20% - Accent2 2 2 5 2 2 3 2" xfId="33393" xr:uid="{088C786C-0F67-4820-9ECA-7068600BA40E}"/>
    <cellStyle name="20% - Accent2 2 2 5 2 2 4" xfId="32179" xr:uid="{AFF80997-50E3-4E2C-97E6-866166B45261}"/>
    <cellStyle name="20% - Accent2 2 2 5 2 3" xfId="30484" xr:uid="{B24CE564-EA02-489C-A003-D15703C5360A}"/>
    <cellStyle name="20% - Accent2 2 2 5 2 3 2" xfId="34067" xr:uid="{8091C089-77B6-47D3-911B-6B22259944B1}"/>
    <cellStyle name="20% - Accent2 2 2 5 2 3 2 2" xfId="11617" xr:uid="{009EBAE8-8CDE-40E7-A087-6F67B1F1C5B2}"/>
    <cellStyle name="20% - Accent2 2 2 5 2 3 3" xfId="32507" xr:uid="{32CD3EA6-9FEB-4C3D-A7D0-BC33AEADDABE}"/>
    <cellStyle name="20% - Accent2 2 2 5 2 4" xfId="30737" xr:uid="{08395A66-2A8B-4351-83E0-74B4E16D7514}"/>
    <cellStyle name="20% - Accent2 2 2 5 2 4 2" xfId="21131" xr:uid="{AAFEED04-D67C-4F9B-A79F-1B31D51A073E}"/>
    <cellStyle name="20% - Accent2 2 2 5 2 5" xfId="19803" xr:uid="{043767CF-8218-4490-970D-2A368C2C94F6}"/>
    <cellStyle name="20% - Accent2 2 2 5 3" xfId="30483" xr:uid="{0D27A8C2-956C-454F-A230-086E6A259603}"/>
    <cellStyle name="20% - Accent2 2 2 5 3 2" xfId="30479" xr:uid="{CDA16D37-8538-421E-BAA9-76980785B8F5}"/>
    <cellStyle name="20% - Accent2 2 2 5 3 2 2" xfId="32086" xr:uid="{2A8F9549-69BD-4E6A-867E-55B3ED16AE1B}"/>
    <cellStyle name="20% - Accent2 2 2 5 3 2 2 2" xfId="30475" xr:uid="{CEB88B6D-45A3-4D69-AD36-AF9407D558AF}"/>
    <cellStyle name="20% - Accent2 2 2 5 3 2 3" xfId="32080" xr:uid="{4656EA22-6EB8-42A8-8193-65F72D476BBD}"/>
    <cellStyle name="20% - Accent2 2 2 5 3 3" xfId="30471" xr:uid="{0D013F9F-24DD-467B-BCCC-C9F1ECDA82EE}"/>
    <cellStyle name="20% - Accent2 2 2 5 3 3 2" xfId="23236" xr:uid="{04B7DA8A-411F-4BF4-A5A2-2CD3049028CA}"/>
    <cellStyle name="20% - Accent2 2 2 5 3 4" xfId="30727" xr:uid="{912EBDD1-F90C-4CA4-998D-C6DF932EC1B1}"/>
    <cellStyle name="20% - Accent2 2 2 5 4" xfId="23686" xr:uid="{B5BCF786-3C82-4DEF-B37D-9374FE7CED27}"/>
    <cellStyle name="20% - Accent2 2 2 5 4 2" xfId="22702" xr:uid="{6CF106D5-7DA9-49A6-AF65-1CC3EAD3B2B6}"/>
    <cellStyle name="20% - Accent2 2 2 5 4 2 2" xfId="27373" xr:uid="{3B39EA47-73CC-4864-9608-4DC279D16853}"/>
    <cellStyle name="20% - Accent2 2 2 5 4 3" xfId="30467" xr:uid="{81C06743-FE5C-4E79-858D-783768A6F2BD}"/>
    <cellStyle name="20% - Accent2 2 2 5 5" xfId="23667" xr:uid="{02A5BD29-58C5-4DE8-97F7-28BB1963CC14}"/>
    <cellStyle name="20% - Accent2 2 2 5 5 2" xfId="30462" xr:uid="{377BC7C9-28D9-47E0-A9AB-361619E6D3ED}"/>
    <cellStyle name="20% - Accent2 2 2 5 6" xfId="23657" xr:uid="{F3296B24-0A46-4D5E-849E-22E549B2F686}"/>
    <cellStyle name="20% - Accent2 2 2 6" xfId="32658" xr:uid="{73C7AD3A-E435-45D9-9DE7-AE93CE162B3F}"/>
    <cellStyle name="20% - Accent2 2 2 6 2" xfId="30451" xr:uid="{9EA0E782-4C7D-41E2-AB63-99BE1F514DDB}"/>
    <cellStyle name="20% - Accent2 2 2 6 2 2" xfId="30450" xr:uid="{22505211-9044-468B-985A-81D1BCF57BE5}"/>
    <cellStyle name="20% - Accent2 2 2 6 2 2 2" xfId="31089" xr:uid="{33C1C228-AE75-4B59-8A09-96F16B3860C1}"/>
    <cellStyle name="20% - Accent2 2 2 6 2 2 2 2" xfId="20836" xr:uid="{625719CC-33AB-4C21-B324-124ECD87F293}"/>
    <cellStyle name="20% - Accent2 2 2 6 2 2 3" xfId="32376" xr:uid="{B70C6148-FB66-442F-A1BD-A68413AB4C96}"/>
    <cellStyle name="20% - Accent2 2 2 6 2 3" xfId="34001" xr:uid="{E62192D5-85F9-4405-86A0-238C727FACBB}"/>
    <cellStyle name="20% - Accent2 2 2 6 2 3 2" xfId="31590" xr:uid="{33B69F95-0972-4784-B138-D218245313A7}"/>
    <cellStyle name="20% - Accent2 2 2 6 2 4" xfId="31685" xr:uid="{D026B442-CE2B-497F-9FCB-67667CBEADE9}"/>
    <cellStyle name="20% - Accent2 2 2 6 3" xfId="30033" xr:uid="{DD556104-8D45-41E5-906C-445CC05A8931}"/>
    <cellStyle name="20% - Accent2 2 2 6 3 2" xfId="15054" xr:uid="{AFA266A5-EEB7-448C-B225-426EFD457247}"/>
    <cellStyle name="20% - Accent2 2 2 6 3 2 2" xfId="31564" xr:uid="{BE712287-FC50-41B2-A2E8-70D9BBAD55B6}"/>
    <cellStyle name="20% - Accent2 2 2 6 3 3" xfId="23133" xr:uid="{2E5626AE-8C46-47E6-B8AF-34FF4089822F}"/>
    <cellStyle name="20% - Accent2 2 2 6 4" xfId="23646" xr:uid="{211AC537-CA28-4A1B-BB15-9B8F7E517B16}"/>
    <cellStyle name="20% - Accent2 2 2 6 4 2" xfId="21768" xr:uid="{A859B2FC-99A7-4ED2-8E59-F358B1F01E69}"/>
    <cellStyle name="20% - Accent2 2 2 6 5" xfId="23284" xr:uid="{F4EBE1BB-367C-4092-BC30-983DCC832027}"/>
    <cellStyle name="20% - Accent2 2 2 7" xfId="30423" xr:uid="{CFBD62A4-3291-4D39-88B8-53C72EF9BAA7}"/>
    <cellStyle name="20% - Accent2 2 2 7 2" xfId="30421" xr:uid="{587BF56E-A6DD-4F90-A0AB-31F28F5F17E8}"/>
    <cellStyle name="20% - Accent2 2 2 7 2 2" xfId="30420" xr:uid="{E5F927C9-06D3-4FA6-9BF9-60A4C1AFE68E}"/>
    <cellStyle name="20% - Accent2 2 2 7 2 2 2" xfId="27797" xr:uid="{C3E257B6-F174-4DFD-80F2-750B28CC8DFA}"/>
    <cellStyle name="20% - Accent2 2 2 7 2 3" xfId="30417" xr:uid="{47EB5D22-18CA-457C-A6F4-5C42EF39BD80}"/>
    <cellStyle name="20% - Accent2 2 2 7 3" xfId="28993" xr:uid="{5C62B7CF-1C70-480E-BCEC-A6949F2EB041}"/>
    <cellStyle name="20% - Accent2 2 2 7 3 2" xfId="16303" xr:uid="{AB68CCA8-A9DA-4425-BC84-4A8A8D2F6C34}"/>
    <cellStyle name="20% - Accent2 2 2 7 4" xfId="16301" xr:uid="{6D46035F-074E-45F5-9EEF-76DB78483DC0}"/>
    <cellStyle name="20% - Accent2 2 2 8" xfId="30416" xr:uid="{F90CC6AC-5EA8-4FFD-96AE-71D1B688EC61}"/>
    <cellStyle name="20% - Accent2 2 2 8 2" xfId="33428" xr:uid="{3A2C8941-5144-4B3B-AB69-2C3A8F2309E5}"/>
    <cellStyle name="20% - Accent2 2 2 8 2 2" xfId="25589" xr:uid="{8FDF73B5-652D-45F4-A9B7-BE85C5F13CCA}"/>
    <cellStyle name="20% - Accent2 2 2 8 3" xfId="16295" xr:uid="{01BB40E9-C9D0-4696-92ED-18AC83EB7F28}"/>
    <cellStyle name="20% - Accent2 2 2 9" xfId="30413" xr:uid="{24E5C21B-DB78-4DC4-88BE-36C8D459C177}"/>
    <cellStyle name="20% - Accent2 2 2 9 2" xfId="27538" xr:uid="{D6995E7D-EF0E-488A-84D0-93A97795026D}"/>
    <cellStyle name="20% - Accent2 2 3" xfId="202" xr:uid="{152AA100-B8B3-4239-A997-F3EAF5E66EB6}"/>
    <cellStyle name="20% - Accent2 2 3 10" xfId="34536" xr:uid="{FA0C88C8-BCF9-41AB-A7D2-6EFDE2BD95E1}"/>
    <cellStyle name="20% - Accent2 2 3 11" xfId="33236" xr:uid="{B05E0F40-00F6-4A5B-9DD4-3DC0C57DCD1B}"/>
    <cellStyle name="20% - Accent2 2 3 2" xfId="32842" xr:uid="{90DCCF03-D8F9-491D-A9C3-C3748ABBB3C0}"/>
    <cellStyle name="20% - Accent2 2 3 2 2" xfId="33172" xr:uid="{73766F26-D856-4F6E-882A-104C4D8DC2A1}"/>
    <cellStyle name="20% - Accent2 2 3 2 2 2" xfId="30412" xr:uid="{9B0D7BDB-00DD-4DE4-AB13-047B9496CAD2}"/>
    <cellStyle name="20% - Accent2 2 3 2 2 2 2" xfId="30397" xr:uid="{1A4EC3D3-CF21-40B3-A6C1-36D57C57FE4A}"/>
    <cellStyle name="20% - Accent2 2 3 2 2 2 2 2" xfId="7216" xr:uid="{DD3ABB0B-3038-4886-98CF-926EC1DD1755}"/>
    <cellStyle name="20% - Accent2 2 3 2 2 2 2 2 2" xfId="14583" xr:uid="{7395E028-CEB9-404E-8CE7-6AC0BFD90D68}"/>
    <cellStyle name="20% - Accent2 2 3 2 2 2 2 2 2 2" xfId="7559" xr:uid="{F09A0439-5D6C-44ED-9433-EB7477654902}"/>
    <cellStyle name="20% - Accent2 2 3 2 2 2 2 2 2 2 2" xfId="21852" xr:uid="{BCBA25E4-B6CA-498D-BE6F-01A024E75DFD}"/>
    <cellStyle name="20% - Accent2 2 3 2 2 2 2 2 2 3" xfId="7554" xr:uid="{2A149E5F-390E-4741-9D92-B4129D15306B}"/>
    <cellStyle name="20% - Accent2 2 3 2 2 2 2 2 3" xfId="27040" xr:uid="{3CC72061-F4A5-4606-8E4D-6072BE6B4AA3}"/>
    <cellStyle name="20% - Accent2 2 3 2 2 2 2 2 3 2" xfId="7550" xr:uid="{554B01DE-E4F7-431F-BE54-384BBB3D5AC1}"/>
    <cellStyle name="20% - Accent2 2 3 2 2 2 2 2 4" xfId="31349" xr:uid="{E2135864-2BF1-4A68-8B21-AC2326147DF8}"/>
    <cellStyle name="20% - Accent2 2 3 2 2 2 2 3" xfId="12615" xr:uid="{8D42C38A-C697-4A0B-8593-906E4D40C4A6}"/>
    <cellStyle name="20% - Accent2 2 3 2 2 2 2 3 2" xfId="29746" xr:uid="{D9DB0597-02E6-41A0-A9A0-5B63199D3E24}"/>
    <cellStyle name="20% - Accent2 2 3 2 2 2 2 3 2 2" xfId="30387" xr:uid="{89EAF9EE-665F-4AC1-B18F-69701F537287}"/>
    <cellStyle name="20% - Accent2 2 3 2 2 2 2 3 3" xfId="27036" xr:uid="{8BAC01EA-6249-4D7D-B185-72B7D9D636C4}"/>
    <cellStyle name="20% - Accent2 2 3 2 2 2 2 4" xfId="12607" xr:uid="{A35FD562-D0FF-4A65-B448-A57E1EDA0671}"/>
    <cellStyle name="20% - Accent2 2 3 2 2 2 2 4 2" xfId="28930" xr:uid="{51C62463-5B83-4641-A509-DF489A1C0FE6}"/>
    <cellStyle name="20% - Accent2 2 3 2 2 2 2 5" xfId="28926" xr:uid="{999618D0-F448-420B-B32A-E48BC92954FD}"/>
    <cellStyle name="20% - Accent2 2 3 2 2 2 3" xfId="30378" xr:uid="{30A9C55C-8C42-485F-8D2A-493BF83539BC}"/>
    <cellStyle name="20% - Accent2 2 3 2 2 2 3 2" xfId="12593" xr:uid="{558D02CB-D0BB-4C9F-999A-3F8BD3AA51E0}"/>
    <cellStyle name="20% - Accent2 2 3 2 2 2 3 2 2" xfId="30547" xr:uid="{7D322F5D-CD64-4F1B-BBD0-B1FB655A80E9}"/>
    <cellStyle name="20% - Accent2 2 3 2 2 2 3 2 2 2" xfId="7527" xr:uid="{8301FE36-3228-4503-AF39-C12B3F6EB2E5}"/>
    <cellStyle name="20% - Accent2 2 3 2 2 2 3 2 3" xfId="27024" xr:uid="{3A2B95C9-EBE6-4C52-94DB-0C41D4E69068}"/>
    <cellStyle name="20% - Accent2 2 3 2 2 2 3 3" xfId="12589" xr:uid="{5B473DAE-369C-454C-9298-D2D1EB73CC77}"/>
    <cellStyle name="20% - Accent2 2 3 2 2 2 3 3 2" xfId="33449" xr:uid="{02272B63-5DB4-4198-AE58-774A56C07EB8}"/>
    <cellStyle name="20% - Accent2 2 3 2 2 2 3 4" xfId="18196" xr:uid="{C9F0E6CB-7E96-459F-9B61-44B232DED54A}"/>
    <cellStyle name="20% - Accent2 2 3 2 2 2 4" xfId="30376" xr:uid="{AFF6DD12-3B63-4CA6-8189-FB98468D6180}"/>
    <cellStyle name="20% - Accent2 2 3 2 2 2 4 2" xfId="12581" xr:uid="{00DB2945-AD8D-4D9E-8A91-8593652BF11A}"/>
    <cellStyle name="20% - Accent2 2 3 2 2 2 4 2 2" xfId="30459" xr:uid="{0346F053-70E7-4EEF-B7B4-1DBB411C9553}"/>
    <cellStyle name="20% - Accent2 2 3 2 2 2 4 3" xfId="25252" xr:uid="{9CDB738B-9914-409B-BA10-7CF030A901D6}"/>
    <cellStyle name="20% - Accent2 2 3 2 2 2 5" xfId="30501" xr:uid="{B050BAF0-6CFB-4CB7-B6F5-8AF7E8685BDB}"/>
    <cellStyle name="20% - Accent2 2 3 2 2 2 5 2" xfId="15563" xr:uid="{4FC79F39-FE15-4145-9B6E-21D33AFFE761}"/>
    <cellStyle name="20% - Accent2 2 3 2 2 2 6" xfId="30909" xr:uid="{B4386A7B-8F1A-43DC-9A9E-C2E8C756F132}"/>
    <cellStyle name="20% - Accent2 2 3 2 2 3" xfId="30374" xr:uid="{4AAA5C2C-28B6-49DD-9FE2-F2730E0B69B4}"/>
    <cellStyle name="20% - Accent2 2 3 2 2 3 2" xfId="30361" xr:uid="{A06AC6E7-C98E-46EA-B81D-83FDD33948E4}"/>
    <cellStyle name="20% - Accent2 2 3 2 2 3 2 2" xfId="30358" xr:uid="{D0F5A6A8-8252-4808-B601-4B245CFED10D}"/>
    <cellStyle name="20% - Accent2 2 3 2 2 3 2 2 2" xfId="29492" xr:uid="{C9E18ED8-FECC-4585-8A67-6E5FA0A6B1C6}"/>
    <cellStyle name="20% - Accent2 2 3 2 2 3 2 2 2 2" xfId="30356" xr:uid="{28CA3CB6-6E85-4B4D-8724-E6E4CBD76D64}"/>
    <cellStyle name="20% - Accent2 2 3 2 2 3 2 2 3" xfId="25513" xr:uid="{F09A271D-96D0-4467-86DB-9AF78E834988}"/>
    <cellStyle name="20% - Accent2 2 3 2 2 3 2 3" xfId="12569" xr:uid="{E778FDBB-E3B5-4915-AC14-50DE14D211FB}"/>
    <cellStyle name="20% - Accent2 2 3 2 2 3 2 3 2" xfId="33847" xr:uid="{F6E68FF2-76D3-4CAE-B6E5-8810D0CF4D0A}"/>
    <cellStyle name="20% - Accent2 2 3 2 2 3 2 4" xfId="28351" xr:uid="{C54661B3-5B50-4FDC-891D-CAF8640529AC}"/>
    <cellStyle name="20% - Accent2 2 3 2 2 3 3" xfId="30333" xr:uid="{A51C90E3-BD76-42E9-B173-E8D0518DF713}"/>
    <cellStyle name="20% - Accent2 2 3 2 2 3 3 2" xfId="16042" xr:uid="{F51FCEC2-C049-452D-B875-4D6796C7952E}"/>
    <cellStyle name="20% - Accent2 2 3 2 2 3 3 2 2" xfId="31759" xr:uid="{D8EC6C27-4AFE-4995-87E1-7464018FD2E5}"/>
    <cellStyle name="20% - Accent2 2 3 2 2 3 3 3" xfId="18169" xr:uid="{70785377-7203-4428-A761-27E304D9CDF6}"/>
    <cellStyle name="20% - Accent2 2 3 2 2 3 4" xfId="30331" xr:uid="{19B080DD-C6A0-4A1F-B2E9-2A5B6D45127F}"/>
    <cellStyle name="20% - Accent2 2 3 2 2 3 4 2" xfId="25206" xr:uid="{8C0D99CF-F0C0-4357-A996-0D434A9B8090}"/>
    <cellStyle name="20% - Accent2 2 3 2 2 3 5" xfId="32576" xr:uid="{C136D718-FF01-4040-A026-25CB683C1B34}"/>
    <cellStyle name="20% - Accent2 2 3 2 2 4" xfId="31309" xr:uid="{96C0450D-53F5-41AF-9E04-3CEDB771C080}"/>
    <cellStyle name="20% - Accent2 2 3 2 2 4 2" xfId="28305" xr:uid="{90FC5D0B-B92F-4363-ABF4-B1D9D7004F65}"/>
    <cellStyle name="20% - Accent2 2 3 2 2 4 2 2" xfId="13499" xr:uid="{DDF38BBE-3B41-4D59-B1B1-D3695BEA0C6B}"/>
    <cellStyle name="20% - Accent2 2 3 2 2 4 2 2 2" xfId="31571" xr:uid="{3AF64D01-CBD3-478A-8615-052613CD8B02}"/>
    <cellStyle name="20% - Accent2 2 3 2 2 4 2 3" xfId="21514" xr:uid="{F788D14C-5F4A-4A49-AAF3-4906E38962B5}"/>
    <cellStyle name="20% - Accent2 2 3 2 2 4 3" xfId="11770" xr:uid="{E5811EF0-8CE5-4DFE-B017-D77C8F35631F}"/>
    <cellStyle name="20% - Accent2 2 3 2 2 4 3 2" xfId="18156" xr:uid="{F6943D52-8F9B-4BAC-9C2A-C1437A304547}"/>
    <cellStyle name="20% - Accent2 2 3 2 2 4 4" xfId="11761" xr:uid="{A691B461-D2D6-4B24-B2DC-B73B6DAA6615}"/>
    <cellStyle name="20% - Accent2 2 3 2 2 5" xfId="25136" xr:uid="{F0FAC40A-05C5-4B75-8BC8-DDA6F4DD3316}"/>
    <cellStyle name="20% - Accent2 2 3 2 2 5 2" xfId="6092" xr:uid="{95BCE1C6-D4E9-4F76-B7B8-326B0489DE04}"/>
    <cellStyle name="20% - Accent2 2 3 2 2 5 2 2" xfId="30481" xr:uid="{44DB4DE5-788F-4754-A1F7-D199262BC6DC}"/>
    <cellStyle name="20% - Accent2 2 3 2 2 5 3" xfId="13492" xr:uid="{82A55EDD-305C-470C-8EEF-C7F5F3382332}"/>
    <cellStyle name="20% - Accent2 2 3 2 2 6" xfId="19790" xr:uid="{0FA4DDE0-595F-468A-A756-89C0354005AC}"/>
    <cellStyle name="20% - Accent2 2 3 2 2 6 2" xfId="15787" xr:uid="{24091C44-6C64-48F5-A525-0DB6088FE241}"/>
    <cellStyle name="20% - Accent2 2 3 2 2 7" xfId="19783" xr:uid="{8C5FE33C-F65A-4A7B-9AAA-3C26E784416C}"/>
    <cellStyle name="20% - Accent2 2 3 2 3" xfId="27455" xr:uid="{D44C641B-B311-4F15-B9C1-A4056A8F1006}"/>
    <cellStyle name="20% - Accent2 2 3 2 3 2" xfId="32721" xr:uid="{DF0D40A8-9482-411D-91E1-6D7F6307E7C2}"/>
    <cellStyle name="20% - Accent2 2 3 2 3 2 2" xfId="29580" xr:uid="{E938845A-4612-48C2-BF97-63963E510A34}"/>
    <cellStyle name="20% - Accent2 2 3 2 3 2 2 2" xfId="12505" xr:uid="{96D1BAF9-F6A2-4CF4-ABA6-39F125306606}"/>
    <cellStyle name="20% - Accent2 2 3 2 3 2 2 2 2" xfId="30925" xr:uid="{F7E23050-5EFD-44D9-B3CC-F4D7DA4765D2}"/>
    <cellStyle name="20% - Accent2 2 3 2 3 2 2 2 2 2" xfId="7345" xr:uid="{BCCB1979-5607-4B8F-B712-D6645E4D74D6}"/>
    <cellStyle name="20% - Accent2 2 3 2 3 2 2 2 3" xfId="29817" xr:uid="{51DF7F30-F544-4F6A-AAA4-F8EA50906F74}"/>
    <cellStyle name="20% - Accent2 2 3 2 3 2 2 3" xfId="12501" xr:uid="{C1CC7AE1-D6F1-4C46-93E1-FB37A3133B99}"/>
    <cellStyle name="20% - Accent2 2 3 2 3 2 2 3 2" xfId="30304" xr:uid="{06F9E576-7E84-4493-B763-28FFBFF98EA4}"/>
    <cellStyle name="20% - Accent2 2 3 2 3 2 2 4" xfId="28907" xr:uid="{2B998252-754D-40CD-8C85-BF777131CA64}"/>
    <cellStyle name="20% - Accent2 2 3 2 3 2 3" xfId="28878" xr:uid="{6608CAE7-1E15-41D1-9654-EF9BBF8A3FCE}"/>
    <cellStyle name="20% - Accent2 2 3 2 3 2 3 2" xfId="12492" xr:uid="{EC4A626A-D0F7-49C2-BE20-D226393B298C}"/>
    <cellStyle name="20% - Accent2 2 3 2 3 2 3 2 2" xfId="27586" xr:uid="{239EFD70-6B66-4DA6-87B4-2CE496C7FE96}"/>
    <cellStyle name="20% - Accent2 2 3 2 3 2 3 3" xfId="30972" xr:uid="{9C13F337-757E-4749-B918-7D93258E3B32}"/>
    <cellStyle name="20% - Accent2 2 3 2 3 2 4" xfId="28876" xr:uid="{736EAB83-234C-4C95-8FCB-D1E2F6438820}"/>
    <cellStyle name="20% - Accent2 2 3 2 3 2 4 2" xfId="28208" xr:uid="{1A029EA7-D61B-406D-84BC-760DC55C0120}"/>
    <cellStyle name="20% - Accent2 2 3 2 3 2 5" xfId="30296" xr:uid="{061A6BBD-62AA-4E2B-BE11-02F045973278}"/>
    <cellStyle name="20% - Accent2 2 3 2 3 3" xfId="34371" xr:uid="{F3A5453F-CBFF-43E6-8886-92F51A243EDA}"/>
    <cellStyle name="20% - Accent2 2 3 2 3 3 2" xfId="32077" xr:uid="{4FBFFB52-0138-4CA8-ABCD-5AF8645B2483}"/>
    <cellStyle name="20% - Accent2 2 3 2 3 3 2 2" xfId="12483" xr:uid="{D84F76EE-3F01-4B2C-97E6-1EACC7A54A35}"/>
    <cellStyle name="20% - Accent2 2 3 2 3 3 2 2 2" xfId="32455" xr:uid="{02A88BEF-BF6C-4ED0-A8D1-F7E462FC6B76}"/>
    <cellStyle name="20% - Accent2 2 3 2 3 3 2 3" xfId="28913" xr:uid="{D1F56C17-D5B6-49E3-AF3A-CC7846ECBAE5}"/>
    <cellStyle name="20% - Accent2 2 3 2 3 3 3" xfId="26519" xr:uid="{5CBAD772-020D-4CCD-AB5E-951D6B701047}"/>
    <cellStyle name="20% - Accent2 2 3 2 3 3 3 2" xfId="22410" xr:uid="{E43BFB35-A940-4555-A06D-5111D353EA1E}"/>
    <cellStyle name="20% - Accent2 2 3 2 3 3 4" xfId="30293" xr:uid="{C1B9DF14-EB95-4C26-B90D-E58752DB1A72}"/>
    <cellStyle name="20% - Accent2 2 3 2 3 4" xfId="28816" xr:uid="{B66DE3AF-543C-4DBB-921B-1AE358D178F9}"/>
    <cellStyle name="20% - Accent2 2 3 2 3 4 2" xfId="30312" xr:uid="{1266CA37-988B-4256-A9FC-E934A5B8F215}"/>
    <cellStyle name="20% - Accent2 2 3 2 3 4 2 2" xfId="21300" xr:uid="{E1C02BD8-6DBF-49C5-B55F-D1E56699905D}"/>
    <cellStyle name="20% - Accent2 2 3 2 3 4 3" xfId="11749" xr:uid="{9D50CE14-87F1-43A7-91CF-479A2D7280C6}"/>
    <cellStyle name="20% - Accent2 2 3 2 3 5" xfId="17488" xr:uid="{E472DF2F-B306-43E2-95A2-88EA85346547}"/>
    <cellStyle name="20% - Accent2 2 3 2 3 5 2" xfId="27112" xr:uid="{67CA1BE6-FE5E-4D61-8534-F81436FF4D1E}"/>
    <cellStyle name="20% - Accent2 2 3 2 3 6" xfId="17482" xr:uid="{B10DA93A-D0AC-485E-87E3-B9B51984AAF4}"/>
    <cellStyle name="20% - Accent2 2 3 2 4" xfId="26387" xr:uid="{3038EF38-5D0F-444C-9029-E1809E31EBB0}"/>
    <cellStyle name="20% - Accent2 2 3 2 4 2" xfId="30291" xr:uid="{19F249FE-1441-468A-AC9F-1B9845989A9A}"/>
    <cellStyle name="20% - Accent2 2 3 2 4 2 2" xfId="30453" xr:uid="{37CAFD40-BAEE-417E-B7C1-7FDABC0C1C13}"/>
    <cellStyle name="20% - Accent2 2 3 2 4 2 2 2" xfId="12459" xr:uid="{5F567AB8-628D-4000-B687-D28AB6D1FAB3}"/>
    <cellStyle name="20% - Accent2 2 3 2 4 2 2 2 2" xfId="31994" xr:uid="{41D6FCD1-98EB-4BEF-9B87-8CC07249543A}"/>
    <cellStyle name="20% - Accent2 2 3 2 4 2 2 3" xfId="22319" xr:uid="{2FB2A215-9BEC-433E-BE2D-DEF55B1B6653}"/>
    <cellStyle name="20% - Accent2 2 3 2 4 2 3" xfId="28862" xr:uid="{E7E89A9C-6EC1-47B0-8D70-29B8DD00D98E}"/>
    <cellStyle name="20% - Accent2 2 3 2 4 2 3 2" xfId="30287" xr:uid="{C6A59F20-4DF9-4887-BD32-23C5FB8C36C9}"/>
    <cellStyle name="20% - Accent2 2 3 2 4 2 4" xfId="30281" xr:uid="{F23AB4D3-6EB2-48C9-B221-DD71F3013E07}"/>
    <cellStyle name="20% - Accent2 2 3 2 4 3" xfId="32075" xr:uid="{634113FF-2F20-4AEF-96CE-DE327304A5FB}"/>
    <cellStyle name="20% - Accent2 2 3 2 4 3 2" xfId="30278" xr:uid="{850BA7C6-2FCE-4EF8-B57A-F14EAE80527A}"/>
    <cellStyle name="20% - Accent2 2 3 2 4 3 2 2" xfId="29444" xr:uid="{4180FDD6-2FB4-4072-871B-828C880E6180}"/>
    <cellStyle name="20% - Accent2 2 3 2 4 3 3" xfId="30275" xr:uid="{95A4533F-EC17-40AB-8C0B-C906B740906D}"/>
    <cellStyle name="20% - Accent2 2 3 2 4 4" xfId="30272" xr:uid="{8AED5215-E279-4510-B3F7-AC813720F202}"/>
    <cellStyle name="20% - Accent2 2 3 2 4 4 2" xfId="30268" xr:uid="{A6E112B9-32A1-4290-A704-DA1D96603956}"/>
    <cellStyle name="20% - Accent2 2 3 2 4 5" xfId="17468" xr:uid="{8F3BF6EE-4FB4-4D40-89D4-C6829B29AB30}"/>
    <cellStyle name="20% - Accent2 2 3 2 5" xfId="34358" xr:uid="{12B79EE5-5F38-4BBB-93E2-29E365381B76}"/>
    <cellStyle name="20% - Accent2 2 3 2 5 2" xfId="30263" xr:uid="{92C43D23-B76F-4E5E-83D4-0152CC7CF9CF}"/>
    <cellStyle name="20% - Accent2 2 3 2 5 2 2" xfId="30261" xr:uid="{5A2254DC-5049-40CB-90E5-19B0A8FE5BB5}"/>
    <cellStyle name="20% - Accent2 2 3 2 5 2 2 2" xfId="20496" xr:uid="{1972FD38-A756-440F-BB78-22263ADC0C0C}"/>
    <cellStyle name="20% - Accent2 2 3 2 5 2 3" xfId="30257" xr:uid="{5932AC25-96E1-46B6-9E0D-62222B8066FC}"/>
    <cellStyle name="20% - Accent2 2 3 2 5 3" xfId="30251" xr:uid="{71588B5F-0B1D-49BF-A973-A38341D7749C}"/>
    <cellStyle name="20% - Accent2 2 3 2 5 3 2" xfId="30246" xr:uid="{9A84616E-E5B7-4B46-8DB2-C3896992C2B8}"/>
    <cellStyle name="20% - Accent2 2 3 2 5 4" xfId="33155" xr:uid="{10F2E804-FA1F-47C9-BBDF-CF0CB0A0A543}"/>
    <cellStyle name="20% - Accent2 2 3 2 6" xfId="32482" xr:uid="{98EDA1E8-010D-43E8-91FB-318F7253424A}"/>
    <cellStyle name="20% - Accent2 2 3 2 6 2" xfId="30243" xr:uid="{2E40C779-095C-4F5F-A1CE-71AA4721CD0D}"/>
    <cellStyle name="20% - Accent2 2 3 2 6 2 2" xfId="17643" xr:uid="{06CB84D4-DE9C-4415-9F3B-1BECB417ADB1}"/>
    <cellStyle name="20% - Accent2 2 3 2 6 3" xfId="29146" xr:uid="{AB44B3AB-3A94-4A4F-B445-3BBF0253AB64}"/>
    <cellStyle name="20% - Accent2 2 3 2 7" xfId="30234" xr:uid="{3F61E123-68D6-4A39-9F96-678A88CF1529}"/>
    <cellStyle name="20% - Accent2 2 3 2 7 2" xfId="30227" xr:uid="{6CACA5E2-57B4-4D64-9EFD-10C2C4CA3E1A}"/>
    <cellStyle name="20% - Accent2 2 3 2 8" xfId="30224" xr:uid="{1D906EFC-BB85-4EB6-9FE1-12095D9A524A}"/>
    <cellStyle name="20% - Accent2 2 3 3" xfId="31815" xr:uid="{4362F150-FDC6-4B1F-B75E-AFBEFF3DEC09}"/>
    <cellStyle name="20% - Accent2 2 3 3 2" xfId="33912" xr:uid="{7C7AD7AC-B524-4F24-BE0A-115CE5240D97}"/>
    <cellStyle name="20% - Accent2 2 3 3 2 2" xfId="30218" xr:uid="{9E38F788-DEF5-4F97-ACD2-D79DC7F93BBC}"/>
    <cellStyle name="20% - Accent2 2 3 3 2 2 2" xfId="32327" xr:uid="{DE754EB3-CA2A-453A-978D-D9CB2103DD8B}"/>
    <cellStyle name="20% - Accent2 2 3 3 2 2 2 2" xfId="28265" xr:uid="{6E94A10B-5B0F-48D0-92B1-76FF6EEC3AD3}"/>
    <cellStyle name="20% - Accent2 2 3 3 2 2 2 2 2" xfId="30216" xr:uid="{BC938ADF-04D9-4695-808A-15B9A4C7A26A}"/>
    <cellStyle name="20% - Accent2 2 3 3 2 2 2 2 2 2" xfId="29697" xr:uid="{055B062A-5D26-4A9F-B7FF-4F1C735914C5}"/>
    <cellStyle name="20% - Accent2 2 3 3 2 2 2 2 3" xfId="30210" xr:uid="{3098A125-88C2-4349-90D2-925273C5E772}"/>
    <cellStyle name="20% - Accent2 2 3 3 2 2 2 3" xfId="30196" xr:uid="{EA07D7BF-302C-4023-8672-79CEC87680CC}"/>
    <cellStyle name="20% - Accent2 2 3 3 2 2 2 3 2" xfId="30181" xr:uid="{61A55293-F965-43D0-8719-F91A1E46565D}"/>
    <cellStyle name="20% - Accent2 2 3 3 2 2 2 4" xfId="29422" xr:uid="{16B4F3C8-7843-4781-AB50-059A03E99079}"/>
    <cellStyle name="20% - Accent2 2 3 3 2 2 3" xfId="28040" xr:uid="{ED4135CE-D467-4D36-BD7D-0BC4AACB2B89}"/>
    <cellStyle name="20% - Accent2 2 3 3 2 2 3 2" xfId="28776" xr:uid="{DE2E10CC-D2EC-4576-A83A-3C83E5A86838}"/>
    <cellStyle name="20% - Accent2 2 3 3 2 2 3 2 2" xfId="18421" xr:uid="{9672696B-5B25-42B6-9CF5-82308CCFE1B8}"/>
    <cellStyle name="20% - Accent2 2 3 3 2 2 3 3" xfId="30173" xr:uid="{167C5C1B-8487-4C80-8870-8E1CF7EA8189}"/>
    <cellStyle name="20% - Accent2 2 3 3 2 2 4" xfId="11569" xr:uid="{FB1197BE-BF24-413D-BF6F-8C311EE9310C}"/>
    <cellStyle name="20% - Accent2 2 3 3 2 2 4 2" xfId="30170" xr:uid="{2E549489-7C20-49A5-B61A-8667871B4181}"/>
    <cellStyle name="20% - Accent2 2 3 3 2 2 5" xfId="30165" xr:uid="{88194C94-9B78-4DED-8CB5-92925056DCF1}"/>
    <cellStyle name="20% - Accent2 2 3 3 2 3" xfId="28525" xr:uid="{E74399B4-B01E-4596-969D-278A5DDB4316}"/>
    <cellStyle name="20% - Accent2 2 3 3 2 3 2" xfId="11561" xr:uid="{16B49921-53CA-4E2B-B967-6AEF12DEF0ED}"/>
    <cellStyle name="20% - Accent2 2 3 3 2 3 2 2" xfId="30155" xr:uid="{8FB6CCA5-A9D8-481B-AA86-FA9F3627D51F}"/>
    <cellStyle name="20% - Accent2 2 3 3 2 3 2 2 2" xfId="19843" xr:uid="{21D8A771-D6EA-4C30-898D-839BCFCDDE06}"/>
    <cellStyle name="20% - Accent2 2 3 3 2 3 2 3" xfId="27341" xr:uid="{7289FB12-C837-4C92-A43B-00557154B2F6}"/>
    <cellStyle name="20% - Accent2 2 3 3 2 3 3" xfId="11558" xr:uid="{4276D135-0357-4701-9C57-BE7F0D44ED5C}"/>
    <cellStyle name="20% - Accent2 2 3 3 2 3 3 2" xfId="31061" xr:uid="{AED5E228-718C-4CB4-8810-09380F24A063}"/>
    <cellStyle name="20% - Accent2 2 3 3 2 3 4" xfId="30149" xr:uid="{A2D5D7B6-4B57-47B8-A961-F3367A85FD10}"/>
    <cellStyle name="20% - Accent2 2 3 3 2 4" xfId="28516" xr:uid="{1A0BA763-A059-465D-9E23-34AF363464F9}"/>
    <cellStyle name="20% - Accent2 2 3 3 2 4 2" xfId="11551" xr:uid="{6F27240E-276A-46C9-B7A2-997D9C98E9E9}"/>
    <cellStyle name="20% - Accent2 2 3 3 2 4 2 2" xfId="20758" xr:uid="{F13CB711-BBC2-44E4-9754-4ED115786F64}"/>
    <cellStyle name="20% - Accent2 2 3 3 2 4 3" xfId="11730" xr:uid="{E4BCB117-4F78-4E73-8C0E-20D3A096EE9B}"/>
    <cellStyle name="20% - Accent2 2 3 3 2 5" xfId="15520" xr:uid="{FD6BDCC0-EE23-4657-B66C-A76210CD736D}"/>
    <cellStyle name="20% - Accent2 2 3 3 2 5 2" xfId="6082" xr:uid="{4BE775C0-C7B5-421C-89B6-66A377BB1A71}"/>
    <cellStyle name="20% - Accent2 2 3 3 2 6" xfId="27188" xr:uid="{E5F13D34-531C-4F44-8E6D-3AFEDF43AEAC}"/>
    <cellStyle name="20% - Accent2 2 3 3 3" xfId="34328" xr:uid="{2C2EFB01-58CA-4BEF-9EDB-8508DBD3E5CE}"/>
    <cellStyle name="20% - Accent2 2 3 3 3 2" xfId="30144" xr:uid="{DCF316E3-82CC-4336-868B-85CBB7A14B80}"/>
    <cellStyle name="20% - Accent2 2 3 3 3 2 2" xfId="11537" xr:uid="{4EB507EA-D459-40B0-9B08-43CC2FF941FA}"/>
    <cellStyle name="20% - Accent2 2 3 3 3 2 2 2" xfId="16793" xr:uid="{51C685A3-D015-4580-8090-83EFE1B95B26}"/>
    <cellStyle name="20% - Accent2 2 3 3 3 2 2 2 2" xfId="28572" xr:uid="{E1C17D48-9FD4-42F7-88CC-68E5594E4348}"/>
    <cellStyle name="20% - Accent2 2 3 3 3 2 2 3" xfId="15878" xr:uid="{7D781814-02EE-4097-AF31-203CCAFB5348}"/>
    <cellStyle name="20% - Accent2 2 3 3 3 2 3" xfId="11534" xr:uid="{704B28B6-0404-43B2-8C01-B4CBD653BE1C}"/>
    <cellStyle name="20% - Accent2 2 3 3 3 2 3 2" xfId="30132" xr:uid="{140B27FA-EA65-4B9C-BE0A-9F77F6507F4A}"/>
    <cellStyle name="20% - Accent2 2 3 3 3 2 4" xfId="30127" xr:uid="{9E9CBE84-4DFC-4A19-8814-7A334861CF82}"/>
    <cellStyle name="20% - Accent2 2 3 3 3 3" xfId="28509" xr:uid="{F911F39C-FD92-462B-A89A-0E2A9DDEB38F}"/>
    <cellStyle name="20% - Accent2 2 3 3 3 3 2" xfId="11529" xr:uid="{59360622-9E1E-47E9-8267-CED894F620FB}"/>
    <cellStyle name="20% - Accent2 2 3 3 3 3 2 2" xfId="30513" xr:uid="{B3DA6FF6-4746-489C-96EA-5336C077C40D}"/>
    <cellStyle name="20% - Accent2 2 3 3 3 3 3" xfId="30112" xr:uid="{D2F7CFEB-F565-4459-A73D-200B92E5C965}"/>
    <cellStyle name="20% - Accent2 2 3 3 3 4" xfId="27104" xr:uid="{1878157B-39FB-4522-A2F1-75662EBE432B}"/>
    <cellStyle name="20% - Accent2 2 3 3 3 4 2" xfId="33660" xr:uid="{EC53345F-BE7C-46BB-B789-7CE2CF556105}"/>
    <cellStyle name="20% - Accent2 2 3 3 3 5" xfId="19770" xr:uid="{6379BD44-6FC3-4551-A386-3013A244E548}"/>
    <cellStyle name="20% - Accent2 2 3 3 4" xfId="25256" xr:uid="{0F11D47E-CDAF-4BF9-AD2D-E776B45D4D05}"/>
    <cellStyle name="20% - Accent2 2 3 3 4 2" xfId="30609" xr:uid="{8B60C72B-97C3-4F63-9082-28C95361408B}"/>
    <cellStyle name="20% - Accent2 2 3 3 4 2 2" xfId="11518" xr:uid="{5C078E27-A21D-449F-A551-F12243F25A8D}"/>
    <cellStyle name="20% - Accent2 2 3 3 4 2 2 2" xfId="30107" xr:uid="{79DA4B01-B0A7-4729-936C-D7B343E6EBCD}"/>
    <cellStyle name="20% - Accent2 2 3 3 4 2 3" xfId="30104" xr:uid="{C37F225C-A95F-423D-A927-0E36D1F6C11C}"/>
    <cellStyle name="20% - Accent2 2 3 3 4 3" xfId="27102" xr:uid="{436790F8-0FE9-4E96-AC79-42BC97212BE4}"/>
    <cellStyle name="20% - Accent2 2 3 3 4 3 2" xfId="31136" xr:uid="{3504C0DD-7EA4-41B4-9E23-FF576C49AE75}"/>
    <cellStyle name="20% - Accent2 2 3 3 4 4" xfId="25540" xr:uid="{543BBCA1-B6F0-466E-B906-4D58C894CE49}"/>
    <cellStyle name="20% - Accent2 2 3 3 5" xfId="30102" xr:uid="{C93A208E-7674-49F6-8266-4004DBBAC13C}"/>
    <cellStyle name="20% - Accent2 2 3 3 5 2" xfId="30595" xr:uid="{B4E93CD1-7100-4E39-B68E-24BEFCBB87F5}"/>
    <cellStyle name="20% - Accent2 2 3 3 5 2 2" xfId="8683" xr:uid="{1783DD09-6483-4B83-B2A6-FCEA8EA417BB}"/>
    <cellStyle name="20% - Accent2 2 3 3 5 3" xfId="30774" xr:uid="{767BAC30-6C29-4BF5-BA45-B1CAC2A4DA17}"/>
    <cellStyle name="20% - Accent2 2 3 3 6" xfId="30092" xr:uid="{AB4497E9-071E-410C-BC9C-878E758B7E46}"/>
    <cellStyle name="20% - Accent2 2 3 3 6 2" xfId="30588" xr:uid="{29250EE6-B827-4789-8F26-89E2E7A7A13A}"/>
    <cellStyle name="20% - Accent2 2 3 3 7" xfId="30086" xr:uid="{D143BDC3-E612-4CD6-8D41-16E23F159FE7}"/>
    <cellStyle name="20% - Accent2 2 3 4" xfId="21722" xr:uid="{4B3034B6-FEF4-4859-A4B6-985130F9A455}"/>
    <cellStyle name="20% - Accent2 2 3 4 2" xfId="27130" xr:uid="{B4CD39EA-5EAA-4874-A2CA-4BC4BFD594EC}"/>
    <cellStyle name="20% - Accent2 2 3 4 2 2" xfId="30080" xr:uid="{353A9BAD-487C-476C-90EE-BA65FFD002B6}"/>
    <cellStyle name="20% - Accent2 2 3 4 2 2 2" xfId="11455" xr:uid="{260F3CA0-B402-494B-AFF5-FC9F12010F98}"/>
    <cellStyle name="20% - Accent2 2 3 4 2 2 2 2" xfId="16146" xr:uid="{3FD2F4FE-0846-4D58-813D-B4AA2868912B}"/>
    <cellStyle name="20% - Accent2 2 3 4 2 2 2 2 2" xfId="27895" xr:uid="{04B1A976-873F-4C9B-9509-E7296EEC8719}"/>
    <cellStyle name="20% - Accent2 2 3 4 2 2 2 3" xfId="30078" xr:uid="{24146EF3-69CB-44E7-8D51-3E70B4A6F481}"/>
    <cellStyle name="20% - Accent2 2 3 4 2 2 3" xfId="11452" xr:uid="{5F6A50AD-4F50-4E3F-9A8A-7090E8AD17A0}"/>
    <cellStyle name="20% - Accent2 2 3 4 2 2 3 2" xfId="30068" xr:uid="{9F66B422-AB63-44CD-8C65-F990BCF4282A}"/>
    <cellStyle name="20% - Accent2 2 3 4 2 2 4" xfId="22399" xr:uid="{8D813429-9D8F-4D6D-8379-C2F04CEE1856}"/>
    <cellStyle name="20% - Accent2 2 3 4 2 3" xfId="30055" xr:uid="{EDBBB527-5459-47C8-AD0C-8417BCE826EB}"/>
    <cellStyle name="20% - Accent2 2 3 4 2 3 2" xfId="11443" xr:uid="{AC31DA6A-270A-4CB3-8CEB-881FA4ED2D6E}"/>
    <cellStyle name="20% - Accent2 2 3 4 2 3 2 2" xfId="10070" xr:uid="{9BB1636D-C9BB-4927-957F-08E41531DB6E}"/>
    <cellStyle name="20% - Accent2 2 3 4 2 3 3" xfId="30050" xr:uid="{F10E58D1-4E81-4197-B80B-394A0BCA17BF}"/>
    <cellStyle name="20% - Accent2 2 3 4 2 4" xfId="27082" xr:uid="{73E6DAA3-B166-40B7-82AE-6D1D06A1C3D3}"/>
    <cellStyle name="20% - Accent2 2 3 4 2 4 2" xfId="32785" xr:uid="{AA12432F-5490-4157-ABB6-2D34C626AE34}"/>
    <cellStyle name="20% - Accent2 2 3 4 2 5" xfId="19762" xr:uid="{E128B1BE-D0A1-49AB-B150-3FCC5508613A}"/>
    <cellStyle name="20% - Accent2 2 3 4 3" xfId="34380" xr:uid="{0505F5EA-D631-472F-A4F6-F9CC0B67340C}"/>
    <cellStyle name="20% - Accent2 2 3 4 3 2" xfId="27016" xr:uid="{E0242191-0BFF-4D97-9A91-D60AED7E1951}"/>
    <cellStyle name="20% - Accent2 2 3 4 3 2 2" xfId="11428" xr:uid="{E4F37BF2-1E2E-4F4E-AFC6-7269C056FF5A}"/>
    <cellStyle name="20% - Accent2 2 3 4 3 2 2 2" xfId="17965" xr:uid="{2582CD88-91AD-45B1-B686-D04AFEB7780D}"/>
    <cellStyle name="20% - Accent2 2 3 4 3 2 3" xfId="30027" xr:uid="{2588A6FA-01A7-4DC3-A5B0-B6C5AC466B42}"/>
    <cellStyle name="20% - Accent2 2 3 4 3 3" xfId="27080" xr:uid="{1A5CA449-F0E7-44B0-B520-440D4E93AD4E}"/>
    <cellStyle name="20% - Accent2 2 3 4 3 3 2" xfId="33486" xr:uid="{C3D9B80C-0A49-4B68-823D-6808DFB732C2}"/>
    <cellStyle name="20% - Accent2 2 3 4 3 4" xfId="33987" xr:uid="{3541CA16-18BF-47CE-A93E-7B745254BC49}"/>
    <cellStyle name="20% - Accent2 2 3 4 4" xfId="30011" xr:uid="{BC41589D-AD3C-4F9E-BF37-2672F3D70A24}"/>
    <cellStyle name="20% - Accent2 2 3 4 4 2" xfId="30585" xr:uid="{8F8334EE-44C2-436B-912D-B3ED60E0AC87}"/>
    <cellStyle name="20% - Accent2 2 3 4 4 2 2" xfId="30008" xr:uid="{F1E1C61B-9740-4198-88D9-371C038A5494}"/>
    <cellStyle name="20% - Accent2 2 3 4 4 3" xfId="34277" xr:uid="{CE53A051-DD17-46EF-90BA-7E2C490A2B5B}"/>
    <cellStyle name="20% - Accent2 2 3 4 5" xfId="30000" xr:uid="{B66B167A-A3A9-4B03-B704-E05410BCFC37}"/>
    <cellStyle name="20% - Accent2 2 3 4 5 2" xfId="19391" xr:uid="{E2D2F7B7-2994-495E-9E7C-BB294113C757}"/>
    <cellStyle name="20% - Accent2 2 3 4 6" xfId="29987" xr:uid="{730768A6-3455-455F-9B9F-A2CF08AEA868}"/>
    <cellStyle name="20% - Accent2 2 3 5" xfId="20111" xr:uid="{63A7ABE3-ACEC-4125-B5A3-64F0D0D62933}"/>
    <cellStyle name="20% - Accent2 2 3 5 2" xfId="34396" xr:uid="{94E17C29-F83F-47E3-B085-5DB161A92844}"/>
    <cellStyle name="20% - Accent2 2 3 5 2 2" xfId="29978" xr:uid="{A867A36E-1D3F-4CA2-A6BF-6209E1CB7E62}"/>
    <cellStyle name="20% - Accent2 2 3 5 2 2 2" xfId="11378" xr:uid="{304E8ED4-FD71-447E-B7D1-9F052BC34CE7}"/>
    <cellStyle name="20% - Accent2 2 3 5 2 2 2 2" xfId="29976" xr:uid="{FE2E919D-3ACB-4726-BE09-D25B2D3780FC}"/>
    <cellStyle name="20% - Accent2 2 3 5 2 2 3" xfId="33650" xr:uid="{3D028849-8998-418E-A492-5B8B04A5EA98}"/>
    <cellStyle name="20% - Accent2 2 3 5 2 3" xfId="27070" xr:uid="{B7D76D10-106B-418C-87E5-7AD051342B77}"/>
    <cellStyle name="20% - Accent2 2 3 5 2 3 2" xfId="29975" xr:uid="{260DD5C8-F7FB-46D4-9928-715A7028C9E9}"/>
    <cellStyle name="20% - Accent2 2 3 5 2 4" xfId="30714" xr:uid="{E490CB08-0AD4-492B-A618-9FAFF6BA8341}"/>
    <cellStyle name="20% - Accent2 2 3 5 3" xfId="32530" xr:uid="{4660E341-0803-4FA7-9054-2992FFEC576A}"/>
    <cellStyle name="20% - Accent2 2 3 5 3 2" xfId="29963" xr:uid="{A4BA5103-7270-466E-8763-5F7CD9D8BD6C}"/>
    <cellStyle name="20% - Accent2 2 3 5 3 2 2" xfId="29959" xr:uid="{B798BA4A-D955-4C05-A8A7-D124E679DCFC}"/>
    <cellStyle name="20% - Accent2 2 3 5 3 3" xfId="29957" xr:uid="{9FA767B0-F4B6-4731-ACF0-F03C92917026}"/>
    <cellStyle name="20% - Accent2 2 3 5 4" xfId="23630" xr:uid="{8B51B4C1-F3C2-41E8-A44C-D720991EBE03}"/>
    <cellStyle name="20% - Accent2 2 3 5 4 2" xfId="30563" xr:uid="{66F3CD6C-13B7-4244-8F5B-C6A99277BB29}"/>
    <cellStyle name="20% - Accent2 2 3 5 5" xfId="23624" xr:uid="{FB8F1F49-E0CB-4BEC-9C66-08361D40EFC1}"/>
    <cellStyle name="20% - Accent2 2 3 6" xfId="28888" xr:uid="{FFCF2D0B-3E1D-4799-97B6-2517E7035460}"/>
    <cellStyle name="20% - Accent2 2 3 6 2" xfId="29945" xr:uid="{0958588E-BFDD-4139-A048-B94973C92300}"/>
    <cellStyle name="20% - Accent2 2 3 6 2 2" xfId="29943" xr:uid="{448CD083-34FB-4517-879E-58CEAF0A482F}"/>
    <cellStyle name="20% - Accent2 2 3 6 2 2 2" xfId="29469" xr:uid="{8F973E32-ACF1-4339-B10C-AE017284054E}"/>
    <cellStyle name="20% - Accent2 2 3 6 2 3" xfId="29931" xr:uid="{EC61347B-48FB-4A58-996C-31053F7598DF}"/>
    <cellStyle name="20% - Accent2 2 3 6 3" xfId="29929" xr:uid="{A55F3A24-BD38-4C11-94D2-352EDF1B0CB7}"/>
    <cellStyle name="20% - Accent2 2 3 6 3 2" xfId="23021" xr:uid="{F19BDBD3-3399-4412-A074-BEA23E99ABE7}"/>
    <cellStyle name="20% - Accent2 2 3 6 4" xfId="23272" xr:uid="{729F1CE3-B3B1-42A9-BA12-E989A0B95709}"/>
    <cellStyle name="20% - Accent2 2 3 7" xfId="25651" xr:uid="{F62828E8-CB3C-4C30-BFD3-71A32D139910}"/>
    <cellStyle name="20% - Accent2 2 3 7 2" xfId="25645" xr:uid="{AAFF6D50-B1B0-405F-A2CD-0E4202CB9D9F}"/>
    <cellStyle name="20% - Accent2 2 3 7 2 2" xfId="19955" xr:uid="{EFD4C739-9E66-4305-AA3B-9BB633631AEC}"/>
    <cellStyle name="20% - Accent2 2 3 7 3" xfId="16286" xr:uid="{A3BEEE74-60FA-4BAB-BFDF-362F4AB8DD61}"/>
    <cellStyle name="20% - Accent2 2 3 8" xfId="25641" xr:uid="{6994CDEC-2919-4C79-902F-DF59DA9A8829}"/>
    <cellStyle name="20% - Accent2 2 3 8 2" xfId="34372" xr:uid="{A80F1428-217B-4ABB-97E0-08B5987861F8}"/>
    <cellStyle name="20% - Accent2 2 3 9" xfId="25965" xr:uid="{5383DE71-3478-4496-81B4-81CBC97929F5}"/>
    <cellStyle name="20% - Accent2 2 4" xfId="23044" xr:uid="{DE99A036-43A4-4308-A832-F1628C931A7D}"/>
    <cellStyle name="20% - Accent2 2 4 2" xfId="29901" xr:uid="{570F34F1-F84E-451F-84A0-A420A869EC60}"/>
    <cellStyle name="20% - Accent2 2 4 2 2" xfId="32423" xr:uid="{CF23BE41-7652-4A67-A942-97CBECCE64A4}"/>
    <cellStyle name="20% - Accent2 2 4 2 2 2" xfId="29897" xr:uid="{795AE741-2C8B-4C6A-8E31-783677F43D58}"/>
    <cellStyle name="20% - Accent2 2 4 2 2 2 2" xfId="26773" xr:uid="{F4485041-526F-40C7-8835-174ACF589EA2}"/>
    <cellStyle name="20% - Accent2 2 4 2 2 2 2 2" xfId="5913" xr:uid="{632DD384-F85B-4B93-A02A-FDB804BE8831}"/>
    <cellStyle name="20% - Accent2 2 4 2 2 2 2 2 2" xfId="29892" xr:uid="{2503E5ED-51A8-4D52-8241-AB7F8E814ADD}"/>
    <cellStyle name="20% - Accent2 2 4 2 2 2 2 2 2 2" xfId="17707" xr:uid="{DC95C353-DCD1-4DA8-8680-69DEEA436716}"/>
    <cellStyle name="20% - Accent2 2 4 2 2 2 2 2 3" xfId="26011" xr:uid="{5A15CE70-55A1-496B-9F62-ACE0BBFB60F8}"/>
    <cellStyle name="20% - Accent2 2 4 2 2 2 2 3" xfId="19817" xr:uid="{2BB67882-DC54-4572-AB59-A2D976F8374A}"/>
    <cellStyle name="20% - Accent2 2 4 2 2 2 2 3 2" xfId="28293" xr:uid="{56A1F387-352D-42FC-88BF-673B1128E0B2}"/>
    <cellStyle name="20% - Accent2 2 4 2 2 2 2 4" xfId="21913" xr:uid="{4BEFE348-DB1C-4A24-9465-52B75873C312}"/>
    <cellStyle name="20% - Accent2 2 4 2 2 2 3" xfId="29878" xr:uid="{5C42CDB5-CA0A-4371-AAC4-A50A70BA13F5}"/>
    <cellStyle name="20% - Accent2 2 4 2 2 2 3 2" xfId="22309" xr:uid="{0BD04D34-E8A5-48FE-8D18-8B99BF2D2CFB}"/>
    <cellStyle name="20% - Accent2 2 4 2 2 2 3 2 2" xfId="29870" xr:uid="{F2936400-9F87-4074-9E1A-A12C28E795F2}"/>
    <cellStyle name="20% - Accent2 2 4 2 2 2 3 3" xfId="19801" xr:uid="{1A12BAD2-A026-4C6E-BD3B-50465F69E6D7}"/>
    <cellStyle name="20% - Accent2 2 4 2 2 2 4" xfId="29245" xr:uid="{581E422F-ABB8-48FB-9BAE-8F332C400C41}"/>
    <cellStyle name="20% - Accent2 2 4 2 2 2 4 2" xfId="19798" xr:uid="{4731F5F7-1D09-44E7-8265-3F0DD428482F}"/>
    <cellStyle name="20% - Accent2 2 4 2 2 2 5" xfId="29849" xr:uid="{F1C653E8-5F45-4172-B3BB-B461955227D0}"/>
    <cellStyle name="20% - Accent2 2 4 2 2 3" xfId="29844" xr:uid="{EEABAC3C-9028-40E4-AE3F-B38A045A5845}"/>
    <cellStyle name="20% - Accent2 2 4 2 2 3 2" xfId="29841" xr:uid="{DE370C40-0EA2-45C4-83AA-871A176C2022}"/>
    <cellStyle name="20% - Accent2 2 4 2 2 3 2 2" xfId="26894" xr:uid="{9AAC0DDA-519F-4453-B4F4-8B8145309CF1}"/>
    <cellStyle name="20% - Accent2 2 4 2 2 3 2 2 2" xfId="29835" xr:uid="{17B981D1-9917-4AD0-9117-81E6364F03F9}"/>
    <cellStyle name="20% - Accent2 2 4 2 2 3 2 3" xfId="19759" xr:uid="{BB8AA99B-C6E6-41F0-A314-A02AA6F2F0F3}"/>
    <cellStyle name="20% - Accent2 2 4 2 2 3 3" xfId="19765" xr:uid="{AAFC2998-2C68-4701-A30F-BC55491DCAFB}"/>
    <cellStyle name="20% - Accent2 2 4 2 2 3 3 2" xfId="19757" xr:uid="{2BF4B4BB-5881-42E8-A063-40A62F105CE4}"/>
    <cellStyle name="20% - Accent2 2 4 2 2 3 4" xfId="29829" xr:uid="{164AC037-1DEF-4DDE-A59E-5D3FE22A375E}"/>
    <cellStyle name="20% - Accent2 2 4 2 2 4" xfId="31281" xr:uid="{BFA8900A-BEC2-403D-959F-97F4669333B1}"/>
    <cellStyle name="20% - Accent2 2 4 2 2 4 2" xfId="26758" xr:uid="{A420F370-0C89-47C7-AB19-135F2656CB43}"/>
    <cellStyle name="20% - Accent2 2 4 2 2 4 2 2" xfId="19406" xr:uid="{7BD169DB-E312-43DB-9DA1-E677B290B101}"/>
    <cellStyle name="20% - Accent2 2 4 2 2 4 3" xfId="20261" xr:uid="{34A75D7F-A1C3-4796-819F-5C8A5371CD25}"/>
    <cellStyle name="20% - Accent2 2 4 2 2 5" xfId="19754" xr:uid="{6146DB19-6C61-46FD-8090-FEC0B3CA0FAD}"/>
    <cellStyle name="20% - Accent2 2 4 2 2 5 2" xfId="27637" xr:uid="{E4F33B11-1E2C-4EA0-B360-DE38439803E3}"/>
    <cellStyle name="20% - Accent2 2 4 2 2 6" xfId="19747" xr:uid="{86B693C2-BC4D-46DA-AD5E-DF92D241D997}"/>
    <cellStyle name="20% - Accent2 2 4 2 3" xfId="32136" xr:uid="{17907175-80D6-4CB9-A883-8C1FDEC5BDD2}"/>
    <cellStyle name="20% - Accent2 2 4 2 3 2" xfId="29799" xr:uid="{3048A1D0-48C4-48DA-8D08-3434EE812A40}"/>
    <cellStyle name="20% - Accent2 2 4 2 3 2 2" xfId="26682" xr:uid="{0FFBACAF-BD20-40EE-98CF-E43854AF3C89}"/>
    <cellStyle name="20% - Accent2 2 4 2 3 2 2 2" xfId="19598" xr:uid="{75B13F53-B284-4671-8BE4-6E0C769B3278}"/>
    <cellStyle name="20% - Accent2 2 4 2 3 2 2 2 2" xfId="24834" xr:uid="{D6ABF7DB-659E-4370-943F-AE6C2C0D60F5}"/>
    <cellStyle name="20% - Accent2 2 4 2 3 2 2 3" xfId="27175" xr:uid="{CACAC838-176F-4987-A010-CA251807C6A9}"/>
    <cellStyle name="20% - Accent2 2 4 2 3 2 3" xfId="22515" xr:uid="{F862136F-77F4-4C0C-9760-8A07A149F1F5}"/>
    <cellStyle name="20% - Accent2 2 4 2 3 2 3 2" xfId="19591" xr:uid="{6BA9EDEC-2B02-404F-BB5A-77479C5DDCA4}"/>
    <cellStyle name="20% - Accent2 2 4 2 3 2 4" xfId="29791" xr:uid="{254051F0-A418-4912-A9D0-CEA967721C0A}"/>
    <cellStyle name="20% - Accent2 2 4 2 3 3" xfId="17216" xr:uid="{FCA6FC88-36BB-467F-B839-17DD873A951A}"/>
    <cellStyle name="20% - Accent2 2 4 2 3 3 2" xfId="26673" xr:uid="{8D074F55-BD48-4133-9286-04EA37CB0C6E}"/>
    <cellStyle name="20% - Accent2 2 4 2 3 3 2 2" xfId="19576" xr:uid="{0ACDDC61-CB6E-4196-9CD7-9E4E66797EF8}"/>
    <cellStyle name="20% - Accent2 2 4 2 3 3 3" xfId="29785" xr:uid="{3B5A2299-C281-4D40-85B8-697DB947B422}"/>
    <cellStyle name="20% - Accent2 2 4 2 3 4" xfId="29783" xr:uid="{8152DCD4-4251-4DBF-9BDA-5A3BA651E416}"/>
    <cellStyle name="20% - Accent2 2 4 2 3 4 2" xfId="31980" xr:uid="{A9A693AD-B57D-4BBA-A8DA-2DC3E44F41EA}"/>
    <cellStyle name="20% - Accent2 2 4 2 3 5" xfId="19737" xr:uid="{13DC1E76-27B0-4853-99AA-EC8E08C6126C}"/>
    <cellStyle name="20% - Accent2 2 4 2 4" xfId="20594" xr:uid="{259502F7-FC9D-4CC5-9743-5303AA63DC16}"/>
    <cellStyle name="20% - Accent2 2 4 2 4 2" xfId="29778" xr:uid="{2A912197-EAA8-4025-81EC-D333B1B71D77}"/>
    <cellStyle name="20% - Accent2 2 4 2 4 2 2" xfId="25841" xr:uid="{E6E8AB7D-8F94-43D0-9B20-BB3CF718632D}"/>
    <cellStyle name="20% - Accent2 2 4 2 4 2 2 2" xfId="19508" xr:uid="{01DB2388-DBCF-46F3-8454-D5F14814A5D4}"/>
    <cellStyle name="20% - Accent2 2 4 2 4 2 3" xfId="29776" xr:uid="{076D1FB6-A7A7-41BE-8FDE-9435D6FBF851}"/>
    <cellStyle name="20% - Accent2 2 4 2 4 3" xfId="29774" xr:uid="{82631418-590B-4F17-A654-98F949E2223D}"/>
    <cellStyle name="20% - Accent2 2 4 2 4 3 2" xfId="29768" xr:uid="{7191EF70-A25B-4725-B773-6C31DC5630BD}"/>
    <cellStyle name="20% - Accent2 2 4 2 4 4" xfId="29765" xr:uid="{4A2D9DB8-1391-4AAE-898D-DC0A464017DE}"/>
    <cellStyle name="20% - Accent2 2 4 2 5" xfId="30072" xr:uid="{D7312D72-8863-40E2-ABB9-B684F21739CD}"/>
    <cellStyle name="20% - Accent2 2 4 2 5 2" xfId="29760" xr:uid="{09747CD2-E39E-43C5-A3DA-4594596A3931}"/>
    <cellStyle name="20% - Accent2 2 4 2 5 2 2" xfId="29754" xr:uid="{51FD472A-7769-4FE3-9D37-5F3AB5D2100B}"/>
    <cellStyle name="20% - Accent2 2 4 2 5 3" xfId="29751" xr:uid="{36BCE10D-B3EA-45AA-86DC-6DBEC5FAB4BE}"/>
    <cellStyle name="20% - Accent2 2 4 2 6" xfId="30063" xr:uid="{E5C73FE4-9FCB-491C-9813-2C3CDB92750A}"/>
    <cellStyle name="20% - Accent2 2 4 2 6 2" xfId="29745" xr:uid="{94D99431-EE6B-4055-89C8-1A284CAA7662}"/>
    <cellStyle name="20% - Accent2 2 4 2 7" xfId="29742" xr:uid="{D9B6AE2C-04F8-4507-82B1-9E06547BD248}"/>
    <cellStyle name="20% - Accent2 2 4 3" xfId="28925" xr:uid="{D246456E-E901-4773-A6D2-5C86F1232004}"/>
    <cellStyle name="20% - Accent2 2 4 3 2" xfId="33827" xr:uid="{16591AA6-F73C-4925-ABF9-0A28702207D4}"/>
    <cellStyle name="20% - Accent2 2 4 3 2 2" xfId="29737" xr:uid="{CC81F74C-C73B-430F-A9E7-0E6FE185CC44}"/>
    <cellStyle name="20% - Accent2 2 4 3 2 2 2" xfId="29724" xr:uid="{3A4DA493-1A47-4C08-966F-1A618676FECE}"/>
    <cellStyle name="20% - Accent2 2 4 3 2 2 2 2" xfId="19338" xr:uid="{7657F3FF-BD83-4EA4-ABB5-0EF76B3BD860}"/>
    <cellStyle name="20% - Accent2 2 4 3 2 2 2 2 2" xfId="29717" xr:uid="{62528275-B903-4A10-84D0-AF3889F5F200}"/>
    <cellStyle name="20% - Accent2 2 4 3 2 2 2 3" xfId="19334" xr:uid="{DDCAA678-B886-4D20-9A62-B47F73C2D04A}"/>
    <cellStyle name="20% - Accent2 2 4 3 2 2 3" xfId="11295" xr:uid="{E61BCDB4-3B0F-4D6D-814C-C7B5FBFCED26}"/>
    <cellStyle name="20% - Accent2 2 4 3 2 2 3 2" xfId="20180" xr:uid="{7A937F2B-127E-4D6B-BADA-407F88714348}"/>
    <cellStyle name="20% - Accent2 2 4 3 2 2 4" xfId="5580" xr:uid="{99BBA7C8-2121-4721-ABEC-BB6576E9729E}"/>
    <cellStyle name="20% - Accent2 2 4 3 2 3" xfId="29704" xr:uid="{9145AA54-64DB-4746-AB89-C3547FDF7AE9}"/>
    <cellStyle name="20% - Accent2 2 4 3 2 3 2" xfId="11290" xr:uid="{8B1530EC-ADB5-4567-83F5-82A9E40EE799}"/>
    <cellStyle name="20% - Accent2 2 4 3 2 3 2 2" xfId="27579" xr:uid="{0B4136E1-F2CE-4ED7-9D1B-92859D7EFDD6}"/>
    <cellStyle name="20% - Accent2 2 4 3 2 3 3" xfId="20335" xr:uid="{FFB79BD0-1436-4410-9EC6-9A9A20528857}"/>
    <cellStyle name="20% - Accent2 2 4 3 2 4" xfId="27022" xr:uid="{78673C14-FE9E-42EA-8B1C-C500DB0362BD}"/>
    <cellStyle name="20% - Accent2 2 4 3 2 4 2" xfId="20325" xr:uid="{C82D58DF-0F0D-4355-BC29-320E20F961ED}"/>
    <cellStyle name="20% - Accent2 2 4 3 2 5" xfId="19729" xr:uid="{42BCFCF2-EA17-48D8-AD86-59115F3A7E1F}"/>
    <cellStyle name="20% - Accent2 2 4 3 3" xfId="20590" xr:uid="{4EB1066E-11E1-40CC-91DA-BB046117FD8D}"/>
    <cellStyle name="20% - Accent2 2 4 3 3 2" xfId="29678" xr:uid="{41B23488-7D38-4DA7-9430-3EA8AA06BB1D}"/>
    <cellStyle name="20% - Accent2 2 4 3 3 2 2" xfId="11276" xr:uid="{46A926DD-18AB-4FDA-ADA7-D41A35E01220}"/>
    <cellStyle name="20% - Accent2 2 4 3 3 2 2 2" xfId="19276" xr:uid="{53414704-700C-48F5-80A1-B94D6E82405B}"/>
    <cellStyle name="20% - Accent2 2 4 3 3 2 3" xfId="29673" xr:uid="{F778A0BC-A443-4377-889A-B4C800C64224}"/>
    <cellStyle name="20% - Accent2 2 4 3 3 3" xfId="27012" xr:uid="{8A199DAF-240F-44E5-A4AD-82D1E290AF62}"/>
    <cellStyle name="20% - Accent2 2 4 3 3 3 2" xfId="28803" xr:uid="{04904CDE-4696-451C-8052-6F1FBCE171BC}"/>
    <cellStyle name="20% - Accent2 2 4 3 3 4" xfId="29504" xr:uid="{0161C4CC-48A9-461F-9B3B-7AC6E9AE6959}"/>
    <cellStyle name="20% - Accent2 2 4 3 4" xfId="30052" xr:uid="{B38AAB24-AF07-4DCA-8AD6-1DE7098A4489}"/>
    <cellStyle name="20% - Accent2 2 4 3 4 2" xfId="28435" xr:uid="{930CA78E-9DE4-4CC0-A0C7-5B0F16AA562E}"/>
    <cellStyle name="20% - Accent2 2 4 3 4 2 2" xfId="29656" xr:uid="{1D98A45D-6998-489D-85DE-8B4FCD97A21E}"/>
    <cellStyle name="20% - Accent2 2 4 3 4 3" xfId="30550" xr:uid="{6F3C5789-D01E-4C1D-A093-A6AAFE770F6D}"/>
    <cellStyle name="20% - Accent2 2 4 3 5" xfId="30047" xr:uid="{368F7C20-31BE-4B41-818C-1A0F3A536654}"/>
    <cellStyle name="20% - Accent2 2 4 3 5 2" xfId="30537" xr:uid="{A583A066-43D2-48A0-8B2C-6EB78EEFB15F}"/>
    <cellStyle name="20% - Accent2 2 4 3 6" xfId="29651" xr:uid="{8D855DE9-B8C4-480E-B336-F8326D6CD1F7}"/>
    <cellStyle name="20% - Accent2 2 4 4" xfId="21365" xr:uid="{14287653-7BBF-49F9-A1E0-96C350FB0D0E}"/>
    <cellStyle name="20% - Accent2 2 4 4 2" xfId="32518" xr:uid="{A317C298-370D-49A0-8A3D-DC6B42889784}"/>
    <cellStyle name="20% - Accent2 2 4 4 2 2" xfId="29643" xr:uid="{F1224D4C-DC16-4FE0-B50F-2DD73BAA3BC9}"/>
    <cellStyle name="20% - Accent2 2 4 4 2 2 2" xfId="11231" xr:uid="{465606FD-40F8-409A-99C3-7EAFCDA79945}"/>
    <cellStyle name="20% - Accent2 2 4 4 2 2 2 2" xfId="20302" xr:uid="{19DD941A-C953-465D-A3B4-505D3F91E1C5}"/>
    <cellStyle name="20% - Accent2 2 4 4 2 2 3" xfId="29639" xr:uid="{8E6958E2-CB88-4D0E-A195-344196EBF348}"/>
    <cellStyle name="20% - Accent2 2 4 4 2 3" xfId="29633" xr:uid="{E3BBABFC-604E-4061-BB9F-DE948BB1C32D}"/>
    <cellStyle name="20% - Accent2 2 4 4 2 3 2" xfId="29630" xr:uid="{AC67116A-560A-4FC3-9055-8548CF7074CD}"/>
    <cellStyle name="20% - Accent2 2 4 4 2 4" xfId="29881" xr:uid="{5C01EE30-D1B8-425F-BA8B-24A3A8DB687F}"/>
    <cellStyle name="20% - Accent2 2 4 4 3" xfId="33335" xr:uid="{273BEA66-7CC9-4095-8036-1C71E28D47E1}"/>
    <cellStyle name="20% - Accent2 2 4 4 3 2" xfId="29621" xr:uid="{EE2A6489-7173-4210-896A-E999A44E1AA7}"/>
    <cellStyle name="20% - Accent2 2 4 4 3 2 2" xfId="24889" xr:uid="{F4819FC2-3DC8-4140-99CB-EBAEFD2B5D52}"/>
    <cellStyle name="20% - Accent2 2 4 4 3 3" xfId="29616" xr:uid="{60897FD4-7866-436E-A9B4-BB6EED3CE6F7}"/>
    <cellStyle name="20% - Accent2 2 4 4 4" xfId="32782" xr:uid="{41917A82-71E4-4FB1-BD55-6879CD99482A}"/>
    <cellStyle name="20% - Accent2 2 4 4 4 2" xfId="30532" xr:uid="{D9F1C009-1049-4CBF-BBAD-2C8D8ECDA93F}"/>
    <cellStyle name="20% - Accent2 2 4 4 5" xfId="32172" xr:uid="{BE0A3FE3-DDF3-4B5E-BDB2-2B0AF9857286}"/>
    <cellStyle name="20% - Accent2 2 4 5" xfId="13424" xr:uid="{3CD5A382-11B1-48BC-B608-84187619BD5C}"/>
    <cellStyle name="20% - Accent2 2 4 5 2" xfId="29608" xr:uid="{B3C44358-94E9-497D-B010-1EF8DE2D1CA7}"/>
    <cellStyle name="20% - Accent2 2 4 5 2 2" xfId="25738" xr:uid="{ABD7306C-92C8-476B-AE1A-7EEC2099FEC5}"/>
    <cellStyle name="20% - Accent2 2 4 5 2 2 2" xfId="24353" xr:uid="{1C943BC6-864E-4D65-8625-F6DD327F4581}"/>
    <cellStyle name="20% - Accent2 2 4 5 2 3" xfId="29600" xr:uid="{AE46BC5D-D5E8-445D-BC6D-B58FC7FF07C3}"/>
    <cellStyle name="20% - Accent2 2 4 5 3" xfId="13039" xr:uid="{9CEB44DB-AD27-4A9E-9E19-8FD8ECB25532}"/>
    <cellStyle name="20% - Accent2 2 4 5 3 2" xfId="29598" xr:uid="{E0D0F55D-0BEF-429D-BB3B-429D83FA4C74}"/>
    <cellStyle name="20% - Accent2 2 4 5 4" xfId="32758" xr:uid="{3C2664F7-FF20-4979-A3E9-A033BA7ACD0D}"/>
    <cellStyle name="20% - Accent2 2 4 6" xfId="28856" xr:uid="{4EEC8EC8-C4D4-4D24-B93B-EA09ADB7E871}"/>
    <cellStyle name="20% - Accent2 2 4 6 2" xfId="29590" xr:uid="{9C0C754D-A93C-4CF5-92E4-10AE5E2C2024}"/>
    <cellStyle name="20% - Accent2 2 4 6 2 2" xfId="29588" xr:uid="{67092706-6213-479F-8598-3B538C3CA565}"/>
    <cellStyle name="20% - Accent2 2 4 6 3" xfId="23260" xr:uid="{8A634BCC-CFA8-4515-A6DD-7C5462EE9EB1}"/>
    <cellStyle name="20% - Accent2 2 4 7" xfId="25626" xr:uid="{E1115AA4-6466-4C89-9B24-8F032D139363}"/>
    <cellStyle name="20% - Accent2 2 4 7 2" xfId="29583" xr:uid="{C4EC2F4F-EE56-4D23-92DE-82999782BA0E}"/>
    <cellStyle name="20% - Accent2 2 4 8" xfId="11013" xr:uid="{FA6A5D2C-88F2-4DAF-BD46-E02C93055784}"/>
    <cellStyle name="20% - Accent2 2 4 9" xfId="34753" xr:uid="{3C5E6FD1-7DF8-467C-8E07-8C978588AB67}"/>
    <cellStyle name="20% - Accent2 2 5" xfId="17173" xr:uid="{2A104C53-32F1-402C-8C7D-6DB489E03912}"/>
    <cellStyle name="20% - Accent2 2 5 2" xfId="13912" xr:uid="{22134903-8711-401A-9CEB-471CD748E127}"/>
    <cellStyle name="20% - Accent2 2 5 2 2" xfId="25211" xr:uid="{0138225D-9FAB-4DD3-B5B5-BA95448170E9}"/>
    <cellStyle name="20% - Accent2 2 5 2 2 2" xfId="29557" xr:uid="{20A2111B-A1B1-4B16-B5BB-C0F20DBADDD6}"/>
    <cellStyle name="20% - Accent2 2 5 2 2 2 2" xfId="29547" xr:uid="{B0CEE4F1-EE54-4C9A-BD28-326ACC0265B8}"/>
    <cellStyle name="20% - Accent2 2 5 2 2 2 2 2" xfId="18893" xr:uid="{8F079EC0-ADCC-4B74-A2F6-7030C2C49F4E}"/>
    <cellStyle name="20% - Accent2 2 5 2 2 2 2 2 2" xfId="29735" xr:uid="{2FA8C2E9-3B31-4A4F-98A1-FA91AA6DA11B}"/>
    <cellStyle name="20% - Accent2 2 5 2 2 2 2 3" xfId="26142" xr:uid="{76A9D85B-AE1A-4C89-A61C-B3E4899A23BD}"/>
    <cellStyle name="20% - Accent2 2 5 2 2 2 3" xfId="29535" xr:uid="{CF1FDA31-B2D3-4F5A-A44B-7D358F0CB991}"/>
    <cellStyle name="20% - Accent2 2 5 2 2 2 3 2" xfId="20577" xr:uid="{ECD2AABA-15AC-4A0B-BC70-7E030403E2CD}"/>
    <cellStyle name="20% - Accent2 2 5 2 2 2 4" xfId="29570" xr:uid="{AF41C246-4C8E-460E-9425-D794C50FEA12}"/>
    <cellStyle name="20% - Accent2 2 5 2 2 3" xfId="31480" xr:uid="{F949B76E-45BB-4F36-878A-E8411354D80A}"/>
    <cellStyle name="20% - Accent2 2 5 2 2 3 2" xfId="18473" xr:uid="{66283753-CB47-4F4F-97B3-E9FBE7C1726D}"/>
    <cellStyle name="20% - Accent2 2 5 2 2 3 2 2" xfId="18874" xr:uid="{2EBAA1FE-4E2A-4EA8-8777-5B0F539E807A}"/>
    <cellStyle name="20% - Accent2 2 5 2 2 3 3" xfId="24533" xr:uid="{F337AEB2-48FD-4452-BE38-0C05EE76DFC0}"/>
    <cellStyle name="20% - Accent2 2 5 2 2 4" xfId="31473" xr:uid="{A5FE8353-1266-4DA6-9C08-B3133F7705B0}"/>
    <cellStyle name="20% - Accent2 2 5 2 2 4 2" xfId="18467" xr:uid="{5DF7B9BD-3946-4C93-83CF-D59E8B16ADED}"/>
    <cellStyle name="20% - Accent2 2 5 2 2 5" xfId="19708" xr:uid="{8ED475A2-70B4-4D89-BF54-9D87BCE7CD1D}"/>
    <cellStyle name="20% - Accent2 2 5 2 3" xfId="8395" xr:uid="{3D579AD7-1F19-413A-8BCD-2C376AAA27A1}"/>
    <cellStyle name="20% - Accent2 2 5 2 3 2" xfId="30988" xr:uid="{9D159B4D-B374-4FB0-AEBD-C95BAC30F7A6}"/>
    <cellStyle name="20% - Accent2 2 5 2 3 2 2" xfId="28014" xr:uid="{71F8D740-C3EE-4E58-AB33-F1B5FC5B50E9}"/>
    <cellStyle name="20% - Accent2 2 5 2 3 2 2 2" xfId="18786" xr:uid="{6EF55340-1E80-443F-BF4B-C13605F00E89}"/>
    <cellStyle name="20% - Accent2 2 5 2 3 2 3" xfId="28005" xr:uid="{F78047E3-183E-4562-955B-8B8BD1B86D2E}"/>
    <cellStyle name="20% - Accent2 2 5 2 3 3" xfId="31461" xr:uid="{82855413-2342-42A7-93B5-4E4606AA08C4}"/>
    <cellStyle name="20% - Accent2 2 5 2 3 3 2" xfId="18457" xr:uid="{13E32419-E937-4128-A76B-8B7E49C51C8F}"/>
    <cellStyle name="20% - Accent2 2 5 2 3 4" xfId="28415" xr:uid="{CA1C1E27-6299-48D2-9ECD-C04FB1E4BF05}"/>
    <cellStyle name="20% - Accent2 2 5 2 4" xfId="30040" xr:uid="{9C4C4ECA-C3C8-4A00-BFB4-9DC6133067D7}"/>
    <cellStyle name="20% - Accent2 2 5 2 4 2" xfId="30955" xr:uid="{BDE97589-143A-42FA-AD90-1262DDFF5506}"/>
    <cellStyle name="20% - Accent2 2 5 2 4 2 2" xfId="27974" xr:uid="{96DE9C59-99E8-465C-A79D-6DEA65AAE101}"/>
    <cellStyle name="20% - Accent2 2 5 2 4 3" xfId="29502" xr:uid="{100D07B6-5032-4770-8DD8-BF53FBE10F2A}"/>
    <cellStyle name="20% - Accent2 2 5 2 5" xfId="30024" xr:uid="{E2F29B2F-9B25-434D-8547-B71560F09335}"/>
    <cellStyle name="20% - Accent2 2 5 2 5 2" xfId="22798" xr:uid="{80FBEF8A-753D-48F9-9C3C-9969436F1D3D}"/>
    <cellStyle name="20% - Accent2 2 5 2 6" xfId="29474" xr:uid="{0FF0370E-9B76-4B66-9D0F-8E32AF35BD10}"/>
    <cellStyle name="20% - Accent2 2 5 3" xfId="27873" xr:uid="{C20434EC-3752-4C35-A1F1-4EE29D0F56AF}"/>
    <cellStyle name="20% - Accent2 2 5 3 2" xfId="8392" xr:uid="{3D89EA24-1638-4295-B64C-49EC0C18D9DD}"/>
    <cellStyle name="20% - Accent2 2 5 3 2 2" xfId="29161" xr:uid="{895A7783-D419-429C-B723-E4EAF041F2DB}"/>
    <cellStyle name="20% - Accent2 2 5 3 2 2 2" xfId="11281" xr:uid="{306E96AC-20C8-4345-9387-D199058CE1AB}"/>
    <cellStyle name="20% - Accent2 2 5 3 2 2 2 2" xfId="18667" xr:uid="{952952D3-2686-4859-B45C-828FC923C2C2}"/>
    <cellStyle name="20% - Accent2 2 5 3 2 2 3" xfId="11271" xr:uid="{DAC73A3C-4B45-4432-849B-5F8587847151}"/>
    <cellStyle name="20% - Accent2 2 5 3 2 3" xfId="26961" xr:uid="{BA04835C-76BC-4C06-90B3-39537408C704}"/>
    <cellStyle name="20% - Accent2 2 5 3 2 3 2" xfId="13234" xr:uid="{2760527C-0BE6-4FC5-81FC-3050F3A0B255}"/>
    <cellStyle name="20% - Accent2 2 5 3 2 4" xfId="26045" xr:uid="{FC48DAAE-7165-4A4A-872A-F0BEDE293ADA}"/>
    <cellStyle name="20% - Accent2 2 5 3 3" xfId="29447" xr:uid="{F9C864C5-CDA1-4B0A-9633-C432F584B078}"/>
    <cellStyle name="20% - Accent2 2 5 3 3 2" xfId="29578" xr:uid="{EE393208-2080-4B74-A899-F881AFD96597}"/>
    <cellStyle name="20% - Accent2 2 5 3 3 2 2" xfId="27878" xr:uid="{0AB20976-DF21-41A6-8681-F2B589E9EDBF}"/>
    <cellStyle name="20% - Accent2 2 5 3 3 3" xfId="29427" xr:uid="{889F4C2B-C3AE-4203-BF34-8B739174078B}"/>
    <cellStyle name="20% - Accent2 2 5 3 4" xfId="28025" xr:uid="{1FA3C921-08F1-4F1F-AE0D-E49EA1E05676}"/>
    <cellStyle name="20% - Accent2 2 5 3 4 2" xfId="30172" xr:uid="{87022F3F-90F0-47B2-8EC4-13FDE26669C8}"/>
    <cellStyle name="20% - Accent2 2 5 3 5" xfId="29418" xr:uid="{E91F9FCD-7696-4D86-86DF-7C6ABB9C1F4D}"/>
    <cellStyle name="20% - Accent2 2 5 4" xfId="26547" xr:uid="{D44BDA94-DB75-43F3-82D8-10D616D0B96D}"/>
    <cellStyle name="20% - Accent2 2 5 4 2" xfId="29408" xr:uid="{88834263-DBCC-4AD1-84DA-F3FA5D7EB558}"/>
    <cellStyle name="20% - Accent2 2 5 4 2 2" xfId="30875" xr:uid="{0A5A28EE-0B82-4719-9418-0E6B4BA06C11}"/>
    <cellStyle name="20% - Accent2 2 5 4 2 2 2" xfId="10755" xr:uid="{19EDA19C-8CB2-4F2C-9663-08968C19E04F}"/>
    <cellStyle name="20% - Accent2 2 5 4 2 3" xfId="27162" xr:uid="{73E5EE09-9F0B-49BD-A259-44EB8192C248}"/>
    <cellStyle name="20% - Accent2 2 5 4 3" xfId="23246" xr:uid="{A37E09CB-2995-4A21-9285-494C856D866B}"/>
    <cellStyle name="20% - Accent2 2 5 4 3 2" xfId="30189" xr:uid="{CC49A961-3D03-422A-985B-EEB6E96BDE2A}"/>
    <cellStyle name="20% - Accent2 2 5 4 4" xfId="23238" xr:uid="{D0459F25-9689-4800-81C7-CDAA051B3960}"/>
    <cellStyle name="20% - Accent2 2 5 5" xfId="13421" xr:uid="{EF940AF1-429D-491B-8EA0-86C3562C6765}"/>
    <cellStyle name="20% - Accent2 2 5 5 2" xfId="23740" xr:uid="{57D042C7-9D23-466A-B5A2-10FE6A05A303}"/>
    <cellStyle name="20% - Accent2 2 5 5 2 2" xfId="29388" xr:uid="{592AC622-FF0B-428D-8C3D-BF622441AD4B}"/>
    <cellStyle name="20% - Accent2 2 5 5 3" xfId="23230" xr:uid="{E577292B-441B-4A35-AEDB-3FF0DEAA75E6}"/>
    <cellStyle name="20% - Accent2 2 5 6" xfId="33187" xr:uid="{4ED4CAD7-85E3-40C1-820E-6A9451B63080}"/>
    <cellStyle name="20% - Accent2 2 5 6 2" xfId="30344" xr:uid="{C629C15C-C0BA-4644-B797-FEDA43F63DF7}"/>
    <cellStyle name="20% - Accent2 2 5 7" xfId="29382" xr:uid="{C0A5032C-7399-4B97-BD3A-855D6033B296}"/>
    <cellStyle name="20% - Accent2 2 5 8" xfId="34943" xr:uid="{AB4CB0E4-58C1-4E47-9880-DBDF7A27D0D2}"/>
    <cellStyle name="20% - Accent2 2 6" xfId="29425" xr:uid="{6A5D46DA-A436-4002-9587-5246103D1545}"/>
    <cellStyle name="20% - Accent2 2 6 2" xfId="18925" xr:uid="{675B9182-298A-401F-AACD-C00DA31CBDA6}"/>
    <cellStyle name="20% - Accent2 2 6 2 2" xfId="30705" xr:uid="{74725DD4-0326-4EF8-9F82-DD5FF0F514A7}"/>
    <cellStyle name="20% - Accent2 2 6 2 2 2" xfId="24537" xr:uid="{5CE99568-78B3-4D47-9724-4550323743E2}"/>
    <cellStyle name="20% - Accent2 2 6 2 2 2 2" xfId="29371" xr:uid="{A180592B-93C2-4E35-B4FF-FA0BFF50D6CC}"/>
    <cellStyle name="20% - Accent2 2 6 2 2 2 2 2" xfId="18704" xr:uid="{0B5ABD98-5B59-4D5B-A359-D4E1E87ECA5C}"/>
    <cellStyle name="20% - Accent2 2 6 2 2 2 3" xfId="29362" xr:uid="{B4635109-C96C-4677-AFF0-B356B1742F1C}"/>
    <cellStyle name="20% - Accent2 2 6 2 2 3" xfId="31263" xr:uid="{92237713-FE26-4338-803E-13AC03D505C0}"/>
    <cellStyle name="20% - Accent2 2 6 2 2 3 2" xfId="19424" xr:uid="{92E83FFD-7A27-4F90-8122-D38C94BB54E9}"/>
    <cellStyle name="20% - Accent2 2 6 2 2 4" xfId="29352" xr:uid="{608D12BF-2C33-4C3B-A736-EA6A67055412}"/>
    <cellStyle name="20% - Accent2 2 6 2 3" xfId="31604" xr:uid="{E7F6F71B-1C1C-42CC-A8F2-D02C09DDF808}"/>
    <cellStyle name="20% - Accent2 2 6 2 3 2" xfId="24524" xr:uid="{D95767A3-A508-4364-B5DB-1C66F1D2E66A}"/>
    <cellStyle name="20% - Accent2 2 6 2 3 2 2" xfId="30892" xr:uid="{60B1AD80-7ECF-47DF-9C0D-88FD03330F28}"/>
    <cellStyle name="20% - Accent2 2 6 2 3 3" xfId="29341" xr:uid="{274E654E-09B7-449A-9460-63BD847FC31D}"/>
    <cellStyle name="20% - Accent2 2 6 2 4" xfId="30006" xr:uid="{C12F6DA4-36F4-4CA4-9589-2017B1AA7C13}"/>
    <cellStyle name="20% - Accent2 2 6 2 4 2" xfId="29327" xr:uid="{30F3FAD4-CEB3-4C8D-BB87-E301421A4047}"/>
    <cellStyle name="20% - Accent2 2 6 2 5" xfId="29313" xr:uid="{02EA5D99-0584-46E6-9D4D-76E23E6DE0F3}"/>
    <cellStyle name="20% - Accent2 2 6 3" xfId="18916" xr:uid="{6803E9F1-5EC1-4B6D-95AB-80B38CFDB668}"/>
    <cellStyle name="20% - Accent2 2 6 3 2" xfId="30215" xr:uid="{AA37DD36-B92E-4093-99AD-785BEF06BD78}"/>
    <cellStyle name="20% - Accent2 2 6 3 2 2" xfId="24517" xr:uid="{5B2D3C2E-8EF9-4024-8FF1-D9093753F2E1}"/>
    <cellStyle name="20% - Accent2 2 6 3 2 2 2" xfId="10048" xr:uid="{3F32541E-8532-4B4E-AE3C-5AB0661BDFBC}"/>
    <cellStyle name="20% - Accent2 2 6 3 2 3" xfId="29287" xr:uid="{F45E3C60-8B9E-4971-A287-20BF3407E40E}"/>
    <cellStyle name="20% - Accent2 2 6 3 3" xfId="30204" xr:uid="{D071B0BA-05E2-4E22-8F10-0CFC170246ED}"/>
    <cellStyle name="20% - Accent2 2 6 3 3 2" xfId="29277" xr:uid="{999F1494-B695-42A2-AEE9-1025B29554C9}"/>
    <cellStyle name="20% - Accent2 2 6 3 4" xfId="30408" xr:uid="{B20FEA82-1DCD-4FE9-9CC8-660C565C21C0}"/>
    <cellStyle name="20% - Accent2 2 6 4" xfId="17982" xr:uid="{8EA9870A-97EF-41D2-B529-2CA8CCFB6209}"/>
    <cellStyle name="20% - Accent2 2 6 4 2" xfId="20557" xr:uid="{6809ECE1-A5B4-4FD3-94D9-1043E63981AC}"/>
    <cellStyle name="20% - Accent2 2 6 4 2 2" xfId="29257" xr:uid="{E36E3DD5-0204-4833-B96A-76449DB29C7F}"/>
    <cellStyle name="20% - Accent2 2 6 4 3" xfId="23214" xr:uid="{3E92547B-CA82-437A-B7F9-44AB6A7A1294}"/>
    <cellStyle name="20% - Accent2 2 6 5" xfId="28961" xr:uid="{066CB22A-A58A-4510-B061-5EDD1FD84054}"/>
    <cellStyle name="20% - Accent2 2 6 5 2" xfId="30636" xr:uid="{334DB9D2-135F-49EE-91D8-DE9746E9C74C}"/>
    <cellStyle name="20% - Accent2 2 6 6" xfId="27605" xr:uid="{398410BF-487D-436F-9D16-2F08772A3F59}"/>
    <cellStyle name="20% - Accent2 2 6 7" xfId="35148" xr:uid="{5E85F985-4D74-4336-BAA6-FBBE20ACB6A2}"/>
    <cellStyle name="20% - Accent2 2 7" xfId="28100" xr:uid="{CD7DD16D-9F41-45EF-832C-DE3884C04D3D}"/>
    <cellStyle name="20% - Accent2 2 7 2" xfId="18910" xr:uid="{150464BC-E55A-47AB-A7B0-C1F1792F925F}"/>
    <cellStyle name="20% - Accent2 2 7 2 2" xfId="26274" xr:uid="{43545A2E-56DA-4A78-909C-B6A234A4E51A}"/>
    <cellStyle name="20% - Accent2 2 7 2 2 2" xfId="24491" xr:uid="{AD6F53D8-2A0C-4E7D-AFFC-9A4317BD07FA}"/>
    <cellStyle name="20% - Accent2 2 7 2 2 2 2" xfId="18957" xr:uid="{6CD43856-FAB6-4579-A4C7-2387D2C30B2E}"/>
    <cellStyle name="20% - Accent2 2 7 2 2 3" xfId="32620" xr:uid="{584D99E1-2EEC-402F-B708-360030E0D89C}"/>
    <cellStyle name="20% - Accent2 2 7 2 3" xfId="32642" xr:uid="{4E852BC9-2A38-4E75-B7B0-D94992B392D5}"/>
    <cellStyle name="20% - Accent2 2 7 2 3 2" xfId="24848" xr:uid="{106A19DC-43E4-4072-8B6E-C538A6CF98C5}"/>
    <cellStyle name="20% - Accent2 2 7 2 4" xfId="32157" xr:uid="{97E8FE0E-8AEE-440C-AAC8-C90CA428B77C}"/>
    <cellStyle name="20% - Accent2 2 7 3" xfId="17978" xr:uid="{97920D23-84F9-471A-AFB6-5531E0C7DB99}"/>
    <cellStyle name="20% - Accent2 2 7 3 2" xfId="30747" xr:uid="{B022E99B-F80D-4B9E-834F-40FE419916E4}"/>
    <cellStyle name="20% - Accent2 2 7 3 2 2" xfId="15368" xr:uid="{7683DAE3-0FA4-4565-A833-307EF014AF92}"/>
    <cellStyle name="20% - Accent2 2 7 3 3" xfId="32606" xr:uid="{75A7D0EF-91D0-4D01-B884-D361C6670E0F}"/>
    <cellStyle name="20% - Accent2 2 7 4" xfId="28941" xr:uid="{6FAE04AC-3448-451F-9F9E-B201A03B1492}"/>
    <cellStyle name="20% - Accent2 2 7 4 2" xfId="17841" xr:uid="{11D3FA5D-3920-471F-ADD9-980AC25FE650}"/>
    <cellStyle name="20% - Accent2 2 7 5" xfId="11103" xr:uid="{F5A6319A-2BC8-451F-8C62-3380AC0B5CE2}"/>
    <cellStyle name="20% - Accent2 2 7 6" xfId="35377" xr:uid="{3F8A8F35-C7A8-41E7-8C61-F0DE8779DBDB}"/>
    <cellStyle name="20% - Accent2 2 8" xfId="25637" xr:uid="{7C09149C-6B47-43DA-A40A-C1B4EC9481F2}"/>
    <cellStyle name="20% - Accent2 2 8 2" xfId="17974" xr:uid="{A89A860F-0FFA-4E99-9EE3-24B6B4D8E3B7}"/>
    <cellStyle name="20% - Accent2 2 8 2 2" xfId="30735" xr:uid="{098E44D3-3846-4849-A0DF-CEDA017A0E49}"/>
    <cellStyle name="20% - Accent2 2 8 2 2 2" xfId="32513" xr:uid="{1AEEFC41-FF0E-41B2-A1FA-22B8DD71D7C9}"/>
    <cellStyle name="20% - Accent2 2 8 2 3" xfId="31127" xr:uid="{FB6A3E6C-447C-4E1E-B0C8-3594DBDA0FBC}"/>
    <cellStyle name="20% - Accent2 2 8 3" xfId="29867" xr:uid="{56E14273-EC4E-42BE-BB90-1329D43444A5}"/>
    <cellStyle name="20% - Accent2 2 8 3 2" xfId="30723" xr:uid="{1949AD49-6A4F-40A6-AF6C-695DD19C4027}"/>
    <cellStyle name="20% - Accent2 2 8 4" xfId="29241" xr:uid="{E9DF54FE-EF9E-4A03-B126-EC11397500D6}"/>
    <cellStyle name="20% - Accent2 2 8 5" xfId="36249" xr:uid="{FF0B840C-5F19-44AD-83E1-4367213CF5C5}"/>
    <cellStyle name="20% - Accent2 2 9" xfId="29230" xr:uid="{ECF38F1E-B73E-42A3-8659-EDA51247970E}"/>
    <cellStyle name="20% - Accent2 2 9 2" xfId="22863" xr:uid="{A64998BB-1223-4E3B-86E0-F458F6EDF71F}"/>
    <cellStyle name="20% - Accent2 2 9 2 2" xfId="25184" xr:uid="{72267DCC-B3ED-4F67-BF57-43040163524D}"/>
    <cellStyle name="20% - Accent2 2 9 3" xfId="21718" xr:uid="{3242A847-A1C2-4F85-B55E-386D7E2B784F}"/>
    <cellStyle name="20% - Accent2 2 9 4" xfId="36535" xr:uid="{D658DBBC-48FF-44C6-90CD-2F4AC9851C94}"/>
    <cellStyle name="20% - Accent2 20" xfId="35699" xr:uid="{6F23336B-E8CA-4FEC-80CD-E3EC85B1DFDE}"/>
    <cellStyle name="20% - Accent2 20 2" xfId="36868" xr:uid="{B1F1FC2E-98C1-47C5-BDAA-CBFDB00469F6}"/>
    <cellStyle name="20% - Accent2 20 3" xfId="37759" xr:uid="{39E5F950-FCAE-4DB2-974E-1EADFC144CE1}"/>
    <cellStyle name="20% - Accent2 21" xfId="35718" xr:uid="{4B751858-C5B5-4922-AC73-B49097A91605}"/>
    <cellStyle name="20% - Accent2 21 2" xfId="36888" xr:uid="{C84C1049-D290-453D-9B32-7305E46DB54E}"/>
    <cellStyle name="20% - Accent2 21 3" xfId="37779" xr:uid="{50258264-74AC-4443-B297-1CAAE40177A0}"/>
    <cellStyle name="20% - Accent2 22" xfId="35737" xr:uid="{81231563-2CAD-4A5D-9D4B-92346A2177CC}"/>
    <cellStyle name="20% - Accent2 22 2" xfId="36908" xr:uid="{B3D9D13A-8BE3-41D2-BF84-FC25B6D2C8D1}"/>
    <cellStyle name="20% - Accent2 22 3" xfId="37799" xr:uid="{0AFFE3E4-AD40-44CC-889C-C909DB98AFF1}"/>
    <cellStyle name="20% - Accent2 23" xfId="35757" xr:uid="{55F1E0C9-0019-4508-B412-6F29385F556D}"/>
    <cellStyle name="20% - Accent2 23 2" xfId="36927" xr:uid="{45903E9E-202C-490A-8F6B-D76A481851C7}"/>
    <cellStyle name="20% - Accent2 23 3" xfId="37819" xr:uid="{2815E1E7-6F7A-47FD-BAA1-887D2DCCCFF8}"/>
    <cellStyle name="20% - Accent2 24" xfId="35777" xr:uid="{7621EC95-30CF-4CAC-BE8B-A44474DF3EBB}"/>
    <cellStyle name="20% - Accent2 24 2" xfId="36946" xr:uid="{DDF3D2EF-736F-4CB1-9D91-CD49B70D4425}"/>
    <cellStyle name="20% - Accent2 24 3" xfId="37839" xr:uid="{763156C7-6486-4528-A4D1-A8D5FBF307C6}"/>
    <cellStyle name="20% - Accent2 25" xfId="35796" xr:uid="{2D9AF98D-7012-4E04-9BDC-6433DD48A295}"/>
    <cellStyle name="20% - Accent2 25 2" xfId="36966" xr:uid="{CA72860F-5FA2-4737-8E4D-B4A6C095AC6C}"/>
    <cellStyle name="20% - Accent2 25 3" xfId="37859" xr:uid="{DD95C560-F929-44F9-97C2-2B40D5711A0D}"/>
    <cellStyle name="20% - Accent2 26" xfId="35815" xr:uid="{54459FA2-C734-4E8D-B449-80ECEBF710BF}"/>
    <cellStyle name="20% - Accent2 26 2" xfId="36986" xr:uid="{58EAB9A8-82B4-4D9F-9176-D82358560330}"/>
    <cellStyle name="20% - Accent2 26 3" xfId="37879" xr:uid="{4294DCD9-3738-479C-9EF7-91AE8E13B012}"/>
    <cellStyle name="20% - Accent2 27" xfId="35834" xr:uid="{74AFE932-4040-4BA8-8FA7-17F71FF96368}"/>
    <cellStyle name="20% - Accent2 27 2" xfId="37006" xr:uid="{3B031802-3890-490A-8527-C33AB24D7ECF}"/>
    <cellStyle name="20% - Accent2 27 3" xfId="37899" xr:uid="{3AC022A4-145A-4AAD-A19A-2CB278D57DAE}"/>
    <cellStyle name="20% - Accent2 28" xfId="35853" xr:uid="{BA020565-0E00-4BCC-B3C2-A19CB3C43ECE}"/>
    <cellStyle name="20% - Accent2 28 2" xfId="37026" xr:uid="{9D8B37C5-18D6-48C7-852B-5F5F00200D0E}"/>
    <cellStyle name="20% - Accent2 28 3" xfId="37919" xr:uid="{420DE4B0-26B2-423D-8171-49C5049D08D4}"/>
    <cellStyle name="20% - Accent2 29" xfId="35870" xr:uid="{203C22D0-2C4B-43D3-9713-5B7E219E4C5D}"/>
    <cellStyle name="20% - Accent2 29 2" xfId="37042" xr:uid="{C61EC1F8-9611-421F-A945-15841CAA4F50}"/>
    <cellStyle name="20% - Accent2 29 3" xfId="37936" xr:uid="{E2CC8612-A279-485C-894A-90E86DAFFC9B}"/>
    <cellStyle name="20% - Accent2 3" xfId="100" xr:uid="{C0CCDD43-7573-4FC6-8420-169B2AC455C7}"/>
    <cellStyle name="20% - Accent2 3 10" xfId="27225" xr:uid="{027E27B5-548B-46B6-9982-ED2035DBC8C9}"/>
    <cellStyle name="20% - Accent2 3 10 2" xfId="37439" xr:uid="{60A4929D-EC61-4D35-9295-B76CC4618461}"/>
    <cellStyle name="20% - Accent2 3 11" xfId="34454" xr:uid="{A45E8570-542B-493A-A8A9-5BF625283B05}"/>
    <cellStyle name="20% - Accent2 3 12" xfId="29210" xr:uid="{BD280CED-D81C-4338-813E-2DF17E311808}"/>
    <cellStyle name="20% - Accent2 3 2" xfId="161" xr:uid="{77AE0995-8412-4E87-B936-96A7B3D27C15}"/>
    <cellStyle name="20% - Accent2 3 2 10" xfId="34508" xr:uid="{7459C196-88D3-4627-B0E2-68810E1F5110}"/>
    <cellStyle name="20% - Accent2 3 2 11" xfId="28531" xr:uid="{9E5C9960-4AC8-45A8-A13F-4B3AAC21510C}"/>
    <cellStyle name="20% - Accent2 3 2 2" xfId="33057" xr:uid="{2346309A-9C74-44A9-88A5-5E6FF2726294}"/>
    <cellStyle name="20% - Accent2 3 2 2 2" xfId="30546" xr:uid="{47A784FE-A181-4668-A2C7-DD4B5E904587}"/>
    <cellStyle name="20% - Accent2 3 2 2 2 2" xfId="22157" xr:uid="{BDA52BBA-D040-43E5-B651-7EC75C124256}"/>
    <cellStyle name="20% - Accent2 3 2 2 2 2 2" xfId="29206" xr:uid="{F7F0964F-92F1-4E7A-9B4F-26D56BBAABB7}"/>
    <cellStyle name="20% - Accent2 3 2 2 2 2 2 2" xfId="11490" xr:uid="{A7F91DB9-E0C5-4992-995C-19530638D08D}"/>
    <cellStyle name="20% - Accent2 3 2 2 2 2 2 2 2" xfId="23715" xr:uid="{BA49B875-BFD2-4DB2-AA75-0FC86AF04BC2}"/>
    <cellStyle name="20% - Accent2 3 2 2 2 2 2 2 2 2" xfId="28864" xr:uid="{CF76596B-40A2-4F7D-989A-8C79DC0B230C}"/>
    <cellStyle name="20% - Accent2 3 2 2 2 2 2 2 2 2 2" xfId="29400" xr:uid="{CAED8ED8-DBAC-470A-9780-A334147B0415}"/>
    <cellStyle name="20% - Accent2 3 2 2 2 2 2 2 2 3" xfId="21158" xr:uid="{6B761CA1-8BDD-460F-9577-1CF0B3F16E85}"/>
    <cellStyle name="20% - Accent2 3 2 2 2 2 2 2 3" xfId="17392" xr:uid="{DCD41BAB-F2C1-4F21-90EB-69350B65A7F8}"/>
    <cellStyle name="20% - Accent2 3 2 2 2 2 2 2 3 2" xfId="29894" xr:uid="{DBCE16BE-70B0-4B3F-9A1B-AA21A042534A}"/>
    <cellStyle name="20% - Accent2 3 2 2 2 2 2 2 4" xfId="29238" xr:uid="{B7FE6A20-4077-4383-B8CF-122BFFBCE59C}"/>
    <cellStyle name="20% - Accent2 3 2 2 2 2 2 3" xfId="11482" xr:uid="{76C63D88-EE74-4FFA-8FE7-512DA9492308}"/>
    <cellStyle name="20% - Accent2 3 2 2 2 2 2 3 2" xfId="29228" xr:uid="{C1460DBD-706E-42C9-B66B-345B339EBA0A}"/>
    <cellStyle name="20% - Accent2 3 2 2 2 2 2 3 2 2" xfId="28663" xr:uid="{C3E6D1D5-B5E7-4074-8F70-FE7BFD65750D}"/>
    <cellStyle name="20% - Accent2 3 2 2 2 2 2 3 3" xfId="29225" xr:uid="{087112F1-1B37-4931-8340-522CE1C98310}"/>
    <cellStyle name="20% - Accent2 3 2 2 2 2 2 4" xfId="11476" xr:uid="{1E5E98E1-7F9D-47FE-8C99-81AC2448AA2F}"/>
    <cellStyle name="20% - Accent2 3 2 2 2 2 2 4 2" xfId="30037" xr:uid="{C26A1199-AE47-4530-AE32-9FCA813370BF}"/>
    <cellStyle name="20% - Accent2 3 2 2 2 2 2 5" xfId="11469" xr:uid="{802D1FEF-4E4E-4950-BD6E-D2F2C3453D75}"/>
    <cellStyle name="20% - Accent2 3 2 2 2 2 3" xfId="29227" xr:uid="{6CCFFBBD-379C-4DDF-885F-3769F322B71C}"/>
    <cellStyle name="20% - Accent2 3 2 2 2 2 3 2" xfId="11449" xr:uid="{B3574F4E-A096-401C-B59F-66348CFC0FA7}"/>
    <cellStyle name="20% - Accent2 3 2 2 2 2 3 2 2" xfId="30981" xr:uid="{724B8D8D-35AE-4F78-AA34-0A05788E1895}"/>
    <cellStyle name="20% - Accent2 3 2 2 2 2 3 2 2 2" xfId="30035" xr:uid="{391AD9C9-F52A-4876-8723-B33B31147669}"/>
    <cellStyle name="20% - Accent2 3 2 2 2 2 3 2 3" xfId="33939" xr:uid="{B1CA5318-9D71-4EBF-BC9C-5C2C6BAFBE6F}"/>
    <cellStyle name="20% - Accent2 3 2 2 2 2 3 3" xfId="11440" xr:uid="{5008180A-D1B4-4074-83B6-2A21DAB707C7}"/>
    <cellStyle name="20% - Accent2 3 2 2 2 2 3 3 2" xfId="29197" xr:uid="{A91C0E1E-C752-4D21-812D-C9CA5B0A89E8}"/>
    <cellStyle name="20% - Accent2 3 2 2 2 2 3 4" xfId="11434" xr:uid="{EA1746B6-B8C4-4544-A010-E2AFF61686AF}"/>
    <cellStyle name="20% - Accent2 3 2 2 2 2 4" xfId="26901" xr:uid="{198AA083-0360-4CE9-AA56-6603931A9977}"/>
    <cellStyle name="20% - Accent2 3 2 2 2 2 4 2" xfId="22565" xr:uid="{CE026FF1-D461-423B-92F9-C7520BAA74A4}"/>
    <cellStyle name="20% - Accent2 3 2 2 2 2 4 2 2" xfId="26896" xr:uid="{A5E4DBF1-5765-4C92-B45E-8A122107C423}"/>
    <cellStyle name="20% - Accent2 3 2 2 2 2 4 3" xfId="6970" xr:uid="{C24B01C7-A257-45EF-A943-6A32BA6FA5DA}"/>
    <cellStyle name="20% - Accent2 3 2 2 2 2 5" xfId="27540" xr:uid="{113CB839-1B8A-4089-9D23-3196F4F6B496}"/>
    <cellStyle name="20% - Accent2 3 2 2 2 2 5 2" xfId="11420" xr:uid="{FF7DFDB3-26A0-4862-9E3D-37685BC7ED7A}"/>
    <cellStyle name="20% - Accent2 3 2 2 2 2 6" xfId="18799" xr:uid="{14E7D9B1-7898-4C86-85AB-EAEDE80CD11B}"/>
    <cellStyle name="20% - Accent2 3 2 2 2 3" xfId="22149" xr:uid="{785B4549-FA6E-42C9-8ED4-E489EE7DB4BC}"/>
    <cellStyle name="20% - Accent2 3 2 2 2 3 2" xfId="31453" xr:uid="{838BDA1A-F80B-461C-A045-EEEAEF5E0954}"/>
    <cellStyle name="20% - Accent2 3 2 2 2 3 2 2" xfId="7507" xr:uid="{C22662C4-AD24-4FF8-B68A-8FAA6DFFACB5}"/>
    <cellStyle name="20% - Accent2 3 2 2 2 3 2 2 2" xfId="10157" xr:uid="{D432AE46-0FF1-421E-B154-50F5F4B4EBB9}"/>
    <cellStyle name="20% - Accent2 3 2 2 2 3 2 2 2 2" xfId="23137" xr:uid="{39AB717F-B3E9-4401-9468-64FAA4F78BA4}"/>
    <cellStyle name="20% - Accent2 3 2 2 2 3 2 2 3" xfId="10151" xr:uid="{82417BF5-BACD-406C-B31F-3903C546C011}"/>
    <cellStyle name="20% - Accent2 3 2 2 2 3 2 3" xfId="11398" xr:uid="{8D371EAA-DDE9-40AA-ABE0-FAE09BEFDA32}"/>
    <cellStyle name="20% - Accent2 3 2 2 2 3 2 3 2" xfId="10145" xr:uid="{FF8CAD14-ED96-4C86-B5E4-FC0421B91642}"/>
    <cellStyle name="20% - Accent2 3 2 2 2 3 2 4" xfId="11392" xr:uid="{5F9E1793-B0C6-41EB-8EE6-3EA61E9C1FCC}"/>
    <cellStyle name="20% - Accent2 3 2 2 2 3 3" xfId="30032" xr:uid="{60DECB51-E51E-45DE-8F24-D1F323E954A8}"/>
    <cellStyle name="20% - Accent2 3 2 2 2 3 3 2" xfId="17362" xr:uid="{6ED175C2-BBC3-41D4-B995-4901F3B97D38}"/>
    <cellStyle name="20% - Accent2 3 2 2 2 3 3 2 2" xfId="15144" xr:uid="{DD898658-2D36-49D2-A2C6-F280E4DA4941}"/>
    <cellStyle name="20% - Accent2 3 2 2 2 3 3 3" xfId="17349" xr:uid="{17203BD2-32A5-427E-90CF-B1C3D1D15F93}"/>
    <cellStyle name="20% - Accent2 3 2 2 2 3 4" xfId="26870" xr:uid="{952DAB89-BA8A-4554-B061-A7B662F5DA05}"/>
    <cellStyle name="20% - Accent2 3 2 2 2 3 4 2" xfId="26865" xr:uid="{3B10E37F-2188-4FED-86FE-51744CD45DBC}"/>
    <cellStyle name="20% - Accent2 3 2 2 2 3 5" xfId="21180" xr:uid="{2DFB139C-BCF1-4ABF-A144-5C4B616F5B2C}"/>
    <cellStyle name="20% - Accent2 3 2 2 2 4" xfId="29180" xr:uid="{CC300986-D1B8-42DE-AB47-3CB890673BA0}"/>
    <cellStyle name="20% - Accent2 3 2 2 2 4 2" xfId="29438" xr:uid="{2695C419-3510-45D0-946C-145D7D163E11}"/>
    <cellStyle name="20% - Accent2 3 2 2 2 4 2 2" xfId="12512" xr:uid="{95AC32CF-570D-49A9-BB20-8B6F28C90355}"/>
    <cellStyle name="20% - Accent2 3 2 2 2 4 2 2 2" xfId="10022" xr:uid="{77F48A48-469F-4624-B6F4-7BF3612865AE}"/>
    <cellStyle name="20% - Accent2 3 2 2 2 4 2 3" xfId="11358" xr:uid="{59B8B49C-786F-432D-AC23-4F8378387E0F}"/>
    <cellStyle name="20% - Accent2 3 2 2 2 4 3" xfId="24553" xr:uid="{0F1090F0-8661-42C8-9D92-A12F981BBAE0}"/>
    <cellStyle name="20% - Accent2 3 2 2 2 4 3 2" xfId="17253" xr:uid="{36DA50F6-9500-40C3-BAE1-9806CFD53C8B}"/>
    <cellStyle name="20% - Accent2 3 2 2 2 4 4" xfId="9328" xr:uid="{63DFC24D-1FC2-4C9D-84BD-44576BF04C26}"/>
    <cellStyle name="20% - Accent2 3 2 2 2 5" xfId="28801" xr:uid="{D8F791D7-B6FE-44A7-9213-8E255A74A513}"/>
    <cellStyle name="20% - Accent2 3 2 2 2 5 2" xfId="28323" xr:uid="{86546177-43B2-4832-A481-3ED9E7D3F11D}"/>
    <cellStyle name="20% - Accent2 3 2 2 2 5 2 2" xfId="11330" xr:uid="{77A44AED-FAB4-489A-862C-A8DC19D2C1D3}"/>
    <cellStyle name="20% - Accent2 3 2 2 2 5 3" xfId="10878" xr:uid="{4181BA99-3B67-4AFF-94F6-E6B97FCA8E3C}"/>
    <cellStyle name="20% - Accent2 3 2 2 2 6" xfId="28793" xr:uid="{CA6FDC6F-BAC7-4682-9AFA-DBAE0F746CF9}"/>
    <cellStyle name="20% - Accent2 3 2 2 2 6 2" xfId="28297" xr:uid="{340ED5D3-30EC-4DD7-88F5-448420EA1287}"/>
    <cellStyle name="20% - Accent2 3 2 2 2 7" xfId="28789" xr:uid="{794F72A3-9CC4-4C3F-A68A-CA7CF4A4FF68}"/>
    <cellStyle name="20% - Accent2 3 2 2 3" xfId="29163" xr:uid="{3119D8CC-7AC8-4923-BDD8-DED29A49A580}"/>
    <cellStyle name="20% - Accent2 3 2 2 3 2" xfId="22145" xr:uid="{C82C7A28-E941-4749-9690-EFAB0D49E3E4}"/>
    <cellStyle name="20% - Accent2 3 2 2 3 2 2" xfId="31400" xr:uid="{722D9239-8563-416C-B233-4A6666EAB18F}"/>
    <cellStyle name="20% - Accent2 3 2 2 3 2 2 2" xfId="11254" xr:uid="{500950BA-B778-4125-B601-4A52F67DB11F}"/>
    <cellStyle name="20% - Accent2 3 2 2 3 2 2 2 2" xfId="31161" xr:uid="{4B4A6343-5C21-4A2D-A3EF-332322D16C2B}"/>
    <cellStyle name="20% - Accent2 3 2 2 3 2 2 2 2 2" xfId="29973" xr:uid="{9C22C0F8-DFDC-46E8-990F-1CC0548475D1}"/>
    <cellStyle name="20% - Accent2 3 2 2 3 2 2 2 3" xfId="31192" xr:uid="{CA5AD6BF-D5EE-4BE4-AAC6-9E13864DB9A9}"/>
    <cellStyle name="20% - Accent2 3 2 2 3 2 2 3" xfId="29158" xr:uid="{B1DBA65D-345F-48B7-ACF0-35D26C33EEA7}"/>
    <cellStyle name="20% - Accent2 3 2 2 3 2 2 3 2" xfId="29154" xr:uid="{C3362792-FE32-4D96-AF76-EF03D806E3D6}"/>
    <cellStyle name="20% - Accent2 3 2 2 3 2 2 4" xfId="11248" xr:uid="{F6AF987E-6611-41B9-B503-E7C5C8546AFC}"/>
    <cellStyle name="20% - Accent2 3 2 2 3 2 3" xfId="29148" xr:uid="{7912215F-E528-4681-AE02-155307973CE5}"/>
    <cellStyle name="20% - Accent2 3 2 2 3 2 3 2" xfId="11227" xr:uid="{54C5C541-DBA5-4D1C-A65D-368E7822510C}"/>
    <cellStyle name="20% - Accent2 3 2 2 3 2 3 2 2" xfId="29147" xr:uid="{5BEA7923-1CAD-4B87-AB56-E304C3613607}"/>
    <cellStyle name="20% - Accent2 3 2 2 3 2 3 3" xfId="11217" xr:uid="{0E539901-E1F3-4B1C-B6AE-E36511E097B6}"/>
    <cellStyle name="20% - Accent2 3 2 2 3 2 4" xfId="28772" xr:uid="{41816C45-55CC-4364-8B7C-A65D571B69BA}"/>
    <cellStyle name="20% - Accent2 3 2 2 3 2 4 2" xfId="26804" xr:uid="{4B3737DF-BCFF-47B3-BCA9-A291D89B73DD}"/>
    <cellStyle name="20% - Accent2 3 2 2 3 2 5" xfId="18789" xr:uid="{9FA28D80-A6F7-4B82-AA7F-F6D0ED468E0B}"/>
    <cellStyle name="20% - Accent2 3 2 2 3 3" xfId="22142" xr:uid="{7D5D627B-CFBC-4768-80E9-626CA78D2CD5}"/>
    <cellStyle name="20% - Accent2 3 2 2 3 3 2" xfId="33242" xr:uid="{7D174532-DE5E-4AC1-A236-6D5D8EC53ECC}"/>
    <cellStyle name="20% - Accent2 3 2 2 3 3 2 2" xfId="11183" xr:uid="{E347F33C-E823-4ADF-A06F-F66D12E22837}"/>
    <cellStyle name="20% - Accent2 3 2 2 3 3 2 2 2" xfId="9845" xr:uid="{34F8D16B-D167-4241-B9BF-59D7838954FA}"/>
    <cellStyle name="20% - Accent2 3 2 2 3 3 2 3" xfId="18981" xr:uid="{D0E8A244-555D-47E2-808E-7081B0B2816A}"/>
    <cellStyle name="20% - Accent2 3 2 2 3 3 3" xfId="25865" xr:uid="{31924B46-B89A-47BB-8DF3-C60ED8D2A8A1}"/>
    <cellStyle name="20% - Accent2 3 2 2 3 3 3 2" xfId="17122" xr:uid="{F4A4029B-C400-46D0-A93F-44513C992F03}"/>
    <cellStyle name="20% - Accent2 3 2 2 3 3 4" xfId="28752" xr:uid="{B3AE9267-5609-440C-8B7F-513F7B3EB8C8}"/>
    <cellStyle name="20% - Accent2 3 2 2 3 4" xfId="19374" xr:uid="{A88922CA-37C7-42A1-B407-F75EF96195C7}"/>
    <cellStyle name="20% - Accent2 3 2 2 3 4 2" xfId="6711" xr:uid="{0EFAD3C0-5A3B-4576-95DF-D9092D82E98B}"/>
    <cellStyle name="20% - Accent2 3 2 2 3 4 2 2" xfId="11156" xr:uid="{B31F020F-59ED-42B0-B328-E2ADA59E4722}"/>
    <cellStyle name="20% - Accent2 3 2 2 3 4 3" xfId="9297" xr:uid="{1A16B055-F8F6-4EAF-95B3-A4CDDDDF24DD}"/>
    <cellStyle name="20% - Accent2 3 2 2 3 5" xfId="6708" xr:uid="{DA371062-14B4-405D-9BC2-F56F022DCCE9}"/>
    <cellStyle name="20% - Accent2 3 2 2 3 5 2" xfId="28278" xr:uid="{61BCB9C2-1EAA-49A9-97ED-BBE2FFAEAD64}"/>
    <cellStyle name="20% - Accent2 3 2 2 3 6" xfId="6706" xr:uid="{EB375CCE-5691-4D32-9602-8075B633E1C3}"/>
    <cellStyle name="20% - Accent2 3 2 2 4" xfId="33740" xr:uid="{7CDEBEE6-93D1-4A9D-A237-A86EDA990FFC}"/>
    <cellStyle name="20% - Accent2 3 2 2 4 2" xfId="19912" xr:uid="{FB2BEFA9-2FEE-4408-8A22-7CEAD848234D}"/>
    <cellStyle name="20% - Accent2 3 2 2 4 2 2" xfId="29128" xr:uid="{2EA0F16A-9BB1-4DBC-A34C-AFBBC0077472}"/>
    <cellStyle name="20% - Accent2 3 2 2 4 2 2 2" xfId="11090" xr:uid="{5239D8A9-E792-4F74-9072-DD0D7224D691}"/>
    <cellStyle name="20% - Accent2 3 2 2 4 2 2 2 2" xfId="29122" xr:uid="{3643A2E1-D76B-4487-8F60-E05AD7C8258C}"/>
    <cellStyle name="20% - Accent2 3 2 2 4 2 2 3" xfId="27447" xr:uid="{D05EB70F-8DEE-4703-9BD1-AE2E79AFDB71}"/>
    <cellStyle name="20% - Accent2 3 2 2 4 2 3" xfId="24314" xr:uid="{A7496677-6F84-4267-B04C-57089889F379}"/>
    <cellStyle name="20% - Accent2 3 2 2 4 2 3 2" xfId="11075" xr:uid="{2094A3D6-742D-4D9B-B8B2-F505C2B9F848}"/>
    <cellStyle name="20% - Accent2 3 2 2 4 2 4" xfId="21956" xr:uid="{10705F83-76B9-4521-A3AA-6EBF520F183B}"/>
    <cellStyle name="20% - Accent2 3 2 2 4 3" xfId="19905" xr:uid="{A6C74D41-4A83-4D28-B3D1-74F6090B24CB}"/>
    <cellStyle name="20% - Accent2 3 2 2 4 3 2" xfId="29118" xr:uid="{A38600F5-4635-4D97-ABFE-FF211B17EA60}"/>
    <cellStyle name="20% - Accent2 3 2 2 4 3 2 2" xfId="11051" xr:uid="{5138110D-F6D7-455C-BEFA-F4A1E37FE498}"/>
    <cellStyle name="20% - Accent2 3 2 2 4 3 3" xfId="31777" xr:uid="{31006593-DC98-4BCE-973C-110C9C4BD5D6}"/>
    <cellStyle name="20% - Accent2 3 2 2 4 4" xfId="6704" xr:uid="{AA604415-D7BC-4B4B-B192-C558E7B3EEDF}"/>
    <cellStyle name="20% - Accent2 3 2 2 4 4 2" xfId="12979" xr:uid="{D2A3F410-B216-4882-98AD-A14FF9778C70}"/>
    <cellStyle name="20% - Accent2 3 2 2 4 5" xfId="6702" xr:uid="{56EB67EF-FBE7-4CA6-90D5-746C7F2603CE}"/>
    <cellStyle name="20% - Accent2 3 2 2 5" xfId="33088" xr:uid="{86278492-12BF-4688-9C65-9280F58A0317}"/>
    <cellStyle name="20% - Accent2 3 2 2 5 2" xfId="19896" xr:uid="{8BD299A9-141C-4053-B7D4-CAB7BD0E8EF2}"/>
    <cellStyle name="20% - Accent2 3 2 2 5 2 2" xfId="29104" xr:uid="{2BFDFCC1-7417-4691-A43A-F9F9187DCC51}"/>
    <cellStyle name="20% - Accent2 3 2 2 5 2 2 2" xfId="10999" xr:uid="{8A9C8FCD-15B1-4535-B706-985FB77A108E}"/>
    <cellStyle name="20% - Accent2 3 2 2 5 2 3" xfId="29098" xr:uid="{8FEB697E-696E-432A-8EB1-D76F70ADEEAB}"/>
    <cellStyle name="20% - Accent2 3 2 2 5 3" xfId="29094" xr:uid="{F80FFB93-53E1-40F1-9129-2F07FD0CC510}"/>
    <cellStyle name="20% - Accent2 3 2 2 5 3 2" xfId="29091" xr:uid="{5FEDE4F8-A1ED-49D7-B4BD-148924E5DA77}"/>
    <cellStyle name="20% - Accent2 3 2 2 5 4" xfId="6699" xr:uid="{E10477CE-8BB2-40AE-A2F0-AB06F7F103D0}"/>
    <cellStyle name="20% - Accent2 3 2 2 6" xfId="33076" xr:uid="{604684D0-683E-4E97-8A3C-19C6CAC47D70}"/>
    <cellStyle name="20% - Accent2 3 2 2 6 2" xfId="29079" xr:uid="{07E5667F-231B-4108-878D-43A1868175A0}"/>
    <cellStyle name="20% - Accent2 3 2 2 6 2 2" xfId="29072" xr:uid="{A8144A9A-32B9-49A1-B205-70E8A756200A}"/>
    <cellStyle name="20% - Accent2 3 2 2 6 3" xfId="29069" xr:uid="{ED90E489-9705-4A1E-B0F8-1A8CA1870D89}"/>
    <cellStyle name="20% - Accent2 3 2 2 7" xfId="31026" xr:uid="{C9BCC383-4B4B-4768-9EE7-693F306B4C0E}"/>
    <cellStyle name="20% - Accent2 3 2 2 7 2" xfId="29056" xr:uid="{D7296D07-F22B-4955-A897-404BE4C079DC}"/>
    <cellStyle name="20% - Accent2 3 2 2 8" xfId="29049" xr:uid="{311A1222-D021-4CBC-8733-7ED46AA1A9D3}"/>
    <cellStyle name="20% - Accent2 3 2 3" xfId="27775" xr:uid="{A29D1AA1-F091-4446-B14E-A7BF922D4F87}"/>
    <cellStyle name="20% - Accent2 3 2 3 2" xfId="32485" xr:uid="{DFB0CCE1-E699-4242-9428-2959BCC205FD}"/>
    <cellStyle name="20% - Accent2 3 2 3 2 2" xfId="22121" xr:uid="{24F27939-D5BC-4D29-BFB9-850500B8C22E}"/>
    <cellStyle name="20% - Accent2 3 2 3 2 2 2" xfId="31252" xr:uid="{0D373624-FA77-4FF1-9E15-3C41B174646D}"/>
    <cellStyle name="20% - Accent2 3 2 3 2 2 2 2" xfId="10869" xr:uid="{A0E882FE-01DE-4285-91C5-8EEE76FDEB8B}"/>
    <cellStyle name="20% - Accent2 3 2 3 2 2 2 2 2" xfId="31256" xr:uid="{C53DF2CD-BBB5-41A8-B536-E7C54627E0F7}"/>
    <cellStyle name="20% - Accent2 3 2 3 2 2 2 2 2 2" xfId="29044" xr:uid="{272B3C34-4A94-48DE-87DA-A19B608B54AB}"/>
    <cellStyle name="20% - Accent2 3 2 3 2 2 2 2 3" xfId="27404" xr:uid="{5A699BEA-A303-4EB3-9E8F-7E33F6501E3F}"/>
    <cellStyle name="20% - Accent2 3 2 3 2 2 2 3" xfId="10864" xr:uid="{48345133-9B1B-4734-889B-B5EB5E5FA3E1}"/>
    <cellStyle name="20% - Accent2 3 2 3 2 2 2 3 2" xfId="29933" xr:uid="{38B5CDA8-8FA3-4F22-8EC3-F63BDF48D509}"/>
    <cellStyle name="20% - Accent2 3 2 3 2 2 2 4" xfId="10859" xr:uid="{58F94F58-40E0-4DDD-AA7E-1ECD1A9018F4}"/>
    <cellStyle name="20% - Accent2 3 2 3 2 2 3" xfId="29030" xr:uid="{B4E51BDE-4487-4B86-AEDC-C6216EE2C15C}"/>
    <cellStyle name="20% - Accent2 3 2 3 2 2 3 2" xfId="10847" xr:uid="{7C35F1D2-E061-4B6A-921B-246C073705C6}"/>
    <cellStyle name="20% - Accent2 3 2 3 2 2 3 2 2" xfId="33343" xr:uid="{CDAE4E3B-5F93-475B-BBA1-B4E08CECF9C1}"/>
    <cellStyle name="20% - Accent2 3 2 3 2 2 3 3" xfId="10841" xr:uid="{98052BDD-43E1-4555-AC07-2498E21CE012}"/>
    <cellStyle name="20% - Accent2 3 2 3 2 2 4" xfId="26750" xr:uid="{6B1B9ED9-0DBB-4B45-AFE6-792D3E59CB3A}"/>
    <cellStyle name="20% - Accent2 3 2 3 2 2 4 2" xfId="10834" xr:uid="{14251FA2-9228-4A35-A3B4-6BAA84E1DD01}"/>
    <cellStyle name="20% - Accent2 3 2 3 2 2 5" xfId="22209" xr:uid="{3654B395-FF76-4D2D-9C09-53038204F8D4}"/>
    <cellStyle name="20% - Accent2 3 2 3 2 3" xfId="22118" xr:uid="{BBC5E178-3149-4B5D-AA7B-5B54744A200D}"/>
    <cellStyle name="20% - Accent2 3 2 3 2 3 2" xfId="26574" xr:uid="{A380C932-3D4B-47BF-B28D-820486EBDAEB}"/>
    <cellStyle name="20% - Accent2 3 2 3 2 3 2 2" xfId="10815" xr:uid="{1A70A385-1E23-42F7-8ED1-5D626A061EA1}"/>
    <cellStyle name="20% - Accent2 3 2 3 2 3 2 2 2" xfId="9484" xr:uid="{514FEBC9-CC40-4148-A165-3A591C06A1EF}"/>
    <cellStyle name="20% - Accent2 3 2 3 2 3 2 3" xfId="10810" xr:uid="{8F078B06-1FE8-47A7-A8A0-2FC66DB8C391}"/>
    <cellStyle name="20% - Accent2 3 2 3 2 3 3" xfId="26571" xr:uid="{5C007964-32C8-445F-B171-1D1CCE532F95}"/>
    <cellStyle name="20% - Accent2 3 2 3 2 3 3 2" xfId="16498" xr:uid="{031B39DA-F4F4-48F0-9143-C4F7B493B674}"/>
    <cellStyle name="20% - Accent2 3 2 3 2 3 4" xfId="26740" xr:uid="{DACFCB40-5198-4261-AE4F-B8751341F93D}"/>
    <cellStyle name="20% - Accent2 3 2 3 2 4" xfId="29003" xr:uid="{0728E875-43B6-4886-9864-DEBAA7544D10}"/>
    <cellStyle name="20% - Accent2 3 2 3 2 4 2" xfId="26567" xr:uid="{BC9E8968-6BEA-47EB-9667-F0BFE57CF96C}"/>
    <cellStyle name="20% - Accent2 3 2 3 2 4 2 2" xfId="10795" xr:uid="{0D202D25-19B7-4FD3-BB7B-2752C788BB6A}"/>
    <cellStyle name="20% - Accent2 3 2 3 2 4 3" xfId="9267" xr:uid="{E62DF58A-3B27-4829-80D9-551807BC6AAF}"/>
    <cellStyle name="20% - Accent2 3 2 3 2 5" xfId="23396" xr:uid="{5FE76A2A-4152-41E7-8F5C-3B6404662661}"/>
    <cellStyle name="20% - Accent2 3 2 3 2 5 2" xfId="23564" xr:uid="{221B04AF-D115-410F-95F1-0E73B61E3D4D}"/>
    <cellStyle name="20% - Accent2 3 2 3 2 6" xfId="28697" xr:uid="{718F91EF-A5A5-4341-A6E0-129090A22A99}"/>
    <cellStyle name="20% - Accent2 3 2 3 3" xfId="32477" xr:uid="{04CA1F34-9A88-409C-9EED-842035ED1910}"/>
    <cellStyle name="20% - Accent2 3 2 3 3 2" xfId="22117" xr:uid="{A298E989-6C36-46EC-9A5C-F6D901103B54}"/>
    <cellStyle name="20% - Accent2 3 2 3 3 2 2" xfId="28998" xr:uid="{72C54CA7-BF35-4B36-AB51-8E2BA4629E49}"/>
    <cellStyle name="20% - Accent2 3 2 3 3 2 2 2" xfId="10733" xr:uid="{5E53C14E-4066-4780-ACAD-A32C0DC748E9}"/>
    <cellStyle name="20% - Accent2 3 2 3 3 2 2 2 2" xfId="28997" xr:uid="{EAB64DF9-8B08-43DA-97D1-004B82EFC279}"/>
    <cellStyle name="20% - Accent2 3 2 3 3 2 2 3" xfId="14234" xr:uid="{12C61D04-3620-46E5-B987-6A60B3781252}"/>
    <cellStyle name="20% - Accent2 3 2 3 3 2 3" xfId="26902" xr:uid="{D98516B3-9289-4401-82BB-7DD40EE1EB62}"/>
    <cellStyle name="20% - Accent2 3 2 3 3 2 3 2" xfId="10718" xr:uid="{87738085-D6E6-46F6-9123-84F9390B59D1}"/>
    <cellStyle name="20% - Accent2 3 2 3 3 2 4" xfId="28593" xr:uid="{7FB48EF1-1229-47D1-90EB-40FEBD05D4BF}"/>
    <cellStyle name="20% - Accent2 3 2 3 3 3" xfId="28989" xr:uid="{4DFEF306-E0EF-4127-A40C-3CB4240F31B9}"/>
    <cellStyle name="20% - Accent2 3 2 3 3 3 2" xfId="28216" xr:uid="{2846E348-82D0-4C16-885D-2AF133926396}"/>
    <cellStyle name="20% - Accent2 3 2 3 3 3 2 2" xfId="10698" xr:uid="{1CD58864-8D1C-4F58-B928-E04115FEDCA1}"/>
    <cellStyle name="20% - Accent2 3 2 3 3 3 3" xfId="26551" xr:uid="{94FBF1D7-E929-452B-A9AA-E4A1B9BBD489}"/>
    <cellStyle name="20% - Accent2 3 2 3 3 4" xfId="15528" xr:uid="{A90299CC-E41D-434B-ABB0-E558E5CF1754}"/>
    <cellStyle name="20% - Accent2 3 2 3 3 4 2" xfId="6697" xr:uid="{D4C82AAC-50E8-4753-8FBF-5A7376BBB4C5}"/>
    <cellStyle name="20% - Accent2 3 2 3 3 5" xfId="15525" xr:uid="{68E5DFA7-4036-4622-A378-8AFBC5D47C75}"/>
    <cellStyle name="20% - Accent2 3 2 3 4" xfId="25240" xr:uid="{5EC6A160-E3C0-4139-986F-4C5D094938FD}"/>
    <cellStyle name="20% - Accent2 3 2 3 4 2" xfId="19856" xr:uid="{E17B87C8-DE6D-44A1-907A-8CB9ACFA4F60}"/>
    <cellStyle name="20% - Accent2 3 2 3 4 2 2" xfId="28985" xr:uid="{4419851E-DBD3-4605-872D-ED47B58E7D9E}"/>
    <cellStyle name="20% - Accent2 3 2 3 4 2 2 2" xfId="10648" xr:uid="{FB29840F-E4A8-4C35-8C99-37E7D02ED721}"/>
    <cellStyle name="20% - Accent2 3 2 3 4 2 3" xfId="28979" xr:uid="{EB380FB3-ACD7-4B2E-A1B0-8EC42616DDB1}"/>
    <cellStyle name="20% - Accent2 3 2 3 4 3" xfId="28978" xr:uid="{2F68A352-D316-4E8E-A024-E972AFBAD543}"/>
    <cellStyle name="20% - Accent2 3 2 3 4 3 2" xfId="31477" xr:uid="{746B2E17-D5FD-40F1-8CCC-FCDBFB731491}"/>
    <cellStyle name="20% - Accent2 3 2 3 4 4" xfId="15517" xr:uid="{E252985A-0D5F-468E-B840-BD70118D714F}"/>
    <cellStyle name="20% - Accent2 3 2 3 5" xfId="28973" xr:uid="{3ED89488-5397-41D1-AF4A-27705B1FDD9D}"/>
    <cellStyle name="20% - Accent2 3 2 3 5 2" xfId="28970" xr:uid="{4E1E56E2-A0C9-4F9E-87D8-B0DD63A03809}"/>
    <cellStyle name="20% - Accent2 3 2 3 5 2 2" xfId="28968" xr:uid="{6B51B966-9262-4B04-8C41-E122E6C38D7F}"/>
    <cellStyle name="20% - Accent2 3 2 3 5 3" xfId="28965" xr:uid="{7C444CD5-A9FA-4224-93E5-E02E679CAC02}"/>
    <cellStyle name="20% - Accent2 3 2 3 6" xfId="28958" xr:uid="{8A6C0FDA-EDE4-4FBB-A5FE-BA2897B852E2}"/>
    <cellStyle name="20% - Accent2 3 2 3 6 2" xfId="28947" xr:uid="{02093494-1E23-4EE4-AA8A-973A0C3EA4AB}"/>
    <cellStyle name="20% - Accent2 3 2 3 7" xfId="28937" xr:uid="{13AA6EAC-F3AF-43CA-96B1-E6A7D50315AE}"/>
    <cellStyle name="20% - Accent2 3 2 4" xfId="5585" xr:uid="{865BE5F2-EE3F-4514-869E-6E25DF0BFB05}"/>
    <cellStyle name="20% - Accent2 3 2 4 2" xfId="32475" xr:uid="{D5BA3BA5-55E2-4C78-8BA0-77A26C97A9CC}"/>
    <cellStyle name="20% - Accent2 3 2 4 2 2" xfId="23727" xr:uid="{E505D181-4902-41D8-A595-F0E0B3CEEC51}"/>
    <cellStyle name="20% - Accent2 3 2 4 2 2 2" xfId="28933" xr:uid="{ABDD32F5-38E6-453E-B468-0F46511863EC}"/>
    <cellStyle name="20% - Accent2 3 2 4 2 2 2 2" xfId="12605" xr:uid="{29A82A2C-E244-44D6-B604-8411C6276F23}"/>
    <cellStyle name="20% - Accent2 3 2 4 2 2 2 2 2" xfId="28932" xr:uid="{5E3093CF-35A0-494D-8240-78E8FA316983}"/>
    <cellStyle name="20% - Accent2 3 2 4 2 2 2 3" xfId="10542" xr:uid="{1357624C-469E-4BFA-ADFC-7CA394B573ED}"/>
    <cellStyle name="20% - Accent2 3 2 4 2 2 3" xfId="28921" xr:uid="{7195132E-A42B-4ECD-A5F8-E23629A1E45C}"/>
    <cellStyle name="20% - Accent2 3 2 4 2 2 3 2" xfId="10529" xr:uid="{3117FA9E-A2D6-4008-8A8E-7912FE7EBDA1}"/>
    <cellStyle name="20% - Accent2 3 2 4 2 2 4" xfId="26665" xr:uid="{4676693C-DA1D-4DB9-881D-3E7EE7EEF65B}"/>
    <cellStyle name="20% - Accent2 3 2 4 2 3" xfId="28919" xr:uid="{9DA8C7AC-6FD3-4D0A-80EB-F26AF1AE303A}"/>
    <cellStyle name="20% - Accent2 3 2 4 2 3 2" xfId="26542" xr:uid="{A6EC42A0-28D1-415D-8958-CBBE7A015590}"/>
    <cellStyle name="20% - Accent2 3 2 4 2 3 2 2" xfId="6684" xr:uid="{9D1CE49C-5937-4E60-977B-7780586A68B0}"/>
    <cellStyle name="20% - Accent2 3 2 4 2 3 3" xfId="26536" xr:uid="{0BFF3914-08A7-465E-A5C5-B56F5501B9CC}"/>
    <cellStyle name="20% - Accent2 3 2 4 2 4" xfId="28911" xr:uid="{C68F0A54-FC41-4AF3-8164-6EBC57B1B73C}"/>
    <cellStyle name="20% - Accent2 3 2 4 2 4 2" xfId="26534" xr:uid="{AF3E2BE4-8A3F-4F02-AE3F-D9DD3A05C807}"/>
    <cellStyle name="20% - Accent2 3 2 4 2 5" xfId="26530" xr:uid="{66D1412D-97A7-48C3-B4EB-ECC6EF379D43}"/>
    <cellStyle name="20% - Accent2 3 2 4 3" xfId="32474" xr:uid="{4D1698CF-6057-4DDB-87CB-5F5CB40B9711}"/>
    <cellStyle name="20% - Accent2 3 2 4 3 2" xfId="24965" xr:uid="{9C95EB55-4CD6-470C-A566-09C37F36EEBB}"/>
    <cellStyle name="20% - Accent2 3 2 4 3 2 2" xfId="28908" xr:uid="{1326A999-E3A1-4716-9198-684934D5CAB4}"/>
    <cellStyle name="20% - Accent2 3 2 4 3 2 2 2" xfId="10460" xr:uid="{9658CAB2-7675-4403-8EEF-216B955EE230}"/>
    <cellStyle name="20% - Accent2 3 2 4 3 2 3" xfId="28899" xr:uid="{C6FCE934-EC76-4381-869F-7FAED277D141}"/>
    <cellStyle name="20% - Accent2 3 2 4 3 3" xfId="28897" xr:uid="{67117A20-ED15-4AE8-AF3F-CABEAB49DBCA}"/>
    <cellStyle name="20% - Accent2 3 2 4 3 3 2" xfId="26528" xr:uid="{5F773D2D-405B-4CC3-9EE6-8CE5F52B3105}"/>
    <cellStyle name="20% - Accent2 3 2 4 3 4" xfId="15513" xr:uid="{ED6124E7-880C-4275-842F-846AE3820FE5}"/>
    <cellStyle name="20% - Accent2 3 2 4 4" xfId="24634" xr:uid="{5AB5FA23-81F1-4371-B3B6-71BA98C98F1A}"/>
    <cellStyle name="20% - Accent2 3 2 4 4 2" xfId="28896" xr:uid="{D542D4E1-B053-46A4-AD53-A01FBD9DBEFA}"/>
    <cellStyle name="20% - Accent2 3 2 4 4 2 2" xfId="13578" xr:uid="{14BE66E5-5B7D-4749-8DB2-3250F7F97354}"/>
    <cellStyle name="20% - Accent2 3 2 4 4 3" xfId="26526" xr:uid="{5E759802-2D02-463B-BA3B-EA5EC1C9FDC2}"/>
    <cellStyle name="20% - Accent2 3 2 4 5" xfId="28892" xr:uid="{267FD083-A7C1-48DF-B300-BB8D77008DAB}"/>
    <cellStyle name="20% - Accent2 3 2 4 5 2" xfId="34088" xr:uid="{02B9C887-8B31-4232-B16E-92206D4B6C18}"/>
    <cellStyle name="20% - Accent2 3 2 4 6" xfId="28886" xr:uid="{E6C0B3C4-E166-4476-8B91-65361FCCDF41}"/>
    <cellStyle name="20% - Accent2 3 2 5" xfId="33926" xr:uid="{E853AFF4-6406-47CF-9D1C-44E50033F627}"/>
    <cellStyle name="20% - Accent2 3 2 5 2" xfId="32468" xr:uid="{F0043FEB-F472-498E-ADE7-378165159429}"/>
    <cellStyle name="20% - Accent2 3 2 5 2 2" xfId="28881" xr:uid="{BB1AB2DB-AF84-411E-BC3A-CF8634DF5E72}"/>
    <cellStyle name="20% - Accent2 3 2 5 2 2 2" xfId="19929" xr:uid="{6C086712-F51D-4B6E-8893-9F0BA075E0F8}"/>
    <cellStyle name="20% - Accent2 3 2 5 2 2 2 2" xfId="29421" xr:uid="{65B97FD2-880C-4FD0-B845-811F9ED8B2E0}"/>
    <cellStyle name="20% - Accent2 3 2 5 2 2 3" xfId="19925" xr:uid="{B5A933F1-5014-40B4-8C47-882A6D79A736}"/>
    <cellStyle name="20% - Accent2 3 2 5 2 3" xfId="29108" xr:uid="{6E6AA6E8-19EB-444B-880B-0D1360C3B95F}"/>
    <cellStyle name="20% - Accent2 3 2 5 2 3 2" xfId="19922" xr:uid="{BF02BFD3-94C5-42C9-89E6-7CF9EDCC7956}"/>
    <cellStyle name="20% - Accent2 3 2 5 2 4" xfId="7481" xr:uid="{BF81DD83-28F8-480E-B596-5C83447EA296}"/>
    <cellStyle name="20% - Accent2 3 2 5 3" xfId="28867" xr:uid="{034F9B95-3F44-414C-8432-7F24FE926FEE}"/>
    <cellStyle name="20% - Accent2 3 2 5 3 2" xfId="28863" xr:uid="{CE47C80E-7BE7-407F-A093-081799AC165D}"/>
    <cellStyle name="20% - Accent2 3 2 5 3 2 2" xfId="25766" xr:uid="{5188B12A-0C29-402D-B22E-3650713E4AFD}"/>
    <cellStyle name="20% - Accent2 3 2 5 3 3" xfId="26516" xr:uid="{12FD9312-9171-419D-BE73-ED67051250FB}"/>
    <cellStyle name="20% - Accent2 3 2 5 4" xfId="23567" xr:uid="{855BA291-CBA0-4AE9-A323-8A3926344549}"/>
    <cellStyle name="20% - Accent2 3 2 5 4 2" xfId="28049" xr:uid="{83E1664B-5DFB-4DAB-B613-561B4AFDC730}"/>
    <cellStyle name="20% - Accent2 3 2 5 5" xfId="23559" xr:uid="{583CE2DA-0CF5-4D75-88D1-AB43CB9927F3}"/>
    <cellStyle name="20% - Accent2 3 2 6" xfId="32462" xr:uid="{F65A5D66-0919-4E9E-938A-80549FAA481D}"/>
    <cellStyle name="20% - Accent2 3 2 6 2" xfId="28853" xr:uid="{EFE49A88-F8F2-466B-AA3E-3B1490D10979}"/>
    <cellStyle name="20% - Accent2 3 2 6 2 2" xfId="29611" xr:uid="{6DFB8673-0CC5-4A13-B480-5C2577B6F4CE}"/>
    <cellStyle name="20% - Accent2 3 2 6 2 2 2" xfId="19865" xr:uid="{6A385469-54C7-4602-A19A-B96D4DD21001}"/>
    <cellStyle name="20% - Accent2 3 2 6 2 3" xfId="26505" xr:uid="{0CA062D9-C273-43A4-BC06-992CB6A2CD09}"/>
    <cellStyle name="20% - Accent2 3 2 6 3" xfId="30065" xr:uid="{AAC4B74F-FE4A-4D51-B5C0-9818FAA221B5}"/>
    <cellStyle name="20% - Accent2 3 2 6 3 2" xfId="22733" xr:uid="{D557C3FE-D3DA-4614-AA4E-24E4CFF40022}"/>
    <cellStyle name="20% - Accent2 3 2 6 4" xfId="7697" xr:uid="{0F92088E-0B52-4784-8D1C-C2583F99B947}"/>
    <cellStyle name="20% - Accent2 3 2 7" xfId="28848" xr:uid="{43CF4E84-2F7F-4EEB-A4FE-C7C96FBB85BB}"/>
    <cellStyle name="20% - Accent2 3 2 7 2" xfId="28847" xr:uid="{DCA989E6-E6F4-4DCF-80C8-95256A463AC9}"/>
    <cellStyle name="20% - Accent2 3 2 7 2 2" xfId="28846" xr:uid="{8D9D2054-0861-4BC4-A81D-A558B1C4D7D8}"/>
    <cellStyle name="20% - Accent2 3 2 7 3" xfId="16240" xr:uid="{376FDE72-23FD-4230-B1ED-867C99C75CFF}"/>
    <cellStyle name="20% - Accent2 3 2 8" xfId="28837" xr:uid="{94645B87-3721-4CA1-A90F-7E60B5792A94}"/>
    <cellStyle name="20% - Accent2 3 2 8 2" xfId="32879" xr:uid="{0D2DC817-78E6-4878-B21D-1CAF594F2E37}"/>
    <cellStyle name="20% - Accent2 3 2 9" xfId="28836" xr:uid="{6AA0C497-1CC8-49C2-9C01-54948FE143D0}"/>
    <cellStyle name="20% - Accent2 3 3" xfId="222" xr:uid="{B1AD4D80-056E-4739-A61A-05BE6B6FCA02}"/>
    <cellStyle name="20% - Accent2 3 3 10" xfId="32449" xr:uid="{B5A1133F-61FC-497B-9D65-8684A3417B0B}"/>
    <cellStyle name="20% - Accent2 3 3 2" xfId="31566" xr:uid="{4A574991-A1C6-4E5B-9E4F-D759C782D2A0}"/>
    <cellStyle name="20% - Accent2 3 3 2 2" xfId="32183" xr:uid="{D5E88CAD-64B4-4B0D-94F9-F6819F81B755}"/>
    <cellStyle name="20% - Accent2 3 3 2 2 2" xfId="22099" xr:uid="{177B1FC8-3496-48BC-9412-B5A530920428}"/>
    <cellStyle name="20% - Accent2 3 3 2 2 2 2" xfId="33453" xr:uid="{81122F38-2964-4F7B-9602-2976B7ABF955}"/>
    <cellStyle name="20% - Accent2 3 3 2 2 2 2 2" xfId="10170" xr:uid="{439A3584-4060-4A8F-AEB4-7C90423937A1}"/>
    <cellStyle name="20% - Accent2 3 3 2 2 2 2 2 2" xfId="29165" xr:uid="{DC855B51-60C5-46D4-9EB4-F6597DA86DC2}"/>
    <cellStyle name="20% - Accent2 3 3 2 2 2 2 2 2 2" xfId="24544" xr:uid="{A4136E23-EC76-4BF3-8A54-C4B4D58D823D}"/>
    <cellStyle name="20% - Accent2 3 3 2 2 2 2 2 3" xfId="22526" xr:uid="{0EDAE892-7F80-43B9-8569-2C15DA5EFE1F}"/>
    <cellStyle name="20% - Accent2 3 3 2 2 2 2 3" xfId="28835" xr:uid="{E9604A60-1D75-469E-80D5-05901C07CB50}"/>
    <cellStyle name="20% - Accent2 3 3 2 2 2 2 3 2" xfId="33705" xr:uid="{C63D21F3-275D-4C15-89B9-9AFB3C865AF2}"/>
    <cellStyle name="20% - Accent2 3 3 2 2 2 2 4" xfId="25041" xr:uid="{D0C09FF3-3A9F-4610-AC20-2831C1B506A3}"/>
    <cellStyle name="20% - Accent2 3 3 2 2 2 3" xfId="28829" xr:uid="{2C74384B-FB5C-418E-BD71-CCB131D8E913}"/>
    <cellStyle name="20% - Accent2 3 3 2 2 2 3 2" xfId="10150" xr:uid="{E2DB7527-DBE1-4A98-A219-E1E78D32B62E}"/>
    <cellStyle name="20% - Accent2 3 3 2 2 2 3 2 2" xfId="32430" xr:uid="{E67CC2FF-20F9-4A80-A075-9F2485A44356}"/>
    <cellStyle name="20% - Accent2 3 3 2 2 2 3 3" xfId="28825" xr:uid="{B85A8642-CCD0-429F-8265-FF9AA091BC1E}"/>
    <cellStyle name="20% - Accent2 3 3 2 2 2 4" xfId="26575" xr:uid="{5B1A662E-CD62-4899-A431-523FE0B1223B}"/>
    <cellStyle name="20% - Accent2 3 3 2 2 2 4 2" xfId="10140" xr:uid="{4DEDA5D9-3658-4353-9EFC-2B8609ABEBFA}"/>
    <cellStyle name="20% - Accent2 3 3 2 2 2 5" xfId="23865" xr:uid="{1BB5CC3D-55B3-4E4A-8200-875C44269523}"/>
    <cellStyle name="20% - Accent2 3 3 2 2 3" xfId="24283" xr:uid="{E6BAA9A9-9204-4D0E-A47A-DE4750FC765C}"/>
    <cellStyle name="20% - Accent2 3 3 2 2 3 2" xfId="33464" xr:uid="{CC699068-90C4-404F-A259-954DCD5E55B9}"/>
    <cellStyle name="20% - Accent2 3 3 2 2 3 2 2" xfId="10120" xr:uid="{2AFFB8C7-7745-4259-B107-0E624A96AF42}"/>
    <cellStyle name="20% - Accent2 3 3 2 2 3 2 2 2" xfId="18004" xr:uid="{46FEA210-05D6-4BF4-B517-FD863D2FF820}"/>
    <cellStyle name="20% - Accent2 3 3 2 2 3 2 3" xfId="28809" xr:uid="{D78F7F2B-C086-4BC2-A996-30A913827180}"/>
    <cellStyle name="20% - Accent2 3 3 2 2 3 3" xfId="28807" xr:uid="{F2B667C7-34ED-4040-9978-8A0D2157CC5B}"/>
    <cellStyle name="20% - Accent2 3 3 2 2 3 3 2" xfId="15136" xr:uid="{F605726E-23EA-414B-BADF-F353B1C93D93}"/>
    <cellStyle name="20% - Accent2 3 3 2 2 3 4" xfId="26568" xr:uid="{CA68CC80-666F-4CE3-A1EE-A5ED95E900E0}"/>
    <cellStyle name="20% - Accent2 3 3 2 2 4" xfId="22585" xr:uid="{447B82A6-FDE9-4270-AE25-DC829804B60F}"/>
    <cellStyle name="20% - Accent2 3 3 2 2 4 2" xfId="28796" xr:uid="{FBD439F8-BF0C-4B72-B109-D97C43B85E46}"/>
    <cellStyle name="20% - Accent2 3 3 2 2 4 2 2" xfId="10098" xr:uid="{CCDA655F-DC68-402C-BBB3-38B59434C211}"/>
    <cellStyle name="20% - Accent2 3 3 2 2 4 3" xfId="9176" xr:uid="{C43C757D-45F6-462A-9DA3-F7EDE5596019}"/>
    <cellStyle name="20% - Accent2 3 3 2 2 5" xfId="28615" xr:uid="{2C1AAD70-CEFB-4F64-823C-A845A9BD8C33}"/>
    <cellStyle name="20% - Accent2 3 3 2 2 5 2" xfId="28292" xr:uid="{C6047FF1-7EF7-40CE-91CC-3C4B9D2346B1}"/>
    <cellStyle name="20% - Accent2 3 3 2 2 6" xfId="28602" xr:uid="{B1AB8DE1-DB8A-45B2-A0F4-EF8EFBEB8F41}"/>
    <cellStyle name="20% - Accent2 3 3 2 3" xfId="32847" xr:uid="{0795791E-4C05-4527-8386-18AA6F103F7E}"/>
    <cellStyle name="20% - Accent2 3 3 2 3 2" xfId="30487" xr:uid="{4EB2B504-296E-4B72-B7CA-1E100F4C689B}"/>
    <cellStyle name="20% - Accent2 3 3 2 3 2 2" xfId="28787" xr:uid="{9189ECAC-AD8B-4821-B9C4-D5E1A23CB890}"/>
    <cellStyle name="20% - Accent2 3 3 2 3 2 2 2" xfId="10030" xr:uid="{6E2FDD74-DBAE-420C-97F9-FF14434197B2}"/>
    <cellStyle name="20% - Accent2 3 3 2 3 2 2 2 2" xfId="34202" xr:uid="{D92CCF08-3A71-46CF-9201-59F15409C7E6}"/>
    <cellStyle name="20% - Accent2 3 3 2 3 2 2 3" xfId="31620" xr:uid="{4E039E01-923D-4ED4-BD96-5C03808A5FFE}"/>
    <cellStyle name="20% - Accent2 3 3 2 3 2 3" xfId="28266" xr:uid="{715B7F0D-450D-4948-A639-1599ECC65DEB}"/>
    <cellStyle name="20% - Accent2 3 3 2 3 2 3 2" xfId="10018" xr:uid="{A4FF56EB-CFA4-45E8-84DD-5F56556603BC}"/>
    <cellStyle name="20% - Accent2 3 3 2 3 2 4" xfId="28217" xr:uid="{B83727EB-F298-4A7B-9EDA-03E9063945CE}"/>
    <cellStyle name="20% - Accent2 3 3 2 3 3" xfId="28781" xr:uid="{9636A3E0-DAF1-4290-A4C6-E4655A81614C}"/>
    <cellStyle name="20% - Accent2 3 3 2 3 3 2" xfId="28780" xr:uid="{D74D3877-678E-436A-8D82-30A757AAB377}"/>
    <cellStyle name="20% - Accent2 3 3 2 3 3 2 2" xfId="9998" xr:uid="{2029BB2F-7553-4521-B6CE-B9DF5C6C627C}"/>
    <cellStyle name="20% - Accent2 3 3 2 3 3 3" xfId="28777" xr:uid="{6CB3485E-62BF-427B-AE99-7535E89EE439}"/>
    <cellStyle name="20% - Accent2 3 3 2 3 4" xfId="21080" xr:uid="{E5733B5D-88B2-4500-A875-0095F3E53ACD}"/>
    <cellStyle name="20% - Accent2 3 3 2 3 4 2" xfId="6516" xr:uid="{12B4CC4D-5D25-4D65-9A2E-4519F23E0455}"/>
    <cellStyle name="20% - Accent2 3 3 2 3 5" xfId="6513" xr:uid="{9D02DB8D-D9F3-4BCF-A5FD-3362CC001F2B}"/>
    <cellStyle name="20% - Accent2 3 3 2 4" xfId="33006" xr:uid="{A05F8B08-AA93-42C8-A14E-E447A53C3D25}"/>
    <cellStyle name="20% - Accent2 3 3 2 4 2" xfId="19786" xr:uid="{1B211DF6-3F34-449E-9EB7-558C357C939C}"/>
    <cellStyle name="20% - Accent2 3 3 2 4 2 2" xfId="28764" xr:uid="{7462ECD1-0DF1-4F36-8C2B-A93CEFBF2797}"/>
    <cellStyle name="20% - Accent2 3 3 2 4 2 2 2" xfId="9957" xr:uid="{199DBD51-EE58-4AAF-BBB4-07556CB3168D}"/>
    <cellStyle name="20% - Accent2 3 3 2 4 2 3" xfId="28761" xr:uid="{A9649616-8571-4A60-A90E-06BAF30E1058}"/>
    <cellStyle name="20% - Accent2 3 3 2 4 3" xfId="28760" xr:uid="{B05B949A-AB8D-4ECE-BE4D-19A451EFD89B}"/>
    <cellStyle name="20% - Accent2 3 3 2 4 3 2" xfId="28756" xr:uid="{ED7F20C7-A083-42D4-83E4-E8D393C4DC5A}"/>
    <cellStyle name="20% - Accent2 3 3 2 4 4" xfId="6510" xr:uid="{A9F796C2-E279-4F80-9247-29458F100569}"/>
    <cellStyle name="20% - Accent2 3 3 2 5" xfId="28749" xr:uid="{3C4386E3-B338-40E0-AE1E-6D1637C1704E}"/>
    <cellStyle name="20% - Accent2 3 3 2 5 2" xfId="28746" xr:uid="{C5CABB01-27A6-47F4-9941-13C5229D1FBB}"/>
    <cellStyle name="20% - Accent2 3 3 2 5 2 2" xfId="28741" xr:uid="{6091DA59-BCC2-4CFF-8B7C-DC515CC5A74A}"/>
    <cellStyle name="20% - Accent2 3 3 2 5 3" xfId="28735" xr:uid="{C7DD414B-9682-4D28-BC12-507AD4E298A2}"/>
    <cellStyle name="20% - Accent2 3 3 2 6" xfId="28732" xr:uid="{D77BF5DE-47A8-40A2-9D72-DAF76BFFE854}"/>
    <cellStyle name="20% - Accent2 3 3 2 6 2" xfId="28723" xr:uid="{A3D375B3-DFD9-4364-A6E9-E99CFA08F65A}"/>
    <cellStyle name="20% - Accent2 3 3 2 7" xfId="13682" xr:uid="{0EC64B9C-15BA-468F-B640-B72AC58CFA16}"/>
    <cellStyle name="20% - Accent2 3 3 3" xfId="26296" xr:uid="{EA9281EF-7A6F-42C1-BE61-BA3205EB7CA4}"/>
    <cellStyle name="20% - Accent2 3 3 3 2" xfId="32845" xr:uid="{469E1310-104B-4208-ABD5-CDEB618253F6}"/>
    <cellStyle name="20% - Accent2 3 3 3 2 2" xfId="22080" xr:uid="{F71D9CB0-D179-4E9D-B5ED-4496E9B831E6}"/>
    <cellStyle name="20% - Accent2 3 3 3 2 2 2" xfId="10907" xr:uid="{8C3EE7D6-6B12-4248-858C-16C62F4D6B05}"/>
    <cellStyle name="20% - Accent2 3 3 3 2 2 2 2" xfId="9860" xr:uid="{D53408C1-7DCF-4763-A0B8-29437BF48A09}"/>
    <cellStyle name="20% - Accent2 3 3 3 2 2 2 2 2" xfId="32661" xr:uid="{FB296AC5-4247-4017-85F8-8811959A8B53}"/>
    <cellStyle name="20% - Accent2 3 3 3 2 2 2 3" xfId="31404" xr:uid="{9E7BA2C9-242A-47D0-9161-B410223E0A53}"/>
    <cellStyle name="20% - Accent2 3 3 3 2 2 3" xfId="10904" xr:uid="{D6E4F407-4F1C-4192-BDB0-7A63EE98C7DF}"/>
    <cellStyle name="20% - Accent2 3 3 3 2 2 3 2" xfId="9837" xr:uid="{A1137D0E-F238-4119-820C-AF4DA417A07D}"/>
    <cellStyle name="20% - Accent2 3 3 3 2 2 4" xfId="26543" xr:uid="{075C504D-A4C6-4DF4-94BD-079CE6B2DEF6}"/>
    <cellStyle name="20% - Accent2 3 3 3 2 3" xfId="26849" xr:uid="{06853F70-0EB2-4EC6-BE6A-130B24A275D4}"/>
    <cellStyle name="20% - Accent2 3 3 3 2 3 2" xfId="10899" xr:uid="{FD2AACF8-5846-4EDA-AA1A-7A62650860D8}"/>
    <cellStyle name="20% - Accent2 3 3 3 2 3 2 2" xfId="9811" xr:uid="{B02F4CAA-297F-40B9-A596-BB189ACC5AD4}"/>
    <cellStyle name="20% - Accent2 3 3 3 2 3 3" xfId="26489" xr:uid="{8FCB07FA-6194-476F-9C6F-E6B97772E270}"/>
    <cellStyle name="20% - Accent2 3 3 3 2 4" xfId="26837" xr:uid="{7437D8C7-A72A-46C6-9F9B-29A6462F1B73}"/>
    <cellStyle name="20% - Accent2 3 3 3 2 4 2" xfId="26484" xr:uid="{55EF0D08-70B3-406B-BCC0-F53D9B07FC31}"/>
    <cellStyle name="20% - Accent2 3 3 3 2 5" xfId="26474" xr:uid="{98E91EF5-C3FF-410E-9539-4EEC32348611}"/>
    <cellStyle name="20% - Accent2 3 3 3 3" xfId="32838" xr:uid="{D893ED8C-378A-4C41-A269-6A79FCBB4E96}"/>
    <cellStyle name="20% - Accent2 3 3 3 3 2" xfId="28695" xr:uid="{8DA28E34-F8E7-44F6-ADC2-299ADA8D28C4}"/>
    <cellStyle name="20% - Accent2 3 3 3 3 2 2" xfId="10891" xr:uid="{42C40E46-0C8F-41A7-A63A-8A09E47F376F}"/>
    <cellStyle name="20% - Accent2 3 3 3 3 2 2 2" xfId="9754" xr:uid="{1BAEE598-7C54-4FD2-BD42-4F2FBDF9D50B}"/>
    <cellStyle name="20% - Accent2 3 3 3 3 2 3" xfId="34024" xr:uid="{23E642B6-0920-4A19-9D8B-9EA388B7E69B}"/>
    <cellStyle name="20% - Accent2 3 3 3 3 3" xfId="26812" xr:uid="{6AAAC51E-E5D8-4345-8AB4-2FB4D02A2315}"/>
    <cellStyle name="20% - Accent2 3 3 3 3 3 2" xfId="26471" xr:uid="{D07BA5E4-DB1E-4F43-9882-D82B953E5E96}"/>
    <cellStyle name="20% - Accent2 3 3 3 3 4" xfId="26469" xr:uid="{CE939E36-963F-49F3-8386-4AA9DB039927}"/>
    <cellStyle name="20% - Accent2 3 3 3 4" xfId="28692" xr:uid="{CD594B45-A571-4D78-A62E-3ED8C391B7AA}"/>
    <cellStyle name="20% - Accent2 3 3 3 4 2" xfId="28689" xr:uid="{5C2BFB1E-EEC2-402D-ABFB-371A92365EF7}"/>
    <cellStyle name="20% - Accent2 3 3 3 4 2 2" xfId="28686" xr:uid="{E3C45BB7-FE86-4123-896F-E9CAC71BE215}"/>
    <cellStyle name="20% - Accent2 3 3 3 4 3" xfId="26463" xr:uid="{2BCD028D-8A23-4441-A41D-3E00DB9C1CA2}"/>
    <cellStyle name="20% - Accent2 3 3 3 5" xfId="28685" xr:uid="{BE01EF40-9678-4133-8A45-2791F587ACBE}"/>
    <cellStyle name="20% - Accent2 3 3 3 5 2" xfId="28683" xr:uid="{EDF96C58-C97C-4EA5-A781-C11AC57DFD55}"/>
    <cellStyle name="20% - Accent2 3 3 3 6" xfId="28681" xr:uid="{5D5438A8-0351-4839-8F74-6E9724131589}"/>
    <cellStyle name="20% - Accent2 3 3 4" xfId="20869" xr:uid="{73B428A2-074A-4F0F-878E-FE540F86F841}"/>
    <cellStyle name="20% - Accent2 3 3 4 2" xfId="32826" xr:uid="{F76B7284-9A3C-46E6-AF50-2A698622149F}"/>
    <cellStyle name="20% - Accent2 3 3 4 2 2" xfId="24968" xr:uid="{B007A81F-2704-49EF-9BE0-CBFAC29EF79C}"/>
    <cellStyle name="20% - Accent2 3 3 4 2 2 2" xfId="10850" xr:uid="{3CC96DC1-80DE-4122-BB23-0A214CF9263C}"/>
    <cellStyle name="20% - Accent2 3 3 4 2 2 2 2" xfId="9658" xr:uid="{F795610D-F37D-4F67-955A-1764F588CE30}"/>
    <cellStyle name="20% - Accent2 3 3 4 2 2 3" xfId="28679" xr:uid="{FF829854-09DF-4869-B22C-2423F08237F9}"/>
    <cellStyle name="20% - Accent2 3 3 4 2 3" xfId="25002" xr:uid="{578DBF0C-1C01-4D21-B8B4-872B9EF0A673}"/>
    <cellStyle name="20% - Accent2 3 3 4 2 3 2" xfId="26460" xr:uid="{23705F05-95B6-49C8-9C45-5B4BCC1AED81}"/>
    <cellStyle name="20% - Accent2 3 3 4 2 4" xfId="24985" xr:uid="{D349657A-76CC-4C48-B9F8-B4B0210AE92B}"/>
    <cellStyle name="20% - Accent2 3 3 4 3" xfId="28678" xr:uid="{004EFAB6-7CFD-4EA2-9110-16D86CB401D8}"/>
    <cellStyle name="20% - Accent2 3 3 4 3 2" xfId="24958" xr:uid="{32454DF3-C8A5-404E-BEA2-0AFA42DB6CFD}"/>
    <cellStyle name="20% - Accent2 3 3 4 3 2 2" xfId="28676" xr:uid="{BC601A11-F73F-4AD0-9E09-97B59EAE9141}"/>
    <cellStyle name="20% - Accent2 3 3 4 3 3" xfId="24942" xr:uid="{4BC9CC39-2CDC-4457-8191-901200147948}"/>
    <cellStyle name="20% - Accent2 3 3 4 4" xfId="28675" xr:uid="{1BD94966-D5A9-4C4D-A011-2992080A99DE}"/>
    <cellStyle name="20% - Accent2 3 3 4 4 2" xfId="24923" xr:uid="{EF39603D-231F-4F93-AD1C-7DBAA792405E}"/>
    <cellStyle name="20% - Accent2 3 3 4 5" xfId="32123" xr:uid="{43D7B364-184E-4115-9C2B-1269A86DA58A}"/>
    <cellStyle name="20% - Accent2 3 3 5" xfId="13416" xr:uid="{9DC55569-872B-452A-A5DC-699643B3E5B3}"/>
    <cellStyle name="20% - Accent2 3 3 5 2" xfId="28673" xr:uid="{404482D0-B443-4FF9-B44D-78D2C11311ED}"/>
    <cellStyle name="20% - Accent2 3 3 5 2 2" xfId="22105" xr:uid="{1E338717-0C73-4269-9C9D-B5D8BE7B45D1}"/>
    <cellStyle name="20% - Accent2 3 3 5 2 2 2" xfId="19796" xr:uid="{1755B4D3-5226-4D8F-8868-7A4233223FAE}"/>
    <cellStyle name="20% - Accent2 3 3 5 2 3" xfId="24289" xr:uid="{C985BF54-CD35-408B-8E0F-2C5690BF7C1E}"/>
    <cellStyle name="20% - Accent2 3 3 5 3" xfId="28668" xr:uid="{F4E60AFC-CFEC-4E08-8423-6F0E40F5A778}"/>
    <cellStyle name="20% - Accent2 3 3 5 3 2" xfId="22094" xr:uid="{C8C4F071-EEBC-4488-B590-5B60857E04C6}"/>
    <cellStyle name="20% - Accent2 3 3 5 4" xfId="23546" xr:uid="{6C0BF9EE-29D3-4D33-9C79-F124BED8687D}"/>
    <cellStyle name="20% - Accent2 3 3 6" xfId="28658" xr:uid="{7F738D77-FFDD-4775-9AAD-62B6AA32713A}"/>
    <cellStyle name="20% - Accent2 3 3 6 2" xfId="28655" xr:uid="{2A5912F5-3C75-4B07-AC7A-60324CF2E2A6}"/>
    <cellStyle name="20% - Accent2 3 3 6 2 2" xfId="22089" xr:uid="{0F58FB7F-5845-4A90-A109-8ADF04F44CFA}"/>
    <cellStyle name="20% - Accent2 3 3 6 3" xfId="19020" xr:uid="{B9E42D74-33F4-4BE6-9C04-34B5894A200E}"/>
    <cellStyle name="20% - Accent2 3 3 7" xfId="28649" xr:uid="{19311160-9F59-4288-9AE9-656156F63A8A}"/>
    <cellStyle name="20% - Accent2 3 3 7 2" xfId="28646" xr:uid="{E0BAA577-2A6E-4F71-A988-E109469666A2}"/>
    <cellStyle name="20% - Accent2 3 3 8" xfId="7688" xr:uid="{981F4943-E824-4738-BE48-6BB4B5856F4F}"/>
    <cellStyle name="20% - Accent2 3 3 9" xfId="34550" xr:uid="{49F6104B-448C-4329-9FD3-35A48B533192}"/>
    <cellStyle name="20% - Accent2 3 4" xfId="18678" xr:uid="{BB84D5BE-0EC2-429B-AB63-CFBDAAE88AE3}"/>
    <cellStyle name="20% - Accent2 3 4 2" xfId="27355" xr:uid="{000624E0-C1BB-4A0C-A9DF-5372E9C39263}"/>
    <cellStyle name="20% - Accent2 3 4 2 2" xfId="32438" xr:uid="{B378E4A0-0FE5-4AD7-A624-8FF52E639068}"/>
    <cellStyle name="20% - Accent2 3 4 2 2 2" xfId="20154" xr:uid="{9820FD59-E76B-4050-A7C5-DBF67C5BEFC9}"/>
    <cellStyle name="20% - Accent2 3 4 2 2 2 2" xfId="11700" xr:uid="{511BFC28-C0D9-4551-899D-7CCE19756074}"/>
    <cellStyle name="20% - Accent2 3 4 2 2 2 2 2" xfId="26353" xr:uid="{D2FC44FB-0FEC-44E7-8341-CA6804C6CDF4}"/>
    <cellStyle name="20% - Accent2 3 4 2 2 2 2 2 2" xfId="34341" xr:uid="{623AB9AE-C216-4FD8-BA19-BA28FCF8D3F6}"/>
    <cellStyle name="20% - Accent2 3 4 2 2 2 2 3" xfId="21184" xr:uid="{0F15AAC1-114C-4392-8935-9641C6413459}"/>
    <cellStyle name="20% - Accent2 3 4 2 2 2 3" xfId="28635" xr:uid="{433AFD6E-517D-405C-8A99-4EE125FC9A5C}"/>
    <cellStyle name="20% - Accent2 3 4 2 2 2 3 2" xfId="9481" xr:uid="{2E15F1A5-E432-4B0F-B759-EC7BBBEB5CC0}"/>
    <cellStyle name="20% - Accent2 3 4 2 2 2 4" xfId="28630" xr:uid="{98421C34-29F3-4EF7-B36F-C731F30501C7}"/>
    <cellStyle name="20% - Accent2 3 4 2 2 3" xfId="28627" xr:uid="{680910A6-BF5A-4C45-8E58-5441710533A0}"/>
    <cellStyle name="20% - Accent2 3 4 2 2 3 2" xfId="28626" xr:uid="{0BF37BA8-6072-4051-BC77-3E8BB5E40334}"/>
    <cellStyle name="20% - Accent2 3 4 2 2 3 2 2" xfId="28842" xr:uid="{CDDD445B-6449-4921-B655-B429BBF6767F}"/>
    <cellStyle name="20% - Accent2 3 4 2 2 3 3" xfId="28619" xr:uid="{71685E96-F320-4745-8BD3-167DBB57C650}"/>
    <cellStyle name="20% - Accent2 3 4 2 2 4" xfId="28618" xr:uid="{6667642C-51B0-4264-96A7-54DF349C28B3}"/>
    <cellStyle name="20% - Accent2 3 4 2 2 4 2" xfId="28610" xr:uid="{7C79B95B-D424-41E9-8638-9204B93B13B9}"/>
    <cellStyle name="20% - Accent2 3 4 2 2 5" xfId="28608" xr:uid="{AD944B82-12D6-4D62-A93A-0D3CF23D1124}"/>
    <cellStyle name="20% - Accent2 3 4 2 3" xfId="20395" xr:uid="{CB68DF09-F127-4A3E-89EB-D5E5CC03FCCE}"/>
    <cellStyle name="20% - Accent2 3 4 2 3 2" xfId="27629" xr:uid="{A90D2D7F-AD47-46C5-B9FD-586242D16217}"/>
    <cellStyle name="20% - Accent2 3 4 2 3 2 2" xfId="9079" xr:uid="{458B906C-BE44-495B-9024-BFF01F00BC4A}"/>
    <cellStyle name="20% - Accent2 3 4 2 3 2 2 2" xfId="14897" xr:uid="{2ED2FA4F-F10F-49A9-BDEE-0B168004C523}"/>
    <cellStyle name="20% - Accent2 3 4 2 3 2 3" xfId="18322" xr:uid="{D3D7B669-2185-4742-949F-1929CDF0C99B}"/>
    <cellStyle name="20% - Accent2 3 4 2 3 3" xfId="28596" xr:uid="{0C4A99BA-8FD5-4969-820D-F4039C96CEC4}"/>
    <cellStyle name="20% - Accent2 3 4 2 3 3 2" xfId="28595" xr:uid="{1F4A3413-51D4-4095-99E7-19B489C73564}"/>
    <cellStyle name="20% - Accent2 3 4 2 3 4" xfId="6429" xr:uid="{FB08DCBC-92CA-4A3B-A465-98A04C980093}"/>
    <cellStyle name="20% - Accent2 3 4 2 4" xfId="28592" xr:uid="{69EB09FE-A27E-4DFF-994E-1B54EDCF81D5}"/>
    <cellStyle name="20% - Accent2 3 4 2 4 2" xfId="28586" xr:uid="{A0294D1B-B09E-46B4-9585-0DB472CECEE7}"/>
    <cellStyle name="20% - Accent2 3 4 2 4 2 2" xfId="7162" xr:uid="{AF705E79-9707-4723-B917-70C91F014C35}"/>
    <cellStyle name="20% - Accent2 3 4 2 4 3" xfId="27885" xr:uid="{A6E6FD19-CA34-497B-8F71-9BFAEC513BDD}"/>
    <cellStyle name="20% - Accent2 3 4 2 5" xfId="28582" xr:uid="{2CBE6B8B-D62A-4AD1-A67B-C370C1832C3A}"/>
    <cellStyle name="20% - Accent2 3 4 2 5 2" xfId="28579" xr:uid="{53542662-4CB4-452C-8A57-541F8101A3C9}"/>
    <cellStyle name="20% - Accent2 3 4 2 6" xfId="28574" xr:uid="{1CF64458-29E9-4F28-A4B1-E55C61679769}"/>
    <cellStyle name="20% - Accent2 3 4 3" xfId="33175" xr:uid="{5A6615FF-DC1D-49CD-8431-FE9A400DA7F2}"/>
    <cellStyle name="20% - Accent2 3 4 3 2" xfId="34315" xr:uid="{93D19178-4C41-4E20-B913-70F0494ECA9A}"/>
    <cellStyle name="20% - Accent2 3 4 3 2 2" xfId="23076" xr:uid="{4AE6555C-C8F2-4E0A-BE2A-31B0EAAFF157}"/>
    <cellStyle name="20% - Accent2 3 4 3 2 2 2" xfId="18264" xr:uid="{E5F14959-66EB-4860-8273-0924A553D450}"/>
    <cellStyle name="20% - Accent2 3 4 3 2 2 2 2" xfId="16878" xr:uid="{F7700C66-E76E-4F94-86C9-DA5735DA888C}"/>
    <cellStyle name="20% - Accent2 3 4 3 2 2 3" xfId="18251" xr:uid="{F9739841-6D97-4AEF-B3A9-5866600CB31D}"/>
    <cellStyle name="20% - Accent2 3 4 3 2 3" xfId="23067" xr:uid="{E30F4194-B0D6-498F-A568-99CB56DEFFA1}"/>
    <cellStyle name="20% - Accent2 3 4 3 2 3 2" xfId="18240" xr:uid="{6BEAA2E5-7813-4DF1-8DAA-54480BD237AD}"/>
    <cellStyle name="20% - Accent2 3 4 3 2 4" xfId="23061" xr:uid="{3D1BB080-92A4-4BEB-8D69-89B0892B2777}"/>
    <cellStyle name="20% - Accent2 3 4 3 3" xfId="28560" xr:uid="{749B839B-BCB9-4845-8A15-D042CE675B22}"/>
    <cellStyle name="20% - Accent2 3 4 3 3 2" xfId="28555" xr:uid="{C0C834A6-7533-4073-9DD3-B04523B80010}"/>
    <cellStyle name="20% - Accent2 3 4 3 3 2 2" xfId="28554" xr:uid="{C6C9CB61-7255-46BD-B0EF-C28BF21DAD30}"/>
    <cellStyle name="20% - Accent2 3 4 3 3 3" xfId="26439" xr:uid="{E2ACC59A-89DA-47B8-A5F4-89C611ADAC02}"/>
    <cellStyle name="20% - Accent2 3 4 3 4" xfId="28551" xr:uid="{9559FFF1-D3F1-4EC8-8FAF-B8AF6B4B8848}"/>
    <cellStyle name="20% - Accent2 3 4 3 4 2" xfId="28543" xr:uid="{2D7B5632-3913-4A10-B330-E28D7E32FCFD}"/>
    <cellStyle name="20% - Accent2 3 4 3 5" xfId="28541" xr:uid="{C6168474-3C9D-45AB-841A-A6D12A570FA8}"/>
    <cellStyle name="20% - Accent2 3 4 4" xfId="20687" xr:uid="{2F1C51E5-B3CE-4F13-AE64-8A8C5229D545}"/>
    <cellStyle name="20% - Accent2 3 4 4 2" xfId="21089" xr:uid="{358CBAF7-9D43-416D-87CC-9ABF15D2BA1A}"/>
    <cellStyle name="20% - Accent2 3 4 4 2 2" xfId="17845" xr:uid="{59D764A3-6DE0-4F4B-B0D1-6BF963FFD657}"/>
    <cellStyle name="20% - Accent2 3 4 4 2 2 2" xfId="24296" xr:uid="{F0CDBC4D-0D50-4997-8125-91ED344A99EB}"/>
    <cellStyle name="20% - Accent2 3 4 4 2 3" xfId="23019" xr:uid="{A3747CE3-8B9E-4A6C-AAD9-1D5B4E8C31B8}"/>
    <cellStyle name="20% - Accent2 3 4 4 3" xfId="21077" xr:uid="{F6AF5806-2CAC-41CA-94FC-587D58C81DE4}"/>
    <cellStyle name="20% - Accent2 3 4 4 3 2" xfId="28529" xr:uid="{13C510B7-B2BE-4832-A3C1-EF23931F52DB}"/>
    <cellStyle name="20% - Accent2 3 4 4 4" xfId="21065" xr:uid="{E82FDF81-1FDC-4A1B-9DFB-F92BEF45442C}"/>
    <cellStyle name="20% - Accent2 3 4 5" xfId="13408" xr:uid="{5E37E8E6-5D6F-4153-926C-E56D366E88C3}"/>
    <cellStyle name="20% - Accent2 3 4 5 2" xfId="21036" xr:uid="{CF37F99A-A688-44DD-AF0E-929C40FBBCCB}"/>
    <cellStyle name="20% - Accent2 3 4 5 2 2" xfId="22067" xr:uid="{5B701124-03A6-4A04-9CA8-C3E22162A7FB}"/>
    <cellStyle name="20% - Accent2 3 4 5 3" xfId="21027" xr:uid="{E8D1134C-20A4-421B-8DA8-599F7C23B2B5}"/>
    <cellStyle name="20% - Accent2 3 4 6" xfId="25980" xr:uid="{8D607FBE-0AB8-449E-B6A0-F1384B0BE213}"/>
    <cellStyle name="20% - Accent2 3 4 6 2" xfId="21008" xr:uid="{8B9171F4-8335-4C66-BE74-156BFCF8D171}"/>
    <cellStyle name="20% - Accent2 3 4 7" xfId="28506" xr:uid="{D1611334-7E82-4948-BFCC-42704BB87087}"/>
    <cellStyle name="20% - Accent2 3 4 8" xfId="34771" xr:uid="{DC4A48DE-7995-4202-9554-46133F1AF51E}"/>
    <cellStyle name="20% - Accent2 3 5" xfId="26586" xr:uid="{9FA0096A-B0AA-4B4A-A6B6-90AA5B417340}"/>
    <cellStyle name="20% - Accent2 3 5 2" xfId="23912" xr:uid="{9A20E5DF-58FF-4554-A48C-C54F0764E5C1}"/>
    <cellStyle name="20% - Accent2 3 5 2 2" xfId="12106" xr:uid="{3ED8A942-F885-4D3C-8213-0DCFE40713F5}"/>
    <cellStyle name="20% - Accent2 3 5 2 2 2" xfId="14568" xr:uid="{058C49B4-349B-4E90-B6C7-0E6DA54B13AE}"/>
    <cellStyle name="20% - Accent2 3 5 2 2 2 2" xfId="24730" xr:uid="{96F50AD0-FAAC-43A6-B1D6-6117251A2D41}"/>
    <cellStyle name="20% - Accent2 3 5 2 2 2 2 2" xfId="9307" xr:uid="{CCC20084-0738-4568-A99F-5D3A6DB1D26F}"/>
    <cellStyle name="20% - Accent2 3 5 2 2 2 3" xfId="28496" xr:uid="{EDD07739-FDB3-4259-917C-63D4D0E9D329}"/>
    <cellStyle name="20% - Accent2 3 5 2 2 3" xfId="18935" xr:uid="{A187E9FF-8CEE-4123-BD32-89365E807014}"/>
    <cellStyle name="20% - Accent2 3 5 2 2 3 2" xfId="28489" xr:uid="{21E8A9A6-10E8-4C7A-8B8F-20DF23A8E33D}"/>
    <cellStyle name="20% - Accent2 3 5 2 2 4" xfId="29516" xr:uid="{E2C76A2B-0751-4343-8FF9-340C7EC31C37}"/>
    <cellStyle name="20% - Accent2 3 5 2 3" xfId="30038" xr:uid="{694BFE80-3742-4419-8749-C482501BCA6D}"/>
    <cellStyle name="20% - Accent2 3 5 2 3 2" xfId="30323" xr:uid="{E25B73C5-A7BB-4979-81E4-30469EC3EA4F}"/>
    <cellStyle name="20% - Accent2 3 5 2 3 2 2" xfId="28478" xr:uid="{E08CAEF2-C60D-4F2C-A41C-99D3DF9D488A}"/>
    <cellStyle name="20% - Accent2 3 5 2 3 3" xfId="29497" xr:uid="{C70C6FD5-62F2-4E48-A0FD-89E1DF17571F}"/>
    <cellStyle name="20% - Accent2 3 5 2 4" xfId="30018" xr:uid="{B4AD1AEC-7C03-4F57-983B-CA448C478335}"/>
    <cellStyle name="20% - Accent2 3 5 2 4 2" xfId="6058" xr:uid="{6D169F08-3B10-47B3-9FC6-ABA5175AF5F5}"/>
    <cellStyle name="20% - Accent2 3 5 2 5" xfId="29465" xr:uid="{D5E578B6-7B36-4848-B9C0-A842359E2690}"/>
    <cellStyle name="20% - Accent2 3 5 3" xfId="31990" xr:uid="{67B28465-2196-44F5-859F-8C9BB6CF17ED}"/>
    <cellStyle name="20% - Accent2 3 5 3 2" xfId="29440" xr:uid="{B3345CF7-5714-4AAA-B14C-C2A493B0A9E2}"/>
    <cellStyle name="20% - Accent2 3 5 3 2 2" xfId="26917" xr:uid="{EA4DABB7-1B25-48D9-9542-1DA3015B8378}"/>
    <cellStyle name="20% - Accent2 3 5 3 2 2 2" xfId="8653" xr:uid="{22471CC8-7BEB-4C0A-AA95-600B032AFA30}"/>
    <cellStyle name="20% - Accent2 3 5 3 2 3" xfId="26410" xr:uid="{7248FD28-EFAE-4356-82E5-B75E6C7DC34D}"/>
    <cellStyle name="20% - Accent2 3 5 3 3" xfId="33636" xr:uid="{C9FE3C27-3BE0-4C11-8AB2-D6C591EB15C4}"/>
    <cellStyle name="20% - Accent2 3 5 3 3 2" xfId="25673" xr:uid="{4CAACB71-0B99-431B-8F49-34FC1B029952}"/>
    <cellStyle name="20% - Accent2 3 5 3 4" xfId="29413" xr:uid="{C2066624-F3D2-401E-A923-1419D0A1A4D1}"/>
    <cellStyle name="20% - Accent2 3 5 4" xfId="28467" xr:uid="{7F911C0F-06AD-41C2-9D25-43E36494A4AD}"/>
    <cellStyle name="20% - Accent2 3 5 4 2" xfId="21984" xr:uid="{F16BFD9E-A4CB-41E0-918E-F4705429B41D}"/>
    <cellStyle name="20% - Accent2 3 5 4 2 2" xfId="25647" xr:uid="{9764B9C0-0AEE-4EAD-B7F1-32D80772F189}"/>
    <cellStyle name="20% - Accent2 3 5 4 3" xfId="20765" xr:uid="{191F88EF-9A8E-43B6-AE91-DD97A8688BB7}"/>
    <cellStyle name="20% - Accent2 3 5 5" xfId="28464" xr:uid="{50E3A40C-4C60-498D-9D09-E3463D9792EA}"/>
    <cellStyle name="20% - Accent2 3 5 5 2" xfId="21953" xr:uid="{9874E95B-CA04-4695-A9F4-30D748211936}"/>
    <cellStyle name="20% - Accent2 3 5 6" xfId="28459" xr:uid="{35321C06-84C5-460C-98E0-D879C6AC74D1}"/>
    <cellStyle name="20% - Accent2 3 5 7" xfId="34962" xr:uid="{E48F91D6-CCBF-4ECF-B7BE-095836AC9DCE}"/>
    <cellStyle name="20% - Accent2 3 6" xfId="28341" xr:uid="{B203D82F-2728-403D-965F-6F642A8B0CB2}"/>
    <cellStyle name="20% - Accent2 3 6 2" xfId="18901" xr:uid="{978D9746-706E-44B7-BBCD-C2454AD82796}"/>
    <cellStyle name="20% - Accent2 3 6 2 2" xfId="31298" xr:uid="{92555619-2B6A-46D4-AB51-1AF4F5C27EF5}"/>
    <cellStyle name="20% - Accent2 3 6 2 2 2" xfId="24462" xr:uid="{2FBBD913-B6EC-4483-926F-74162B008C9E}"/>
    <cellStyle name="20% - Accent2 3 6 2 2 2 2" xfId="32888" xr:uid="{0FD6BB31-A8C3-44B3-9856-17B1A32E8FF9}"/>
    <cellStyle name="20% - Accent2 3 6 2 2 3" xfId="29334" xr:uid="{7C8A1F2B-2103-41F3-B8C3-D5CDC43C36E0}"/>
    <cellStyle name="20% - Accent2 3 6 2 3" xfId="30003" xr:uid="{19026CA2-FECC-4436-B91A-19EFDB55308C}"/>
    <cellStyle name="20% - Accent2 3 6 2 3 2" xfId="29318" xr:uid="{C7A8DA62-B184-47F0-992B-F2B6BCA75919}"/>
    <cellStyle name="20% - Accent2 3 6 2 4" xfId="29310" xr:uid="{051ECB4F-5AE3-4FF8-A028-E11477289AF1}"/>
    <cellStyle name="20% - Accent2 3 6 3" xfId="17962" xr:uid="{193B1C25-85FA-4919-9380-9EA072A838C8}"/>
    <cellStyle name="20% - Accent2 3 6 3 2" xfId="30200" xr:uid="{F28F36C0-1D25-47ED-9F68-C149F8F758EE}"/>
    <cellStyle name="20% - Accent2 3 6 3 2 2" xfId="25551" xr:uid="{0E6E4068-4496-4559-BE81-CFBC9776AC21}"/>
    <cellStyle name="20% - Accent2 3 6 3 3" xfId="30405" xr:uid="{3A88C390-F5DB-4EA0-93F9-B633AC0FCD32}"/>
    <cellStyle name="20% - Accent2 3 6 4" xfId="29432" xr:uid="{2950AA98-CB5F-4C6A-94EB-927A772DF74E}"/>
    <cellStyle name="20% - Accent2 3 6 4 2" xfId="21773" xr:uid="{81265910-4893-4628-9DAF-6D8B15F95D6A}"/>
    <cellStyle name="20% - Accent2 3 6 5" xfId="28454" xr:uid="{1CE3C0F9-F834-4850-BA9E-1173C73D2B14}"/>
    <cellStyle name="20% - Accent2 3 6 6" xfId="35167" xr:uid="{E1E43CC8-F74F-4CEC-84DE-CA36B4D24B6E}"/>
    <cellStyle name="20% - Accent2 3 7" xfId="24931" xr:uid="{55E51EEF-1388-4782-A98C-EFEA95BC5B29}"/>
    <cellStyle name="20% - Accent2 3 7 2" xfId="17959" xr:uid="{D4149E03-73E9-4E6E-85C0-0C3496AE1CAB}"/>
    <cellStyle name="20% - Accent2 3 7 2 2" xfId="31005" xr:uid="{00831404-6CFD-4031-BC81-875379F0A5BF}"/>
    <cellStyle name="20% - Accent2 3 7 2 2 2" xfId="31601" xr:uid="{B02C9F69-4FDB-46C8-8227-498E6F5E842B}"/>
    <cellStyle name="20% - Accent2 3 7 2 3" xfId="32159" xr:uid="{AFEEDF20-3B90-4E93-83F5-86AD505F9D97}"/>
    <cellStyle name="20% - Accent2 3 7 3" xfId="31875" xr:uid="{0A95EFE2-2C4C-4FB4-85C7-EBBBD4C4EBD0}"/>
    <cellStyle name="20% - Accent2 3 7 3 2" xfId="32602" xr:uid="{EC61EC1E-9256-48FD-9350-2D02864D42E4}"/>
    <cellStyle name="20% - Accent2 3 7 4" xfId="33354" xr:uid="{43C73A81-7EEE-405B-9479-156EB6065088}"/>
    <cellStyle name="20% - Accent2 3 7 5" xfId="35396" xr:uid="{E8B007A5-F59D-436F-9EAA-8C73C8A6F3BD}"/>
    <cellStyle name="20% - Accent2 3 8" xfId="8344" xr:uid="{D67DB2D3-020B-4347-B510-A836B5D694FD}"/>
    <cellStyle name="20% - Accent2 3 8 2" xfId="28445" xr:uid="{672BCFF4-62DB-4281-97DB-7DBABFADAF41}"/>
    <cellStyle name="20% - Accent2 3 8 2 2" xfId="30711" xr:uid="{942AEC0F-B104-4896-BF40-3AB069746C98}"/>
    <cellStyle name="20% - Accent2 3 8 3" xfId="30934" xr:uid="{71A276EF-863C-4BEF-8AE9-7AA92236BB79}"/>
    <cellStyle name="20% - Accent2 3 8 4" xfId="36268" xr:uid="{CCDAED8F-E035-498E-9AC6-31042BE6C861}"/>
    <cellStyle name="20% - Accent2 3 9" xfId="28442" xr:uid="{363EED80-BD85-4899-8E77-8F972704AE9E}"/>
    <cellStyle name="20% - Accent2 3 9 2" xfId="22846" xr:uid="{80565795-14E4-4419-A740-9EF7E1F58C49}"/>
    <cellStyle name="20% - Accent2 3 9 3" xfId="36554" xr:uid="{757E5537-4783-4050-B146-5D9C8B987ED5}"/>
    <cellStyle name="20% - Accent2 30" xfId="35893" xr:uid="{A1CD2C08-B804-4972-AD33-E26300ED909A}"/>
    <cellStyle name="20% - Accent2 30 2" xfId="37065" xr:uid="{BBF14103-F346-46D7-88C4-D1D6018123BD}"/>
    <cellStyle name="20% - Accent2 30 3" xfId="37960" xr:uid="{29E034CA-F072-474E-A9FE-D8004719A676}"/>
    <cellStyle name="20% - Accent2 31" xfId="35913" xr:uid="{D7E5EEEF-DFF0-4FE5-9BA1-2B490BAE81F9}"/>
    <cellStyle name="20% - Accent2 31 2" xfId="37084" xr:uid="{F4F38388-5F5C-4F93-972D-A12659252F46}"/>
    <cellStyle name="20% - Accent2 31 3" xfId="37980" xr:uid="{09FCE402-4F30-46C7-86CD-351312F102E9}"/>
    <cellStyle name="20% - Accent2 32" xfId="35933" xr:uid="{63B9AAE4-A727-4820-B5B3-3646F6977B8B}"/>
    <cellStyle name="20% - Accent2 32 2" xfId="37103" xr:uid="{1E8E23DA-2EA3-453A-82F9-250B703A6D51}"/>
    <cellStyle name="20% - Accent2 32 3" xfId="38000" xr:uid="{DEE6B229-616F-4B93-A76F-4B189497782F}"/>
    <cellStyle name="20% - Accent2 33" xfId="35953" xr:uid="{AEBF19E3-AA30-425D-B26F-90BF017416AB}"/>
    <cellStyle name="20% - Accent2 33 2" xfId="37122" xr:uid="{49CBEBB1-5830-467F-8F11-92FB66B6A3D9}"/>
    <cellStyle name="20% - Accent2 33 3" xfId="38020" xr:uid="{48F6B006-6311-45E5-BDC1-91C7BE672E58}"/>
    <cellStyle name="20% - Accent2 34" xfId="35973" xr:uid="{9D5F7C76-D543-449F-B9A5-FDB48C608535}"/>
    <cellStyle name="20% - Accent2 34 2" xfId="37142" xr:uid="{F792F1D2-580F-4735-B003-69E43656E15A}"/>
    <cellStyle name="20% - Accent2 34 3" xfId="38040" xr:uid="{EF25823A-9A17-4FC0-88EB-4B8AF7CD8B27}"/>
    <cellStyle name="20% - Accent2 35" xfId="35993" xr:uid="{FFB57B4C-695D-4168-9F6A-14CC41B0D4F4}"/>
    <cellStyle name="20% - Accent2 35 2" xfId="37162" xr:uid="{97F4159B-7637-4390-A8DB-14D797071FCD}"/>
    <cellStyle name="20% - Accent2 35 3" xfId="38060" xr:uid="{43947878-8A6F-4A85-B37B-6A43E08B06F1}"/>
    <cellStyle name="20% - Accent2 36" xfId="36013" xr:uid="{50D0FDDC-7C66-46C0-BD79-CBC086F0C513}"/>
    <cellStyle name="20% - Accent2 36 2" xfId="37182" xr:uid="{8881A59E-3071-439E-848F-C497058C229B}"/>
    <cellStyle name="20% - Accent2 36 3" xfId="38080" xr:uid="{8DCD9D2E-ADEE-4C38-AAA8-13546235EE80}"/>
    <cellStyle name="20% - Accent2 37" xfId="36033" xr:uid="{9255798D-0061-4D8F-AFE5-46599535EB2C}"/>
    <cellStyle name="20% - Accent2 37 2" xfId="37202" xr:uid="{4007776C-252D-4F29-A377-0030FCDBFBB3}"/>
    <cellStyle name="20% - Accent2 37 3" xfId="38100" xr:uid="{AE2A2839-717D-452F-AB61-7FF6DF432A15}"/>
    <cellStyle name="20% - Accent2 38" xfId="36053" xr:uid="{64707448-C734-4D70-8FBB-914DB659C2B9}"/>
    <cellStyle name="20% - Accent2 38 2" xfId="37222" xr:uid="{EFCA5E91-F573-48C5-8A7B-B425D068E4AC}"/>
    <cellStyle name="20% - Accent2 38 3" xfId="38120" xr:uid="{F5E239AF-EE1C-449D-AF0F-E34C5D01965C}"/>
    <cellStyle name="20% - Accent2 39" xfId="36073" xr:uid="{7784F1A1-6290-4D13-B949-7AA492F9D742}"/>
    <cellStyle name="20% - Accent2 39 2" xfId="37242" xr:uid="{CA3E3040-96D3-49D8-B07E-4CB7B03B3F3F}"/>
    <cellStyle name="20% - Accent2 39 3" xfId="38140" xr:uid="{635F6FDF-93BD-460A-9EAD-6CED9A9557ED}"/>
    <cellStyle name="20% - Accent2 4" xfId="119" xr:uid="{1B5042E0-105B-4C6A-AA45-FE415DFA2493}"/>
    <cellStyle name="20% - Accent2 4 10" xfId="34473" xr:uid="{01545F19-817F-49B7-AE8D-A3A621CF72D0}"/>
    <cellStyle name="20% - Accent2 4 11" xfId="5967" xr:uid="{696D01D7-17FC-44DF-A29E-B7553A62A5BB}"/>
    <cellStyle name="20% - Accent2 4 2" xfId="242" xr:uid="{28749901-4393-41EF-B920-82520AB75FCC}"/>
    <cellStyle name="20% - Accent2 4 2 10" xfId="19728" xr:uid="{802DE0F0-83AD-429B-974B-9FC1B92B872C}"/>
    <cellStyle name="20% - Accent2 4 2 2" xfId="16417" xr:uid="{0F4F3B53-4FF6-487D-BF2D-158F34DC1410}"/>
    <cellStyle name="20% - Accent2 4 2 2 2" xfId="32299" xr:uid="{61F5E188-AE28-41C2-ABE3-4E53B7DCBACA}"/>
    <cellStyle name="20% - Accent2 4 2 2 2 2" xfId="22030" xr:uid="{221E76E2-02AC-4B9B-BEDD-F275C304AD2D}"/>
    <cellStyle name="20% - Accent2 4 2 2 2 2 2" xfId="24120" xr:uid="{DB8D10C8-908B-4FB4-AF44-22512C9690C4}"/>
    <cellStyle name="20% - Accent2 4 2 2 2 2 2 2" xfId="8836" xr:uid="{80FBB491-33D6-40AB-8DD1-FA4E889B7279}"/>
    <cellStyle name="20% - Accent2 4 2 2 2 2 2 2 2" xfId="22001" xr:uid="{980434B4-5DC5-4712-85E0-05B908E3036D}"/>
    <cellStyle name="20% - Accent2 4 2 2 2 2 2 2 2 2" xfId="32343" xr:uid="{E812C6BB-5CD0-46AE-B7AE-A64AF2CF9B5B}"/>
    <cellStyle name="20% - Accent2 4 2 2 2 2 2 2 3" xfId="15154" xr:uid="{E5CA4A27-D4EA-4D7D-92FD-2B460EFA544A}"/>
    <cellStyle name="20% - Accent2 4 2 2 2 2 2 3" xfId="15557" xr:uid="{4A69E5D7-33B7-4331-BCB4-4E5FE1A960AF}"/>
    <cellStyle name="20% - Accent2 4 2 2 2 2 2 3 2" xfId="28433" xr:uid="{544E8C9B-2FA0-40EF-8FB7-1915DDBBC80D}"/>
    <cellStyle name="20% - Accent2 4 2 2 2 2 2 4" xfId="8824" xr:uid="{1F78B735-7826-4269-AE2D-08AD69541FB1}"/>
    <cellStyle name="20% - Accent2 4 2 2 2 2 3" xfId="24580" xr:uid="{99772B91-BA03-463C-B8E2-D81B977A113C}"/>
    <cellStyle name="20% - Accent2 4 2 2 2 2 3 2" xfId="8807" xr:uid="{1D8C67DF-006A-421D-A74C-11E1EC95B645}"/>
    <cellStyle name="20% - Accent2 4 2 2 2 2 3 2 2" xfId="23452" xr:uid="{4673ADF7-E488-4453-941B-870966093FE9}"/>
    <cellStyle name="20% - Accent2 4 2 2 2 2 3 3" xfId="8802" xr:uid="{67176BCB-814E-465A-B5D3-CCA7DAB1552F}"/>
    <cellStyle name="20% - Accent2 4 2 2 2 2 4" xfId="21794" xr:uid="{2D7B73ED-6EBE-41C3-9FE3-B724C3EFB820}"/>
    <cellStyle name="20% - Accent2 4 2 2 2 2 4 2" xfId="8790" xr:uid="{931FFD99-1FCD-434E-A24C-4CFF9547F825}"/>
    <cellStyle name="20% - Accent2 4 2 2 2 2 5" xfId="18628" xr:uid="{A4297EEF-9D61-4932-B892-8A018456044C}"/>
    <cellStyle name="20% - Accent2 4 2 2 2 3" xfId="21648" xr:uid="{FDE5D9F9-EF26-423A-8765-914895D89684}"/>
    <cellStyle name="20% - Accent2 4 2 2 2 3 2" xfId="24576" xr:uid="{9F511CD8-76D6-49CC-89A8-B6974BE9AC41}"/>
    <cellStyle name="20% - Accent2 4 2 2 2 3 2 2" xfId="8761" xr:uid="{403234BC-B692-47AC-A956-A00C4F52B217}"/>
    <cellStyle name="20% - Accent2 4 2 2 2 3 2 2 2" xfId="21784" xr:uid="{F9A9E6D7-8257-4DA7-91CE-CDD6A5DBBD85}"/>
    <cellStyle name="20% - Accent2 4 2 2 2 3 2 3" xfId="8751" xr:uid="{568FB608-2A1B-4F19-9B24-94DA34ADA8D6}"/>
    <cellStyle name="20% - Accent2 4 2 2 2 3 3" xfId="21788" xr:uid="{782FCBA4-FEE2-4A0C-BA04-E82CD7B8D46F}"/>
    <cellStyle name="20% - Accent2 4 2 2 2 3 3 2" xfId="8737" xr:uid="{C0370D93-B89E-4602-ABC6-1CA5826FB993}"/>
    <cellStyle name="20% - Accent2 4 2 2 2 3 4" xfId="28405" xr:uid="{9D80D4ED-BF1B-4D95-A011-D722410FFE29}"/>
    <cellStyle name="20% - Accent2 4 2 2 2 4" xfId="28402" xr:uid="{E0680448-603D-49A3-BEC2-0558A43BBC96}"/>
    <cellStyle name="20% - Accent2 4 2 2 2 4 2" xfId="28401" xr:uid="{740EE21C-8282-4035-A495-73CF38560446}"/>
    <cellStyle name="20% - Accent2 4 2 2 2 4 2 2" xfId="27378" xr:uid="{490BE99C-AEA1-4DB5-8586-6E00B4F43481}"/>
    <cellStyle name="20% - Accent2 4 2 2 2 4 3" xfId="21727" xr:uid="{842CC69B-8945-409A-9269-61D7AE89AF4E}"/>
    <cellStyle name="20% - Accent2 4 2 2 2 5" xfId="28400" xr:uid="{8FEC59C4-B5EE-42C4-8F20-4105AC3DE2F3}"/>
    <cellStyle name="20% - Accent2 4 2 2 2 5 2" xfId="26921" xr:uid="{EA75C2E8-AB3E-49FD-899A-7CFC40553871}"/>
    <cellStyle name="20% - Accent2 4 2 2 2 6" xfId="28398" xr:uid="{8DCE2386-C007-4BAB-9AB6-1C209AB83AE5}"/>
    <cellStyle name="20% - Accent2 4 2 2 3" xfId="32293" xr:uid="{67976E41-5792-4489-AF7C-5DF8421DF6E1}"/>
    <cellStyle name="20% - Accent2 4 2 2 3 2" xfId="22025" xr:uid="{5E3CFFF1-C8A3-468E-98C2-9B12E2C76AD5}"/>
    <cellStyle name="20% - Accent2 4 2 2 3 2 2" xfId="24571" xr:uid="{16432EE3-6548-4E5B-81E0-D2853303CDCE}"/>
    <cellStyle name="20% - Accent2 4 2 2 3 2 2 2" xfId="8625" xr:uid="{554A8A73-B5D8-40FF-AF60-9F8D53B38FA5}"/>
    <cellStyle name="20% - Accent2 4 2 2 3 2 2 2 2" xfId="21459" xr:uid="{E9231019-6F9D-4E11-B9B2-63113CC837D2}"/>
    <cellStyle name="20% - Accent2 4 2 2 3 2 2 3" xfId="8619" xr:uid="{49D53767-7E4F-4DE1-914D-6F90EEEC9213}"/>
    <cellStyle name="20% - Accent2 4 2 2 3 2 3" xfId="23114" xr:uid="{18C5B706-5CFB-4487-BBE7-7F9622266F64}"/>
    <cellStyle name="20% - Accent2 4 2 2 3 2 3 2" xfId="8605" xr:uid="{DBFBD886-9AEA-4F32-9D07-79C304E57C7D}"/>
    <cellStyle name="20% - Accent2 4 2 2 3 2 4" xfId="26033" xr:uid="{795B40EA-2F1A-4EFD-928C-215F2C05BC09}"/>
    <cellStyle name="20% - Accent2 4 2 2 3 3" xfId="28384" xr:uid="{2FE518C3-5A93-4B82-A744-39CFF822788C}"/>
    <cellStyle name="20% - Accent2 4 2 2 3 3 2" xfId="28383" xr:uid="{9268BC9C-F8B9-4617-A713-9484CD575F6D}"/>
    <cellStyle name="20% - Accent2 4 2 2 3 3 2 2" xfId="8585" xr:uid="{36FFB1F1-CE9F-48B0-B3B7-FD7FEA7199B2}"/>
    <cellStyle name="20% - Accent2 4 2 2 3 3 3" xfId="28381" xr:uid="{4FA698EE-CD23-4886-8D00-5FCB5FF3D45F}"/>
    <cellStyle name="20% - Accent2 4 2 2 3 4" xfId="6210" xr:uid="{BEAEF61A-3D46-4774-89F8-087587210D84}"/>
    <cellStyle name="20% - Accent2 4 2 2 3 4 2" xfId="28376" xr:uid="{78A25716-B8CE-4BC5-8D88-ED65C4A138D7}"/>
    <cellStyle name="20% - Accent2 4 2 2 3 5" xfId="25894" xr:uid="{5406550B-BF01-430C-9A7B-6B0EC7371665}"/>
    <cellStyle name="20% - Accent2 4 2 2 4" xfId="29523" xr:uid="{846FF049-14E8-4C32-92C2-D88B4F992BB2}"/>
    <cellStyle name="20% - Accent2 4 2 2 4 2" xfId="16912" xr:uid="{963DDABE-DBF0-4C7F-9B2F-FA9359E3E8D6}"/>
    <cellStyle name="20% - Accent2 4 2 2 4 2 2" xfId="16907" xr:uid="{9A5E28CD-1440-48E0-A60A-C4003D7D11F3}"/>
    <cellStyle name="20% - Accent2 4 2 2 4 2 2 2" xfId="8506" xr:uid="{B60DBE19-B949-402A-9CA0-5A62800C5070}"/>
    <cellStyle name="20% - Accent2 4 2 2 4 2 3" xfId="20088" xr:uid="{C75EE1A8-FB01-4E4D-807A-8285776CE387}"/>
    <cellStyle name="20% - Accent2 4 2 2 4 3" xfId="16905" xr:uid="{85ACAFC5-5B86-49BD-A00A-69AD18456C34}"/>
    <cellStyle name="20% - Accent2 4 2 2 4 3 2" xfId="20061" xr:uid="{FEFA78FD-96FF-473A-A5FE-32E6A216ED14}"/>
    <cellStyle name="20% - Accent2 4 2 2 4 4" xfId="27803" xr:uid="{2A3FCE1B-B826-43BA-8F8F-226C466B9E2B}"/>
    <cellStyle name="20% - Accent2 4 2 2 5" xfId="28357" xr:uid="{3182CFC0-8B97-4808-AF4B-18EB153D3C15}"/>
    <cellStyle name="20% - Accent2 4 2 2 5 2" xfId="16896" xr:uid="{A9E609CE-42D5-4EC2-AC6E-51292EEBE285}"/>
    <cellStyle name="20% - Accent2 4 2 2 5 2 2" xfId="28354" xr:uid="{506A90D4-BAF8-49E8-952C-D0C2FCC1790E}"/>
    <cellStyle name="20% - Accent2 4 2 2 5 3" xfId="27788" xr:uid="{F07EF645-ED8F-4395-849F-9921FFCF2AD1}"/>
    <cellStyle name="20% - Accent2 4 2 2 6" xfId="27780" xr:uid="{E889C0C5-BA1A-4B17-99D9-6E7CFE85C4C7}"/>
    <cellStyle name="20% - Accent2 4 2 2 6 2" xfId="27768" xr:uid="{77E8790C-3B1E-481F-98C0-43BD46349B64}"/>
    <cellStyle name="20% - Accent2 4 2 2 7" xfId="28349" xr:uid="{83A2BB5F-B36D-49A1-B51D-F5352FDDDCA2}"/>
    <cellStyle name="20% - Accent2 4 2 3" xfId="28201" xr:uid="{0F614259-FD97-4CFA-8730-4E1FD6B2FB0B}"/>
    <cellStyle name="20% - Accent2 4 2 3 2" xfId="32291" xr:uid="{8C2EEA8A-DF90-43B7-9588-D210591C419E}"/>
    <cellStyle name="20% - Accent2 4 2 3 2 2" xfId="22023" xr:uid="{C06157C8-F337-432C-ACDD-58508BD3BB94}"/>
    <cellStyle name="20% - Accent2 4 2 3 2 2 2" xfId="10744" xr:uid="{78C7D799-FAEC-47D0-A694-BDBEC6D6B7A5}"/>
    <cellStyle name="20% - Accent2 4 2 3 2 2 2 2" xfId="28343" xr:uid="{4BBF44EF-3DED-4D8C-B6D6-A268CA5E6BD8}"/>
    <cellStyle name="20% - Accent2 4 2 3 2 2 2 2 2" xfId="20454" xr:uid="{A14CE161-600B-4910-A96E-97C11D8BC6D3}"/>
    <cellStyle name="20% - Accent2 4 2 3 2 2 2 3" xfId="24930" xr:uid="{9E1EF775-1286-4352-B745-B768CD85F3F9}"/>
    <cellStyle name="20% - Accent2 4 2 3 2 2 3" xfId="10704" xr:uid="{8596FE82-4213-4195-80D3-98E8E988D985}"/>
    <cellStyle name="20% - Accent2 4 2 3 2 2 3 2" xfId="24917" xr:uid="{9C73C844-C51D-4576-8DEC-C7A5DE68DBB7}"/>
    <cellStyle name="20% - Accent2 4 2 3 2 2 4" xfId="13312" xr:uid="{50789EF2-3656-47C3-91D1-CDD3EE24D485}"/>
    <cellStyle name="20% - Accent2 4 2 3 2 3" xfId="27585" xr:uid="{B8A89A58-B8CC-4F4A-B1CB-40DBE1255CEF}"/>
    <cellStyle name="20% - Accent2 4 2 3 2 3 2" xfId="10660" xr:uid="{A41DA6E1-8B91-48B0-9015-B31B21E1A049}"/>
    <cellStyle name="20% - Accent2 4 2 3 2 3 2 2" xfId="25753" xr:uid="{A2EBF32B-689A-44B0-B0C7-A53D22755F41}"/>
    <cellStyle name="20% - Accent2 4 2 3 2 3 3" xfId="10628" xr:uid="{8D9E4E33-BE59-428A-AE17-776BA583ACC2}"/>
    <cellStyle name="20% - Accent2 4 2 3 2 4" xfId="27580" xr:uid="{A0B90ACC-AC49-4AD4-A548-22C4FA63BFC9}"/>
    <cellStyle name="20% - Accent2 4 2 3 2 4 2" xfId="10598" xr:uid="{3D36AC9E-2C89-4A95-A58A-BD56E95143DB}"/>
    <cellStyle name="20% - Accent2 4 2 3 2 5" xfId="25835" xr:uid="{66063387-FA94-4D9E-8C8F-7EEADF6EAC8C}"/>
    <cellStyle name="20% - Accent2 4 2 3 3" xfId="32287" xr:uid="{9DCCB189-65FD-4223-A34D-522AC616AA31}"/>
    <cellStyle name="20% - Accent2 4 2 3 3 2" xfId="28309" xr:uid="{8613C036-E8B5-414B-A9D6-114A79C52B59}"/>
    <cellStyle name="20% - Accent2 4 2 3 3 2 2" xfId="10467" xr:uid="{2D4A55AA-E8EC-41CE-8915-AB42EF5AA78B}"/>
    <cellStyle name="20% - Accent2 4 2 3 3 2 2 2" xfId="22124" xr:uid="{F789E401-4184-4AA2-A25E-64AE18DC7536}"/>
    <cellStyle name="20% - Accent2 4 2 3 3 2 3" xfId="10443" xr:uid="{B7D146ED-7405-4E8A-B682-52E53D81FBF1}"/>
    <cellStyle name="20% - Accent2 4 2 3 3 3" xfId="28301" xr:uid="{D815EFDD-D00D-4014-AFBE-84BA6E7FC834}"/>
    <cellStyle name="20% - Accent2 4 2 3 3 3 2" xfId="25829" xr:uid="{E8B498DF-429C-46C0-847C-D66EA7AB6C77}"/>
    <cellStyle name="20% - Accent2 4 2 3 3 4" xfId="17823" xr:uid="{7B360EF5-23E1-45B4-B4B2-2CFB875F1C98}"/>
    <cellStyle name="20% - Accent2 4 2 3 4" xfId="28285" xr:uid="{352A4D5D-8106-4A5F-843D-9820BC49AAF5}"/>
    <cellStyle name="20% - Accent2 4 2 3 4 2" xfId="16888" xr:uid="{E5418A3F-F2CD-479A-BF6A-FC69CE12F4AA}"/>
    <cellStyle name="20% - Accent2 4 2 3 4 2 2" xfId="12029" xr:uid="{F514AF34-C344-4F41-B1A6-58BB565EBB51}"/>
    <cellStyle name="20% - Accent2 4 2 3 4 3" xfId="26292" xr:uid="{9BD7B4F1-BBAA-4F58-A0EF-91FF28014A94}"/>
    <cellStyle name="20% - Accent2 4 2 3 5" xfId="27738" xr:uid="{C622A443-3348-4108-AF65-5456C5C4928E}"/>
    <cellStyle name="20% - Accent2 4 2 3 5 2" xfId="33054" xr:uid="{0BC5BAE1-F8C2-458E-A466-780D966F6AD0}"/>
    <cellStyle name="20% - Accent2 4 2 3 6" xfId="27732" xr:uid="{762BA7BA-C9D8-4A82-B4A4-FAF7E05A9CD5}"/>
    <cellStyle name="20% - Accent2 4 2 4" xfId="21196" xr:uid="{EF0FED9C-0139-4F0D-B542-04CD553313BB}"/>
    <cellStyle name="20% - Accent2 4 2 4 2" xfId="26227" xr:uid="{C16E438D-F007-4696-B397-8746E1CE0C94}"/>
    <cellStyle name="20% - Accent2 4 2 4 2 2" xfId="27524" xr:uid="{7E502FB6-907A-4418-B400-E7A23A6CFCE3}"/>
    <cellStyle name="20% - Accent2 4 2 4 2 2 2" xfId="14226" xr:uid="{A6311138-DC9E-4669-8E63-36A88F41BB41}"/>
    <cellStyle name="20% - Accent2 4 2 4 2 2 2 2" xfId="25044" xr:uid="{76ED7FAA-62C1-45F0-952B-62AFFCE234FE}"/>
    <cellStyle name="20% - Accent2 4 2 4 2 2 3" xfId="9740" xr:uid="{966E19F7-C73E-4486-B863-A8E7FF89FCD1}"/>
    <cellStyle name="20% - Accent2 4 2 4 2 3" xfId="27515" xr:uid="{0E4FE1E9-7EDE-447B-920E-C1DE11684C6B}"/>
    <cellStyle name="20% - Accent2 4 2 4 2 3 2" xfId="9703" xr:uid="{B5D4F056-A7CE-45D6-85B0-93C39A2262E6}"/>
    <cellStyle name="20% - Accent2 4 2 4 2 4" xfId="25823" xr:uid="{C6F47B98-B544-4C43-A8A8-DA3DD993BAD1}"/>
    <cellStyle name="20% - Accent2 4 2 4 3" xfId="25296" xr:uid="{375AF462-4526-4972-B769-0F0560DCDCDE}"/>
    <cellStyle name="20% - Accent2 4 2 4 3 2" xfId="28273" xr:uid="{36C688A8-A8B7-4D4D-85D1-400B1DF51283}"/>
    <cellStyle name="20% - Accent2 4 2 4 3 2 2" xfId="9625" xr:uid="{F9DA684B-5F9C-4931-AA38-B0174ABFEAB4}"/>
    <cellStyle name="20% - Accent2 4 2 4 3 3" xfId="25817" xr:uid="{96FEF1CA-61E0-4290-9A4C-E183D5C6E68C}"/>
    <cellStyle name="20% - Accent2 4 2 4 4" xfId="27724" xr:uid="{307B0BD3-6070-43D2-911D-C2E3B3DDBE92}"/>
    <cellStyle name="20% - Accent2 4 2 4 4 2" xfId="10390" xr:uid="{C8F000F9-3BB6-4B9D-831A-272F36977975}"/>
    <cellStyle name="20% - Accent2 4 2 4 5" xfId="27704" xr:uid="{08FCA8D2-9F7A-4225-96C7-A70B621DC648}"/>
    <cellStyle name="20% - Accent2 4 2 5" xfId="26223" xr:uid="{4C1A155F-E18B-49E6-942D-42C3D87F22C8}"/>
    <cellStyle name="20% - Accent2 4 2 5 2" xfId="32760" xr:uid="{ABEFA791-D639-4382-AF49-D4372ECE234C}"/>
    <cellStyle name="20% - Accent2 4 2 5 2 2" xfId="27476" xr:uid="{3A637186-9574-46CD-BC20-AE4F676F7712}"/>
    <cellStyle name="20% - Accent2 4 2 5 2 2 2" xfId="11195" xr:uid="{D9139DC6-D9B1-4F44-BA2F-AA219775D1C5}"/>
    <cellStyle name="20% - Accent2 4 2 5 2 3" xfId="25810" xr:uid="{1A8E3954-CBDC-4F67-8C21-4D097900D93C}"/>
    <cellStyle name="20% - Accent2 4 2 5 3" xfId="33775" xr:uid="{9943662C-BA54-47C0-A51D-C78573932432}"/>
    <cellStyle name="20% - Accent2 4 2 5 3 2" xfId="27890" xr:uid="{1DB9C8D1-CA97-4FD3-9D9E-4AFBB9A13173}"/>
    <cellStyle name="20% - Accent2 4 2 5 4" xfId="23516" xr:uid="{4D1D19F8-B607-4D8A-A4A0-03B1540AE844}"/>
    <cellStyle name="20% - Accent2 4 2 6" xfId="33165" xr:uid="{9D365F55-D0BD-4D2F-9EDC-B269F7DC22DD}"/>
    <cellStyle name="20% - Accent2 4 2 6 2" xfId="33158" xr:uid="{14FCD558-2001-4D30-A8F4-A8583AB22B2F}"/>
    <cellStyle name="20% - Accent2 4 2 6 2 2" xfId="28261" xr:uid="{72AE0FFB-392E-4B10-BF76-50F1566ECBD1}"/>
    <cellStyle name="20% - Accent2 4 2 6 3" xfId="22997" xr:uid="{DBB5266C-8DFF-4482-8E82-2F555D100654}"/>
    <cellStyle name="20% - Accent2 4 2 7" xfId="33146" xr:uid="{A556DC6F-2077-4232-9797-8B5114316F0A}"/>
    <cellStyle name="20% - Accent2 4 2 7 2" xfId="33141" xr:uid="{C3E2AF8C-A13D-424F-98B2-DB38289CF356}"/>
    <cellStyle name="20% - Accent2 4 2 8" xfId="33133" xr:uid="{0C792125-8219-4981-B603-2B992ED335E2}"/>
    <cellStyle name="20% - Accent2 4 2 9" xfId="34564" xr:uid="{F3171CA3-31CD-4816-B3C6-1492BA379EE2}"/>
    <cellStyle name="20% - Accent2 4 3" xfId="32692" xr:uid="{D9F64892-AA7E-4C6A-BB78-92B54B0D92BE}"/>
    <cellStyle name="20% - Accent2 4 3 2" xfId="26284" xr:uid="{C753FDF0-96B5-43EF-BC5D-BC8B08DCD6F2}"/>
    <cellStyle name="20% - Accent2 4 3 2 2" xfId="32279" xr:uid="{85E59A00-F7EF-4595-98A8-9C0DB123FDAD}"/>
    <cellStyle name="20% - Accent2 4 3 2 2 2" xfId="22008" xr:uid="{23506B81-7EF0-49F4-91AE-9A7778FBCDD4}"/>
    <cellStyle name="20% - Accent2 4 3 2 2 2 2" xfId="24441" xr:uid="{866DCE8D-903A-4E1D-B600-413F7B63CB24}"/>
    <cellStyle name="20% - Accent2 4 3 2 2 2 2 2" xfId="18011" xr:uid="{7C17C9E5-0F05-44D9-AADA-77791E2B5E88}"/>
    <cellStyle name="20% - Accent2 4 3 2 2 2 2 2 2" xfId="19835" xr:uid="{F9085353-D230-41BA-BCA3-5FEEDD5BD924}"/>
    <cellStyle name="20% - Accent2 4 3 2 2 2 2 3" xfId="19173" xr:uid="{34DC7804-279B-4325-B2FB-2174051F11D4}"/>
    <cellStyle name="20% - Accent2 4 3 2 2 2 3" xfId="26371" xr:uid="{4A0F2AFC-EE43-4DBD-9360-CB755C9BB00E}"/>
    <cellStyle name="20% - Accent2 4 3 2 2 2 3 2" xfId="25773" xr:uid="{ADC4662C-3962-4C64-A1B9-B824D1712A34}"/>
    <cellStyle name="20% - Accent2 4 3 2 2 2 4" xfId="25846" xr:uid="{AA9FFEF2-72E1-4A3B-9BBC-80CA44D898EB}"/>
    <cellStyle name="20% - Accent2 4 3 2 2 3" xfId="31521" xr:uid="{2FF8470E-E2CB-459D-9ECA-30C2220A9AF9}"/>
    <cellStyle name="20% - Accent2 4 3 2 2 3 2" xfId="28235" xr:uid="{9AE755B2-A3A4-438B-A39C-2ECE60D4C482}"/>
    <cellStyle name="20% - Accent2 4 3 2 2 3 2 2" xfId="26503" xr:uid="{653EC833-E1AB-4508-9D48-49A19AB0D675}"/>
    <cellStyle name="20% - Accent2 4 3 2 2 3 3" xfId="34132" xr:uid="{8677FD1F-6BE6-48B4-85ED-C40DEBF09677}"/>
    <cellStyle name="20% - Accent2 4 3 2 2 4" xfId="28233" xr:uid="{A558A434-57E3-4F78-85FE-CD4DF36D8972}"/>
    <cellStyle name="20% - Accent2 4 3 2 2 4 2" xfId="32834" xr:uid="{63C8D41D-1055-4B4B-A3EE-BCD98005463D}"/>
    <cellStyle name="20% - Accent2 4 3 2 2 5" xfId="26596" xr:uid="{84CD7682-E933-486C-82B5-B3E765DA9AD3}"/>
    <cellStyle name="20% - Accent2 4 3 2 3" xfId="32528" xr:uid="{F3154F5C-2582-478B-A5AD-E96BF714D398}"/>
    <cellStyle name="20% - Accent2 4 3 2 3 2" xfId="28228" xr:uid="{12051FCF-8CA7-4292-AD72-407DB9165D9D}"/>
    <cellStyle name="20% - Accent2 4 3 2 3 2 2" xfId="33234" xr:uid="{63A04AEC-9805-4011-8377-B48E6E1B4D10}"/>
    <cellStyle name="20% - Accent2 4 3 2 3 2 2 2" xfId="26828" xr:uid="{AE06449E-33BA-4BB7-979C-E9ED20044EBD}"/>
    <cellStyle name="20% - Accent2 4 3 2 3 2 3" xfId="34126" xr:uid="{63406029-AF96-4CF8-8F83-7D5B24FFD788}"/>
    <cellStyle name="20% - Accent2 4 3 2 3 3" xfId="28226" xr:uid="{B2EAEE03-AA56-4CF8-98BD-6318F1A0662D}"/>
    <cellStyle name="20% - Accent2 4 3 2 3 3 2" xfId="28223" xr:uid="{1838B938-BE98-4081-9B78-4132EE77FB0A}"/>
    <cellStyle name="20% - Accent2 4 3 2 3 4" xfId="28221" xr:uid="{6E41AFB1-EC5E-4BA9-A640-8010C702C5AB}"/>
    <cellStyle name="20% - Accent2 4 3 2 4" xfId="28215" xr:uid="{EF1F24FE-EA84-4056-822B-2369F52BB686}"/>
    <cellStyle name="20% - Accent2 4 3 2 4 2" xfId="16855" xr:uid="{1F7C8E76-4970-47B7-A36B-6631456D2A6A}"/>
    <cellStyle name="20% - Accent2 4 3 2 4 2 2" xfId="19927" xr:uid="{ED60E74E-DA5D-4AAD-88C3-CBCACAB824D4}"/>
    <cellStyle name="20% - Accent2 4 3 2 4 3" xfId="27320" xr:uid="{4C9320F2-6F12-4EF4-90A2-4F133DEF2C86}"/>
    <cellStyle name="20% - Accent2 4 3 2 5" xfId="28212" xr:uid="{2F130C49-65B1-43D6-9325-4441C923C80A}"/>
    <cellStyle name="20% - Accent2 4 3 2 5 2" xfId="27316" xr:uid="{4E416087-1DEC-43C2-BF1B-3BCD7F966445}"/>
    <cellStyle name="20% - Accent2 4 3 2 6" xfId="28207" xr:uid="{090FFBC7-A1FD-4574-97D6-D7B65DC929B6}"/>
    <cellStyle name="20% - Accent2 4 3 3" xfId="26281" xr:uid="{5A355021-00B3-473D-8F17-5B0D5E0D4F6B}"/>
    <cellStyle name="20% - Accent2 4 3 3 2" xfId="32276" xr:uid="{C3F2992A-617C-42AD-8CAF-A93777D64CE8}"/>
    <cellStyle name="20% - Accent2 4 3 3 2 2" xfId="27427" xr:uid="{79DA26BC-0543-4FCA-9A39-61741E2F4BDC}"/>
    <cellStyle name="20% - Accent2 4 3 3 2 2 2" xfId="8279" xr:uid="{8936990D-7AE8-4B9F-AAF4-AD36FEEAD711}"/>
    <cellStyle name="20% - Accent2 4 3 3 2 2 2 2" xfId="28199" xr:uid="{50B38D03-5BE8-473E-A30F-FA31C414DC8B}"/>
    <cellStyle name="20% - Accent2 4 3 3 2 2 3" xfId="8261" xr:uid="{9CD581CD-012F-47CD-9541-65A8A8CF4A40}"/>
    <cellStyle name="20% - Accent2 4 3 3 2 3" xfId="26563" xr:uid="{7B911041-4544-4F52-99B8-D1C1348D8523}"/>
    <cellStyle name="20% - Accent2 4 3 3 2 3 2" xfId="8222" xr:uid="{3796DCFA-A357-4E8E-9C4B-F1F14BE0A721}"/>
    <cellStyle name="20% - Accent2 4 3 3 2 4" xfId="25803" xr:uid="{D9B6C0F6-AE30-4383-A411-57487C479EAD}"/>
    <cellStyle name="20% - Accent2 4 3 3 3" xfId="28193" xr:uid="{50573205-0CCF-4CC7-BD05-9CFF8AABF6C1}"/>
    <cellStyle name="20% - Accent2 4 3 3 3 2" xfId="28191" xr:uid="{639C6B2B-86E4-4760-A75A-64E9B0477947}"/>
    <cellStyle name="20% - Accent2 4 3 3 3 2 2" xfId="8114" xr:uid="{92D9D25D-9656-43DA-8D3C-1839C2B66C53}"/>
    <cellStyle name="20% - Accent2 4 3 3 3 3" xfId="25797" xr:uid="{A7D1C11A-EEE4-4DE3-A577-2CC2AC337401}"/>
    <cellStyle name="20% - Accent2 4 3 3 4" xfId="27304" xr:uid="{577FF816-B4A5-4500-AC5C-E4B4EDE0A56B}"/>
    <cellStyle name="20% - Accent2 4 3 3 4 2" xfId="27301" xr:uid="{58D3E6BD-5507-4619-9D8B-3F9231F55BE0}"/>
    <cellStyle name="20% - Accent2 4 3 3 5" xfId="27298" xr:uid="{81B2D86E-6C4E-445A-BDB4-44ADE6C67915}"/>
    <cellStyle name="20% - Accent2 4 3 4" xfId="20470" xr:uid="{C9D0E234-5644-4045-AD27-36ACCF8B4602}"/>
    <cellStyle name="20% - Accent2 4 3 4 2" xfId="32736" xr:uid="{1BAA4A1A-294E-48EE-9D2E-5025280C9662}"/>
    <cellStyle name="20% - Accent2 4 3 4 2 2" xfId="32687" xr:uid="{7F1A77CE-C915-427A-9811-2554D628F81B}"/>
    <cellStyle name="20% - Accent2 4 3 4 2 2 2" xfId="7674" xr:uid="{F7DCD2BA-B395-4374-8035-E14E23143859}"/>
    <cellStyle name="20% - Accent2 4 3 4 2 3" xfId="29728" xr:uid="{1EE48BB2-B930-4EA0-9B71-96D91111B4A6}"/>
    <cellStyle name="20% - Accent2 4 3 4 3" xfId="32114" xr:uid="{F2711765-2348-4D77-A025-76DC0BF16F41}"/>
    <cellStyle name="20% - Accent2 4 3 4 3 2" xfId="32777" xr:uid="{D5E9CE3A-9507-41FB-9024-5E2C04D5EDAA}"/>
    <cellStyle name="20% - Accent2 4 3 4 4" xfId="27287" xr:uid="{9194DC0F-5761-4040-86F7-DE7275FB1A65}"/>
    <cellStyle name="20% - Accent2 4 3 5" xfId="13400" xr:uid="{336A1C43-2CB9-4735-A28C-C544EC46FAD9}"/>
    <cellStyle name="20% - Accent2 4 3 5 2" xfId="32727" xr:uid="{EEE26EE5-ED17-4B36-866C-ACA575C1F10B}"/>
    <cellStyle name="20% - Accent2 4 3 5 2 2" xfId="22011" xr:uid="{123A81B3-29CC-422A-BB6C-1E93FC0307CD}"/>
    <cellStyle name="20% - Accent2 4 3 5 3" xfId="33630" xr:uid="{F07F986A-1778-4F92-A896-9EF1FF8BDAC5}"/>
    <cellStyle name="20% - Accent2 4 3 6" xfId="33313" xr:uid="{35C8854B-3577-4776-97A2-04F0A7E888CD}"/>
    <cellStyle name="20% - Accent2 4 3 6 2" xfId="33128" xr:uid="{55887762-2CD4-4400-B089-4508472E31E3}"/>
    <cellStyle name="20% - Accent2 4 3 7" xfId="33126" xr:uid="{A19120E1-A2D5-4286-B985-3265CE1CE915}"/>
    <cellStyle name="20% - Accent2 4 3 8" xfId="34784" xr:uid="{37411D92-6131-4038-B15F-9E79D73A5B69}"/>
    <cellStyle name="20% - Accent2 4 4" xfId="33245" xr:uid="{AC642BA8-6127-4656-82AA-781EDF282A75}"/>
    <cellStyle name="20% - Accent2 4 4 2" xfId="32271" xr:uid="{F3867B38-054A-4155-B895-84DE8B6EE5D8}"/>
    <cellStyle name="20% - Accent2 4 4 2 2" xfId="32263" xr:uid="{05BBA91C-8D6C-4D88-85C6-B4E4B1BBCC52}"/>
    <cellStyle name="20% - Accent2 4 4 2 2 2" xfId="28185" xr:uid="{D857F883-1533-414A-926F-1E818DE21756}"/>
    <cellStyle name="20% - Accent2 4 4 2 2 2 2" xfId="28183" xr:uid="{2F8A9846-3A4E-4336-86EF-8FB48DD63A13}"/>
    <cellStyle name="20% - Accent2 4 4 2 2 2 2 2" xfId="7555" xr:uid="{241C9BD4-941E-45C8-BD81-8FA5F3DF0BA9}"/>
    <cellStyle name="20% - Accent2 4 4 2 2 2 3" xfId="33874" xr:uid="{ED1F74F6-39E3-4AF1-BEFF-74AA5149CB7F}"/>
    <cellStyle name="20% - Accent2 4 4 2 2 3" xfId="28180" xr:uid="{B78972E1-6A41-418B-8226-0686A076BBA7}"/>
    <cellStyle name="20% - Accent2 4 4 2 2 3 2" xfId="28175" xr:uid="{111B45C6-BFAB-42EF-AB73-A4B742AF1356}"/>
    <cellStyle name="20% - Accent2 4 4 2 2 4" xfId="5341" xr:uid="{062F1607-4749-495E-810D-11CCA4CC8D4A}"/>
    <cellStyle name="20% - Accent2 4 4 2 3" xfId="28172" xr:uid="{4D6D822B-478A-4CA8-B9C5-75B117CFFD1F}"/>
    <cellStyle name="20% - Accent2 4 4 2 3 2" xfId="28169" xr:uid="{742D9BC4-45F3-4E0D-B363-3F0759DD4ECA}"/>
    <cellStyle name="20% - Accent2 4 4 2 3 2 2" xfId="28167" xr:uid="{A27D1B35-8AFF-4836-B0D8-2B01563950FA}"/>
    <cellStyle name="20% - Accent2 4 4 2 3 3" xfId="28164" xr:uid="{0861ABD3-1F2E-4D05-9034-4CC8E8FE07FF}"/>
    <cellStyle name="20% - Accent2 4 4 2 4" xfId="28162" xr:uid="{C822CED5-0CB2-4E36-967B-4321F47720B9}"/>
    <cellStyle name="20% - Accent2 4 4 2 4 2" xfId="34168" xr:uid="{F55AE96B-D0E2-4491-8D19-8314DAC18E2A}"/>
    <cellStyle name="20% - Accent2 4 4 2 5" xfId="28155" xr:uid="{B2426EE2-DBA1-4B50-B752-8340A58F9C26}"/>
    <cellStyle name="20% - Accent2 4 4 3" xfId="33701" xr:uid="{3BCA4258-61F0-456F-8DF7-0C2A3AFE3F33}"/>
    <cellStyle name="20% - Accent2 4 4 3 2" xfId="28151" xr:uid="{F40AE023-C0D0-49CE-87F7-365EAFF1FDA1}"/>
    <cellStyle name="20% - Accent2 4 4 3 2 2" xfId="22686" xr:uid="{A81E3D4D-6AA5-45D1-8E1F-1CC1649C1DBB}"/>
    <cellStyle name="20% - Accent2 4 4 3 2 2 2" xfId="6589" xr:uid="{0262BD1A-2BD0-45E5-928C-993E37A01874}"/>
    <cellStyle name="20% - Accent2 4 4 3 2 3" xfId="22682" xr:uid="{FA7C4B98-2690-47CE-AE40-D278460E683C}"/>
    <cellStyle name="20% - Accent2 4 4 3 3" xfId="28148" xr:uid="{BC05D1BB-3380-4549-9774-A28FC2710AB7}"/>
    <cellStyle name="20% - Accent2 4 4 3 3 2" xfId="28136" xr:uid="{CCC1A3B4-4E6D-49DF-88E3-BF9D25911981}"/>
    <cellStyle name="20% - Accent2 4 4 3 4" xfId="28134" xr:uid="{FA4DEE5A-3ED2-401C-B92D-ADAA1AE9DC28}"/>
    <cellStyle name="20% - Accent2 4 4 4" xfId="22662" xr:uid="{2C34B0BE-A9D4-44B4-BB0E-5DDF156DBA6C}"/>
    <cellStyle name="20% - Accent2 4 4 4 2" xfId="21016" xr:uid="{66B76F06-E92B-47A2-9BB1-662EDBCE3840}"/>
    <cellStyle name="20% - Accent2 4 4 4 2 2" xfId="22669" xr:uid="{8C4F63B3-E681-46EE-890A-95AE03CBD475}"/>
    <cellStyle name="20% - Accent2 4 4 4 3" xfId="19113" xr:uid="{1CED2A15-FF0C-48CF-9EBD-F4566797E663}"/>
    <cellStyle name="20% - Accent2 4 4 5" xfId="33326" xr:uid="{58F3B779-BC92-426F-84FF-953DB0054A27}"/>
    <cellStyle name="20% - Accent2 4 4 5 2" xfId="21005" xr:uid="{C835516D-6236-4993-8654-3CEA24321C89}"/>
    <cellStyle name="20% - Accent2 4 4 6" xfId="33093" xr:uid="{356127EA-ED02-44CC-9A8E-FE4C9C758FF0}"/>
    <cellStyle name="20% - Accent2 4 4 7" xfId="34981" xr:uid="{B90F12F3-0423-4AA4-8D68-B4E938C0681C}"/>
    <cellStyle name="20% - Accent2 4 5" xfId="32314" xr:uid="{2A348721-79DD-4ECF-A0C3-BE118FC8D004}"/>
    <cellStyle name="20% - Accent2 4 5 2" xfId="34069" xr:uid="{0A5D8ECA-35B7-497C-8D06-3E97E2F17F84}"/>
    <cellStyle name="20% - Accent2 4 5 2 2" xfId="31278" xr:uid="{DFC86A43-5E9E-467B-BE5B-418CAFF770E1}"/>
    <cellStyle name="20% - Accent2 4 5 2 2 2" xfId="29827" xr:uid="{8F6A0EF8-BF50-4B80-A3F3-4BA8B2BA5C9D}"/>
    <cellStyle name="20% - Accent2 4 5 2 2 2 2" xfId="28118" xr:uid="{92B64C21-22C1-498D-A634-9F27D91CDC31}"/>
    <cellStyle name="20% - Accent2 4 5 2 2 3" xfId="29823" xr:uid="{80ABDCB9-A76C-4083-8505-4340A27C234D}"/>
    <cellStyle name="20% - Accent2 4 5 2 3" xfId="29816" xr:uid="{5FC0351E-DAF8-48A7-A5B6-42AEF2EFAC07}"/>
    <cellStyle name="20% - Accent2 4 5 2 3 2" xfId="29812" xr:uid="{35A9EBBB-53A2-40CF-8FC7-11F12D63FDFB}"/>
    <cellStyle name="20% - Accent2 4 5 2 4" xfId="29802" xr:uid="{D60CEE54-9D9E-47FD-8DE5-56D7D8EF4070}"/>
    <cellStyle name="20% - Accent2 4 5 3" xfId="28116" xr:uid="{D6C4B450-ABC3-4164-86D9-444DE7BC4C13}"/>
    <cellStyle name="20% - Accent2 4 5 3 2" xfId="29780" xr:uid="{3058F9E7-39BC-4BC7-8188-08B3869C8D7D}"/>
    <cellStyle name="20% - Accent2 4 5 3 2 2" xfId="25337" xr:uid="{8E7F94C6-242C-419B-8272-443917D93760}"/>
    <cellStyle name="20% - Accent2 4 5 3 3" xfId="34100" xr:uid="{9D38C7E4-D49A-480B-AAC6-65E24876DEE2}"/>
    <cellStyle name="20% - Accent2 4 5 4" xfId="28112" xr:uid="{807A76CC-A035-4016-9AF4-6639664BF775}"/>
    <cellStyle name="20% - Accent2 4 5 4 2" xfId="5535" xr:uid="{5945D786-CEBB-4E70-A8B6-880C16DA1FF8}"/>
    <cellStyle name="20% - Accent2 4 5 5" xfId="21813" xr:uid="{F11E52E6-EBA4-4794-8D70-22053C667A04}"/>
    <cellStyle name="20% - Accent2 4 5 6" xfId="35186" xr:uid="{92E99CC1-A2F6-4938-95DA-DFB11194BED9}"/>
    <cellStyle name="20% - Accent2 4 6" xfId="24916" xr:uid="{93656A67-E531-4C2E-9DC0-181507E501C9}"/>
    <cellStyle name="20% - Accent2 4 6 2" xfId="17953" xr:uid="{3939A0B5-1FC2-47D8-9764-5406A8BE03C3}"/>
    <cellStyle name="20% - Accent2 4 6 2 2" xfId="29687" xr:uid="{E8DCF29D-492B-4589-BF47-9F003214A40E}"/>
    <cellStyle name="20% - Accent2 4 6 2 2 2" xfId="24782" xr:uid="{7AAF6941-5F4F-4C3D-A3AC-FB0CB9BAE7CD}"/>
    <cellStyle name="20% - Accent2 4 6 2 3" xfId="29593" xr:uid="{D8B24AB6-8BD2-4EA8-984F-2A6353B0498D}"/>
    <cellStyle name="20% - Accent2 4 6 3" xfId="28110" xr:uid="{7B284D17-0A0F-4DE2-86CD-A69A453BE632}"/>
    <cellStyle name="20% - Accent2 4 6 3 2" xfId="32537" xr:uid="{A6307285-C2FF-4F87-B06B-C8C2EE72A708}"/>
    <cellStyle name="20% - Accent2 4 6 4" xfId="28107" xr:uid="{C05D0ACC-0639-40F0-B103-55D29570D7A8}"/>
    <cellStyle name="20% - Accent2 4 6 5" xfId="35415" xr:uid="{3945901E-BFB2-484B-B25A-348B5EC00010}"/>
    <cellStyle name="20% - Accent2 4 7" xfId="8336" xr:uid="{E397CA83-D65D-425F-9FCC-374347D4CE39}"/>
    <cellStyle name="20% - Accent2 4 7 2" xfId="28098" xr:uid="{9C40016E-165D-463C-95AC-5B5E4C2EF2C9}"/>
    <cellStyle name="20% - Accent2 4 7 2 2" xfId="21260" xr:uid="{14648A5F-7285-4010-887E-4FF25A8E619B}"/>
    <cellStyle name="20% - Accent2 4 7 3" xfId="30903" xr:uid="{DEB78225-3E32-47B9-A054-6D3CCC5BCE13}"/>
    <cellStyle name="20% - Accent2 4 7 4" xfId="36287" xr:uid="{0DD75E4C-48D6-4AF8-9A68-8BFD73C04CAF}"/>
    <cellStyle name="20% - Accent2 4 8" xfId="17219" xr:uid="{63F16B52-4DB4-414F-AE75-14946D8E1AB8}"/>
    <cellStyle name="20% - Accent2 4 8 2" xfId="28094" xr:uid="{F261F346-333C-4278-A0CD-8C133A790121}"/>
    <cellStyle name="20% - Accent2 4 8 3" xfId="36573" xr:uid="{22127D9B-FA50-4E9B-8950-4E17A6AD4E93}"/>
    <cellStyle name="20% - Accent2 4 9" xfId="17212" xr:uid="{46DF09F9-D237-442D-96F5-0223B6C01438}"/>
    <cellStyle name="20% - Accent2 4 9 2" xfId="37458" xr:uid="{A513A6F8-4796-4442-B296-1A5D26F674D1}"/>
    <cellStyle name="20% - Accent2 40" xfId="36093" xr:uid="{B7975B59-9922-4BE9-836E-9691992CE927}"/>
    <cellStyle name="20% - Accent2 40 2" xfId="37262" xr:uid="{58F9578A-2E48-412B-A1FA-317E0FE4D041}"/>
    <cellStyle name="20% - Accent2 40 3" xfId="38160" xr:uid="{EBDA3998-99C9-4814-B359-62650B3812E9}"/>
    <cellStyle name="20% - Accent2 41" xfId="36113" xr:uid="{05B453DD-4890-476B-8149-0B8118B03E32}"/>
    <cellStyle name="20% - Accent2 41 2" xfId="37282" xr:uid="{4493825E-6BC4-4486-AEB6-7F3FBB4CD583}"/>
    <cellStyle name="20% - Accent2 41 3" xfId="38180" xr:uid="{5555B5E4-7920-47A4-A8D9-398D414728FF}"/>
    <cellStyle name="20% - Accent2 42" xfId="36133" xr:uid="{2771D66D-BE4E-42AC-87CC-FADA56FAE0BC}"/>
    <cellStyle name="20% - Accent2 42 2" xfId="37302" xr:uid="{0F3FACAE-FA8D-472B-8115-9AAC60DBBEEE}"/>
    <cellStyle name="20% - Accent2 42 3" xfId="38200" xr:uid="{582E3B02-6564-463C-8A96-6F8ABB208537}"/>
    <cellStyle name="20% - Accent2 43" xfId="36153" xr:uid="{0C95BEA7-D6F4-422B-8BE8-934885568137}"/>
    <cellStyle name="20% - Accent2 43 2" xfId="37322" xr:uid="{09EB39A1-2ECD-4878-A759-892A7BECBE9F}"/>
    <cellStyle name="20% - Accent2 43 3" xfId="38220" xr:uid="{2B7EA329-DC07-4357-ADDD-5DF43B3E0C29}"/>
    <cellStyle name="20% - Accent2 44" xfId="36173" xr:uid="{FFAFDD76-6F25-4CA7-AE30-FDDD9EF4592F}"/>
    <cellStyle name="20% - Accent2 44 2" xfId="37342" xr:uid="{ABD68632-FFBD-4ACF-804B-1FB4FCB52B38}"/>
    <cellStyle name="20% - Accent2 44 3" xfId="38240" xr:uid="{9FE0190F-8545-4BC7-A369-1BE10B25B873}"/>
    <cellStyle name="20% - Accent2 45" xfId="36193" xr:uid="{04CA682B-488F-4506-8F3C-92827B82BA83}"/>
    <cellStyle name="20% - Accent2 45 2" xfId="37362" xr:uid="{0666FE5F-163B-45F6-829E-CB226820582B}"/>
    <cellStyle name="20% - Accent2 45 3" xfId="38260" xr:uid="{923F9D35-E2F0-4613-9EBB-AF2972C0C940}"/>
    <cellStyle name="20% - Accent2 46" xfId="36213" xr:uid="{22563CBF-9571-4BCA-811B-696EFF293573}"/>
    <cellStyle name="20% - Accent2 46 2" xfId="37380" xr:uid="{3334114E-7824-4CB9-AA61-E50C055BCB88}"/>
    <cellStyle name="20% - Accent2 46 3" xfId="38280" xr:uid="{72E5012F-98E8-43BC-803D-B7026FDAA364}"/>
    <cellStyle name="20% - Accent2 47" xfId="36514" xr:uid="{C37C0CA5-106A-40C9-B4C3-BB43B9B1DD2A}"/>
    <cellStyle name="20% - Accent2 48" xfId="37399" xr:uid="{128F08D7-BC01-4237-84EC-CDE21CEA1F6F}"/>
    <cellStyle name="20% - Accent2 5" xfId="262" xr:uid="{58F90772-78C0-4B35-9629-FB5E38716AF6}"/>
    <cellStyle name="20% - Accent2 5 10" xfId="5965" xr:uid="{2AE1581D-305E-4FF0-B146-FB95531F7C60}"/>
    <cellStyle name="20% - Accent2 5 2" xfId="32676" xr:uid="{47998D42-2C1C-4C7F-83E7-68D0303B5F68}"/>
    <cellStyle name="20% - Accent2 5 2 2" xfId="29192" xr:uid="{294EE9E8-9BBD-41DB-A671-DA9D00418FD0}"/>
    <cellStyle name="20% - Accent2 5 2 2 2" xfId="21223" xr:uid="{5B4F35BA-3FFF-428F-845D-47F6A627378B}"/>
    <cellStyle name="20% - Accent2 5 2 2 2 2" xfId="21978" xr:uid="{B0F9238E-DBF5-4048-BF3D-9F2D3DF17A37}"/>
    <cellStyle name="20% - Accent2 5 2 2 2 2 2" xfId="24107" xr:uid="{408D2F19-9660-4B79-9AD0-EE78017838B8}"/>
    <cellStyle name="20% - Accent2 5 2 2 2 2 2 2" xfId="7000" xr:uid="{F27A0E9B-4E0D-4239-9D2B-0AC610EAFB1C}"/>
    <cellStyle name="20% - Accent2 5 2 2 2 2 2 2 2" xfId="13455" xr:uid="{0EA173CD-71EB-4BFE-A448-20ADE4874CC0}"/>
    <cellStyle name="20% - Accent2 5 2 2 2 2 2 3" xfId="6994" xr:uid="{4BD5466D-E1AC-4827-84AA-845385B2CCBB}"/>
    <cellStyle name="20% - Accent2 5 2 2 2 2 3" xfId="25300" xr:uid="{23CBCC31-3A23-4B86-8EE2-C92814F76D79}"/>
    <cellStyle name="20% - Accent2 5 2 2 2 2 3 2" xfId="6982" xr:uid="{980B9515-B496-4808-AB5A-6C6D74EB78D7}"/>
    <cellStyle name="20% - Accent2 5 2 2 2 2 4" xfId="25494" xr:uid="{154D3578-D847-43EB-AA34-DD80F1310F3D}"/>
    <cellStyle name="20% - Accent2 5 2 2 2 3" xfId="28318" xr:uid="{82B88E38-A582-4C46-A510-3C862DCF8856}"/>
    <cellStyle name="20% - Accent2 5 2 2 2 3 2" xfId="32854" xr:uid="{DB94B3DE-CA10-45E9-891F-2A927DD47FC4}"/>
    <cellStyle name="20% - Accent2 5 2 2 2 3 2 2" xfId="6951" xr:uid="{3AA54DC4-DD22-42C1-A033-E8DFD62B45F5}"/>
    <cellStyle name="20% - Accent2 5 2 2 2 3 3" xfId="28088" xr:uid="{AC471639-9D08-4ED8-9326-BDDE28A12A22}"/>
    <cellStyle name="20% - Accent2 5 2 2 2 4" xfId="28317" xr:uid="{07B711D4-F2F5-46CE-BFE4-981CD2DBBE45}"/>
    <cellStyle name="20% - Accent2 5 2 2 2 4 2" xfId="8626" xr:uid="{49CA68E7-1914-41E6-9910-9801B5640AA8}"/>
    <cellStyle name="20% - Accent2 5 2 2 2 5" xfId="28086" xr:uid="{66E65166-C525-4318-A470-CD2EF5D2BF66}"/>
    <cellStyle name="20% - Accent2 5 2 2 3" xfId="32223" xr:uid="{2718D575-69C8-47DD-8179-CFAE64630D67}"/>
    <cellStyle name="20% - Accent2 5 2 2 3 2" xfId="7712" xr:uid="{421DF92A-C5B0-49F5-83AF-1E617E460BEA}"/>
    <cellStyle name="20% - Accent2 5 2 2 3 2 2" xfId="5818" xr:uid="{5E0D1A8A-7C61-4F1E-9370-60AEDA0047A8}"/>
    <cellStyle name="20% - Accent2 5 2 2 3 2 2 2" xfId="6844" xr:uid="{2414DA02-C543-4DB9-B321-E25458D2A4D8}"/>
    <cellStyle name="20% - Accent2 5 2 2 3 2 3" xfId="5815" xr:uid="{ACACFB65-9309-49A3-AF41-16D57D051347}"/>
    <cellStyle name="20% - Accent2 5 2 2 3 3" xfId="7707" xr:uid="{23A5E98B-5170-4496-8829-D866D589CA7B}"/>
    <cellStyle name="20% - Accent2 5 2 2 3 3 2" xfId="5813" xr:uid="{F042250D-33CC-468A-995A-1EE7DCCBBA25}"/>
    <cellStyle name="20% - Accent2 5 2 2 3 4" xfId="6031" xr:uid="{0E3CDF5F-4B1E-4023-BF17-1A1015F5DAF2}"/>
    <cellStyle name="20% - Accent2 5 2 2 4" xfId="13216" xr:uid="{34C33BFB-784A-4C79-85B5-4622D14860A9}"/>
    <cellStyle name="20% - Accent2 5 2 2 4 2" xfId="13210" xr:uid="{E8F6FCF5-4A33-4B5C-9D78-6FEBF0867514}"/>
    <cellStyle name="20% - Accent2 5 2 2 4 2 2" xfId="17532" xr:uid="{817C5E9C-990F-4A68-ADF5-2B7DA948E291}"/>
    <cellStyle name="20% - Accent2 5 2 2 4 3" xfId="13194" xr:uid="{1BB59BC9-2964-4844-AE97-C58542DA793F}"/>
    <cellStyle name="20% - Accent2 5 2 2 5" xfId="19580" xr:uid="{F775C9F4-1411-4B87-ABD1-6ED5C4A7DA48}"/>
    <cellStyle name="20% - Accent2 5 2 2 5 2" xfId="13181" xr:uid="{1913B2C6-3C8C-4C8B-BA8E-9094CCFBF09F}"/>
    <cellStyle name="20% - Accent2 5 2 2 6" xfId="12866" xr:uid="{2C153C57-B6E6-4AC5-BFFD-D808DD0588D3}"/>
    <cellStyle name="20% - Accent2 5 2 3" xfId="33861" xr:uid="{24CC9EFE-0D5F-403F-9120-0177DBD5D50F}"/>
    <cellStyle name="20% - Accent2 5 2 3 2" xfId="32142" xr:uid="{863A3A90-8918-48D4-9BF1-9264386F27F3}"/>
    <cellStyle name="20% - Accent2 5 2 3 2 2" xfId="23566" xr:uid="{6F8BB37C-5642-43A5-A3EF-BE02C7E13991}"/>
    <cellStyle name="20% - Accent2 5 2 3 2 2 2" xfId="28050" xr:uid="{248325BB-4428-4B48-B010-0583892B04B3}"/>
    <cellStyle name="20% - Accent2 5 2 3 2 2 2 2" xfId="32244" xr:uid="{9849DD39-1F42-41E3-9D08-73D8C542B08C}"/>
    <cellStyle name="20% - Accent2 5 2 3 2 2 3" xfId="28044" xr:uid="{87FAE491-E829-47EF-B99E-844CA29E665E}"/>
    <cellStyle name="20% - Accent2 5 2 3 2 3" xfId="23558" xr:uid="{9CF28B44-3B20-4843-A671-CC967B1E35FE}"/>
    <cellStyle name="20% - Accent2 5 2 3 2 3 2" xfId="28043" xr:uid="{BB11F5E7-0578-4A1C-951A-A7E4D003DFF7}"/>
    <cellStyle name="20% - Accent2 5 2 3 2 4" xfId="25447" xr:uid="{4D253B76-BDFE-4AAD-948E-D75E7284649A}"/>
    <cellStyle name="20% - Accent2 5 2 3 3" xfId="5811" xr:uid="{2A32A98B-CE43-43D4-9FB0-0E7261BBFCA1}"/>
    <cellStyle name="20% - Accent2 5 2 3 3 2" xfId="7698" xr:uid="{65F28E1A-C882-4B8F-81F7-05E06FE7693B}"/>
    <cellStyle name="20% - Accent2 5 2 3 3 2 2" xfId="14554" xr:uid="{BF156CB0-4ACB-4B1B-B751-20EE3F2B105D}"/>
    <cellStyle name="20% - Accent2 5 2 3 3 3" xfId="25441" xr:uid="{E5356A55-A14E-4617-BFE0-47DDA9656B8C}"/>
    <cellStyle name="20% - Accent2 5 2 3 4" xfId="13155" xr:uid="{2DCB67E4-5A21-4278-8993-E3C64BD82A56}"/>
    <cellStyle name="20% - Accent2 5 2 3 4 2" xfId="13153" xr:uid="{60A97E97-D2C6-47D7-8571-6D7EA7DD0F9A}"/>
    <cellStyle name="20% - Accent2 5 2 3 5" xfId="13142" xr:uid="{3644E711-DA51-4B93-80BF-1001CC935026}"/>
    <cellStyle name="20% - Accent2 5 2 4" xfId="23979" xr:uid="{577B8953-EE4F-4AF9-A0A0-756509E62632}"/>
    <cellStyle name="20% - Accent2 5 2 4 2" xfId="32702" xr:uid="{F6313EC8-DA94-4EBF-8171-CF3D8954DF08}"/>
    <cellStyle name="20% - Accent2 5 2 4 2 2" xfId="23545" xr:uid="{6B6EF9D8-F8DA-4DEA-992D-F1F2918E3524}"/>
    <cellStyle name="20% - Accent2 5 2 4 2 2 2" xfId="28028" xr:uid="{BA71AB09-D411-4050-9390-CD3D69F31FD8}"/>
    <cellStyle name="20% - Accent2 5 2 4 2 3" xfId="25437" xr:uid="{49313681-6DF0-4973-82AD-2FA66CC2C390}"/>
    <cellStyle name="20% - Accent2 5 2 4 3" xfId="5809" xr:uid="{B8929E9B-BB6B-4CE9-B21E-30736DCD9605}"/>
    <cellStyle name="20% - Accent2 5 2 4 3 2" xfId="6421" xr:uid="{F016019A-74E6-45AA-B8B6-AAEB51A0AF1C}"/>
    <cellStyle name="20% - Accent2 5 2 4 4" xfId="13122" xr:uid="{84E57A73-9584-4A9B-BC0E-A8E5DB14A681}"/>
    <cellStyle name="20% - Accent2 5 2 5" xfId="16779" xr:uid="{3E31E99A-67D0-4FAA-9403-036445EB3CE4}"/>
    <cellStyle name="20% - Accent2 5 2 5 2" xfId="32682" xr:uid="{703D60E1-3E03-4E80-88AB-97A3E8F0AE7C}"/>
    <cellStyle name="20% - Accent2 5 2 5 2 2" xfId="21020" xr:uid="{FFC7D556-B8DA-4FE3-BEE6-45BCBFD8428E}"/>
    <cellStyle name="20% - Accent2 5 2 5 3" xfId="17375" xr:uid="{947B3BE4-3BEE-478A-9F63-72E60CC03536}"/>
    <cellStyle name="20% - Accent2 5 2 6" xfId="20055" xr:uid="{7B0F3686-F6D2-4B74-9467-EC17F9BDEFAB}"/>
    <cellStyle name="20% - Accent2 5 2 6 2" xfId="33043" xr:uid="{1BEC0D8D-7DC6-4D8B-9E7C-050B95FD73F0}"/>
    <cellStyle name="20% - Accent2 5 2 7" xfId="20047" xr:uid="{20015EF5-4D2B-470F-B6A8-4EFC87F42BA7}"/>
    <cellStyle name="20% - Accent2 5 2 8" xfId="34798" xr:uid="{24F4C398-6A73-496B-925B-7EDFAE742011}"/>
    <cellStyle name="20% - Accent2 5 3" xfId="32652" xr:uid="{5C69D762-56FF-4AF4-81DB-16E1BACC4112}"/>
    <cellStyle name="20% - Accent2 5 3 2" xfId="26277" xr:uid="{849E6186-1C83-4548-8FC4-307A6877B6AF}"/>
    <cellStyle name="20% - Accent2 5 3 2 2" xfId="32132" xr:uid="{946B1086-7324-4806-A9A9-2CE39B34A190}"/>
    <cellStyle name="20% - Accent2 5 3 2 2 2" xfId="28021" xr:uid="{9AAA1D22-3FCB-452C-B84A-DC37DC2BA01B}"/>
    <cellStyle name="20% - Accent2 5 3 2 2 2 2" xfId="28019" xr:uid="{07508DCF-AFDC-4D54-818A-99C6D077F6B5}"/>
    <cellStyle name="20% - Accent2 5 3 2 2 2 2 2" xfId="7274" xr:uid="{7F92DFF3-55BA-4066-9F2E-60E63F4EB784}"/>
    <cellStyle name="20% - Accent2 5 3 2 2 2 3" xfId="32330" xr:uid="{A24223BE-199A-4AE9-B00D-3847E8D66BC0}"/>
    <cellStyle name="20% - Accent2 5 3 2 2 3" xfId="28275" xr:uid="{8E4490C0-2BCB-4FDB-A802-50C02E1F6E69}"/>
    <cellStyle name="20% - Accent2 5 3 2 2 3 2" xfId="19514" xr:uid="{4007A1D2-0638-4069-A1A2-B971BF4FA223}"/>
    <cellStyle name="20% - Accent2 5 3 2 2 4" xfId="33498" xr:uid="{771EEFD9-C3A0-4B69-B330-E1CD17C9C849}"/>
    <cellStyle name="20% - Accent2 5 3 2 3" xfId="5806" xr:uid="{D4675A1A-59BD-4E42-ACBB-110CAC57CEF6}"/>
    <cellStyle name="20% - Accent2 5 3 2 3 2" xfId="23440" xr:uid="{7EB59809-1FF6-419F-B364-BAAEB2969113}"/>
    <cellStyle name="20% - Accent2 5 3 2 3 2 2" xfId="5803" xr:uid="{A53382F2-B34E-46BF-A935-07602C8E9433}"/>
    <cellStyle name="20% - Accent2 5 3 2 3 3" xfId="5800" xr:uid="{FA3B070C-A676-4EEE-B825-D288E2025594}"/>
    <cellStyle name="20% - Accent2 5 3 2 4" xfId="12937" xr:uid="{BB7E44D9-BD0D-4B01-913A-43F176E6CF26}"/>
    <cellStyle name="20% - Accent2 5 3 2 4 2" xfId="32714" xr:uid="{C06232DC-7619-4870-833E-59BA86E5E745}"/>
    <cellStyle name="20% - Accent2 5 3 2 5" xfId="12926" xr:uid="{B00AD562-517C-424D-89FD-266FE7DD055F}"/>
    <cellStyle name="20% - Accent2 5 3 3" xfId="30109" xr:uid="{ACACB93F-52EA-4779-8C39-83CADB54E472}"/>
    <cellStyle name="20% - Accent2 5 3 3 2" xfId="27997" xr:uid="{9900D00C-32DB-4DCB-A3A7-048DD34F88D0}"/>
    <cellStyle name="20% - Accent2 5 3 3 2 2" xfId="23515" xr:uid="{E5A1CD54-CE9C-4DF5-A309-09238E0545C4}"/>
    <cellStyle name="20% - Accent2 5 3 3 2 2 2" xfId="27995" xr:uid="{A3515514-0AA0-4C2A-A9AE-EAA2304860D6}"/>
    <cellStyle name="20% - Accent2 5 3 3 2 3" xfId="27990" xr:uid="{5A9BCF01-7156-4EB1-B4E8-C67ECBF4DD8D}"/>
    <cellStyle name="20% - Accent2 5 3 3 3" xfId="5797" xr:uid="{29AC55FB-E616-4CC6-BB7C-E42B3F8EB0E8}"/>
    <cellStyle name="20% - Accent2 5 3 3 3 2" xfId="5794" xr:uid="{3CC7933C-1653-4F69-A6A5-E6C5EA2AF04B}"/>
    <cellStyle name="20% - Accent2 5 3 3 4" xfId="12913" xr:uid="{A0B4D2FC-A411-4E30-8123-1970A37B4D68}"/>
    <cellStyle name="20% - Accent2 5 3 4" xfId="20315" xr:uid="{7615C56C-F745-4370-B5AD-35932154D065}"/>
    <cellStyle name="20% - Accent2 5 3 4 2" xfId="32663" xr:uid="{EF82EC74-CA1A-4FA9-9A92-CDF13EDA745F}"/>
    <cellStyle name="20% - Accent2 5 3 4 2 2" xfId="33982" xr:uid="{34243AE9-B7A8-48C2-9D76-CCD7A9986682}"/>
    <cellStyle name="20% - Accent2 5 3 4 3" xfId="5790" xr:uid="{3616DA52-2D4D-4F7F-BFC2-F28F2DF430E0}"/>
    <cellStyle name="20% - Accent2 5 3 5" xfId="16767" xr:uid="{75CADB14-4E6F-41AC-A254-DEFE57A1BCC2}"/>
    <cellStyle name="20% - Accent2 5 3 5 2" xfId="33934" xr:uid="{520099EE-2780-4FA0-A27F-A8130DE85C64}"/>
    <cellStyle name="20% - Accent2 5 3 6" xfId="28071" xr:uid="{E461B8BB-DC39-440D-A70C-27155AC214B1}"/>
    <cellStyle name="20% - Accent2 5 3 7" xfId="35000" xr:uid="{1CB5CF09-7130-4A17-AB68-732A773120D3}"/>
    <cellStyle name="20% - Accent2 5 4" xfId="32643" xr:uid="{F55F6E94-954B-4FAB-8A9B-6ED54CF84339}"/>
    <cellStyle name="20% - Accent2 5 4 2" xfId="32637" xr:uid="{43E348DA-380A-45EB-8899-FB034C8256C6}"/>
    <cellStyle name="20% - Accent2 5 4 2 2" xfId="27986" xr:uid="{D196D336-7DD7-410C-BA87-414ABD669C1C}"/>
    <cellStyle name="20% - Accent2 5 4 2 2 2" xfId="28423" xr:uid="{41FD4120-BF6D-462C-B1A5-DB31B5A74C63}"/>
    <cellStyle name="20% - Accent2 5 4 2 2 2 2" xfId="27983" xr:uid="{356B284E-69B4-4A6B-8A79-F73DB47F819E}"/>
    <cellStyle name="20% - Accent2 5 4 2 2 3" xfId="27980" xr:uid="{DB020D7E-E261-4255-AD1D-FA8513B736B7}"/>
    <cellStyle name="20% - Accent2 5 4 2 3" xfId="27978" xr:uid="{EAF509DE-9696-414D-9845-DE7ACB143CAE}"/>
    <cellStyle name="20% - Accent2 5 4 2 3 2" xfId="27971" xr:uid="{D82AD580-90F5-456B-8FDF-7632F8EBA78F}"/>
    <cellStyle name="20% - Accent2 5 4 2 4" xfId="27967" xr:uid="{107B1633-982F-4D03-8E62-695670B5D9FE}"/>
    <cellStyle name="20% - Accent2 5 4 3" xfId="27963" xr:uid="{46F6F546-0897-4898-92A4-90FC5CAC92B7}"/>
    <cellStyle name="20% - Accent2 5 4 3 2" xfId="27959" xr:uid="{31CE9429-75A8-46BC-A642-4B8D45C955BF}"/>
    <cellStyle name="20% - Accent2 5 4 3 2 2" xfId="22534" xr:uid="{E23F2577-DF9A-44C8-8C27-FF5962019DB4}"/>
    <cellStyle name="20% - Accent2 5 4 3 3" xfId="25341" xr:uid="{774D8591-9424-42CE-885C-68C9ABD775EE}"/>
    <cellStyle name="20% - Accent2 5 4 4" xfId="20279" xr:uid="{D840DC5D-09DA-4F87-B7AD-395459F465D3}"/>
    <cellStyle name="20% - Accent2 5 4 4 2" xfId="20970" xr:uid="{7830091A-057A-4D08-A95E-8B2151936299}"/>
    <cellStyle name="20% - Accent2 5 4 5" xfId="16762" xr:uid="{3C0BF9CA-3B4A-41A4-B217-AE3DD0A73B59}"/>
    <cellStyle name="20% - Accent2 5 4 6" xfId="35206" xr:uid="{1385BBB7-0A9B-4868-90B8-7002EBA94633}"/>
    <cellStyle name="20% - Accent2 5 5" xfId="23682" xr:uid="{4D4F8F61-FC15-4D90-916E-0CDFBB1D4135}"/>
    <cellStyle name="20% - Accent2 5 5 2" xfId="27950" xr:uid="{BF31AF78-F1E3-44CF-8374-448325AB3D31}"/>
    <cellStyle name="20% - Accent2 5 5 2 2" xfId="29819" xr:uid="{146CC5AE-F031-4E74-8741-160E43F31056}"/>
    <cellStyle name="20% - Accent2 5 5 2 2 2" xfId="29814" xr:uid="{DEB47D24-93B0-4014-8A80-C196766F1074}"/>
    <cellStyle name="20% - Accent2 5 5 2 3" xfId="29539" xr:uid="{FFEDEF41-CEBA-4339-90C1-641ABA8788BB}"/>
    <cellStyle name="20% - Accent2 5 5 3" xfId="22401" xr:uid="{3419BFBE-0CEB-4088-A738-6DCEB0525648}"/>
    <cellStyle name="20% - Accent2 5 5 3 2" xfId="29512" xr:uid="{159E6637-0350-4A22-9426-BECEC1705AB9}"/>
    <cellStyle name="20% - Accent2 5 5 4" xfId="31559" xr:uid="{BBAC1C18-613D-4990-B114-A9C41FA65415}"/>
    <cellStyle name="20% - Accent2 5 5 5" xfId="35435" xr:uid="{97F5ED8E-83F2-4EFC-8FEF-F8FA67A6EC8A}"/>
    <cellStyle name="20% - Accent2 5 6" xfId="8330" xr:uid="{43644FB3-7A91-4CA5-8C1C-E8FFA68D3CFE}"/>
    <cellStyle name="20% - Accent2 5 6 2" xfId="27941" xr:uid="{36A16C98-E680-4897-A1EF-68D20F1F971B}"/>
    <cellStyle name="20% - Accent2 5 6 2 2" xfId="29452" xr:uid="{460043B8-36DE-481B-AB58-ABF1111016A1}"/>
    <cellStyle name="20% - Accent2 5 6 3" xfId="27937" xr:uid="{49F93880-1564-4CD7-94A5-474155E734F3}"/>
    <cellStyle name="20% - Accent2 5 6 4" xfId="36307" xr:uid="{D4D31A50-3320-49C3-B627-1188283613CA}"/>
    <cellStyle name="20% - Accent2 5 7" xfId="27934" xr:uid="{C44FE211-3760-4863-BA7C-DCDDEF974A33}"/>
    <cellStyle name="20% - Accent2 5 7 2" xfId="33556" xr:uid="{C95BCB0B-7976-470A-8085-0F60BA577CDE}"/>
    <cellStyle name="20% - Accent2 5 7 3" xfId="36593" xr:uid="{76DF4E3A-D67D-4E0F-9988-84398453BBA2}"/>
    <cellStyle name="20% - Accent2 5 8" xfId="17206" xr:uid="{208A0C20-B6F1-4B32-A6D5-E8F5E7C6B243}"/>
    <cellStyle name="20% - Accent2 5 8 2" xfId="37478" xr:uid="{8C9283DC-7BAF-4FD6-8996-C44727F5C98D}"/>
    <cellStyle name="20% - Accent2 5 9" xfId="34578" xr:uid="{AF31FC38-358A-4F66-9253-040B2B7CDA23}"/>
    <cellStyle name="20% - Accent2 6" xfId="282" xr:uid="{01505D80-6B15-4319-BE55-E91280E4F35E}"/>
    <cellStyle name="20% - Accent2 6 2" xfId="25225" xr:uid="{D5D92F4C-3E97-44DB-A069-19D45F834134}"/>
    <cellStyle name="20% - Accent2 6 2 2" xfId="32022" xr:uid="{A8A49AA8-BB94-4C78-B380-F1751CA4143C}"/>
    <cellStyle name="20% - Accent2 6 2 2 2" xfId="7061" xr:uid="{3CC800A0-CAC9-4565-8F63-B9EA8E53CB9C}"/>
    <cellStyle name="20% - Accent2 6 2 2 2 2" xfId="23820" xr:uid="{CE956F2F-999E-482F-B908-801B2AB516A3}"/>
    <cellStyle name="20% - Accent2 6 2 2 2 2 2" xfId="27925" xr:uid="{AD1AF1BA-84E5-45A1-A9EF-266664C844A2}"/>
    <cellStyle name="20% - Accent2 6 2 2 2 2 2 2" xfId="27922" xr:uid="{8CF0D2BE-D7A7-41C0-BCC7-3C82829A8A57}"/>
    <cellStyle name="20% - Accent2 6 2 2 2 2 3" xfId="18611" xr:uid="{C011288F-A450-421C-B382-FE03CCE52F55}"/>
    <cellStyle name="20% - Accent2 6 2 2 2 3" xfId="28194" xr:uid="{1040F565-E8B6-4340-A742-4635080D0102}"/>
    <cellStyle name="20% - Accent2 6 2 2 2 3 2" xfId="33432" xr:uid="{853226B1-DEB2-4659-B637-0FF89D469D5B}"/>
    <cellStyle name="20% - Accent2 6 2 2 2 4" xfId="27915" xr:uid="{5E58CA45-8776-4B7D-95C7-44775C9D3CA8}"/>
    <cellStyle name="20% - Accent2 6 2 2 3" xfId="5781" xr:uid="{276377D8-FBCE-4DEA-97A2-0BCD7BAC4058}"/>
    <cellStyle name="20% - Accent2 6 2 2 3 2" xfId="7690" xr:uid="{1E6186F3-3086-4809-8EBF-322EAC1E0087}"/>
    <cellStyle name="20% - Accent2 6 2 2 3 2 2" xfId="5778" xr:uid="{8A2844D9-937B-44D8-A6BA-9E5E07C77210}"/>
    <cellStyle name="20% - Accent2 6 2 2 3 3" xfId="5776" xr:uid="{27CF63EA-700B-4208-9C17-2D571A69D433}"/>
    <cellStyle name="20% - Accent2 6 2 2 4" xfId="12475" xr:uid="{D50044A4-5303-4C21-8C6C-D91975FAE54C}"/>
    <cellStyle name="20% - Accent2 6 2 2 4 2" xfId="12471" xr:uid="{34244D93-9722-47E0-A992-FFB4EAB8EC08}"/>
    <cellStyle name="20% - Accent2 6 2 2 5" xfId="12462" xr:uid="{7251C407-3591-4879-AED4-6D243D350189}"/>
    <cellStyle name="20% - Accent2 6 2 3" xfId="33726" xr:uid="{1A2EE84D-D587-4677-91BD-B620A49CFCF8}"/>
    <cellStyle name="20% - Accent2 6 2 3 2" xfId="23803" xr:uid="{7433251D-5F06-47AE-BDCF-3FCD762FBEAF}"/>
    <cellStyle name="20% - Accent2 6 2 3 2 2" xfId="26121" xr:uid="{0666CA60-EE9B-4936-9422-4AC868B92EAF}"/>
    <cellStyle name="20% - Accent2 6 2 3 2 2 2" xfId="26115" xr:uid="{9C190351-D882-4E63-95B7-DF4146E49429}"/>
    <cellStyle name="20% - Accent2 6 2 3 2 3" xfId="23364" xr:uid="{16F8123E-71C0-49DA-9294-41E59EC94D40}"/>
    <cellStyle name="20% - Accent2 6 2 3 3" xfId="5774" xr:uid="{C435C996-49F8-4437-A024-461AE1988357}"/>
    <cellStyle name="20% - Accent2 6 2 3 3 2" xfId="5769" xr:uid="{94618B04-2D48-4BF5-91D0-2FB46417B120}"/>
    <cellStyle name="20% - Accent2 6 2 3 4" xfId="12452" xr:uid="{3C66C604-1E7C-4673-9DDA-4C033B7B85B1}"/>
    <cellStyle name="20% - Accent2 6 2 4" xfId="23955" xr:uid="{DB37B450-3D8A-412B-9699-91336C387BD2}"/>
    <cellStyle name="20% - Accent2 6 2 4 2" xfId="32543" xr:uid="{0BFE33AB-BFAD-4D81-B500-A4077451CF46}"/>
    <cellStyle name="20% - Accent2 6 2 4 2 2" xfId="25949" xr:uid="{F74D09A1-FBD1-45F0-80CA-ADF5881BCC57}"/>
    <cellStyle name="20% - Accent2 6 2 4 3" xfId="24002" xr:uid="{E0F74B26-BD19-4E4C-9511-7C4A1EC6D5ED}"/>
    <cellStyle name="20% - Accent2 6 2 5" xfId="16730" xr:uid="{D871D07B-06BC-441E-9AE8-06871FC596FA}"/>
    <cellStyle name="20% - Accent2 6 2 5 2" xfId="31311" xr:uid="{2486A949-F2CB-4811-A443-AC3EF40DC495}"/>
    <cellStyle name="20% - Accent2 6 2 6" xfId="27913" xr:uid="{8A01E5FA-7A65-4527-9527-EC76CB35B4B5}"/>
    <cellStyle name="20% - Accent2 6 2 7" xfId="34817" xr:uid="{450951A1-82CD-4F17-B9C4-AF7C2562C74A}"/>
    <cellStyle name="20% - Accent2 6 3" xfId="19915" xr:uid="{AC7F3A45-6D6E-4908-BD59-7212B0A2273E}"/>
    <cellStyle name="20% - Accent2 6 3 2" xfId="31132" xr:uid="{BBE34032-B910-4242-9C15-A7B750B6A283}"/>
    <cellStyle name="20% - Accent2 6 3 2 2" xfId="23767" xr:uid="{A1AEE332-2464-4C53-83C6-113743BA33F5}"/>
    <cellStyle name="20% - Accent2 6 3 2 2 2" xfId="27884" xr:uid="{B934C356-CC61-4C95-9AFB-82BD27AE2492}"/>
    <cellStyle name="20% - Accent2 6 3 2 2 2 2" xfId="15876" xr:uid="{390FF005-8E39-4720-8E05-CD16A7789E2D}"/>
    <cellStyle name="20% - Accent2 6 3 2 2 3" xfId="27882" xr:uid="{16D0FFC5-829E-4275-9047-41FB67D4B5BF}"/>
    <cellStyle name="20% - Accent2 6 3 2 3" xfId="5761" xr:uid="{8B2BD88D-C0E2-4A8A-AE70-ABAE2C897F47}"/>
    <cellStyle name="20% - Accent2 6 3 2 3 2" xfId="15764" xr:uid="{47BCD5D5-F51E-4A03-8463-CD12CDFC512C}"/>
    <cellStyle name="20% - Accent2 6 3 2 4" xfId="12346" xr:uid="{46AF3EFB-03BD-401D-AAFC-97E5BE8A01D9}"/>
    <cellStyle name="20% - Accent2 6 3 3" xfId="27868" xr:uid="{E564E9C9-62C5-4935-9187-998A07C6F86B}"/>
    <cellStyle name="20% - Accent2 6 3 3 2" xfId="27864" xr:uid="{38ED3875-5C68-4AC6-9371-B138D8860272}"/>
    <cellStyle name="20% - Accent2 6 3 3 2 2" xfId="23496" xr:uid="{24050DCC-CB8A-450D-AC8A-8CA38D5D7733}"/>
    <cellStyle name="20% - Accent2 6 3 3 3" xfId="5757" xr:uid="{38E6F59E-6D36-4F51-A6D3-8B52AD41A8E8}"/>
    <cellStyle name="20% - Accent2 6 3 4" xfId="20222" xr:uid="{6FB07888-476A-432A-8DDC-8DAF70BA0F67}"/>
    <cellStyle name="20% - Accent2 6 3 4 2" xfId="27859" xr:uid="{6A999A80-F7B9-46AD-9435-FA664B04F45A}"/>
    <cellStyle name="20% - Accent2 6 3 5" xfId="16724" xr:uid="{CBA81CA8-F89E-4E66-A9F5-F5874C161AE8}"/>
    <cellStyle name="20% - Accent2 6 3 6" xfId="35019" xr:uid="{EEEC4DC6-15FF-4BF9-92C1-1F7F499CDB5C}"/>
    <cellStyle name="20% - Accent2 6 4" xfId="19906" xr:uid="{3657B119-2DE5-44F2-A76E-00BF163C3346}"/>
    <cellStyle name="20% - Accent2 6 4 2" xfId="33348" xr:uid="{50D0A17D-FD1D-4427-B2F6-179FD5740578}"/>
    <cellStyle name="20% - Accent2 6 4 2 2" xfId="27857" xr:uid="{7E17D072-4137-4953-B4AD-6065B267E195}"/>
    <cellStyle name="20% - Accent2 6 4 2 2 2" xfId="32850" xr:uid="{D69B5562-5FB0-4E3B-B9EB-19F0A4CCE475}"/>
    <cellStyle name="20% - Accent2 6 4 2 3" xfId="27853" xr:uid="{484556BA-E1C0-48EA-A45E-B51B83AF4ED7}"/>
    <cellStyle name="20% - Accent2 6 4 3" xfId="27848" xr:uid="{20E57789-09FE-4770-BAB2-F88EFCA261E1}"/>
    <cellStyle name="20% - Accent2 6 4 3 2" xfId="27846" xr:uid="{5FF09F56-5BE9-402F-A1BF-76467EFB8CFA}"/>
    <cellStyle name="20% - Accent2 6 4 4" xfId="31366" xr:uid="{39C57B70-88CC-45C0-A9FF-63365A7108B9}"/>
    <cellStyle name="20% - Accent2 6 4 5" xfId="35225" xr:uid="{96AE4E4D-267D-4D65-8697-8B475CB0D36A}"/>
    <cellStyle name="20% - Accent2 6 5" xfId="8327" xr:uid="{66B0B9A6-A406-424D-B7D4-1067A4EEFC84}"/>
    <cellStyle name="20% - Accent2 6 5 2" xfId="27837" xr:uid="{DC684025-6BE6-4F95-AA65-184E3CE752D4}"/>
    <cellStyle name="20% - Accent2 6 5 2 2" xfId="29346" xr:uid="{4D19D458-A83C-43F1-A1BB-6797880A96DB}"/>
    <cellStyle name="20% - Accent2 6 5 3" xfId="27832" xr:uid="{4DFCFD50-34F4-4F84-B4A6-126DDE4E5FDC}"/>
    <cellStyle name="20% - Accent2 6 5 4" xfId="35454" xr:uid="{E2D2240D-8D76-452A-A9EB-D1B2F7873EE6}"/>
    <cellStyle name="20% - Accent2 6 6" xfId="27829" xr:uid="{27DD85DE-9B65-4AE6-83EB-B5F6C83DF2C7}"/>
    <cellStyle name="20% - Accent2 6 6 2" xfId="27820" xr:uid="{33919309-119A-44F6-B231-97A1F235DE01}"/>
    <cellStyle name="20% - Accent2 6 6 3" xfId="36326" xr:uid="{C79EB37D-14A1-4D74-9512-D18F6C8A5585}"/>
    <cellStyle name="20% - Accent2 6 7" xfId="27817" xr:uid="{DA6F0578-3ADB-406C-8CE7-A5731ABBB7A6}"/>
    <cellStyle name="20% - Accent2 6 7 2" xfId="36612" xr:uid="{148CC958-109C-41B6-90F0-F161664362A4}"/>
    <cellStyle name="20% - Accent2 6 8" xfId="34592" xr:uid="{E0AA967C-A752-4A21-AC25-854435064BED}"/>
    <cellStyle name="20% - Accent2 6 9" xfId="27927" xr:uid="{900C36F3-B11F-4C9F-91EA-5C39CED50266}"/>
    <cellStyle name="20% - Accent2 7" xfId="302" xr:uid="{CE2ACD59-07E5-4628-83EC-F7C943522CFA}"/>
    <cellStyle name="20% - Accent2 7 2" xfId="19901" xr:uid="{96A23B2F-BCA6-4D2C-BD0E-9F137EE1335B}"/>
    <cellStyle name="20% - Accent2 7 2 2" xfId="28372" xr:uid="{7990F4BD-2DD0-4230-8C61-CF325587D837}"/>
    <cellStyle name="20% - Accent2 7 2 2 2" xfId="22977" xr:uid="{8FE088A6-C599-40F4-8475-DC5CDE9C1B2F}"/>
    <cellStyle name="20% - Accent2 7 2 2 2 2" xfId="33903" xr:uid="{0580155D-2D37-4EAD-8541-484BA2A50B2C}"/>
    <cellStyle name="20% - Accent2 7 2 2 2 2 2" xfId="27813" xr:uid="{B3AA9FB5-E4F3-445A-B13B-777DB73F752F}"/>
    <cellStyle name="20% - Accent2 7 2 2 2 3" xfId="33868" xr:uid="{1C531C30-71AC-4532-9F52-DDAE0DDC7816}"/>
    <cellStyle name="20% - Accent2 7 2 2 3" xfId="28365" xr:uid="{14237A10-1A80-4E03-A42A-A4CA48BE2312}"/>
    <cellStyle name="20% - Accent2 7 2 2 3 2" xfId="5749" xr:uid="{FB672A27-0BD7-4642-ADCB-E3ABBFA5BB85}"/>
    <cellStyle name="20% - Accent2 7 2 2 4" xfId="12123" xr:uid="{6C9A0ED9-DC8E-4D9B-BA46-C15C1ED120B7}"/>
    <cellStyle name="20% - Accent2 7 2 3" xfId="27810" xr:uid="{8F7D6A79-1012-42D7-A196-BF2A19E7B680}"/>
    <cellStyle name="20% - Accent2 7 2 3 2" xfId="28358" xr:uid="{94B74213-1B64-4E3A-87A8-8D722F9AECDF}"/>
    <cellStyle name="20% - Accent2 7 2 3 2 2" xfId="17783" xr:uid="{23CB450C-B79E-4E67-9FC3-B884BCD0C9E4}"/>
    <cellStyle name="20% - Accent2 7 2 3 3" xfId="5747" xr:uid="{80E8536E-223F-435B-9253-83FA29147B91}"/>
    <cellStyle name="20% - Accent2 7 2 4" xfId="24333" xr:uid="{1400B2B3-46A1-4A46-99E4-A1E39022ACA6}"/>
    <cellStyle name="20% - Accent2 7 2 4 2" xfId="25017" xr:uid="{912AC8E6-1089-4031-BE10-C1DDA60897C9}"/>
    <cellStyle name="20% - Accent2 7 2 5" xfId="29402" xr:uid="{66DC402E-222B-475A-993E-780E59BF5F1F}"/>
    <cellStyle name="20% - Accent2 7 2 6" xfId="34836" xr:uid="{B7088232-C1D2-4EF9-8988-316ED3F27F78}"/>
    <cellStyle name="20% - Accent2 7 3" xfId="19897" xr:uid="{D8B54F7A-DE3F-4595-A05B-59FC26DFF1F8}"/>
    <cellStyle name="20% - Accent2 7 3 2" xfId="27793" xr:uid="{9AEEE48A-4D93-4D7C-8E0D-79C50113D4B8}"/>
    <cellStyle name="20% - Accent2 7 3 2 2" xfId="17867" xr:uid="{389EE43A-807D-4C0B-B721-F21AADA67D94}"/>
    <cellStyle name="20% - Accent2 7 3 2 2 2" xfId="34083" xr:uid="{8430506E-C4DC-4E46-A8F8-CD469911E20B}"/>
    <cellStyle name="20% - Accent2 7 3 2 3" xfId="5744" xr:uid="{585128A6-0248-4019-98A3-428C8F537E64}"/>
    <cellStyle name="20% - Accent2 7 3 3" xfId="27789" xr:uid="{A85FE703-CFEB-42D9-8B10-B201FA32FB7C}"/>
    <cellStyle name="20% - Accent2 7 3 3 2" xfId="33059" xr:uid="{0C01CA67-7EC7-4455-B647-1B73AA19E8EA}"/>
    <cellStyle name="20% - Accent2 7 3 4" xfId="20163" xr:uid="{A625DE71-C6BE-44F7-8F36-D84FB7124E5F}"/>
    <cellStyle name="20% - Accent2 7 3 5" xfId="35038" xr:uid="{AD447867-2564-40CB-925B-D8D38984DBEA}"/>
    <cellStyle name="20% - Accent2 7 4" xfId="27781" xr:uid="{8C084B33-5C2D-483D-9ED7-CB70244C0C01}"/>
    <cellStyle name="20% - Accent2 7 4 2" xfId="27769" xr:uid="{11DD8EAB-CCC8-440B-BDBA-59D0FAE2D6A5}"/>
    <cellStyle name="20% - Accent2 7 4 2 2" xfId="32659" xr:uid="{B0C45CE5-2E03-43CD-B739-E15711CF0291}"/>
    <cellStyle name="20% - Accent2 7 4 3" xfId="27757" xr:uid="{627893FF-1DF6-4296-A8D0-5E19CA9BD08B}"/>
    <cellStyle name="20% - Accent2 7 4 4" xfId="35245" xr:uid="{E8D16B07-636C-4152-AE3F-0571C2EECAD0}"/>
    <cellStyle name="20% - Accent2 7 5" xfId="23654" xr:uid="{9E4454FE-A3B5-45C5-9A03-DF0EADF422C5}"/>
    <cellStyle name="20% - Accent2 7 5 2" xfId="20995" xr:uid="{17530E61-C00C-4AC4-BED1-A90BDE778C6D}"/>
    <cellStyle name="20% - Accent2 7 5 3" xfId="35474" xr:uid="{AD05B3E2-89ED-4043-A30C-597FD9C0ED8D}"/>
    <cellStyle name="20% - Accent2 7 6" xfId="28539" xr:uid="{8E0F70C7-9839-4FDF-B697-E1029F420164}"/>
    <cellStyle name="20% - Accent2 7 6 2" xfId="36346" xr:uid="{F8EED9B8-65D9-44AE-A5BE-BD1110328F6B}"/>
    <cellStyle name="20% - Accent2 7 7" xfId="34606" xr:uid="{70602D81-504E-456C-B84F-75D97EFAFA37}"/>
    <cellStyle name="20% - Accent2 7 8" xfId="30985" xr:uid="{8AD0A9FF-4BF7-4EA6-869E-2EA545CFBEE1}"/>
    <cellStyle name="20% - Accent2 7 8 2" xfId="37504" xr:uid="{EC3D476E-2A1B-4143-99A6-BACC7C87EE23}"/>
    <cellStyle name="20% - Accent2 8" xfId="322" xr:uid="{3B31A696-9A28-4D47-A308-0BFF285A0C13}"/>
    <cellStyle name="20% - Accent2 8 2" xfId="19878" xr:uid="{FB481925-FDFF-4A71-AB80-C7204DAD10E7}"/>
    <cellStyle name="20% - Accent2 8 2 2" xfId="26735" xr:uid="{168E4E87-7CFE-4AD4-B14D-00ACBD57876C}"/>
    <cellStyle name="20% - Accent2 8 2 2 2" xfId="28284" xr:uid="{91011003-655C-47B6-8005-325E4FEA3C09}"/>
    <cellStyle name="20% - Accent2 8 2 2 2 2" xfId="34296" xr:uid="{CDE3D43B-2965-4DE0-B43D-4C452DF09D91}"/>
    <cellStyle name="20% - Accent2 8 2 2 3" xfId="23435" xr:uid="{2BE9B007-BBE4-4FE7-BEFB-2CFCC77B6A0F}"/>
    <cellStyle name="20% - Accent2 8 2 3" xfId="26293" xr:uid="{53FF175A-6189-4079-9C8B-9A2615472817}"/>
    <cellStyle name="20% - Accent2 8 2 3 2" xfId="27743" xr:uid="{84BF8B2B-86ED-4C5B-8784-ED699F155AB0}"/>
    <cellStyle name="20% - Accent2 8 2 4" xfId="27742" xr:uid="{81B394F7-226A-4AB1-A4D4-79453539FE6B}"/>
    <cellStyle name="20% - Accent2 8 2 5" xfId="34855" xr:uid="{C79F9F36-1265-45D8-BB54-1F6577E77AF7}"/>
    <cellStyle name="20% - Accent2 8 3" xfId="27739" xr:uid="{8287942A-DE53-4E5F-AB42-A49689401A3D}"/>
    <cellStyle name="20% - Accent2 8 3 2" xfId="33056" xr:uid="{3C12A514-6FCB-4F17-974D-E1119FA877D9}"/>
    <cellStyle name="20% - Accent2 8 3 2 2" xfId="31017" xr:uid="{C426449D-23E3-4755-BEFB-AA0186DF9413}"/>
    <cellStyle name="20% - Accent2 8 3 3" xfId="34193" xr:uid="{BD615BC8-0635-4BE1-93D0-022656BA32B6}"/>
    <cellStyle name="20% - Accent2 8 3 4" xfId="35057" xr:uid="{DD90FC8E-C445-4DF5-A5EF-DB8246AE91B6}"/>
    <cellStyle name="20% - Accent2 8 4" xfId="27733" xr:uid="{796D6EB1-2F74-4FC0-8C6E-271CBDF8A0C2}"/>
    <cellStyle name="20% - Accent2 8 4 2" xfId="33038" xr:uid="{5E9098E2-E13D-4A5D-816F-761CDFEF32ED}"/>
    <cellStyle name="20% - Accent2 8 4 3" xfId="35264" xr:uid="{17838833-BEFF-4E5C-B440-3B478A1EB6F7}"/>
    <cellStyle name="20% - Accent2 8 5" xfId="27726" xr:uid="{34827BF5-C39B-49FA-BB59-6FDBF5821B50}"/>
    <cellStyle name="20% - Accent2 8 5 2" xfId="35493" xr:uid="{117FD8D6-2D46-423C-AEAA-9B83840C3EA9}"/>
    <cellStyle name="20% - Accent2 8 6" xfId="34620" xr:uid="{1EF1455D-F0D6-4E49-A556-B09D5A3976BA}"/>
    <cellStyle name="20% - Accent2 8 7" xfId="31459" xr:uid="{5419AA57-0007-4A56-8694-7439958AC3BE}"/>
    <cellStyle name="20% - Accent2 8 7 2" xfId="36638" xr:uid="{7CFC5BB5-8861-40E2-9B57-A7B925D000D5}"/>
    <cellStyle name="20% - Accent2 8 8" xfId="37523" xr:uid="{2CC69617-9D2C-4278-A461-FD3D49771A0D}"/>
    <cellStyle name="20% - Accent2 9" xfId="342" xr:uid="{2FB3C609-666E-452D-A344-532F98A27D02}"/>
    <cellStyle name="20% - Accent2 9 2" xfId="27725" xr:uid="{64841065-9B73-4FB4-A442-6B0F1C315A70}"/>
    <cellStyle name="20% - Accent2 9 2 2" xfId="27721" xr:uid="{59BEB98C-01EB-4645-B2D0-C894EB545703}"/>
    <cellStyle name="20% - Accent2 9 2 2 2" xfId="27719" xr:uid="{E57337AC-A830-48A7-87EB-C44627EDBE76}"/>
    <cellStyle name="20% - Accent2 9 2 3" xfId="27711" xr:uid="{3F2E0DD6-F2FF-4C58-BC8C-27EC4841B1E9}"/>
    <cellStyle name="20% - Accent2 9 2 4" xfId="34875" xr:uid="{C2EA84E8-1562-496D-BF69-F73C55CF74C6}"/>
    <cellStyle name="20% - Accent2 9 3" xfId="27525" xr:uid="{A55E6E03-B56C-4473-978E-AF4B5882C4A6}"/>
    <cellStyle name="20% - Accent2 9 3 2" xfId="34287" xr:uid="{395641A7-F482-4881-AFA4-0534B14E1858}"/>
    <cellStyle name="20% - Accent2 9 3 3" xfId="35076" xr:uid="{B3E460D1-0021-4D9A-A7D4-4A7B94725B9E}"/>
    <cellStyle name="20% - Accent2 9 4" xfId="18752" xr:uid="{747AB02E-26E9-4D32-B42E-BB2CC03C7707}"/>
    <cellStyle name="20% - Accent2 9 4 2" xfId="35284" xr:uid="{10DB3AAF-452E-4404-ACE4-ADDDF2E9C962}"/>
    <cellStyle name="20% - Accent2 9 5" xfId="34634" xr:uid="{633DB981-0DD6-4947-8D5D-522CAD54ABCC}"/>
    <cellStyle name="20% - Accent2 9 6" xfId="29510" xr:uid="{6060E7F4-BE39-4312-AA0C-1F68AD40018C}"/>
    <cellStyle name="20% - Accent2 9 6 2" xfId="36372" xr:uid="{260FAF43-F483-4B48-895B-94EA7B726402}"/>
    <cellStyle name="20% - Accent2 9 7" xfId="36658" xr:uid="{DB399036-0B94-4EFF-B84B-B521328B7F2E}"/>
    <cellStyle name="20% - Accent2 9 8" xfId="37543" xr:uid="{6B6735C2-07C6-4AF8-BFC2-452EAE2DD6E2}"/>
    <cellStyle name="20% - Accent3" xfId="30" builtinId="38" customBuiltin="1"/>
    <cellStyle name="20% - Accent3 10" xfId="183" xr:uid="{3C1A10C6-6A95-45C4-9F95-EEA4DAE898FE}"/>
    <cellStyle name="20% - Accent3 10 2" xfId="26182" xr:uid="{BF0AAE44-BC5F-4E54-ABB3-94FB42D5D2AA}"/>
    <cellStyle name="20% - Accent3 10 2 2" xfId="26147" xr:uid="{0EA92E78-6A8F-4257-B39C-AD56C530EBE5}"/>
    <cellStyle name="20% - Accent3 10 2 3" xfId="34896" xr:uid="{6156B458-9682-43E0-A2EF-F35F99F97C17}"/>
    <cellStyle name="20% - Accent3 10 3" xfId="26175" xr:uid="{47913E15-F0A9-4DE7-A328-0E985ECEF304}"/>
    <cellStyle name="20% - Accent3 10 3 2" xfId="35098" xr:uid="{5966AE62-9E28-40CD-BEF3-54FDC74A681B}"/>
    <cellStyle name="20% - Accent3 10 4" xfId="34523" xr:uid="{39F41D85-0AA7-4B5E-A98A-92A8706BC426}"/>
    <cellStyle name="20% - Accent3 10 5" xfId="24245" xr:uid="{788885DD-EE3F-484E-898F-1FD35C571FA1}"/>
    <cellStyle name="20% - Accent3 10 5 2" xfId="35521" xr:uid="{9E038F5D-24F2-4F84-89FB-5D06C70DC596}"/>
    <cellStyle name="20% - Accent3 10 6" xfId="36394" xr:uid="{904E99EB-C644-4B7D-A2EF-C366ED6FDA15}"/>
    <cellStyle name="20% - Accent3 10 7" xfId="36680" xr:uid="{172039EF-4B1A-4BD6-9CF4-13F274C2CDBF}"/>
    <cellStyle name="20% - Accent3 10 8" xfId="37565" xr:uid="{3F4B5417-2254-4305-A17B-7EE00009EECD}"/>
    <cellStyle name="20% - Accent3 11" xfId="24235" xr:uid="{1218B536-7D1F-4EE1-875E-408DD441B957}"/>
    <cellStyle name="20% - Accent3 11 2" xfId="26164" xr:uid="{CDF0712B-F3A9-46F9-B35D-FEEA46FEE3FC}"/>
    <cellStyle name="20% - Accent3 11 2 2" xfId="35117" xr:uid="{02DF8786-78D6-4924-8E9C-48C337281002}"/>
    <cellStyle name="20% - Accent3 11 3" xfId="34692" xr:uid="{53959E45-CFD1-4D5A-A321-038AB8B134F5}"/>
    <cellStyle name="20% - Accent3 11 4" xfId="35541" xr:uid="{D885DDE8-9E54-49AD-AAC9-8F006E3FB24F}"/>
    <cellStyle name="20% - Accent3 11 5" xfId="36414" xr:uid="{E73FC405-90FA-46AC-BA47-59B5F6CDD37A}"/>
    <cellStyle name="20% - Accent3 11 6" xfId="36700" xr:uid="{B686A20F-626B-4E8A-A37E-3049B0E33458}"/>
    <cellStyle name="20% - Accent3 11 7" xfId="37585" xr:uid="{A173FFB8-6F21-409C-A0C9-A87D7FD8A717}"/>
    <cellStyle name="20% - Accent3 12" xfId="26160" xr:uid="{6CD236C8-53DB-4777-A124-81CBA46CB639}"/>
    <cellStyle name="20% - Accent3 12 2" xfId="34707" xr:uid="{179EF723-57BD-46FB-AA9A-A192A1755631}"/>
    <cellStyle name="20% - Accent3 12 3" xfId="35320" xr:uid="{F55D5A17-1EF6-4049-ABDB-A40B98A3711A}"/>
    <cellStyle name="20% - Accent3 12 4" xfId="35560" xr:uid="{65B31FF3-1181-4C96-90D8-E07F05582896}"/>
    <cellStyle name="20% - Accent3 12 5" xfId="36433" xr:uid="{6908853B-CC57-464E-8B83-5BA008FD8399}"/>
    <cellStyle name="20% - Accent3 12 6" xfId="36719" xr:uid="{27681FEA-2DC4-41BF-84F8-23D3A6443EC6}"/>
    <cellStyle name="20% - Accent3 12 7" xfId="37604" xr:uid="{6CA313A3-7C80-41B8-B4CF-EC0AEE3826F3}"/>
    <cellStyle name="20% - Accent3 13" xfId="27484" xr:uid="{8B42BE2C-7427-4532-9DFA-95E71748EF1B}"/>
    <cellStyle name="20% - Accent3 13 2" xfId="34735" xr:uid="{24EA1878-36D8-4716-9EC4-FEDD5F21E498}"/>
    <cellStyle name="20% - Accent3 13 3" xfId="35579" xr:uid="{EB06D72B-0311-48DC-B829-73DFBF358024}"/>
    <cellStyle name="20% - Accent3 13 4" xfId="36454" xr:uid="{F25E6DD7-9069-47C6-B4BC-A0916B068CA6}"/>
    <cellStyle name="20% - Accent3 13 5" xfId="36740" xr:uid="{0712EB43-BF7D-4C03-8E24-ED367B094E51}"/>
    <cellStyle name="20% - Accent3 13 6" xfId="37625" xr:uid="{C4E970FE-5497-4519-AB33-FBAD3CB52FC7}"/>
    <cellStyle name="20% - Accent3 14" xfId="33675" xr:uid="{EADAF29D-E975-4EBB-B556-A79568542BC3}"/>
    <cellStyle name="20% - Accent3 14 2" xfId="34925" xr:uid="{9A8BEFE3-D8FA-4C88-BDDE-811DF3750C52}"/>
    <cellStyle name="20% - Accent3 14 3" xfId="36754" xr:uid="{F01D8AFB-4799-43BE-BD47-9D23A85B0795}"/>
    <cellStyle name="20% - Accent3 14 4" xfId="37639" xr:uid="{93108CEC-74D1-4672-953F-3C8161E5694D}"/>
    <cellStyle name="20% - Accent3 15" xfId="34648" xr:uid="{D71F8CBB-BFEE-4E9A-83B0-847289FD0DB6}"/>
    <cellStyle name="20% - Accent3 15 2" xfId="36479" xr:uid="{38E88A48-D190-43A5-B572-3B74BC844755}"/>
    <cellStyle name="20% - Accent3 15 3" xfId="36777" xr:uid="{59425482-15B1-4400-8921-BE00F159CC5E}"/>
    <cellStyle name="20% - Accent3 15 4" xfId="37665" xr:uid="{551DF524-1F98-4C4F-A8A9-3CCF3333D2CA}"/>
    <cellStyle name="20% - Accent3 16" xfId="35359" xr:uid="{2497D8F3-F6AC-4305-992E-38DE9378F72D}"/>
    <cellStyle name="20% - Accent3 16 2" xfId="36497" xr:uid="{A5DEEF31-E258-4DB8-96D9-72F63364C2AB}"/>
    <cellStyle name="20% - Accent3 16 3" xfId="36795" xr:uid="{5BFF9E9C-4954-409E-B0E4-F7C7045C71A8}"/>
    <cellStyle name="20% - Accent3 16 4" xfId="37684" xr:uid="{2F19BD70-00CF-406C-964B-9CCA5F839ED6}"/>
    <cellStyle name="20% - Accent3 17" xfId="35646" xr:uid="{B7953F6D-8E7B-4596-BEB0-403EFE2CFBDC}"/>
    <cellStyle name="20% - Accent3 17 2" xfId="36814" xr:uid="{9699E278-1FA7-4522-AF97-0C089E9DE8D9}"/>
    <cellStyle name="20% - Accent3 17 3" xfId="37704" xr:uid="{6C278F3B-060D-4C08-BFC4-6348D517DD00}"/>
    <cellStyle name="20% - Accent3 18" xfId="35664" xr:uid="{08A88C4A-F619-4578-8D75-FA77C81A6A6F}"/>
    <cellStyle name="20% - Accent3 18 2" xfId="36833" xr:uid="{9CBBF136-9117-4297-90E5-7CB7B3A96916}"/>
    <cellStyle name="20% - Accent3 18 3" xfId="37723" xr:uid="{8AD5FAA0-6CEB-4237-BA6C-2C79F27668EE}"/>
    <cellStyle name="20% - Accent3 19" xfId="35683" xr:uid="{209B2F67-FBFE-43EE-9602-049053571B8B}"/>
    <cellStyle name="20% - Accent3 19 2" xfId="36852" xr:uid="{8D35C440-1E7D-41BB-AA81-D51B6D1325E9}"/>
    <cellStyle name="20% - Accent3 19 3" xfId="37742" xr:uid="{4B502A11-831C-478A-9551-BB055C4BE8CA}"/>
    <cellStyle name="20% - Accent3 2" xfId="83" xr:uid="{25CBE4B8-04C3-48DF-A954-580767BEC5F2}"/>
    <cellStyle name="20% - Accent3 2 10" xfId="27127" xr:uid="{D1327348-9EBC-48AF-A639-5C3F2856397E}"/>
    <cellStyle name="20% - Accent3 2 10 2" xfId="21598" xr:uid="{6DA20EA7-5A83-416C-B051-EB1C4E24A793}"/>
    <cellStyle name="20% - Accent3 2 10 3" xfId="37423" xr:uid="{365B942A-F573-4709-9874-80D2DD9DBAD3}"/>
    <cellStyle name="20% - Accent3 2 11" xfId="21644" xr:uid="{5C56F245-635C-4DED-A9EF-D56A3F4424A4}"/>
    <cellStyle name="20% - Accent3 2 12" xfId="34441" xr:uid="{F89243DC-564F-46B7-AE1B-E0E284DB4686}"/>
    <cellStyle name="20% - Accent3 2 13" xfId="34002" xr:uid="{639105DD-502E-4DCD-9CF2-5E5A17DEFA6B}"/>
    <cellStyle name="20% - Accent3 2 2" xfId="144" xr:uid="{0E5CDE96-6CF4-4D69-87E9-9CF3816B829F}"/>
    <cellStyle name="20% - Accent3 2 2 10" xfId="29549" xr:uid="{7EDD80F4-7ECC-41A8-9F6C-B823C0CB71D9}"/>
    <cellStyle name="20% - Accent3 2 2 11" xfId="34496" xr:uid="{157BF821-06E4-449F-B3BE-208037E61E94}"/>
    <cellStyle name="20% - Accent3 2 2 12" xfId="33468" xr:uid="{11A3694D-D124-4B5F-8CC6-3BA87F454016}"/>
    <cellStyle name="20% - Accent3 2 2 2" xfId="34317" xr:uid="{1614740C-21B4-4FEF-9044-A5134437100E}"/>
    <cellStyle name="20% - Accent3 2 2 2 2" xfId="33462" xr:uid="{CB8AF111-D0ED-4173-860C-BF2FEBA03D9E}"/>
    <cellStyle name="20% - Accent3 2 2 2 2 2" xfId="17571" xr:uid="{1C812D07-875F-43A4-9DFF-88EDD26C31A0}"/>
    <cellStyle name="20% - Accent3 2 2 2 2 2 2" xfId="32863" xr:uid="{2FF2F62C-76C4-40CC-82A9-F5E1C446FBFC}"/>
    <cellStyle name="20% - Accent3 2 2 2 2 2 2 2" xfId="27686" xr:uid="{D69917E2-9E5E-4FDA-A404-A694AE04A6C8}"/>
    <cellStyle name="20% - Accent3 2 2 2 2 2 2 2 2" xfId="27681" xr:uid="{EEE84226-D912-4833-8499-745CEB5A3A67}"/>
    <cellStyle name="20% - Accent3 2 2 2 2 2 2 2 2 2" xfId="27679" xr:uid="{FDE0FF20-244B-4047-A260-5B5CDE0B1CA3}"/>
    <cellStyle name="20% - Accent3 2 2 2 2 2 2 2 2 2 2" xfId="27678" xr:uid="{D24D6BC2-B844-44C0-991E-D019735EB47A}"/>
    <cellStyle name="20% - Accent3 2 2 2 2 2 2 2 2 2 2 2" xfId="22084" xr:uid="{150FBC55-3B99-4A8A-848F-EA80618637E2}"/>
    <cellStyle name="20% - Accent3 2 2 2 2 2 2 2 2 2 3" xfId="27675" xr:uid="{71A14675-E01D-4B87-8E2D-8F522CD487F5}"/>
    <cellStyle name="20% - Accent3 2 2 2 2 2 2 2 2 3" xfId="27674" xr:uid="{46D1E9AE-A91D-444E-BC16-5F65D06A7E92}"/>
    <cellStyle name="20% - Accent3 2 2 2 2 2 2 2 2 3 2" xfId="33240" xr:uid="{529C6635-8A02-4432-9ED3-CA199E4AA7CE}"/>
    <cellStyle name="20% - Accent3 2 2 2 2 2 2 2 2 4" xfId="27672" xr:uid="{9548B306-9556-42B6-9FD8-87F4ABDA76E3}"/>
    <cellStyle name="20% - Accent3 2 2 2 2 2 2 2 3" xfId="27667" xr:uid="{9F92B815-9D6C-4DC0-83A0-19D5E875161D}"/>
    <cellStyle name="20% - Accent3 2 2 2 2 2 2 2 3 2" xfId="27659" xr:uid="{A95D9A71-7EA5-4F59-8895-59F586D67C68}"/>
    <cellStyle name="20% - Accent3 2 2 2 2 2 2 2 3 2 2" xfId="27658" xr:uid="{03EB9F40-CFCA-4E34-9D2F-CF4063E68896}"/>
    <cellStyle name="20% - Accent3 2 2 2 2 2 2 2 3 3" xfId="27657" xr:uid="{21DDC763-F7C0-48D2-82C2-0844A560F2FF}"/>
    <cellStyle name="20% - Accent3 2 2 2 2 2 2 2 4" xfId="27656" xr:uid="{134068A2-654A-4266-9C0F-D1021B979BB0}"/>
    <cellStyle name="20% - Accent3 2 2 2 2 2 2 2 4 2" xfId="12658" xr:uid="{C6BE5972-C99B-484F-BC81-0DA36C8CC2CB}"/>
    <cellStyle name="20% - Accent3 2 2 2 2 2 2 2 5" xfId="21101" xr:uid="{0B0915DB-44FB-4B65-98A2-F5C9E9DDAF64}"/>
    <cellStyle name="20% - Accent3 2 2 2 2 2 2 3" xfId="32848" xr:uid="{6F30A97C-BA53-4432-87D0-A5F3ED19A5DB}"/>
    <cellStyle name="20% - Accent3 2 2 2 2 2 2 3 2" xfId="27770" xr:uid="{766A13FF-DA2F-4568-96CE-ACAA5E678FA8}"/>
    <cellStyle name="20% - Accent3 2 2 2 2 2 2 3 2 2" xfId="27652" xr:uid="{ED8CBDC0-DB1B-430C-BA24-F6B99991B8B9}"/>
    <cellStyle name="20% - Accent3 2 2 2 2 2 2 3 2 2 2" xfId="27649" xr:uid="{85FF2ECD-30D3-4043-A7A3-C2FF48139B21}"/>
    <cellStyle name="20% - Accent3 2 2 2 2 2 2 3 2 3" xfId="27644" xr:uid="{8618FA13-AD76-48A5-9BA9-EB6B8D07AA85}"/>
    <cellStyle name="20% - Accent3 2 2 2 2 2 2 3 3" xfId="28589" xr:uid="{E1E7DBD1-0797-4ADB-BFBF-4D38D6B2FA55}"/>
    <cellStyle name="20% - Accent3 2 2 2 2 2 2 3 3 2" xfId="27641" xr:uid="{C839B286-7805-43DA-9C32-DCB46605362C}"/>
    <cellStyle name="20% - Accent3 2 2 2 2 2 2 3 4" xfId="28581" xr:uid="{384546E1-5B48-4C62-9167-EEA1EA6A157E}"/>
    <cellStyle name="20% - Accent3 2 2 2 2 2 2 4" xfId="19689" xr:uid="{83730573-F1E3-4595-AFA6-AEC8362570EA}"/>
    <cellStyle name="20% - Accent3 2 2 2 2 2 2 4 2" xfId="19284" xr:uid="{7347F6D0-274C-453F-BD94-F5A9AE9BEA20}"/>
    <cellStyle name="20% - Accent3 2 2 2 2 2 2 4 2 2" xfId="23834" xr:uid="{58B71946-E9F6-4FCC-9D74-C105C9B3F7C3}"/>
    <cellStyle name="20% - Accent3 2 2 2 2 2 2 4 3" xfId="28547" xr:uid="{DD8AA57D-A9E6-45B3-A285-E976B41F76DB}"/>
    <cellStyle name="20% - Accent3 2 2 2 2 2 2 5" xfId="31888" xr:uid="{A28B963A-ABE4-4352-BBC0-BBD47FFF3D0A}"/>
    <cellStyle name="20% - Accent3 2 2 2 2 2 2 5 2" xfId="15291" xr:uid="{6CE93E05-F65D-4254-9F42-278EB879101B}"/>
    <cellStyle name="20% - Accent3 2 2 2 2 2 2 6" xfId="27633" xr:uid="{F3AB13C1-BE6D-43F1-AC4F-72ACB5445FD9}"/>
    <cellStyle name="20% - Accent3 2 2 2 2 2 3" xfId="25426" xr:uid="{679EBF9F-6A06-412A-9A52-7121422F7A05}"/>
    <cellStyle name="20% - Accent3 2 2 2 2 2 3 2" xfId="27628" xr:uid="{87434F85-18BA-4F1C-A83A-F2AA7A3590D1}"/>
    <cellStyle name="20% - Accent3 2 2 2 2 2 3 2 2" xfId="18718" xr:uid="{9AC88DA6-2BFC-44DC-8070-D219DC88B43D}"/>
    <cellStyle name="20% - Accent3 2 2 2 2 2 3 2 2 2" xfId="27627" xr:uid="{642A31E5-A2EC-4610-8550-7B4E58EA96D0}"/>
    <cellStyle name="20% - Accent3 2 2 2 2 2 3 2 2 2 2" xfId="27708" xr:uid="{6887443A-1237-414D-AA6B-FB0A685784AE}"/>
    <cellStyle name="20% - Accent3 2 2 2 2 2 3 2 2 3" xfId="27624" xr:uid="{8510637F-1680-4AE9-AA88-366DCF356A81}"/>
    <cellStyle name="20% - Accent3 2 2 2 2 2 3 2 3" xfId="23536" xr:uid="{BB0EA553-9676-4D01-AA62-1B134BC512F9}"/>
    <cellStyle name="20% - Accent3 2 2 2 2 2 3 2 3 2" xfId="27616" xr:uid="{B2C9366E-5245-43C6-8918-4E57F458923E}"/>
    <cellStyle name="20% - Accent3 2 2 2 2 2 3 2 4" xfId="20898" xr:uid="{2692B0B9-B441-4944-8091-9478C9A1134A}"/>
    <cellStyle name="20% - Accent3 2 2 2 2 2 3 3" xfId="27608" xr:uid="{D62D5F4F-88FC-42F2-B970-B5A15FAF537E}"/>
    <cellStyle name="20% - Accent3 2 2 2 2 2 3 3 2" xfId="28902" xr:uid="{098EAE90-B9F0-4088-BD05-4D84A61B8BBC}"/>
    <cellStyle name="20% - Accent3 2 2 2 2 2 3 3 2 2" xfId="27607" xr:uid="{9773C7BE-61FF-43B2-8B9C-9BA46AA363C9}"/>
    <cellStyle name="20% - Accent3 2 2 2 2 2 3 3 3" xfId="20886" xr:uid="{32E2A375-D375-4EFF-9570-853DB663760E}"/>
    <cellStyle name="20% - Accent3 2 2 2 2 2 3 4" xfId="19541" xr:uid="{35651915-2B46-42F9-8911-431C1FE8059E}"/>
    <cellStyle name="20% - Accent3 2 2 2 2 2 3 4 2" xfId="19245" xr:uid="{EB552091-1CF4-4C97-8EE0-5C4A7C82879D}"/>
    <cellStyle name="20% - Accent3 2 2 2 2 2 3 5" xfId="10902" xr:uid="{9E68CE88-CAD1-44D5-BCB7-7C24D8D306DB}"/>
    <cellStyle name="20% - Accent3 2 2 2 2 2 4" xfId="31976" xr:uid="{98E4D606-8FBE-42C9-9D7A-757084D66B3C}"/>
    <cellStyle name="20% - Accent3 2 2 2 2 2 4 2" xfId="27597" xr:uid="{D8D4553A-1D11-4514-93BF-D4BFF6E4C3ED}"/>
    <cellStyle name="20% - Accent3 2 2 2 2 2 4 2 2" xfId="23527" xr:uid="{BA19EDE4-B9A0-4811-83CC-700B22B3EE44}"/>
    <cellStyle name="20% - Accent3 2 2 2 2 2 4 2 2 2" xfId="27596" xr:uid="{4F15E461-393E-4FF8-B693-3FF854AE206C}"/>
    <cellStyle name="20% - Accent3 2 2 2 2 2 4 2 3" xfId="20845" xr:uid="{E63672CB-1AA5-44B1-8A9D-DECC4ECFCF15}"/>
    <cellStyle name="20% - Accent3 2 2 2 2 2 4 3" xfId="27592" xr:uid="{3C06D4E7-19A4-48E7-9ED4-A9DABF78367C}"/>
    <cellStyle name="20% - Accent3 2 2 2 2 2 4 3 2" xfId="20835" xr:uid="{0D313114-1BBB-4B47-99DB-DE64D112D6A9}"/>
    <cellStyle name="20% - Accent3 2 2 2 2 2 4 4" xfId="13579" xr:uid="{83D32C5D-5209-431D-A9E0-E2C1E7DF19FF}"/>
    <cellStyle name="20% - Accent3 2 2 2 2 2 5" xfId="22021" xr:uid="{20530E55-490B-4CF3-B117-BCA58CE74B86}"/>
    <cellStyle name="20% - Accent3 2 2 2 2 2 5 2" xfId="27590" xr:uid="{26B46EC4-B573-45A6-B470-6BD2FFB4AB27}"/>
    <cellStyle name="20% - Accent3 2 2 2 2 2 5 2 2" xfId="20809" xr:uid="{4C60230A-76CB-46DD-AB31-26835103209E}"/>
    <cellStyle name="20% - Accent3 2 2 2 2 2 5 3" xfId="34355" xr:uid="{0267A780-118A-498A-B06E-011848B88C52}"/>
    <cellStyle name="20% - Accent3 2 2 2 2 2 6" xfId="27588" xr:uid="{E0E6B8C6-6157-4B98-BC39-DBA6827FC09E}"/>
    <cellStyle name="20% - Accent3 2 2 2 2 2 6 2" xfId="27583" xr:uid="{2DB0CCBD-51B1-4E3B-AC3D-B03220FA5585}"/>
    <cellStyle name="20% - Accent3 2 2 2 2 2 7" xfId="27271" xr:uid="{66CC6EEC-181A-4A28-9191-8290881D4DB9}"/>
    <cellStyle name="20% - Accent3 2 2 2 2 3" xfId="32675" xr:uid="{76BAC870-60C0-4E80-89E2-DF960583AC8A}"/>
    <cellStyle name="20% - Accent3 2 2 2 2 3 2" xfId="32765" xr:uid="{FFCA60F6-F462-4115-92E0-F781AEC07772}"/>
    <cellStyle name="20% - Accent3 2 2 2 2 3 2 2" xfId="19715" xr:uid="{9CB28F50-2E5C-43D3-A8A8-ABADBAAD409C}"/>
    <cellStyle name="20% - Accent3 2 2 2 2 3 2 2 2" xfId="27578" xr:uid="{9F1E49E9-3F43-41CE-949D-A4978F34C2C4}"/>
    <cellStyle name="20% - Accent3 2 2 2 2 3 2 2 2 2" xfId="27576" xr:uid="{2AF803D7-60E5-4CC7-B842-6424249EE1A0}"/>
    <cellStyle name="20% - Accent3 2 2 2 2 3 2 2 2 2 2" xfId="28001" xr:uid="{595585D4-E8A7-49E3-B44E-9E51375FCF20}"/>
    <cellStyle name="20% - Accent3 2 2 2 2 3 2 2 2 3" xfId="27575" xr:uid="{64E35761-5681-4233-830E-84B8D11C2CC2}"/>
    <cellStyle name="20% - Accent3 2 2 2 2 3 2 2 3" xfId="27077" xr:uid="{800C184D-F77F-4470-9489-B09F4FAFA652}"/>
    <cellStyle name="20% - Accent3 2 2 2 2 3 2 2 3 2" xfId="27573" xr:uid="{167663DF-FB82-4CA3-BFF3-3FC88B0998BB}"/>
    <cellStyle name="20% - Accent3 2 2 2 2 3 2 2 4" xfId="27571" xr:uid="{A6D2C4CE-5442-459D-A43A-F4900A62B122}"/>
    <cellStyle name="20% - Accent3 2 2 2 2 3 2 3" xfId="19704" xr:uid="{1201FFE3-BF2F-4C9B-ABC2-183DB6C8DBCE}"/>
    <cellStyle name="20% - Accent3 2 2 2 2 3 2 3 2" xfId="27687" xr:uid="{DCB308DB-18FF-4C7E-86B4-298483509595}"/>
    <cellStyle name="20% - Accent3 2 2 2 2 3 2 3 2 2" xfId="27568" xr:uid="{987088F8-466E-45AF-9BCF-844D9B93D54D}"/>
    <cellStyle name="20% - Accent3 2 2 2 2 3 2 3 3" xfId="28157" xr:uid="{C642AFB6-3235-4E83-9283-7B425CEF2DCC}"/>
    <cellStyle name="20% - Accent3 2 2 2 2 3 2 4" xfId="29062" xr:uid="{5ED655DD-A61B-45E8-AC56-DEE1DDB92F92}"/>
    <cellStyle name="20% - Accent3 2 2 2 2 3 2 4 2" xfId="28144" xr:uid="{67C5FA5F-B3D5-40B1-9594-90F4A833B178}"/>
    <cellStyle name="20% - Accent3 2 2 2 2 3 2 5" xfId="27566" xr:uid="{066C1E5A-AFFC-4E8A-8354-06C341FE174D}"/>
    <cellStyle name="20% - Accent3 2 2 2 2 3 3" xfId="30740" xr:uid="{FEED9271-A5C8-4A52-A53D-3B05DF6033AF}"/>
    <cellStyle name="20% - Accent3 2 2 2 2 3 3 2" xfId="21573" xr:uid="{506C529A-2050-4AED-A651-2D06B15FC8A2}"/>
    <cellStyle name="20% - Accent3 2 2 2 2 3 3 2 2" xfId="26987" xr:uid="{4FEAA685-7957-4EC1-89C7-AC0CF70F77E3}"/>
    <cellStyle name="20% - Accent3 2 2 2 2 3 3 2 2 2" xfId="32068" xr:uid="{821CD00B-8B00-4531-8B51-E5ABF9D059F3}"/>
    <cellStyle name="20% - Accent3 2 2 2 2 3 3 2 3" xfId="27181" xr:uid="{D63B9A91-2B19-41BA-9C35-651F9ABD5F52}"/>
    <cellStyle name="20% - Accent3 2 2 2 2 3 3 3" xfId="19697" xr:uid="{5AE1966E-EF60-4917-A8FE-74A5FE832C96}"/>
    <cellStyle name="20% - Accent3 2 2 2 2 3 3 3 2" xfId="27147" xr:uid="{54914630-2E23-4F59-B4B5-AE62BFED4D89}"/>
    <cellStyle name="20% - Accent3 2 2 2 2 3 3 4" xfId="25165" xr:uid="{9BE8D120-52D7-47A7-A895-A29DC04087E8}"/>
    <cellStyle name="20% - Accent3 2 2 2 2 3 4" xfId="33778" xr:uid="{4B63321B-00A7-40DF-ABAE-DC2FA16BD45C}"/>
    <cellStyle name="20% - Accent3 2 2 2 2 3 4 2" xfId="27565" xr:uid="{8DC1770D-C9CE-4B18-9CA4-242B1329CE73}"/>
    <cellStyle name="20% - Accent3 2 2 2 2 3 4 2 2" xfId="24074" xr:uid="{8F6AA562-7384-4150-B22A-CD7A00F9EA28}"/>
    <cellStyle name="20% - Accent3 2 2 2 2 3 4 3" xfId="34203" xr:uid="{2B8504E6-CF44-4502-9952-09FA6E7A2CA6}"/>
    <cellStyle name="20% - Accent3 2 2 2 2 3 5" xfId="28307" xr:uid="{3CFB1031-4D5C-48C9-BF4E-118EA2C7FEE5}"/>
    <cellStyle name="20% - Accent3 2 2 2 2 3 5 2" xfId="33601" xr:uid="{DF67CC32-B2C2-4574-8E4F-089B3B15B8EB}"/>
    <cellStyle name="20% - Accent3 2 2 2 2 3 6" xfId="28300" xr:uid="{B3235CA0-9B14-4391-BA63-F4EA5C1E8F4B}"/>
    <cellStyle name="20% - Accent3 2 2 2 2 4" xfId="32651" xr:uid="{3618628C-2B41-41AD-B1AC-C5D9E5D52F4E}"/>
    <cellStyle name="20% - Accent3 2 2 2 2 4 2" xfId="23028" xr:uid="{59E4B706-2D83-4EC0-8998-1CB728AD34C3}"/>
    <cellStyle name="20% - Accent3 2 2 2 2 4 2 2" xfId="19555" xr:uid="{FD05507A-5E3C-416C-9DB9-F1B2877D089D}"/>
    <cellStyle name="20% - Accent3 2 2 2 2 4 2 2 2" xfId="26781" xr:uid="{EC73E1D0-CFFE-4A8A-8C0C-FF4B7EC14506}"/>
    <cellStyle name="20% - Accent3 2 2 2 2 4 2 2 2 2" xfId="27561" xr:uid="{DDAC301D-F13E-43A8-9545-A885D003ACC8}"/>
    <cellStyle name="20% - Accent3 2 2 2 2 4 2 2 3" xfId="27560" xr:uid="{9A1CA90B-1C78-4520-881B-4925491D8AB0}"/>
    <cellStyle name="20% - Accent3 2 2 2 2 4 2 3" xfId="19550" xr:uid="{6DEE7BDE-335B-46C7-AFE7-845534C88C8A}"/>
    <cellStyle name="20% - Accent3 2 2 2 2 4 2 3 2" xfId="27972" xr:uid="{679D3024-33C7-41D6-B8C1-5FFB546E5B97}"/>
    <cellStyle name="20% - Accent3 2 2 2 2 4 2 4" xfId="19120" xr:uid="{3165FA92-FB96-4DBB-801D-3DAB48A9887A}"/>
    <cellStyle name="20% - Accent3 2 2 2 2 4 3" xfId="22487" xr:uid="{9E0D6240-91B7-4732-9390-8AD871955935}"/>
    <cellStyle name="20% - Accent3 2 2 2 2 4 3 2" xfId="19545" xr:uid="{F6C6C4BD-7A25-4AD8-9253-ACABE88087FF}"/>
    <cellStyle name="20% - Accent3 2 2 2 2 4 3 2 2" xfId="26117" xr:uid="{E29E82D8-2852-417B-98A8-490D4947CEF0}"/>
    <cellStyle name="20% - Accent3 2 2 2 2 4 3 3" xfId="27559" xr:uid="{089D6937-3D55-42A2-B181-4E4BD3579A33}"/>
    <cellStyle name="20% - Accent3 2 2 2 2 4 4" xfId="19603" xr:uid="{2C0BED15-AAD8-499A-8FD2-AE5CAC58D525}"/>
    <cellStyle name="20% - Accent3 2 2 2 2 4 4 2" xfId="27557" xr:uid="{5690669C-9D06-435B-A128-3F7792B67120}"/>
    <cellStyle name="20% - Accent3 2 2 2 2 4 5" xfId="27750" xr:uid="{074611D3-41E6-4342-AEA1-D544716476FC}"/>
    <cellStyle name="20% - Accent3 2 2 2 2 5" xfId="19499" xr:uid="{C42D62EF-D6A4-4603-A465-275118542B42}"/>
    <cellStyle name="20% - Accent3 2 2 2 2 5 2" xfId="10671" xr:uid="{610F38FC-4732-4E74-96AC-C53CC1D50EE4}"/>
    <cellStyle name="20% - Accent3 2 2 2 2 5 2 2" xfId="22899" xr:uid="{8598DB59-C310-4AA1-89BD-A77656DE0C29}"/>
    <cellStyle name="20% - Accent3 2 2 2 2 5 2 2 2" xfId="27553" xr:uid="{DA449BD1-0E5A-49FF-A874-77F06913E983}"/>
    <cellStyle name="20% - Accent3 2 2 2 2 5 2 3" xfId="25377" xr:uid="{E080FD0E-5645-4D6E-8001-CDD723B95DED}"/>
    <cellStyle name="20% - Accent3 2 2 2 2 5 3" xfId="10667" xr:uid="{C75F6A44-0125-4111-BB79-3FD1AEC5A5AF}"/>
    <cellStyle name="20% - Accent3 2 2 2 2 5 3 2" xfId="28429" xr:uid="{6E64A97A-5DAA-4A02-A2AA-FDFFECFEC8E5}"/>
    <cellStyle name="20% - Accent3 2 2 2 2 5 4" xfId="10662" xr:uid="{207F6B11-88BD-4908-99BB-9330A5B2F045}"/>
    <cellStyle name="20% - Accent3 2 2 2 2 6" xfId="32127" xr:uid="{6A3DE390-4B3C-4E18-BF26-FC01EFA52268}"/>
    <cellStyle name="20% - Accent3 2 2 2 2 6 2" xfId="10640" xr:uid="{FE174075-48F9-40B9-A037-AFCAC5788208}"/>
    <cellStyle name="20% - Accent3 2 2 2 2 6 2 2" xfId="25325" xr:uid="{C8FDFE75-0887-45E6-BEFB-A5B6DA74D9B6}"/>
    <cellStyle name="20% - Accent3 2 2 2 2 6 3" xfId="10632" xr:uid="{6E10C60F-AB03-4D4F-9325-481946805A23}"/>
    <cellStyle name="20% - Accent3 2 2 2 2 7" xfId="27942" xr:uid="{244310D2-8E3C-4F73-9853-0AA8E115D5BF}"/>
    <cellStyle name="20% - Accent3 2 2 2 2 7 2" xfId="10617" xr:uid="{F79F56E2-6390-44C4-ADC2-06B478F1B88D}"/>
    <cellStyle name="20% - Accent3 2 2 2 2 8" xfId="27931" xr:uid="{1A0F50D0-B209-4C63-B395-4B0B96221F81}"/>
    <cellStyle name="20% - Accent3 2 2 2 3" xfId="34394" xr:uid="{5BFF4B4B-A080-48ED-AB59-89BA35ACB8EA}"/>
    <cellStyle name="20% - Accent3 2 2 2 3 2" xfId="17565" xr:uid="{512867FF-A32A-448B-A744-564B94105617}"/>
    <cellStyle name="20% - Accent3 2 2 2 3 2 2" xfId="32742" xr:uid="{D0C352B9-4E80-4AFC-9928-2023969F11A1}"/>
    <cellStyle name="20% - Accent3 2 2 2 3 2 2 2" xfId="27552" xr:uid="{C97C4616-23F8-4336-A03F-3B80E4AFF20E}"/>
    <cellStyle name="20% - Accent3 2 2 2 3 2 2 2 2" xfId="20250" xr:uid="{AD13E95F-4920-4F88-833C-FD1A61F3C441}"/>
    <cellStyle name="20% - Accent3 2 2 2 3 2 2 2 2 2" xfId="32557" xr:uid="{A433A09A-ABFB-4511-BA31-6994036C1BD5}"/>
    <cellStyle name="20% - Accent3 2 2 2 3 2 2 2 2 2 2" xfId="19247" xr:uid="{C67A0311-8D45-43A9-B323-AC159348FEC7}"/>
    <cellStyle name="20% - Accent3 2 2 2 3 2 2 2 2 3" xfId="30973" xr:uid="{9CE25C3E-21E7-4721-8B88-2CC6C515F24A}"/>
    <cellStyle name="20% - Accent3 2 2 2 3 2 2 2 3" xfId="16431" xr:uid="{EC0A1C86-70A9-4A7C-8576-27F0189D4797}"/>
    <cellStyle name="20% - Accent3 2 2 2 3 2 2 2 3 2" xfId="29479" xr:uid="{FF4B6F31-302F-4A77-8BA2-333B3803C08D}"/>
    <cellStyle name="20% - Accent3 2 2 2 3 2 2 2 4" xfId="21882" xr:uid="{00CC6E64-2B42-4973-8628-6C19454F386F}"/>
    <cellStyle name="20% - Accent3 2 2 2 3 2 2 3" xfId="27550" xr:uid="{912F510B-DFDC-4B7D-AC88-603CD590C0E6}"/>
    <cellStyle name="20% - Accent3 2 2 2 3 2 2 3 2" xfId="26312" xr:uid="{E66505A6-BC6F-403F-849C-D7A774CA8722}"/>
    <cellStyle name="20% - Accent3 2 2 2 3 2 2 3 2 2" xfId="32542" xr:uid="{13436AB8-BA16-4AC3-A1DD-9E1CB9023170}"/>
    <cellStyle name="20% - Accent3 2 2 2 3 2 2 3 3" xfId="20156" xr:uid="{A401BD0B-94D1-4427-B2FF-48F4037D91D6}"/>
    <cellStyle name="20% - Accent3 2 2 2 3 2 2 4" xfId="18843" xr:uid="{D9E57FF9-53AB-4A8D-B765-AABFEE4348A1}"/>
    <cellStyle name="20% - Accent3 2 2 2 3 2 2 4 2" xfId="18632" xr:uid="{F7F5EAD2-11D6-436E-BC1C-76D711200288}"/>
    <cellStyle name="20% - Accent3 2 2 2 3 2 2 5" xfId="18614" xr:uid="{2B9D60AE-0D7D-4E15-825E-382741497A69}"/>
    <cellStyle name="20% - Accent3 2 2 2 3 2 3" xfId="32740" xr:uid="{5C97122E-6139-4B94-9090-211A2DBC3AD2}"/>
    <cellStyle name="20% - Accent3 2 2 2 3 2 3 2" xfId="27530" xr:uid="{F5B2C10E-ACF8-429B-8D2B-CEFF69CDEFDA}"/>
    <cellStyle name="20% - Accent3 2 2 2 3 2 3 2 2" xfId="18128" xr:uid="{436B716D-2B03-4A2A-9E19-B2680B7A7C6E}"/>
    <cellStyle name="20% - Accent3 2 2 2 3 2 3 2 2 2" xfId="32796" xr:uid="{FA044B69-8BE2-4360-BC29-95CEB09E8DF9}"/>
    <cellStyle name="20% - Accent3 2 2 2 3 2 3 2 3" xfId="18111" xr:uid="{8E1F1D19-F0BE-47E8-8CB0-2DBCDDC0D920}"/>
    <cellStyle name="20% - Accent3 2 2 2 3 2 3 3" xfId="27529" xr:uid="{5D9880C6-9377-407A-A2F1-C410C1429110}"/>
    <cellStyle name="20% - Accent3 2 2 2 3 2 3 3 2" xfId="27470" xr:uid="{6F1109D2-17D6-4D2F-9EC8-1009E9D1BEBB}"/>
    <cellStyle name="20% - Accent3 2 2 2 3 2 3 4" xfId="19487" xr:uid="{245FE8D8-90EA-4324-93FB-66814EBDA506}"/>
    <cellStyle name="20% - Accent3 2 2 2 3 2 4" xfId="32117" xr:uid="{EE71F353-C9F0-4B68-A0C1-EEDD11034E1E}"/>
    <cellStyle name="20% - Accent3 2 2 2 3 2 4 2" xfId="27528" xr:uid="{8419C608-0876-41BC-9E95-0E9A87D1AF28}"/>
    <cellStyle name="20% - Accent3 2 2 2 3 2 4 2 2" xfId="26205" xr:uid="{0BA32993-A9E7-442B-A8A4-1371C783462E}"/>
    <cellStyle name="20% - Accent3 2 2 2 3 2 4 3" xfId="27527" xr:uid="{69AFADE7-87D5-4016-9390-1ED35D77EF55}"/>
    <cellStyle name="20% - Accent3 2 2 2 3 2 5" xfId="24650" xr:uid="{44B02B2B-8635-42A1-BD14-E6CAEA0C1E77}"/>
    <cellStyle name="20% - Accent3 2 2 2 3 2 5 2" xfId="27517" xr:uid="{B0DC3B89-DDC2-4E86-929E-2DB9A2AEF7F8}"/>
    <cellStyle name="20% - Accent3 2 2 2 3 2 6" xfId="24648" xr:uid="{6717ADFF-DFDB-47B2-9CA9-37410380ADB0}"/>
    <cellStyle name="20% - Accent3 2 2 2 3 3" xfId="32004" xr:uid="{39DF63B0-5B9A-4DE6-BDC8-8F0C4FB03F3A}"/>
    <cellStyle name="20% - Accent3 2 2 2 3 3 2" xfId="32020" xr:uid="{53D0C0D4-A2F9-4668-A26C-F05FA3D8C894}"/>
    <cellStyle name="20% - Accent3 2 2 2 3 3 2 2" xfId="19317" xr:uid="{25A70978-97B9-4FD7-A3C7-EC47615FE079}"/>
    <cellStyle name="20% - Accent3 2 2 2 3 3 2 2 2" xfId="26028" xr:uid="{2126F7B7-DFF6-4091-8F52-E35CEAD5F052}"/>
    <cellStyle name="20% - Accent3 2 2 2 3 3 2 2 2 2" xfId="16360" xr:uid="{785C5E94-81E1-4606-9737-0D8A4231ED53}"/>
    <cellStyle name="20% - Accent3 2 2 2 3 3 2 2 3" xfId="27511" xr:uid="{2DEACF92-3A43-418F-B57F-623E7A62622C}"/>
    <cellStyle name="20% - Accent3 2 2 2 3 3 2 3" xfId="19311" xr:uid="{A3FA0BD4-2959-48CE-8C48-594430D0E09A}"/>
    <cellStyle name="20% - Accent3 2 2 2 3 3 2 3 2" xfId="27510" xr:uid="{60EFC9A7-F7B0-499C-A346-E54BFDC0C204}"/>
    <cellStyle name="20% - Accent3 2 2 2 3 3 2 4" xfId="18646" xr:uid="{17289645-A933-42DC-9B4A-67F7728D7008}"/>
    <cellStyle name="20% - Accent3 2 2 2 3 3 3" xfId="32729" xr:uid="{B1AF243C-ACB9-4B55-862D-2380A1426245}"/>
    <cellStyle name="20% - Accent3 2 2 2 3 3 3 2" xfId="19306" xr:uid="{1E33901A-E472-4811-89E4-B78907545EB4}"/>
    <cellStyle name="20% - Accent3 2 2 2 3 3 3 2 2" xfId="27507" xr:uid="{E5E94579-A03D-4C4F-929D-901D0E3A730C}"/>
    <cellStyle name="20% - Accent3 2 2 2 3 3 3 3" xfId="34303" xr:uid="{6847D259-3035-4863-8E4E-B92E05025E93}"/>
    <cellStyle name="20% - Accent3 2 2 2 3 3 4" xfId="27897" xr:uid="{BB2C636E-BB30-457B-9CDD-EC1E8379F584}"/>
    <cellStyle name="20% - Accent3 2 2 2 3 3 4 2" xfId="33299" xr:uid="{AD094B88-E709-487A-92B2-8D06D8D4558B}"/>
    <cellStyle name="20% - Accent3 2 2 2 3 3 5" xfId="24640" xr:uid="{AF924C18-7E9F-4140-8A02-05BAA38409B1}"/>
    <cellStyle name="20% - Accent3 2 2 2 3 4" xfId="32988" xr:uid="{A4CD1D45-7D15-48C0-8915-7536E6E6B37F}"/>
    <cellStyle name="20% - Accent3 2 2 2 3 4 2" xfId="22065" xr:uid="{8A25FA05-BA07-4B87-8D33-78862438AADD}"/>
    <cellStyle name="20% - Accent3 2 2 2 3 4 2 2" xfId="25921" xr:uid="{83328E02-A21F-468C-B7CC-43637D68D4F8}"/>
    <cellStyle name="20% - Accent3 2 2 2 3 4 2 2 2" xfId="27504" xr:uid="{820C9873-68C4-4927-BAF9-632B9C40DF20}"/>
    <cellStyle name="20% - Accent3 2 2 2 3 4 2 3" xfId="27503" xr:uid="{C55FD302-9D53-4D1C-8E74-5522EECAD8D7}"/>
    <cellStyle name="20% - Accent3 2 2 2 3 4 3" xfId="19594" xr:uid="{34CA1A5D-63B4-4ED4-9EB8-68761766EA7E}"/>
    <cellStyle name="20% - Accent3 2 2 2 3 4 3 2" xfId="27500" xr:uid="{05E3FF49-4A57-4A56-A271-5D10A8496197}"/>
    <cellStyle name="20% - Accent3 2 2 2 3 4 4" xfId="27697" xr:uid="{6EA0F7C7-2ECB-4B7B-B1D2-CE3815377A3E}"/>
    <cellStyle name="20% - Accent3 2 2 2 3 5" xfId="27680" xr:uid="{F3D5EA8C-9541-4455-AC2E-5F80EE5ED725}"/>
    <cellStyle name="20% - Accent3 2 2 2 3 5 2" xfId="10603" xr:uid="{0A85BAF1-45D2-43C0-81CA-44B9ED544B6B}"/>
    <cellStyle name="20% - Accent3 2 2 2 3 5 2 2" xfId="25264" xr:uid="{A02A231F-7A48-48DE-B409-8D185F517DD9}"/>
    <cellStyle name="20% - Accent3 2 2 2 3 5 3" xfId="10600" xr:uid="{0E35AFA5-688B-486C-BB1B-58A44AE02F1E}"/>
    <cellStyle name="20% - Accent3 2 2 2 3 6" xfId="27666" xr:uid="{DDBDF321-C3B8-4B5A-9ABF-7D18D9F09C97}"/>
    <cellStyle name="20% - Accent3 2 2 2 3 6 2" xfId="10590" xr:uid="{F16C074D-DF4B-4AA2-A3F7-6D46D81FFE5F}"/>
    <cellStyle name="20% - Accent3 2 2 2 3 7" xfId="16502" xr:uid="{F92D888A-3173-4E59-801D-9123F800BEC4}"/>
    <cellStyle name="20% - Accent3 2 2 2 4" xfId="22875" xr:uid="{383321DA-03D8-461E-9A80-60FD14846AAE}"/>
    <cellStyle name="20% - Accent3 2 2 2 4 2" xfId="28528" xr:uid="{876E432F-38AF-4502-B22D-874A833CEC9C}"/>
    <cellStyle name="20% - Accent3 2 2 2 4 2 2" xfId="32044" xr:uid="{79951773-6641-4F0B-95E9-1CA5966EE525}"/>
    <cellStyle name="20% - Accent3 2 2 2 4 2 2 2" xfId="27497" xr:uid="{ECB6E584-08AB-4DD6-96DD-7E47B9A69C65}"/>
    <cellStyle name="20% - Accent3 2 2 2 4 2 2 2 2" xfId="25721" xr:uid="{8F6FC957-5BCB-48A7-9DB9-A2E4E26ED563}"/>
    <cellStyle name="20% - Accent3 2 2 2 4 2 2 2 2 2" xfId="27493" xr:uid="{710530F7-5004-44E0-B783-A8080787D54F}"/>
    <cellStyle name="20% - Accent3 2 2 2 4 2 2 2 3" xfId="26003" xr:uid="{CBB4E09A-3158-4384-8819-3DC470BEFFEE}"/>
    <cellStyle name="20% - Accent3 2 2 2 4 2 2 3" xfId="29073" xr:uid="{D326A5B0-7FC1-48F7-A961-F85BDD260BD9}"/>
    <cellStyle name="20% - Accent3 2 2 2 4 2 2 3 2" xfId="27496" xr:uid="{83078BF8-F14F-4F64-9E31-B7E6F4882E6B}"/>
    <cellStyle name="20% - Accent3 2 2 2 4 2 2 4" xfId="29063" xr:uid="{021A06ED-AE68-45E2-A21D-C01AD1177478}"/>
    <cellStyle name="20% - Accent3 2 2 2 4 2 3" xfId="30750" xr:uid="{89A4FD1E-D773-4985-A584-EAB3556AC2FC}"/>
    <cellStyle name="20% - Accent3 2 2 2 4 2 3 2" xfId="14396" xr:uid="{932AC36B-A2B4-442F-AA56-0753E1757E90}"/>
    <cellStyle name="20% - Accent3 2 2 2 4 2 3 2 2" xfId="27491" xr:uid="{859023FF-FE0B-47D3-B709-97A531A27937}"/>
    <cellStyle name="20% - Accent3 2 2 2 4 2 3 3" xfId="29050" xr:uid="{CA802842-E7C8-49A7-8B1E-CB38FAA59A53}"/>
    <cellStyle name="20% - Accent3 2 2 2 4 2 4" xfId="27481" xr:uid="{0FE4E0B2-1BC7-4842-977B-989F562A1352}"/>
    <cellStyle name="20% - Accent3 2 2 2 4 2 4 2" xfId="27478" xr:uid="{F3CF3391-AC22-4A4D-8120-4409DCD431BB}"/>
    <cellStyle name="20% - Accent3 2 2 2 4 2 5" xfId="24597" xr:uid="{227C1D4C-3C1F-4D56-9A0A-39729B195476}"/>
    <cellStyle name="20% - Accent3 2 2 2 4 3" xfId="18797" xr:uid="{FE7C02C9-69D3-4E5C-B125-6D496A511A63}"/>
    <cellStyle name="20% - Accent3 2 2 2 4 3 2" xfId="32007" xr:uid="{854149BD-9580-4EC7-9813-873792DBED8C}"/>
    <cellStyle name="20% - Accent3 2 2 2 4 3 2 2" xfId="19127" xr:uid="{5417A075-5F23-4889-B3D4-0CAC2740FD28}"/>
    <cellStyle name="20% - Accent3 2 2 2 4 3 2 2 2" xfId="27475" xr:uid="{ECD6F3B0-5D39-41C8-A4FB-34CDF8CDBDCD}"/>
    <cellStyle name="20% - Accent3 2 2 2 4 3 2 3" xfId="28938" xr:uid="{1F1A5F75-C747-4419-A956-C01BAFDF420F}"/>
    <cellStyle name="20% - Accent3 2 2 2 4 3 3" xfId="27809" xr:uid="{71FB313B-BE2D-447F-B8A8-E55398E53E71}"/>
    <cellStyle name="20% - Accent3 2 2 2 4 3 3 2" xfId="27473" xr:uid="{BB93017A-FF64-491F-B0FA-A2868A79006B}"/>
    <cellStyle name="20% - Accent3 2 2 2 4 3 4" xfId="27801" xr:uid="{E6858429-30A1-46E0-8F49-2CDA5ED6E47D}"/>
    <cellStyle name="20% - Accent3 2 2 2 4 4" xfId="29519" xr:uid="{3229A17B-AB91-409B-907E-D06D7B734105}"/>
    <cellStyle name="20% - Accent3 2 2 2 4 4 2" xfId="22054" xr:uid="{B6F5E992-19A0-4663-9500-2CE718DFC850}"/>
    <cellStyle name="20% - Accent3 2 2 2 4 4 2 2" xfId="34386" xr:uid="{6F0E3210-8D34-40F2-9863-D21C4C177CC6}"/>
    <cellStyle name="20% - Accent3 2 2 2 4 4 3" xfId="27785" xr:uid="{878435CC-6705-4591-98A6-D0FC9B5D4979}"/>
    <cellStyle name="20% - Accent3 2 2 2 4 5" xfId="27772" xr:uid="{3AC07BA3-D3C6-4945-A555-7C940DC2F33A}"/>
    <cellStyle name="20% - Accent3 2 2 2 4 5 2" xfId="10581" xr:uid="{AE26A90E-528D-4927-B352-2D533FC89967}"/>
    <cellStyle name="20% - Accent3 2 2 2 4 6" xfId="28588" xr:uid="{AC9D16E2-66D1-48C4-8F35-4FFBCB1FF843}"/>
    <cellStyle name="20% - Accent3 2 2 2 5" xfId="27492" xr:uid="{01786C33-00CA-4BC2-98E4-94D9A8852F20}"/>
    <cellStyle name="20% - Accent3 2 2 2 5 2" xfId="21179" xr:uid="{B11B5FA3-E9F4-4E7B-B11E-C07DBBA845A8}"/>
    <cellStyle name="20% - Accent3 2 2 2 5 2 2" xfId="29772" xr:uid="{76DF079D-E5F4-405C-ACF4-D504CDA67BCF}"/>
    <cellStyle name="20% - Accent3 2 2 2 5 2 2 2" xfId="34256" xr:uid="{82614DE5-BAF1-47F9-91D3-A08C66EF9B81}"/>
    <cellStyle name="20% - Accent3 2 2 2 5 2 2 2 2" xfId="27472" xr:uid="{D1C48F0B-6D91-46D0-8170-4FF6C7341B01}"/>
    <cellStyle name="20% - Accent3 2 2 2 5 2 2 3" xfId="28712" xr:uid="{58CD388B-85DB-4EC7-8A3F-EBEAAC3CF423}"/>
    <cellStyle name="20% - Accent3 2 2 2 5 2 3" xfId="27469" xr:uid="{05665D9C-C330-456F-ACB6-D356F6AED281}"/>
    <cellStyle name="20% - Accent3 2 2 2 5 2 3 2" xfId="27467" xr:uid="{61F3F6D4-8569-4FB7-84DA-37FB2B11FE5C}"/>
    <cellStyle name="20% - Accent3 2 2 2 5 2 4" xfId="27466" xr:uid="{8A11D0DC-C1F5-4287-8586-2DE46507B3FC}"/>
    <cellStyle name="20% - Accent3 2 2 2 5 3" xfId="32432" xr:uid="{2A95C19B-582C-4E85-842F-E6553560B97B}"/>
    <cellStyle name="20% - Accent3 2 2 2 5 3 2" xfId="27747" xr:uid="{EF611D95-B920-4355-9BCE-1E4CF776D679}"/>
    <cellStyle name="20% - Accent3 2 2 2 5 3 2 2" xfId="17750" xr:uid="{8B6B93E7-1983-4004-8B45-1DC2843F4CE5}"/>
    <cellStyle name="20% - Accent3 2 2 2 5 3 3" xfId="27746" xr:uid="{6D913A71-A297-4B65-BA62-91B42D66F7AE}"/>
    <cellStyle name="20% - Accent3 2 2 2 5 4" xfId="8553" xr:uid="{10C160B1-7DEA-4C98-8DDE-53BA3405359E}"/>
    <cellStyle name="20% - Accent3 2 2 2 5 4 2" xfId="33051" xr:uid="{2E0B5ED6-F4E6-4740-9420-F956F85F595E}"/>
    <cellStyle name="20% - Accent3 2 2 2 5 5" xfId="8547" xr:uid="{5296A82A-5CB4-46EC-8A1E-051157D29390}"/>
    <cellStyle name="20% - Accent3 2 2 2 6" xfId="30927" xr:uid="{F1F4EAE6-BC6C-4252-843E-DC58488B5823}"/>
    <cellStyle name="20% - Accent3 2 2 2 6 2" xfId="34312" xr:uid="{958D330B-F308-470C-813C-AFE08013A5C6}"/>
    <cellStyle name="20% - Accent3 2 2 2 6 2 2" xfId="27460" xr:uid="{FB2FB4C7-2712-4D2C-A0FB-CFFC5C714020}"/>
    <cellStyle name="20% - Accent3 2 2 2 6 2 2 2" xfId="27458" xr:uid="{FDC67B30-CC53-4031-BE23-8224086FBD51}"/>
    <cellStyle name="20% - Accent3 2 2 2 6 2 3" xfId="17222" xr:uid="{AB67BA38-DF6E-4323-8A9A-9787E1D7A117}"/>
    <cellStyle name="20% - Accent3 2 2 2 6 3" xfId="27723" xr:uid="{1D7A8765-C24B-4A5C-A5FC-4B0F9AB7A68A}"/>
    <cellStyle name="20% - Accent3 2 2 2 6 3 2" xfId="17066" xr:uid="{EEB0BA7D-786F-47C6-9F0C-A7A05FB0E1B0}"/>
    <cellStyle name="20% - Accent3 2 2 2 6 4" xfId="18694" xr:uid="{B12A2CD1-34C3-4CD0-A8EC-66634E1F3D77}"/>
    <cellStyle name="20% - Accent3 2 2 2 7" xfId="31008" xr:uid="{0D87AD1C-721E-434C-827C-4E574F332627}"/>
    <cellStyle name="20% - Accent3 2 2 2 7 2" xfId="11109" xr:uid="{5D0BF73B-CCCB-4773-B5B7-B455B94EEBF4}"/>
    <cellStyle name="20% - Accent3 2 2 2 7 2 2" xfId="16462" xr:uid="{8E358D99-9DA8-4C9C-ADF9-DDD6610E1D3F}"/>
    <cellStyle name="20% - Accent3 2 2 2 7 3" xfId="27445" xr:uid="{40F9C923-1C3E-43D2-96ED-984DB56BC721}"/>
    <cellStyle name="20% - Accent3 2 2 2 8" xfId="27443" xr:uid="{E35F4DDD-2ABA-48AB-9432-6840DE87D785}"/>
    <cellStyle name="20% - Accent3 2 2 2 8 2" xfId="27442" xr:uid="{CB453513-9E3A-4F96-A5F9-322CB740078C}"/>
    <cellStyle name="20% - Accent3 2 2 2 9" xfId="33822" xr:uid="{0E1ACBCF-F5A1-4526-A0E3-D43F25F11AEE}"/>
    <cellStyle name="20% - Accent3 2 2 3" xfId="17653" xr:uid="{BFC3C762-F158-4161-8338-20102B6CFCD4}"/>
    <cellStyle name="20% - Accent3 2 2 3 2" xfId="33824" xr:uid="{0F2614A8-643D-4E4E-9493-27BB66A338DD}"/>
    <cellStyle name="20% - Accent3 2 2 3 2 2" xfId="17546" xr:uid="{5E1ADAC0-9010-48BE-AE94-251485C7164A}"/>
    <cellStyle name="20% - Accent3 2 2 3 2 2 2" xfId="24996" xr:uid="{BAF54678-EEF3-42E9-A34F-43B49FC9F84E}"/>
    <cellStyle name="20% - Accent3 2 2 3 2 2 2 2" xfId="27438" xr:uid="{6083955B-8DA6-4912-8767-2C2A6BB423E7}"/>
    <cellStyle name="20% - Accent3 2 2 3 2 2 2 2 2" xfId="25098" xr:uid="{FCFC8278-A1F2-41F4-A588-0B856C4BE09F}"/>
    <cellStyle name="20% - Accent3 2 2 3 2 2 2 2 2 2" xfId="18284" xr:uid="{8A7AF454-A8F3-4BFE-8012-1925CBF80948}"/>
    <cellStyle name="20% - Accent3 2 2 3 2 2 2 2 2 2 2" xfId="27437" xr:uid="{F412F84C-5BE7-4D79-953B-F38AE5FABB0D}"/>
    <cellStyle name="20% - Accent3 2 2 3 2 2 2 2 2 3" xfId="18136" xr:uid="{A5505F2B-1BD2-495B-9ADF-DE2121DB8D07}"/>
    <cellStyle name="20% - Accent3 2 2 3 2 2 2 2 3" xfId="29916" xr:uid="{4DE7DFE6-423C-43E5-8FF1-C2C0C96BAF4E}"/>
    <cellStyle name="20% - Accent3 2 2 3 2 2 2 2 3 2" xfId="33102" xr:uid="{574A3774-CEB4-4D7D-B016-354584AB51F8}"/>
    <cellStyle name="20% - Accent3 2 2 3 2 2 2 2 4" xfId="19911" xr:uid="{1E5DEB9E-17BD-433A-B78B-724F86053CF6}"/>
    <cellStyle name="20% - Accent3 2 2 3 2 2 2 3" xfId="27435" xr:uid="{293C1989-A321-4BE9-962C-4AD87D8827B5}"/>
    <cellStyle name="20% - Accent3 2 2 3 2 2 2 3 2" xfId="29594" xr:uid="{C8D3FB53-7E66-4268-AFF0-AA9BA749C6B3}"/>
    <cellStyle name="20% - Accent3 2 2 3 2 2 2 3 2 2" xfId="33719" xr:uid="{76D1C059-4382-4E16-9DAA-A783CD390989}"/>
    <cellStyle name="20% - Accent3 2 2 3 2 2 2 3 3" xfId="24773" xr:uid="{20D628CD-FF4F-426A-94DF-049207D2885A}"/>
    <cellStyle name="20% - Accent3 2 2 3 2 2 2 4" xfId="31118" xr:uid="{30F50241-41C2-4C2E-B755-3083A6A13E3A}"/>
    <cellStyle name="20% - Accent3 2 2 3 2 2 2 4 2" xfId="33183" xr:uid="{16EC3706-6928-4530-864E-3D081A8F8112}"/>
    <cellStyle name="20% - Accent3 2 2 3 2 2 2 5" xfId="27434" xr:uid="{C4129665-A2CB-40E1-9F44-117283A64CB7}"/>
    <cellStyle name="20% - Accent3 2 2 3 2 2 3" xfId="31596" xr:uid="{F625673A-312D-4615-8B02-863FD7CE7D0A}"/>
    <cellStyle name="20% - Accent3 2 2 3 2 2 3 2" xfId="32539" xr:uid="{ADDC22FB-F7D0-48F1-8275-1F20F06A1794}"/>
    <cellStyle name="20% - Accent3 2 2 3 2 2 3 2 2" xfId="21267" xr:uid="{D248A84A-BF93-4EF8-A07E-37B5B22BB6A1}"/>
    <cellStyle name="20% - Accent3 2 2 3 2 2 3 2 2 2" xfId="34029" xr:uid="{C5E7DA43-CD5E-4D53-9B74-B865B200450E}"/>
    <cellStyle name="20% - Accent3 2 2 3 2 2 3 2 3" xfId="24594" xr:uid="{B75D8334-B4DF-4A38-A339-8DA13328BA4B}"/>
    <cellStyle name="20% - Accent3 2 2 3 2 2 3 3" xfId="31215" xr:uid="{FF7F7AC4-32DF-40C1-B34C-BAB85687FD8B}"/>
    <cellStyle name="20% - Accent3 2 2 3 2 2 3 3 2" xfId="24565" xr:uid="{DFDD3797-39D3-4E5E-8759-CBB0D3A88B32}"/>
    <cellStyle name="20% - Accent3 2 2 3 2 2 3 4" xfId="27432" xr:uid="{6015B0E5-557D-488D-B277-9F9B5A86F0D1}"/>
    <cellStyle name="20% - Accent3 2 2 3 2 2 4" xfId="31591" xr:uid="{72D86CB1-B668-4DB4-B29D-D75D801D0A90}"/>
    <cellStyle name="20% - Accent3 2 2 3 2 2 4 2" xfId="31207" xr:uid="{05DF6A2F-DB3E-4E69-B3ED-5E924C9B0210}"/>
    <cellStyle name="20% - Accent3 2 2 3 2 2 4 2 2" xfId="28022" xr:uid="{7FB77B74-43BC-4CAE-A49A-E9E6F36886BE}"/>
    <cellStyle name="20% - Accent3 2 2 3 2 2 4 3" xfId="27428" xr:uid="{D1692D15-5644-421A-B5E7-E562708623E9}"/>
    <cellStyle name="20% - Accent3 2 2 3 2 2 5" xfId="26776" xr:uid="{C2C9692F-20FD-4842-9FB2-8A873C103080}"/>
    <cellStyle name="20% - Accent3 2 2 3 2 2 5 2" xfId="27424" xr:uid="{CFFCDEFF-1CC4-4FBC-801C-B71CC7C0167A}"/>
    <cellStyle name="20% - Accent3 2 2 3 2 2 6" xfId="26561" xr:uid="{E61BCC12-687F-4284-BEC6-271FCFB47B9D}"/>
    <cellStyle name="20% - Accent3 2 2 3 2 3" xfId="25004" xr:uid="{34DB0C4A-A7C8-40C6-9DF1-E6399DDC0B0C}"/>
    <cellStyle name="20% - Accent3 2 2 3 2 3 2" xfId="33728" xr:uid="{248F6CFB-4CDC-4AAC-9DDD-E1AF245271AE}"/>
    <cellStyle name="20% - Accent3 2 2 3 2 3 2 2" xfId="18856" xr:uid="{B7D9319A-0778-4860-AC6B-C94C199F4DDC}"/>
    <cellStyle name="20% - Accent3 2 2 3 2 3 2 2 2" xfId="22244" xr:uid="{41D42BCD-025F-4E32-A425-1F195447041C}"/>
    <cellStyle name="20% - Accent3 2 2 3 2 3 2 2 2 2" xfId="34322" xr:uid="{061CC54B-7F2F-4895-8CA4-EB57E907A170}"/>
    <cellStyle name="20% - Accent3 2 2 3 2 3 2 2 3" xfId="24223" xr:uid="{5B6B2E08-3728-4159-9F9E-958DB70C6F5A}"/>
    <cellStyle name="20% - Accent3 2 2 3 2 3 2 3" xfId="18852" xr:uid="{D3A2D35F-D1E3-48F4-BDC3-A8AFD422FE5D}"/>
    <cellStyle name="20% - Accent3 2 2 3 2 3 2 3 2" xfId="24184" xr:uid="{2932A811-07B9-41D5-9583-EA24EB015294}"/>
    <cellStyle name="20% - Accent3 2 2 3 2 3 2 4" xfId="27411" xr:uid="{184E3554-F08C-4629-BC66-4B0AECFEE14E}"/>
    <cellStyle name="20% - Accent3 2 2 3 2 3 3" xfId="32683" xr:uid="{749ABD68-76F0-4C92-ABE2-2E39C4576CFB}"/>
    <cellStyle name="20% - Accent3 2 2 3 2 3 3 2" xfId="18849" xr:uid="{041A2E30-D1C2-43D3-9C6A-E829592B2DD3}"/>
    <cellStyle name="20% - Accent3 2 2 3 2 3 3 2 2" xfId="24112" xr:uid="{B9056C61-1ABB-4B92-8826-C39131073243}"/>
    <cellStyle name="20% - Accent3 2 2 3 2 3 3 3" xfId="25200" xr:uid="{2D64D9DC-5B7F-42A3-A6AE-C0F7A3B18B5A}"/>
    <cellStyle name="20% - Accent3 2 2 3 2 3 4" xfId="27406" xr:uid="{17C62EB8-CFC3-46EE-8640-20B8E51EF795}"/>
    <cellStyle name="20% - Accent3 2 2 3 2 3 4 2" xfId="27405" xr:uid="{F0223176-4AB7-47AD-A19D-C4476ABA30D0}"/>
    <cellStyle name="20% - Accent3 2 2 3 2 3 5" xfId="28189" xr:uid="{F243E32B-EC12-46CC-BA6E-4D3C8C9BB871}"/>
    <cellStyle name="20% - Accent3 2 2 3 2 4" xfId="24987" xr:uid="{38635C23-3AF4-4DA0-A668-F414A9A45E9B}"/>
    <cellStyle name="20% - Accent3 2 2 3 2 4 2" xfId="25648" xr:uid="{FDCA6B31-E2ED-4B63-A1DC-98E2F172A8E7}"/>
    <cellStyle name="20% - Accent3 2 2 3 2 4 2 2" xfId="28403" xr:uid="{C775B272-84B1-4EC3-8419-673F5DCD7B9E}"/>
    <cellStyle name="20% - Accent3 2 2 3 2 4 2 2 2" xfId="23951" xr:uid="{FE47E04A-4766-4F3B-B5CB-7FD9A5B2F894}"/>
    <cellStyle name="20% - Accent3 2 2 3 2 4 2 3" xfId="27400" xr:uid="{88357E1E-CA05-45C1-9E87-EC50A4A02DFA}"/>
    <cellStyle name="20% - Accent3 2 2 3 2 4 3" xfId="19934" xr:uid="{5C34BCE9-2CCF-42B8-B23E-21B80DBC891C}"/>
    <cellStyle name="20% - Accent3 2 2 3 2 4 3 2" xfId="27397" xr:uid="{D77B5E7D-FC5B-4324-80F2-3C945436C509}"/>
    <cellStyle name="20% - Accent3 2 2 3 2 4 4" xfId="30693" xr:uid="{B4B01AC9-2651-49C0-A4B3-901C92B7E117}"/>
    <cellStyle name="20% - Accent3 2 2 3 2 5" xfId="17189" xr:uid="{2ADE0817-353F-40B8-8348-746B384EEE4D}"/>
    <cellStyle name="20% - Accent3 2 2 3 2 5 2" xfId="25622" xr:uid="{74A91C24-5E62-4170-B579-46E366B827DE}"/>
    <cellStyle name="20% - Accent3 2 2 3 2 5 2 2" xfId="32903" xr:uid="{4D7B9365-D54F-42BD-A31A-1E1A8CFA8D3F}"/>
    <cellStyle name="20% - Accent3 2 2 3 2 5 3" xfId="10421" xr:uid="{60BD8EF4-20B0-4D08-B7B0-B31701C4DF20}"/>
    <cellStyle name="20% - Accent3 2 2 3 2 6" xfId="27451" xr:uid="{394F8A33-36D0-4FD7-8D94-0CCC69CC1C3E}"/>
    <cellStyle name="20% - Accent3 2 2 3 2 6 2" xfId="10414" xr:uid="{02E7AE6F-E738-4B74-9AB3-69FFF36FAB19}"/>
    <cellStyle name="20% - Accent3 2 2 3 2 7" xfId="27388" xr:uid="{203B611E-0E40-4024-AA09-C9F3BFA4C7E2}"/>
    <cellStyle name="20% - Accent3 2 2 3 3" xfId="21545" xr:uid="{6FF0E618-85C0-416A-9CC8-A8EDCBCBE3AB}"/>
    <cellStyle name="20% - Accent3 2 2 3 3 2" xfId="24959" xr:uid="{C766357E-67A5-4BA2-B356-2B83551E629C}"/>
    <cellStyle name="20% - Accent3 2 2 3 3 2 2" xfId="31552" xr:uid="{B1FEECA1-0CD5-48DB-A6DC-9E74D67317E5}"/>
    <cellStyle name="20% - Accent3 2 2 3 3 2 2 2" xfId="27380" xr:uid="{177D7B65-DD9F-4B4C-BD14-15A47608669A}"/>
    <cellStyle name="20% - Accent3 2 2 3 3 2 2 2 2" xfId="27369" xr:uid="{4A7EA66E-C3FE-45DE-AABD-C49631318CC3}"/>
    <cellStyle name="20% - Accent3 2 2 3 3 2 2 2 2 2" xfId="10729" xr:uid="{28561CF5-628F-4D50-A6E5-FFFB37EAC699}"/>
    <cellStyle name="20% - Accent3 2 2 3 3 2 2 2 3" xfId="16924" xr:uid="{CFD90AC5-7260-4F06-8432-590520963B39}"/>
    <cellStyle name="20% - Accent3 2 2 3 3 2 2 3" xfId="27364" xr:uid="{D6EA51CD-14A7-42EF-821F-D86A9B556D97}"/>
    <cellStyle name="20% - Accent3 2 2 3 3 2 2 3 2" xfId="23501" xr:uid="{5F6EA7F6-3490-40FA-9029-8CA6C2F9B95C}"/>
    <cellStyle name="20% - Accent3 2 2 3 3 2 2 4" xfId="27362" xr:uid="{0922B97B-1065-4D18-A18C-01896A385294}"/>
    <cellStyle name="20% - Accent3 2 2 3 3 2 3" xfId="31550" xr:uid="{8E166E7F-5B5B-48E7-BE3F-859A437CC9B0}"/>
    <cellStyle name="20% - Accent3 2 2 3 3 2 3 2" xfId="33992" xr:uid="{221F6D7F-1EAB-464F-81D6-FF0249E66B24}"/>
    <cellStyle name="20% - Accent3 2 2 3 3 2 3 2 2" xfId="22273" xr:uid="{E8C16216-8B60-4E61-91D9-2A475EADD0BF}"/>
    <cellStyle name="20% - Accent3 2 2 3 3 2 3 3" xfId="27359" xr:uid="{A4EAEB01-EA9F-400D-8989-D42300639E22}"/>
    <cellStyle name="20% - Accent3 2 2 3 3 2 4" xfId="27357" xr:uid="{C865BD04-CAC6-4735-BF84-00B1EA259629}"/>
    <cellStyle name="20% - Accent3 2 2 3 3 2 4 2" xfId="32596" xr:uid="{58FA3413-94C0-4B34-B43B-AD2A9620A449}"/>
    <cellStyle name="20% - Accent3 2 2 3 3 2 5" xfId="26686" xr:uid="{DF259E32-ECA7-4625-B3E0-794C619327EC}"/>
    <cellStyle name="20% - Accent3 2 2 3 3 3" xfId="24944" xr:uid="{679A4D02-B360-4C2D-A685-D9ABE97522F6}"/>
    <cellStyle name="20% - Accent3 2 2 3 3 3 2" xfId="32649" xr:uid="{E514CD82-38BC-4B62-8E78-B12F05B7D9BD}"/>
    <cellStyle name="20% - Accent3 2 2 3 3 3 2 2" xfId="18651" xr:uid="{991CA04D-8EDF-4645-8ADA-DE00EEE3D383}"/>
    <cellStyle name="20% - Accent3 2 2 3 3 3 2 2 2" xfId="27353" xr:uid="{2277C819-1BE3-44EA-9AC3-2A83468EEF88}"/>
    <cellStyle name="20% - Accent3 2 2 3 3 3 2 3" xfId="27351" xr:uid="{0BC8E840-4849-41E2-920F-EDEE9859D99C}"/>
    <cellStyle name="20% - Accent3 2 2 3 3 3 3" xfId="27350" xr:uid="{B299E573-2291-4365-8B80-AF33EFD74928}"/>
    <cellStyle name="20% - Accent3 2 2 3 3 3 3 2" xfId="27345" xr:uid="{1AE47FE4-5BEA-4D51-995C-A9A1861EE208}"/>
    <cellStyle name="20% - Accent3 2 2 3 3 3 4" xfId="24809" xr:uid="{FE091E53-4B3D-4A92-926A-37A25ED2FAA0}"/>
    <cellStyle name="20% - Accent3 2 2 3 3 4" xfId="24936" xr:uid="{E636AAB6-E442-44F7-A3B8-DB7FC18CCBAF}"/>
    <cellStyle name="20% - Accent3 2 2 3 3 4 2" xfId="22045" xr:uid="{F1DAB8EE-1F78-44D2-ADB3-15B403A315AE}"/>
    <cellStyle name="20% - Accent3 2 2 3 3 4 2 2" xfId="27340" xr:uid="{5445330C-B993-4EEA-B8A6-7030374B3793}"/>
    <cellStyle name="20% - Accent3 2 2 3 3 4 3" xfId="27338" xr:uid="{32815777-0FCB-4632-896C-BB0E815B3FEA}"/>
    <cellStyle name="20% - Accent3 2 2 3 3 5" xfId="23540" xr:uid="{011B24C9-F46E-4CB4-A29D-38A9663B671A}"/>
    <cellStyle name="20% - Accent3 2 2 3 3 5 2" xfId="10404" xr:uid="{9C974120-00E4-4AB6-A099-ACD943FB8CD1}"/>
    <cellStyle name="20% - Accent3 2 2 3 3 6" xfId="23535" xr:uid="{92F51B34-CAD4-46B8-ACFF-BC91021895CE}"/>
    <cellStyle name="20% - Accent3 2 2 3 4" xfId="30914" xr:uid="{DA056110-8444-48EB-8BAE-DAFA4EAD2046}"/>
    <cellStyle name="20% - Accent3 2 2 3 4 2" xfId="18788" xr:uid="{F4D637C9-EE62-48D3-8953-D2E54DA5E508}"/>
    <cellStyle name="20% - Accent3 2 2 3 4 2 2" xfId="31536" xr:uid="{1C52DCCD-AE0A-41E7-9F49-30ABDDEC557A}"/>
    <cellStyle name="20% - Accent3 2 2 3 4 2 2 2" xfId="27332" xr:uid="{D31CC57A-8084-42C8-9B15-56EF8F8DCC75}"/>
    <cellStyle name="20% - Accent3 2 2 3 4 2 2 2 2" xfId="22852" xr:uid="{0E465DFF-4232-4638-9F43-E5DB539F6C29}"/>
    <cellStyle name="20% - Accent3 2 2 3 4 2 2 3" xfId="19539" xr:uid="{30F7FB1A-C9DC-4C7C-8F68-E2D7B262A9A4}"/>
    <cellStyle name="20% - Accent3 2 2 3 4 2 3" xfId="27330" xr:uid="{92136403-492E-438A-84E8-C61B57E693A8}"/>
    <cellStyle name="20% - Accent3 2 2 3 4 2 3 2" xfId="27327" xr:uid="{32476746-B6EE-4AF7-8C82-A5F7B95146B4}"/>
    <cellStyle name="20% - Accent3 2 2 3 4 2 4" xfId="33433" xr:uid="{9DC7ADBC-7ABA-4C04-B732-D4E2838E5196}"/>
    <cellStyle name="20% - Accent3 2 2 3 4 3" xfId="12814" xr:uid="{8CC4F371-890B-43B4-B878-31AB1E4090BD}"/>
    <cellStyle name="20% - Accent3 2 2 3 4 3 2" xfId="27326" xr:uid="{95713245-EBFA-471C-82E5-B325B101B54F}"/>
    <cellStyle name="20% - Accent3 2 2 3 4 3 2 2" xfId="33143" xr:uid="{185F8317-1CB6-4885-AD37-624F9D01BDEF}"/>
    <cellStyle name="20% - Accent3 2 2 3 4 3 3" xfId="27322" xr:uid="{90F0671F-7698-43EF-A9F4-3E990DA74A62}"/>
    <cellStyle name="20% - Accent3 2 2 3 4 4" xfId="29031" xr:uid="{EBD8F26F-C811-4C14-8424-9AF6A188E87B}"/>
    <cellStyle name="20% - Accent3 2 2 3 4 4 2" xfId="26358" xr:uid="{29318196-0DBF-42FC-B5CC-3D3E517BBFA7}"/>
    <cellStyle name="20% - Accent3 2 2 3 4 5" xfId="28904" xr:uid="{ECAF0D01-54A0-4046-A8E2-AD1F4C8FBE18}"/>
    <cellStyle name="20% - Accent3 2 2 3 5" xfId="30900" xr:uid="{9B89CD4B-0754-49F1-83E3-36D061D81986}"/>
    <cellStyle name="20% - Accent3 2 2 3 5 2" xfId="24885" xr:uid="{D49D0F28-84A8-4782-8AF5-0FC7ADBE8CC1}"/>
    <cellStyle name="20% - Accent3 2 2 3 5 2 2" xfId="27312" xr:uid="{1946B0D7-90A8-4BAB-A7FB-24AA18BA33DD}"/>
    <cellStyle name="20% - Accent3 2 2 3 5 2 2 2" xfId="33523" xr:uid="{5EF802B2-EB50-44C8-9E8E-EF5353E1B405}"/>
    <cellStyle name="20% - Accent3 2 2 3 5 2 3" xfId="27311" xr:uid="{E51919BC-6C0F-473D-BF42-C3F6FEA035DE}"/>
    <cellStyle name="20% - Accent3 2 2 3 5 3" xfId="27310" xr:uid="{97E08D20-E8BB-48CC-AEFB-89D4FB908145}"/>
    <cellStyle name="20% - Accent3 2 2 3 5 3 2" xfId="27302" xr:uid="{AAD9A1D5-FAC8-4691-A6EC-84027709F984}"/>
    <cellStyle name="20% - Accent3 2 2 3 5 4" xfId="8535" xr:uid="{763FA545-86C0-4653-B433-C20E2F570DE1}"/>
    <cellStyle name="20% - Accent3 2 2 3 6" xfId="27296" xr:uid="{79FE0FC4-C597-438C-9FB4-8518D5ADB0A6}"/>
    <cellStyle name="20% - Accent3 2 2 3 6 2" xfId="27294" xr:uid="{A3E62712-0417-4581-9BF6-25ADB34E2389}"/>
    <cellStyle name="20% - Accent3 2 2 3 6 2 2" xfId="15067" xr:uid="{FB366BF0-C6A4-48AF-84E2-6FD0E9D1525E}"/>
    <cellStyle name="20% - Accent3 2 2 3 6 3" xfId="27291" xr:uid="{5FC7258D-020B-401A-BE04-ADF6A5AD1901}"/>
    <cellStyle name="20% - Accent3 2 2 3 7" xfId="27285" xr:uid="{C94BE4B4-5DFA-4D4F-AD09-E5EDD2D7E0BC}"/>
    <cellStyle name="20% - Accent3 2 2 3 7 2" xfId="27283" xr:uid="{87E8F467-8AE1-413C-9AAC-D7F8B97964E1}"/>
    <cellStyle name="20% - Accent3 2 2 3 8" xfId="25116" xr:uid="{BAFD7CC3-45B2-4E04-8616-1A516CD4635B}"/>
    <cellStyle name="20% - Accent3 2 2 4" xfId="29042" xr:uid="{D9A201C7-B164-4962-B6DF-D386D3ACFDB4}"/>
    <cellStyle name="20% - Accent3 2 2 4 2" xfId="29836" xr:uid="{A3F8F3F2-8042-4E35-B91D-B75B677B58D3}"/>
    <cellStyle name="20% - Accent3 2 2 4 2 2" xfId="24878" xr:uid="{346A07D4-CAC9-4336-8F15-9001480CC821}"/>
    <cellStyle name="20% - Accent3 2 2 4 2 2 2" xfId="30579" xr:uid="{8A4919BB-1707-42C2-A4B4-6476B5D395B7}"/>
    <cellStyle name="20% - Accent3 2 2 4 2 2 2 2" xfId="27278" xr:uid="{39E667E8-DBFA-496B-A2A2-C7F066C31586}"/>
    <cellStyle name="20% - Accent3 2 2 4 2 2 2 2 2" xfId="28418" xr:uid="{04E6AA70-0BB9-48C5-ACF8-3E1D1DCA6F5A}"/>
    <cellStyle name="20% - Accent3 2 2 4 2 2 2 2 2 2" xfId="27344" xr:uid="{D15B7AA7-564F-4096-8DEE-7FE7385BAA8D}"/>
    <cellStyle name="20% - Accent3 2 2 4 2 2 2 2 3" xfId="21987" xr:uid="{47CBCB01-FD9F-4A7C-80C0-4272E1176AE3}"/>
    <cellStyle name="20% - Accent3 2 2 4 2 2 2 3" xfId="27277" xr:uid="{0770AE37-6A1D-4CF2-9FA1-6C2C2AA55EC5}"/>
    <cellStyle name="20% - Accent3 2 2 4 2 2 2 3 2" xfId="21962" xr:uid="{B02D898A-315F-4127-83D9-57917D6D5EFC}"/>
    <cellStyle name="20% - Accent3 2 2 4 2 2 2 4" xfId="34212" xr:uid="{4E04FAB8-89FC-4107-9D9F-B9133898000A}"/>
    <cellStyle name="20% - Accent3 2 2 4 2 2 3" xfId="31360" xr:uid="{6509CE2E-FDD1-466D-B02C-400B1582CE4D}"/>
    <cellStyle name="20% - Accent3 2 2 4 2 2 3 2" xfId="30124" xr:uid="{3D9ED3CD-D27F-416C-8923-648EE6E55223}"/>
    <cellStyle name="20% - Accent3 2 2 4 2 2 3 2 2" xfId="20035" xr:uid="{ED236F11-2107-43E7-B6C6-40F6022B856E}"/>
    <cellStyle name="20% - Accent3 2 2 4 2 2 3 3" xfId="27276" xr:uid="{936AFB04-ED61-490A-90AE-F731354368D9}"/>
    <cellStyle name="20% - Accent3 2 2 4 2 2 4" xfId="27275" xr:uid="{FC040DE1-F568-494F-A2B2-0D235468972F}"/>
    <cellStyle name="20% - Accent3 2 2 4 2 2 4 2" xfId="7734" xr:uid="{E8F99C99-0DA0-4A0E-84E6-97901968398D}"/>
    <cellStyle name="20% - Accent3 2 2 4 2 2 5" xfId="22688" xr:uid="{E93B09D7-E8FD-452C-A727-A72E6E1A6611}"/>
    <cellStyle name="20% - Accent3 2 2 4 2 3" xfId="24868" xr:uid="{9EBFC4F8-1D55-414A-93CD-18823DA68F26}"/>
    <cellStyle name="20% - Accent3 2 2 4 2 3 2" xfId="22705" xr:uid="{08570BF9-BC66-4725-A2AF-7A22BFF9B8DB}"/>
    <cellStyle name="20% - Accent3 2 2 4 2 3 2 2" xfId="18390" xr:uid="{580771C2-72C9-4506-B724-7EEB47197453}"/>
    <cellStyle name="20% - Accent3 2 2 4 2 3 2 2 2" xfId="21453" xr:uid="{C45A4698-4D1A-456A-ACC4-89BD00FDEC89}"/>
    <cellStyle name="20% - Accent3 2 2 4 2 3 2 3" xfId="27274" xr:uid="{F97AE511-D169-45F5-A7C6-F3ECE47DF694}"/>
    <cellStyle name="20% - Accent3 2 2 4 2 3 3" xfId="22723" xr:uid="{E9B04259-70B2-40FF-8CA6-A2D4DD1B0FBA}"/>
    <cellStyle name="20% - Accent3 2 2 4 2 3 3 2" xfId="20472" xr:uid="{3AA6212B-AD74-45A5-B93E-2703F091449D}"/>
    <cellStyle name="20% - Accent3 2 2 4 2 3 4" xfId="31562" xr:uid="{7939D900-D7AC-4386-9D99-9E1CC422D33E}"/>
    <cellStyle name="20% - Accent3 2 2 4 2 4" xfId="24861" xr:uid="{409DBE73-A4DA-4B38-8F82-A533D0D1C61C}"/>
    <cellStyle name="20% - Accent3 2 2 4 2 4 2" xfId="32095" xr:uid="{D98AE684-C415-4BE2-8BD6-E1698A4D7838}"/>
    <cellStyle name="20% - Accent3 2 2 4 2 4 2 2" xfId="23981" xr:uid="{F92D4AF2-5814-41B2-A465-263C1E8A64CE}"/>
    <cellStyle name="20% - Accent3 2 2 4 2 4 3" xfId="29114" xr:uid="{CD6FF15F-A34D-4A2C-9E04-1812F7507D53}"/>
    <cellStyle name="20% - Accent3 2 2 4 2 5" xfId="32088" xr:uid="{51311F30-489C-47E8-A50F-E5E20A2DD51E}"/>
    <cellStyle name="20% - Accent3 2 2 4 2 5 2" xfId="10341" xr:uid="{AC7D8E67-E581-43EB-8D86-B7AE49236CDB}"/>
    <cellStyle name="20% - Accent3 2 2 4 2 6" xfId="27268" xr:uid="{C6DE8A14-DCFB-46CD-A6CC-54CEF6F0F098}"/>
    <cellStyle name="20% - Accent3 2 2 4 3" xfId="31486" xr:uid="{D498D265-4FE0-4166-B778-9C4DE0665A10}"/>
    <cellStyle name="20% - Accent3 2 2 4 3 2" xfId="24841" xr:uid="{097DAC60-9483-4881-BE2B-158B37D6B06F}"/>
    <cellStyle name="20% - Accent3 2 2 4 3 2 2" xfId="17837" xr:uid="{EB0AED9E-305D-480A-BB14-185B0F747411}"/>
    <cellStyle name="20% - Accent3 2 2 4 3 2 2 2" xfId="27266" xr:uid="{091322B7-66A9-480C-AC7E-BFC01A464CE8}"/>
    <cellStyle name="20% - Accent3 2 2 4 3 2 2 2 2" xfId="20964" xr:uid="{E33A54CE-45BB-4E9D-A02F-39761CB12750}"/>
    <cellStyle name="20% - Accent3 2 2 4 3 2 2 3" xfId="27263" xr:uid="{9F4F77EC-D49E-4F15-BE4B-88E514A28D75}"/>
    <cellStyle name="20% - Accent3 2 2 4 3 2 3" xfId="15645" xr:uid="{C9B766D3-5063-4AE5-8FCD-6389BAA3789F}"/>
    <cellStyle name="20% - Accent3 2 2 4 3 2 3 2" xfId="27258" xr:uid="{0835520C-2FE2-4A8E-839E-B75AEAB2E345}"/>
    <cellStyle name="20% - Accent3 2 2 4 3 2 4" xfId="15640" xr:uid="{2B736152-1DC4-4C63-9691-01EC36E4027D}"/>
    <cellStyle name="20% - Accent3 2 2 4 3 3" xfId="25410" xr:uid="{D9D9BA64-5F24-4E81-A18A-F89613DEB13D}"/>
    <cellStyle name="20% - Accent3 2 2 4 3 3 2" xfId="15615" xr:uid="{FC28D67F-70F1-4D58-BB01-1B967D1FEAF6}"/>
    <cellStyle name="20% - Accent3 2 2 4 3 3 2 2" xfId="27254" xr:uid="{5FCAD223-7F20-40CD-949F-F2B209D7413B}"/>
    <cellStyle name="20% - Accent3 2 2 4 3 3 3" xfId="27088" xr:uid="{0117F4A8-C194-4F44-9B07-832224370053}"/>
    <cellStyle name="20% - Accent3 2 2 4 3 4" xfId="24836" xr:uid="{06013C12-7F10-4E76-9E63-EDBFE96451B9}"/>
    <cellStyle name="20% - Accent3 2 2 4 3 4 2" xfId="15596" xr:uid="{E756A0AD-8F65-4FDF-ACA9-A623C3A399DD}"/>
    <cellStyle name="20% - Accent3 2 2 4 3 5" xfId="23529" xr:uid="{058E9269-9A4A-4527-8E6D-CB34DDF18490}"/>
    <cellStyle name="20% - Accent3 2 2 4 4" xfId="30894" xr:uid="{C564D146-976F-4516-8DE6-6D2C37970CA5}"/>
    <cellStyle name="20% - Accent3 2 2 4 4 2" xfId="24824" xr:uid="{09178AB9-6816-468E-B855-B376FBD1F6D5}"/>
    <cellStyle name="20% - Accent3 2 2 4 4 2 2" xfId="13729" xr:uid="{C9F24474-65FD-4DFF-A410-D1AE273CFC16}"/>
    <cellStyle name="20% - Accent3 2 2 4 4 2 2 2" xfId="27250" xr:uid="{363EA710-D126-4EFC-959C-6E4A3E8A8D36}"/>
    <cellStyle name="20% - Accent3 2 2 4 4 2 3" xfId="13720" xr:uid="{32EC6170-A0AB-4594-8742-74143EC20DD7}"/>
    <cellStyle name="20% - Accent3 2 2 4 4 3" xfId="24105" xr:uid="{8C0C3DF8-9DEA-4BAB-94E1-A331E2107ADF}"/>
    <cellStyle name="20% - Accent3 2 2 4 4 3 2" xfId="13702" xr:uid="{2451F1B6-6AEA-46D9-8C3D-CFC6E1344EFD}"/>
    <cellStyle name="20% - Accent3 2 2 4 4 4" xfId="27236" xr:uid="{C35986FB-B624-4612-A51E-A128E7D4F144}"/>
    <cellStyle name="20% - Accent3 2 2 4 5" xfId="27234" xr:uid="{C89CC41F-793F-47E9-ABA8-400A9CB71843}"/>
    <cellStyle name="20% - Accent3 2 2 4 5 2" xfId="24818" xr:uid="{AE20B399-E5C2-4D8E-821C-5040C6F0DDD0}"/>
    <cellStyle name="20% - Accent3 2 2 4 5 2 2" xfId="21699" xr:uid="{5C7D4E90-1C81-4086-96D2-763CA80CFE65}"/>
    <cellStyle name="20% - Accent3 2 2 4 5 3" xfId="27233" xr:uid="{3D8DDE86-3B57-44CF-894D-8CB53C3925DF}"/>
    <cellStyle name="20% - Accent3 2 2 4 6" xfId="27231" xr:uid="{269E878C-9977-4B21-AD4C-7145BDBADD3C}"/>
    <cellStyle name="20% - Accent3 2 2 4 6 2" xfId="7092" xr:uid="{E3A2B9FF-89C3-4891-B34B-F3C879BA45D9}"/>
    <cellStyle name="20% - Accent3 2 2 4 7" xfId="27230" xr:uid="{7AB9F37C-152A-41E3-A367-E306BEE9734A}"/>
    <cellStyle name="20% - Accent3 2 2 5" xfId="31544" xr:uid="{6E3C0DBE-71AC-4CDB-BC4F-57706E501173}"/>
    <cellStyle name="20% - Accent3 2 2 5 2" xfId="29830" xr:uid="{2D6AD593-FF4A-4113-B393-BE846A892213}"/>
    <cellStyle name="20% - Accent3 2 2 5 2 2" xfId="27441" xr:uid="{52A6EF29-E2BB-4BC4-913A-2717732A82F0}"/>
    <cellStyle name="20% - Accent3 2 2 5 2 2 2" xfId="28089" xr:uid="{96F89029-0D99-45F0-AE07-398E78B1DA7E}"/>
    <cellStyle name="20% - Accent3 2 2 5 2 2 2 2" xfId="17544" xr:uid="{A1964C41-D7C6-4C2C-BEEA-375A7CCC173D}"/>
    <cellStyle name="20% - Accent3 2 2 5 2 2 2 2 2" xfId="22315" xr:uid="{E9BB3DF0-E867-4D4F-BF7F-AA8A9C4062CC}"/>
    <cellStyle name="20% - Accent3 2 2 5 2 2 2 3" xfId="27221" xr:uid="{BC04831F-447D-4AF1-BEC9-6E1ADA34BF1C}"/>
    <cellStyle name="20% - Accent3 2 2 5 2 2 3" xfId="27217" xr:uid="{21E714AB-7089-4274-B8BB-5B526D0F8AFE}"/>
    <cellStyle name="20% - Accent3 2 2 5 2 2 3 2" xfId="27212" xr:uid="{3E193BE0-5052-4DD4-8A9B-D5AF7D8DBCAE}"/>
    <cellStyle name="20% - Accent3 2 2 5 2 2 4" xfId="27210" xr:uid="{59E99779-9EA3-42FC-BFCA-1201E7BF5E88}"/>
    <cellStyle name="20% - Accent3 2 2 5 2 3" xfId="24801" xr:uid="{5AFA3AC2-1D70-44D5-B78B-5C818F270057}"/>
    <cellStyle name="20% - Accent3 2 2 5 2 3 2" xfId="12986" xr:uid="{F7C5C7F7-1A45-40BD-8A6E-75A16965BA60}"/>
    <cellStyle name="20% - Accent3 2 2 5 2 3 2 2" xfId="8957" xr:uid="{9CEF2D2D-C25E-416A-A364-A94987C64103}"/>
    <cellStyle name="20% - Accent3 2 2 5 2 3 3" xfId="28984" xr:uid="{517EC2D0-A427-4CAE-8383-AA4327B75D3E}"/>
    <cellStyle name="20% - Accent3 2 2 5 2 4" xfId="24796" xr:uid="{02F50041-3AE3-4E24-8EA6-E3E2454ACF57}"/>
    <cellStyle name="20% - Accent3 2 2 5 2 4 2" xfId="15853" xr:uid="{5E73D80A-D949-42AB-9F62-78667312A402}"/>
    <cellStyle name="20% - Accent3 2 2 5 2 5" xfId="15849" xr:uid="{44140AB0-F3A2-4049-9853-BBED94266243}"/>
    <cellStyle name="20% - Accent3 2 2 5 3" xfId="27205" xr:uid="{3E1DD30F-7DF7-4E2B-AC14-4B4A707C5111}"/>
    <cellStyle name="20% - Accent3 2 2 5 3 2" xfId="24788" xr:uid="{73EB6B02-5517-4AF4-9816-6E9EBBB832DC}"/>
    <cellStyle name="20% - Accent3 2 2 5 3 2 2" xfId="27203" xr:uid="{FFABA508-BC4E-4755-A5A4-5E87EC4A2197}"/>
    <cellStyle name="20% - Accent3 2 2 5 3 2 2 2" xfId="27201" xr:uid="{800A950D-DCD4-49E9-8931-DEAAA8CBCF04}"/>
    <cellStyle name="20% - Accent3 2 2 5 3 2 3" xfId="25704" xr:uid="{F313AC2F-901D-49C3-831D-F544832DB715}"/>
    <cellStyle name="20% - Accent3 2 2 5 3 3" xfId="24785" xr:uid="{E8FDA789-6079-4EC3-97AD-9E4E523CB8AD}"/>
    <cellStyle name="20% - Accent3 2 2 5 3 3 2" xfId="22760" xr:uid="{B2C974AA-5FE7-44A4-AF20-EAA2348EB9D7}"/>
    <cellStyle name="20% - Accent3 2 2 5 3 4" xfId="15843" xr:uid="{C5EC6CE6-17D9-4C3A-9072-2AD3C8CCDC15}"/>
    <cellStyle name="20% - Accent3 2 2 5 4" xfId="23449" xr:uid="{533E9F50-E3FA-470E-A408-2D8DD4474D1A}"/>
    <cellStyle name="20% - Accent3 2 2 5 4 2" xfId="24778" xr:uid="{7833E6B4-1260-4E93-9596-53981A4C3C73}"/>
    <cellStyle name="20% - Accent3 2 2 5 4 2 2" xfId="25560" xr:uid="{ABED5ADB-57E9-4C70-A46E-2A675E422336}"/>
    <cellStyle name="20% - Accent3 2 2 5 4 3" xfId="27184" xr:uid="{6C968EC1-18C4-4410-AE8C-CDE4217047B6}"/>
    <cellStyle name="20% - Accent3 2 2 5 5" xfId="23438" xr:uid="{406BF55C-2CD7-404A-BEA0-64C2A42DA1C5}"/>
    <cellStyle name="20% - Accent3 2 2 5 5 2" xfId="27180" xr:uid="{02B60C23-8360-4845-8A70-B65C93656CC7}"/>
    <cellStyle name="20% - Accent3 2 2 5 6" xfId="23437" xr:uid="{B8EE483B-65CD-4BDD-A50C-4D647B2323DB}"/>
    <cellStyle name="20% - Accent3 2 2 6" xfId="20990" xr:uid="{BCA2FA1B-9036-44EF-A264-D9E98C1C44C8}"/>
    <cellStyle name="20% - Accent3 2 2 6 2" xfId="13008" xr:uid="{11CB0F67-4CF4-4DA7-80E4-0F5D8A605A28}"/>
    <cellStyle name="20% - Accent3 2 2 6 2 2" xfId="24769" xr:uid="{49E2AEA9-E41E-4345-AA98-92331F2D8B56}"/>
    <cellStyle name="20% - Accent3 2 2 6 2 2 2" xfId="27177" xr:uid="{8BEF608F-6676-43DB-8FEC-26A840E7C7E6}"/>
    <cellStyle name="20% - Accent3 2 2 6 2 2 2 2" xfId="17318" xr:uid="{400A279C-760B-414E-9F15-B8DA9B302985}"/>
    <cellStyle name="20% - Accent3 2 2 6 2 2 3" xfId="27167" xr:uid="{6FCE25F6-2AD9-4F15-A267-77DA2B674C31}"/>
    <cellStyle name="20% - Accent3 2 2 6 2 3" xfId="24766" xr:uid="{427B3BC4-E6E1-47AD-8B75-47ABF00BF953}"/>
    <cellStyle name="20% - Accent3 2 2 6 2 3 2" xfId="25973" xr:uid="{968CF556-8C69-4798-A79A-8F008ACDB723}"/>
    <cellStyle name="20% - Accent3 2 2 6 2 4" xfId="15809" xr:uid="{8FEBC0F7-8D6F-44F5-A567-6BE5A33794C1}"/>
    <cellStyle name="20% - Accent3 2 2 6 3" xfId="32058" xr:uid="{0D1A5AEA-D872-47AF-9CFA-FE235FABA2B9}"/>
    <cellStyle name="20% - Accent3 2 2 6 3 2" xfId="24760" xr:uid="{F09FB5EE-63E4-4642-A75D-9E103E14CF0B}"/>
    <cellStyle name="20% - Accent3 2 2 6 3 2 2" xfId="25369" xr:uid="{57CFB7C6-1FC4-429B-B7F9-284D8A41D0E0}"/>
    <cellStyle name="20% - Accent3 2 2 6 3 3" xfId="27158" xr:uid="{871F8B78-97F5-4348-80D7-D749B8B1ECA5}"/>
    <cellStyle name="20% - Accent3 2 2 6 4" xfId="7646" xr:uid="{20909996-D2BB-4F53-A29F-3BD41A397F79}"/>
    <cellStyle name="20% - Accent3 2 2 6 4 2" xfId="28567" xr:uid="{FD80D6A1-74BA-4495-9E3C-9347C21ADE21}"/>
    <cellStyle name="20% - Accent3 2 2 6 5" xfId="23434" xr:uid="{12AA7D50-F057-4FCE-9EF8-CF61D1550DD0}"/>
    <cellStyle name="20% - Accent3 2 2 7" xfId="27145" xr:uid="{B7850921-CE5D-4717-B938-B263280CDAC6}"/>
    <cellStyle name="20% - Accent3 2 2 7 2" xfId="26208" xr:uid="{2B751455-B114-4676-852B-B24FE289F17D}"/>
    <cellStyle name="20% - Accent3 2 2 7 2 2" xfId="24754" xr:uid="{98CCE230-AE8C-41C1-B854-8101F707429A}"/>
    <cellStyle name="20% - Accent3 2 2 7 2 2 2" xfId="24345" xr:uid="{AA27965E-0D47-4355-9DF2-0A2711965B95}"/>
    <cellStyle name="20% - Accent3 2 2 7 2 3" xfId="24226" xr:uid="{A0997BB0-44DF-4ABB-9FA2-E368B70650B7}"/>
    <cellStyle name="20% - Accent3 2 2 7 3" xfId="15931" xr:uid="{F0B154BF-E736-4690-8B36-290D6DF17F7C}"/>
    <cellStyle name="20% - Accent3 2 2 7 3 2" xfId="27138" xr:uid="{EEDCF89E-C11F-4E36-ACA2-7D16E1E1C398}"/>
    <cellStyle name="20% - Accent3 2 2 7 4" xfId="23906" xr:uid="{F81E28ED-4540-4CDE-8870-4B5E6E456872}"/>
    <cellStyle name="20% - Accent3 2 2 8" xfId="27124" xr:uid="{0F0C5AD9-FCD2-4B58-947B-43CE3DF0BB90}"/>
    <cellStyle name="20% - Accent3 2 2 8 2" xfId="28367" xr:uid="{90E53F32-4447-4593-9C82-2E3E2E01A872}"/>
    <cellStyle name="20% - Accent3 2 2 8 2 2" xfId="27122" xr:uid="{81D118C6-027C-44E2-8758-9F3BC1EDA248}"/>
    <cellStyle name="20% - Accent3 2 2 8 3" xfId="27699" xr:uid="{04CC88A2-717F-4C21-93DE-17B270AD6F3F}"/>
    <cellStyle name="20% - Accent3 2 2 9" xfId="27121" xr:uid="{52E2A05B-FA9E-4E2A-B03D-BC7146800F66}"/>
    <cellStyle name="20% - Accent3 2 2 9 2" xfId="26572" xr:uid="{6FF62515-FFD6-46C3-8FAB-3D5DDEDEB8EC}"/>
    <cellStyle name="20% - Accent3 2 3" xfId="205" xr:uid="{FF3D179D-6FD7-439F-9ACA-4CED26F13435}"/>
    <cellStyle name="20% - Accent3 2 3 10" xfId="34538" xr:uid="{349EAF83-D6EC-45F5-9237-AB414F1DA75F}"/>
    <cellStyle name="20% - Accent3 2 3 11" xfId="22607" xr:uid="{71F23F6D-17BB-46ED-AE8E-B52FC2BA4E58}"/>
    <cellStyle name="20% - Accent3 2 3 2" xfId="33538" xr:uid="{3C5F2354-6B91-4C5A-8408-C71FB85E4D31}"/>
    <cellStyle name="20% - Accent3 2 3 2 2" xfId="33535" xr:uid="{63441912-E7C9-4F29-AB7E-FE8F19D808F2}"/>
    <cellStyle name="20% - Accent3 2 3 2 2 2" xfId="27910" xr:uid="{28184BE0-5F6E-4B5A-84E6-E61CD4585814}"/>
    <cellStyle name="20% - Accent3 2 3 2 2 2 2" xfId="29488" xr:uid="{0510E94D-CD1E-40B7-9C58-60D9CBE90CAF}"/>
    <cellStyle name="20% - Accent3 2 3 2 2 2 2 2" xfId="27118" xr:uid="{22A05C2A-A90B-4BE0-AB4D-7DF45CD32A90}"/>
    <cellStyle name="20% - Accent3 2 3 2 2 2 2 2 2" xfId="12514" xr:uid="{47ADB66B-7BB1-43EF-BC08-F5962BA34FF8}"/>
    <cellStyle name="20% - Accent3 2 3 2 2 2 2 2 2 2" xfId="33502" xr:uid="{44E9CCE8-45C3-424D-92E4-AA5F7FD9E58D}"/>
    <cellStyle name="20% - Accent3 2 3 2 2 2 2 2 2 2 2" xfId="30379" xr:uid="{8D30C930-368C-4802-9313-BCBE517C6CE0}"/>
    <cellStyle name="20% - Accent3 2 3 2 2 2 2 2 2 3" xfId="27109" xr:uid="{8B94128A-C808-4CDB-B3F9-D736E3402815}"/>
    <cellStyle name="20% - Accent3 2 3 2 2 2 2 2 3" xfId="33698" xr:uid="{AE982EFE-385B-4108-99FE-00DD691A9FA6}"/>
    <cellStyle name="20% - Accent3 2 3 2 2 2 2 2 3 2" xfId="9941" xr:uid="{7CB0D55D-E735-41E6-9460-DDD6D23C6F0C}"/>
    <cellStyle name="20% - Accent3 2 3 2 2 2 2 2 4" xfId="33706" xr:uid="{01BFD073-7CF5-4F8E-9C92-9C329D94BBE8}"/>
    <cellStyle name="20% - Accent3 2 3 2 2 2 2 3" xfId="32967" xr:uid="{D3F61AEC-E2CD-4BFF-B99C-1E675CF38DB5}"/>
    <cellStyle name="20% - Accent3 2 3 2 2 2 2 3 2" xfId="21622" xr:uid="{7FD375C8-8B81-4EAD-AAE5-0F7248F4F658}"/>
    <cellStyle name="20% - Accent3 2 3 2 2 2 2 3 2 2" xfId="25566" xr:uid="{10130FA4-955E-4715-A4FE-77DEA7B87BA7}"/>
    <cellStyle name="20% - Accent3 2 3 2 2 2 2 3 3" xfId="21578" xr:uid="{BBB93372-F5DD-43DA-B7FE-4940476E4DF2}"/>
    <cellStyle name="20% - Accent3 2 3 2 2 2 2 4" xfId="29800" xr:uid="{ED471384-1A2F-4A00-BA51-72B369E7D40A}"/>
    <cellStyle name="20% - Accent3 2 3 2 2 2 2 4 2" xfId="22531" xr:uid="{826BC849-16FA-40E5-B85C-ACF6D6D7E6F9}"/>
    <cellStyle name="20% - Accent3 2 3 2 2 2 2 5" xfId="26212" xr:uid="{21C6001A-D272-4717-8CA8-82317FF0EF25}"/>
    <cellStyle name="20% - Accent3 2 3 2 2 2 3" xfId="21451" xr:uid="{BACCE4BD-297C-4BE7-B52B-EE8B26498FE2}"/>
    <cellStyle name="20% - Accent3 2 3 2 2 2 3 2" xfId="15285" xr:uid="{53B5020F-3485-4F32-91B6-FB6B8AA1399A}"/>
    <cellStyle name="20% - Accent3 2 3 2 2 2 3 2 2" xfId="22071" xr:uid="{A22A3EF0-4C09-4CE8-85F7-A5D599BB8DD0}"/>
    <cellStyle name="20% - Accent3 2 3 2 2 2 3 2 2 2" xfId="29065" xr:uid="{C446E797-10C6-4298-A2D1-27954F299E61}"/>
    <cellStyle name="20% - Accent3 2 3 2 2 2 3 2 3" xfId="33809" xr:uid="{26BBC5A0-886F-42BF-B3A1-EC6673C853F7}"/>
    <cellStyle name="20% - Accent3 2 3 2 2 2 3 3" xfId="9591" xr:uid="{80BB8909-ED0C-4CE8-B48D-0930868C3B78}"/>
    <cellStyle name="20% - Accent3 2 3 2 2 2 3 3 2" xfId="20821" xr:uid="{A365BF7A-A6CF-4607-9598-206EA7AB65E2}"/>
    <cellStyle name="20% - Accent3 2 3 2 2 2 3 4" xfId="9582" xr:uid="{85BC0E23-532A-4255-ABE2-AB27E38F476C}"/>
    <cellStyle name="20% - Accent3 2 3 2 2 2 4" xfId="28544" xr:uid="{718B4B98-8355-4714-B9F2-B2C782DB053C}"/>
    <cellStyle name="20% - Accent3 2 3 2 2 2 4 2" xfId="26979" xr:uid="{4BA666EE-3C00-401F-B1F6-0489AE76423E}"/>
    <cellStyle name="20% - Accent3 2 3 2 2 2 4 2 2" xfId="29960" xr:uid="{1EF1E7A1-24E9-4B82-85DD-DCFDB458EE3F}"/>
    <cellStyle name="20% - Accent3 2 3 2 2 2 4 3" xfId="11965" xr:uid="{BA6EED7B-D414-4525-B670-130BD6CD70A9}"/>
    <cellStyle name="20% - Accent3 2 3 2 2 2 5" xfId="28052" xr:uid="{4E501C15-6BE4-4613-B244-F7661C0DBC9D}"/>
    <cellStyle name="20% - Accent3 2 3 2 2 2 5 2" xfId="20928" xr:uid="{6B940C26-9D4B-46F5-BDA8-D8B406C9CD7D}"/>
    <cellStyle name="20% - Accent3 2 3 2 2 2 6" xfId="27107" xr:uid="{426DE930-6CD3-4F68-A3E0-627201FF220E}"/>
    <cellStyle name="20% - Accent3 2 3 2 2 3" xfId="34331" xr:uid="{48931130-3631-4DDC-9BAB-2CF435856AE2}"/>
    <cellStyle name="20% - Accent3 2 3 2 2 3 2" xfId="22237" xr:uid="{58086028-5FA4-431B-A2C8-B59C3294A123}"/>
    <cellStyle name="20% - Accent3 2 3 2 2 3 2 2" xfId="19415" xr:uid="{4DF7C4CD-C069-4D98-AD66-0FB82C6F1425}"/>
    <cellStyle name="20% - Accent3 2 3 2 2 3 2 2 2" xfId="32973" xr:uid="{93F1501B-D685-4CA4-BE82-305877C0F809}"/>
    <cellStyle name="20% - Accent3 2 3 2 2 3 2 2 2 2" xfId="31157" xr:uid="{8E63649D-89E0-4FF8-97AF-C27320A744E9}"/>
    <cellStyle name="20% - Accent3 2 3 2 2 3 2 2 3" xfId="22110" xr:uid="{9B0D9E3E-001E-4DB7-8008-3A1DDDA212E2}"/>
    <cellStyle name="20% - Accent3 2 3 2 2 3 2 3" xfId="15379" xr:uid="{D6B4010A-3215-470A-BEA4-E56FE3CF5384}"/>
    <cellStyle name="20% - Accent3 2 3 2 2 3 2 3 2" xfId="19485" xr:uid="{B19A70DC-ADC2-4A22-B67C-EA8275599EF3}"/>
    <cellStyle name="20% - Accent3 2 3 2 2 3 2 4" xfId="15376" xr:uid="{5A507283-8609-477A-8868-2F9D43B0ED0E}"/>
    <cellStyle name="20% - Accent3 2 3 2 2 3 3" xfId="22215" xr:uid="{386FEC03-9D74-4A75-B158-CB86BF3F64F1}"/>
    <cellStyle name="20% - Accent3 2 3 2 2 3 3 2" xfId="19165" xr:uid="{550E95F5-4A22-4FA8-8472-D293379491A9}"/>
    <cellStyle name="20% - Accent3 2 3 2 2 3 3 2 2" xfId="31464" xr:uid="{31D4753A-388C-4F7E-BD7A-1F74BD73B157}"/>
    <cellStyle name="20% - Accent3 2 3 2 2 3 3 3" xfId="9545" xr:uid="{86B3E283-8C28-4F8A-BF8E-047E948EC5CA}"/>
    <cellStyle name="20% - Accent3 2 3 2 2 3 4" xfId="28527" xr:uid="{00356BEF-290A-45FB-8C3C-890A76F252C9}"/>
    <cellStyle name="20% - Accent3 2 3 2 2 3 4 2" xfId="34260" xr:uid="{04F7ED84-F91A-4902-9501-49F11FE499CB}"/>
    <cellStyle name="20% - Accent3 2 3 2 2 3 5" xfId="28034" xr:uid="{6DD8BA91-BDAE-4973-9CBD-30F9659776D2}"/>
    <cellStyle name="20% - Accent3 2 3 2 2 4" xfId="28841" xr:uid="{D24FD030-7BBB-40A0-88EB-A5C174DDC85B}"/>
    <cellStyle name="20% - Accent3 2 3 2 2 4 2" xfId="20146" xr:uid="{1AB5C68B-45FD-42D4-80EF-B7990851CCBC}"/>
    <cellStyle name="20% - Accent3 2 3 2 2 4 2 2" xfId="18729" xr:uid="{1F570EC6-5166-40B2-BFB1-50C613602CD7}"/>
    <cellStyle name="20% - Accent3 2 3 2 2 4 2 2 2" xfId="33201" xr:uid="{F22C0462-1FCE-4F91-AEDC-B7309002B481}"/>
    <cellStyle name="20% - Accent3 2 3 2 2 4 2 3" xfId="15353" xr:uid="{D3AF41C5-85A3-4A93-82FD-A29CA6101BF5}"/>
    <cellStyle name="20% - Accent3 2 3 2 2 4 3" xfId="20124" xr:uid="{66520E24-8BD1-4798-B490-83119E0B7C0C}"/>
    <cellStyle name="20% - Accent3 2 3 2 2 4 3 2" xfId="27105" xr:uid="{A817E5E5-E044-41DA-8958-C808D9A7F62E}"/>
    <cellStyle name="20% - Accent3 2 3 2 2 4 4" xfId="29395" xr:uid="{B304612B-11BA-400C-95CE-BC00B1070B91}"/>
    <cellStyle name="20% - Accent3 2 3 2 2 5" xfId="28512" xr:uid="{4A5B1B5D-9ED0-446C-963E-BD6F6570984D}"/>
    <cellStyle name="20% - Accent3 2 3 2 2 5 2" xfId="9710" xr:uid="{13FD014D-B2AE-4EB6-977B-96D8EDF38569}"/>
    <cellStyle name="20% - Accent3 2 3 2 2 5 2 2" xfId="28332" xr:uid="{4102D489-17EA-42BC-B24E-10EE516DFF52}"/>
    <cellStyle name="20% - Accent3 2 3 2 2 5 3" xfId="17885" xr:uid="{64D88440-52CB-411E-9B11-381F7E47BA94}"/>
    <cellStyle name="20% - Accent3 2 3 2 2 6" xfId="28503" xr:uid="{2FB4D8E2-846F-46EB-BDC2-DC2AA224FA4F}"/>
    <cellStyle name="20% - Accent3 2 3 2 2 6 2" xfId="12533" xr:uid="{A616F4C9-6B58-4C31-B728-284382AEA4A2}"/>
    <cellStyle name="20% - Accent3 2 3 2 2 7" xfId="20343" xr:uid="{2A0D6552-5340-40BF-9861-225C71C89CEE}"/>
    <cellStyle name="20% - Accent3 2 3 2 3" xfId="27099" xr:uid="{A1154712-2B0D-471B-B5DF-C92A1CBB1ADB}"/>
    <cellStyle name="20% - Accent3 2 3 2 3 2" xfId="31988" xr:uid="{A7D8EBF8-AE95-4B21-8B41-7BFE8C961709}"/>
    <cellStyle name="20% - Accent3 2 3 2 3 2 2" xfId="29789" xr:uid="{E1118EF3-6318-4305-9B8C-5D86008290DC}"/>
    <cellStyle name="20% - Accent3 2 3 2 3 2 2 2" xfId="27097" xr:uid="{54A5AAFB-521A-4E6A-836B-19A18763ABBB}"/>
    <cellStyle name="20% - Accent3 2 3 2 3 2 2 2 2" xfId="33737" xr:uid="{584E5A17-3D2E-4DDB-BF45-1615E7FA4667}"/>
    <cellStyle name="20% - Accent3 2 3 2 3 2 2 2 2 2" xfId="29018" xr:uid="{28E90137-CC7B-4383-9DAA-A4E2CC11FC3D}"/>
    <cellStyle name="20% - Accent3 2 3 2 3 2 2 2 3" xfId="33077" xr:uid="{6DFADDCF-E17C-44E0-85C6-81A27CD0A482}"/>
    <cellStyle name="20% - Accent3 2 3 2 3 2 2 3" xfId="34154" xr:uid="{D23496AB-D685-47EB-B622-D8579BCE0BFD}"/>
    <cellStyle name="20% - Accent3 2 3 2 3 2 2 3 2" xfId="33062" xr:uid="{F96BF020-A755-45FA-96B8-2F82519AE0A7}"/>
    <cellStyle name="20% - Accent3 2 3 2 3 2 2 4" xfId="26180" xr:uid="{9CD41736-6D16-41B2-88AE-177D7DB2DC9E}"/>
    <cellStyle name="20% - Accent3 2 3 2 3 2 3" xfId="26139" xr:uid="{FD4C89AB-0580-47D8-9F4F-7311AAF490FB}"/>
    <cellStyle name="20% - Accent3 2 3 2 3 2 3 2" xfId="27096" xr:uid="{1016F057-4850-4F68-B3F7-0480E135BB43}"/>
    <cellStyle name="20% - Accent3 2 3 2 3 2 3 2 2" xfId="32997" xr:uid="{6C0E4C4A-29BF-40C8-ACDB-7C96E553EB67}"/>
    <cellStyle name="20% - Accent3 2 3 2 3 2 3 3" xfId="9365" xr:uid="{6EBFEC1C-C7A0-496F-A830-9EEEF0485D3F}"/>
    <cellStyle name="20% - Accent3 2 3 2 3 2 4" xfId="9285" xr:uid="{B57C23AC-AE99-4BDF-9FC3-05B5008B8DBC}"/>
    <cellStyle name="20% - Accent3 2 3 2 3 2 4 2" xfId="27093" xr:uid="{76B58C82-6559-4149-899A-DC68DE9E9FF4}"/>
    <cellStyle name="20% - Accent3 2 3 2 3 2 5" xfId="6749" xr:uid="{2F9C1D80-7B27-4882-BE29-8A44A68FD895}"/>
    <cellStyle name="20% - Accent3 2 3 2 3 3" xfId="28465" xr:uid="{87E889D2-3B25-4672-A802-021DF888C9AA}"/>
    <cellStyle name="20% - Accent3 2 3 2 3 3 2" xfId="29528" xr:uid="{CBF54237-951C-4F15-927E-20E029ACD927}"/>
    <cellStyle name="20% - Accent3 2 3 2 3 3 2 2" xfId="27090" xr:uid="{B188D269-D7B6-435A-808B-390D70B4BC51}"/>
    <cellStyle name="20% - Accent3 2 3 2 3 3 2 2 2" xfId="29988" xr:uid="{48F3DD8B-EB04-4775-A3A2-6BE9DA46BF84}"/>
    <cellStyle name="20% - Accent3 2 3 2 3 3 2 3" xfId="15300" xr:uid="{46C75C37-303C-437F-88FF-A29710E2606E}"/>
    <cellStyle name="20% - Accent3 2 3 2 3 3 3" xfId="26130" xr:uid="{7E4304A5-F0C4-42E0-8E87-8F40731231FA}"/>
    <cellStyle name="20% - Accent3 2 3 2 3 3 3 2" xfId="27086" xr:uid="{A24B1CDE-554A-47F6-AB7C-C59463D71275}"/>
    <cellStyle name="20% - Accent3 2 3 2 3 3 4" xfId="6713" xr:uid="{306218FC-C176-47DC-A166-8AB7A756C34F}"/>
    <cellStyle name="20% - Accent3 2 3 2 3 4" xfId="28462" xr:uid="{5A1C41C9-B5AE-423A-B436-F5A51FFF64A6}"/>
    <cellStyle name="20% - Accent3 2 3 2 3 4 2" xfId="21991" xr:uid="{B6BC175A-8C9E-4C9D-927E-4F4CF3FEFA89}"/>
    <cellStyle name="20% - Accent3 2 3 2 3 4 2 2" xfId="10080" xr:uid="{6D82A9F8-102A-4F6E-8FF1-95C91CAAB777}"/>
    <cellStyle name="20% - Accent3 2 3 2 3 4 3" xfId="27083" xr:uid="{AEF0CF24-F3C8-4C11-AA68-198630B8B70A}"/>
    <cellStyle name="20% - Accent3 2 3 2 3 5" xfId="27577" xr:uid="{4A34DAEB-84AC-41B8-89DF-7C3268A60D65}"/>
    <cellStyle name="20% - Accent3 2 3 2 3 5 2" xfId="9685" xr:uid="{1132E22F-CCE5-4497-93C1-7B2E99A0FCDC}"/>
    <cellStyle name="20% - Accent3 2 3 2 3 6" xfId="27078" xr:uid="{A22EBBF2-8876-4968-871B-323FC8B7FA0C}"/>
    <cellStyle name="20% - Accent3 2 3 2 4" xfId="30893" xr:uid="{3AF57155-6BCE-4E2E-B45A-EA600454271D}"/>
    <cellStyle name="20% - Accent3 2 3 2 4 2" xfId="22020" xr:uid="{39F9938A-547E-4BA7-AB8B-D02DB39B317E}"/>
    <cellStyle name="20% - Accent3 2 3 2 4 2 2" xfId="5587" xr:uid="{65B03F4C-272C-41F3-804A-BD087A255C59}"/>
    <cellStyle name="20% - Accent3 2 3 2 4 2 2 2" xfId="27073" xr:uid="{8458D029-2DF2-4215-81A9-F9F3FFEC188A}"/>
    <cellStyle name="20% - Accent3 2 3 2 4 2 2 2 2" xfId="27017" xr:uid="{A22D8A90-E165-47EA-A09B-143C4C3AAAEE}"/>
    <cellStyle name="20% - Accent3 2 3 2 4 2 2 3" xfId="32027" xr:uid="{F2208644-70A9-4E76-9B17-57E5EFA27506}"/>
    <cellStyle name="20% - Accent3 2 3 2 4 2 3" xfId="6194" xr:uid="{FFED2328-2834-4EDB-9A34-12CC10EB4B90}"/>
    <cellStyle name="20% - Accent3 2 3 2 4 2 3 2" xfId="27072" xr:uid="{27D695EC-8CF5-4A56-ACA7-727072E57B04}"/>
    <cellStyle name="20% - Accent3 2 3 2 4 2 4" xfId="6534" xr:uid="{D2E8F5C3-9CC3-4F05-BD99-176ADE0BFAB7}"/>
    <cellStyle name="20% - Accent3 2 3 2 4 3" xfId="27587" xr:uid="{66E8D9DA-892E-4818-BC76-62A8A4065CE4}"/>
    <cellStyle name="20% - Accent3 2 3 2 4 3 2" xfId="25733" xr:uid="{924DE235-A318-4DD4-A483-1462DA1DBC06}"/>
    <cellStyle name="20% - Accent3 2 3 2 4 3 2 2" xfId="27071" xr:uid="{42B30216-6475-4878-8D68-84AB545FB6F2}"/>
    <cellStyle name="20% - Accent3 2 3 2 4 3 3" xfId="18883" xr:uid="{62D9E56B-724E-4A1C-8D64-10E3DA95E113}"/>
    <cellStyle name="20% - Accent3 2 3 2 4 4" xfId="27272" xr:uid="{318810E2-3BDB-4242-9903-C35466A2555A}"/>
    <cellStyle name="20% - Accent3 2 3 2 4 4 2" xfId="23985" xr:uid="{13A508D8-EE2D-4287-B5AE-FE34FC96C3D8}"/>
    <cellStyle name="20% - Accent3 2 3 2 4 5" xfId="27689" xr:uid="{FCBB7A97-0E12-4884-9B42-25BB36824743}"/>
    <cellStyle name="20% - Accent3 2 3 2 5" xfId="30882" xr:uid="{201C7C21-37A1-40B2-B575-79DA50EAA166}"/>
    <cellStyle name="20% - Accent3 2 3 2 5 2" xfId="28306" xr:uid="{C976F2DF-5928-42B1-9013-32235A32A51D}"/>
    <cellStyle name="20% - Accent3 2 3 2 5 2 2" xfId="33984" xr:uid="{F8C27567-22F1-4FB7-8759-ABB6A070F2F7}"/>
    <cellStyle name="20% - Accent3 2 3 2 5 2 2 2" xfId="27414" xr:uid="{4FEDB1F1-28AE-4136-BC2D-11E50FFBC3E5}"/>
    <cellStyle name="20% - Accent3 2 3 2 5 2 3" xfId="27068" xr:uid="{AC0E3D9B-5486-4B1C-9924-15034C8F7669}"/>
    <cellStyle name="20% - Accent3 2 3 2 5 3" xfId="28299" xr:uid="{70B55FCB-9EC2-4F05-949C-525B5AF1445E}"/>
    <cellStyle name="20% - Accent3 2 3 2 5 3 2" xfId="27066" xr:uid="{8C125823-9BBB-476D-B356-D1D99844C6AC}"/>
    <cellStyle name="20% - Accent3 2 3 2 5 4" xfId="8512" xr:uid="{0367FFA8-A2AD-4409-9DC1-A53ED7701520}"/>
    <cellStyle name="20% - Accent3 2 3 2 6" xfId="27062" xr:uid="{CD2ED6C3-5FFD-4D04-96A7-C269C57C98B1}"/>
    <cellStyle name="20% - Accent3 2 3 2 6 2" xfId="27749" xr:uid="{DB007E16-07CB-435A-B7BF-50FA7BE89979}"/>
    <cellStyle name="20% - Accent3 2 3 2 6 2 2" xfId="27058" xr:uid="{A0FCE7E0-3124-48FD-AB7D-326F09FD854F}"/>
    <cellStyle name="20% - Accent3 2 3 2 6 3" xfId="27057" xr:uid="{29CDD7B2-6760-47E2-BB81-087B242EE8EE}"/>
    <cellStyle name="20% - Accent3 2 3 2 7" xfId="34059" xr:uid="{BF643E3D-E89D-4D07-A404-BE66C4B9727D}"/>
    <cellStyle name="20% - Accent3 2 3 2 7 2" xfId="27055" xr:uid="{579A79EC-F2FA-4EE8-9F5D-96A20306930F}"/>
    <cellStyle name="20% - Accent3 2 3 2 8" xfId="27053" xr:uid="{0C27B38C-3576-4918-929E-9EFDE2C259E3}"/>
    <cellStyle name="20% - Accent3 2 3 3" xfId="17650" xr:uid="{97FB69AD-1327-400B-9498-66DADB3238DE}"/>
    <cellStyle name="20% - Accent3 2 3 3 2" xfId="27052" xr:uid="{929749A5-548F-4CB1-AD36-F71190E64C0A}"/>
    <cellStyle name="20% - Accent3 2 3 3 2 2" xfId="28540" xr:uid="{5A034E7E-4260-450F-AA0F-D40AB9B4FF67}"/>
    <cellStyle name="20% - Accent3 2 3 3 2 2 2" xfId="25276" xr:uid="{EF9929B2-5F33-4DF2-9C19-C8BC798C86B6}"/>
    <cellStyle name="20% - Accent3 2 3 3 2 2 2 2" xfId="31382" xr:uid="{57049015-4954-4FF0-AE52-325B5B7A03AF}"/>
    <cellStyle name="20% - Accent3 2 3 3 2 2 2 2 2" xfId="30410" xr:uid="{F8E6D827-CDD9-4F13-9D3B-91CB3C8BD58E}"/>
    <cellStyle name="20% - Accent3 2 3 3 2 2 2 2 2 2" xfId="28955" xr:uid="{37D6BF70-6A73-49CB-BA05-B9D30AE839F3}"/>
    <cellStyle name="20% - Accent3 2 3 3 2 2 2 2 3" xfId="30365" xr:uid="{F5BA1338-EA79-4E1F-895C-D64043B3407B}"/>
    <cellStyle name="20% - Accent3 2 3 3 2 2 2 3" xfId="31142" xr:uid="{0FFF478D-D575-4195-86BE-2208E209A4DB}"/>
    <cellStyle name="20% - Accent3 2 3 3 2 2 2 3 2" xfId="25026" xr:uid="{D721EFC3-2E9D-40FE-8913-92C8E6BE7DA4}"/>
    <cellStyle name="20% - Accent3 2 3 3 2 2 2 4" xfId="27094" xr:uid="{C4B06D4C-8E53-4570-AA50-99F37FE3EC69}"/>
    <cellStyle name="20% - Accent3 2 3 3 2 2 3" xfId="25331" xr:uid="{D42AC741-25BC-459F-B6E2-F4A8E0F4CA74}"/>
    <cellStyle name="20% - Accent3 2 3 3 2 2 3 2" xfId="31361" xr:uid="{274924CD-B334-49DA-888E-F7F35014E57A}"/>
    <cellStyle name="20% - Accent3 2 3 3 2 2 3 2 2" xfId="22642" xr:uid="{860C2235-7F3A-41F5-B078-9EE04574A5A5}"/>
    <cellStyle name="20% - Accent3 2 3 3 2 2 3 3" xfId="29177" xr:uid="{E01AFA04-E507-4A23-BD8F-974448AC6B45}"/>
    <cellStyle name="20% - Accent3 2 3 3 2 2 4" xfId="28131" xr:uid="{81215F45-1C00-4E4A-8869-AA71867B2B23}"/>
    <cellStyle name="20% - Accent3 2 3 3 2 2 4 2" xfId="27051" xr:uid="{132A294F-332A-43BC-AFA7-D90053996FDE}"/>
    <cellStyle name="20% - Accent3 2 3 3 2 2 5" xfId="27045" xr:uid="{743F9199-C80A-48DB-B8B0-43FD546E6CC2}"/>
    <cellStyle name="20% - Accent3 2 3 3 2 3" xfId="26432" xr:uid="{67954FAF-66CB-43B2-9C16-B6C9468F561C}"/>
    <cellStyle name="20% - Accent3 2 3 3 2 3 2" xfId="22106" xr:uid="{39495F68-8685-407E-BF49-1DE9318F1111}"/>
    <cellStyle name="20% - Accent3 2 3 3 2 3 2 2" xfId="27042" xr:uid="{2706F552-194F-444D-A6AA-68D69C92A0D5}"/>
    <cellStyle name="20% - Accent3 2 3 3 2 3 2 2 2" xfId="29895" xr:uid="{6A367D54-0915-40B8-B509-5BD6FC975A56}"/>
    <cellStyle name="20% - Accent3 2 3 3 2 3 2 3" xfId="15038" xr:uid="{7D64E97A-FAC8-4CEC-9D75-707B8A33892E}"/>
    <cellStyle name="20% - Accent3 2 3 3 2 3 3" xfId="28124" xr:uid="{D253BC64-11C6-4304-9219-EF9D0E64CB9D}"/>
    <cellStyle name="20% - Accent3 2 3 3 2 3 3 2" xfId="27038" xr:uid="{33290C84-22A3-48FD-B466-FAF5B5E170A4}"/>
    <cellStyle name="20% - Accent3 2 3 3 2 3 4" xfId="27030" xr:uid="{B6FCE070-4033-493E-94CB-AB47CEDCA809}"/>
    <cellStyle name="20% - Accent3 2 3 3 2 4" xfId="24696" xr:uid="{E588BF94-B4D3-499F-87FF-A7FA4EE7B06F}"/>
    <cellStyle name="20% - Accent3 2 3 3 2 4 2" xfId="25302" xr:uid="{584D2BD6-2418-43CB-A7A6-C78875312267}"/>
    <cellStyle name="20% - Accent3 2 3 3 2 4 2 2" xfId="27027" xr:uid="{FC949F4B-A675-443B-939E-340173718562}"/>
    <cellStyle name="20% - Accent3 2 3 3 2 4 3" xfId="27023" xr:uid="{0A25060A-5A04-4C64-8DF7-D5AE36C5F60F}"/>
    <cellStyle name="20% - Accent3 2 3 3 2 5" xfId="24689" xr:uid="{813E48A2-5782-4BDF-8C4B-92373A6AA400}"/>
    <cellStyle name="20% - Accent3 2 3 3 2 5 2" xfId="9603" xr:uid="{FF0CDD77-D42E-4088-AB73-2F22F5FFB20E}"/>
    <cellStyle name="20% - Accent3 2 3 3 2 6" xfId="27008" xr:uid="{CE8130B3-3CED-40C5-AA10-6208A172AD5F}"/>
    <cellStyle name="20% - Accent3 2 3 3 3" xfId="27007" xr:uid="{F5FDD9AB-038D-438B-8F09-26187221EDE6}"/>
    <cellStyle name="20% - Accent3 2 3 3 3 2" xfId="28113" xr:uid="{12C988D4-FAB2-495E-9A94-E0DAA99D0B8E}"/>
    <cellStyle name="20% - Accent3 2 3 3 3 2 2" xfId="10193" xr:uid="{5445517D-2C8A-4F5D-9F3A-1FE198685145}"/>
    <cellStyle name="20% - Accent3 2 3 3 3 2 2 2" xfId="14657" xr:uid="{F249CB96-BE40-41D3-9077-82C35CB12135}"/>
    <cellStyle name="20% - Accent3 2 3 3 3 2 2 2 2" xfId="34036" xr:uid="{AE2530D7-8169-4396-8D0D-30A5CAC341FD}"/>
    <cellStyle name="20% - Accent3 2 3 3 3 2 2 3" xfId="29009" xr:uid="{E0295E16-1D59-4881-BAC8-6F8AE141CB69}"/>
    <cellStyle name="20% - Accent3 2 3 3 3 2 3" xfId="26105" xr:uid="{A3B5DE14-E8EE-43C8-BFF0-25787DE11C98}"/>
    <cellStyle name="20% - Accent3 2 3 3 3 2 3 2" xfId="27003" xr:uid="{8E254AD5-6E89-4532-9D65-D86EF5BD39C3}"/>
    <cellStyle name="20% - Accent3 2 3 3 3 2 4" xfId="13891" xr:uid="{C2CAED4E-66C4-47AE-B716-489B8EF71856}"/>
    <cellStyle name="20% - Accent3 2 3 3 3 3" xfId="24662" xr:uid="{DAE50039-4AC2-4789-BA24-FCA38BC03DB6}"/>
    <cellStyle name="20% - Accent3 2 3 3 3 3 2" xfId="29763" xr:uid="{F518FC8E-2050-468A-9D10-6BE999C70711}"/>
    <cellStyle name="20% - Accent3 2 3 3 3 3 2 2" xfId="26992" xr:uid="{E2F14965-6EB5-4C44-904B-FCF0BF929CCA}"/>
    <cellStyle name="20% - Accent3 2 3 3 3 3 3" xfId="33819" xr:uid="{5519E014-2E3C-406A-BBCC-B0064BF6AB64}"/>
    <cellStyle name="20% - Accent3 2 3 3 3 4" xfId="24657" xr:uid="{A84C1432-13A6-4A6D-A9FE-0D27093B2D4D}"/>
    <cellStyle name="20% - Accent3 2 3 3 3 4 2" xfId="29631" xr:uid="{CFA46EEF-58A1-4E3F-90C0-8AAAF0B0D512}"/>
    <cellStyle name="20% - Accent3 2 3 3 3 5" xfId="26989" xr:uid="{018F0470-3295-4A1D-AF8B-C8832C1D1647}"/>
    <cellStyle name="20% - Accent3 2 3 3 4" xfId="33097" xr:uid="{33BE6805-F5F1-4884-B45C-4D8962386510}"/>
    <cellStyle name="20% - Accent3 2 3 3 4 2" xfId="24651" xr:uid="{B52670F8-0453-4247-9369-7B40EEFEE2EF}"/>
    <cellStyle name="20% - Accent3 2 3 3 4 2 2" xfId="27601" xr:uid="{F4BE6F33-6192-4AE1-B971-D24A05A8FE2F}"/>
    <cellStyle name="20% - Accent3 2 3 3 4 2 2 2" xfId="26986" xr:uid="{2A90522C-E914-4A5E-B73B-8332ECA41C1C}"/>
    <cellStyle name="20% - Accent3 2 3 3 4 2 3" xfId="26985" xr:uid="{8C7CC881-EE43-42B1-943C-FF5865FB66C6}"/>
    <cellStyle name="20% - Accent3 2 3 3 4 3" xfId="24649" xr:uid="{BD452F9F-DEC4-4F41-AB44-C116B3E411C5}"/>
    <cellStyle name="20% - Accent3 2 3 3 4 3 2" xfId="30872" xr:uid="{F9ACFEBC-9379-4ABE-8502-8DCC1898523E}"/>
    <cellStyle name="20% - Accent3 2 3 3 4 4" xfId="26984" xr:uid="{18A9CA6A-3452-4710-B619-8758DFBAD804}"/>
    <cellStyle name="20% - Accent3 2 3 3 5" xfId="15303" xr:uid="{DCA6EFAE-6A54-499C-A565-C0919B4B0E25}"/>
    <cellStyle name="20% - Accent3 2 3 3 5 2" xfId="24641" xr:uid="{70F9D330-B54D-4758-A6B3-A7C563D9E3E1}"/>
    <cellStyle name="20% - Accent3 2 3 3 5 2 2" xfId="26980" xr:uid="{4C0D438D-80F1-4B42-A266-88206C1DD465}"/>
    <cellStyle name="20% - Accent3 2 3 3 5 3" xfId="26978" xr:uid="{920B40A1-F042-48EC-A4FA-7910F29B8740}"/>
    <cellStyle name="20% - Accent3 2 3 3 6" xfId="26977" xr:uid="{9D6C6C2B-C49D-4192-B7B1-E0C646BF2F96}"/>
    <cellStyle name="20% - Accent3 2 3 3 6 2" xfId="32290" xr:uid="{3B78F68D-DAEC-48E2-AAA2-546FA6693547}"/>
    <cellStyle name="20% - Accent3 2 3 3 7" xfId="26970" xr:uid="{39443C53-42AD-4F79-9B77-7D20FF234757}"/>
    <cellStyle name="20% - Accent3 2 3 4" xfId="26968" xr:uid="{C251D905-926E-4DC7-ACFE-8C73E3B483E3}"/>
    <cellStyle name="20% - Accent3 2 3 4 2" xfId="29964" xr:uid="{6A7A42C9-6197-4177-8120-A69C89DF43F4}"/>
    <cellStyle name="20% - Accent3 2 3 4 2 2" xfId="27960" xr:uid="{0691F583-8897-4E6C-AF95-8D192224D15F}"/>
    <cellStyle name="20% - Accent3 2 3 4 2 2 2" xfId="10153" xr:uid="{9283E305-1103-4C58-8676-77CF3CD5FF02}"/>
    <cellStyle name="20% - Accent3 2 3 4 2 2 2 2" xfId="21757" xr:uid="{16661DEC-3188-41AE-85C2-17BFF0FF22D7}"/>
    <cellStyle name="20% - Accent3 2 3 4 2 2 2 2 2" xfId="34338" xr:uid="{1304390F-96C8-418F-97EE-B044CE87CB5C}"/>
    <cellStyle name="20% - Accent3 2 3 4 2 2 2 3" xfId="27975" xr:uid="{F8EEFCE4-56E9-4B40-8E70-938C37FEFF08}"/>
    <cellStyle name="20% - Accent3 2 3 4 2 2 3" xfId="24999" xr:uid="{C637208D-0230-4819-AAAE-B43653DBF014}"/>
    <cellStyle name="20% - Accent3 2 3 4 2 2 3 2" xfId="27957" xr:uid="{A122006F-A915-4B4A-8905-BBC9E895F3A4}"/>
    <cellStyle name="20% - Accent3 2 3 4 2 2 4" xfId="24994" xr:uid="{A82663BC-CE56-4256-88F2-BADA4F2568DB}"/>
    <cellStyle name="20% - Accent3 2 3 4 2 3" xfId="24623" xr:uid="{9809DD62-1B1D-4363-8E51-4F0F2CCD15C6}"/>
    <cellStyle name="20% - Accent3 2 3 4 2 3 2" xfId="27952" xr:uid="{789506DD-E874-4CFC-AF30-551727B025CA}"/>
    <cellStyle name="20% - Accent3 2 3 4 2 3 2 2" xfId="28447" xr:uid="{1950761C-FE2D-4656-8F35-2A8FD84627F5}"/>
    <cellStyle name="20% - Accent3 2 3 4 2 3 3" xfId="24982" xr:uid="{5ECE518F-7D2E-4DFE-A8BD-562538A44B0A}"/>
    <cellStyle name="20% - Accent3 2 3 4 2 4" xfId="32050" xr:uid="{2C81F967-8A60-4AE2-A611-7894E693EE8D}"/>
    <cellStyle name="20% - Accent3 2 3 4 2 4 2" xfId="25079" xr:uid="{040EE8ED-490A-4928-A526-125469F4DF3D}"/>
    <cellStyle name="20% - Accent3 2 3 4 2 5" xfId="31063" xr:uid="{CA91BEAE-9455-4F6C-9A75-00FB5E6FFFE7}"/>
    <cellStyle name="20% - Accent3 2 3 4 3" xfId="11125" xr:uid="{51788595-A324-4905-8D19-EF14718B14CE}"/>
    <cellStyle name="20% - Accent3 2 3 4 3 2" xfId="24610" xr:uid="{48FF3B85-A3B0-4E19-91B8-1765AC6900AE}"/>
    <cellStyle name="20% - Accent3 2 3 4 3 2 2" xfId="29509" xr:uid="{7AE1BA88-06F3-4387-8791-82B7A633E913}"/>
    <cellStyle name="20% - Accent3 2 3 4 3 2 2 2" xfId="23663" xr:uid="{7172929A-CB5A-42D4-A0E3-E5FA34A309DF}"/>
    <cellStyle name="20% - Accent3 2 3 4 3 2 3" xfId="26956" xr:uid="{0A958373-3241-4C51-8178-84EF1725260C}"/>
    <cellStyle name="20% - Accent3 2 3 4 3 3" xfId="24601" xr:uid="{412936AF-E864-40C6-AE0E-BA9AB4F7D955}"/>
    <cellStyle name="20% - Accent3 2 3 4 3 3 2" xfId="30811" xr:uid="{2D766FA9-EF27-4C44-9B8E-FC411E03D384}"/>
    <cellStyle name="20% - Accent3 2 3 4 3 4" xfId="33652" xr:uid="{69060232-206C-46A2-B97F-73FD623D1603}"/>
    <cellStyle name="20% - Accent3 2 3 4 4" xfId="26952" xr:uid="{67454EF6-C9E1-4BCC-867C-08F58A3CC4EC}"/>
    <cellStyle name="20% - Accent3 2 3 4 4 2" xfId="24598" xr:uid="{A39B1B26-C598-4FAB-AAF7-4201C7BEA3DD}"/>
    <cellStyle name="20% - Accent3 2 3 4 4 2 2" xfId="26449" xr:uid="{F14EE00E-9F44-4C4C-87C0-76AF260DAD5E}"/>
    <cellStyle name="20% - Accent3 2 3 4 4 3" xfId="31539" xr:uid="{FD988732-4DC5-4B94-BF67-6CF1C4B42BDE}"/>
    <cellStyle name="20% - Accent3 2 3 4 5" xfId="31698" xr:uid="{C1B9CDAD-0E22-46A6-9F4B-AEB1CB92432B}"/>
    <cellStyle name="20% - Accent3 2 3 4 5 2" xfId="31691" xr:uid="{569C0962-57A1-4C44-9CA8-5490796EC2D3}"/>
    <cellStyle name="20% - Accent3 2 3 4 6" xfId="31669" xr:uid="{CED842F6-EA04-45E2-A3FE-8D2D0B7DEE15}"/>
    <cellStyle name="20% - Accent3 2 3 5" xfId="13390" xr:uid="{05281263-319A-48C7-AE52-6E43953B020C}"/>
    <cellStyle name="20% - Accent3 2 3 5 2" xfId="26947" xr:uid="{0A7F8180-37F1-4D29-845B-E8EC6F6413D9}"/>
    <cellStyle name="20% - Accent3 2 3 5 2 2" xfId="24578" xr:uid="{824A78F5-F75A-4C4D-954E-224D19F87788}"/>
    <cellStyle name="20% - Accent3 2 3 5 2 2 2" xfId="20086" xr:uid="{44943417-6150-4154-B538-53C31EA7A861}"/>
    <cellStyle name="20% - Accent3 2 3 5 2 2 2 2" xfId="22418" xr:uid="{4C70EDF0-2BA1-47B3-AAFE-F1023815EAA8}"/>
    <cellStyle name="20% - Accent3 2 3 5 2 2 3" xfId="20077" xr:uid="{AF50FA55-C0CD-4AAA-8F18-93677F734203}"/>
    <cellStyle name="20% - Accent3 2 3 5 2 3" xfId="31364" xr:uid="{C41D92E8-853C-4020-963E-A2D2C8B8D064}"/>
    <cellStyle name="20% - Accent3 2 3 5 2 3 2" xfId="20052" xr:uid="{9B640AFB-D45E-4104-9006-FA181052BC5A}"/>
    <cellStyle name="20% - Accent3 2 3 5 2 4" xfId="15720" xr:uid="{CFB8E3F8-9140-4E31-AB76-79C594BEA119}"/>
    <cellStyle name="20% - Accent3 2 3 5 3" xfId="26945" xr:uid="{35076642-CA19-4A12-9811-793FB472E7D4}"/>
    <cellStyle name="20% - Accent3 2 3 5 3 2" xfId="24568" xr:uid="{03EC46A5-54B8-4336-B417-A0C2485F39A0}"/>
    <cellStyle name="20% - Accent3 2 3 5 3 2 2" xfId="26943" xr:uid="{56321D26-F92D-46FD-BAE3-BA908E4AA2D7}"/>
    <cellStyle name="20% - Accent3 2 3 5 3 3" xfId="31338" xr:uid="{7799880D-9732-4C2C-941B-163030F89721}"/>
    <cellStyle name="20% - Accent3 2 3 5 4" xfId="23422" xr:uid="{EE3545D3-173A-4FDF-833B-51E75ADCA4B3}"/>
    <cellStyle name="20% - Accent3 2 3 5 4 2" xfId="26939" xr:uid="{1868FB48-03E5-4A64-9EF2-DB1B88686E06}"/>
    <cellStyle name="20% - Accent3 2 3 5 5" xfId="23416" xr:uid="{B98B7711-4F25-43DF-AB3C-59715E40BE34}"/>
    <cellStyle name="20% - Accent3 2 3 6" xfId="27421" xr:uid="{B2B50650-0A52-4984-B1D4-EE14E3D21E73}"/>
    <cellStyle name="20% - Accent3 2 3 6 2" xfId="26935" xr:uid="{91727E9D-C475-494B-A958-C7DCA2EE451A}"/>
    <cellStyle name="20% - Accent3 2 3 6 2 2" xfId="24560" xr:uid="{D7603CEC-1357-488A-BA89-1BB9CE436ED6}"/>
    <cellStyle name="20% - Accent3 2 3 6 2 2 2" xfId="20010" xr:uid="{80D508FE-680B-4550-BF58-440F1EC7F4D3}"/>
    <cellStyle name="20% - Accent3 2 3 6 2 3" xfId="28818" xr:uid="{9F8EA833-7B8B-484F-858E-7485695650C1}"/>
    <cellStyle name="20% - Accent3 2 3 6 3" xfId="25508" xr:uid="{4C6EDB12-9840-4779-BE61-9D74F1B6934A}"/>
    <cellStyle name="20% - Accent3 2 3 6 3 2" xfId="19562" xr:uid="{693C7CD8-4ADF-45D1-9424-CEC630A05726}"/>
    <cellStyle name="20% - Accent3 2 3 6 4" xfId="23408" xr:uid="{88CEAA94-45C2-40ED-926F-51C742FFF197}"/>
    <cellStyle name="20% - Accent3 2 3 7" xfId="27417" xr:uid="{91A5DA01-4693-4FB1-9621-CB16FA335E45}"/>
    <cellStyle name="20% - Accent3 2 3 7 2" xfId="26176" xr:uid="{AE2AE964-279F-47D5-AF46-4CC745BEAA99}"/>
    <cellStyle name="20% - Accent3 2 3 7 2 2" xfId="18938" xr:uid="{CA5DFAAF-5F31-4EB9-9B45-22C68D28A43E}"/>
    <cellStyle name="20% - Accent3 2 3 7 3" xfId="26913" xr:uid="{B77E57A9-AF4A-4042-A972-B7D7CE0508F3}"/>
    <cellStyle name="20% - Accent3 2 3 8" xfId="7685" xr:uid="{14A34573-D21F-4C87-87E9-F6D75C51E032}"/>
    <cellStyle name="20% - Accent3 2 3 8 2" xfId="26904" xr:uid="{BE0FF4F0-09F8-43F9-BA40-773F2CDBB7A7}"/>
    <cellStyle name="20% - Accent3 2 3 9" xfId="25851" xr:uid="{DF17C997-3787-4BD0-B543-4CCE84BDC248}"/>
    <cellStyle name="20% - Accent3 2 4" xfId="22602" xr:uid="{B02E24F9-693D-4B82-B139-DB10E46B7394}"/>
    <cellStyle name="20% - Accent3 2 4 2" xfId="28905" xr:uid="{3F90C64F-13B1-423F-9E68-C31FAB59E7CC}"/>
    <cellStyle name="20% - Accent3 2 4 2 2" xfId="7583" xr:uid="{BDE51678-92E2-48EC-8E39-9A7840A77862}"/>
    <cellStyle name="20% - Accent3 2 4 2 2 2" xfId="32790" xr:uid="{ADFC470D-3DE0-4D89-AB6C-10B2C6134A48}"/>
    <cellStyle name="20% - Accent3 2 4 2 2 2 2" xfId="23655" xr:uid="{56261503-C8FF-4A54-B281-D09CF1889AD5}"/>
    <cellStyle name="20% - Accent3 2 4 2 2 2 2 2" xfId="22563" xr:uid="{C019EC7E-8A00-4B1E-B58E-D8C9D5910D53}"/>
    <cellStyle name="20% - Accent3 2 4 2 2 2 2 2 2" xfId="26897" xr:uid="{ADF02AAE-E902-4BDE-AF7E-5A8EF8F25533}"/>
    <cellStyle name="20% - Accent3 2 4 2 2 2 2 2 2 2" xfId="30067" xr:uid="{91A37976-8525-4D72-84CD-3CF8271A7EC2}"/>
    <cellStyle name="20% - Accent3 2 4 2 2 2 2 2 3" xfId="26893" xr:uid="{EDBE05EB-44CF-43A7-809B-7BF6CB3882C4}"/>
    <cellStyle name="20% - Accent3 2 4 2 2 2 2 3" xfId="19378" xr:uid="{107BDC31-084D-4186-A1EC-245B6B312E29}"/>
    <cellStyle name="20% - Accent3 2 4 2 2 2 2 3 2" xfId="26899" xr:uid="{3FB7D800-A2E0-43E1-A9A3-920A8A6BADF4}"/>
    <cellStyle name="20% - Accent3 2 4 2 2 2 2 4" xfId="19372" xr:uid="{6C48E022-A697-4B85-AE3B-068A028D485B}"/>
    <cellStyle name="20% - Accent3 2 4 2 2 2 3" xfId="27541" xr:uid="{1C28B0EF-42C6-4297-9AE7-342C03F662F0}"/>
    <cellStyle name="20% - Accent3 2 4 2 2 2 3 2" xfId="26884" xr:uid="{2635B95E-49C4-4918-A845-BDBBF852E579}"/>
    <cellStyle name="20% - Accent3 2 4 2 2 2 3 2 2" xfId="22137" xr:uid="{0249B3A4-74AA-4B4A-B72A-A1E14316784A}"/>
    <cellStyle name="20% - Accent3 2 4 2 2 2 3 3" xfId="26883" xr:uid="{05CE60F5-EF20-492F-BE7B-47F6FB76C5C8}"/>
    <cellStyle name="20% - Accent3 2 4 2 2 2 4" xfId="26880" xr:uid="{CCFEEE0E-7DC5-4558-AB15-55EDA6AF0116}"/>
    <cellStyle name="20% - Accent3 2 4 2 2 2 4 2" xfId="33789" xr:uid="{65E89CFF-D198-465D-AC55-6868DAE28353}"/>
    <cellStyle name="20% - Accent3 2 4 2 2 2 5" xfId="26875" xr:uid="{AB6579D6-8F6E-4E09-9BE5-848B0AD80F62}"/>
    <cellStyle name="20% - Accent3 2 4 2 2 3" xfId="32835" xr:uid="{7DBDD6A9-94E7-4C0D-8821-A05C2E584331}"/>
    <cellStyle name="20% - Accent3 2 4 2 2 3 2" xfId="26871" xr:uid="{EA97A6E0-3FBF-4F96-BB19-1C98669DD453}"/>
    <cellStyle name="20% - Accent3 2 4 2 2 3 2 2" xfId="26866" xr:uid="{50B2C742-D61F-4B46-8466-92209B11D045}"/>
    <cellStyle name="20% - Accent3 2 4 2 2 3 2 2 2" xfId="26863" xr:uid="{5CE35684-A206-44A9-83CD-B350060B80D1}"/>
    <cellStyle name="20% - Accent3 2 4 2 2 3 2 3" xfId="19340" xr:uid="{8CF69D71-ED94-43D5-9AD4-7A4A0D0A3A8F}"/>
    <cellStyle name="20% - Accent3 2 4 2 2 3 3" xfId="26862" xr:uid="{55EC2813-9540-4EDA-9A0C-4E42DC5381EE}"/>
    <cellStyle name="20% - Accent3 2 4 2 2 3 3 2" xfId="26860" xr:uid="{F642E04A-E636-4F22-BDFB-7F839A5049DD}"/>
    <cellStyle name="20% - Accent3 2 4 2 2 3 4" xfId="26859" xr:uid="{DB7310CA-F9C2-4BAC-87E4-46DB008BB4B5}"/>
    <cellStyle name="20% - Accent3 2 4 2 2 4" xfId="26856" xr:uid="{F4BC8271-5AA2-402F-AC67-2CB8FABE4045}"/>
    <cellStyle name="20% - Accent3 2 4 2 2 4 2" xfId="22498" xr:uid="{06DF63A2-6386-47FB-AF77-5A07D001DB01}"/>
    <cellStyle name="20% - Accent3 2 4 2 2 4 2 2" xfId="26839" xr:uid="{D7982656-9194-4927-9043-C56FBBC5780E}"/>
    <cellStyle name="20% - Accent3 2 4 2 2 4 3" xfId="26838" xr:uid="{8EE79B65-74AF-4266-9B5F-4930575C0667}"/>
    <cellStyle name="20% - Accent3 2 4 2 2 5" xfId="26822" xr:uid="{2448878D-C19C-4F60-95E8-181524CFDF33}"/>
    <cellStyle name="20% - Accent3 2 4 2 2 5 2" xfId="9405" xr:uid="{928FE136-30FA-4E21-A85B-9343C5250227}"/>
    <cellStyle name="20% - Accent3 2 4 2 2 6" xfId="28999" xr:uid="{F6C22625-A921-4DEE-AE92-14A322E39A29}"/>
    <cellStyle name="20% - Accent3 2 4 2 3" xfId="24400" xr:uid="{92731FB8-CD10-482A-AAB0-F633B97425A7}"/>
    <cellStyle name="20% - Accent3 2 4 2 3 2" xfId="33396" xr:uid="{BEAFBA09-BAE1-4D57-A394-2F82F60F7495}"/>
    <cellStyle name="20% - Accent3 2 4 2 3 2 2" xfId="28773" xr:uid="{F8C2C2CC-5F2C-43C8-9B02-49B9CD353FC6}"/>
    <cellStyle name="20% - Accent3 2 4 2 3 2 2 2" xfId="26805" xr:uid="{A08D1CDA-A3BA-4364-A5DA-89C2910DA177}"/>
    <cellStyle name="20% - Accent3 2 4 2 3 2 2 2 2" xfId="32213" xr:uid="{1F8D5C09-D9B1-48E3-B731-60CE2DB1EE1C}"/>
    <cellStyle name="20% - Accent3 2 4 2 3 2 2 3" xfId="12416" xr:uid="{88B1DD18-B21A-47EB-BB7E-44FA02BE9F29}"/>
    <cellStyle name="20% - Accent3 2 4 2 3 2 3" xfId="25961" xr:uid="{67B4FC25-1269-453A-A602-5472F41C6DA9}"/>
    <cellStyle name="20% - Accent3 2 4 2 3 2 3 2" xfId="26802" xr:uid="{72479F77-FD71-4FB0-B417-22D5B7E8BB5A}"/>
    <cellStyle name="20% - Accent3 2 4 2 3 2 4" xfId="5469" xr:uid="{80117B37-F414-4B05-901A-2BBC810C69BC}"/>
    <cellStyle name="20% - Accent3 2 4 2 3 3" xfId="26798" xr:uid="{12AEB962-5A49-413F-A9F1-C76C78400B7B}"/>
    <cellStyle name="20% - Accent3 2 4 2 3 3 2" xfId="28753" xr:uid="{D7D8D023-3723-4D0D-8FCB-4100A35002F8}"/>
    <cellStyle name="20% - Accent3 2 4 2 3 3 2 2" xfId="26796" xr:uid="{29559C1F-027A-4EDC-A7D8-DE5046DF2A14}"/>
    <cellStyle name="20% - Accent3 2 4 2 3 3 3" xfId="26795" xr:uid="{B6A44782-9DE4-40DE-8C5A-63E58DE28D9F}"/>
    <cellStyle name="20% - Accent3 2 4 2 3 4" xfId="26793" xr:uid="{7668C59B-CD84-4F1C-8C09-0F349220C9B3}"/>
    <cellStyle name="20% - Accent3 2 4 2 3 4 2" xfId="25003" xr:uid="{D759480E-B0E2-4CBA-967C-717044933106}"/>
    <cellStyle name="20% - Accent3 2 4 2 3 5" xfId="26782" xr:uid="{D86A00D9-7287-445F-A2B5-F71B925EB169}"/>
    <cellStyle name="20% - Accent3 2 4 2 4" xfId="30871" xr:uid="{5144B3A9-65A2-4DBD-B98D-ABD246E58657}"/>
    <cellStyle name="20% - Accent3 2 4 2 4 2" xfId="26777" xr:uid="{DFEDB1E6-901E-498D-B53B-630EED5E1262}"/>
    <cellStyle name="20% - Accent3 2 4 2 4 2 2" xfId="33602" xr:uid="{21F0B7A9-9B74-4D12-AD9D-9A4D34DF3C1C}"/>
    <cellStyle name="20% - Accent3 2 4 2 4 2 2 2" xfId="26770" xr:uid="{1B8B646B-7EB0-419B-9011-9D27D8B39B23}"/>
    <cellStyle name="20% - Accent3 2 4 2 4 2 3" xfId="34047" xr:uid="{821E191E-05AC-4FCB-B458-C29080D64235}"/>
    <cellStyle name="20% - Accent3 2 4 2 4 3" xfId="26560" xr:uid="{67E1D8E5-2BBD-44B2-9E1C-6BF0DBC3BDD0}"/>
    <cellStyle name="20% - Accent3 2 4 2 4 3 2" xfId="33864" xr:uid="{71DD4C2D-7A57-48FE-B407-D0C58F046E21}"/>
    <cellStyle name="20% - Accent3 2 4 2 4 4" xfId="28974" xr:uid="{AF976ECC-6E5D-427B-BDE0-9B5FC90CCEC8}"/>
    <cellStyle name="20% - Accent3 2 4 2 5" xfId="26768" xr:uid="{96123C0A-2891-4554-9FAA-DAA409736A34}"/>
    <cellStyle name="20% - Accent3 2 4 2 5 2" xfId="28188" xr:uid="{6D8B6F16-C045-401B-9946-A8210D8006F2}"/>
    <cellStyle name="20% - Accent3 2 4 2 5 2 2" xfId="32862" xr:uid="{4AC6EF33-B2AE-4453-8CDE-11C1B19FE6C9}"/>
    <cellStyle name="20% - Accent3 2 4 2 5 3" xfId="30180" xr:uid="{AB567711-2C75-4D14-8826-82313C859B42}"/>
    <cellStyle name="20% - Accent3 2 4 2 6" xfId="26767" xr:uid="{52FFAF3E-C5E0-48F8-97B5-4A3CF65AF4C3}"/>
    <cellStyle name="20% - Accent3 2 4 2 6 2" xfId="26763" xr:uid="{F69046B6-B513-4B16-8A80-A4B3760D28FE}"/>
    <cellStyle name="20% - Accent3 2 4 2 7" xfId="26754" xr:uid="{516E7985-7206-477F-BB71-C85DB0F867AF}"/>
    <cellStyle name="20% - Accent3 2 4 3" xfId="28916" xr:uid="{8697F7C1-AC97-4D0F-AA9E-78F09582853F}"/>
    <cellStyle name="20% - Accent3 2 4 3 2" xfId="26752" xr:uid="{B6CE4EF0-BA67-45BE-9FA9-4949901C8CA3}"/>
    <cellStyle name="20% - Accent3 2 4 3 2 2" xfId="29522" xr:uid="{44DA9731-57A5-4DE6-9944-6808FE01A36D}"/>
    <cellStyle name="20% - Accent3 2 4 3 2 2 2" xfId="10054" xr:uid="{E1C51683-BFE9-4C62-B171-3D4FA10CFC27}"/>
    <cellStyle name="20% - Accent3 2 4 3 2 2 2 2" xfId="29021" xr:uid="{58AEC451-6861-4834-B79C-4CB2847E19BA}"/>
    <cellStyle name="20% - Accent3 2 4 3 2 2 2 2 2" xfId="26975" xr:uid="{DB1B23DF-DC5F-471E-854D-763099CD85BE}"/>
    <cellStyle name="20% - Accent3 2 4 3 2 2 2 3" xfId="20998" xr:uid="{1D4FBBEA-8C65-42FF-895C-8C782C47D2D2}"/>
    <cellStyle name="20% - Accent3 2 4 3 2 2 3" xfId="26749" xr:uid="{1F5089E0-571F-4891-8FC6-09D61E4E1B48}"/>
    <cellStyle name="20% - Accent3 2 4 3 2 2 3 2" xfId="32509" xr:uid="{96E04154-8933-4724-9394-530BE0FCC4CC}"/>
    <cellStyle name="20% - Accent3 2 4 3 2 2 4" xfId="20442" xr:uid="{508E6FA9-DA35-400C-AA25-1F425CF3D822}"/>
    <cellStyle name="20% - Accent3 2 4 3 2 3" xfId="24510" xr:uid="{2384CF77-1E07-439E-BC78-8F7EB367D4AB}"/>
    <cellStyle name="20% - Accent3 2 4 3 2 3 2" xfId="14695" xr:uid="{73409A09-DB36-4724-8E95-6C9725CC3BBC}"/>
    <cellStyle name="20% - Accent3 2 4 3 2 3 2 2" xfId="30209" xr:uid="{C9B070BF-DB91-48A1-BE47-570ECCE2402C}"/>
    <cellStyle name="20% - Accent3 2 4 3 2 3 3" xfId="20433" xr:uid="{EB955EE6-E053-48E9-AD4D-DA74915BB823}"/>
    <cellStyle name="20% - Accent3 2 4 3 2 4" xfId="24501" xr:uid="{4C1D7826-3612-4767-91D2-D9FB32ADB8FD}"/>
    <cellStyle name="20% - Accent3 2 4 3 2 4 2" xfId="18860" xr:uid="{6EE329BC-9F49-4260-B7EE-F8C4C885099A}"/>
    <cellStyle name="20% - Accent3 2 4 3 2 5" xfId="26727" xr:uid="{903B1961-00E6-4300-884C-32DCF8386FCF}"/>
    <cellStyle name="20% - Accent3 2 4 3 3" xfId="26715" xr:uid="{A475E114-237E-41BC-8A1C-3D153D930F43}"/>
    <cellStyle name="20% - Accent3 2 4 3 3 2" xfId="24484" xr:uid="{ECE15D26-24BD-4A2F-BE0F-184281C8D180}"/>
    <cellStyle name="20% - Accent3 2 4 3 3 2 2" xfId="20753" xr:uid="{AEFCB2AD-1E15-4E97-9E00-0B16226D34B7}"/>
    <cellStyle name="20% - Accent3 2 4 3 3 2 2 2" xfId="31589" xr:uid="{BDC73805-6ED3-44AF-A3EC-9B8981FCB27B}"/>
    <cellStyle name="20% - Accent3 2 4 3 3 2 3" xfId="20744" xr:uid="{428AE513-CDD2-47F2-B273-2D49488846DF}"/>
    <cellStyle name="20% - Accent3 2 4 3 3 3" xfId="24472" xr:uid="{C2FAE064-D59E-4D2A-97EF-BDC3F5131B5C}"/>
    <cellStyle name="20% - Accent3 2 4 3 3 3 2" xfId="27114" xr:uid="{992256A4-2829-4AA7-B8FD-73DCFF16BB91}"/>
    <cellStyle name="20% - Accent3 2 4 3 3 4" xfId="26701" xr:uid="{785F5FD3-E945-4A92-AE9A-46BB1727FC5B}"/>
    <cellStyle name="20% - Accent3 2 4 3 4" xfId="26690" xr:uid="{25FE38B0-A519-489D-B526-8172523FD357}"/>
    <cellStyle name="20% - Accent3 2 4 3 4 2" xfId="26687" xr:uid="{D5030BCF-D2E3-4D54-B55F-1CD7F41A361F}"/>
    <cellStyle name="20% - Accent3 2 4 3 4 2 2" xfId="20739" xr:uid="{1E56C632-004C-4BB7-AE26-5EB1CB2F5961}"/>
    <cellStyle name="20% - Accent3 2 4 3 4 3" xfId="34109" xr:uid="{97C36970-1BEC-4582-AC46-B2B10B049FAF}"/>
    <cellStyle name="20% - Accent3 2 4 3 5" xfId="26679" xr:uid="{A5210A7A-6462-4C87-A38B-7C87854D64A5}"/>
    <cellStyle name="20% - Accent3 2 4 3 5 2" xfId="26678" xr:uid="{3A5CC3D6-8BEF-4942-B9C5-0DAFBCDE5CA2}"/>
    <cellStyle name="20% - Accent3 2 4 3 6" xfId="26670" xr:uid="{B2023B14-087C-41C9-A04A-A779D1159EF7}"/>
    <cellStyle name="20% - Accent3 2 4 4" xfId="26668" xr:uid="{7E5B45E3-7E38-4F4D-95E2-FC6324C6BFC4}"/>
    <cellStyle name="20% - Accent3 2 4 4 2" xfId="28929" xr:uid="{754790B9-4F70-46E2-8EC4-C76A159D5E80}"/>
    <cellStyle name="20% - Accent3 2 4 4 2 2" xfId="24457" xr:uid="{9F4B014A-B377-416E-A8DC-657BDC327B3F}"/>
    <cellStyle name="20% - Accent3 2 4 4 2 2 2" xfId="18670" xr:uid="{476F5A7D-B857-448A-9BD4-1DEC2080C491}"/>
    <cellStyle name="20% - Accent3 2 4 4 2 2 2 2" xfId="28710" xr:uid="{BF64CF50-E6C0-491F-9548-9A82A6AA5A5C}"/>
    <cellStyle name="20% - Accent3 2 4 4 2 2 3" xfId="24710" xr:uid="{7E4D74A8-F0DF-45E2-ACD0-D42D189A274D}"/>
    <cellStyle name="20% - Accent3 2 4 4 2 3" xfId="24453" xr:uid="{8F0C5399-BE74-4D7B-AD32-03FF08D559EE}"/>
    <cellStyle name="20% - Accent3 2 4 4 2 3 2" xfId="18656" xr:uid="{3D90C30C-AABF-45AA-8551-CA2756B01E60}"/>
    <cellStyle name="20% - Accent3 2 4 4 2 4" xfId="28869" xr:uid="{46A04C09-2CF9-41AB-A88A-E6FF3906437F}"/>
    <cellStyle name="20% - Accent3 2 4 4 3" xfId="26650" xr:uid="{08BDD967-4C5C-4758-AA52-BCA0061A2C6D}"/>
    <cellStyle name="20% - Accent3 2 4 4 3 2" xfId="26648" xr:uid="{029A9DA3-CD99-4F2F-9251-8B3BD71760B5}"/>
    <cellStyle name="20% - Accent3 2 4 4 3 2 2" xfId="20729" xr:uid="{40959457-D712-432D-B5E9-55AFF0EBB263}"/>
    <cellStyle name="20% - Accent3 2 4 4 3 3" xfId="30677" xr:uid="{955F5EE1-DF93-4163-B8C1-B8B63C2B9D93}"/>
    <cellStyle name="20% - Accent3 2 4 4 4" xfId="26635" xr:uid="{5DE1D20A-AB33-456E-ABBF-27BF8EE7A590}"/>
    <cellStyle name="20% - Accent3 2 4 4 4 2" xfId="26629" xr:uid="{BA08BE97-8860-4231-9690-D547BC473CC7}"/>
    <cellStyle name="20% - Accent3 2 4 4 5" xfId="31612" xr:uid="{852399A4-3EAE-4FBF-B38B-0971B9E41283}"/>
    <cellStyle name="20% - Accent3 2 4 5" xfId="18031" xr:uid="{F5B7F904-A97B-4968-8569-95E8D0D6372A}"/>
    <cellStyle name="20% - Accent3 2 4 5 2" xfId="18025" xr:uid="{6E471A64-45C8-4B37-A7C1-EC3C25ABBE8D}"/>
    <cellStyle name="20% - Accent3 2 4 5 2 2" xfId="18019" xr:uid="{E5E814EE-E73E-4243-BD7B-BB0CBEF9BEA5}"/>
    <cellStyle name="20% - Accent3 2 4 5 2 2 2" xfId="18553" xr:uid="{DB177AC0-3F09-4FF4-8D8F-C191E75BEE2E}"/>
    <cellStyle name="20% - Accent3 2 4 5 2 3" xfId="30666" xr:uid="{5A6474E5-E98F-42E9-966E-2D44C83EAE14}"/>
    <cellStyle name="20% - Accent3 2 4 5 3" xfId="18013" xr:uid="{DC9959E9-15BD-4B93-9E65-85163E85945F}"/>
    <cellStyle name="20% - Accent3 2 4 5 3 2" xfId="26608" xr:uid="{9625D9D2-7069-40EB-8EBA-4E9F71A56934}"/>
    <cellStyle name="20% - Accent3 2 4 5 4" xfId="23393" xr:uid="{DCF88A11-F86A-4FDA-BD58-4F28FDFB1B6B}"/>
    <cellStyle name="20% - Accent3 2 4 6" xfId="18009" xr:uid="{D47652AB-F878-4BCC-95D1-ED044C39F341}"/>
    <cellStyle name="20% - Accent3 2 4 6 2" xfId="18006" xr:uid="{79E30B85-3D9B-413F-B8D0-8CF3F45E34CD}"/>
    <cellStyle name="20% - Accent3 2 4 6 2 2" xfId="26594" xr:uid="{05C8D89A-A6A5-422D-8995-95E54018519A}"/>
    <cellStyle name="20% - Accent3 2 4 6 3" xfId="25775" xr:uid="{EC781066-8F59-4CEA-9DAD-83AE096101C4}"/>
    <cellStyle name="20% - Accent3 2 4 7" xfId="26590" xr:uid="{B1DD4A57-1348-4FFA-A7D2-9EC99C2C04BA}"/>
    <cellStyle name="20% - Accent3 2 4 7 2" xfId="26583" xr:uid="{D5AA5A41-CFD5-43F9-A084-AA6638B97BE0}"/>
    <cellStyle name="20% - Accent3 2 4 8" xfId="30138" xr:uid="{1A478BAD-65C5-437A-9178-BB439587493D}"/>
    <cellStyle name="20% - Accent3 2 4 9" xfId="34756" xr:uid="{4ABBE6B4-D3D0-4E6C-AD5D-884AB1A5BC64}"/>
    <cellStyle name="20% - Accent3 2 5" xfId="30187" xr:uid="{BE0E8972-7480-447E-8AA1-9CCB0768BFC7}"/>
    <cellStyle name="20% - Accent3 2 5 2" xfId="26578" xr:uid="{7C1D3F8A-1AD6-4114-B252-E4F9FBCA9618}"/>
    <cellStyle name="20% - Accent3 2 5 2 2" xfId="12043" xr:uid="{A7351A71-D522-4A7E-AC8D-7EFD9D6704DC}"/>
    <cellStyle name="20% - Accent3 2 5 2 2 2" xfId="22417" xr:uid="{850802DD-A60F-4E2E-A82B-0FEEDFC39E47}"/>
    <cellStyle name="20% - Accent3 2 5 2 2 2 2" xfId="26576" xr:uid="{49FCEE6C-0228-46F9-AB9B-EE544F04675B}"/>
    <cellStyle name="20% - Accent3 2 5 2 2 2 2 2" xfId="28811" xr:uid="{2155B815-330C-49DF-9E43-22888A9AED7C}"/>
    <cellStyle name="20% - Accent3 2 5 2 2 2 2 2 2" xfId="28844" xr:uid="{B3AB819F-F984-4F84-B96C-A269289E371C}"/>
    <cellStyle name="20% - Accent3 2 5 2 2 2 2 3" xfId="29016" xr:uid="{F0A8FCCD-A072-46C5-B4EB-F65F448F1F1C}"/>
    <cellStyle name="20% - Accent3 2 5 2 2 2 3" xfId="26573" xr:uid="{8DB5DC19-281E-43EC-8354-DB62B45A394A}"/>
    <cellStyle name="20% - Accent3 2 5 2 2 2 3 2" xfId="29006" xr:uid="{3D6DA94C-456B-47EB-8C5F-404074E2E98B}"/>
    <cellStyle name="20% - Accent3 2 5 2 2 2 4" xfId="14475" xr:uid="{6487507F-9C04-4375-B605-2DF632966A5F}"/>
    <cellStyle name="20% - Accent3 2 5 2 2 3" xfId="29002" xr:uid="{8761186C-3894-48F1-BD9E-9A261F9CE2FB}"/>
    <cellStyle name="20% - Accent3 2 5 2 2 3 2" xfId="26570" xr:uid="{CFA87C13-564E-4568-87CE-1C68A7E6E484}"/>
    <cellStyle name="20% - Accent3 2 5 2 2 3 2 2" xfId="31598" xr:uid="{8AE5BB93-5E8A-4AC7-A8CE-D8D7068426E4}"/>
    <cellStyle name="20% - Accent3 2 5 2 2 3 3" xfId="26566" xr:uid="{D93E3B6F-2C96-4CA5-9B55-AAF6F8E28E15}"/>
    <cellStyle name="20% - Accent3 2 5 2 2 4" xfId="28702" xr:uid="{9595906C-2715-4676-82DC-3547A65F8678}"/>
    <cellStyle name="20% - Accent3 2 5 2 2 4 2" xfId="26564" xr:uid="{8EE5F000-2822-492D-9950-C9B191BB77E0}"/>
    <cellStyle name="20% - Accent3 2 5 2 2 5" xfId="28696" xr:uid="{CA398424-2347-4EBA-91FE-361EA27962F4}"/>
    <cellStyle name="20% - Accent3 2 5 2 3" xfId="29169" xr:uid="{341899AF-4441-438F-BAD6-57D6C2499E78}"/>
    <cellStyle name="20% - Accent3 2 5 2 3 2" xfId="28988" xr:uid="{DB7FDC6D-23C8-47D9-855B-8E5EB38A70F3}"/>
    <cellStyle name="20% - Accent3 2 5 2 3 2 2" xfId="28218" xr:uid="{7AFA3113-59B6-4443-9C4D-BBDD6BC7FC29}"/>
    <cellStyle name="20% - Accent3 2 5 2 3 2 2 2" xfId="28987" xr:uid="{66C17AF7-CC13-4113-8A02-1EFE755C3917}"/>
    <cellStyle name="20% - Accent3 2 5 2 3 2 3" xfId="26552" xr:uid="{2FB3B1BB-038E-44B8-94AA-9B4F83493B34}"/>
    <cellStyle name="20% - Accent3 2 5 2 3 3" xfId="28986" xr:uid="{ABB93AEB-333D-4413-97E2-2C1630339D29}"/>
    <cellStyle name="20% - Accent3 2 5 2 3 3 2" xfId="26550" xr:uid="{9A63990F-5023-43F1-93A6-092926A216FC}"/>
    <cellStyle name="20% - Accent3 2 5 2 3 4" xfId="26549" xr:uid="{93AD8BC7-E6D2-45EC-94E6-607364181CF5}"/>
    <cellStyle name="20% - Accent3 2 5 2 4" xfId="29173" xr:uid="{0ADECCBB-EDAB-475F-98C9-632D8E33D71E}"/>
    <cellStyle name="20% - Accent3 2 5 2 4 2" xfId="22687" xr:uid="{2F015707-8497-4FB2-B707-3C21DA00A225}"/>
    <cellStyle name="20% - Accent3 2 5 2 4 2 2" xfId="31475" xr:uid="{7523DEBF-E423-4357-85B0-8AF56729BEEA}"/>
    <cellStyle name="20% - Accent3 2 5 2 4 3" xfId="28976" xr:uid="{BF2865F8-9499-4A73-8F8C-65CFF79E5488}"/>
    <cellStyle name="20% - Accent3 2 5 2 5" xfId="30979" xr:uid="{89690658-8607-4320-935D-D41100B08E0D}"/>
    <cellStyle name="20% - Accent3 2 5 2 5 2" xfId="28964" xr:uid="{F32CD115-DA12-496E-8EBF-8EA1D685671E}"/>
    <cellStyle name="20% - Accent3 2 5 2 6" xfId="26545" xr:uid="{F0920A41-BF11-4390-BCC0-43D8F605E736}"/>
    <cellStyle name="20% - Accent3 2 5 3" xfId="31969" xr:uid="{D761CF6C-A0B8-47FF-835F-6772C0099155}"/>
    <cellStyle name="20% - Accent3 2 5 3 2" xfId="29139" xr:uid="{6374993E-B53B-4BBD-B19E-9F265C3DCDA5}"/>
    <cellStyle name="20% - Accent3 2 5 3 2 2" xfId="15756" xr:uid="{BF87FE81-53CC-4FF3-8C72-9080409E1308}"/>
    <cellStyle name="20% - Accent3 2 5 3 2 2 2" xfId="18409" xr:uid="{C43ECEFA-6603-4C74-BD5D-F53B6E13A4DE}"/>
    <cellStyle name="20% - Accent3 2 5 3 2 2 2 2" xfId="28917" xr:uid="{079CC628-4D1E-4BA3-AF41-18D0DEDF8E7B}"/>
    <cellStyle name="20% - Accent3 2 5 3 2 2 3" xfId="15752" xr:uid="{FA825079-557C-4163-BED8-8DF4E730D26F}"/>
    <cellStyle name="20% - Accent3 2 5 3 2 3" xfId="15750" xr:uid="{5449E3FB-7618-47B4-9B41-5108CCA27B17}"/>
    <cellStyle name="20% - Accent3 2 5 3 2 3 2" xfId="18402" xr:uid="{E953826F-EAB6-44B3-9772-6509AAB45A0C}"/>
    <cellStyle name="20% - Accent3 2 5 3 2 4" xfId="26532" xr:uid="{DEA0B7D4-026F-4184-825F-444026A53B23}"/>
    <cellStyle name="20% - Accent3 2 5 3 3" xfId="29132" xr:uid="{DA19F1DD-C2DE-4B98-83C1-FA3774A85EA3}"/>
    <cellStyle name="20% - Accent3 2 5 3 3 2" xfId="15677" xr:uid="{8FCB2BD3-0C38-45DC-95C1-955A51B553F1}"/>
    <cellStyle name="20% - Accent3 2 5 3 3 2 2" xfId="15675" xr:uid="{861004C8-2D06-4D5B-A1B2-CBDF0205A193}"/>
    <cellStyle name="20% - Accent3 2 5 3 3 3" xfId="15672" xr:uid="{70EDB5F1-08EC-43AD-A461-BE0B4293CD73}"/>
    <cellStyle name="20% - Accent3 2 5 3 4" xfId="22115" xr:uid="{ABCEB290-E27A-4BCE-98D4-E677C1E28BE7}"/>
    <cellStyle name="20% - Accent3 2 5 3 4 2" xfId="15637" xr:uid="{B857A833-0732-435C-9B9A-27410C228C1A}"/>
    <cellStyle name="20% - Accent3 2 5 3 5" xfId="26522" xr:uid="{140EF43D-FD4B-4790-8E7D-1C28ECF8480A}"/>
    <cellStyle name="20% - Accent3 2 5 4" xfId="26520" xr:uid="{20E6D602-3710-41DF-A700-0C59F80083AE}"/>
    <cellStyle name="20% - Accent3 2 5 4 2" xfId="17446" xr:uid="{25BB9229-18F5-40CB-BE69-DED59FE1AC66}"/>
    <cellStyle name="20% - Accent3 2 5 4 2 2" xfId="20520" xr:uid="{12DF7C25-D6FF-45D8-9B74-800EEE4A86A3}"/>
    <cellStyle name="20% - Accent3 2 5 4 2 2 2" xfId="11220" xr:uid="{0A31E863-F5C9-469D-8DF0-4393FD60C94A}"/>
    <cellStyle name="20% - Accent3 2 5 4 2 3" xfId="19004" xr:uid="{BB76018B-AB51-4FF3-B1E3-DBDE88DF4EE3}"/>
    <cellStyle name="20% - Accent3 2 5 4 3" xfId="19522" xr:uid="{DF5A36B2-BE2B-46F9-A133-8AC217002F18}"/>
    <cellStyle name="20% - Accent3 2 5 4 3 2" xfId="19000" xr:uid="{14095FE9-6EA1-4872-BF2F-CEF7EC2DD6C5}"/>
    <cellStyle name="20% - Accent3 2 5 4 4" xfId="16182" xr:uid="{059050D0-89E2-469A-839C-CEACD9E1E9CC}"/>
    <cellStyle name="20% - Accent3 2 5 5" xfId="26512" xr:uid="{B22088C8-3181-443A-88B0-8AFD8DDE2526}"/>
    <cellStyle name="20% - Accent3 2 5 5 2" xfId="29084" xr:uid="{2B374287-11A4-412E-99D5-A7AC420886FC}"/>
    <cellStyle name="20% - Accent3 2 5 5 2 2" xfId="18992" xr:uid="{2BD677FF-0E0D-4A00-8831-87BBE4F667E0}"/>
    <cellStyle name="20% - Accent3 2 5 5 3" xfId="16170" xr:uid="{0C5EA33B-D122-48DD-A072-0DE2DFD51E33}"/>
    <cellStyle name="20% - Accent3 2 5 6" xfId="26499" xr:uid="{D5B0F8F9-AD1C-42A6-A6EA-F2ECF9F6B80A}"/>
    <cellStyle name="20% - Accent3 2 5 6 2" xfId="16162" xr:uid="{2603E847-BC10-46EF-B3AC-8D70324FC49A}"/>
    <cellStyle name="20% - Accent3 2 5 7" xfId="32316" xr:uid="{D0B562CC-351C-4118-AE0D-4B10D6D1CB57}"/>
    <cellStyle name="20% - Accent3 2 5 8" xfId="34946" xr:uid="{2BBC3A53-FA47-4626-8A6F-FBADA7827954}"/>
    <cellStyle name="20% - Accent3 2 6" xfId="26492" xr:uid="{2B109CC6-4519-461A-8574-CBDC27E606CC}"/>
    <cellStyle name="20% - Accent3 2 6 2" xfId="18879" xr:uid="{BA56BB60-DF40-4AB5-A9D4-82DBE402D283}"/>
    <cellStyle name="20% - Accent3 2 6 2 2" xfId="26855" xr:uid="{F21439CF-D8DD-4AA4-BC6D-AFE849BF2362}"/>
    <cellStyle name="20% - Accent3 2 6 2 2 2" xfId="20215" xr:uid="{48F72C23-1FC6-4BF0-957C-601B92203EE9}"/>
    <cellStyle name="20% - Accent3 2 6 2 2 2 2" xfId="28629" xr:uid="{AEC7A66D-53BB-448C-9CDD-EB4809A419C6}"/>
    <cellStyle name="20% - Accent3 2 6 2 2 2 2 2" xfId="13520" xr:uid="{B3B91184-052F-4841-82D0-25D170F98622}"/>
    <cellStyle name="20% - Accent3 2 6 2 2 2 3" xfId="26490" xr:uid="{63A6510C-F719-452F-8E94-AFD19E1B3133}"/>
    <cellStyle name="20% - Accent3 2 6 2 2 3" xfId="26833" xr:uid="{9F0E5667-4036-49C9-979F-CCB9D4961191}"/>
    <cellStyle name="20% - Accent3 2 6 2 2 3 2" xfId="26485" xr:uid="{EF593F64-56E4-49C3-A2C2-70E634B94F92}"/>
    <cellStyle name="20% - Accent3 2 6 2 2 4" xfId="26479" xr:uid="{C369D15A-A1E6-44E4-8045-176B9B511D09}"/>
    <cellStyle name="20% - Accent3 2 6 2 3" xfId="26821" xr:uid="{CFACF252-CA3D-4CFF-896F-B0D187CA86F1}"/>
    <cellStyle name="20% - Accent3 2 6 2 3 2" xfId="26811" xr:uid="{EC5ED045-D7EC-438B-96A9-9C10097B6B56}"/>
    <cellStyle name="20% - Accent3 2 6 2 3 2 2" xfId="26472" xr:uid="{27474673-BE69-4C00-8E6E-7B26ADE8DD7E}"/>
    <cellStyle name="20% - Accent3 2 6 2 3 3" xfId="26470" xr:uid="{99F396DB-233E-4AF7-8A40-74F57BE96AC1}"/>
    <cellStyle name="20% - Accent3 2 6 2 4" xfId="29001" xr:uid="{93CE0897-C487-40A6-8A49-7D5293AC9746}"/>
    <cellStyle name="20% - Accent3 2 6 2 4 2" xfId="26464" xr:uid="{7A7315DD-BFB1-4198-95ED-700C36149065}"/>
    <cellStyle name="20% - Accent3 2 6 2 5" xfId="26461" xr:uid="{DB0EBE6A-201B-4B71-9052-186058D2118C}"/>
    <cellStyle name="20% - Accent3 2 6 3" xfId="17939" xr:uid="{D3CC0C65-7D13-4B0F-8B9C-26FEAB507E5A}"/>
    <cellStyle name="20% - Accent3 2 6 3 2" xfId="26792" xr:uid="{0AFD8169-E808-4032-A00B-A1C66470FCB7}"/>
    <cellStyle name="20% - Accent3 2 6 3 2 2" xfId="24396" xr:uid="{109CE413-F892-4C9E-83FF-BF05DF429933}"/>
    <cellStyle name="20% - Accent3 2 6 3 2 2 2" xfId="18247" xr:uid="{AF5F82E8-FA5B-4C1C-8167-D1E073D9A85D}"/>
    <cellStyle name="20% - Accent3 2 6 3 2 3" xfId="24986" xr:uid="{A9A7509B-75A2-4616-82DF-0FA63384DA8E}"/>
    <cellStyle name="20% - Accent3 2 6 3 3" xfId="26780" xr:uid="{D4171EE3-F632-4BEC-AAA2-93F85460A250}"/>
    <cellStyle name="20% - Accent3 2 6 3 3 2" xfId="24943" xr:uid="{78571D17-56AE-4242-9409-2439BE0C40B0}"/>
    <cellStyle name="20% - Accent3 2 6 3 4" xfId="28333" xr:uid="{1C027108-F9C0-4351-A84A-DB9D23145DEA}"/>
    <cellStyle name="20% - Accent3 2 6 4" xfId="23659" xr:uid="{B6847686-96EC-48EF-A849-5168853283FA}"/>
    <cellStyle name="20% - Accent3 2 6 4 2" xfId="19506" xr:uid="{944A9482-F7D0-45E3-904C-5CC9E4CBC04A}"/>
    <cellStyle name="20% - Accent3 2 6 4 2 2" xfId="20553" xr:uid="{0777E4F3-889F-4E61-8F7F-65B00C412E6B}"/>
    <cellStyle name="20% - Accent3 2 6 4 3" xfId="16748" xr:uid="{B8053E63-60CE-4178-8990-0BC7AFE72D54}"/>
    <cellStyle name="20% - Accent3 2 6 5" xfId="26457" xr:uid="{F3098B8B-704D-4249-B928-B42A11249A67}"/>
    <cellStyle name="20% - Accent3 2 6 5 2" xfId="16138" xr:uid="{5B376F61-217B-4767-A30C-A7107CB5B151}"/>
    <cellStyle name="20% - Accent3 2 6 6" xfId="26450" xr:uid="{588B13CA-DBCC-48BB-8D1D-4EFB15AA00A8}"/>
    <cellStyle name="20% - Accent3 2 6 7" xfId="35151" xr:uid="{54F60693-7092-4773-9333-E03EF0B80BEA}"/>
    <cellStyle name="20% - Accent3 2 7" xfId="25761" xr:uid="{A19A8FF3-D6D7-48CC-88A5-F074A75F36ED}"/>
    <cellStyle name="20% - Accent3 2 7 2" xfId="17935" xr:uid="{E0F6C17A-B100-47BB-8AEA-3D3B810E8535}"/>
    <cellStyle name="20% - Accent3 2 7 2 2" xfId="28910" xr:uid="{4228DAD0-3185-4D83-B3E5-B96501FD42C9}"/>
    <cellStyle name="20% - Accent3 2 7 2 2 2" xfId="18115" xr:uid="{3F50FDEA-6FED-4319-95C6-23189B9198E3}"/>
    <cellStyle name="20% - Accent3 2 7 2 2 2 2" xfId="26445" xr:uid="{3F6BBC7B-48B3-40A7-B2D0-7138CEDA7CE4}"/>
    <cellStyle name="20% - Accent3 2 7 2 2 3" xfId="28561" xr:uid="{AEA224D2-DA1F-4F83-91DE-AC1C633DE10C}"/>
    <cellStyle name="20% - Accent3 2 7 2 3" xfId="26723" xr:uid="{0E842945-280B-470E-85E2-3924477E1F95}"/>
    <cellStyle name="20% - Accent3 2 7 2 3 2" xfId="17748" xr:uid="{7EC9618C-ED1A-4191-93E4-E4D0FEA8C1A6}"/>
    <cellStyle name="20% - Accent3 2 7 2 4" xfId="26438" xr:uid="{A9EBE2D6-FEEC-40C3-835D-9C9730E54D75}"/>
    <cellStyle name="20% - Accent3 2 7 3" xfId="26437" xr:uid="{237A81DA-AF37-42D5-A134-D3B5625BFA02}"/>
    <cellStyle name="20% - Accent3 2 7 3 2" xfId="26699" xr:uid="{A2176F8F-5598-433C-9C96-7B7A361FE42E}"/>
    <cellStyle name="20% - Accent3 2 7 3 2 2" xfId="26435" xr:uid="{23A377E2-C361-4375-B8CF-D2D96DC31444}"/>
    <cellStyle name="20% - Accent3 2 7 3 3" xfId="26431" xr:uid="{3C72C185-6E9C-4D55-9F24-A55F769A42A4}"/>
    <cellStyle name="20% - Accent3 2 7 4" xfId="26430" xr:uid="{915F6D89-2CBD-4E84-9078-944A1068AD1D}"/>
    <cellStyle name="20% - Accent3 2 7 4 2" xfId="26427" xr:uid="{2B6CE812-4E96-48DF-B259-C52D575D4AA0}"/>
    <cellStyle name="20% - Accent3 2 7 5" xfId="11007" xr:uid="{BADA31E2-12C5-432F-8E6B-9404355DCEC6}"/>
    <cellStyle name="20% - Accent3 2 7 6" xfId="35380" xr:uid="{B176B4C3-E7B1-42BE-8372-619ADC6C6C4D}"/>
    <cellStyle name="20% - Accent3 2 8" xfId="29809" xr:uid="{15EA8185-C594-43A9-BCD1-D8A77400A342}"/>
    <cellStyle name="20% - Accent3 2 8 2" xfId="26416" xr:uid="{761470C7-E736-4244-A681-0FDCE10E215F}"/>
    <cellStyle name="20% - Accent3 2 8 2 2" xfId="28871" xr:uid="{3FCE4D25-07AC-4883-9A92-B16650AB0860}"/>
    <cellStyle name="20% - Accent3 2 8 2 2 2" xfId="26414" xr:uid="{489E4776-D38C-4792-8FA1-580E73E8B3E3}"/>
    <cellStyle name="20% - Accent3 2 8 2 3" xfId="30391" xr:uid="{D507382C-7FCD-4725-BF94-481681020C4C}"/>
    <cellStyle name="20% - Accent3 2 8 3" xfId="26407" xr:uid="{D8D4227F-9D7C-4C89-80ED-3BB7BABFC7F2}"/>
    <cellStyle name="20% - Accent3 2 8 3 2" xfId="26405" xr:uid="{8E4294B8-F36E-4977-930B-0C35C7EFEF4C}"/>
    <cellStyle name="20% - Accent3 2 8 4" xfId="26404" xr:uid="{323D7780-3876-421F-BAF7-E752868A32AE}"/>
    <cellStyle name="20% - Accent3 2 8 5" xfId="36252" xr:uid="{639F04DD-8495-49C4-AA80-DCC44EE33453}"/>
    <cellStyle name="20% - Accent3 2 9" xfId="26403" xr:uid="{4DEA38B2-7515-4153-B184-B841BEAF5B75}"/>
    <cellStyle name="20% - Accent3 2 9 2" xfId="22793" xr:uid="{5A86E837-4D0E-46CF-BA35-C804BDE9EB53}"/>
    <cellStyle name="20% - Accent3 2 9 2 2" xfId="29585" xr:uid="{639E8C6F-573E-46B0-A201-3EE1463D152D}"/>
    <cellStyle name="20% - Accent3 2 9 3" xfId="6557" xr:uid="{006ACE93-5BB4-448F-B34B-7341887A3CEF}"/>
    <cellStyle name="20% - Accent3 2 9 4" xfId="36538" xr:uid="{E79F83D9-FB92-48CB-B7C6-81C23C75F655}"/>
    <cellStyle name="20% - Accent3 20" xfId="35702" xr:uid="{69CCE01C-CB65-4599-B7BA-1FAABCE93AB1}"/>
    <cellStyle name="20% - Accent3 20 2" xfId="36871" xr:uid="{9F6D1F64-4F13-4EE2-9899-968FAA20358C}"/>
    <cellStyle name="20% - Accent3 20 3" xfId="37762" xr:uid="{57C81C35-C8FC-49D7-91E4-45FE3B3C8B4B}"/>
    <cellStyle name="20% - Accent3 21" xfId="35721" xr:uid="{8BFE278A-D1F7-4448-8F1F-F03867D1D305}"/>
    <cellStyle name="20% - Accent3 21 2" xfId="36891" xr:uid="{5B82392B-50D6-4E5A-B09A-82E90F45ED8E}"/>
    <cellStyle name="20% - Accent3 21 3" xfId="37782" xr:uid="{1297C13C-A4DB-4650-8CBB-B69D7F643F2E}"/>
    <cellStyle name="20% - Accent3 22" xfId="35740" xr:uid="{E7BF5EE2-F3C6-4D6D-BA07-90E108DD3145}"/>
    <cellStyle name="20% - Accent3 22 2" xfId="36911" xr:uid="{A9F81490-054F-4D69-8BF7-0F08E2A9C333}"/>
    <cellStyle name="20% - Accent3 22 3" xfId="37802" xr:uid="{80D28A48-EA8E-4FC9-964E-5119AADA2D32}"/>
    <cellStyle name="20% - Accent3 23" xfId="35760" xr:uid="{8E92CFE5-949A-4E27-9B2F-555F4F2EA57D}"/>
    <cellStyle name="20% - Accent3 23 2" xfId="36930" xr:uid="{733867E1-DD8D-466A-8DBA-5DFDCB861CFC}"/>
    <cellStyle name="20% - Accent3 23 3" xfId="37822" xr:uid="{2DFB105D-3039-4E68-BD43-45944A53ABD8}"/>
    <cellStyle name="20% - Accent3 24" xfId="35780" xr:uid="{556A033E-70CF-4A90-9D79-030C62DD85AE}"/>
    <cellStyle name="20% - Accent3 24 2" xfId="36949" xr:uid="{3AA5B6B2-CD6E-4AD1-ADF8-DE8B04EA6C6E}"/>
    <cellStyle name="20% - Accent3 24 3" xfId="37842" xr:uid="{1EE631A4-3B80-498D-A545-0641F238C340}"/>
    <cellStyle name="20% - Accent3 25" xfId="35799" xr:uid="{BE2735B9-6463-4A0D-A534-8454C398B24E}"/>
    <cellStyle name="20% - Accent3 25 2" xfId="36969" xr:uid="{2DE22447-25A0-4547-80C0-6B43C2EDFBE5}"/>
    <cellStyle name="20% - Accent3 25 3" xfId="37862" xr:uid="{C0548758-5C22-4DAD-81A9-E45921E637D1}"/>
    <cellStyle name="20% - Accent3 26" xfId="35818" xr:uid="{65CE8118-13AE-49C2-9376-D71EEC390930}"/>
    <cellStyle name="20% - Accent3 26 2" xfId="36989" xr:uid="{3ECF2509-74DD-4C78-841B-1AD6BE95D2D3}"/>
    <cellStyle name="20% - Accent3 26 3" xfId="37882" xr:uid="{C900ECB0-8848-4ECC-9B55-3E2B4DFD62EE}"/>
    <cellStyle name="20% - Accent3 27" xfId="35837" xr:uid="{C0F8A4A8-40F0-4019-8FF4-23D5D8646DB5}"/>
    <cellStyle name="20% - Accent3 27 2" xfId="37009" xr:uid="{FF80563F-302E-45D7-A520-BC7558316662}"/>
    <cellStyle name="20% - Accent3 27 3" xfId="37902" xr:uid="{A7A7BB1C-82F3-4E68-9BC2-E65B1A392BDB}"/>
    <cellStyle name="20% - Accent3 28" xfId="35856" xr:uid="{4887F6A7-CE8D-472B-86E7-CDBD7DC88B3B}"/>
    <cellStyle name="20% - Accent3 28 2" xfId="37029" xr:uid="{B46A4F14-81C9-40F8-85B4-5AD34E7E8C20}"/>
    <cellStyle name="20% - Accent3 28 3" xfId="37922" xr:uid="{A57E42E0-EED9-4518-BFFC-67AC14C907C5}"/>
    <cellStyle name="20% - Accent3 29" xfId="35871" xr:uid="{284D6A3A-ECA7-4509-BE56-C330667620BB}"/>
    <cellStyle name="20% - Accent3 29 2" xfId="37043" xr:uid="{0993BA66-ED8B-437D-86FF-50E3B3F8825A}"/>
    <cellStyle name="20% - Accent3 29 3" xfId="37937" xr:uid="{2E24103D-7290-4407-A721-52B45DF621E8}"/>
    <cellStyle name="20% - Accent3 3" xfId="103" xr:uid="{EA50F7F0-68CA-47B0-AEAA-FC1E337BB348}"/>
    <cellStyle name="20% - Accent3 3 10" xfId="28477" xr:uid="{C5E4A7E8-CA3B-493F-81DC-EF71591B98A6}"/>
    <cellStyle name="20% - Accent3 3 10 2" xfId="37442" xr:uid="{33F4B630-C0AB-4830-AFA3-300663E79815}"/>
    <cellStyle name="20% - Accent3 3 11" xfId="34457" xr:uid="{D9D1D62E-9EC3-4E09-BB07-ECBDECB2B211}"/>
    <cellStyle name="20% - Accent3 3 12" xfId="26841" xr:uid="{220FA3F3-76F7-427D-9705-48DB50A85E57}"/>
    <cellStyle name="20% - Accent3 3 2" xfId="164" xr:uid="{EDD50104-1FDA-44A3-A2B4-73FC2341A918}"/>
    <cellStyle name="20% - Accent3 3 2 10" xfId="34510" xr:uid="{07EACF48-4941-4B81-9CE5-9147D4ED7C3F}"/>
    <cellStyle name="20% - Accent3 3 2 11" xfId="32990" xr:uid="{5A31148D-AF94-4252-8C1D-35A79C2CDD9A}"/>
    <cellStyle name="20% - Accent3 3 2 2" xfId="32986" xr:uid="{A934EC17-E75E-4124-BCEB-3A6D0487E6C7}"/>
    <cellStyle name="20% - Accent3 3 2 2 2" xfId="32200" xr:uid="{4E781FD5-93B9-4480-AAEB-E905AFFB544A}"/>
    <cellStyle name="20% - Accent3 3 2 2 2 2" xfId="17476" xr:uid="{9ECCDBB1-9325-44ED-949C-A485A3012D46}"/>
    <cellStyle name="20% - Accent3 3 2 2 2 2 2" xfId="17606" xr:uid="{61DDE51B-E582-475D-9A93-71339C2B7446}"/>
    <cellStyle name="20% - Accent3 3 2 2 2 2 2 2" xfId="26398" xr:uid="{1D82A0BB-7F4E-43A6-9B44-B9418898F619}"/>
    <cellStyle name="20% - Accent3 3 2 2 2 2 2 2 2" xfId="29453" xr:uid="{57D0FE21-0134-4AA5-8A69-5175EAE8A692}"/>
    <cellStyle name="20% - Accent3 3 2 2 2 2 2 2 2 2" xfId="26397" xr:uid="{002AB32D-A9A9-4C41-B2A5-83F3FD618AAB}"/>
    <cellStyle name="20% - Accent3 3 2 2 2 2 2 2 2 2 2" xfId="26393" xr:uid="{A61A83F0-972F-44E3-A788-3064C8E10FC7}"/>
    <cellStyle name="20% - Accent3 3 2 2 2 2 2 2 2 3" xfId="26392" xr:uid="{006EE626-F2C1-483F-8514-FCFFFA58007E}"/>
    <cellStyle name="20% - Accent3 3 2 2 2 2 2 2 3" xfId="34366" xr:uid="{AC34DAE3-0BAA-4260-8656-E6DF02704F99}"/>
    <cellStyle name="20% - Accent3 3 2 2 2 2 2 2 3 2" xfId="26389" xr:uid="{D0AD7C5A-16B6-4712-8965-5EB4FCFF2B05}"/>
    <cellStyle name="20% - Accent3 3 2 2 2 2 2 2 4" xfId="30571" xr:uid="{6EFD31DE-4401-44AC-A33D-50A2B4E8CE46}"/>
    <cellStyle name="20% - Accent3 3 2 2 2 2 2 3" xfId="33805" xr:uid="{33392C84-9536-4E42-AF67-40CE51104154}"/>
    <cellStyle name="20% - Accent3 3 2 2 2 2 2 3 2" xfId="16685" xr:uid="{715BDC6A-C3EB-4B1D-BF74-B0DA21783CC7}"/>
    <cellStyle name="20% - Accent3 3 2 2 2 2 2 3 2 2" xfId="5722" xr:uid="{04A56F23-F8EF-4E41-941F-3C2FF7825897}"/>
    <cellStyle name="20% - Accent3 3 2 2 2 2 2 3 3" xfId="13348" xr:uid="{AF909814-0766-4348-BE78-3F4A4EFCC786}"/>
    <cellStyle name="20% - Accent3 3 2 2 2 2 2 4" xfId="30153" xr:uid="{795E63C0-FDF3-4638-8203-80AA7A25A0FF}"/>
    <cellStyle name="20% - Accent3 3 2 2 2 2 2 4 2" xfId="13339" xr:uid="{541649F4-1D9A-4C61-A4EB-DEC5D581C8B2}"/>
    <cellStyle name="20% - Accent3 3 2 2 2 2 2 5" xfId="26383" xr:uid="{B5599959-FD2A-45A9-9B95-4EB54CD12E2F}"/>
    <cellStyle name="20% - Accent3 3 2 2 2 2 3" xfId="18821" xr:uid="{F8A929C2-FBC4-4C21-8ADE-1B10238CC3EA}"/>
    <cellStyle name="20% - Accent3 3 2 2 2 2 3 2" xfId="34064" xr:uid="{A9638BFD-C224-44DF-B2B9-6141253B175D}"/>
    <cellStyle name="20% - Accent3 3 2 2 2 2 3 2 2" xfId="7557" xr:uid="{12EBD07D-6A70-4620-A727-B9E93668A010}"/>
    <cellStyle name="20% - Accent3 3 2 2 2 2 3 2 2 2" xfId="26380" xr:uid="{FC1E101D-B285-47E4-B3FF-7AB6A10290E2}"/>
    <cellStyle name="20% - Accent3 3 2 2 2 2 3 2 3" xfId="29696" xr:uid="{9BA0176F-B953-410A-B4C1-4FC5951CC902}"/>
    <cellStyle name="20% - Accent3 3 2 2 2 2 3 3" xfId="33419" xr:uid="{4711F6A6-7262-40FA-AB37-CE7D3E7356A6}"/>
    <cellStyle name="20% - Accent3 3 2 2 2 2 3 3 2" xfId="13318" xr:uid="{918897F2-A72F-467A-9192-3D4FBD4C2F14}"/>
    <cellStyle name="20% - Accent3 3 2 2 2 2 3 4" xfId="34325" xr:uid="{850EAC43-2DCC-4A67-95E7-8A7B32E1B11A}"/>
    <cellStyle name="20% - Accent3 3 2 2 2 2 4" xfId="26378" xr:uid="{5182FD6C-0540-4CBD-8EF4-C7083F59AC48}"/>
    <cellStyle name="20% - Accent3 3 2 2 2 2 4 2" xfId="24023" xr:uid="{956841F2-01C7-4794-A591-AA0161005333}"/>
    <cellStyle name="20% - Accent3 3 2 2 2 2 4 2 2" xfId="24022" xr:uid="{2F30D715-DBB3-4B03-96BA-D590289D7977}"/>
    <cellStyle name="20% - Accent3 3 2 2 2 2 4 3" xfId="26302" xr:uid="{2C6A9643-9784-469D-A1F4-14793766288A}"/>
    <cellStyle name="20% - Accent3 3 2 2 2 2 5" xfId="20771" xr:uid="{F2888213-F6E6-4137-BB4A-2EF7F0AD91DD}"/>
    <cellStyle name="20% - Accent3 3 2 2 2 2 5 2" xfId="22508" xr:uid="{6992FB13-5A52-48C3-A6B2-5C5790FEE71C}"/>
    <cellStyle name="20% - Accent3 3 2 2 2 2 6" xfId="24009" xr:uid="{45DB0560-4212-40C7-95D0-8A52B6441257}"/>
    <cellStyle name="20% - Accent3 3 2 2 2 3" xfId="30425" xr:uid="{82460482-A711-4D1B-9C95-C6D871280917}"/>
    <cellStyle name="20% - Accent3 3 2 2 2 3 2" xfId="17588" xr:uid="{D324ED16-2B71-4B8F-A1F5-EE6D4CCE1F99}"/>
    <cellStyle name="20% - Accent3 3 2 2 2 3 2 2" xfId="32420" xr:uid="{01C0750B-0F81-4AFD-8048-5CB1CDF62A5B}"/>
    <cellStyle name="20% - Accent3 3 2 2 2 3 2 2 2" xfId="33950" xr:uid="{E31CABD7-9D58-47D1-B173-89A669135C90}"/>
    <cellStyle name="20% - Accent3 3 2 2 2 3 2 2 2 2" xfId="28129" xr:uid="{260C1313-A96C-4AE2-9E21-12CB776DEB25}"/>
    <cellStyle name="20% - Accent3 3 2 2 2 3 2 2 3" xfId="33135" xr:uid="{E8AF7079-0079-479D-B19B-75E84BE8F489}"/>
    <cellStyle name="20% - Accent3 3 2 2 2 3 2 3" xfId="26523" xr:uid="{BC3E1C80-4023-4F7E-B2E1-62961F4D0062}"/>
    <cellStyle name="20% - Accent3 3 2 2 2 3 2 3 2" xfId="13280" xr:uid="{CCD82CC9-C6F7-455B-84C2-3EA1C800E500}"/>
    <cellStyle name="20% - Accent3 3 2 2 2 3 2 4" xfId="26375" xr:uid="{38CE51CB-6280-43C1-8B3B-EF11907B2DCB}"/>
    <cellStyle name="20% - Accent3 3 2 2 2 3 3" xfId="29707" xr:uid="{071527EA-67AD-42E4-93D0-CDF0EDF65B32}"/>
    <cellStyle name="20% - Accent3 3 2 2 2 3 3 2" xfId="33838" xr:uid="{F895F5EF-E0AB-47A0-9355-E23337723743}"/>
    <cellStyle name="20% - Accent3 3 2 2 2 3 3 2 2" xfId="29627" xr:uid="{6985A2C8-6607-4684-9AA7-5AEB7E74AF41}"/>
    <cellStyle name="20% - Accent3 3 2 2 2 3 3 3" xfId="26373" xr:uid="{483624C8-6227-44B9-8505-7066D6987479}"/>
    <cellStyle name="20% - Accent3 3 2 2 2 3 4" xfId="24000" xr:uid="{792E4107-F08F-43B9-B4C6-C2063B2DBE2F}"/>
    <cellStyle name="20% - Accent3 3 2 2 2 3 4 2" xfId="23995" xr:uid="{EAE77FB2-8C9D-48A4-9613-0192956D12D8}"/>
    <cellStyle name="20% - Accent3 3 2 2 2 3 5" xfId="26910" xr:uid="{0A9AAC35-4CC4-4EF1-8989-CEAEF3F7788B}"/>
    <cellStyle name="20% - Accent3 3 2 2 2 4" xfId="6929" xr:uid="{E5B0EFA6-0A72-4DDB-84A3-2B95590591C3}"/>
    <cellStyle name="20% - Accent3 3 2 2 2 4 2" xfId="23603" xr:uid="{BAAF24CE-F971-46DE-B649-EB95ADF247F1}"/>
    <cellStyle name="20% - Accent3 3 2 2 2 4 2 2" xfId="26367" xr:uid="{7CCCCE5F-0E5B-415D-87DF-538CC0504281}"/>
    <cellStyle name="20% - Accent3 3 2 2 2 4 2 2 2" xfId="33564" xr:uid="{BBAED5E6-BDCC-4366-AD71-078760EBD46A}"/>
    <cellStyle name="20% - Accent3 3 2 2 2 4 2 3" xfId="26364" xr:uid="{94CF66B1-B195-4DED-9464-586161829F6D}"/>
    <cellStyle name="20% - Accent3 3 2 2 2 4 3" xfId="21152" xr:uid="{244957AB-A729-4333-B7C0-4D252ECB40C5}"/>
    <cellStyle name="20% - Accent3 3 2 2 2 4 3 2" xfId="26363" xr:uid="{50A20CF2-5907-461F-8834-B7A40BCAD7A3}"/>
    <cellStyle name="20% - Accent3 3 2 2 2 4 4" xfId="23983" xr:uid="{3A29D3AE-523F-4943-A9E3-89DEE34EC0CC}"/>
    <cellStyle name="20% - Accent3 3 2 2 2 5" xfId="20386" xr:uid="{F2DC4BED-B03C-4E34-8667-BB996412D138}"/>
    <cellStyle name="20% - Accent3 3 2 2 2 5 2" xfId="8233" xr:uid="{AF409A32-69F5-40CA-9C46-BFFBDA8FB64E}"/>
    <cellStyle name="20% - Accent3 3 2 2 2 5 2 2" xfId="28243" xr:uid="{6CF2BE2A-4431-4A45-8DD4-ED5BDE6AA841}"/>
    <cellStyle name="20% - Accent3 3 2 2 2 5 3" xfId="8225" xr:uid="{FCA5F4CC-D721-4062-99F0-F60CA72B82DE}"/>
    <cellStyle name="20% - Accent3 3 2 2 2 6" xfId="18592" xr:uid="{6BC405AB-3AA1-46EA-88AE-0C2345C435BF}"/>
    <cellStyle name="20% - Accent3 3 2 2 2 6 2" xfId="8215" xr:uid="{3291F6F0-F27E-40D1-90F7-295EABAE79A6}"/>
    <cellStyle name="20% - Accent3 3 2 2 2 7" xfId="20273" xr:uid="{BABF98FA-C14C-4B21-96D9-F63D51D6BD20}"/>
    <cellStyle name="20% - Accent3 3 2 2 3" xfId="32185" xr:uid="{2E1CE5C7-CA52-43C5-861C-02AEAEF6F237}"/>
    <cellStyle name="20% - Accent3 3 2 2 3 2" xfId="21889" xr:uid="{6402CC2B-3C99-4ACC-8B33-EAEA3E5DA48A}"/>
    <cellStyle name="20% - Accent3 3 2 2 3 2 2" xfId="17563" xr:uid="{CDF73B6A-CB85-4DF1-A6A2-CB528AB1BA2C}"/>
    <cellStyle name="20% - Accent3 3 2 2 3 2 2 2" xfId="31686" xr:uid="{E9776C5E-B1C2-4EE3-ABB4-0FA18A04BA31}"/>
    <cellStyle name="20% - Accent3 3 2 2 3 2 2 2 2" xfId="33896" xr:uid="{17434886-FEA7-4A7E-8CAB-C9FC6591D578}"/>
    <cellStyle name="20% - Accent3 3 2 2 3 2 2 2 2 2" xfId="26351" xr:uid="{346C6E36-7E19-4C25-BE20-44C6212D5A2F}"/>
    <cellStyle name="20% - Accent3 3 2 2 3 2 2 2 3" xfId="32207" xr:uid="{B78C12A2-82CB-44E7-8029-7D5FAD18B4D9}"/>
    <cellStyle name="20% - Accent3 3 2 2 3 2 2 3" xfId="26462" xr:uid="{80C9A9D4-A239-4A26-9372-E555C576D769}"/>
    <cellStyle name="20% - Accent3 3 2 2 3 2 2 3 2" xfId="13207" xr:uid="{37C3CB55-491D-46C6-8D90-8FCFE2078135}"/>
    <cellStyle name="20% - Accent3 3 2 2 3 2 2 4" xfId="26349" xr:uid="{5C17591B-B137-492D-BA8B-0C678C49E481}"/>
    <cellStyle name="20% - Accent3 3 2 2 3 2 3" xfId="27228" xr:uid="{828E6A71-1B25-4B42-9DAD-39A5B1E63250}"/>
    <cellStyle name="20% - Accent3 3 2 2 3 2 3 2" xfId="26347" xr:uid="{2B2E3E70-FE49-4DBB-A351-F7EB537867A2}"/>
    <cellStyle name="20% - Accent3 3 2 2 3 2 3 2 2" xfId="29246" xr:uid="{ABC7C7E2-CCF7-40BC-8FB5-92C85517474A}"/>
    <cellStyle name="20% - Accent3 3 2 2 3 2 3 3" xfId="26345" xr:uid="{8FB70757-38D0-4834-9CF7-C9C9284C7684}"/>
    <cellStyle name="20% - Accent3 3 2 2 3 2 4" xfId="23973" xr:uid="{70CB5682-A325-4148-BFB7-1237915DCC9A}"/>
    <cellStyle name="20% - Accent3 3 2 2 3 2 4 2" xfId="26344" xr:uid="{2E7BD2BE-02B3-4E42-A076-AD6640773A23}"/>
    <cellStyle name="20% - Accent3 3 2 2 3 2 5" xfId="23379" xr:uid="{0DE822DD-E76F-4DC1-A282-6C8A3CF488D9}"/>
    <cellStyle name="20% - Accent3 3 2 2 3 3" xfId="30881" xr:uid="{F1BEA644-D6E7-4DCB-B568-D981B7581FB5}"/>
    <cellStyle name="20% - Accent3 3 2 2 3 3 2" xfId="27220" xr:uid="{5C72C873-7277-4E31-BFA9-6FFCF1B84F7F}"/>
    <cellStyle name="20% - Accent3 3 2 2 3 3 2 2" xfId="26342" xr:uid="{513F75EB-2BF8-4BDA-80DE-381F5458591B}"/>
    <cellStyle name="20% - Accent3 3 2 2 3 3 2 2 2" xfId="32775" xr:uid="{56238AB8-770B-40A9-95AF-5125962C3CD6}"/>
    <cellStyle name="20% - Accent3 3 2 2 3 3 2 3" xfId="26339" xr:uid="{F70BB2F8-2F6A-4A6B-801D-9BE64059ECC6}"/>
    <cellStyle name="20% - Accent3 3 2 2 3 3 3" xfId="27211" xr:uid="{65079E2B-479A-4377-90CA-1C1D95260192}"/>
    <cellStyle name="20% - Accent3 3 2 2 3 3 3 2" xfId="26338" xr:uid="{8D93FAF6-6C8A-4F32-B839-BA5A0411FA6D}"/>
    <cellStyle name="20% - Accent3 3 2 2 3 3 4" xfId="23961" xr:uid="{545B00F3-0118-412F-A045-4F8918BE0385}"/>
    <cellStyle name="20% - Accent3 3 2 2 3 4" xfId="6926" xr:uid="{8F5D43AA-9B2D-419F-A1D9-747DBFD54B99}"/>
    <cellStyle name="20% - Accent3 3 2 2 3 4 2" xfId="25856" xr:uid="{67516844-B6ED-40AE-B717-F9727F2BDEED}"/>
    <cellStyle name="20% - Accent3 3 2 2 3 4 2 2" xfId="26332" xr:uid="{30D9DA50-5A88-45D3-9D6F-060972A8DEB8}"/>
    <cellStyle name="20% - Accent3 3 2 2 3 4 3" xfId="26331" xr:uid="{6FE7D2DA-4139-4E56-9E98-EF4B9ACEC7BA}"/>
    <cellStyle name="20% - Accent3 3 2 2 3 5" xfId="20249" xr:uid="{D16EBA11-74B1-4B7E-B8D3-75C54B0DCB22}"/>
    <cellStyle name="20% - Accent3 3 2 2 3 5 2" xfId="8202" xr:uid="{56CAC074-DB49-4A8A-8902-95271B23E41F}"/>
    <cellStyle name="20% - Accent3 3 2 2 3 6" xfId="20212" xr:uid="{E8394A76-17CB-4E28-9229-A13893F79290}"/>
    <cellStyle name="20% - Accent3 3 2 2 4" xfId="30853" xr:uid="{187EB390-70DA-41BE-ADE3-F45A409A4E57}"/>
    <cellStyle name="20% - Accent3 3 2 2 4 2" xfId="23864" xr:uid="{6FD8AB52-A3AC-457B-AA67-F29B20507413}"/>
    <cellStyle name="20% - Accent3 3 2 2 4 2 2" xfId="25390" xr:uid="{5F0AB2A0-2955-4F33-91F6-57E27EB3404A}"/>
    <cellStyle name="20% - Accent3 3 2 2 4 2 2 2" xfId="26323" xr:uid="{4F5F5D0F-8163-4B6C-A844-D8BA99714466}"/>
    <cellStyle name="20% - Accent3 3 2 2 4 2 2 2 2" xfId="33597" xr:uid="{807C6BE4-D4D0-4FEB-BF7F-DC164E58FE84}"/>
    <cellStyle name="20% - Accent3 3 2 2 4 2 2 3" xfId="26322" xr:uid="{C1FA602D-3BAC-4DB4-98C1-D66401F65E58}"/>
    <cellStyle name="20% - Accent3 3 2 2 4 2 3" xfId="27206" xr:uid="{5C8FCCF2-38DA-483C-995C-576D4E220B1E}"/>
    <cellStyle name="20% - Accent3 3 2 2 4 2 3 2" xfId="12783" xr:uid="{3AC9A258-ECAF-4B33-AA5B-98D96EA42D7E}"/>
    <cellStyle name="20% - Accent3 3 2 2 4 2 4" xfId="23939" xr:uid="{4B4D42B3-C6AC-45F9-AAD7-14A3E85FE1EA}"/>
    <cellStyle name="20% - Accent3 3 2 2 4 3" xfId="33677" xr:uid="{D850BF4C-47AC-45FF-863F-CBC5C1D556AB}"/>
    <cellStyle name="20% - Accent3 3 2 2 4 3 2" xfId="26319" xr:uid="{5CEF87B6-2D08-48EB-8C2D-4860DA107614}"/>
    <cellStyle name="20% - Accent3 3 2 2 4 3 2 2" xfId="26318" xr:uid="{3DB55834-7664-4C91-B8D2-2007908F92D0}"/>
    <cellStyle name="20% - Accent3 3 2 2 4 3 3" xfId="28980" xr:uid="{072A0E8F-79B3-449A-96C8-D6430807CAEB}"/>
    <cellStyle name="20% - Accent3 3 2 2 4 4" xfId="6923" xr:uid="{B8BDA678-E381-48BD-8C07-4387E256AFBE}"/>
    <cellStyle name="20% - Accent3 3 2 2 4 4 2" xfId="26316" xr:uid="{F78C3E17-53CC-48A9-9A70-25E9FB4CCFEC}"/>
    <cellStyle name="20% - Accent3 3 2 2 4 5" xfId="26313" xr:uid="{A3386571-2982-45DD-BFDE-7FB1169FCBB6}"/>
    <cellStyle name="20% - Accent3 3 2 2 5" xfId="34257" xr:uid="{6006FFD6-666C-4ED7-9E73-88EE57C060A7}"/>
    <cellStyle name="20% - Accent3 3 2 2 5 2" xfId="26306" xr:uid="{0DF0DBC3-55B2-44C6-8580-490C30AAD897}"/>
    <cellStyle name="20% - Accent3 3 2 2 5 2 2" xfId="24588" xr:uid="{47F3C591-8D86-4FAC-A813-DA72037AA3A0}"/>
    <cellStyle name="20% - Accent3 3 2 2 5 2 2 2" xfId="26305" xr:uid="{E3FACB1F-3A53-4496-B1E1-850DAAD98C74}"/>
    <cellStyle name="20% - Accent3 3 2 2 5 2 3" xfId="24579" xr:uid="{D392AF4D-0C4B-4B24-B42F-454225454BC5}"/>
    <cellStyle name="20% - Accent3 3 2 2 5 3" xfId="26301" xr:uid="{99BFFB3E-DC66-45E3-8785-26F8438EAA9D}"/>
    <cellStyle name="20% - Accent3 3 2 2 5 3 2" xfId="24575" xr:uid="{BB12C853-5B94-4B86-AD31-F2A78015D745}"/>
    <cellStyle name="20% - Accent3 3 2 2 5 4" xfId="22600" xr:uid="{A880556E-A3B1-4F71-AF44-247126076B10}"/>
    <cellStyle name="20% - Accent3 3 2 2 6" xfId="32033" xr:uid="{F84748C9-DAD5-4672-AFCB-F3703FE821B7}"/>
    <cellStyle name="20% - Accent3 3 2 2 6 2" xfId="32026" xr:uid="{670AC58C-733A-484F-BF3A-30FA8D0DFB3F}"/>
    <cellStyle name="20% - Accent3 3 2 2 6 2 2" xfId="24570" xr:uid="{F22C520E-E5A5-454A-926E-F1A578919927}"/>
    <cellStyle name="20% - Accent3 3 2 2 6 3" xfId="31996" xr:uid="{16515D3F-302B-4696-B199-C9909CF9D40F}"/>
    <cellStyle name="20% - Accent3 3 2 2 7" xfId="31915" xr:uid="{A6C77CAA-3418-4B19-B5E8-90C437448F82}"/>
    <cellStyle name="20% - Accent3 3 2 2 7 2" xfId="31905" xr:uid="{78C13B79-F698-4DE7-98F4-EF1FFC266E8C}"/>
    <cellStyle name="20% - Accent3 3 2 2 8" xfId="31204" xr:uid="{1100A9CA-A241-4E82-9B31-52F1D663A27F}"/>
    <cellStyle name="20% - Accent3 3 2 3" xfId="28057" xr:uid="{7ACE9F7A-49BC-48D4-84B6-F471BBD006DF}"/>
    <cellStyle name="20% - Accent3 3 2 3 2" xfId="33048" xr:uid="{755D4365-6C64-44A9-9C71-8250EBFB2546}"/>
    <cellStyle name="20% - Accent3 3 2 3 2 2" xfId="21877" xr:uid="{500AD881-4642-4416-9A41-985935265862}"/>
    <cellStyle name="20% - Accent3 3 2 3 2 2 2" xfId="17492" xr:uid="{C1A769FD-0A44-4921-A69D-6EB18F55BDA9}"/>
    <cellStyle name="20% - Accent3 3 2 3 2 2 2 2" xfId="31567" xr:uid="{3ECD9E56-E629-430C-851C-D18D68962011}"/>
    <cellStyle name="20% - Accent3 3 2 3 2 2 2 2 2" xfId="26529" xr:uid="{D13FBA55-CAE9-49AF-BB2B-53FAAB330D41}"/>
    <cellStyle name="20% - Accent3 3 2 3 2 2 2 2 2 2" xfId="26299" xr:uid="{D163F260-9D79-44DF-B84F-A1F4541CEC73}"/>
    <cellStyle name="20% - Accent3 3 2 3 2 2 2 2 3" xfId="33553" xr:uid="{9E05DD89-7ACE-41B0-82D6-AE82EAF5A8B2}"/>
    <cellStyle name="20% - Accent3 3 2 3 2 2 2 3" xfId="26297" xr:uid="{74602FDB-E02A-4A05-A840-CBB7C0ED073B}"/>
    <cellStyle name="20% - Accent3 3 2 3 2 2 2 3 2" xfId="22609" xr:uid="{42BE2964-8368-4BD2-BB3C-EBB22626CD5F}"/>
    <cellStyle name="20% - Accent3 3 2 3 2 2 2 4" xfId="20870" xr:uid="{0DDC3FFB-08D4-417C-A881-8BBFBEAB2E1A}"/>
    <cellStyle name="20% - Accent3 3 2 3 2 2 3" xfId="26288" xr:uid="{869F94FC-33E9-4B56-B365-CEEA39B2389A}"/>
    <cellStyle name="20% - Accent3 3 2 3 2 2 3 2" xfId="27356" xr:uid="{9EEC8A27-5D04-4ACE-A232-4939C5884BE1}"/>
    <cellStyle name="20% - Accent3 3 2 3 2 2 3 2 2" xfId="26443" xr:uid="{C2F4CF4D-2704-4FEF-9365-087039BA0EFA}"/>
    <cellStyle name="20% - Accent3 3 2 3 2 2 3 3" xfId="33176" xr:uid="{6616C6EF-3789-49E2-99B5-6D5D6C5E83AB}"/>
    <cellStyle name="20% - Accent3 3 2 3 2 2 4" xfId="23916" xr:uid="{C45EA66B-E6D4-4BF6-AD66-5443AFAB063F}"/>
    <cellStyle name="20% - Accent3 3 2 3 2 2 4 2" xfId="23913" xr:uid="{F00D9BAE-7628-49B6-852D-02A6A1AD031E}"/>
    <cellStyle name="20% - Accent3 3 2 3 2 2 5" xfId="23901" xr:uid="{37A73009-D61B-43A2-9775-43422E4DDC50}"/>
    <cellStyle name="20% - Accent3 3 2 3 2 3" xfId="29725" xr:uid="{DAA29F4B-F302-40A2-B485-04B5DE5E5FA7}"/>
    <cellStyle name="20% - Accent3 3 2 3 2 3 2" xfId="29634" xr:uid="{EAFA50F2-8A2F-4696-B740-6B9A53103E8C}"/>
    <cellStyle name="20% - Accent3 3 2 3 2 3 2 2" xfId="26285" xr:uid="{5DA58C87-6229-4ABD-A8CE-232B3C5FF468}"/>
    <cellStyle name="20% - Accent3 3 2 3 2 3 2 2 2" xfId="19092" xr:uid="{5770F777-9BA6-4943-8A77-A5DAC4AA39BA}"/>
    <cellStyle name="20% - Accent3 3 2 3 2 3 2 3" xfId="26282" xr:uid="{88174ABF-09D8-469F-BD0A-48FBEAC137AA}"/>
    <cellStyle name="20% - Accent3 3 2 3 2 3 3" xfId="26279" xr:uid="{52F45061-AD99-4EE2-8905-D558CF955251}"/>
    <cellStyle name="20% - Accent3 3 2 3 2 3 3 2" xfId="32270" xr:uid="{ABA8EDEA-22AD-4F71-AC52-7BF1ECEBEB21}"/>
    <cellStyle name="20% - Accent3 3 2 3 2 3 4" xfId="23895" xr:uid="{45A0D519-85EA-4F42-A9FA-C5A639730AFC}"/>
    <cellStyle name="20% - Accent3 3 2 3 2 4" xfId="6920" xr:uid="{16FA9DB1-E716-4F68-A632-FBFA9FBB1D97}"/>
    <cellStyle name="20% - Accent3 3 2 3 2 4 2" xfId="25812" xr:uid="{7EA54EE8-78D0-4DB1-8483-52209CB39C46}"/>
    <cellStyle name="20% - Accent3 3 2 3 2 4 2 2" xfId="26278" xr:uid="{41F4A573-F631-4D94-8282-822B964571E0}"/>
    <cellStyle name="20% - Accent3 3 2 3 2 4 3" xfId="26275" xr:uid="{2C6941CE-D5B5-46A5-82DD-D586FCB55874}"/>
    <cellStyle name="20% - Accent3 3 2 3 2 5" xfId="24321" xr:uid="{0795BC14-B35D-4562-A4A3-AA69564AF3B8}"/>
    <cellStyle name="20% - Accent3 3 2 3 2 5 2" xfId="24486" xr:uid="{357AF37F-6BFD-4B71-A603-8BEC015D1A2A}"/>
    <cellStyle name="20% - Accent3 3 2 3 2 6" xfId="18216" xr:uid="{982ACECD-01C5-4D41-AC5F-CDACA773BBDF}"/>
    <cellStyle name="20% - Accent3 3 2 3 3" xfId="31854" xr:uid="{2C627F35-2F4C-4393-937F-C4EEB68BF509}"/>
    <cellStyle name="20% - Accent3 3 2 3 3 2" xfId="30869" xr:uid="{B05783CB-16A6-4D87-9E53-21F047C29A72}"/>
    <cellStyle name="20% - Accent3 3 2 3 3 2 2" xfId="26261" xr:uid="{35205368-73ED-4FFC-9B30-7D90150A1333}"/>
    <cellStyle name="20% - Accent3 3 2 3 3 2 2 2" xfId="26260" xr:uid="{C50C95ED-4A7E-4BA6-A2EE-D72FA8A1BCCF}"/>
    <cellStyle name="20% - Accent3 3 2 3 3 2 2 2 2" xfId="33807" xr:uid="{E8AAD199-74D8-4639-B544-0CA9CB681935}"/>
    <cellStyle name="20% - Accent3 3 2 3 3 2 2 3" xfId="26258" xr:uid="{5861409D-827B-4717-94D9-6EF9E55669A7}"/>
    <cellStyle name="20% - Accent3 3 2 3 3 2 3" xfId="27197" xr:uid="{4F78EBE4-B074-4A10-A9A8-9C6D66F04F35}"/>
    <cellStyle name="20% - Accent3 3 2 3 3 2 3 2" xfId="27256" xr:uid="{9F283B7D-AF9D-4F73-AF70-1DD5A482C1BD}"/>
    <cellStyle name="20% - Accent3 3 2 3 3 2 4" xfId="23883" xr:uid="{941A210C-2D2A-4A30-9F9C-7202D894269C}"/>
    <cellStyle name="20% - Accent3 3 2 3 3 3" xfId="23890" xr:uid="{DDC5C72C-6FB2-4795-82E8-8FAB8086932B}"/>
    <cellStyle name="20% - Accent3 3 2 3 3 3 2" xfId="21117" xr:uid="{8B9EEF46-5884-4F9B-8E9E-79EDCB46FFDF}"/>
    <cellStyle name="20% - Accent3 3 2 3 3 3 2 2" xfId="26249" xr:uid="{D7CA2EFF-E8C6-4865-A5C3-27AF112FCD23}"/>
    <cellStyle name="20% - Accent3 3 2 3 3 3 3" xfId="26247" xr:uid="{19F324EE-BEEA-45E8-A9E9-6C01F2A85FAA}"/>
    <cellStyle name="20% - Accent3 3 2 3 3 4" xfId="6914" xr:uid="{B4116DA4-16F0-4036-A369-2C4D4655DF02}"/>
    <cellStyle name="20% - Accent3 3 2 3 3 4 2" xfId="26246" xr:uid="{059B59DF-8AA0-4AA0-83F1-43934160A25C}"/>
    <cellStyle name="20% - Accent3 3 2 3 3 5" xfId="18129" xr:uid="{E943CCB8-A86D-4938-BDD0-FFFF69820C85}"/>
    <cellStyle name="20% - Accent3 3 2 3 4" xfId="30845" xr:uid="{5F2525E2-209F-4EE7-863A-9877C6BF9387}"/>
    <cellStyle name="20% - Accent3 3 2 3 4 2" xfId="9322" xr:uid="{B2C8B2B2-18A8-4707-889C-13DAD86C222A}"/>
    <cellStyle name="20% - Accent3 3 2 3 4 2 2" xfId="26241" xr:uid="{23202817-37E9-4384-8BAA-D5D08894942C}"/>
    <cellStyle name="20% - Accent3 3 2 3 4 2 2 2" xfId="26238" xr:uid="{68E0FBED-29A8-46A2-96EB-C8473AC2F87E}"/>
    <cellStyle name="20% - Accent3 3 2 3 4 2 3" xfId="26234" xr:uid="{E5F00EF7-1785-4141-9B68-14A025946117}"/>
    <cellStyle name="20% - Accent3 3 2 3 4 3" xfId="7438" xr:uid="{DD6231D9-B731-4259-A35A-84BCACBB2508}"/>
    <cellStyle name="20% - Accent3 3 2 3 4 3 2" xfId="26229" xr:uid="{49C5ABFF-E1C7-468F-918F-D7306CB87BDB}"/>
    <cellStyle name="20% - Accent3 3 2 3 4 4" xfId="26225" xr:uid="{A32C96D5-4494-4864-A50E-10557009A907}"/>
    <cellStyle name="20% - Accent3 3 2 3 5" xfId="34254" xr:uid="{5D3F9AAA-CD27-4B28-B2B7-6E1C552B94C0}"/>
    <cellStyle name="20% - Accent3 3 2 3 5 2" xfId="5498" xr:uid="{063D1BFB-2D33-4089-A6D0-CA8D269E7EAF}"/>
    <cellStyle name="20% - Accent3 3 2 3 5 2 2" xfId="24561" xr:uid="{7A882E88-B964-48E3-B027-AAAABFF586EC}"/>
    <cellStyle name="20% - Accent3 3 2 3 5 3" xfId="26220" xr:uid="{81612C9C-AA7D-4D4A-815E-A9CB3D5D5CD0}"/>
    <cellStyle name="20% - Accent3 3 2 3 6" xfId="31793" xr:uid="{F68BB806-6CDF-40A8-B2A5-E4BEF7A29164}"/>
    <cellStyle name="20% - Accent3 3 2 3 6 2" xfId="31787" xr:uid="{F81C62A7-FF15-44C6-84E7-C01C0F4CABDB}"/>
    <cellStyle name="20% - Accent3 3 2 3 7" xfId="31712" xr:uid="{845E70EC-F548-4865-8114-8E56345C935A}"/>
    <cellStyle name="20% - Accent3 3 2 4" xfId="31849" xr:uid="{F29DC5C9-365D-4E32-B1DC-619BBFA53788}"/>
    <cellStyle name="20% - Accent3 3 2 4 2" xfId="29788" xr:uid="{76713D52-9117-4AAF-8801-6C7D117890DC}"/>
    <cellStyle name="20% - Accent3 3 2 4 2 2" xfId="32434" xr:uid="{807B6BDC-A160-4B91-84F7-8B035F15B2F8}"/>
    <cellStyle name="20% - Accent3 3 2 4 2 2 2" xfId="26214" xr:uid="{DA05E612-764B-4189-AC67-351B75835B77}"/>
    <cellStyle name="20% - Accent3 3 2 4 2 2 2 2" xfId="11322" xr:uid="{72479004-5E34-47D4-B98C-D967E61D9C01}"/>
    <cellStyle name="20% - Accent3 3 2 4 2 2 2 2 2" xfId="26191" xr:uid="{3229D7E8-26C2-49AE-A1C2-415F7B03B545}"/>
    <cellStyle name="20% - Accent3 3 2 4 2 2 2 3" xfId="26213" xr:uid="{7C0D156E-414E-4456-B7FB-DECCB0DBBCF9}"/>
    <cellStyle name="20% - Accent3 3 2 4 2 2 3" xfId="26209" xr:uid="{3FD4D2BA-15DB-4416-AB94-C694D4B75A81}"/>
    <cellStyle name="20% - Accent3 3 2 4 2 2 3 2" xfId="26993" xr:uid="{3AD0778A-0E39-4CC9-9B4D-C35AFA0B0C65}"/>
    <cellStyle name="20% - Accent3 3 2 4 2 2 4" xfId="26207" xr:uid="{26974B4A-CFD2-45FB-9A98-BD779F56073E}"/>
    <cellStyle name="20% - Accent3 3 2 4 2 3" xfId="24261" xr:uid="{2A57F02B-CACD-4DCC-A3CB-2F3A8FC4BA1A}"/>
    <cellStyle name="20% - Accent3 3 2 4 2 3 2" xfId="26202" xr:uid="{898C5F19-81B3-4094-ADBD-BB1ADD11EDD5}"/>
    <cellStyle name="20% - Accent3 3 2 4 2 3 2 2" xfId="11186" xr:uid="{BA89942C-29D6-4127-95FC-EAEC229AC38A}"/>
    <cellStyle name="20% - Accent3 3 2 4 2 3 3" xfId="28370" xr:uid="{9CED34DB-8DD2-49E8-812F-AA95173B394F}"/>
    <cellStyle name="20% - Accent3 3 2 4 2 4" xfId="6910" xr:uid="{5B54E70B-A799-4EAD-B5BA-B7061DD16ABD}"/>
    <cellStyle name="20% - Accent3 3 2 4 2 4 2" xfId="21467" xr:uid="{7C6C5BAF-C702-4A78-A3B0-B46D407E78F9}"/>
    <cellStyle name="20% - Accent3 3 2 4 2 5" xfId="26192" xr:uid="{40C564C2-6063-4D31-897D-B853659AB724}"/>
    <cellStyle name="20% - Accent3 3 2 4 3" xfId="26184" xr:uid="{8618212C-A018-4DC8-8907-570C4A38A566}"/>
    <cellStyle name="20% - Accent3 3 2 4 3 2" xfId="9304" xr:uid="{1599EC8F-14A9-4BFE-A98A-3F245F4CCCAC}"/>
    <cellStyle name="20% - Accent3 3 2 4 3 2 2" xfId="26183" xr:uid="{D96891A5-071F-4215-8D35-8DF32B34A0E1}"/>
    <cellStyle name="20% - Accent3 3 2 4 3 2 2 2" xfId="26181" xr:uid="{8CCB7ED3-9F9D-4024-9342-75B255BBE887}"/>
    <cellStyle name="20% - Accent3 3 2 4 3 2 3" xfId="26177" xr:uid="{5FE39AD5-B2C7-43A0-B1C7-C4C65AE0D826}"/>
    <cellStyle name="20% - Accent3 3 2 4 3 3" xfId="7431" xr:uid="{25C79F8D-DDA3-4047-B4BB-87AB86EA9531}"/>
    <cellStyle name="20% - Accent3 3 2 4 3 3 2" xfId="26167" xr:uid="{A04FCC9F-6314-47C1-933A-B0DD78C0099A}"/>
    <cellStyle name="20% - Accent3 3 2 4 3 4" xfId="26162" xr:uid="{38EB494F-1177-42A2-8A18-7710BFC4D81D}"/>
    <cellStyle name="20% - Accent3 3 2 4 4" xfId="26152" xr:uid="{2995EEDB-BC0B-4413-A44F-B2428043B140}"/>
    <cellStyle name="20% - Accent3 3 2 4 4 2" xfId="6053" xr:uid="{2DA8EC6F-F88E-43F2-BD22-4318818F0E72}"/>
    <cellStyle name="20% - Accent3 3 2 4 4 2 2" xfId="13323" xr:uid="{FFF90FA4-1D06-4898-97F1-C71CE2DC57B3}"/>
    <cellStyle name="20% - Accent3 3 2 4 4 3" xfId="26150" xr:uid="{9ACEBBD5-E375-49CF-8CAF-E130F1B07A56}"/>
    <cellStyle name="20% - Accent3 3 2 4 5" xfId="26148" xr:uid="{88199FBA-CB33-40EB-B281-7B6BB55D6EA6}"/>
    <cellStyle name="20% - Accent3 3 2 4 5 2" xfId="26146" xr:uid="{E96298E4-101B-44DA-A306-3DFF07907C28}"/>
    <cellStyle name="20% - Accent3 3 2 4 6" xfId="31704" xr:uid="{1B697EF3-869C-4C8B-B362-0C527114C286}"/>
    <cellStyle name="20% - Accent3 3 2 5" xfId="34401" xr:uid="{3E306813-2CDC-47A6-A66C-7A8ACAB8A85E}"/>
    <cellStyle name="20% - Accent3 3 2 5 2" xfId="26143" xr:uid="{66249974-30FE-4801-B636-DF37059054DE}"/>
    <cellStyle name="20% - Accent3 3 2 5 2 2" xfId="24206" xr:uid="{BFA0324B-817E-4BAB-AD1B-4890802DA31C}"/>
    <cellStyle name="20% - Accent3 3 2 5 2 2 2" xfId="20296" xr:uid="{AE1A35BE-ACAA-4F2C-B32A-F1D1CB2CB78A}"/>
    <cellStyle name="20% - Accent3 3 2 5 2 2 2 2" xfId="15283" xr:uid="{06487D2E-5DB9-4300-8E5C-E79F8F0AC3AB}"/>
    <cellStyle name="20% - Accent3 3 2 5 2 2 3" xfId="26089" xr:uid="{310E7435-F873-4D8D-A207-3D1310D9F7C5}"/>
    <cellStyle name="20% - Accent3 3 2 5 2 3" xfId="24198" xr:uid="{6F991FF6-F2BE-41A8-849D-CDBEE293D3F1}"/>
    <cellStyle name="20% - Accent3 3 2 5 2 3 2" xfId="26137" xr:uid="{96D5019B-31C9-43E0-B5A2-11A8695AA752}"/>
    <cellStyle name="20% - Accent3 3 2 5 2 4" xfId="23649" xr:uid="{379AD62B-1624-40DC-871D-962891C646A8}"/>
    <cellStyle name="20% - Accent3 3 2 5 3" xfId="26128" xr:uid="{F8ED06A1-3709-4481-9EB9-BCEA24907969}"/>
    <cellStyle name="20% - Accent3 3 2 5 3 2" xfId="12624" xr:uid="{4D6ED15D-84A3-46DC-9119-15A1BC19782B}"/>
    <cellStyle name="20% - Accent3 3 2 5 3 2 2" xfId="26127" xr:uid="{65F66431-45B1-42D5-B63F-470701DB0D77}"/>
    <cellStyle name="20% - Accent3 3 2 5 3 3" xfId="30097" xr:uid="{AB96BE20-B994-48D0-BD2B-8ECCB5E052A0}"/>
    <cellStyle name="20% - Accent3 3 2 5 4" xfId="26122" xr:uid="{1D54CAF8-9CF8-485F-ACA1-65CFD59FC761}"/>
    <cellStyle name="20% - Accent3 3 2 5 4 2" xfId="26116" xr:uid="{CB32EB70-EA4F-4AC8-A9DF-CBE4B03E1025}"/>
    <cellStyle name="20% - Accent3 3 2 5 5" xfId="23365" xr:uid="{759BD19C-7B8A-425E-9CFF-0F1BB46D0C01}"/>
    <cellStyle name="20% - Accent3 3 2 6" xfId="26109" xr:uid="{7088D058-14A2-4752-BACE-D17D7D17DFE8}"/>
    <cellStyle name="20% - Accent3 3 2 6 2" xfId="34359" xr:uid="{490C1FD9-EAD5-4F1A-8226-6E91A7570EE5}"/>
    <cellStyle name="20% - Accent3 3 2 6 2 2" xfId="24178" xr:uid="{2EC8549C-A8ED-40E5-9A93-A9D2D6C5E82F}"/>
    <cellStyle name="20% - Accent3 3 2 6 2 2 2" xfId="20205" xr:uid="{E185AB46-D0B6-411E-BD10-32ACC981329F}"/>
    <cellStyle name="20% - Accent3 3 2 6 2 3" xfId="30069" xr:uid="{A4423162-65A3-4CE5-96DC-F868A4A4C5E5}"/>
    <cellStyle name="20% - Accent3 3 2 6 3" xfId="26104" xr:uid="{5F402EB2-A90F-40BB-9BBC-42792A494A98}"/>
    <cellStyle name="20% - Accent3 3 2 6 3 2" xfId="26099" xr:uid="{D7081393-A901-4D9F-9613-DC1B3F868FD0}"/>
    <cellStyle name="20% - Accent3 3 2 6 4" xfId="5770" xr:uid="{8971E9AE-C3BF-4216-B3EA-8C8DC7D6B01F}"/>
    <cellStyle name="20% - Accent3 3 2 7" xfId="26091" xr:uid="{13A2DB47-D37A-4F0A-B3C9-6F7944D91DDA}"/>
    <cellStyle name="20% - Accent3 3 2 7 2" xfId="26090" xr:uid="{A4FF6C6D-2275-46B8-B453-CE353C5C0D9E}"/>
    <cellStyle name="20% - Accent3 3 2 7 2 2" xfId="26084" xr:uid="{BE663BEC-D825-43DF-ADFD-79E052E775E6}"/>
    <cellStyle name="20% - Accent3 3 2 7 3" xfId="26082" xr:uid="{02752478-F3A7-4C0B-A02D-F8F5ADDE1C4E}"/>
    <cellStyle name="20% - Accent3 3 2 8" xfId="26077" xr:uid="{321819A0-4E95-405C-8C9A-ABD65B3697D1}"/>
    <cellStyle name="20% - Accent3 3 2 8 2" xfId="28920" xr:uid="{34463DB7-5E98-4A7D-A2A2-323431118456}"/>
    <cellStyle name="20% - Accent3 3 2 9" xfId="26075" xr:uid="{67FBC6B6-B2D3-402F-9CB5-09497B2301E6}"/>
    <cellStyle name="20% - Accent3 3 3" xfId="225" xr:uid="{4D3F3347-75DA-4693-B42D-9C9B58A950A4}"/>
    <cellStyle name="20% - Accent3 3 3 10" xfId="22599" xr:uid="{717019AF-46AE-4B18-84C5-15DCCB245407}"/>
    <cellStyle name="20% - Accent3 3 3 2" xfId="26259" xr:uid="{DBD5CCFB-A356-4B58-8443-F95E5FD7314A}"/>
    <cellStyle name="20% - Accent3 3 3 2 2" xfId="25051" xr:uid="{9617FA47-B0A7-4C70-AC65-52B67F1F4903}"/>
    <cellStyle name="20% - Accent3 3 3 2 2 2" xfId="21856" xr:uid="{CDAECD70-8FB7-4228-987B-40E0AB7C74C0}"/>
    <cellStyle name="20% - Accent3 3 3 2 2 2 2" xfId="17371" xr:uid="{D77AB407-A6AA-4ADD-8CEF-FDE0B4D77DBB}"/>
    <cellStyle name="20% - Accent3 3 3 2 2 2 2 2" xfId="26074" xr:uid="{E0EE3ED1-BCC7-4613-90C0-32A516E95068}"/>
    <cellStyle name="20% - Accent3 3 3 2 2 2 2 2 2" xfId="32534" xr:uid="{5151C67B-D596-4196-B6DE-49A1F4E632E5}"/>
    <cellStyle name="20% - Accent3 3 3 2 2 2 2 2 2 2" xfId="28286" xr:uid="{C7580413-ED89-440A-8B5C-782CDEE86428}"/>
    <cellStyle name="20% - Accent3 3 3 2 2 2 2 2 3" xfId="32526" xr:uid="{9D256388-E3D1-435E-BD18-B496BFBEBEE5}"/>
    <cellStyle name="20% - Accent3 3 3 2 2 2 2 3" xfId="26071" xr:uid="{52C9F2E1-1306-4E0B-BF15-4DF06F2B3C27}"/>
    <cellStyle name="20% - Accent3 3 3 2 2 2 2 3 2" xfId="16536" xr:uid="{21AB57A1-C47E-4EDF-9657-ACB1A5A5DC4D}"/>
    <cellStyle name="20% - Accent3 3 3 2 2 2 2 4" xfId="26069" xr:uid="{A1F5D9AF-DECF-4C2E-A2C1-C204B4A62ED1}"/>
    <cellStyle name="20% - Accent3 3 3 2 2 2 3" xfId="20580" xr:uid="{58F44D12-1E38-4ABE-B758-28DDF685AF4C}"/>
    <cellStyle name="20% - Accent3 3 3 2 2 2 3 2" xfId="27262" xr:uid="{D2D32240-4B63-490E-B668-41C7E266D86B}"/>
    <cellStyle name="20% - Accent3 3 3 2 2 2 3 2 2" xfId="21301" xr:uid="{FB5C93D1-00F7-4EC4-8AE8-E9B3E2E2CC6B}"/>
    <cellStyle name="20% - Accent3 3 3 2 2 2 3 3" xfId="26067" xr:uid="{5ADDEE6F-2278-466D-8C76-14D894A4FF5F}"/>
    <cellStyle name="20% - Accent3 3 3 2 2 2 4" xfId="11602" xr:uid="{5D22978F-ACF3-42C8-9A1C-ED7A7B1B4262}"/>
    <cellStyle name="20% - Accent3 3 3 2 2 2 4 2" xfId="26065" xr:uid="{7346F485-CB5A-4673-B460-5C47EAB42B89}"/>
    <cellStyle name="20% - Accent3 3 3 2 2 2 5" xfId="25355" xr:uid="{675E4FFD-8D9C-4684-9020-2879DFAB369A}"/>
    <cellStyle name="20% - Accent3 3 3 2 2 3" xfId="28849" xr:uid="{C6901C1C-4412-46A8-B763-C2E1F5107558}"/>
    <cellStyle name="20% - Accent3 3 3 2 2 3 2" xfId="17353" xr:uid="{F3695809-92CE-4A06-A939-76B85CAF0DE2}"/>
    <cellStyle name="20% - Accent3 3 3 2 2 3 2 2" xfId="26062" xr:uid="{E7A909BC-435E-47B5-9A38-A8A9E59F1563}"/>
    <cellStyle name="20% - Accent3 3 3 2 2 3 2 2 2" xfId="23836" xr:uid="{5E85BEEF-28F3-4365-B892-9560F7F56FAE}"/>
    <cellStyle name="20% - Accent3 3 3 2 2 3 2 3" xfId="26059" xr:uid="{49D9FA6A-94E6-4309-AE53-D2033A0EFFCB}"/>
    <cellStyle name="20% - Accent3 3 3 2 2 3 3" xfId="29248" xr:uid="{7A8BC179-98BC-40AB-9136-F1FAA87B3237}"/>
    <cellStyle name="20% - Accent3 3 3 2 2 3 3 2" xfId="26057" xr:uid="{D52F1649-C499-41A5-AE25-371B30B7B21C}"/>
    <cellStyle name="20% - Accent3 3 3 2 2 3 4" xfId="26054" xr:uid="{C858EE1F-06CA-4E32-9315-F82AC160CE52}"/>
    <cellStyle name="20% - Accent3 3 3 2 2 4" xfId="6810" xr:uid="{8F072E9D-3611-4D0A-9AEE-41C43832C011}"/>
    <cellStyle name="20% - Accent3 3 3 2 2 4 2" xfId="28127" xr:uid="{D1ABF6AC-FCC7-4943-B44E-2AC8F255A8F8}"/>
    <cellStyle name="20% - Accent3 3 3 2 2 4 2 2" xfId="26047" xr:uid="{460B40EF-1221-4D69-B7A2-D63A560F3622}"/>
    <cellStyle name="20% - Accent3 3 3 2 2 4 3" xfId="11631" xr:uid="{24C43D40-7A11-4E2D-9014-38A1EFB9A2C8}"/>
    <cellStyle name="20% - Accent3 3 3 2 2 5" xfId="26235" xr:uid="{8F83FB57-1FCF-455A-A3CD-0FED25D7FC35}"/>
    <cellStyle name="20% - Accent3 3 3 2 2 5 2" xfId="22697" xr:uid="{A1CC38F8-6E00-462B-91FF-15D14A1F332B}"/>
    <cellStyle name="20% - Accent3 3 3 2 2 6" xfId="26043" xr:uid="{FA6145EA-683B-43D1-A198-C098F55ABD17}"/>
    <cellStyle name="20% - Accent3 3 3 2 3" xfId="31838" xr:uid="{D3B644C9-1AFC-4F83-BB4F-2AF16D07346B}"/>
    <cellStyle name="20% - Accent3 3 3 2 3 2" xfId="28839" xr:uid="{EE7A83EB-C759-4122-9F1B-13CB3C766A05}"/>
    <cellStyle name="20% - Accent3 3 3 2 3 2 2" xfId="17321" xr:uid="{98422175-3401-4F03-94EB-DD44F7DDB044}"/>
    <cellStyle name="20% - Accent3 3 3 2 3 2 2 2" xfId="28067" xr:uid="{6474CBC8-84EB-4120-9FFD-84061023E4D4}"/>
    <cellStyle name="20% - Accent3 3 3 2 3 2 2 2 2" xfId="32483" xr:uid="{4DD1CFB0-BBCE-4DF4-868C-298696C2ADB5}"/>
    <cellStyle name="20% - Accent3 3 3 2 3 2 2 3" xfId="26039" xr:uid="{AF7AC657-9BC5-49A6-8766-8EEB9721F3F5}"/>
    <cellStyle name="20% - Accent3 3 3 2 3 2 3" xfId="13600" xr:uid="{D9B22B18-F694-4C22-8ECC-13A2778EB403}"/>
    <cellStyle name="20% - Accent3 3 3 2 3 2 3 2" xfId="26038" xr:uid="{E1A0FDAE-2641-4F05-8751-C95FE3B2C400}"/>
    <cellStyle name="20% - Accent3 3 3 2 3 2 4" xfId="5411" xr:uid="{3ADC266C-B60F-4B25-97E4-CF6725C2136E}"/>
    <cellStyle name="20% - Accent3 3 3 2 3 3" xfId="26037" xr:uid="{04072396-C872-4773-AFED-E52B5607FF0D}"/>
    <cellStyle name="20% - Accent3 3 3 2 3 3 2" xfId="28450" xr:uid="{EA54BC5E-A9C3-4EBC-B20D-8BD63561F32C}"/>
    <cellStyle name="20% - Accent3 3 3 2 3 3 2 2" xfId="26036" xr:uid="{D9D906E7-7248-4FF9-9B4F-2AD42E951EE5}"/>
    <cellStyle name="20% - Accent3 3 3 2 3 3 3" xfId="13592" xr:uid="{3CEF6DD3-5842-4158-96C8-309DEBD594AF}"/>
    <cellStyle name="20% - Accent3 3 3 2 3 4" xfId="6805" xr:uid="{5C2A7969-11BC-4AA1-ADF4-28D9C05B3A5F}"/>
    <cellStyle name="20% - Accent3 3 3 2 3 4 2" xfId="27065" xr:uid="{90FFDEF7-A00A-4880-A3EA-F1F1B9577307}"/>
    <cellStyle name="20% - Accent3 3 3 2 3 5" xfId="26029" xr:uid="{6AFF0AF2-3B07-4284-8FF8-C71A623CD8C2}"/>
    <cellStyle name="20% - Accent3 3 3 2 4" xfId="30837" xr:uid="{F2106FA5-A020-466E-AA14-9FB2691968B2}"/>
    <cellStyle name="20% - Accent3 3 3 2 4 2" xfId="28051" xr:uid="{6C387ABD-0F3D-4393-82FE-2023CC019E7F}"/>
    <cellStyle name="20% - Accent3 3 3 2 4 2 2" xfId="13676" xr:uid="{BEAB1491-1240-4FAE-A24D-02C415D95579}"/>
    <cellStyle name="20% - Accent3 3 3 2 4 2 2 2" xfId="26025" xr:uid="{85A47D9B-045C-4D42-A519-7CC844905ADE}"/>
    <cellStyle name="20% - Accent3 3 3 2 4 2 3" xfId="13557" xr:uid="{B884177D-03CB-4FCB-83C7-3FD0DB36253D}"/>
    <cellStyle name="20% - Accent3 3 3 2 4 3" xfId="27106" xr:uid="{ED6B0118-EE38-48DA-AACD-E880F69DB61E}"/>
    <cellStyle name="20% - Accent3 3 3 2 4 3 2" xfId="26982" xr:uid="{6802435C-2BA9-4DD7-AB6D-11693E232A33}"/>
    <cellStyle name="20% - Accent3 3 3 2 4 4" xfId="26024" xr:uid="{202AD747-68B7-4353-B18A-D42F919680AC}"/>
    <cellStyle name="20% - Accent3 3 3 2 5" xfId="26015" xr:uid="{67C39684-34B3-40E8-8B59-CDE7315BAF8E}"/>
    <cellStyle name="20% - Accent3 3 3 2 5 2" xfId="28033" xr:uid="{F4B513AA-5F46-4D82-A917-C94869CE4F8C}"/>
    <cellStyle name="20% - Accent3 3 3 2 5 2 2" xfId="24439" xr:uid="{FF87F81E-3D30-41B5-866A-0E0D695DD969}"/>
    <cellStyle name="20% - Accent3 3 3 2 5 3" xfId="26014" xr:uid="{F8836C3B-0DDC-4C72-A535-CB610E89831C}"/>
    <cellStyle name="20% - Accent3 3 3 2 6" xfId="33104" xr:uid="{C78F570E-E309-48F7-9979-225B40E2E2B6}"/>
    <cellStyle name="20% - Accent3 3 3 2 6 2" xfId="31246" xr:uid="{1E9A6BAC-DD69-4B27-9A51-A646D7887D40}"/>
    <cellStyle name="20% - Accent3 3 3 2 7" xfId="31503" xr:uid="{CFA309A7-02C0-4092-8825-4EFAB39CC5FC}"/>
    <cellStyle name="20% - Accent3 3 3 3" xfId="26257" xr:uid="{CA938A18-8072-4F4C-9E8B-1A65DF6872E6}"/>
    <cellStyle name="20% - Accent3 3 3 3 2" xfId="31831" xr:uid="{5F0E2864-2BF6-4D1A-B1CF-5579AE863584}"/>
    <cellStyle name="20% - Accent3 3 3 3 2 2" xfId="28651" xr:uid="{6773C955-66FF-4477-AD77-F5536F0E7173}"/>
    <cellStyle name="20% - Accent3 3 3 3 2 2 2" xfId="9890" xr:uid="{036733D9-C8AD-4996-9EC6-33B44BA82D44}"/>
    <cellStyle name="20% - Accent3 3 3 3 2 2 2 2" xfId="25492" xr:uid="{9A130B79-BA35-4340-94AF-42568A3C95EE}"/>
    <cellStyle name="20% - Accent3 3 3 3 2 2 2 2 2" xfId="31938" xr:uid="{8344BDA7-5231-441D-BD27-60896DC5F5B9}"/>
    <cellStyle name="20% - Accent3 3 3 3 2 2 2 3" xfId="31941" xr:uid="{64782E0C-0785-4929-AFCC-3BB8C1344DA6}"/>
    <cellStyle name="20% - Accent3 3 3 3 2 2 3" xfId="26495" xr:uid="{3936F016-C242-4E61-9492-E6C184B22D92}"/>
    <cellStyle name="20% - Accent3 3 3 3 2 2 3 2" xfId="26256" xr:uid="{B70199AD-E764-4FDF-BAE7-465C0C8546FF}"/>
    <cellStyle name="20% - Accent3 3 3 3 2 2 4" xfId="26197" xr:uid="{4B4EEA0E-2718-4EFD-BF7E-6C01C272DC37}"/>
    <cellStyle name="20% - Accent3 3 3 3 2 3" xfId="24157" xr:uid="{0D73E222-CCD4-4128-839D-9D7492BF42FA}"/>
    <cellStyle name="20% - Accent3 3 3 3 2 3 2" xfId="26451" xr:uid="{2822960C-EC10-44F4-8DFB-074C7010462F}"/>
    <cellStyle name="20% - Accent3 3 3 3 2 3 2 2" xfId="26013" xr:uid="{30F4991A-2B38-4A09-88FD-4EA0BE43BCE4}"/>
    <cellStyle name="20% - Accent3 3 3 3 2 3 3" xfId="26447" xr:uid="{DF5FC6F0-2FB7-46C9-8C14-40CD3E71A0A6}"/>
    <cellStyle name="20% - Accent3 3 3 3 2 4" xfId="6803" xr:uid="{50BCED26-2457-455D-B10B-2F0BDBE10ED8}"/>
    <cellStyle name="20% - Accent3 3 3 3 2 4 2" xfId="26421" xr:uid="{76A6A1D5-1C38-4CFA-899D-5158A494D85C}"/>
    <cellStyle name="20% - Accent3 3 3 3 2 5" xfId="26009" xr:uid="{BB723A79-3FEE-41BD-94EE-23CC285513DE}"/>
    <cellStyle name="20% - Accent3 3 3 3 3" xfId="26008" xr:uid="{1C82F86E-52B2-447A-9BEA-BBF365B3FED9}"/>
    <cellStyle name="20% - Accent3 3 3 3 3 2" xfId="5613" xr:uid="{0253C045-05A0-4BE6-9502-E896FBF7419C}"/>
    <cellStyle name="20% - Accent3 3 3 3 3 2 2" xfId="26790" xr:uid="{AB85BA4A-BC1D-42FA-B32C-AAAE325FE4BE}"/>
    <cellStyle name="20% - Accent3 3 3 3 3 2 2 2" xfId="26005" xr:uid="{9A6848C0-9E08-4664-9778-F8CF64A852E6}"/>
    <cellStyle name="20% - Accent3 3 3 3 3 2 3" xfId="13488" xr:uid="{040CD669-319A-4EB3-AA63-51178B56C88A}"/>
    <cellStyle name="20% - Accent3 3 3 3 3 3" xfId="5611" xr:uid="{BDD82AF8-D803-4614-B0E4-F5E78073F207}"/>
    <cellStyle name="20% - Accent3 3 3 3 3 3 2" xfId="29540" xr:uid="{725A78C7-FF3A-4F80-A7FD-1B785FFF11A6}"/>
    <cellStyle name="20% - Accent3 3 3 3 3 4" xfId="20795" xr:uid="{86FE6E4E-0806-4C55-8461-1A7B16CA79AD}"/>
    <cellStyle name="20% - Accent3 3 3 3 4" xfId="26000" xr:uid="{91445F29-4370-4B07-AAEC-38B135D923C1}"/>
    <cellStyle name="20% - Accent3 3 3 3 4 2" xfId="6750" xr:uid="{FF5E2379-AF27-4318-B8E5-9E277BB67D57}"/>
    <cellStyle name="20% - Accent3 3 3 3 4 2 2" xfId="26697" xr:uid="{4528561D-BE3B-4B5A-8A7B-82DC79E6A98A}"/>
    <cellStyle name="20% - Accent3 3 3 3 4 3" xfId="25999" xr:uid="{B027EFD7-C0A3-448D-B2B4-0F94938B13B5}"/>
    <cellStyle name="20% - Accent3 3 3 3 5" xfId="25992" xr:uid="{0251A719-3C49-496E-948F-FBD74C055BDB}"/>
    <cellStyle name="20% - Accent3 3 3 3 5 2" xfId="25991" xr:uid="{D398BA15-7C29-4A45-9C14-FE547324D4E7}"/>
    <cellStyle name="20% - Accent3 3 3 3 6" xfId="31434" xr:uid="{C2BFD943-A633-4F47-A083-A9CBFF37675B}"/>
    <cellStyle name="20% - Accent3 3 3 4" xfId="33441" xr:uid="{083C1A4B-458E-438B-93FC-E320E20D5A59}"/>
    <cellStyle name="20% - Accent3 3 3 4 2" xfId="25990" xr:uid="{021CF2E2-4F7C-47D5-81EF-33DF2A4A19A6}"/>
    <cellStyle name="20% - Accent3 3 3 4 2 2" xfId="24126" xr:uid="{BEDFF3B0-F8FD-4354-AFCD-4D9CC9A7F3D2}"/>
    <cellStyle name="20% - Accent3 3 3 4 2 2 2" xfId="25989" xr:uid="{6537CDF4-C25C-4A93-9548-0474EC9559CF}"/>
    <cellStyle name="20% - Accent3 3 3 4 2 2 2 2" xfId="8785" xr:uid="{B06FC3CE-3EF5-49A0-BDDB-999656126A79}"/>
    <cellStyle name="20% - Accent3 3 3 4 2 2 3" xfId="24334" xr:uid="{EA4A4E70-04BA-4B1D-BAAA-765C6FF04580}"/>
    <cellStyle name="20% - Accent3 3 3 4 2 3" xfId="24119" xr:uid="{5546C9F6-DFEA-4EA7-BAAE-64B3618D49F4}"/>
    <cellStyle name="20% - Accent3 3 3 4 2 3 2" xfId="25988" xr:uid="{3D81CE1B-BF06-45E9-A968-C44C2A8FA0FB}"/>
    <cellStyle name="20% - Accent3 3 3 4 2 4" xfId="30779" xr:uid="{1474F30F-F3C6-40A1-B13E-CA5CBC03D9FA}"/>
    <cellStyle name="20% - Accent3 3 3 4 3" xfId="25978" xr:uid="{B8B5165B-48C1-455F-BB1A-A2B315DADB68}"/>
    <cellStyle name="20% - Accent3 3 3 4 3 2" xfId="6560" xr:uid="{DFF4AD95-D33F-42E5-B47E-B26BBF7A22F3}"/>
    <cellStyle name="20% - Accent3 3 3 4 3 2 2" xfId="26548" xr:uid="{C3AA1088-9660-4375-8834-30CD7A363E7C}"/>
    <cellStyle name="20% - Accent3 3 3 4 3 3" xfId="28971" xr:uid="{5A9BE40A-BB16-481F-B8F3-9249A846D65A}"/>
    <cellStyle name="20% - Accent3 3 3 4 4" xfId="25971" xr:uid="{9DE2999F-C2B8-49D0-A326-BC1E81FEDBDE}"/>
    <cellStyle name="20% - Accent3 3 3 4 4 2" xfId="32912" xr:uid="{089E6209-ABB1-47D4-9C77-C76C7714C48D}"/>
    <cellStyle name="20% - Accent3 3 3 4 5" xfId="31580" xr:uid="{18DDD3A1-1F20-42D5-92BA-57E7361BCA73}"/>
    <cellStyle name="20% - Accent3 3 3 5" xfId="13379" xr:uid="{AEB59179-D7BB-4802-BF2E-3F50C059CF19}"/>
    <cellStyle name="20% - Accent3 3 3 5 2" xfId="25970" xr:uid="{CB0CA6CB-B9FE-41AA-AD2B-E2D8863AA8D2}"/>
    <cellStyle name="20% - Accent3 3 3 5 2 2" xfId="21861" xr:uid="{57A83562-5353-479A-8CD5-DF709ECA67AB}"/>
    <cellStyle name="20% - Accent3 3 3 5 2 2 2" xfId="17511" xr:uid="{67378A5B-5A1E-4D64-A5E4-715736579A6D}"/>
    <cellStyle name="20% - Accent3 3 3 5 2 3" xfId="23186" xr:uid="{A247F895-3679-49BE-81AF-0C593CCADC43}"/>
    <cellStyle name="20% - Accent3 3 3 5 3" xfId="25958" xr:uid="{439FC021-1152-478B-8E5B-963C3400F34B}"/>
    <cellStyle name="20% - Accent3 3 3 5 3 2" xfId="21854" xr:uid="{D17C1A7F-A3F3-4C60-9FB3-96EC3722A44B}"/>
    <cellStyle name="20% - Accent3 3 3 5 4" xfId="25950" xr:uid="{3A184380-651A-4BE8-A560-B79CB0DF85FC}"/>
    <cellStyle name="20% - Accent3 3 3 6" xfId="27410" xr:uid="{ED521EEB-AD5C-4415-B22D-C8E5E8CE4E0E}"/>
    <cellStyle name="20% - Accent3 3 3 6 2" xfId="25945" xr:uid="{13621F60-EC51-4592-BEDA-95B548671C02}"/>
    <cellStyle name="20% - Accent3 3 3 6 2 2" xfId="21842" xr:uid="{288E7A83-8CF5-4ED4-8C4F-781931959CA3}"/>
    <cellStyle name="20% - Accent3 3 3 6 3" xfId="25939" xr:uid="{5D7AAC1D-DF41-4F0B-9AE4-C81CBA0DFA68}"/>
    <cellStyle name="20% - Accent3 3 3 7" xfId="25938" xr:uid="{80386DDC-8CC4-4745-950F-BF9CC34D72F7}"/>
    <cellStyle name="20% - Accent3 3 3 7 2" xfId="25933" xr:uid="{C1245DB4-E3EC-41C8-9D66-1E8F970DD905}"/>
    <cellStyle name="20% - Accent3 3 3 8" xfId="25931" xr:uid="{A108FCF9-E448-4DBD-90A6-A8B898CB41D9}"/>
    <cellStyle name="20% - Accent3 3 3 9" xfId="34552" xr:uid="{A984C530-D423-4811-A668-70571AA53A96}"/>
    <cellStyle name="20% - Accent3 3 4" xfId="31820" xr:uid="{DD009063-E22A-445A-9859-8CEED08101A6}"/>
    <cellStyle name="20% - Accent3 3 4 2" xfId="27255" xr:uid="{13A68882-D5E2-45F5-9DFB-45A469E850E2}"/>
    <cellStyle name="20% - Accent3 3 4 2 2" xfId="31805" xr:uid="{A729ECF7-43F1-4554-B234-359BECB9B705}"/>
    <cellStyle name="20% - Accent3 3 4 2 2 2" xfId="33797" xr:uid="{DEEB0322-D7F4-4BA6-AC5F-1E6AC7B54BD5}"/>
    <cellStyle name="20% - Accent3 3 4 2 2 2 2" xfId="17125" xr:uid="{BE75F379-5C4F-465D-A49F-BF54BFD5F18F}"/>
    <cellStyle name="20% - Accent3 3 4 2 2 2 2 2" xfId="8437" xr:uid="{E273EFA7-4166-4F3F-A621-6B71B59A83A1}"/>
    <cellStyle name="20% - Accent3 3 4 2 2 2 2 2 2" xfId="32872" xr:uid="{C781B649-D54E-4BCA-A3C8-9D6668590A2D}"/>
    <cellStyle name="20% - Accent3 3 4 2 2 2 2 3" xfId="8433" xr:uid="{4CA936FE-0A56-41ED-AB37-55A3FF107913}"/>
    <cellStyle name="20% - Accent3 3 4 2 2 2 3" xfId="18658" xr:uid="{137BFD6C-F10B-4BA6-B09B-4FE784DAFF93}"/>
    <cellStyle name="20% - Accent3 3 4 2 2 2 3 2" xfId="8427" xr:uid="{2D75D01C-5FEE-4C66-8909-C34A38F25453}"/>
    <cellStyle name="20% - Accent3 3 4 2 2 2 4" xfId="14150" xr:uid="{642051A8-E0FD-4782-BBFB-01FF1A272AB9}"/>
    <cellStyle name="20% - Accent3 3 4 2 2 3" xfId="25918" xr:uid="{3A942B66-D6B8-48B7-A067-995CEBEC9AAA}"/>
    <cellStyle name="20% - Accent3 3 4 2 2 3 2" xfId="13527" xr:uid="{E56998A4-B896-442C-9927-F1B7FA30CA71}"/>
    <cellStyle name="20% - Accent3 3 4 2 2 3 2 2" xfId="8170" xr:uid="{457899B3-2787-4FC2-95C3-A10B6E4A36BE}"/>
    <cellStyle name="20% - Accent3 3 4 2 2 3 3" xfId="33293" xr:uid="{D2E4F7F6-7004-4065-9D5A-9CEA0EABFDA8}"/>
    <cellStyle name="20% - Accent3 3 4 2 2 4" xfId="9461" xr:uid="{427D51A2-799F-4774-B0A3-958251FCFEE1}"/>
    <cellStyle name="20% - Accent3 3 4 2 2 4 2" xfId="25907" xr:uid="{2F284D33-29A9-4C0E-9F5C-A7FB141B9029}"/>
    <cellStyle name="20% - Accent3 3 4 2 2 5" xfId="25904" xr:uid="{300C966D-182E-4899-8212-1A611CFD06B5}"/>
    <cellStyle name="20% - Accent3 3 4 2 3" xfId="27545" xr:uid="{FD97956B-FE71-4378-9A82-D474303E96BE}"/>
    <cellStyle name="20% - Accent3 3 4 2 3 2" xfId="25898" xr:uid="{AE2FCE99-D6A5-4285-AA3C-ED6A40116773}"/>
    <cellStyle name="20% - Accent3 3 4 2 3 2 2" xfId="13517" xr:uid="{8F488B60-2663-4FDC-BA36-76A7BC8CDF19}"/>
    <cellStyle name="20% - Accent3 3 4 2 3 2 2 2" xfId="23550" xr:uid="{C5E9A2A7-385A-403B-83FB-2332AF027F0F}"/>
    <cellStyle name="20% - Accent3 3 4 2 3 2 3" xfId="13332" xr:uid="{4ED565CE-756D-497F-B8E2-CAB9A7827196}"/>
    <cellStyle name="20% - Accent3 3 4 2 3 3" xfId="25886" xr:uid="{12876013-C252-49A2-ADA6-F472CF5C4880}"/>
    <cellStyle name="20% - Accent3 3 4 2 3 3 2" xfId="26023" xr:uid="{AA4F6099-5E00-4A79-ADAE-29F5DD77D927}"/>
    <cellStyle name="20% - Accent3 3 4 2 3 4" xfId="25883" xr:uid="{2F38E244-15E5-4347-95A2-93735860D214}"/>
    <cellStyle name="20% - Accent3 3 4 2 4" xfId="27542" xr:uid="{5CA54263-5C12-4AFF-8C17-E1CC25951545}"/>
    <cellStyle name="20% - Accent3 3 4 2 4 2" xfId="27044" xr:uid="{4D6BB25C-A1DD-4B21-B4EF-AD7BACFF5CC6}"/>
    <cellStyle name="20% - Accent3 3 4 2 4 2 2" xfId="33044" xr:uid="{E6B9B482-3FE6-4BBE-BCD6-C3D25502576A}"/>
    <cellStyle name="20% - Accent3 3 4 2 4 3" xfId="27543" xr:uid="{55016FE7-974A-4629-83E5-CFDA6FDB1725}"/>
    <cellStyle name="20% - Accent3 3 4 2 5" xfId="25879" xr:uid="{A5635043-D370-4464-877F-494F73C10234}"/>
    <cellStyle name="20% - Accent3 3 4 2 5 2" xfId="27521" xr:uid="{C8B8C185-F769-4D3A-A845-05B187045536}"/>
    <cellStyle name="20% - Accent3 3 4 2 6" xfId="31321" xr:uid="{9A81FE02-ECAF-4EBE-8612-42C5025BC164}"/>
    <cellStyle name="20% - Accent3 3 4 3" xfId="33415" xr:uid="{0DEB154C-28D5-4D59-BF37-D723E7E3BC59}"/>
    <cellStyle name="20% - Accent3 3 4 3 2" xfId="26900" xr:uid="{CD7DE8CD-AD79-48D4-8360-5641CB1AD6BC}"/>
    <cellStyle name="20% - Accent3 3 4 3 2 2" xfId="21295" xr:uid="{57AED2FA-04A4-4A47-BFB8-1EEF52156DC7}"/>
    <cellStyle name="20% - Accent3 3 4 3 2 2 2" xfId="10776" xr:uid="{5FC627AE-25F7-406F-90FC-4EFCDC3DE757}"/>
    <cellStyle name="20% - Accent3 3 4 3 2 2 2 2" xfId="6695" xr:uid="{D3683752-82AE-4A5A-9AF6-A5DD28BB1E6F}"/>
    <cellStyle name="20% - Accent3 3 4 3 2 2 3" xfId="10774" xr:uid="{499EB407-BA13-4D26-A886-4C0C77318099}"/>
    <cellStyle name="20% - Accent3 3 4 3 2 3" xfId="23490" xr:uid="{A93A388C-388D-4610-9C92-DCE688262BB6}"/>
    <cellStyle name="20% - Accent3 3 4 3 2 3 2" xfId="10770" xr:uid="{7EA6C2FB-DDCC-4B10-A6EF-82B79809ED18}"/>
    <cellStyle name="20% - Accent3 3 4 3 2 4" xfId="21285" xr:uid="{5311CB38-3BF2-470D-AEC4-DC17B611D3A3}"/>
    <cellStyle name="20% - Accent3 3 4 3 3" xfId="27536" xr:uid="{32A93261-EADA-4157-AF1F-33DCF23BE121}"/>
    <cellStyle name="20% - Accent3 3 4 3 3 2" xfId="6221" xr:uid="{438A8AAC-A721-429E-B07A-6C9B51C8648C}"/>
    <cellStyle name="20% - Accent3 3 4 3 3 2 2" xfId="10767" xr:uid="{B1D121F8-0082-4159-85A3-1878704CFFA8}"/>
    <cellStyle name="20% - Accent3 3 4 3 3 3" xfId="7863" xr:uid="{28EA8BAC-45AB-4C60-A3D7-A33B29B5EE95}"/>
    <cellStyle name="20% - Accent3 3 4 3 4" xfId="26876" xr:uid="{BF393F94-D865-4660-8496-16E38BFDB2C0}"/>
    <cellStyle name="20% - Accent3 3 4 3 4 2" xfId="24014" xr:uid="{BA968269-6D3C-4932-BFB5-186BF2CEDCDF}"/>
    <cellStyle name="20% - Accent3 3 4 3 5" xfId="26872" xr:uid="{9754F534-FC73-46A4-AA79-790718B34F17}"/>
    <cellStyle name="20% - Accent3 3 4 4" xfId="33410" xr:uid="{855DF5BF-C791-4718-BF1C-8DCFD165BDED}"/>
    <cellStyle name="20% - Accent3 3 4 4 2" xfId="26869" xr:uid="{62303467-1993-4104-9C94-D4B212714479}"/>
    <cellStyle name="20% - Accent3 3 4 4 2 2" xfId="23605" xr:uid="{52EF3ECD-2FCE-4994-B2D9-68A7D135FD67}"/>
    <cellStyle name="20% - Accent3 3 4 4 2 2 2" xfId="10759" xr:uid="{DB09D7E6-846F-4C31-A7A3-EA4D73EDAB46}"/>
    <cellStyle name="20% - Accent3 3 4 4 2 3" xfId="23191" xr:uid="{3B156DD5-5564-46EE-A3DB-3074EDB03144}"/>
    <cellStyle name="20% - Accent3 3 4 4 3" xfId="20911" xr:uid="{B1756037-48D0-43AD-A7A7-2936EC2429DA}"/>
    <cellStyle name="20% - Accent3 3 4 4 3 2" xfId="25864" xr:uid="{3BC8308D-A9DA-43DC-9D4C-8F45707AB08B}"/>
    <cellStyle name="20% - Accent3 3 4 4 4" xfId="21001" xr:uid="{E65F049F-5A17-4819-A67C-7635566FEAC3}"/>
    <cellStyle name="20% - Accent3 3 4 5" xfId="26852" xr:uid="{C3CC80DF-E6CB-4FA8-8277-A4B8F61F4835}"/>
    <cellStyle name="20% - Accent3 3 4 5 2" xfId="26847" xr:uid="{F9CC1A7A-7CDF-44E1-BC4C-D4CB7665FCAC}"/>
    <cellStyle name="20% - Accent3 3 4 5 2 2" xfId="25858" xr:uid="{EC34F226-7700-48A0-AF86-D2119427B2D5}"/>
    <cellStyle name="20% - Accent3 3 4 5 3" xfId="20727" xr:uid="{FCEEAAF6-FAE3-43CC-B6DD-13D1389F9066}"/>
    <cellStyle name="20% - Accent3 3 4 6" xfId="24412" xr:uid="{161BFA64-8C01-493B-AC99-A28DCD982BEA}"/>
    <cellStyle name="20% - Accent3 3 4 6 2" xfId="20721" xr:uid="{8BEC123E-0DF1-4D25-917C-0989D3F20ACB}"/>
    <cellStyle name="20% - Accent3 3 4 7" xfId="7986" xr:uid="{82F9E8F0-2D62-4899-AC7E-5EF22379A822}"/>
    <cellStyle name="20% - Accent3 3 4 8" xfId="34773" xr:uid="{3643E403-C369-4F32-9AF9-F3E6C465D449}"/>
    <cellStyle name="20% - Accent3 3 5" xfId="29039" xr:uid="{58D2AD2F-22D9-46ED-9AB0-8216B6886801}"/>
    <cellStyle name="20% - Accent3 3 5 2" xfId="27670" xr:uid="{B70E7286-8B62-45C1-8241-2699050A7D21}"/>
    <cellStyle name="20% - Accent3 3 5 2 2" xfId="12211" xr:uid="{BA885069-06A4-4321-83E5-FBC62D2907CC}"/>
    <cellStyle name="20% - Accent3 3 5 2 2 2" xfId="28324" xr:uid="{BC4A9A1F-EE9E-492D-AA05-D5723853E43B}"/>
    <cellStyle name="20% - Accent3 3 5 2 2 2 2" xfId="13296" xr:uid="{090F37B6-730E-490F-9617-F065327332A4}"/>
    <cellStyle name="20% - Accent3 3 5 2 2 2 2 2" xfId="25842" xr:uid="{5AC92DCE-7360-451A-A8B7-3D94F14777D6}"/>
    <cellStyle name="20% - Accent3 3 5 2 2 2 3" xfId="10356" xr:uid="{8E33472F-31F8-4D37-9FCB-E1325288F913}"/>
    <cellStyle name="20% - Accent3 3 5 2 2 3" xfId="28316" xr:uid="{60C0E090-FB73-4850-AEC5-2CD6A94B0705}"/>
    <cellStyle name="20% - Accent3 3 5 2 2 3 2" xfId="10344" xr:uid="{C8742042-E3BA-4D99-80D6-3D3C36719FEA}"/>
    <cellStyle name="20% - Accent3 3 5 2 2 4" xfId="25837" xr:uid="{AD9CDA41-12F9-4DE4-B321-D061574C65F5}"/>
    <cellStyle name="20% - Accent3 3 5 2 3" xfId="12207" xr:uid="{C34D934D-C269-4FD6-8EAB-F404A4933A03}"/>
    <cellStyle name="20% - Accent3 3 5 2 3 2" xfId="28298" xr:uid="{AD4ECC04-E2B8-4851-9C34-BE85D318F76C}"/>
    <cellStyle name="20% - Accent3 3 5 2 3 2 2" xfId="25833" xr:uid="{7A513DA8-EED3-4A9C-93DF-8C4C017E64A8}"/>
    <cellStyle name="20% - Accent3 3 5 2 3 3" xfId="25826" xr:uid="{AB3C1C5E-F5DC-4AD9-8B2B-6FDBC00D52ED}"/>
    <cellStyle name="20% - Accent3 3 5 2 4" xfId="12204" xr:uid="{1D846C6D-F386-419A-9163-DCCBE0153748}"/>
    <cellStyle name="20% - Accent3 3 5 2 4 2" xfId="26294" xr:uid="{76AF8CF9-E653-490A-B97B-8D70C4B33C1A}"/>
    <cellStyle name="20% - Accent3 3 5 2 5" xfId="25824" xr:uid="{D5EB4149-E874-4FDE-841B-D2B718B9A34D}"/>
    <cellStyle name="20% - Accent3 3 5 3" xfId="33395" xr:uid="{3A77A9ED-70F0-4BFF-980C-9B0B7DC2A917}"/>
    <cellStyle name="20% - Accent3 3 5 3 2" xfId="12202" xr:uid="{BBEAA49E-BF28-4D54-BAA5-33435AC28050}"/>
    <cellStyle name="20% - Accent3 3 5 3 2 2" xfId="22822" xr:uid="{52FCF570-B228-4B06-865B-CA2D7823364A}"/>
    <cellStyle name="20% - Accent3 3 5 3 2 2 2" xfId="9567" xr:uid="{45FE3FF4-6DC0-4E2E-AB28-D06DCC6A7403}"/>
    <cellStyle name="20% - Accent3 3 5 3 2 3" xfId="22811" xr:uid="{B9A222AA-688D-4EC3-A184-33EF76AE12CD}"/>
    <cellStyle name="20% - Accent3 3 5 3 3" xfId="12200" xr:uid="{C25E8C65-D6DB-48BE-BB85-00516DDE97C9}"/>
    <cellStyle name="20% - Accent3 3 5 3 3 2" xfId="25818" xr:uid="{00E63E10-AF55-4755-9332-ED60803F89CD}"/>
    <cellStyle name="20% - Accent3 3 5 3 4" xfId="26801" xr:uid="{20D4359C-AB51-44A1-92AC-8AC4C103BB61}"/>
    <cellStyle name="20% - Accent3 3 5 4" xfId="26797" xr:uid="{AA3AF32D-F9B9-4365-9DDC-6E8AF91804E1}"/>
    <cellStyle name="20% - Accent3 3 5 4 2" xfId="19472" xr:uid="{1950B324-BD42-4529-BAC5-77DBE36F52F7}"/>
    <cellStyle name="20% - Accent3 3 5 4 2 2" xfId="25814" xr:uid="{EB2A8EDE-7311-435B-A275-62F7C3F61DDA}"/>
    <cellStyle name="20% - Accent3 3 5 4 3" xfId="16099" xr:uid="{3C637CFE-E4D6-418C-AA4A-A984AD10FD35}"/>
    <cellStyle name="20% - Accent3 3 5 5" xfId="26788" xr:uid="{50834DD4-ED94-4623-8822-5C95D485CD96}"/>
    <cellStyle name="20% - Accent3 3 5 5 2" xfId="20714" xr:uid="{2365B6D0-D1BD-4DA0-9092-326FC1F2A614}"/>
    <cellStyle name="20% - Accent3 3 5 6" xfId="7982" xr:uid="{E72AE37A-4386-4724-9B09-19D8E78C6724}"/>
    <cellStyle name="20% - Accent3 3 5 7" xfId="34965" xr:uid="{50B0BB97-1A17-44E2-9C74-D7712690FE0F}"/>
    <cellStyle name="20% - Accent3 3 6" xfId="25754" xr:uid="{37BCF1F4-1A01-4677-BF88-6D65BE702E54}"/>
    <cellStyle name="20% - Accent3 3 6 2" xfId="31451" xr:uid="{5D258514-E72A-427C-9B60-C04E251E66D0}"/>
    <cellStyle name="20% - Accent3 3 6 2 2" xfId="12197" xr:uid="{363BF593-1C97-48FD-A75A-E2DA6CD7D868}"/>
    <cellStyle name="20% - Accent3 3 6 2 2 2" xfId="26559" xr:uid="{F509EC20-CF6E-4424-8CF8-27498CFA7875}"/>
    <cellStyle name="20% - Accent3 3 6 2 2 2 2" xfId="8040" xr:uid="{8E0F928B-AA31-4B47-8F6D-12783D401C7F}"/>
    <cellStyle name="20% - Accent3 3 6 2 2 3" xfId="25806" xr:uid="{C57EC44F-87DC-4E1B-AF17-D254049B05F4}"/>
    <cellStyle name="20% - Accent3 3 6 2 3" xfId="12190" xr:uid="{E76CD48D-2A5C-4B3C-B13E-659172B3C45D}"/>
    <cellStyle name="20% - Accent3 3 6 2 3 2" xfId="25799" xr:uid="{210E52EE-9792-4963-947D-263EBCFE2798}"/>
    <cellStyle name="20% - Accent3 3 6 2 4" xfId="25795" xr:uid="{8D2A15FD-9EE0-4CD2-8632-56F760EEE582}"/>
    <cellStyle name="20% - Accent3 3 6 3" xfId="26775" xr:uid="{3C040167-3458-4D97-ABE2-29F3C3350BD6}"/>
    <cellStyle name="20% - Accent3 3 6 3 2" xfId="12187" xr:uid="{05FAE3EB-538C-42F3-99FD-E7E1E5596EA4}"/>
    <cellStyle name="20% - Accent3 3 6 3 2 2" xfId="22730" xr:uid="{EEFF0DD2-FF8A-41B4-8E09-DF51BDFE2BF2}"/>
    <cellStyle name="20% - Accent3 3 6 3 3" xfId="34046" xr:uid="{34AD2594-EE00-4C6A-B1F8-EB453EC05869}"/>
    <cellStyle name="20% - Accent3 3 6 4" xfId="29873" xr:uid="{010BA498-CC81-448C-A9D9-07E3C8EDB2AB}"/>
    <cellStyle name="20% - Accent3 3 6 4 2" xfId="18476" xr:uid="{45CEBA83-7346-4FC8-887C-FA50391AF05C}"/>
    <cellStyle name="20% - Accent3 3 6 5" xfId="29857" xr:uid="{EBFF9FC4-A7F6-4752-BEA8-1AC9268AC881}"/>
    <cellStyle name="20% - Accent3 3 6 6" xfId="35170" xr:uid="{928901C9-09E1-449E-B71B-D3A22EF36845}"/>
    <cellStyle name="20% - Accent3 3 7" xfId="8319" xr:uid="{03C648D1-BBDA-4803-B2EC-0E7D8B2A9ACC}"/>
    <cellStyle name="20% - Accent3 3 7 2" xfId="25794" xr:uid="{D0858E66-1193-435C-AB3D-00501A2B1825}"/>
    <cellStyle name="20% - Accent3 3 7 2 2" xfId="19862" xr:uid="{D34B4FBE-3F71-4C3C-9D34-008EAE298A71}"/>
    <cellStyle name="20% - Accent3 3 7 2 2 2" xfId="25791" xr:uid="{394A78CF-EB48-489F-8252-0FB3053B5534}"/>
    <cellStyle name="20% - Accent3 3 7 2 3" xfId="25787" xr:uid="{E46B9B0E-453D-406A-9ED6-0F7F2C825DA7}"/>
    <cellStyle name="20% - Accent3 3 7 3" xfId="24857" xr:uid="{C57ED223-8D1C-4058-90F8-8CC34B43B7AA}"/>
    <cellStyle name="20% - Accent3 3 7 3 2" xfId="21105" xr:uid="{E03ABD8A-055D-4AEA-AE30-12EC6CBC910D}"/>
    <cellStyle name="20% - Accent3 3 7 4" xfId="24826" xr:uid="{E3153EDD-86E8-491A-A943-AAF557C434AC}"/>
    <cellStyle name="20% - Accent3 3 7 5" xfId="35399" xr:uid="{74C26C72-5EC8-4FCB-ADE1-ECCB58B71B44}"/>
    <cellStyle name="20% - Accent3 3 8" xfId="23058" xr:uid="{C1EA81EA-5473-4E10-AB94-60EE940210E8}"/>
    <cellStyle name="20% - Accent3 3 8 2" xfId="24816" xr:uid="{FDD626A3-3213-41E3-8FA9-0F23BA7BCF31}"/>
    <cellStyle name="20% - Accent3 3 8 2 2" xfId="25782" xr:uid="{D03965BA-B2F9-4A58-9E7E-3BA4D4EBF28F}"/>
    <cellStyle name="20% - Accent3 3 8 3" xfId="26760" xr:uid="{00C2ECCB-AF5E-4CFC-9A75-C0A1D5E899D0}"/>
    <cellStyle name="20% - Accent3 3 8 4" xfId="36271" xr:uid="{94547599-E412-4EE8-9EAB-92FCD4EF6EBE}"/>
    <cellStyle name="20% - Accent3 3 9" xfId="25779" xr:uid="{FBF88B8B-42DC-4D55-8FCB-8F5A0FA114EF}"/>
    <cellStyle name="20% - Accent3 3 9 2" xfId="6688" xr:uid="{AE2D118A-6E77-439A-8A97-C44D730AB465}"/>
    <cellStyle name="20% - Accent3 3 9 3" xfId="36557" xr:uid="{A47FB817-0D6D-47D3-95C4-D7A3975F8345}"/>
    <cellStyle name="20% - Accent3 30" xfId="35896" xr:uid="{DFC2649D-A99A-4E68-92DE-4084BBA522E4}"/>
    <cellStyle name="20% - Accent3 30 2" xfId="37068" xr:uid="{270D62FC-C15C-4ABA-A26E-C8BC5DBC518E}"/>
    <cellStyle name="20% - Accent3 30 3" xfId="37963" xr:uid="{29CB27EF-4812-42E1-9059-082481E3DF7F}"/>
    <cellStyle name="20% - Accent3 31" xfId="35916" xr:uid="{1D3E35ED-3340-4446-8D9E-53DB05801B20}"/>
    <cellStyle name="20% - Accent3 31 2" xfId="37087" xr:uid="{2AFB9769-2CF5-480A-A639-C55249FB817E}"/>
    <cellStyle name="20% - Accent3 31 3" xfId="37983" xr:uid="{B570E8B2-30C0-4CAD-B361-414337C7B5E2}"/>
    <cellStyle name="20% - Accent3 32" xfId="35936" xr:uid="{071A5339-A924-4D0A-8B99-E72E9024A5CA}"/>
    <cellStyle name="20% - Accent3 32 2" xfId="37106" xr:uid="{D1A78E26-8D88-4D65-AED0-C911C0C9C5CA}"/>
    <cellStyle name="20% - Accent3 32 3" xfId="38003" xr:uid="{3A94B806-1EC3-4FAD-A0D4-BADD2F0C09B3}"/>
    <cellStyle name="20% - Accent3 33" xfId="35956" xr:uid="{A383F545-9998-4806-B61E-D408AAF87B58}"/>
    <cellStyle name="20% - Accent3 33 2" xfId="37125" xr:uid="{BBB9321B-E0D7-45DB-9805-F7AA36ECA2B8}"/>
    <cellStyle name="20% - Accent3 33 3" xfId="38023" xr:uid="{3F7B8FD7-E070-4218-A4F8-A66BB0F85DD2}"/>
    <cellStyle name="20% - Accent3 34" xfId="35976" xr:uid="{272DAFCF-4471-4489-BEF2-579B795BF56A}"/>
    <cellStyle name="20% - Accent3 34 2" xfId="37145" xr:uid="{9748E2C3-B33A-4CDA-AA72-08282403A88E}"/>
    <cellStyle name="20% - Accent3 34 3" xfId="38043" xr:uid="{60B12679-DB09-4BC6-A8DE-0144CEC0B04A}"/>
    <cellStyle name="20% - Accent3 35" xfId="35996" xr:uid="{599C9FD7-E679-48F1-8F47-8C244A43CF32}"/>
    <cellStyle name="20% - Accent3 35 2" xfId="37165" xr:uid="{94F1316B-795F-4C89-AAC3-F33F8E15781A}"/>
    <cellStyle name="20% - Accent3 35 3" xfId="38063" xr:uid="{9034CD82-C420-4B78-81FC-B52E94EB3D88}"/>
    <cellStyle name="20% - Accent3 36" xfId="36016" xr:uid="{4649D9B7-5001-4886-B163-3B7E86376A9A}"/>
    <cellStyle name="20% - Accent3 36 2" xfId="37185" xr:uid="{C970C3E1-A174-4AA4-A218-79BB678884F5}"/>
    <cellStyle name="20% - Accent3 36 3" xfId="38083" xr:uid="{4FD5A6DE-6EAC-48EB-AEBC-1334F408CD43}"/>
    <cellStyle name="20% - Accent3 37" xfId="36036" xr:uid="{8ED01A1B-1952-48ED-B205-3D781E1C33D4}"/>
    <cellStyle name="20% - Accent3 37 2" xfId="37205" xr:uid="{0A623CEB-331A-44CD-8070-AE1BA2C7D464}"/>
    <cellStyle name="20% - Accent3 37 3" xfId="38103" xr:uid="{A9F1FDE7-5FA5-40A1-997E-91B923A00886}"/>
    <cellStyle name="20% - Accent3 38" xfId="36056" xr:uid="{B546DCC3-2471-4FE2-8156-E9FE29CD728F}"/>
    <cellStyle name="20% - Accent3 38 2" xfId="37225" xr:uid="{F2A5C8C8-9385-477C-809F-441C4F6AC255}"/>
    <cellStyle name="20% - Accent3 38 3" xfId="38123" xr:uid="{D82AA315-FCB2-4B8A-BFCF-C7D219B745FE}"/>
    <cellStyle name="20% - Accent3 39" xfId="36076" xr:uid="{416723C4-3990-448D-B0CD-BE264335E977}"/>
    <cellStyle name="20% - Accent3 39 2" xfId="37245" xr:uid="{1F4A6BC3-9509-4A89-825A-364D3E925FC1}"/>
    <cellStyle name="20% - Accent3 39 3" xfId="38143" xr:uid="{A6E0FADE-7D88-482E-BF9D-F9D218ED621D}"/>
    <cellStyle name="20% - Accent3 4" xfId="122" xr:uid="{D9D247C8-3548-4B8C-980B-BF151D5F99FA}"/>
    <cellStyle name="20% - Accent3 4 10" xfId="34476" xr:uid="{3BAA417B-F45E-487D-A722-13F9AA0CDCA5}"/>
    <cellStyle name="20% - Accent3 4 11" xfId="5962" xr:uid="{0D68643D-5C14-4AEE-8EDE-35F8DD93F883}"/>
    <cellStyle name="20% - Accent3 4 2" xfId="245" xr:uid="{C37C01E0-3B7D-49C7-80B8-9C9E3FE87E28}"/>
    <cellStyle name="20% - Accent3 4 2 10" xfId="32959" xr:uid="{8C2AEAE3-5789-48F5-9B98-1C8A05BECDEE}"/>
    <cellStyle name="20% - Accent3 4 2 2" xfId="32228" xr:uid="{7F38D42A-5F08-48F6-8BDA-762E2439E9C4}"/>
    <cellStyle name="20% - Accent3 4 2 2 2" xfId="32382" xr:uid="{3543896F-2B54-4407-A2BF-9EDA2A6012AD}"/>
    <cellStyle name="20% - Accent3 4 2 2 2 2" xfId="21811" xr:uid="{A49BE0AA-FD1E-4E5B-8F4B-56A2507C4399}"/>
    <cellStyle name="20% - Accent3 4 2 2 2 2 2" xfId="16602" xr:uid="{8C94CED4-DDCD-45A4-A151-99B8E2973438}"/>
    <cellStyle name="20% - Accent3 4 2 2 2 2 2 2" xfId="9617" xr:uid="{F6D8FC60-DC17-4E6E-B96A-46CA7B8B8582}"/>
    <cellStyle name="20% - Accent3 4 2 2 2 2 2 2 2" xfId="30691" xr:uid="{DCA0EFEB-9FBB-4C16-BA28-02A231DCD413}"/>
    <cellStyle name="20% - Accent3 4 2 2 2 2 2 2 2 2" xfId="26958" xr:uid="{2EE529F0-86EA-4C28-B254-E6252A76D23F}"/>
    <cellStyle name="20% - Accent3 4 2 2 2 2 2 2 3" xfId="32235" xr:uid="{FD350174-86DE-4D8B-AFA0-E33C17D94CC1}"/>
    <cellStyle name="20% - Accent3 4 2 2 2 2 2 3" xfId="26359" xr:uid="{9DC3A05E-ECB5-436C-AE8E-57B7D05CF3D6}"/>
    <cellStyle name="20% - Accent3 4 2 2 2 2 2 3 2" xfId="30683" xr:uid="{3A995228-0507-4003-A461-3F991AB215C5}"/>
    <cellStyle name="20% - Accent3 4 2 2 2 2 2 4" xfId="25771" xr:uid="{CD3ABC68-DEEC-40A5-88F3-DBB3C33BE3EF}"/>
    <cellStyle name="20% - Accent3 4 2 2 2 2 3" xfId="27154" xr:uid="{33FAD165-7505-46FE-9A2C-A534905A92AD}"/>
    <cellStyle name="20% - Accent3 4 2 2 2 2 3 2" xfId="25768" xr:uid="{7DE87C33-AAF2-403E-BC87-C5F09AC3AFF7}"/>
    <cellStyle name="20% - Accent3 4 2 2 2 2 3 2 2" xfId="7433" xr:uid="{00319BF4-5759-43C6-89C3-A10A22564362}"/>
    <cellStyle name="20% - Accent3 4 2 2 2 2 3 3" xfId="24518" xr:uid="{223B9046-9102-442C-9DB9-16203ADB44D2}"/>
    <cellStyle name="20% - Accent3 4 2 2 2 2 4" xfId="30983" xr:uid="{DDCEE58A-5627-480C-8B3F-233A8BC66340}"/>
    <cellStyle name="20% - Accent3 4 2 2 2 2 4 2" xfId="23073" xr:uid="{6D034A59-E436-4ACA-B336-D13B3CADD5CF}"/>
    <cellStyle name="20% - Accent3 4 2 2 2 2 5" xfId="22035" xr:uid="{E39AA0CA-1523-42B3-B9DB-447E6A04CB45}"/>
    <cellStyle name="20% - Accent3 4 2 2 2 3" xfId="27146" xr:uid="{7074CA53-CE0F-4D6A-9CA9-189D6BF92ABF}"/>
    <cellStyle name="20% - Accent3 4 2 2 2 3 2" xfId="7860" xr:uid="{5A734529-C8F3-4ECC-B7D5-A926E52188ED}"/>
    <cellStyle name="20% - Accent3 4 2 2 2 3 2 2" xfId="25764" xr:uid="{85C436E6-B7E3-4103-9CE5-D5B35262EBA1}"/>
    <cellStyle name="20% - Accent3 4 2 2 2 3 2 2 2" xfId="22395" xr:uid="{FD2E2A0C-0128-4BCB-A0D1-D3FEFB704B3B}"/>
    <cellStyle name="20% - Accent3 4 2 2 2 3 2 3" xfId="25763" xr:uid="{2CD28325-703B-48AA-A93D-A85D618C9A12}"/>
    <cellStyle name="20% - Accent3 4 2 2 2 3 3" xfId="25093" xr:uid="{9AF2251C-2F5F-4573-A20F-0DB6AEC14B73}"/>
    <cellStyle name="20% - Accent3 4 2 2 2 3 3 2" xfId="25755" xr:uid="{1BB916E2-C95F-4BA8-A553-B75755BAE635}"/>
    <cellStyle name="20% - Accent3 4 2 2 2 3 4" xfId="29804" xr:uid="{D22027F9-13C2-43D6-B7D8-3D901F91F5C6}"/>
    <cellStyle name="20% - Accent3 4 2 2 2 4" xfId="21110" xr:uid="{AF10863F-8C74-441F-86EE-57CD479CCA61}"/>
    <cellStyle name="20% - Accent3 4 2 2 2 4 2" xfId="7857" xr:uid="{88B2717B-78BA-4E72-A7F6-2A56F7BA86A6}"/>
    <cellStyle name="20% - Accent3 4 2 2 2 4 2 2" xfId="25749" xr:uid="{AF82797B-B015-49B4-A5B1-D6D7F4861494}"/>
    <cellStyle name="20% - Accent3 4 2 2 2 4 3" xfId="25747" xr:uid="{036EA9C7-87C9-46D2-90E9-C6DF25AD372F}"/>
    <cellStyle name="20% - Accent3 4 2 2 2 5" xfId="26178" xr:uid="{EC4F4982-7566-47CB-A41C-C35CFFB48EF3}"/>
    <cellStyle name="20% - Accent3 4 2 2 2 5 2" xfId="6552" xr:uid="{0561A162-C1ED-48BA-9632-B251E4D9BC2B}"/>
    <cellStyle name="20% - Accent3 4 2 2 2 6" xfId="25739" xr:uid="{6F1EA3B6-FC76-42AD-9FBE-55D6C6110FA0}"/>
    <cellStyle name="20% - Accent3 4 2 2 3" xfId="28082" xr:uid="{18272CC9-E879-4D92-A596-E1E361EC2018}"/>
    <cellStyle name="20% - Accent3 4 2 2 3 2" xfId="27140" xr:uid="{81BEC922-0DB2-47D5-A8AE-157486D4DF5E}"/>
    <cellStyle name="20% - Accent3 4 2 2 3 2 2" xfId="27133" xr:uid="{6283EFC2-FFD9-41B6-96C6-3BC7C1ADA45F}"/>
    <cellStyle name="20% - Accent3 4 2 2 3 2 2 2" xfId="20329" xr:uid="{AAE90D80-E046-4ECE-B3E2-46DAC49E085F}"/>
    <cellStyle name="20% - Accent3 4 2 2 3 2 2 2 2" xfId="30559" xr:uid="{2676ED1A-3757-4269-9F6A-C3D4F3045906}"/>
    <cellStyle name="20% - Accent3 4 2 2 3 2 2 3" xfId="34071" xr:uid="{54DFF220-EE02-4449-BD81-DC4D834A2769}"/>
    <cellStyle name="20% - Accent3 4 2 2 3 2 3" xfId="32277" xr:uid="{D0679D25-B843-4A9E-A440-97CAD987E9AE}"/>
    <cellStyle name="20% - Accent3 4 2 2 3 2 3 2" xfId="25736" xr:uid="{CA8380FC-D0A1-41E6-B049-424515C99D5B}"/>
    <cellStyle name="20% - Accent3 4 2 2 3 2 4" xfId="23051" xr:uid="{016EC169-DF6D-4C18-AF4F-AC7EA4FBD8EC}"/>
    <cellStyle name="20% - Accent3 4 2 2 3 3" xfId="27126" xr:uid="{A9FA0043-238A-4D30-9904-EEC4ADA0F081}"/>
    <cellStyle name="20% - Accent3 4 2 2 3 3 2" xfId="7851" xr:uid="{85596C44-652D-4A9B-8668-0B6E5A12EA6F}"/>
    <cellStyle name="20% - Accent3 4 2 2 3 3 2 2" xfId="25731" xr:uid="{D6E10C1C-7EC9-4624-99C4-558EBA8DF000}"/>
    <cellStyle name="20% - Accent3 4 2 2 3 3 3" xfId="23722" xr:uid="{100750FB-974E-4865-A70C-5C68120B224E}"/>
    <cellStyle name="20% - Accent3 4 2 2 3 4" xfId="25728" xr:uid="{E4F2844E-237A-41FE-B816-8E799062B517}"/>
    <cellStyle name="20% - Accent3 4 2 2 3 4 2" xfId="22946" xr:uid="{5213481A-DBE1-4450-BFAB-969CA2320C61}"/>
    <cellStyle name="20% - Accent3 4 2 2 3 5" xfId="25723" xr:uid="{249C93E2-756F-4A0F-B44B-916EF7EA1547}"/>
    <cellStyle name="20% - Accent3 4 2 2 4" xfId="14600" xr:uid="{BC65DC5D-76F7-4291-B76B-96F5148D2C0B}"/>
    <cellStyle name="20% - Accent3 4 2 2 4 2" xfId="14778" xr:uid="{28B7D1CB-B255-44CF-84D1-3BF500D581AA}"/>
    <cellStyle name="20% - Accent3 4 2 2 4 2 2" xfId="14773" xr:uid="{29406317-3547-486F-BD55-169AD73E128F}"/>
    <cellStyle name="20% - Accent3 4 2 2 4 2 2 2" xfId="25715" xr:uid="{F9B67C4E-47EF-43C1-BB28-DEE8C1AA5775}"/>
    <cellStyle name="20% - Accent3 4 2 2 4 2 3" xfId="24072" xr:uid="{FBE5EE6C-DB04-4641-BA26-A63807478809}"/>
    <cellStyle name="20% - Accent3 4 2 2 4 3" xfId="14770" xr:uid="{FDCE8ED4-5CD7-4EBC-B2A3-8B6DD256400D}"/>
    <cellStyle name="20% - Accent3 4 2 2 4 3 2" xfId="25712" xr:uid="{9620EE7D-53A1-483D-A82A-1C4277C1583B}"/>
    <cellStyle name="20% - Accent3 4 2 2 4 4" xfId="25707" xr:uid="{893F4F48-C71D-40C6-B5B9-98067D331FB0}"/>
    <cellStyle name="20% - Accent3 4 2 2 5" xfId="25706" xr:uid="{2F81BF94-A969-4CD2-996B-8900332C4F98}"/>
    <cellStyle name="20% - Accent3 4 2 2 5 2" xfId="14757" xr:uid="{F6D20034-477E-4762-9846-1E11278BB99D}"/>
    <cellStyle name="20% - Accent3 4 2 2 5 2 2" xfId="24104" xr:uid="{0328F907-1E5B-4E67-99E9-0236A23188B0}"/>
    <cellStyle name="20% - Accent3 4 2 2 5 3" xfId="22429" xr:uid="{5EE8AB2C-D983-4020-875E-D7C3A5EA7D48}"/>
    <cellStyle name="20% - Accent3 4 2 2 6" xfId="24193" xr:uid="{B16A14CF-83FA-4CE7-95C6-8362569689CF}"/>
    <cellStyle name="20% - Accent3 4 2 2 6 2" xfId="22422" xr:uid="{6197A383-C5B5-4A06-BC1E-CB3C504167CE}"/>
    <cellStyle name="20% - Accent3 4 2 2 7" xfId="21897" xr:uid="{EFAC602E-06DE-4095-AB3B-53670021920A}"/>
    <cellStyle name="20% - Accent3 4 2 3" xfId="34294" xr:uid="{C32AD1B9-3B46-4EA6-9BC9-F7E45C4511FC}"/>
    <cellStyle name="20% - Accent3 4 2 3 2" xfId="33375" xr:uid="{C88BDE93-B790-4342-B54B-4AF4B58C5EA7}"/>
    <cellStyle name="20% - Accent3 4 2 3 2 2" xfId="26929" xr:uid="{69C5C812-670F-4AF6-AB71-47A330106309}"/>
    <cellStyle name="20% - Accent3 4 2 3 2 2 2" xfId="26925" xr:uid="{E1FD4045-9843-41B5-9A7E-4BD675BF1165}"/>
    <cellStyle name="20% - Accent3 4 2 3 2 2 2 2" xfId="25702" xr:uid="{7EA9D939-4270-4618-B29C-2364473B3F92}"/>
    <cellStyle name="20% - Accent3 4 2 3 2 2 2 2 2" xfId="30134" xr:uid="{DCE3ADF0-3481-4220-A979-A87948A3B3BA}"/>
    <cellStyle name="20% - Accent3 4 2 3 2 2 2 3" xfId="25701" xr:uid="{DC1E5B76-0A1F-4B54-BC61-D4A130F80966}"/>
    <cellStyle name="20% - Accent3 4 2 3 2 2 3" xfId="25698" xr:uid="{12F00696-CB43-4290-9F08-4ACE62597750}"/>
    <cellStyle name="20% - Accent3 4 2 3 2 2 3 2" xfId="25697" xr:uid="{754A2F53-321E-4E9B-B33E-67490AE8C8E4}"/>
    <cellStyle name="20% - Accent3 4 2 3 2 2 4" xfId="23024" xr:uid="{D4593D89-FCC1-483F-9A7A-AD508136560E}"/>
    <cellStyle name="20% - Accent3 4 2 3 2 3" xfId="24010" xr:uid="{B02B62EA-209F-446C-87F0-582863AA689E}"/>
    <cellStyle name="20% - Accent3 4 2 3 2 3 2" xfId="20307" xr:uid="{69F621FC-F090-4B66-B67F-436672C898CA}"/>
    <cellStyle name="20% - Accent3 4 2 3 2 3 2 2" xfId="25694" xr:uid="{A010EFDC-B6C6-41E8-9066-5B10B053083E}"/>
    <cellStyle name="20% - Accent3 4 2 3 2 3 3" xfId="25692" xr:uid="{224016B5-4E91-4176-890D-6FFDACAE44E3}"/>
    <cellStyle name="20% - Accent3 4 2 3 2 4" xfId="24005" xr:uid="{8581EC77-9466-44CC-8D04-40A07833CBEC}"/>
    <cellStyle name="20% - Accent3 4 2 3 2 4 2" xfId="25687" xr:uid="{9A5B30E8-8D7E-4A00-98A7-93A6D60F154B}"/>
    <cellStyle name="20% - Accent3 4 2 3 2 5" xfId="25685" xr:uid="{F776133A-BD56-4F38-8AB9-41DD8E9A864D}"/>
    <cellStyle name="20% - Accent3 4 2 3 3" xfId="25680" xr:uid="{0B881EFB-83F7-4D8B-8A9E-07764CF455E6}"/>
    <cellStyle name="20% - Accent3 4 2 3 3 2" xfId="9261" xr:uid="{B162B68B-7389-4DE2-9CED-FF1B34DCEC42}"/>
    <cellStyle name="20% - Accent3 4 2 3 3 2 2" xfId="25679" xr:uid="{2D7A96E8-3B40-4FB7-BF60-DF98821A092F}"/>
    <cellStyle name="20% - Accent3 4 2 3 3 2 2 2" xfId="21083" xr:uid="{55111F5D-BFF9-43E4-B6DD-AC20AE8A5F79}"/>
    <cellStyle name="20% - Accent3 4 2 3 3 2 3" xfId="25678" xr:uid="{DB54236C-664F-42CE-B4C3-0EFCC3D9DA1A}"/>
    <cellStyle name="20% - Accent3 4 2 3 3 3" xfId="7407" xr:uid="{5A75F7B6-600F-4F21-9163-B5783AAD24A5}"/>
    <cellStyle name="20% - Accent3 4 2 3 3 3 2" xfId="25671" xr:uid="{5186AA7D-FAAB-4D62-B073-D97F9C205CF5}"/>
    <cellStyle name="20% - Accent3 4 2 3 3 4" xfId="25669" xr:uid="{5916E65F-5684-4D3C-B502-425615A40E6C}"/>
    <cellStyle name="20% - Accent3 4 2 3 4" xfId="25667" xr:uid="{D6BF7030-3469-447C-B53D-0E6F25842439}"/>
    <cellStyle name="20% - Accent3 4 2 3 4 2" xfId="5479" xr:uid="{54CEAEE6-A162-4EDC-8CCD-431111D80817}"/>
    <cellStyle name="20% - Accent3 4 2 3 4 2 2" xfId="25662" xr:uid="{F3D803C1-38E8-4BED-831D-4903B69309F6}"/>
    <cellStyle name="20% - Accent3 4 2 3 4 3" xfId="25660" xr:uid="{51AB08D4-ACBF-41E2-851F-0C0FD5EED7AC}"/>
    <cellStyle name="20% - Accent3 4 2 3 5" xfId="25658" xr:uid="{DF977B61-51D7-410B-B330-B8A51CE367BA}"/>
    <cellStyle name="20% - Accent3 4 2 3 5 2" xfId="22366" xr:uid="{AC68490A-EBAB-4090-B8AB-D93E658FCF6F}"/>
    <cellStyle name="20% - Accent3 4 2 3 6" xfId="33781" xr:uid="{781226E6-40A8-4478-9866-E37F7573798B}"/>
    <cellStyle name="20% - Accent3 4 2 4" xfId="25996" xr:uid="{FEFF6A6A-CD03-4731-A322-3F6D3917DD75}"/>
    <cellStyle name="20% - Accent3 4 2 4 2" xfId="32831" xr:uid="{FD9E5906-CAE3-4217-8410-5926B2CEEC5B}"/>
    <cellStyle name="20% - Accent3 4 2 4 2 2" xfId="23970" xr:uid="{B91227B8-18DF-425D-BA70-C7890B36402D}"/>
    <cellStyle name="20% - Accent3 4 2 4 2 2 2" xfId="25657" xr:uid="{5881964B-11FE-4787-B355-692F46426388}"/>
    <cellStyle name="20% - Accent3 4 2 4 2 2 2 2" xfId="26068" xr:uid="{A9C74795-5546-4AD5-9ACB-9A520D110C0E}"/>
    <cellStyle name="20% - Accent3 4 2 4 2 2 3" xfId="25654" xr:uid="{C9F328A9-030B-4FF2-8551-27702809B44E}"/>
    <cellStyle name="20% - Accent3 4 2 4 2 3" xfId="23963" xr:uid="{BD654D29-24E1-4B2A-A198-8908EBF2FC42}"/>
    <cellStyle name="20% - Accent3 4 2 4 2 3 2" xfId="18219" xr:uid="{A2D9E047-70A4-4823-BE18-2279C413D64E}"/>
    <cellStyle name="20% - Accent3 4 2 4 2 4" xfId="25643" xr:uid="{FC99AAE2-4434-4744-A97C-11106A9F43D6}"/>
    <cellStyle name="20% - Accent3 4 2 4 3" xfId="32827" xr:uid="{E253323D-952B-45BB-8623-5B53A8455932}"/>
    <cellStyle name="20% - Accent3 4 2 4 3 2" xfId="6036" xr:uid="{177CD591-7F16-4C13-8158-C7BAE7E6409F}"/>
    <cellStyle name="20% - Accent3 4 2 4 3 2 2" xfId="25632" xr:uid="{9FE7D5F8-5D88-4702-8FDE-08C76B2806A1}"/>
    <cellStyle name="20% - Accent3 4 2 4 3 3" xfId="25628" xr:uid="{B2010404-A09E-4B30-8D1D-55724140F625}"/>
    <cellStyle name="20% - Accent3 4 2 4 4" xfId="25621" xr:uid="{EE03C811-B582-4161-A299-604DBB537351}"/>
    <cellStyle name="20% - Accent3 4 2 4 4 2" xfId="33713" xr:uid="{EA406A24-D0C1-434D-A668-744F30997EE2}"/>
    <cellStyle name="20% - Accent3 4 2 4 5" xfId="25620" xr:uid="{E392B57D-06A1-46DC-A516-B4FBD8BEE7A6}"/>
    <cellStyle name="20% - Accent3 4 2 5" xfId="21512" xr:uid="{A311ABCB-6D17-4645-8032-B07B4F0D3296}"/>
    <cellStyle name="20% - Accent3 4 2 5 2" xfId="32558" xr:uid="{0B72477D-9D8A-401D-9CB6-3B6BCBBFA219}"/>
    <cellStyle name="20% - Accent3 4 2 5 2 2" xfId="23935" xr:uid="{AF0BDCAF-0DAD-446F-BF68-6F025AE2B39E}"/>
    <cellStyle name="20% - Accent3 4 2 5 2 2 2" xfId="25619" xr:uid="{B579C524-6FE5-405D-ACD1-490C04D31117}"/>
    <cellStyle name="20% - Accent3 4 2 5 2 3" xfId="31852" xr:uid="{993197FD-A7A6-4472-A210-741E394A408B}"/>
    <cellStyle name="20% - Accent3 4 2 5 3" xfId="34292" xr:uid="{9137A77C-7F3F-4F02-AD5E-A190A31D3299}"/>
    <cellStyle name="20% - Accent3 4 2 5 3 2" xfId="25615" xr:uid="{102649BA-7F9D-46AD-9CAE-3B35F53C38FD}"/>
    <cellStyle name="20% - Accent3 4 2 5 4" xfId="23497" xr:uid="{FA8C33D2-206C-43D3-8C35-A4F97F0F0B7C}"/>
    <cellStyle name="20% - Accent3 4 2 6" xfId="21501" xr:uid="{9CE2D878-551C-4E6E-9FE0-B3DA1317D60C}"/>
    <cellStyle name="20% - Accent3 4 2 6 2" xfId="32934" xr:uid="{D9A4C443-9A6E-41BC-A17E-E1D3927A5AD5}"/>
    <cellStyle name="20% - Accent3 4 2 6 2 2" xfId="25605" xr:uid="{BB6F4A8F-A507-428D-82F4-84CFA2AA587C}"/>
    <cellStyle name="20% - Accent3 4 2 6 3" xfId="25601" xr:uid="{F9D110D9-302D-4CD9-92F1-30B1DBDABF17}"/>
    <cellStyle name="20% - Accent3 4 2 7" xfId="21499" xr:uid="{304521AE-FA71-410F-90B8-47D2570DAB40}"/>
    <cellStyle name="20% - Accent3 4 2 7 2" xfId="27620" xr:uid="{EA37557F-3688-484B-8DAC-952C29295D04}"/>
    <cellStyle name="20% - Accent3 4 2 8" xfId="21497" xr:uid="{56F2E316-EC65-400F-A7BE-BE24C587268C}"/>
    <cellStyle name="20% - Accent3 4 2 9" xfId="34566" xr:uid="{F591D23B-AC31-4487-B567-A6169D1DCAFE}"/>
    <cellStyle name="20% - Accent3 4 3" xfId="19255" xr:uid="{137A54EC-1109-45E0-BC64-7630BBBCC67A}"/>
    <cellStyle name="20% - Accent3 4 3 2" xfId="26248" xr:uid="{82A2BEF1-D6BD-43EF-BC65-581FD78D7D2D}"/>
    <cellStyle name="20% - Accent3 4 3 2 2" xfId="34178" xr:uid="{34539F5A-91E5-4D81-8393-144F7239AB66}"/>
    <cellStyle name="20% - Accent3 4 3 2 2 2" xfId="26100" xr:uid="{07D18ADF-AEFE-4BAF-9FA2-0672F21D62D1}"/>
    <cellStyle name="20% - Accent3 4 3 2 2 2 2" xfId="25639" xr:uid="{54D7404D-C45E-4ED9-973F-9DF488701DDD}"/>
    <cellStyle name="20% - Accent3 4 3 2 2 2 2 2" xfId="20601" xr:uid="{B61261DA-6FB3-4916-A40D-21963D843E8A}"/>
    <cellStyle name="20% - Accent3 4 3 2 2 2 2 2 2" xfId="28362" xr:uid="{A6898FF1-3856-4D5A-8109-A2354593CD32}"/>
    <cellStyle name="20% - Accent3 4 3 2 2 2 2 3" xfId="26395" xr:uid="{25A15398-3B71-47B0-8DC8-1EA492D0DA47}"/>
    <cellStyle name="20% - Accent3 4 3 2 2 2 3" xfId="32648" xr:uid="{42F19001-5A5D-456E-8DE9-B12E8CF880C4}"/>
    <cellStyle name="20% - Accent3 4 3 2 2 2 3 2" xfId="25591" xr:uid="{68503839-A381-439A-9F81-9BAB9BCC74FB}"/>
    <cellStyle name="20% - Accent3 4 3 2 2 2 4" xfId="25695" xr:uid="{9F870609-A768-48D0-A185-9327D24A3659}"/>
    <cellStyle name="20% - Accent3 4 3 2 2 3" xfId="26092" xr:uid="{AF9B309C-0A10-4C2F-A591-38253A945440}"/>
    <cellStyle name="20% - Accent3 4 3 2 2 3 2" xfId="7820" xr:uid="{AAC31B98-67EF-4C3C-B699-60B19CABFA9C}"/>
    <cellStyle name="20% - Accent3 4 3 2 2 3 2 2" xfId="25588" xr:uid="{0AE10D5A-9887-4941-B79E-0B0CF900D8F7}"/>
    <cellStyle name="20% - Accent3 4 3 2 2 3 3" xfId="25583" xr:uid="{FF692621-E24E-46DA-AE9F-EECA380FA40D}"/>
    <cellStyle name="20% - Accent3 4 3 2 2 4" xfId="25582" xr:uid="{A0D962E2-B274-4DE9-A498-6EF77966A9D5}"/>
    <cellStyle name="20% - Accent3 4 3 2 2 4 2" xfId="25580" xr:uid="{07AA4DD6-D42C-405D-B91F-D325B696EE55}"/>
    <cellStyle name="20% - Accent3 4 3 2 2 5" xfId="31546" xr:uid="{00557B67-F27D-44DE-9093-6C7DD304F04C}"/>
    <cellStyle name="20% - Accent3 4 3 2 3" xfId="25572" xr:uid="{975F4EF3-8A44-4E56-BD5F-E5A15DCE1032}"/>
    <cellStyle name="20% - Accent3 4 3 2 3 2" xfId="26080" xr:uid="{DFC06AA2-55A2-4585-BC5F-6C5D12C2D1DC}"/>
    <cellStyle name="20% - Accent3 4 3 2 3 2 2" xfId="25571" xr:uid="{B3D898D9-CCAB-4CB5-9DBE-9A950B63A2F6}"/>
    <cellStyle name="20% - Accent3 4 3 2 3 2 2 2" xfId="18232" xr:uid="{59A01778-49FE-4AB6-BAD1-553BC02ED0B6}"/>
    <cellStyle name="20% - Accent3 4 3 2 3 2 3" xfId="13091" xr:uid="{1B52B909-460B-454B-9385-7914F90E5210}"/>
    <cellStyle name="20% - Accent3 4 3 2 3 3" xfId="25565" xr:uid="{FE52A717-21EF-4150-8576-EE7CC76CF217}"/>
    <cellStyle name="20% - Accent3 4 3 2 3 3 2" xfId="25563" xr:uid="{18A17B23-F1D4-4229-9C39-D31F41BDEF4C}"/>
    <cellStyle name="20% - Accent3 4 3 2 3 4" xfId="25827" xr:uid="{21A65FEA-3D1B-4831-A6AC-DBF32717D94C}"/>
    <cellStyle name="20% - Accent3 4 3 2 4" xfId="25562" xr:uid="{ECA71321-9758-4E3E-A64F-4F9A56AB9C3A}"/>
    <cellStyle name="20% - Accent3 4 3 2 4 2" xfId="26874" xr:uid="{62C2D2C1-BCC5-4446-89BC-5F19B54BC9BF}"/>
    <cellStyle name="20% - Accent3 4 3 2 4 2 2" xfId="26085" xr:uid="{A92A7CE1-1990-4062-B8A4-B452BEFB59A4}"/>
    <cellStyle name="20% - Accent3 4 3 2 4 3" xfId="29463" xr:uid="{8FFA1C06-D2AD-4DCD-ABC4-3B991DC05839}"/>
    <cellStyle name="20% - Accent3 4 3 2 5" xfId="25557" xr:uid="{E2D42494-D0C0-4E39-B24D-5594E3A5B241}"/>
    <cellStyle name="20% - Accent3 4 3 2 5 2" xfId="29409" xr:uid="{7FA28656-5DFC-4B95-A933-5C75CCB03BF1}"/>
    <cellStyle name="20% - Accent3 4 3 2 6" xfId="24174" xr:uid="{DAD84F31-55FD-4EFC-A5FF-6E4E583A32C1}"/>
    <cellStyle name="20% - Accent3 4 3 3" xfId="33371" xr:uid="{ECCEF432-2D97-4EC7-9445-BCF341E033BD}"/>
    <cellStyle name="20% - Accent3 4 3 3 2" xfId="25556" xr:uid="{04A8C2C3-5E7E-4646-97F8-C79B11795004}"/>
    <cellStyle name="20% - Accent3 4 3 3 2 2" xfId="23902" xr:uid="{E134F6C8-1B49-4DFB-B268-A75F585455A5}"/>
    <cellStyle name="20% - Accent3 4 3 3 2 2 2" xfId="25467" xr:uid="{372F8098-63D3-4827-8AB5-9433E51E75FF}"/>
    <cellStyle name="20% - Accent3 4 3 3 2 2 2 2" xfId="22435" xr:uid="{08C47C88-DD03-4482-BBB3-41E6BA6E130B}"/>
    <cellStyle name="20% - Accent3 4 3 3 2 2 3" xfId="25455" xr:uid="{2765F1A6-CA54-4E7D-A559-E576BD2B18C8}"/>
    <cellStyle name="20% - Accent3 4 3 3 2 3" xfId="23898" xr:uid="{D9F6D9F4-C012-4B3C-A7C1-0577526A0601}"/>
    <cellStyle name="20% - Accent3 4 3 3 2 3 2" xfId="25450" xr:uid="{787DB2F9-503E-4470-8225-A1FE0783F61D}"/>
    <cellStyle name="20% - Accent3 4 3 3 2 4" xfId="25547" xr:uid="{B57CA3CC-4B43-4B9D-A5C7-EC96C77A074F}"/>
    <cellStyle name="20% - Accent3 4 3 3 3" xfId="25542" xr:uid="{1FF38632-E339-46F3-B517-DABDE35FF4F4}"/>
    <cellStyle name="20% - Accent3 4 3 3 3 2" xfId="13081" xr:uid="{3CD7E3C3-11BB-48AF-A60E-804797B83AFE}"/>
    <cellStyle name="20% - Accent3 4 3 3 3 2 2" xfId="25535" xr:uid="{22AEDD94-BE63-4825-9681-BB473E5078D8}"/>
    <cellStyle name="20% - Accent3 4 3 3 3 3" xfId="25530" xr:uid="{BC458AAD-4160-41D5-8FDF-E289D2CE5A66}"/>
    <cellStyle name="20% - Accent3 4 3 3 4" xfId="25525" xr:uid="{E204DA28-19F5-42E8-BCFC-11D7DDD16832}"/>
    <cellStyle name="20% - Accent3 4 3 3 4 2" xfId="29306" xr:uid="{88C792AB-F772-41F8-BA8D-BD8F395D3848}"/>
    <cellStyle name="20% - Accent3 4 3 3 5" xfId="25522" xr:uid="{4060F542-DADB-4146-AA68-329F178F0FCA}"/>
    <cellStyle name="20% - Accent3 4 3 4" xfId="33367" xr:uid="{F0B8E14B-F2D7-41E7-B15E-8672D4EC6479}"/>
    <cellStyle name="20% - Accent3 4 3 4 2" xfId="32551" xr:uid="{879B7743-EF32-468C-BAF2-48AF69AE81BC}"/>
    <cellStyle name="20% - Accent3 4 3 4 2 2" xfId="23880" xr:uid="{807DF9C3-21C4-40AC-BB9A-E37649E00F95}"/>
    <cellStyle name="20% - Accent3 4 3 4 2 2 2" xfId="27683" xr:uid="{CEE8644C-C0A8-4F2C-93CF-2AB485C6A6FA}"/>
    <cellStyle name="20% - Accent3 4 3 4 2 3" xfId="27108" xr:uid="{13342C73-D53F-4CA5-9BEC-AFB6EAE9E05A}"/>
    <cellStyle name="20% - Accent3 4 3 4 3" xfId="25519" xr:uid="{ED04A328-7475-47E1-A011-9CC250B75247}"/>
    <cellStyle name="20% - Accent3 4 3 4 3 2" xfId="33456" xr:uid="{C9ED0140-F2E3-4D92-AD40-60FFEEBF9E5F}"/>
    <cellStyle name="20% - Accent3 4 3 4 4" xfId="25516" xr:uid="{9A0BDFD7-79A8-443E-B756-A7250354E5F9}"/>
    <cellStyle name="20% - Accent3 4 3 5" xfId="21504" xr:uid="{20ECF765-7F51-431B-AD24-06638100F81C}"/>
    <cellStyle name="20% - Accent3 4 3 5 2" xfId="34335" xr:uid="{68C3B1C7-8363-48A6-93CC-99E7D3A766DD}"/>
    <cellStyle name="20% - Accent3 4 3 5 2 2" xfId="22451" xr:uid="{A7537735-A2E1-46DA-9BA8-27CDE8FF25EF}"/>
    <cellStyle name="20% - Accent3 4 3 5 3" xfId="25512" xr:uid="{D9DB4C59-3C13-4BED-9650-6F0660774725}"/>
    <cellStyle name="20% - Accent3 4 3 6" xfId="21491" xr:uid="{D8369BA1-8AAC-4410-8D47-921B5097AB18}"/>
    <cellStyle name="20% - Accent3 4 3 6 2" xfId="25505" xr:uid="{3838DE5D-6416-40DB-B191-9E468E9F1B10}"/>
    <cellStyle name="20% - Accent3 4 3 7" xfId="21488" xr:uid="{24D04E4F-1A32-4BF9-B735-2953F7BFF404}"/>
    <cellStyle name="20% - Accent3 4 3 8" xfId="34786" xr:uid="{9F636E98-4D12-4F0E-9A8A-98939C4B81CC}"/>
    <cellStyle name="20% - Accent3 4 4" xfId="29730" xr:uid="{90E801D9-7A10-46BD-BEFA-94DC32A9AFD3}"/>
    <cellStyle name="20% - Accent3 4 4 2" xfId="33585" xr:uid="{21C7026C-FE59-4F1E-9037-57F382611F1A}"/>
    <cellStyle name="20% - Accent3 4 4 2 2" xfId="25497" xr:uid="{29C6F24E-0F42-4361-88C0-EA76FFF84D7B}"/>
    <cellStyle name="20% - Accent3 4 4 2 2 2" xfId="25597" xr:uid="{AE7F1D52-810D-4506-804A-7B665FDF5049}"/>
    <cellStyle name="20% - Accent3 4 4 2 2 2 2" xfId="25495" xr:uid="{A55DC2A9-88A5-43DD-91FA-DC64164C9B24}"/>
    <cellStyle name="20% - Accent3 4 4 2 2 2 2 2" xfId="5378" xr:uid="{12C2B21B-D2CF-4241-838A-BCD1CA7CE714}"/>
    <cellStyle name="20% - Accent3 4 4 2 2 2 3" xfId="33732" xr:uid="{E87FC940-0BEA-46AD-8DCB-A71F8745C3B4}"/>
    <cellStyle name="20% - Accent3 4 4 2 2 3" xfId="25490" xr:uid="{16DCF1D6-6EC5-4CDB-87EB-D4E5D5686EA5}"/>
    <cellStyle name="20% - Accent3 4 4 2 2 3 2" xfId="25482" xr:uid="{8684334C-75DC-409D-AC5B-1CBA2CA48DD4}"/>
    <cellStyle name="20% - Accent3 4 4 2 2 4" xfId="33754" xr:uid="{50914591-2FBE-47E4-8F23-695B6240FECD}"/>
    <cellStyle name="20% - Accent3 4 4 2 3" xfId="27508" xr:uid="{2047CDD0-21E2-41CA-8360-D1750B8C3A82}"/>
    <cellStyle name="20% - Accent3 4 4 2 3 2" xfId="27612" xr:uid="{30135791-D495-4A0B-AFB7-24B8E7695EEA}"/>
    <cellStyle name="20% - Accent3 4 4 2 3 2 2" xfId="28036" xr:uid="{1AC0525A-27AA-43A1-89BF-00B65451CA8B}"/>
    <cellStyle name="20% - Accent3 4 4 2 3 3" xfId="25479" xr:uid="{37AAD88B-3B1C-4BA7-861C-766050318E8F}"/>
    <cellStyle name="20% - Accent3 4 4 2 4" xfId="25477" xr:uid="{45544F99-9C1B-4A9D-922D-E1B164BA00DD}"/>
    <cellStyle name="20% - Accent3 4 4 2 4 2" xfId="33578" xr:uid="{F5544BB8-0E5E-40FA-96C6-492D72E476D5}"/>
    <cellStyle name="20% - Accent3 4 4 2 5" xfId="25476" xr:uid="{1D056AC4-C156-4249-B60A-AE31328E38BC}"/>
    <cellStyle name="20% - Accent3 4 4 3" xfId="32818" xr:uid="{019415D6-305B-4511-9698-487AD12508E4}"/>
    <cellStyle name="20% - Accent3 4 4 3 2" xfId="25780" xr:uid="{21FD1A49-AB9F-4ABB-BC63-017F11A5F547}"/>
    <cellStyle name="20% - Accent3 4 4 3 2 2" xfId="23907" xr:uid="{5BA4C509-98AA-4B0B-8F5B-C04149E623D6}"/>
    <cellStyle name="20% - Accent3 4 4 3 2 2 2" xfId="19568" xr:uid="{7CCC7DCF-6A77-4D0A-89F5-D2C2670073B7}"/>
    <cellStyle name="20% - Accent3 4 4 3 2 3" xfId="25465" xr:uid="{683AED9D-2CD9-4D0C-935F-F0D7B8B067EA}"/>
    <cellStyle name="20% - Accent3 4 4 3 3" xfId="26747" xr:uid="{3FA097DF-E6A2-4A70-A8A6-2617EF544ED6}"/>
    <cellStyle name="20% - Accent3 4 4 3 3 2" xfId="25454" xr:uid="{8023F446-50A7-4856-9805-F1E96EBA90EC}"/>
    <cellStyle name="20% - Accent3 4 4 3 4" xfId="26745" xr:uid="{30AD5B59-4239-4BDE-BB32-BC0FDFA7704C}"/>
    <cellStyle name="20% - Accent3 4 4 4" xfId="26742" xr:uid="{96D38AF9-A9D6-4996-B272-A419E2170638}"/>
    <cellStyle name="20% - Accent3 4 4 4 2" xfId="26739" xr:uid="{C9E1B9C0-4282-4ADF-8796-8C9429B9CC89}"/>
    <cellStyle name="20% - Accent3 4 4 4 2 2" xfId="33193" xr:uid="{848EF972-B5DC-4DC7-81F7-3E15423CC6DA}"/>
    <cellStyle name="20% - Accent3 4 4 4 3" xfId="20854" xr:uid="{CCD038AE-1098-4989-A7B4-581B5C8814CB}"/>
    <cellStyle name="20% - Accent3 4 4 5" xfId="30305" xr:uid="{5DED77A3-CE19-477D-9CE3-55FD9EA8DF67}"/>
    <cellStyle name="20% - Accent3 4 4 5 2" xfId="26732" xr:uid="{1F006D58-19AA-497B-B2D7-98999E90C09F}"/>
    <cellStyle name="20% - Accent3 4 4 6" xfId="7972" xr:uid="{EAF9FD2F-804C-4453-9A5B-FCD85E5F5857}"/>
    <cellStyle name="20% - Accent3 4 4 7" xfId="34984" xr:uid="{7B755264-151D-4E51-BA62-AD0D06DC9190}"/>
    <cellStyle name="20% - Accent3 4 5" xfId="32320" xr:uid="{92BFF9C1-E004-4407-B72C-86F382CE92CC}"/>
    <cellStyle name="20% - Accent3 4 5 2" xfId="33357" xr:uid="{6F795B94-0F3A-41C5-814B-D83A8B8D981D}"/>
    <cellStyle name="20% - Accent3 4 5 2 2" xfId="12176" xr:uid="{C20CADF3-60C1-420A-99E7-93C9E63E8A16}"/>
    <cellStyle name="20% - Accent3 4 5 2 2 2" xfId="28294" xr:uid="{45056F72-80F0-4888-BEFE-1616B83AD982}"/>
    <cellStyle name="20% - Accent3 4 5 2 2 2 2" xfId="28042" xr:uid="{E3AE9BBD-EE69-44A5-B34A-96CEB396AC88}"/>
    <cellStyle name="20% - Accent3 4 5 2 2 3" xfId="25449" xr:uid="{A8582AFE-D758-49E2-8BAE-C654BCE7FAF6}"/>
    <cellStyle name="20% - Accent3 4 5 2 3" xfId="12172" xr:uid="{152E6523-0199-48A6-9084-9AC8356BE633}"/>
    <cellStyle name="20% - Accent3 4 5 2 3 2" xfId="25442" xr:uid="{DEAC0120-1CAD-4F77-A924-6BACEFAE38EC}"/>
    <cellStyle name="20% - Accent3 4 5 2 4" xfId="33971" xr:uid="{4B8A23CE-61B1-4CD5-BFA0-BCA2DACD2191}"/>
    <cellStyle name="20% - Accent3 4 5 3" xfId="26713" xr:uid="{B0F51FCE-65AD-41F8-BD18-D9F3326881A8}"/>
    <cellStyle name="20% - Accent3 4 5 3 2" xfId="12170" xr:uid="{91937F3B-C04C-4B4B-A94F-417AC9FCA428}"/>
    <cellStyle name="20% - Accent3 4 5 3 2 2" xfId="25439" xr:uid="{2265F12A-3F3B-40FC-92B3-6ACA3A23ABB1}"/>
    <cellStyle name="20% - Accent3 4 5 3 3" xfId="26710" xr:uid="{70016144-4825-42E3-BA0E-4FAD87FD1475}"/>
    <cellStyle name="20% - Accent3 4 5 4" xfId="26703" xr:uid="{81E6F3E1-DE05-4521-A081-76F9ABC26C90}"/>
    <cellStyle name="20% - Accent3 4 5 4 2" xfId="16071" xr:uid="{B5140ACC-ED96-4D32-A8E4-F5A3BB86928F}"/>
    <cellStyle name="20% - Accent3 4 5 5" xfId="26695" xr:uid="{DA3BBD6E-96B4-4F45-825D-F30D74C4FD57}"/>
    <cellStyle name="20% - Accent3 4 5 6" xfId="35189" xr:uid="{492BBEA5-66B5-4D4B-AC58-C5B0076D6C5C}"/>
    <cellStyle name="20% - Accent3 4 6" xfId="8313" xr:uid="{F66EE4F8-8B58-4FA2-BD53-509BFE877C6F}"/>
    <cellStyle name="20% - Accent3 4 6 2" xfId="25434" xr:uid="{F79B22AB-A7DE-4DEB-8233-DBA63D2FD0EE}"/>
    <cellStyle name="20% - Accent3 4 6 2 2" xfId="12166" xr:uid="{B75A8345-A915-4B6C-9519-0D14972FDD3C}"/>
    <cellStyle name="20% - Accent3 4 6 2 2 2" xfId="23505" xr:uid="{F5274E50-2713-4CEE-BBB6-20CC09A4FA6F}"/>
    <cellStyle name="20% - Accent3 4 6 2 3" xfId="23502" xr:uid="{348B6CC7-9E34-4281-847F-B92B9C73801F}"/>
    <cellStyle name="20% - Accent3 4 6 3" xfId="26685" xr:uid="{917888F8-F487-43D6-B4B6-A7EA8E496FEF}"/>
    <cellStyle name="20% - Accent3 4 6 3 2" xfId="23481" xr:uid="{9D6B9DA9-800C-43EF-8EFF-920D26BFED39}"/>
    <cellStyle name="20% - Accent3 4 6 4" xfId="28671" xr:uid="{97C32D19-74AF-412B-8B58-0C90D0152FE1}"/>
    <cellStyle name="20% - Accent3 4 6 5" xfId="35418" xr:uid="{CBCEB9B2-E933-4BB3-92B6-83E1E091AD8A}"/>
    <cellStyle name="20% - Accent3 4 7" xfId="25432" xr:uid="{2710DD91-DBE5-4A57-B43A-0422C61AA123}"/>
    <cellStyle name="20% - Accent3 4 7 2" xfId="25430" xr:uid="{74DA32D3-FAEF-4A23-82A6-C75F6E9A6F73}"/>
    <cellStyle name="20% - Accent3 4 7 2 2" xfId="23326" xr:uid="{E12F2C2C-7563-4198-B88B-46C47F10B8BA}"/>
    <cellStyle name="20% - Accent3 4 7 3" xfId="26675" xr:uid="{25957A56-8E73-4837-A3B1-C93C6600437E}"/>
    <cellStyle name="20% - Accent3 4 7 4" xfId="36290" xr:uid="{0193B51B-CF5C-4495-9DA3-83C61F769EFB}"/>
    <cellStyle name="20% - Accent3 4 8" xfId="17200" xr:uid="{1FD6E1F8-289A-4398-91E8-29BCEA1615C4}"/>
    <cellStyle name="20% - Accent3 4 8 2" xfId="25428" xr:uid="{50CD6108-A239-4464-AAEB-807ED34257A1}"/>
    <cellStyle name="20% - Accent3 4 8 3" xfId="36576" xr:uid="{593CC07A-5EEA-425B-AC0D-8B360E99B499}"/>
    <cellStyle name="20% - Accent3 4 9" xfId="20082" xr:uid="{EEC163F2-CA49-4B2E-9276-D4651DBDDF81}"/>
    <cellStyle name="20% - Accent3 4 9 2" xfId="37461" xr:uid="{4C81C6D3-B7CA-4A64-BAAA-EF2AEC208AB5}"/>
    <cellStyle name="20% - Accent3 40" xfId="36096" xr:uid="{160C821F-6BCE-4407-8681-79B69AB1D2F8}"/>
    <cellStyle name="20% - Accent3 40 2" xfId="37265" xr:uid="{806723C1-DCE8-48BE-8BF8-4D856AAB0A39}"/>
    <cellStyle name="20% - Accent3 40 3" xfId="38163" xr:uid="{E36EEB15-A6EB-4912-8A96-9312B1B05553}"/>
    <cellStyle name="20% - Accent3 41" xfId="36116" xr:uid="{7520205C-0638-43F2-93A4-B91193634436}"/>
    <cellStyle name="20% - Accent3 41 2" xfId="37285" xr:uid="{7C1D739B-FDEF-4DFF-961E-B3D73FF8910A}"/>
    <cellStyle name="20% - Accent3 41 3" xfId="38183" xr:uid="{4C7E39ED-BCBE-444F-AAA7-92473DAF125D}"/>
    <cellStyle name="20% - Accent3 42" xfId="36136" xr:uid="{FDC14921-A377-4F01-B7D4-E4FC2E0ACEE0}"/>
    <cellStyle name="20% - Accent3 42 2" xfId="37305" xr:uid="{69FB7288-198B-4954-AC8E-41670BBEF72D}"/>
    <cellStyle name="20% - Accent3 42 3" xfId="38203" xr:uid="{F39A24D0-1758-4B74-947F-7C76E27F24BF}"/>
    <cellStyle name="20% - Accent3 43" xfId="36156" xr:uid="{256EC887-8A0E-499F-A695-2FABB87B5C57}"/>
    <cellStyle name="20% - Accent3 43 2" xfId="37325" xr:uid="{9EBF4352-73A2-4116-97BC-49462D18A2B2}"/>
    <cellStyle name="20% - Accent3 43 3" xfId="38223" xr:uid="{CA0358F9-7235-4500-9B0A-3D2C2F92CB0E}"/>
    <cellStyle name="20% - Accent3 44" xfId="36176" xr:uid="{81AC9DA2-8556-4C5E-81F2-11D3D9C1DE51}"/>
    <cellStyle name="20% - Accent3 44 2" xfId="37345" xr:uid="{EDF98A2A-A4D4-4EFC-8421-2EC41CDB487E}"/>
    <cellStyle name="20% - Accent3 44 3" xfId="38243" xr:uid="{B78B9B76-0001-44B8-8021-4205B606B18B}"/>
    <cellStyle name="20% - Accent3 45" xfId="36196" xr:uid="{D5576849-F481-4428-8FCF-A37C84797336}"/>
    <cellStyle name="20% - Accent3 45 2" xfId="37365" xr:uid="{CECC74BE-42F0-4E6A-B6E2-0DD918C8D584}"/>
    <cellStyle name="20% - Accent3 45 3" xfId="38263" xr:uid="{9B57FA72-22A2-4F07-9DAE-4F5BA481A7A0}"/>
    <cellStyle name="20% - Accent3 46" xfId="36216" xr:uid="{C6D54DC1-C264-4353-9427-DE66062C032A}"/>
    <cellStyle name="20% - Accent3 46 2" xfId="37383" xr:uid="{77CB56A9-825D-43DA-BF9B-28E1E25A8033}"/>
    <cellStyle name="20% - Accent3 46 3" xfId="38283" xr:uid="{17AB1C51-67BA-4CAC-A8F6-D512D57F30F2}"/>
    <cellStyle name="20% - Accent3 47" xfId="36517" xr:uid="{BCDD596B-D78F-45FB-917A-8CAAEF3412C9}"/>
    <cellStyle name="20% - Accent3 48" xfId="37402" xr:uid="{BE7A8AA5-AF7C-4A67-85F5-D0A4BA7BF57B}"/>
    <cellStyle name="20% - Accent3 5" xfId="265" xr:uid="{A2E568EB-3258-41E8-8007-82F0F2A27A3C}"/>
    <cellStyle name="20% - Accent3 5 10" xfId="19252" xr:uid="{5E66640C-B6A0-4013-8E64-4CE3317DFF86}"/>
    <cellStyle name="20% - Accent3 5 2" xfId="19250" xr:uid="{B5AA43CF-A8C6-4A80-840F-076C99B4BEC0}"/>
    <cellStyle name="20% - Accent3 5 2 2" xfId="34090" xr:uid="{547497B8-70BE-485E-B642-2A7BAF4D4723}"/>
    <cellStyle name="20% - Accent3 5 2 2 2" xfId="33626" xr:uid="{A8D7EA0C-D3C3-491A-A6BD-C163586F7483}"/>
    <cellStyle name="20% - Accent3 5 2 2 2 2" xfId="25424" xr:uid="{61AC8341-3751-44E8-AA2E-50DDF2E0C2BF}"/>
    <cellStyle name="20% - Accent3 5 2 2 2 2 2" xfId="28874" xr:uid="{B15239AA-5DF0-4676-BE39-DA9B1D9E00BE}"/>
    <cellStyle name="20% - Accent3 5 2 2 2 2 2 2" xfId="19497" xr:uid="{86277532-0FDA-4BBB-A0FC-9B440A55F8ED}"/>
    <cellStyle name="20% - Accent3 5 2 2 2 2 2 2 2" xfId="27375" xr:uid="{E7F3E811-50C0-4606-93F4-1C0F79618792}"/>
    <cellStyle name="20% - Accent3 5 2 2 2 2 2 3" xfId="33190" xr:uid="{32822E89-A189-45D5-BA91-F5844027DBA1}"/>
    <cellStyle name="20% - Accent3 5 2 2 2 2 3" xfId="25422" xr:uid="{7E7778D0-6F42-4F8B-BEB7-92FED78EDBFE}"/>
    <cellStyle name="20% - Accent3 5 2 2 2 2 3 2" xfId="34264" xr:uid="{8D21CB7A-9920-46BA-97CA-FE50C3881FCA}"/>
    <cellStyle name="20% - Accent3 5 2 2 2 2 4" xfId="22714" xr:uid="{3FF919F9-E395-4772-AD06-311E7D7B14F6}"/>
    <cellStyle name="20% - Accent3 5 2 2 2 3" xfId="28037" xr:uid="{F768BD42-7631-4194-9ECC-5209535515BE}"/>
    <cellStyle name="20% - Accent3 5 2 2 2 3 2" xfId="7786" xr:uid="{1278E76E-A4B6-4EFD-A0B2-0E3240D4EAEE}"/>
    <cellStyle name="20% - Accent3 5 2 2 2 3 2 2" xfId="25407" xr:uid="{CFA96002-922F-484E-A21A-0CE21CD8F559}"/>
    <cellStyle name="20% - Accent3 5 2 2 2 3 3" xfId="25405" xr:uid="{DB5F6F4C-CFFE-496C-BA2C-C1B4D3262E86}"/>
    <cellStyle name="20% - Accent3 5 2 2 2 4" xfId="25398" xr:uid="{4A6062D7-54AC-4F71-AB1E-CE9CD75CF1FA}"/>
    <cellStyle name="20% - Accent3 5 2 2 2 4 2" xfId="6843" xr:uid="{F3D41CA5-62C0-4C20-A238-9CF86D0F3F66}"/>
    <cellStyle name="20% - Accent3 5 2 2 2 5" xfId="22171" xr:uid="{D5FFE80D-6037-4CAA-9945-731FE057B34B}"/>
    <cellStyle name="20% - Accent3 5 2 2 3" xfId="25394" xr:uid="{7C9AA3D4-F49F-4D18-BF52-0538169CC486}"/>
    <cellStyle name="20% - Accent3 5 2 2 3 2" xfId="25393" xr:uid="{590530FA-78E1-49AF-85D7-C0A23A45C0C0}"/>
    <cellStyle name="20% - Accent3 5 2 2 3 2 2" xfId="20036" xr:uid="{38EA6C9A-6B2B-4BCE-B0B1-30E7F0372402}"/>
    <cellStyle name="20% - Accent3 5 2 2 3 2 2 2" xfId="25386" xr:uid="{CECD2055-3D44-43B2-90B2-ABB79509F6D5}"/>
    <cellStyle name="20% - Accent3 5 2 2 3 2 3" xfId="25385" xr:uid="{7DE0C752-4FF6-4D62-9DA1-A5B4C6DE3237}"/>
    <cellStyle name="20% - Accent3 5 2 2 3 3" xfId="25379" xr:uid="{48610EA9-1F48-4064-AC48-8E8C86040318}"/>
    <cellStyle name="20% - Accent3 5 2 2 3 3 2" xfId="25374" xr:uid="{29F195EA-DE32-4EB0-9DB1-C6029DE953B5}"/>
    <cellStyle name="20% - Accent3 5 2 2 3 4" xfId="33715" xr:uid="{0C9692D2-3D78-40F5-BB5D-FD3D7EB31E92}"/>
    <cellStyle name="20% - Accent3 5 2 2 4" xfId="25371" xr:uid="{5C309528-4BD4-4E51-BDBD-DCF197ED80C6}"/>
    <cellStyle name="20% - Accent3 5 2 2 4 2" xfId="14543" xr:uid="{E630A5C3-1B03-4C62-81E6-5DDD88C0304F}"/>
    <cellStyle name="20% - Accent3 5 2 2 4 2 2" xfId="29301" xr:uid="{8481E474-9DD3-4CC2-AD50-50A49C128319}"/>
    <cellStyle name="20% - Accent3 5 2 2 4 3" xfId="25363" xr:uid="{05161E88-E0A0-4896-BA92-700B01AC3B5C}"/>
    <cellStyle name="20% - Accent3 5 2 2 5" xfId="25360" xr:uid="{73FAFF8E-6B2B-4B7F-B3CE-6FCEE18E5E7F}"/>
    <cellStyle name="20% - Accent3 5 2 2 5 2" xfId="20410" xr:uid="{AFBE3E01-273C-4789-BCB5-BD6B88525D66}"/>
    <cellStyle name="20% - Accent3 5 2 2 6" xfId="24095" xr:uid="{9EB13A5A-0FC7-4387-870E-8C16E5D3C912}"/>
    <cellStyle name="20% - Accent3 5 2 3" xfId="34175" xr:uid="{9CE9D67E-1E12-4D3E-994A-FCF5C77DDEA2}"/>
    <cellStyle name="20% - Accent3 5 2 3 2" xfId="25359" xr:uid="{1D773229-2978-4F0B-9296-F900BA0E3BA9}"/>
    <cellStyle name="20% - Accent3 5 2 3 2 2" xfId="25358" xr:uid="{C64203A8-3BD9-4C5C-94C1-0F54D627EE16}"/>
    <cellStyle name="20% - Accent3 5 2 3 2 2 2" xfId="25353" xr:uid="{5540AB45-9BC8-4C1F-A59D-EB89BF69B0A2}"/>
    <cellStyle name="20% - Accent3 5 2 3 2 2 2 2" xfId="25349" xr:uid="{C68F3059-D536-475B-B4A3-4E299568D116}"/>
    <cellStyle name="20% - Accent3 5 2 3 2 2 3" xfId="25347" xr:uid="{1F9D66DC-6B35-4AF8-A8D3-794565CED1F6}"/>
    <cellStyle name="20% - Accent3 5 2 3 2 3" xfId="25339" xr:uid="{8E81565E-04DD-4FB7-82A3-7D39C9DF9A76}"/>
    <cellStyle name="20% - Accent3 5 2 3 2 3 2" xfId="25335" xr:uid="{58E01CBE-8BA6-45C8-BCDF-8DD03A549D58}"/>
    <cellStyle name="20% - Accent3 5 2 3 2 4" xfId="25330" xr:uid="{9B1B70FF-A2AF-43A7-98C7-65F0F0A40CB5}"/>
    <cellStyle name="20% - Accent3 5 2 3 3" xfId="25326" xr:uid="{13814F90-3A41-4049-93F1-FED73FA06016}"/>
    <cellStyle name="20% - Accent3 5 2 3 3 2" xfId="5458" xr:uid="{3DEB1F05-4F86-4794-8FC3-E2238098CDB7}"/>
    <cellStyle name="20% - Accent3 5 2 3 3 2 2" xfId="25320" xr:uid="{7C058C33-C9DC-41F6-B1C0-8A3170C27832}"/>
    <cellStyle name="20% - Accent3 5 2 3 3 3" xfId="25318" xr:uid="{DE65D2C4-E1DF-4469-A7A0-362FD08E2FE9}"/>
    <cellStyle name="20% - Accent3 5 2 3 4" xfId="25316" xr:uid="{4C145C91-8EFA-4272-BA27-3AB926A300D4}"/>
    <cellStyle name="20% - Accent3 5 2 3 4 2" xfId="25315" xr:uid="{E1967142-6D50-47BF-BB72-36BECF60895A}"/>
    <cellStyle name="20% - Accent3 5 2 3 5" xfId="25312" xr:uid="{CEA2B208-EACF-4DC6-9A70-55264C95C21A}"/>
    <cellStyle name="20% - Accent3 5 2 4" xfId="24310" xr:uid="{183920EF-A75A-4323-B4EF-AB8B1F2DE3BF}"/>
    <cellStyle name="20% - Accent3 5 2 4 2" xfId="30364" xr:uid="{8AD62A03-8CEC-40ED-81CC-998C2676D630}"/>
    <cellStyle name="20% - Accent3 5 2 4 2 2" xfId="25310" xr:uid="{3BB85361-D777-498E-B870-3F86645FAD12}"/>
    <cellStyle name="20% - Accent3 5 2 4 2 2 2" xfId="25309" xr:uid="{5AE0DF6B-1100-491D-A633-604334B6214E}"/>
    <cellStyle name="20% - Accent3 5 2 4 2 3" xfId="25305" xr:uid="{A6BD9236-3281-4A6C-9993-D504318A3D7B}"/>
    <cellStyle name="20% - Accent3 5 2 4 3" xfId="28636" xr:uid="{DB0C83D8-05ED-4243-A61D-A2B46A9F983D}"/>
    <cellStyle name="20% - Accent3 5 2 4 3 2" xfId="25298" xr:uid="{F5D3B314-9D84-4992-81D6-160E0AB7D8A3}"/>
    <cellStyle name="20% - Accent3 5 2 4 4" xfId="28631" xr:uid="{37E0498C-1930-4EEE-9F9B-CCCDF94D2952}"/>
    <cellStyle name="20% - Accent3 5 2 5" xfId="16659" xr:uid="{1E5933B5-0E31-4296-BBBD-FE58A20704AC}"/>
    <cellStyle name="20% - Accent3 5 2 5 2" xfId="32898" xr:uid="{3EF4C7A1-B2CC-4F9A-8C33-52E651425615}"/>
    <cellStyle name="20% - Accent3 5 2 5 2 2" xfId="25297" xr:uid="{7C7C73AA-A593-417B-B1BE-55604C387A19}"/>
    <cellStyle name="20% - Accent3 5 2 5 3" xfId="28622" xr:uid="{633CDDEE-3C67-4C70-9F2F-77557FC9DC05}"/>
    <cellStyle name="20% - Accent3 5 2 6" xfId="19988" xr:uid="{0A74AD1B-229B-481A-A931-0E471466D9BC}"/>
    <cellStyle name="20% - Accent3 5 2 6 2" xfId="25294" xr:uid="{9E9627B8-1FAB-468D-8F79-EFEE3AB08B85}"/>
    <cellStyle name="20% - Accent3 5 2 7" xfId="18056" xr:uid="{1860A659-93BA-4169-89F1-52940ED72D52}"/>
    <cellStyle name="20% - Accent3 5 2 8" xfId="34801" xr:uid="{67BE9FF8-79B1-4A1B-9944-95F5A703AC4C}"/>
    <cellStyle name="20% - Accent3 5 3" xfId="19248" xr:uid="{8A8BBD8E-0FB3-41AD-96BB-E184857C7DD9}"/>
    <cellStyle name="20% - Accent3 5 3 2" xfId="33487" xr:uid="{964FC473-1960-459C-89DB-DD50682B4E68}"/>
    <cellStyle name="20% - Accent3 5 3 2 2" xfId="25286" xr:uid="{A9DD4693-4548-4737-8CC9-C1ACD64F2AEA}"/>
    <cellStyle name="20% - Accent3 5 3 2 2 2" xfId="25285" xr:uid="{FF40CA23-AF07-48FA-8754-7228431B6DC3}"/>
    <cellStyle name="20% - Accent3 5 3 2 2 2 2" xfId="25284" xr:uid="{57486F7E-8C26-4062-8396-358ABD57555E}"/>
    <cellStyle name="20% - Accent3 5 3 2 2 2 2 2" xfId="33028" xr:uid="{655D5778-3DC4-449F-9E98-CBF53A8425A4}"/>
    <cellStyle name="20% - Accent3 5 3 2 2 2 3" xfId="25278" xr:uid="{D7E33C7D-0E58-4DB7-9684-B13570F241F2}"/>
    <cellStyle name="20% - Accent3 5 3 2 2 3" xfId="25271" xr:uid="{2351FCCB-51C1-41E4-9B9F-5FCBA9D7FBE7}"/>
    <cellStyle name="20% - Accent3 5 3 2 2 3 2" xfId="21526" xr:uid="{C26433D4-24F5-4DDB-83A8-9869F45AC690}"/>
    <cellStyle name="20% - Accent3 5 3 2 2 4" xfId="25268" xr:uid="{23758EE6-9107-4655-8EBF-C8046D15D628}"/>
    <cellStyle name="20% - Accent3 5 3 2 3" xfId="25267" xr:uid="{89084CBC-A026-40CA-8576-D71601823230}"/>
    <cellStyle name="20% - Accent3 5 3 2 3 2" xfId="25266" xr:uid="{6FBFECED-F807-4C1C-8C16-3140598E3799}"/>
    <cellStyle name="20% - Accent3 5 3 2 3 2 2" xfId="25259" xr:uid="{89AF86B0-C001-46FB-B85D-D4193C2ECE25}"/>
    <cellStyle name="20% - Accent3 5 3 2 3 3" xfId="25254" xr:uid="{8EE852FC-D60E-43E6-B6CB-0E2B568BD4A7}"/>
    <cellStyle name="20% - Accent3 5 3 2 4" xfId="25253" xr:uid="{C1DE1CF5-2CEA-4185-B22B-EF0805A724BC}"/>
    <cellStyle name="20% - Accent3 5 3 2 4 2" xfId="30978" xr:uid="{1D19198A-0B5E-47D5-9FE6-ABFB59499971}"/>
    <cellStyle name="20% - Accent3 5 3 2 5" xfId="25249" xr:uid="{3B8A2BE4-33CC-44F5-BFC2-23ED86AD9186}"/>
    <cellStyle name="20% - Accent3 5 3 3" xfId="33466" xr:uid="{E9AA6CDE-9285-479A-9383-7EDEED2504B0}"/>
    <cellStyle name="20% - Accent3 5 3 3 2" xfId="25248" xr:uid="{5CC4E895-063B-407F-9D05-0795CCB634B1}"/>
    <cellStyle name="20% - Accent3 5 3 3 2 2" xfId="25246" xr:uid="{D88E0FA8-0206-4A06-A6D2-E43F477AB438}"/>
    <cellStyle name="20% - Accent3 5 3 3 2 2 2" xfId="25242" xr:uid="{6A32848C-6302-4CC2-B78C-3616EC5CD1DC}"/>
    <cellStyle name="20% - Accent3 5 3 3 2 3" xfId="25237" xr:uid="{2AC60800-E830-4193-B270-6A5A63F5C27A}"/>
    <cellStyle name="20% - Accent3 5 3 3 3" xfId="25232" xr:uid="{B7F272CB-B94D-4177-A3B0-64CB0A856A71}"/>
    <cellStyle name="20% - Accent3 5 3 3 3 2" xfId="25228" xr:uid="{85616049-8437-4731-8F35-77DC174C600C}"/>
    <cellStyle name="20% - Accent3 5 3 3 4" xfId="25227" xr:uid="{B2154B3E-21D2-4EB3-B010-B20ACA85F239}"/>
    <cellStyle name="20% - Accent3 5 3 4" xfId="30687" xr:uid="{E64E8F13-A136-4D5F-8C8F-4C6987E9B95C}"/>
    <cellStyle name="20% - Accent3 5 3 4 2" xfId="25221" xr:uid="{42B68FE3-4CC1-4749-93FF-0B51BE876C5E}"/>
    <cellStyle name="20% - Accent3 5 3 4 2 2" xfId="31458" xr:uid="{553C79BB-2237-46BA-8618-FFDB169D4054}"/>
    <cellStyle name="20% - Accent3 5 3 4 3" xfId="28600" xr:uid="{6BF30898-29FB-4774-B09A-2B1B3923D99F}"/>
    <cellStyle name="20% - Accent3 5 3 5" xfId="16647" xr:uid="{2254084C-7074-4DDD-9947-75E3FBBD07EE}"/>
    <cellStyle name="20% - Accent3 5 3 5 2" xfId="25219" xr:uid="{6A04DDFD-7776-48C3-8345-87717B21FB67}"/>
    <cellStyle name="20% - Accent3 5 3 6" xfId="21455" xr:uid="{DC529550-32CE-4828-BA66-9BC0AF7D6AC8}"/>
    <cellStyle name="20% - Accent3 5 3 7" xfId="35003" xr:uid="{34073403-F886-4182-BC59-BE04C8A35938}"/>
    <cellStyle name="20% - Accent3 5 4" xfId="33331" xr:uid="{8364D9CB-7B8E-464C-81B4-0ADE9CEC41D4}"/>
    <cellStyle name="20% - Accent3 5 4 2" xfId="33329" xr:uid="{70597A6A-8072-41C6-BB41-30F274F7E08E}"/>
    <cellStyle name="20% - Accent3 5 4 2 2" xfId="25214" xr:uid="{A7A1A729-15DA-41B7-B737-5173D657D16A}"/>
    <cellStyle name="20% - Accent3 5 4 2 2 2" xfId="15775" xr:uid="{4765E483-9EFF-4DBA-BB2D-748A047E25F7}"/>
    <cellStyle name="20% - Accent3 5 4 2 2 2 2" xfId="30913" xr:uid="{476B6D3B-19C6-407C-B780-33CDE663E313}"/>
    <cellStyle name="20% - Accent3 5 4 2 2 3" xfId="33895" xr:uid="{51436B72-34B1-4BAD-B76A-930163437F06}"/>
    <cellStyle name="20% - Accent3 5 4 2 3" xfId="25207" xr:uid="{97DDB11B-7629-434B-992E-546599F8899B}"/>
    <cellStyle name="20% - Accent3 5 4 2 3 2" xfId="25202" xr:uid="{C13A5633-0ED8-4CD2-8D4E-7094E2A115B5}"/>
    <cellStyle name="20% - Accent3 5 4 2 4" xfId="25199" xr:uid="{F63EB42A-783E-4973-A9D4-D70B5545BCD6}"/>
    <cellStyle name="20% - Accent3 5 4 3" xfId="27393" xr:uid="{67F7950D-48DD-439E-8FC2-E290EECC28B7}"/>
    <cellStyle name="20% - Accent3 5 4 3 2" xfId="26661" xr:uid="{A87EAF9F-B3AF-4FD4-8572-AC9F32AC4DFF}"/>
    <cellStyle name="20% - Accent3 5 4 3 2 2" xfId="24362" xr:uid="{D9F09514-0C51-4B92-A38C-E5D91DC7A50F}"/>
    <cellStyle name="20% - Accent3 5 4 3 3" xfId="26658" xr:uid="{0430DB1A-7CF0-429A-8B4D-95A14ADEC8E0}"/>
    <cellStyle name="20% - Accent3 5 4 4" xfId="30680" xr:uid="{4BD12E02-79E0-43CD-9BF2-BAFF379A0B0C}"/>
    <cellStyle name="20% - Accent3 5 4 4 2" xfId="26653" xr:uid="{F476A877-C74E-4029-A20C-22C6BF1596DA}"/>
    <cellStyle name="20% - Accent3 5 4 5" xfId="16642" xr:uid="{7E201B4C-4F7F-4838-9D5B-FB0786744B62}"/>
    <cellStyle name="20% - Accent3 5 4 6" xfId="35209" xr:uid="{006BA01F-AA9B-48F7-AD5E-D187F9EB7DF6}"/>
    <cellStyle name="20% - Accent3 5 5" xfId="8310" xr:uid="{AE462CFA-011A-48E3-A0FD-E3B4CB953C40}"/>
    <cellStyle name="20% - Accent3 5 5 2" xfId="27391" xr:uid="{B7617DCE-5F24-411C-AD1B-E5B29E37C67C}"/>
    <cellStyle name="20% - Accent3 5 5 2 2" xfId="28607" xr:uid="{0B1145DE-996D-44E6-BEB6-AB943D536DAC}"/>
    <cellStyle name="20% - Accent3 5 5 2 2 2" xfId="25197" xr:uid="{74611B49-D491-41FC-B1DF-9F14CC9838A7}"/>
    <cellStyle name="20% - Accent3 5 5 2 3" xfId="25192" xr:uid="{15C6455C-AC5A-4F15-B628-232794F21E4E}"/>
    <cellStyle name="20% - Accent3 5 5 3" xfId="26646" xr:uid="{B5ED6921-0B28-4ECB-8588-1D6252DD7341}"/>
    <cellStyle name="20% - Accent3 5 5 3 2" xfId="26637" xr:uid="{6129DB24-3D4C-47CF-8198-DBE1899A40B3}"/>
    <cellStyle name="20% - Accent3 5 5 4" xfId="28339" xr:uid="{1F0436DB-B20B-46B8-B790-7B173E0C4189}"/>
    <cellStyle name="20% - Accent3 5 5 5" xfId="35438" xr:uid="{230AD04A-ECE2-41E2-B503-80550419959F}"/>
    <cellStyle name="20% - Accent3 5 6" xfId="27387" xr:uid="{FDC2E61B-D395-425D-8203-C5399B1ABE3E}"/>
    <cellStyle name="20% - Accent3 5 6 2" xfId="25190" xr:uid="{18FBDD61-8B05-4842-97BC-D466763C09CA}"/>
    <cellStyle name="20% - Accent3 5 6 2 2" xfId="23159" xr:uid="{ECAA3D3A-6D92-45CB-88CA-29FCA72C2F29}"/>
    <cellStyle name="20% - Accent3 5 6 3" xfId="26627" xr:uid="{73BF84C9-17E2-439E-B9E4-B33CD683C625}"/>
    <cellStyle name="20% - Accent3 5 6 4" xfId="36310" xr:uid="{ACFC6C58-AD15-4418-B648-F2CD0DC75BE9}"/>
    <cellStyle name="20% - Accent3 5 7" xfId="31829" xr:uid="{50BFAD04-AAF5-4AB4-8EED-020CF5C4C56F}"/>
    <cellStyle name="20% - Accent3 5 7 2" xfId="25188" xr:uid="{E7CBE5D7-FA67-4C94-8073-7EB7B6D31E1E}"/>
    <cellStyle name="20% - Accent3 5 7 3" xfId="36596" xr:uid="{9163158C-6AA1-4544-8D4F-E69A3B7EDCCE}"/>
    <cellStyle name="20% - Accent3 5 8" xfId="29191" xr:uid="{9ABCB520-861C-4032-A1C4-95947D447CEC}"/>
    <cellStyle name="20% - Accent3 5 8 2" xfId="37481" xr:uid="{859769D6-D491-419E-9B33-262D48ACE4A6}"/>
    <cellStyle name="20% - Accent3 5 9" xfId="34580" xr:uid="{BD93B56A-0443-4BE4-BB12-CC80D4263601}"/>
    <cellStyle name="20% - Accent3 6" xfId="285" xr:uid="{E0DCF4CC-15FA-4E3E-92E8-A6F3D2379F39}"/>
    <cellStyle name="20% - Accent3 6 2" xfId="19242" xr:uid="{3BFAE889-1C26-4CB0-BF17-DFD67A67E1B4}"/>
    <cellStyle name="20% - Accent3 6 2 2" xfId="15590" xr:uid="{7AF3F049-81E1-45C9-975A-31A5E6C5EAAF}"/>
    <cellStyle name="20% - Accent3 6 2 2 2" xfId="21176" xr:uid="{48339536-BD8C-43A2-A1E6-BCB08D8BF408}"/>
    <cellStyle name="20% - Accent3 6 2 2 2 2" xfId="21171" xr:uid="{FB2170D8-3D21-48C4-8803-025BF1C40A22}"/>
    <cellStyle name="20% - Accent3 6 2 2 2 2 2" xfId="25187" xr:uid="{C1542C63-0FF8-4B39-8BB4-6E61F8359625}"/>
    <cellStyle name="20% - Accent3 6 2 2 2 2 2 2" xfId="22958" xr:uid="{B7206925-1FF8-4784-96DB-E5A989AAD940}"/>
    <cellStyle name="20% - Accent3 6 2 2 2 2 3" xfId="25181" xr:uid="{5A387429-DC19-4062-9FE0-4B17976C75D0}"/>
    <cellStyle name="20% - Accent3 6 2 2 2 3" xfId="25178" xr:uid="{65F0A616-5F23-4364-AF71-594C6106F447}"/>
    <cellStyle name="20% - Accent3 6 2 2 2 3 2" xfId="27677" xr:uid="{79BBC0A9-288E-4D67-8B8D-43F158F1EAD8}"/>
    <cellStyle name="20% - Accent3 6 2 2 2 4" xfId="25176" xr:uid="{3322D279-C9A9-4265-AF31-388EEDEEC8A7}"/>
    <cellStyle name="20% - Accent3 6 2 2 3" xfId="21168" xr:uid="{28F53B61-2F4B-4C7D-BD4A-3357824CF14B}"/>
    <cellStyle name="20% - Accent3 6 2 2 3 2" xfId="32905" xr:uid="{6A452147-5457-4071-8C8D-3DCA943EE07F}"/>
    <cellStyle name="20% - Accent3 6 2 2 3 2 2" xfId="25173" xr:uid="{EA1602A2-AAF1-4514-B897-91B7BD5981BD}"/>
    <cellStyle name="20% - Accent3 6 2 2 3 3" xfId="25172" xr:uid="{F5CD9A9F-5825-4A2F-8090-515CED55A983}"/>
    <cellStyle name="20% - Accent3 6 2 2 4" xfId="31155" xr:uid="{FEBB572B-E066-45DE-8A21-992B98F6E259}"/>
    <cellStyle name="20% - Accent3 6 2 2 4 2" xfId="27169" xr:uid="{2E335B43-EED8-44BC-B2FE-3141AF31DDAC}"/>
    <cellStyle name="20% - Accent3 6 2 2 5" xfId="27165" xr:uid="{801156F5-3E66-4E9D-B103-9C0E4046D24B}"/>
    <cellStyle name="20% - Accent3 6 2 3" xfId="27349" xr:uid="{193D2267-773D-4061-905C-B5B0B8B463B4}"/>
    <cellStyle name="20% - Accent3 6 2 3 2" xfId="21159" xr:uid="{54514B58-A548-4795-9DE9-C8FB3D4629A0}"/>
    <cellStyle name="20% - Accent3 6 2 3 2 2" xfId="26446" xr:uid="{DB82F0DE-7233-476F-A1FF-02D7D12AC291}"/>
    <cellStyle name="20% - Accent3 6 2 3 2 2 2" xfId="25168" xr:uid="{A384999D-4B66-4209-BF54-DC7C124D56AE}"/>
    <cellStyle name="20% - Accent3 6 2 3 2 3" xfId="25162" xr:uid="{312BC49B-113B-4D56-B9A3-172D313E4066}"/>
    <cellStyle name="20% - Accent3 6 2 3 3" xfId="31328" xr:uid="{E37C86CB-F8D7-438D-AE8E-1D42D879C2F6}"/>
    <cellStyle name="20% - Accent3 6 2 3 3 2" xfId="25153" xr:uid="{273D8982-100C-4BCE-9FDE-6962F5E3DAA0}"/>
    <cellStyle name="20% - Accent3 6 2 3 4" xfId="27159" xr:uid="{876B250F-C0AD-47C8-B3D7-59E164AFFD89}"/>
    <cellStyle name="20% - Accent3 6 2 4" xfId="27343" xr:uid="{FA3F688F-65EA-4E27-9BED-C4C39BB13748}"/>
    <cellStyle name="20% - Accent3 6 2 4 2" xfId="25151" xr:uid="{8B3B80A6-37A2-4E32-97A2-66734AAEAAC6}"/>
    <cellStyle name="20% - Accent3 6 2 4 2 2" xfId="25759" xr:uid="{46648B63-BB99-4AC2-B1AD-26640CF7952F}"/>
    <cellStyle name="20% - Accent3 6 2 4 3" xfId="28570" xr:uid="{39AE1D8C-02A4-45D2-BB4B-723BEC979919}"/>
    <cellStyle name="20% - Accent3 6 2 5" xfId="20481" xr:uid="{0EE23368-0596-4CA3-8350-B51C79D9BF90}"/>
    <cellStyle name="20% - Accent3 6 2 5 2" xfId="33307" xr:uid="{4807047F-0575-4155-847F-41375A035076}"/>
    <cellStyle name="20% - Accent3 6 2 6" xfId="21432" xr:uid="{3CBC707F-7FFE-444D-9EE1-962E550D067F}"/>
    <cellStyle name="20% - Accent3 6 2 7" xfId="34820" xr:uid="{F96B33BA-6708-4A09-AB97-FE6DDC686D2A}"/>
    <cellStyle name="20% - Accent3 6 3" xfId="15586" xr:uid="{4DE55D3A-53D1-4AB3-8E27-D67CE41D0D82}"/>
    <cellStyle name="20% - Accent3 6 3 2" xfId="33304" xr:uid="{F849F0DE-A844-480B-AD66-4F1607D032EB}"/>
    <cellStyle name="20% - Accent3 6 3 2 2" xfId="21142" xr:uid="{93CEFD94-8EDA-4209-8F1D-8262EE242DA3}"/>
    <cellStyle name="20% - Accent3 6 3 2 2 2" xfId="25150" xr:uid="{9DDAEC5B-CC34-48D6-A8CC-232C7F8782C7}"/>
    <cellStyle name="20% - Accent3 6 3 2 2 2 2" xfId="27449" xr:uid="{7FDEA5E7-B3CB-472B-A99E-677A0954A894}"/>
    <cellStyle name="20% - Accent3 6 3 2 2 3" xfId="25149" xr:uid="{3198EC29-F751-417C-85C8-9EBCA1DFA14B}"/>
    <cellStyle name="20% - Accent3 6 3 2 3" xfId="30299" xr:uid="{FD38C1C2-16E4-4B22-AFCE-B765C2CC0241}"/>
    <cellStyle name="20% - Accent3 6 3 2 3 2" xfId="25147" xr:uid="{3B5C1F91-7543-43EF-9409-47171EC4A8F4}"/>
    <cellStyle name="20% - Accent3 6 3 2 4" xfId="27142" xr:uid="{39C6AEC7-93F5-4777-B5AB-420895D9F2F7}"/>
    <cellStyle name="20% - Accent3 6 3 3" xfId="27337" xr:uid="{AF5459D5-EC75-4CD3-A4AC-D701346C533D}"/>
    <cellStyle name="20% - Accent3 6 3 3 2" xfId="25144" xr:uid="{AFB69A08-DB78-4261-BDDC-0DD2EA4777DC}"/>
    <cellStyle name="20% - Accent3 6 3 3 2 2" xfId="26885" xr:uid="{1653848E-C705-4FD6-A3A2-CE654722E7CD}"/>
    <cellStyle name="20% - Accent3 6 3 3 3" xfId="25139" xr:uid="{1991B725-812B-4D6B-99A8-600738775C12}"/>
    <cellStyle name="20% - Accent3 6 3 4" xfId="30672" xr:uid="{5FDC868A-3CE1-45CA-BC6B-CE54C08B8323}"/>
    <cellStyle name="20% - Accent3 6 3 4 2" xfId="25134" xr:uid="{A08C1D52-AEEA-402D-A536-8DD7B38A83DF}"/>
    <cellStyle name="20% - Accent3 6 3 5" xfId="16630" xr:uid="{12ADA0C0-BA00-4D2F-882E-0B411C325BA4}"/>
    <cellStyle name="20% - Accent3 6 3 6" xfId="35022" xr:uid="{D24F58A0-3406-4522-B8B4-38BAD903CD4C}"/>
    <cellStyle name="20% - Accent3 6 4" xfId="15584" xr:uid="{9DF64095-6C6E-48E7-8BF9-E4A1BF5B9ADC}"/>
    <cellStyle name="20% - Accent3 6 4 2" xfId="27334" xr:uid="{9E52714F-3D7C-4F22-B007-49E2907381E7}"/>
    <cellStyle name="20% - Accent3 6 4 2 2" xfId="25129" xr:uid="{3C38EA42-6D20-48BC-81BA-DD71DAE62E65}"/>
    <cellStyle name="20% - Accent3 6 4 2 2 2" xfId="34095" xr:uid="{A625534A-42CE-41E0-BE93-D2DAF04A07A0}"/>
    <cellStyle name="20% - Accent3 6 4 2 3" xfId="25120" xr:uid="{9D0FDDFF-562A-4871-971F-69C760FB34CE}"/>
    <cellStyle name="20% - Accent3 6 4 3" xfId="26621" xr:uid="{618D61A3-860F-491E-A616-05B94AF6A041}"/>
    <cellStyle name="20% - Accent3 6 4 3 2" xfId="26618" xr:uid="{FD0F524B-9A8F-4582-B993-1DDF30F15D5D}"/>
    <cellStyle name="20% - Accent3 6 4 4" xfId="30662" xr:uid="{15CA1C1C-14A9-4F8E-AD62-C8E5C83CAED2}"/>
    <cellStyle name="20% - Accent3 6 4 5" xfId="35228" xr:uid="{E33BFA4F-64DC-413E-90B5-8809D338B039}"/>
    <cellStyle name="20% - Accent3 6 5" xfId="15582" xr:uid="{E56D492B-1EAB-40EF-A5DB-572A3D56C0D0}"/>
    <cellStyle name="20% - Accent3 6 5 2" xfId="25114" xr:uid="{ACEAD211-60C1-41D5-9D47-FC6C43AD5896}"/>
    <cellStyle name="20% - Accent3 6 5 2 2" xfId="17752" xr:uid="{F684846C-8F1A-4EF9-8B96-2B702C71FC7A}"/>
    <cellStyle name="20% - Accent3 6 5 3" xfId="26600" xr:uid="{35AD2203-5B85-4BA9-A6F1-8F5FB60EB14C}"/>
    <cellStyle name="20% - Accent3 6 5 4" xfId="35457" xr:uid="{B64C9F4A-C8F6-4659-B169-7696C396D810}"/>
    <cellStyle name="20% - Accent3 6 6" xfId="28239" xr:uid="{48F8BE65-AA87-4838-903C-98C444DCF355}"/>
    <cellStyle name="20% - Accent3 6 6 2" xfId="25112" xr:uid="{EBCED9BA-8FCC-433D-8AF1-01BEAB7821BC}"/>
    <cellStyle name="20% - Accent3 6 6 3" xfId="36329" xr:uid="{5884D6C6-CD79-43E6-B7A5-BD070A052650}"/>
    <cellStyle name="20% - Accent3 6 7" xfId="25111" xr:uid="{92014F91-A8B8-4025-B8CF-B3C3D4CE9C4D}"/>
    <cellStyle name="20% - Accent3 6 7 2" xfId="36615" xr:uid="{AF4136A0-CADA-40DB-AEB5-85266E3A9F10}"/>
    <cellStyle name="20% - Accent3 6 8" xfId="34594" xr:uid="{670EB8E5-7099-4CC2-9EA0-23414556B833}"/>
    <cellStyle name="20% - Accent3 6 9" xfId="19244" xr:uid="{DE268F5B-BEB6-40F6-95E0-C1B83C4D6D27}"/>
    <cellStyle name="20% - Accent3 7" xfId="305" xr:uid="{9CBEA83D-52E2-43DD-B7DC-1E3C320B86EF}"/>
    <cellStyle name="20% - Accent3 7 2" xfId="19845" xr:uid="{B63591A3-CE4A-4831-B314-473A7C593D6D}"/>
    <cellStyle name="20% - Accent3 7 2 2" xfId="27325" xr:uid="{9BA6746E-96F9-4B98-B2C1-BAA4EF97B27F}"/>
    <cellStyle name="20% - Accent3 7 2 2 2" xfId="20607" xr:uid="{311878F2-7FE9-47AB-BD09-533A7D890CBA}"/>
    <cellStyle name="20% - Accent3 7 2 2 2 2" xfId="32699" xr:uid="{32710FE8-17B3-4F85-9B25-631FCB104DAC}"/>
    <cellStyle name="20% - Accent3 7 2 2 2 2 2" xfId="23270" xr:uid="{1C19A8DD-830E-4F1C-A9AB-C1398AFCCA82}"/>
    <cellStyle name="20% - Accent3 7 2 2 2 3" xfId="33250" xr:uid="{15CDED2B-079B-4FBD-A0B9-BFF716A50756}"/>
    <cellStyle name="20% - Accent3 7 2 2 3" xfId="27758" xr:uid="{9EEB92F8-21D1-4980-B030-15BB2388D673}"/>
    <cellStyle name="20% - Accent3 7 2 2 3 2" xfId="26328" xr:uid="{F7A735E9-C2E6-4A52-A519-D6A0C071D639}"/>
    <cellStyle name="20% - Accent3 7 2 2 4" xfId="27753" xr:uid="{9729FA4F-4E17-41DD-B192-A8B2707115D3}"/>
    <cellStyle name="20% - Accent3 7 2 3" xfId="27321" xr:uid="{2C7E2A1A-5AD0-4369-A99F-1661C0A7C91E}"/>
    <cellStyle name="20% - Accent3 7 2 3 2" xfId="25109" xr:uid="{66610985-8A0E-437D-9CAF-E59308B399E5}"/>
    <cellStyle name="20% - Accent3 7 2 3 2 2" xfId="32624" xr:uid="{EC1B96A3-CC65-4EA9-AE56-8D95BD60E663}"/>
    <cellStyle name="20% - Accent3 7 2 3 3" xfId="27752" xr:uid="{DF6D4156-6D22-403B-A038-65A073CE231C}"/>
    <cellStyle name="20% - Accent3 7 2 4" xfId="25108" xr:uid="{38D30F5C-21F8-42FD-ADB4-2867DEB03746}"/>
    <cellStyle name="20% - Accent3 7 2 4 2" xfId="25106" xr:uid="{584A1547-F32F-4127-8715-FD9C004C669A}"/>
    <cellStyle name="20% - Accent3 7 2 5" xfId="21416" xr:uid="{CF2C3275-208F-42DF-B38D-0EE45DBF0354}"/>
    <cellStyle name="20% - Accent3 7 2 6" xfId="34839" xr:uid="{C805AA73-421E-4576-8F0A-410B97219421}"/>
    <cellStyle name="20% - Accent3 7 3" xfId="28210" xr:uid="{F9D5EEC1-6CB2-4478-BB97-ED6F66B34861}"/>
    <cellStyle name="20% - Accent3 7 3 2" xfId="27317" xr:uid="{C660FBAC-59ED-4377-9C1E-742CAC09E962}"/>
    <cellStyle name="20% - Accent3 7 3 2 2" xfId="32403" xr:uid="{DE9525B7-EE19-48F7-B6D2-B98B173893F0}"/>
    <cellStyle name="20% - Accent3 7 3 2 2 2" xfId="32522" xr:uid="{815F0CA8-2B72-4580-913E-396172D9F1E1}"/>
    <cellStyle name="20% - Accent3 7 3 2 3" xfId="33035" xr:uid="{A842D6F6-D13A-45F0-8928-169DDCA26221}"/>
    <cellStyle name="20% - Accent3 7 3 3" xfId="25104" xr:uid="{F4AD303D-783C-4491-9AC9-F55DC2F163E4}"/>
    <cellStyle name="20% - Accent3 7 3 3 2" xfId="34011" xr:uid="{105FA798-6C62-47B2-8724-BB611D876DB2}"/>
    <cellStyle name="20% - Accent3 7 3 4" xfId="22156" xr:uid="{475866B7-9548-41A6-BA7C-6E6BD692C8D4}"/>
    <cellStyle name="20% - Accent3 7 3 5" xfId="35041" xr:uid="{B22ED4DD-28B4-4637-B0F9-72331A2BE382}"/>
    <cellStyle name="20% - Accent3 7 4" xfId="28204" xr:uid="{CCC06836-1D2C-45F4-9836-90207636B4A2}"/>
    <cellStyle name="20% - Accent3 7 4 2" xfId="25103" xr:uid="{BA2579C7-70FB-4E95-8199-DC07B84F7E36}"/>
    <cellStyle name="20% - Accent3 7 4 2 2" xfId="17727" xr:uid="{AE499D4D-D804-476A-A479-3585562F970E}"/>
    <cellStyle name="20% - Accent3 7 4 3" xfId="26592" xr:uid="{7584D6F7-33F1-44A3-B691-BC39DE836242}"/>
    <cellStyle name="20% - Accent3 7 4 4" xfId="35248" xr:uid="{0D2FB7DE-A85A-4C69-948E-09C78462D1F9}"/>
    <cellStyle name="20% - Accent3 7 5" xfId="28236" xr:uid="{86E69D41-EC78-47F3-A657-1E78E84EC386}"/>
    <cellStyle name="20% - Accent3 7 5 2" xfId="25099" xr:uid="{87488062-CFCC-4F87-8FA3-0AD01718BADC}"/>
    <cellStyle name="20% - Accent3 7 5 3" xfId="35477" xr:uid="{068C3AD9-B7D3-492E-9737-8C2AA77AAA79}"/>
    <cellStyle name="20% - Accent3 7 6" xfId="28521" xr:uid="{A59CB29F-9049-4758-BF70-9F2F319AFA42}"/>
    <cellStyle name="20% - Accent3 7 6 2" xfId="36349" xr:uid="{64E91CA0-34A8-4922-A141-F71501859CB2}"/>
    <cellStyle name="20% - Accent3 7 7" xfId="34608" xr:uid="{9C47E72B-1325-4C61-8A98-3FEE03A7C872}"/>
    <cellStyle name="20% - Accent3 7 8" xfId="20127" xr:uid="{1544C557-7A38-4258-A914-73CA52780183}"/>
    <cellStyle name="20% - Accent3 7 8 2" xfId="37507" xr:uid="{4728D2BC-10BA-41B0-8B1A-68428A2E0C8F}"/>
    <cellStyle name="20% - Accent3 8" xfId="325" xr:uid="{5DF44895-5E3E-4158-9C84-FD80F6A99C30}"/>
    <cellStyle name="20% - Accent3 8 2" xfId="27305" xr:uid="{DF1BAD65-B9CE-4486-B03D-DAB37F032EEF}"/>
    <cellStyle name="20% - Accent3 8 2 2" xfId="24692" xr:uid="{D554FCC4-37D2-432A-9EBB-D479590FE1FC}"/>
    <cellStyle name="20% - Accent3 8 2 2 2" xfId="25096" xr:uid="{CB19CD32-CD98-471C-B5B1-8EB9121BFA41}"/>
    <cellStyle name="20% - Accent3 8 2 2 2 2" xfId="6279" xr:uid="{B73DE53F-4A01-4C71-BF4C-424A178C9EC3}"/>
    <cellStyle name="20% - Accent3 8 2 2 3" xfId="25102" xr:uid="{60A9B995-2C06-456A-BA51-93BE71B795F4}"/>
    <cellStyle name="20% - Accent3 8 2 3" xfId="25095" xr:uid="{06647812-2223-41C3-A7AA-F5D68F5D93C3}"/>
    <cellStyle name="20% - Accent3 8 2 3 2" xfId="25092" xr:uid="{C02B0400-49B1-4AE9-B7DC-2E4A33BE6DFD}"/>
    <cellStyle name="20% - Accent3 8 2 4" xfId="25089" xr:uid="{713E4BB3-19DA-4118-AABC-9FB10CFE2217}"/>
    <cellStyle name="20% - Accent3 8 2 5" xfId="34858" xr:uid="{5898B952-33A4-46D7-BCD3-E7A3DF8D3CB5}"/>
    <cellStyle name="20% - Accent3 8 3" xfId="27299" xr:uid="{7F51298E-4CB5-4E04-85F4-0E85E1AFD5AC}"/>
    <cellStyle name="20% - Accent3 8 3 2" xfId="32984" xr:uid="{15223AA8-9BB6-40F0-9E3E-B2E4EE405CD4}"/>
    <cellStyle name="20% - Accent3 8 3 2 2" xfId="31343" xr:uid="{1302786A-B61E-47F3-876C-2EC76B7042E0}"/>
    <cellStyle name="20% - Accent3 8 3 3" xfId="25088" xr:uid="{4363C08B-7095-4BBF-ADEF-4232493DD802}"/>
    <cellStyle name="20% - Accent3 8 3 4" xfId="35060" xr:uid="{049A0CA4-84E7-49BE-9447-80AA72D03061}"/>
    <cellStyle name="20% - Accent3 8 4" xfId="25087" xr:uid="{371F3228-FE31-42B3-90C1-4D596EE6ACE5}"/>
    <cellStyle name="20% - Accent3 8 4 2" xfId="25086" xr:uid="{E6E5EDEB-F99C-4F5D-ABE3-B8C7562E5705}"/>
    <cellStyle name="20% - Accent3 8 4 3" xfId="35267" xr:uid="{14FEFEDB-C764-4E23-951F-1B08149FD530}"/>
    <cellStyle name="20% - Accent3 8 5" xfId="27222" xr:uid="{524C0F4E-EDB3-4688-8A6B-0E4B5251C1D5}"/>
    <cellStyle name="20% - Accent3 8 5 2" xfId="35496" xr:uid="{B42CE3F3-DFDF-4D67-81F0-FB6CE51BFEC0}"/>
    <cellStyle name="20% - Accent3 8 6" xfId="34622" xr:uid="{6A0DFFF1-27CC-4824-9BEC-A228F62F3E82}"/>
    <cellStyle name="20% - Accent3 8 7" xfId="29489" xr:uid="{674FCA4E-3819-4FD2-8F1D-B4C5225F1AC3}"/>
    <cellStyle name="20% - Accent3 8 7 2" xfId="36641" xr:uid="{432E5373-69BA-4EFC-AF89-AD7FE2A479EF}"/>
    <cellStyle name="20% - Accent3 8 8" xfId="37526" xr:uid="{852A8487-087B-46A1-BD70-B08AFBB0C111}"/>
    <cellStyle name="20% - Accent3 9" xfId="345" xr:uid="{1FD71D45-4C0A-493C-BB6E-04DC7DBB6281}"/>
    <cellStyle name="20% - Accent3 9 2" xfId="27289" xr:uid="{BE998358-5D40-4C6B-A800-E5C3FCD2A37B}"/>
    <cellStyle name="20% - Accent3 9 2 2" xfId="25084" xr:uid="{429434E1-D572-4B82-830F-9F3F5DFDA3DE}"/>
    <cellStyle name="20% - Accent3 9 2 2 2" xfId="25078" xr:uid="{883F53E6-0F3B-4101-9A8D-A5789EABF55E}"/>
    <cellStyle name="20% - Accent3 9 2 3" xfId="25074" xr:uid="{C5E1D6E8-2463-49F4-BB79-79377E8D57AD}"/>
    <cellStyle name="20% - Accent3 9 2 4" xfId="34878" xr:uid="{63124C4A-752F-4566-9C83-83F8632C8E20}"/>
    <cellStyle name="20% - Accent3 9 3" xfId="13586" xr:uid="{6A3B4A5D-FD24-4BAD-BE5E-EB9057BF7CAB}"/>
    <cellStyle name="20% - Accent3 9 3 2" xfId="25071" xr:uid="{6571FE94-376F-4F74-953A-535C8BA50EEA}"/>
    <cellStyle name="20% - Accent3 9 3 3" xfId="35079" xr:uid="{C2E28F0C-E68E-42BE-8921-8EECAE0D1AB1}"/>
    <cellStyle name="20% - Accent3 9 4" xfId="18609" xr:uid="{F7B71057-C0AC-458E-B36E-CCB60B1EB205}"/>
    <cellStyle name="20% - Accent3 9 4 2" xfId="35287" xr:uid="{3B804264-88C0-45A5-9781-95EAB39CF5E3}"/>
    <cellStyle name="20% - Accent3 9 5" xfId="34636" xr:uid="{451452BA-DC38-444F-B417-F6209B5546E7}"/>
    <cellStyle name="20% - Accent3 9 6" xfId="21452" xr:uid="{D9E9DECF-4DF9-4B1C-99DC-18EF5897AD23}"/>
    <cellStyle name="20% - Accent3 9 6 2" xfId="36375" xr:uid="{6CDD39C6-6C4C-4F57-A1E5-CC976DDAF53B}"/>
    <cellStyle name="20% - Accent3 9 7" xfId="36661" xr:uid="{C040003A-7A71-44EC-BACF-5FBF4D9C78BE}"/>
    <cellStyle name="20% - Accent3 9 8" xfId="37546" xr:uid="{4486AA14-2617-4E55-8314-B4F5611AC63D}"/>
    <cellStyle name="20% - Accent4" xfId="34" builtinId="42" customBuiltin="1"/>
    <cellStyle name="20% - Accent4 10" xfId="186" xr:uid="{0F973E3A-6C30-42DF-A5C8-B36684266705}"/>
    <cellStyle name="20% - Accent4 10 2" xfId="27092" xr:uid="{D7FE0F58-6C89-47E5-BBFC-1B5506469CAF}"/>
    <cellStyle name="20% - Accent4 10 2 2" xfId="33437" xr:uid="{5AAD6417-8512-4662-A3FB-6935591A730F}"/>
    <cellStyle name="20% - Accent4 10 2 3" xfId="34899" xr:uid="{630A1FAC-4F92-4888-924C-2B0B75B50785}"/>
    <cellStyle name="20% - Accent4 10 3" xfId="25069" xr:uid="{837C7DCE-3DCD-46BC-B26C-8F3D64AA3E2C}"/>
    <cellStyle name="20% - Accent4 10 3 2" xfId="35101" xr:uid="{67BDAFFE-3F6F-4896-9273-A6391356627D}"/>
    <cellStyle name="20% - Accent4 10 4" xfId="34525" xr:uid="{E32DDA2E-5FD7-478A-B14C-4D189E75D868}"/>
    <cellStyle name="20% - Accent4 10 5" xfId="25475" xr:uid="{350DE012-3B84-4893-91E9-D9B2B78D1602}"/>
    <cellStyle name="20% - Accent4 10 5 2" xfId="35524" xr:uid="{6B921CE1-6532-478B-AF2E-0A6D39C2529C}"/>
    <cellStyle name="20% - Accent4 10 6" xfId="36397" xr:uid="{671DD4BC-EBCB-48C1-8D9C-E8BEC8B70542}"/>
    <cellStyle name="20% - Accent4 10 7" xfId="36683" xr:uid="{EFB652CA-47F9-4B18-A23E-9F10B10E688A}"/>
    <cellStyle name="20% - Accent4 10 8" xfId="37568" xr:uid="{4889D5D4-3B2A-44DB-8949-FE45933E72F8}"/>
    <cellStyle name="20% - Accent4 11" xfId="32019" xr:uid="{DE6AA1BB-EC57-47CA-83CA-0FA03CEADD99}"/>
    <cellStyle name="20% - Accent4 11 2" xfId="34321" xr:uid="{91EF75F2-7653-4F3D-853B-63701A895829}"/>
    <cellStyle name="20% - Accent4 11 2 2" xfId="35120" xr:uid="{D7666481-387E-444C-9048-EDD2863CCB8F}"/>
    <cellStyle name="20% - Accent4 11 3" xfId="34694" xr:uid="{F5FB4C72-EAA0-495C-BAE2-6E16761E3DB4}"/>
    <cellStyle name="20% - Accent4 11 4" xfId="35544" xr:uid="{3E97737E-E957-47B3-8663-8F47510B4C76}"/>
    <cellStyle name="20% - Accent4 11 5" xfId="36417" xr:uid="{5E06F290-A380-48AD-95D2-499FFCC37C9C}"/>
    <cellStyle name="20% - Accent4 11 6" xfId="36703" xr:uid="{85D2B164-7399-4E38-BE84-01699B0042C5}"/>
    <cellStyle name="20% - Accent4 11 7" xfId="37588" xr:uid="{4DB44461-2AFE-481D-A65D-C7D85853197F}"/>
    <cellStyle name="20% - Accent4 12" xfId="33723" xr:uid="{ED66F198-2A75-4D74-A07F-FD835DBA1292}"/>
    <cellStyle name="20% - Accent4 12 2" xfId="34710" xr:uid="{0A3CA034-2DDF-4D5A-A248-68AAA466684C}"/>
    <cellStyle name="20% - Accent4 12 3" xfId="35323" xr:uid="{27457429-C6DC-4DC5-B555-5E87CB2C632F}"/>
    <cellStyle name="20% - Accent4 12 4" xfId="35563" xr:uid="{4743D291-FC7F-4AB9-87F7-0242710FC88A}"/>
    <cellStyle name="20% - Accent4 12 5" xfId="36436" xr:uid="{2A83E03B-09AA-4CCB-B48C-952022AAC020}"/>
    <cellStyle name="20% - Accent4 12 6" xfId="36722" xr:uid="{5A89B1B1-D06E-4F2A-A1A8-36FCEFB85AB5}"/>
    <cellStyle name="20% - Accent4 12 7" xfId="37607" xr:uid="{1EA0C7C3-19FE-4A99-9222-D9AA229D0400}"/>
    <cellStyle name="20% - Accent4 13" xfId="27891" xr:uid="{488BB52C-CDD0-4CC7-9C51-F4B313055758}"/>
    <cellStyle name="20% - Accent4 13 2" xfId="34738" xr:uid="{9F7D2385-6435-4291-B0F7-9F10081F4EA1}"/>
    <cellStyle name="20% - Accent4 13 3" xfId="35582" xr:uid="{01A94101-9C44-48B5-86EA-8CBB6296D8F4}"/>
    <cellStyle name="20% - Accent4 13 4" xfId="36457" xr:uid="{21C21B7F-71DF-4CC7-B1AF-C28DD69D36EB}"/>
    <cellStyle name="20% - Accent4 13 5" xfId="36743" xr:uid="{77B15CC5-ADFB-42DC-86A5-86245CF91F86}"/>
    <cellStyle name="20% - Accent4 13 6" xfId="37628" xr:uid="{2DFAFFA6-3D2D-4E12-86C1-2CA605BB4F69}"/>
    <cellStyle name="20% - Accent4 14" xfId="30598" xr:uid="{94688746-413B-4367-8197-B073B7F0CCB5}"/>
    <cellStyle name="20% - Accent4 14 2" xfId="34928" xr:uid="{7E7A78FB-881C-416C-8366-2270D2D7DFF1}"/>
    <cellStyle name="20% - Accent4 14 3" xfId="36755" xr:uid="{3C720051-E920-4865-B0A0-B16365AF201E}"/>
    <cellStyle name="20% - Accent4 14 4" xfId="37640" xr:uid="{894CB8F5-A704-40F5-82D0-4F7F23E64053}"/>
    <cellStyle name="20% - Accent4 15" xfId="34649" xr:uid="{2BE5554D-4634-4FA3-9165-26829A6D7689}"/>
    <cellStyle name="20% - Accent4 15 2" xfId="36482" xr:uid="{06418903-4BE2-463E-AF9D-183E5F316620}"/>
    <cellStyle name="20% - Accent4 15 3" xfId="36780" xr:uid="{3D0110E6-A6BD-46A7-A3CE-38F04CD0ACC5}"/>
    <cellStyle name="20% - Accent4 15 4" xfId="37668" xr:uid="{E856C3A2-0459-4EFB-8474-789070E375D3}"/>
    <cellStyle name="20% - Accent4 16" xfId="35362" xr:uid="{F4B446A6-1E6A-4C38-83D0-B8E2347F1B0B}"/>
    <cellStyle name="20% - Accent4 16 2" xfId="36500" xr:uid="{6393C6AC-E7A6-4197-8BD7-F302B518EDD1}"/>
    <cellStyle name="20% - Accent4 16 3" xfId="36798" xr:uid="{5B64B2FE-2ECE-42C1-883A-1BA8CA27D240}"/>
    <cellStyle name="20% - Accent4 16 4" xfId="37687" xr:uid="{DA1C832C-0504-4CDC-8147-AF7D1FF8CE67}"/>
    <cellStyle name="20% - Accent4 17" xfId="35649" xr:uid="{3CAD69DA-B2DF-4B48-BDC8-727E85538078}"/>
    <cellStyle name="20% - Accent4 17 2" xfId="36817" xr:uid="{A014BCF2-6BE4-4521-8FDE-835D13F3350F}"/>
    <cellStyle name="20% - Accent4 17 3" xfId="37707" xr:uid="{960198AC-ACBB-43FA-BE14-7DF507DD5081}"/>
    <cellStyle name="20% - Accent4 18" xfId="35667" xr:uid="{C9EE41DC-05D7-4E65-9947-0C2F123F3673}"/>
    <cellStyle name="20% - Accent4 18 2" xfId="36836" xr:uid="{BDFC0043-2F82-4DD7-AE35-1A06D3A73485}"/>
    <cellStyle name="20% - Accent4 18 3" xfId="37726" xr:uid="{BEC94CEE-2F12-4673-ACCF-C87725F36B53}"/>
    <cellStyle name="20% - Accent4 19" xfId="35686" xr:uid="{6118AD79-B9D6-47B5-A771-A558409D1E88}"/>
    <cellStyle name="20% - Accent4 19 2" xfId="36855" xr:uid="{C706BE26-C183-4DE8-B75B-6C7A19184404}"/>
    <cellStyle name="20% - Accent4 19 3" xfId="37745" xr:uid="{6A9A2BBE-3421-4C3C-AB47-939FFA1D0BB0}"/>
    <cellStyle name="20% - Accent4 2" xfId="86" xr:uid="{E3961CB3-5EB2-4408-8135-591D78B06269}"/>
    <cellStyle name="20% - Accent4 2 10" xfId="23225" xr:uid="{CF2B46DF-413C-4F67-A1FB-43D2CEB45EC2}"/>
    <cellStyle name="20% - Accent4 2 10 2" xfId="25061" xr:uid="{525D299B-2F74-4D19-903C-C4FBADF0F5CF}"/>
    <cellStyle name="20% - Accent4 2 10 3" xfId="37426" xr:uid="{ED5616EF-7B47-4BE7-B34B-A4A124B4D88A}"/>
    <cellStyle name="20% - Accent4 2 11" xfId="25055" xr:uid="{080B2222-2691-4F51-A7F2-34B5F8B0B787}"/>
    <cellStyle name="20% - Accent4 2 12" xfId="34443" xr:uid="{D42AE3BE-C654-4933-9628-4C0A182CBD46}"/>
    <cellStyle name="20% - Accent4 2 13" xfId="28173" xr:uid="{2B8DE1DE-F5AA-439A-ACC4-1827A116AFE0}"/>
    <cellStyle name="20% - Accent4 2 2" xfId="147" xr:uid="{0475A451-B996-4EFD-8DFA-C84C2E1ED33F}"/>
    <cellStyle name="20% - Accent4 2 2 10" xfId="25047" xr:uid="{D5453D95-F54E-42DA-8383-D372F26E65F8}"/>
    <cellStyle name="20% - Accent4 2 2 11" xfId="34498" xr:uid="{49A3C9A3-2FF2-4434-B15E-CC8E1ACE881C}"/>
    <cellStyle name="20% - Accent4 2 2 12" xfId="33231" xr:uid="{34A54FDF-0088-4CB5-9469-811EDDDE28A3}"/>
    <cellStyle name="20% - Accent4 2 2 2" xfId="33223" xr:uid="{E1C572EE-2948-428C-BCAF-AD6AF4EC899D}"/>
    <cellStyle name="20% - Accent4 2 2 2 2" xfId="33215" xr:uid="{D4E3910D-F9D8-4988-8FAE-41073C3A608D}"/>
    <cellStyle name="20% - Accent4 2 2 2 2 2" xfId="25037" xr:uid="{A82F4BFB-A953-4ACE-A603-F3B2ED31B62E}"/>
    <cellStyle name="20% - Accent4 2 2 2 2 2 2" xfId="25036" xr:uid="{A68D3841-164E-43D2-986C-D22F505D5605}"/>
    <cellStyle name="20% - Accent4 2 2 2 2 2 2 2" xfId="25655" xr:uid="{445C5F84-67E3-4F05-9298-75126053E72B}"/>
    <cellStyle name="20% - Accent4 2 2 2 2 2 2 2 2" xfId="34281" xr:uid="{247252D5-60CF-4FD7-BF58-D60C4BD13F0E}"/>
    <cellStyle name="20% - Accent4 2 2 2 2 2 2 2 2 2" xfId="8797" xr:uid="{B060C604-273B-4B17-817A-2A8F5CBE8465}"/>
    <cellStyle name="20% - Accent4 2 2 2 2 2 2 2 2 2 2" xfId="31158" xr:uid="{4A15352A-1249-404A-AA0B-0FE8A465E8F4}"/>
    <cellStyle name="20% - Accent4 2 2 2 2 2 2 2 2 2 2 2" xfId="25032" xr:uid="{62F8BF0C-3194-43DF-B17C-0DC56B0A9615}"/>
    <cellStyle name="20% - Accent4 2 2 2 2 2 2 2 2 2 3" xfId="13541" xr:uid="{7C06973D-8141-43A0-AE5F-865FC8D556B7}"/>
    <cellStyle name="20% - Accent4 2 2 2 2 2 2 2 2 3" xfId="8793" xr:uid="{6AA9A73C-1D40-435F-9570-E7DD12844732}"/>
    <cellStyle name="20% - Accent4 2 2 2 2 2 2 2 2 3 2" xfId="20369" xr:uid="{D66F93B6-AB03-4A73-8224-6CADE650695C}"/>
    <cellStyle name="20% - Accent4 2 2 2 2 2 2 2 2 4" xfId="27004" xr:uid="{40B31F9E-2D67-4074-A441-92D9D05436B3}"/>
    <cellStyle name="20% - Accent4 2 2 2 2 2 2 2 3" xfId="25029" xr:uid="{04F00DF7-3F10-47F5-8298-C964ED10577C}"/>
    <cellStyle name="20% - Accent4 2 2 2 2 2 2 2 3 2" xfId="22250" xr:uid="{18834648-5C61-446A-8A13-7137D360DE55}"/>
    <cellStyle name="20% - Accent4 2 2 2 2 2 2 2 3 2 2" xfId="13539" xr:uid="{D8B41D19-49A8-47C2-AFD6-62D79DFBD1D8}"/>
    <cellStyle name="20% - Accent4 2 2 2 2 2 2 2 3 3" xfId="30826" xr:uid="{B4179711-F388-42B2-9AC6-D64BEDE3986C}"/>
    <cellStyle name="20% - Accent4 2 2 2 2 2 2 2 4" xfId="30300" xr:uid="{BF89D0E2-9CF7-4F1B-8F86-5544EE26C2A3}"/>
    <cellStyle name="20% - Accent4 2 2 2 2 2 2 2 4 2" xfId="20185" xr:uid="{AD173558-5CCB-457B-9F0B-888C214989E9}"/>
    <cellStyle name="20% - Accent4 2 2 2 2 2 2 2 5" xfId="25985" xr:uid="{FDD93F1A-9E01-418A-AA4E-C780466571AA}"/>
    <cellStyle name="20% - Accent4 2 2 2 2 2 2 3" xfId="25028" xr:uid="{7DEDF9D5-7252-40D0-A10F-E8BDE660D3B8}"/>
    <cellStyle name="20% - Accent4 2 2 2 2 2 2 3 2" xfId="25024" xr:uid="{9EE3D62B-E0B7-4CC8-BE82-E5EF19E54C73}"/>
    <cellStyle name="20% - Accent4 2 2 2 2 2 2 3 2 2" xfId="8782" xr:uid="{CEAA4E26-732E-403D-8EA0-D36709078AC2}"/>
    <cellStyle name="20% - Accent4 2 2 2 2 2 2 3 2 2 2" xfId="27755" xr:uid="{1E1FC3DC-2376-4157-81A4-7B1EF8E8C0A6}"/>
    <cellStyle name="20% - Accent4 2 2 2 2 2 2 3 2 3" xfId="32333" xr:uid="{8A290524-05FC-49E5-A207-BD4E1AEB5C51}"/>
    <cellStyle name="20% - Accent4 2 2 2 2 2 2 3 3" xfId="25023" xr:uid="{35C8DF62-D481-45EE-AAFC-D89488E20CCD}"/>
    <cellStyle name="20% - Accent4 2 2 2 2 2 2 3 3 2" xfId="32102" xr:uid="{DC953961-CC5A-4F19-B33C-5EE48BED41C4}"/>
    <cellStyle name="20% - Accent4 2 2 2 2 2 2 3 4" xfId="28918" xr:uid="{D46C7ACD-6953-4F79-84EE-B46FD74BFF85}"/>
    <cellStyle name="20% - Accent4 2 2 2 2 2 2 4" xfId="29017" xr:uid="{ECA6B368-E73A-494E-BA2F-9F2717BD9803}"/>
    <cellStyle name="20% - Accent4 2 2 2 2 2 2 4 2" xfId="25022" xr:uid="{4749D373-EC40-487D-A340-79FC7BBF3D14}"/>
    <cellStyle name="20% - Accent4 2 2 2 2 2 2 4 2 2" xfId="6793" xr:uid="{0C75DF86-32E7-47F6-A34D-86215EF22A3D}"/>
    <cellStyle name="20% - Accent4 2 2 2 2 2 2 4 3" xfId="25021" xr:uid="{4AB1415E-F7ED-4779-B6C1-B12E3C5F2DEA}"/>
    <cellStyle name="20% - Accent4 2 2 2 2 2 2 5" xfId="25020" xr:uid="{7C75FAB1-8363-49FE-8BB2-B7A460706E43}"/>
    <cellStyle name="20% - Accent4 2 2 2 2 2 2 5 2" xfId="27399" xr:uid="{DA9794AE-3839-495A-AC3A-1222B6AD6565}"/>
    <cellStyle name="20% - Accent4 2 2 2 2 2 2 6" xfId="25019" xr:uid="{8F8270FB-2D39-441D-B4F4-2EE6684D0DFD}"/>
    <cellStyle name="20% - Accent4 2 2 2 2 2 3" xfId="13774" xr:uid="{132C4543-8CC5-4A73-8CA9-F13248986A67}"/>
    <cellStyle name="20% - Accent4 2 2 2 2 2 3 2" xfId="25015" xr:uid="{9728C2E5-9F6C-4B5B-A244-0E42D21F5122}"/>
    <cellStyle name="20% - Accent4 2 2 2 2 2 3 2 2" xfId="25012" xr:uid="{1C2F10BD-633B-498F-9C8D-C4482B15B761}"/>
    <cellStyle name="20% - Accent4 2 2 2 2 2 3 2 2 2" xfId="8728" xr:uid="{4B173378-8F60-4987-9702-F4749922B19D}"/>
    <cellStyle name="20% - Accent4 2 2 2 2 2 3 2 2 2 2" xfId="13447" xr:uid="{8FD70C03-F644-4D85-A773-97E713FDF667}"/>
    <cellStyle name="20% - Accent4 2 2 2 2 2 3 2 2 3" xfId="33764" xr:uid="{296E24A0-6AC5-4ECA-BBCB-C593EE146B10}"/>
    <cellStyle name="20% - Accent4 2 2 2 2 2 3 2 3" xfId="25011" xr:uid="{158B8765-7D59-4B98-A1D0-6A74A1954843}"/>
    <cellStyle name="20% - Accent4 2 2 2 2 2 3 2 3 2" xfId="24883" xr:uid="{5554F322-E490-456E-9A74-19E521A26CA3}"/>
    <cellStyle name="20% - Accent4 2 2 2 2 2 3 2 4" xfId="33785" xr:uid="{C05AC5B8-9E08-47F8-88B8-C75AE760EA71}"/>
    <cellStyle name="20% - Accent4 2 2 2 2 2 3 3" xfId="25010" xr:uid="{329DAED7-0921-4E64-AB2D-C87A88C0AE2F}"/>
    <cellStyle name="20% - Accent4 2 2 2 2 2 3 3 2" xfId="25009" xr:uid="{0556D8C8-1DBA-447F-8437-7CC99E975D4F}"/>
    <cellStyle name="20% - Accent4 2 2 2 2 2 3 3 2 2" xfId="34076" xr:uid="{8B4769A3-0B2F-4AC4-8C1A-7CCF896EC4C8}"/>
    <cellStyle name="20% - Accent4 2 2 2 2 2 3 3 3" xfId="28879" xr:uid="{28B3169A-366A-4CD0-A908-DBC4A19E60FC}"/>
    <cellStyle name="20% - Accent4 2 2 2 2 2 3 4" xfId="25008" xr:uid="{808B4D5F-EF99-4144-AF24-3F1E45B155B8}"/>
    <cellStyle name="20% - Accent4 2 2 2 2 2 3 4 2" xfId="25007" xr:uid="{8FA0BBC1-F049-449B-B352-7EF8BD605988}"/>
    <cellStyle name="20% - Accent4 2 2 2 2 2 3 5" xfId="25006" xr:uid="{F442D67D-05AE-4215-AE00-E1A7D191F522}"/>
    <cellStyle name="20% - Accent4 2 2 2 2 2 4" xfId="5667" xr:uid="{BFC61643-1C24-4B6B-9DCF-87C63EF3292A}"/>
    <cellStyle name="20% - Accent4 2 2 2 2 2 4 2" xfId="25000" xr:uid="{FA312360-13F0-4023-B8D4-64212CAE71AC}"/>
    <cellStyle name="20% - Accent4 2 2 2 2 2 4 2 2" xfId="24998" xr:uid="{243FF3EA-07EE-49C6-B143-06C4E2902BE7}"/>
    <cellStyle name="20% - Accent4 2 2 2 2 2 4 2 2 2" xfId="33953" xr:uid="{E0DF390F-6FB6-4FA5-AE83-9775713CE5F2}"/>
    <cellStyle name="20% - Accent4 2 2 2 2 2 4 2 3" xfId="24997" xr:uid="{DFFAA0D6-9ED3-44F7-B20C-BED2971B2F57}"/>
    <cellStyle name="20% - Accent4 2 2 2 2 2 4 3" xfId="24995" xr:uid="{F39906F2-9DC7-4C58-816D-5A1EC464B76C}"/>
    <cellStyle name="20% - Accent4 2 2 2 2 2 4 3 2" xfId="24992" xr:uid="{6D54605D-4744-4CBC-851B-1D830666622B}"/>
    <cellStyle name="20% - Accent4 2 2 2 2 2 4 4" xfId="13079" xr:uid="{2F2A845F-6A0B-4565-96D3-B041504DF8A7}"/>
    <cellStyle name="20% - Accent4 2 2 2 2 2 5" xfId="24989" xr:uid="{0B0C419E-4A62-4EF4-A460-B912BFE8AE0F}"/>
    <cellStyle name="20% - Accent4 2 2 2 2 2 5 2" xfId="24983" xr:uid="{CF2ABE55-84D4-4C95-817D-177AA22B4977}"/>
    <cellStyle name="20% - Accent4 2 2 2 2 2 5 2 2" xfId="25013" xr:uid="{EA154FE3-CE01-4492-BEB8-F25C92A55B20}"/>
    <cellStyle name="20% - Accent4 2 2 2 2 2 5 3" xfId="24980" xr:uid="{8B29D68C-6B9B-40C5-A87F-F92402F80CDA}"/>
    <cellStyle name="20% - Accent4 2 2 2 2 2 6" xfId="24976" xr:uid="{BE04EA05-DCA6-4F35-A36A-5E34A3C152A6}"/>
    <cellStyle name="20% - Accent4 2 2 2 2 2 6 2" xfId="27567" xr:uid="{E00F6A14-41F2-4A03-AB93-4766F0CE6629}"/>
    <cellStyle name="20% - Accent4 2 2 2 2 2 7" xfId="27452" xr:uid="{70354DB5-32F1-48D2-8DAE-BE74431E7CC8}"/>
    <cellStyle name="20% - Accent4 2 2 2 2 3" xfId="24972" xr:uid="{7FFFD77E-A70C-478C-83A4-09D7BDBF047D}"/>
    <cellStyle name="20% - Accent4 2 2 2 2 3 2" xfId="24964" xr:uid="{4F035719-BD32-4806-9848-002A01A46AEF}"/>
    <cellStyle name="20% - Accent4 2 2 2 2 3 2 2" xfId="25629" xr:uid="{8F770C85-7263-439C-8424-4E5D23EAAD5A}"/>
    <cellStyle name="20% - Accent4 2 2 2 2 3 2 2 2" xfId="24971" xr:uid="{77101EF2-4C1B-4B3F-BB4C-C999211D95C4}"/>
    <cellStyle name="20% - Accent4 2 2 2 2 3 2 2 2 2" xfId="8597" xr:uid="{0F80642C-6AA2-4973-903B-D97264ED4DB2}"/>
    <cellStyle name="20% - Accent4 2 2 2 2 3 2 2 2 2 2" xfId="13305" xr:uid="{90AF9945-26A9-45CC-85B8-3D595D0E6E33}"/>
    <cellStyle name="20% - Accent4 2 2 2 2 3 2 2 2 3" xfId="10201" xr:uid="{6D7D0F67-B899-4449-A187-971BC55AD0B7}"/>
    <cellStyle name="20% - Accent4 2 2 2 2 3 2 2 3" xfId="24970" xr:uid="{A3A5EA57-4E2A-4AAF-9CEA-EB11198ADDF7}"/>
    <cellStyle name="20% - Accent4 2 2 2 2 3 2 2 3 2" xfId="30099" xr:uid="{98AD2683-D9E4-46BE-A7F2-3EE7BC36AA7E}"/>
    <cellStyle name="20% - Accent4 2 2 2 2 3 2 2 4" xfId="28751" xr:uid="{DA4A3D07-126A-4D00-BD84-1B6657EEB10B}"/>
    <cellStyle name="20% - Accent4 2 2 2 2 3 2 3" xfId="32367" xr:uid="{763A6272-6CB2-4262-B834-7C1D58775595}"/>
    <cellStyle name="20% - Accent4 2 2 2 2 3 2 3 2" xfId="25034" xr:uid="{54F234D7-03A2-4860-93F6-A1843A0E2B4A}"/>
    <cellStyle name="20% - Accent4 2 2 2 2 3 2 3 2 2" xfId="33845" xr:uid="{31EAFA88-4500-4F73-A9D1-D54D55E4AB85}"/>
    <cellStyle name="20% - Accent4 2 2 2 2 3 2 3 3" xfId="24969" xr:uid="{2A1FB698-FFA5-4C17-9E50-97B3CFD69020}"/>
    <cellStyle name="20% - Accent4 2 2 2 2 3 2 4" xfId="32366" xr:uid="{FDD6FF0C-6D44-4535-8C62-DE2D54EAB2A9}"/>
    <cellStyle name="20% - Accent4 2 2 2 2 3 2 4 2" xfId="12529" xr:uid="{A3F1AFD4-2A2A-4301-8CB3-DACB67ED15DB}"/>
    <cellStyle name="20% - Accent4 2 2 2 2 3 2 5" xfId="24962" xr:uid="{1D9FA7B7-C0FF-4553-9D5D-6FA385778FE2}"/>
    <cellStyle name="20% - Accent4 2 2 2 2 3 3" xfId="13760" xr:uid="{9403BF61-478F-4971-AA8D-27C62B8F271E}"/>
    <cellStyle name="20% - Accent4 2 2 2 2 3 3 2" xfId="32358" xr:uid="{49E5032D-04D9-455A-A306-E6111749B5E4}"/>
    <cellStyle name="20% - Accent4 2 2 2 2 3 3 2 2" xfId="24955" xr:uid="{419C9502-9A06-4B23-A06F-926D9F55D2EA}"/>
    <cellStyle name="20% - Accent4 2 2 2 2 3 3 2 2 2" xfId="31655" xr:uid="{9FEC15A0-3AAC-4CD4-9143-37227289F9C2}"/>
    <cellStyle name="20% - Accent4 2 2 2 2 3 3 2 3" xfId="24954" xr:uid="{B7D740C1-F335-4755-AE6C-DD97C155399E}"/>
    <cellStyle name="20% - Accent4 2 2 2 2 3 3 3" xfId="32356" xr:uid="{B7D981B6-D90C-4E09-AA3B-D4DBB22A7AEA}"/>
    <cellStyle name="20% - Accent4 2 2 2 2 3 3 3 2" xfId="24953" xr:uid="{990E0F99-1605-4751-9188-6364B88A5FCE}"/>
    <cellStyle name="20% - Accent4 2 2 2 2 3 3 4" xfId="24950" xr:uid="{B06A77A8-7DBF-445C-911E-87B130B98BEA}"/>
    <cellStyle name="20% - Accent4 2 2 2 2 3 4" xfId="24946" xr:uid="{0EF1D33A-0B18-4B76-AE6E-0B6C4BA83A4C}"/>
    <cellStyle name="20% - Accent4 2 2 2 2 3 4 2" xfId="26955" xr:uid="{09C7B60B-B4F8-4E75-B16E-13BDE628E8DB}"/>
    <cellStyle name="20% - Accent4 2 2 2 2 3 4 2 2" xfId="24939" xr:uid="{47341808-5E56-4F78-8C92-E413765E668F}"/>
    <cellStyle name="20% - Accent4 2 2 2 2 3 4 3" xfId="29105" xr:uid="{3D5060F9-36BF-41D1-B87C-FC49590091E8}"/>
    <cellStyle name="20% - Accent4 2 2 2 2 3 5" xfId="24938" xr:uid="{C742A80B-0DF3-4C42-86EE-928E97EBEF32}"/>
    <cellStyle name="20% - Accent4 2 2 2 2 3 5 2" xfId="33794" xr:uid="{2C67DC72-3C98-4B52-A9E1-D953C7F591D8}"/>
    <cellStyle name="20% - Accent4 2 2 2 2 3 6" xfId="23541" xr:uid="{F1F3319C-F04F-42BF-81D2-B58E6FE091AE}"/>
    <cellStyle name="20% - Accent4 2 2 2 2 4" xfId="24934" xr:uid="{A7048B9F-E046-4832-A3A7-05A4529A41EA}"/>
    <cellStyle name="20% - Accent4 2 2 2 2 4 2" xfId="26357" xr:uid="{DD1665D6-D584-4043-9E11-5DAD6C37C23F}"/>
    <cellStyle name="20% - Accent4 2 2 2 2 4 2 2" xfId="26589" xr:uid="{B1888088-E7C8-4DEE-9987-F951B06BF53F}"/>
    <cellStyle name="20% - Accent4 2 2 2 2 4 2 2 2" xfId="28271" xr:uid="{EB33F087-5E66-47BE-BB23-9B786C58DED4}"/>
    <cellStyle name="20% - Accent4 2 2 2 2 4 2 2 2 2" xfId="19418" xr:uid="{9B91B969-1FC4-4D31-9793-4C61D615CD7C}"/>
    <cellStyle name="20% - Accent4 2 2 2 2 4 2 2 3" xfId="28269" xr:uid="{6F3FD60A-B98D-4B1E-95FC-C58C10E3EC0B}"/>
    <cellStyle name="20% - Accent4 2 2 2 2 4 2 3" xfId="30137" xr:uid="{A8C18EEB-D91C-4D8C-AB5A-16F807701411}"/>
    <cellStyle name="20% - Accent4 2 2 2 2 4 2 3 2" xfId="29458" xr:uid="{157558D6-8B4D-437D-A26C-DCB47664A57D}"/>
    <cellStyle name="20% - Accent4 2 2 2 2 4 2 4" xfId="24933" xr:uid="{6E10BD3E-FCC3-4DE4-8A14-225F516005EA}"/>
    <cellStyle name="20% - Accent4 2 2 2 2 4 3" xfId="13754" xr:uid="{02601AC7-A240-4E17-A34D-650AC34BF33C}"/>
    <cellStyle name="20% - Accent4 2 2 2 2 4 3 2" xfId="32317" xr:uid="{AAEAF9FC-CCC7-4C31-9E6E-A0DA56E04F39}"/>
    <cellStyle name="20% - Accent4 2 2 2 2 4 3 2 2" xfId="28263" xr:uid="{12FECCF8-959E-4E3A-A558-2CC3069AE6E5}"/>
    <cellStyle name="20% - Accent4 2 2 2 2 4 3 3" xfId="24919" xr:uid="{CBBC505D-8166-406B-961A-AD116453B8AC}"/>
    <cellStyle name="20% - Accent4 2 2 2 2 4 4" xfId="29047" xr:uid="{3B96992F-27D0-4C9F-B29D-D19EC967F286}"/>
    <cellStyle name="20% - Accent4 2 2 2 2 4 4 2" xfId="24902" xr:uid="{825B99F9-C4BE-4101-978F-202F57B11B4B}"/>
    <cellStyle name="20% - Accent4 2 2 2 2 4 5" xfId="29032" xr:uid="{A56B0F42-D1F6-4182-9458-E8EE434CBD20}"/>
    <cellStyle name="20% - Accent4 2 2 2 2 5" xfId="34244" xr:uid="{A67E631D-B9E5-4D7A-BF2B-5C1A2001E674}"/>
    <cellStyle name="20% - Accent4 2 2 2 2 5 2" xfId="24887" xr:uid="{5D3C18DC-F3C3-4F43-9396-EA61A589FA29}"/>
    <cellStyle name="20% - Accent4 2 2 2 2 5 2 2" xfId="29041" xr:uid="{98FD2D1F-BE5D-458F-BE34-EE94827D9D41}"/>
    <cellStyle name="20% - Accent4 2 2 2 2 5 2 2 2" xfId="26814" xr:uid="{CC7AA03C-6255-4E50-B1F0-61D37BF10EF8}"/>
    <cellStyle name="20% - Accent4 2 2 2 2 5 2 3" xfId="29323" xr:uid="{621D623D-DD50-4ED3-9283-4F7BE03EF6AE}"/>
    <cellStyle name="20% - Accent4 2 2 2 2 5 3" xfId="13750" xr:uid="{88FBE13F-F6B2-45CF-83C9-933AB8DA94B3}"/>
    <cellStyle name="20% - Accent4 2 2 2 2 5 3 2" xfId="32322" xr:uid="{1BEFD892-355C-4054-93E1-0DB5720936E1}"/>
    <cellStyle name="20% - Accent4 2 2 2 2 5 4" xfId="27309" xr:uid="{54266B0A-AF5A-4058-AD53-E63A4EA63D50}"/>
    <cellStyle name="20% - Accent4 2 2 2 2 6" xfId="32723" xr:uid="{04E89F43-4DE2-45B5-8D3D-CEEA99E906B0}"/>
    <cellStyle name="20% - Accent4 2 2 2 2 6 2" xfId="31140" xr:uid="{AE745A60-3801-417D-B9B9-D68E79299206}"/>
    <cellStyle name="20% - Accent4 2 2 2 2 6 2 2" xfId="32285" xr:uid="{F9FD89DB-CE62-408D-B7CA-79B5DF29A75D}"/>
    <cellStyle name="20% - Accent4 2 2 2 2 6 3" xfId="27293" xr:uid="{E7FA8BAE-38C2-4283-BBA3-21BB94206C82}"/>
    <cellStyle name="20% - Accent4 2 2 2 2 7" xfId="28123" xr:uid="{988B1A65-AFA2-41BC-B840-8CEB02927545}"/>
    <cellStyle name="20% - Accent4 2 2 2 2 7 2" xfId="30780" xr:uid="{208C2E08-F3BE-4CD4-B990-8380042A0421}"/>
    <cellStyle name="20% - Accent4 2 2 2 2 8" xfId="27029" xr:uid="{DE49DFCD-3761-4BF1-A71E-DAFF66D87B40}"/>
    <cellStyle name="20% - Accent4 2 2 2 3" xfId="29111" xr:uid="{FFDDE6C6-47F2-4D73-9740-C4554ADAB05D}"/>
    <cellStyle name="20% - Accent4 2 2 2 3 2" xfId="31774" xr:uid="{684782DC-BFEC-45CA-B1C0-7B90672A12AD}"/>
    <cellStyle name="20% - Accent4 2 2 2 3 2 2" xfId="24951" xr:uid="{812BE163-FD69-4B1F-AF47-966F2DD105C5}"/>
    <cellStyle name="20% - Accent4 2 2 2 3 2 2 2" xfId="24869" xr:uid="{782EE7C7-195A-4213-91BB-FD0F8416BD4F}"/>
    <cellStyle name="20% - Accent4 2 2 2 3 2 2 2 2" xfId="26265" xr:uid="{6A2E0E58-B3B6-41CC-8ABC-53939304C8C4}"/>
    <cellStyle name="20% - Accent4 2 2 2 3 2 2 2 2 2" xfId="8333" xr:uid="{35F3A712-D346-4092-9941-B3AE03B86271}"/>
    <cellStyle name="20% - Accent4 2 2 2 3 2 2 2 2 2 2" xfId="22427" xr:uid="{23712E3A-C647-4FAD-AF79-7C3296325F39}"/>
    <cellStyle name="20% - Accent4 2 2 2 3 2 2 2 2 3" xfId="28792" xr:uid="{2FDD02DD-70D3-4CED-B504-B76B5C52CFBF}"/>
    <cellStyle name="20% - Accent4 2 2 2 3 2 2 2 3" xfId="24884" xr:uid="{CFBA394D-8CF2-43AA-B7A4-06DCE53A2CA5}"/>
    <cellStyle name="20% - Accent4 2 2 2 3 2 2 2 3 2" xfId="21629" xr:uid="{F73A8F36-A963-4B2F-84FD-13F13D74F7A9}"/>
    <cellStyle name="20% - Accent4 2 2 2 3 2 2 2 4" xfId="29134" xr:uid="{C831BFFD-AFEA-4AEC-9637-9501D78E1567}"/>
    <cellStyle name="20% - Accent4 2 2 2 3 2 2 3" xfId="24863" xr:uid="{81F78957-4762-46D0-84D1-56A9A731035C}"/>
    <cellStyle name="20% - Accent4 2 2 2 3 2 2 3 2" xfId="19148" xr:uid="{74362547-7046-47C9-A6C9-AE4B7FF51C36}"/>
    <cellStyle name="20% - Accent4 2 2 2 3 2 2 3 2 2" xfId="24703" xr:uid="{4751070F-1DB7-42FE-B6A0-DFA4122EA425}"/>
    <cellStyle name="20% - Accent4 2 2 2 3 2 2 3 3" xfId="28283" xr:uid="{552F5F70-8DDC-485E-AB6F-4AF26CEC42AC}"/>
    <cellStyle name="20% - Accent4 2 2 2 3 2 2 4" xfId="27643" xr:uid="{0549973C-22F2-4259-8D1C-C7A00FC89660}"/>
    <cellStyle name="20% - Accent4 2 2 2 3 2 2 4 2" xfId="24879" xr:uid="{117ED174-0218-404A-95A1-71424E50E851}"/>
    <cellStyle name="20% - Accent4 2 2 2 3 2 2 5" xfId="18714" xr:uid="{E1B92090-12E3-439B-84FE-D026F4A86370}"/>
    <cellStyle name="20% - Accent4 2 2 2 3 2 3" xfId="13727" xr:uid="{FF96FF7B-133C-4D49-821E-1BF90967B058}"/>
    <cellStyle name="20% - Accent4 2 2 2 3 2 3 2" xfId="26335" xr:uid="{C0413141-8ADF-483C-90F5-B8AF5C99B39A}"/>
    <cellStyle name="20% - Accent4 2 2 2 3 2 3 2 2" xfId="24877" xr:uid="{B10BCED1-0ED1-4ACC-A49E-4F9FE5D5F02A}"/>
    <cellStyle name="20% - Accent4 2 2 2 3 2 3 2 2 2" xfId="28612" xr:uid="{3C49F5C9-81B6-4CAD-A931-F6BEF2AF9108}"/>
    <cellStyle name="20% - Accent4 2 2 2 3 2 3 2 3" xfId="24874" xr:uid="{03B68476-04E7-4571-BEEA-A4113C825D66}"/>
    <cellStyle name="20% - Accent4 2 2 2 3 2 3 3" xfId="24837" xr:uid="{F9F4F36E-6277-4E5C-8F4F-5302B8BFF65C}"/>
    <cellStyle name="20% - Accent4 2 2 2 3 2 3 3 2" xfId="18276" xr:uid="{8CFFEA6D-90CF-4328-B665-786D2A8376CB}"/>
    <cellStyle name="20% - Accent4 2 2 2 3 2 3 4" xfId="26325" xr:uid="{0565B740-8011-48C2-8450-E0E000494712}"/>
    <cellStyle name="20% - Accent4 2 2 2 3 2 4" xfId="24871" xr:uid="{43F269A4-172A-4313-AAE4-146E48C882EC}"/>
    <cellStyle name="20% - Accent4 2 2 2 3 2 4 2" xfId="20079" xr:uid="{59B20596-F3F5-4A43-A4B4-DC942AF05E28}"/>
    <cellStyle name="20% - Accent4 2 2 2 3 2 4 2 2" xfId="18776" xr:uid="{3EB1269C-3DCA-4B55-8F91-6260D3B7A7DF}"/>
    <cellStyle name="20% - Accent4 2 2 2 3 2 4 3" xfId="26309" xr:uid="{8E7FE2C8-7DEB-4410-92B1-AF8B18298F08}"/>
    <cellStyle name="20% - Accent4 2 2 2 3 2 5" xfId="24864" xr:uid="{09F5F41B-7D75-457E-BD3B-BFAC391B27F2}"/>
    <cellStyle name="20% - Accent4 2 2 2 3 2 5 2" xfId="26300" xr:uid="{006CC50B-5C1C-46BE-81EF-DB721FE39C09}"/>
    <cellStyle name="20% - Accent4 2 2 2 3 2 6" xfId="27642" xr:uid="{2BA5AC08-0F8D-4E37-9136-67524C743C67}"/>
    <cellStyle name="20% - Accent4 2 2 2 3 3" xfId="24859" xr:uid="{9F086D35-1EA0-4D86-B61E-7067BC269522}"/>
    <cellStyle name="20% - Accent4 2 2 2 3 3 2" xfId="31784" xr:uid="{B842DFA2-9607-4DA6-90CD-2786DB8BF9E9}"/>
    <cellStyle name="20% - Accent4 2 2 2 3 3 2 2" xfId="24802" xr:uid="{8DD16645-0BB8-4220-B78D-B787C97032EC}"/>
    <cellStyle name="20% - Accent4 2 2 2 3 3 2 2 2" xfId="24855" xr:uid="{25EE1BAD-ACF2-46AD-9A3A-9A217F68ADAC}"/>
    <cellStyle name="20% - Accent4 2 2 2 3 3 2 2 2 2" xfId="28231" xr:uid="{BB2E6E3B-203E-4DD2-9F2A-8E698282CCAB}"/>
    <cellStyle name="20% - Accent4 2 2 2 3 3 2 2 3" xfId="24854" xr:uid="{0A0AC4EF-39E3-4092-BC3C-AD69C2E1E204}"/>
    <cellStyle name="20% - Accent4 2 2 2 3 3 2 3" xfId="24797" xr:uid="{42E75312-5047-43EE-B183-F84A18FE7C5C}"/>
    <cellStyle name="20% - Accent4 2 2 2 3 3 2 3 2" xfId="24852" xr:uid="{C16D3A40-E23D-434B-A36E-53DF065E039A}"/>
    <cellStyle name="20% - Accent4 2 2 2 3 3 2 4" xfId="26262" xr:uid="{F78E11B2-A1DE-419C-97E3-ACDA54FACEF1}"/>
    <cellStyle name="20% - Accent4 2 2 2 3 3 3" xfId="13718" xr:uid="{8462F402-0273-4E4B-870B-F2731D1D92B5}"/>
    <cellStyle name="20% - Accent4 2 2 2 3 3 3 2" xfId="24786" xr:uid="{9B846EB0-B72A-4099-9C5A-6ED91BAC8429}"/>
    <cellStyle name="20% - Accent4 2 2 2 3 3 3 2 2" xfId="24840" xr:uid="{FBB9C7FC-3CF1-46EC-891E-4292575470AD}"/>
    <cellStyle name="20% - Accent4 2 2 2 3 3 3 3" xfId="26243" xr:uid="{5020441F-C395-4803-8734-F9D07276FF20}"/>
    <cellStyle name="20% - Accent4 2 2 2 3 3 4" xfId="26333" xr:uid="{17A6B337-03E0-4FB6-AB76-42A3C309A1AB}"/>
    <cellStyle name="20% - Accent4 2 2 2 3 3 4 2" xfId="26221" xr:uid="{D7F6148A-1D08-48B5-980E-BCAFE13F5D26}"/>
    <cellStyle name="20% - Accent4 2 2 2 3 3 5" xfId="24838" xr:uid="{D55753D2-8220-402B-ABE9-ED9F286DFDE7}"/>
    <cellStyle name="20% - Accent4 2 2 2 3 4" xfId="24829" xr:uid="{9AF2B56A-1C57-4B4E-A1F2-E858196301B0}"/>
    <cellStyle name="20% - Accent4 2 2 2 3 4 2" xfId="21493" xr:uid="{4388D586-4308-48DE-8A50-5F1355A5E72F}"/>
    <cellStyle name="20% - Accent4 2 2 2 3 4 2 2" xfId="17153" xr:uid="{6EAF0F87-F633-4949-B3EA-C3E2BA4AFD23}"/>
    <cellStyle name="20% - Accent4 2 2 2 3 4 2 2 2" xfId="28026" xr:uid="{0C0374CE-ED8F-4D66-BA7E-15B6EEC28A87}"/>
    <cellStyle name="20% - Accent4 2 2 2 3 4 2 3" xfId="17146" xr:uid="{43F1E0D7-DF2F-4DD6-8BB0-33E59944D589}"/>
    <cellStyle name="20% - Accent4 2 2 2 3 4 3" xfId="13715" xr:uid="{25F5C270-2FFE-4F8F-8E32-26B916488197}"/>
    <cellStyle name="20% - Accent4 2 2 2 3 4 3 2" xfId="17135" xr:uid="{840F3F45-F790-472C-9CB3-52B1EDB2FF2F}"/>
    <cellStyle name="20% - Accent4 2 2 2 3 4 4" xfId="20078" xr:uid="{26E9E20D-967D-4842-8A28-68AA7A620242}"/>
    <cellStyle name="20% - Accent4 2 2 2 3 5" xfId="29946" xr:uid="{63BCA091-8FFE-44D5-84DE-23C5D9FD5363}"/>
    <cellStyle name="20% - Accent4 2 2 2 3 5 2" xfId="24820" xr:uid="{F738B05D-9BF5-4A22-9DD4-BAF47FCCC030}"/>
    <cellStyle name="20% - Accent4 2 2 2 3 5 2 2" xfId="17100" xr:uid="{ECEC7DB2-01DA-4701-82EF-FFDD205AB290}"/>
    <cellStyle name="20% - Accent4 2 2 2 3 5 3" xfId="24819" xr:uid="{6599B85C-2C5F-4105-AFEE-EA905EF57DD5}"/>
    <cellStyle name="20% - Accent4 2 2 2 3 6" xfId="29915" xr:uid="{274A8FF4-79BC-4E0D-8776-1AA4C3A94CB4}"/>
    <cellStyle name="20% - Accent4 2 2 2 3 6 2" xfId="34128" xr:uid="{48FB6B72-B4BE-430F-9FE2-47D2D18BD806}"/>
    <cellStyle name="20% - Accent4 2 2 2 3 7" xfId="27019" xr:uid="{B509C2F6-EBD2-4381-A4FA-A3AB1E49AE89}"/>
    <cellStyle name="20% - Accent4 2 2 2 4" xfId="27899" xr:uid="{8BFD69C8-7B3A-4FC5-9D04-3CEECF51B206}"/>
    <cellStyle name="20% - Accent4 2 2 2 4 2" xfId="18627" xr:uid="{DE34A053-CB7C-4ECA-BB87-D02072B58F71}"/>
    <cellStyle name="20% - Accent4 2 2 2 4 2 2" xfId="24814" xr:uid="{48489944-8F60-4E26-BCB5-752DC164351D}"/>
    <cellStyle name="20% - Accent4 2 2 2 4 2 2 2" xfId="24625" xr:uid="{73B4E7F6-4A69-4E04-80D2-651823E1A52C}"/>
    <cellStyle name="20% - Accent4 2 2 2 4 2 2 2 2" xfId="24808" xr:uid="{2EA1CB51-A7C3-4B72-9253-94FBB496C3A9}"/>
    <cellStyle name="20% - Accent4 2 2 2 4 2 2 2 2 2" xfId="26049" xr:uid="{891A0EAF-AC12-4889-BA60-2DEC09634019}"/>
    <cellStyle name="20% - Accent4 2 2 2 4 2 2 2 3" xfId="24807" xr:uid="{F0DEB3B7-3365-4EF8-9E97-B2658A1FBBA8}"/>
    <cellStyle name="20% - Accent4 2 2 2 4 2 2 3" xfId="11683" xr:uid="{D6AA7EFB-83BD-4368-A6B7-DBF32539DEC3}"/>
    <cellStyle name="20% - Accent4 2 2 2 4 2 2 3 2" xfId="31070" xr:uid="{3C79361A-51FF-4C33-A26F-1ED5CA687315}"/>
    <cellStyle name="20% - Accent4 2 2 2 4 2 2 4" xfId="26041" xr:uid="{4EEA1803-6B82-49C6-BC87-B87E9A0743F9}"/>
    <cellStyle name="20% - Accent4 2 2 2 4 2 3" xfId="13700" xr:uid="{32772233-8CD7-4D3F-94F3-FE175C5D84CA}"/>
    <cellStyle name="20% - Accent4 2 2 2 4 2 3 2" xfId="11676" xr:uid="{DFAA25E6-3A0C-40BA-9512-F55D8CF4BED3}"/>
    <cellStyle name="20% - Accent4 2 2 2 4 2 3 2 2" xfId="24805" xr:uid="{51BF8962-F6F1-417E-A012-5EABAB61F616}"/>
    <cellStyle name="20% - Accent4 2 2 2 4 2 3 3" xfId="26026" xr:uid="{817B653E-8FCF-46E3-A5A3-5A583D324A32}"/>
    <cellStyle name="20% - Accent4 2 2 2 4 2 4" xfId="24804" xr:uid="{AC8FDBC3-1131-49B0-8C3F-21D1590E9CEB}"/>
    <cellStyle name="20% - Accent4 2 2 2 4 2 4 2" xfId="26022" xr:uid="{AB47915D-B33F-461F-A054-5E3384B3D757}"/>
    <cellStyle name="20% - Accent4 2 2 2 4 2 5" xfId="24798" xr:uid="{1A7BAEA0-C1FB-4017-A6F8-5F7C6F2C688C}"/>
    <cellStyle name="20% - Accent4 2 2 2 4 3" xfId="34261" xr:uid="{8F6B5853-005D-4D6A-9F78-9B37804E84E3}"/>
    <cellStyle name="20% - Accent4 2 2 2 4 3 2" xfId="24793" xr:uid="{78F745E7-5915-4F94-B95A-6B41F3E80233}"/>
    <cellStyle name="20% - Accent4 2 2 2 4 3 2 2" xfId="11661" xr:uid="{DDE2E47B-7DF8-4022-995F-CF18CD6D88E7}"/>
    <cellStyle name="20% - Accent4 2 2 2 4 3 2 2 2" xfId="24791" xr:uid="{671B819E-512C-47DE-829C-E1696447EB85}"/>
    <cellStyle name="20% - Accent4 2 2 2 4 3 2 3" xfId="24789" xr:uid="{A448A163-54AD-4B1B-8436-60A7782F0418}"/>
    <cellStyle name="20% - Accent4 2 2 2 4 3 3" xfId="13695" xr:uid="{BBFAB7E9-9887-4BA0-9BEC-CD7EC4B4523C}"/>
    <cellStyle name="20% - Accent4 2 2 2 4 3 3 2" xfId="31634" xr:uid="{8B14D686-F3A0-49BC-AF10-D535D4B7453A}"/>
    <cellStyle name="20% - Accent4 2 2 2 4 3 4" xfId="24787" xr:uid="{561A26D9-E96B-4268-BD26-5A1FA8C4AFF2}"/>
    <cellStyle name="20% - Accent4 2 2 2 4 4" xfId="29684" xr:uid="{4285B4BD-2AA8-485D-B35C-4EDA90525A93}"/>
    <cellStyle name="20% - Accent4 2 2 2 4 4 2" xfId="24783" xr:uid="{F2430724-08A5-45DD-8EDB-9683342EBF9E}"/>
    <cellStyle name="20% - Accent4 2 2 2 4 4 2 2" xfId="17052" xr:uid="{FB3FBB77-75C6-455A-BF0E-6F28ACFCB42F}"/>
    <cellStyle name="20% - Accent4 2 2 2 4 4 3" xfId="24779" xr:uid="{90F13C37-1BBF-47B2-8BB7-A76E7BF20F50}"/>
    <cellStyle name="20% - Accent4 2 2 2 4 5" xfId="10383" xr:uid="{EE734283-E0CF-45F8-8261-01D3D297413A}"/>
    <cellStyle name="20% - Accent4 2 2 2 4 5 2" xfId="24777" xr:uid="{0CFE8A44-7531-451A-87D2-FE40BC3F94F1}"/>
    <cellStyle name="20% - Accent4 2 2 2 4 6" xfId="24774" xr:uid="{A951D36F-744B-4D59-B90A-CB327DC76250}"/>
    <cellStyle name="20% - Accent4 2 2 2 5" xfId="33709" xr:uid="{D4B0141D-6300-457B-A4E8-BB7CF96416EB}"/>
    <cellStyle name="20% - Accent4 2 2 2 5 2" xfId="30846" xr:uid="{DC2ED9BA-6A2C-4948-A472-99E6A62BC271}"/>
    <cellStyle name="20% - Accent4 2 2 2 5 2 2" xfId="24770" xr:uid="{B81E4DFF-D9A2-4376-BF59-F36B6C7568EA}"/>
    <cellStyle name="20% - Accent4 2 2 2 5 2 2 2" xfId="12967" xr:uid="{A1A0866F-2B0F-4F65-95BD-A33675341C52}"/>
    <cellStyle name="20% - Accent4 2 2 2 5 2 2 2 2" xfId="20539" xr:uid="{3C49068F-6B45-4B8F-8A16-87118AE07BB5}"/>
    <cellStyle name="20% - Accent4 2 2 2 5 2 2 3" xfId="12952" xr:uid="{B8F5C5B6-D16C-45C1-8A6F-7997C0B7F75C}"/>
    <cellStyle name="20% - Accent4 2 2 2 5 2 3" xfId="13686" xr:uid="{7B193ACE-7A15-433C-B4DD-4FC95874F303}"/>
    <cellStyle name="20% - Accent4 2 2 2 5 2 3 2" xfId="12930" xr:uid="{2B1F2832-331F-4188-B0F1-029DF8CE8530}"/>
    <cellStyle name="20% - Accent4 2 2 2 5 2 4" xfId="17152" xr:uid="{18E7FC1E-E25E-4106-A760-8ADB5A71B27D}"/>
    <cellStyle name="20% - Accent4 2 2 2 5 3" xfId="32774" xr:uid="{5AD37049-B849-4096-BC3B-237AC84EDF10}"/>
    <cellStyle name="20% - Accent4 2 2 2 5 3 2" xfId="24764" xr:uid="{78B16BFA-ABBD-425A-BE26-C7FED40E4E41}"/>
    <cellStyle name="20% - Accent4 2 2 2 5 3 2 2" xfId="14691" xr:uid="{C8829C06-9290-4168-9A33-60C88E213CB1}"/>
    <cellStyle name="20% - Accent4 2 2 2 5 3 3" xfId="24761" xr:uid="{E8BC00EE-0CD9-419E-9A16-58188F246B35}"/>
    <cellStyle name="20% - Accent4 2 2 2 5 4" xfId="11588" xr:uid="{54ADB99A-A1F1-47E3-89F2-D764500C9C72}"/>
    <cellStyle name="20% - Accent4 2 2 2 5 4 2" xfId="25233" xr:uid="{A22C17E8-DB7C-462D-9608-EA20D2559798}"/>
    <cellStyle name="20% - Accent4 2 2 2 5 5" xfId="8237" xr:uid="{CA199F11-C4AA-4960-85F9-A6E8F7938A87}"/>
    <cellStyle name="20% - Accent4 2 2 2 6" xfId="33685" xr:uid="{8932B2B6-1168-41E9-A84B-EE5A441E5C11}"/>
    <cellStyle name="20% - Accent4 2 2 2 6 2" xfId="32508" xr:uid="{72BFB5DC-B14C-4FA3-AC7A-9505AC3938C0}"/>
    <cellStyle name="20% - Accent4 2 2 2 6 2 2" xfId="24757" xr:uid="{F2C69AC7-B714-4AC7-9305-CC8072AE54FC}"/>
    <cellStyle name="20% - Accent4 2 2 2 6 2 2 2" xfId="16966" xr:uid="{086D5581-9288-4E37-8912-3CB6DD0B46C9}"/>
    <cellStyle name="20% - Accent4 2 2 2 6 2 3" xfId="24755" xr:uid="{41CE2188-217A-4EA3-85F1-F66D2A7AE348}"/>
    <cellStyle name="20% - Accent4 2 2 2 6 3" xfId="34247" xr:uid="{086026AD-CF1D-46F6-B3F9-147D10208174}"/>
    <cellStyle name="20% - Accent4 2 2 2 6 3 2" xfId="24752" xr:uid="{58562237-8B31-4F5E-B2B4-EA43FCE12380}"/>
    <cellStyle name="20% - Accent4 2 2 2 6 4" xfId="8235" xr:uid="{2EEB8F91-9103-4009-87CD-04C2150F94FC}"/>
    <cellStyle name="20% - Accent4 2 2 2 7" xfId="32906" xr:uid="{F7F48CB2-B841-4E79-997D-6BC4DD23DFA6}"/>
    <cellStyle name="20% - Accent4 2 2 2 7 2" xfId="8521" xr:uid="{5DC1ABC2-65AD-492B-9CC0-0226B12C224D}"/>
    <cellStyle name="20% - Accent4 2 2 2 7 2 2" xfId="24750" xr:uid="{B6504378-7C83-41F1-BF86-87D658581F78}"/>
    <cellStyle name="20% - Accent4 2 2 2 7 3" xfId="24747" xr:uid="{0E722CBC-D753-4423-9B76-E470C1CCA180}"/>
    <cellStyle name="20% - Accent4 2 2 2 8" xfId="34169" xr:uid="{E2E4FA3B-AC4D-45F8-92C9-490668DCDFA8}"/>
    <cellStyle name="20% - Accent4 2 2 2 8 2" xfId="32718" xr:uid="{4EA345A7-8EA9-4FA7-A37F-D2723A92FA01}"/>
    <cellStyle name="20% - Accent4 2 2 2 9" xfId="24745" xr:uid="{B50D00A1-7703-4333-B8E7-B7BAE11A361C}"/>
    <cellStyle name="20% - Accent4 2 2 3" xfId="17535" xr:uid="{56012911-7230-4B24-8CD0-28733EAF0D96}"/>
    <cellStyle name="20% - Accent4 2 2 3 2" xfId="33870" xr:uid="{88E4EB1F-8393-4EBB-A816-087C347F6372}"/>
    <cellStyle name="20% - Accent4 2 2 3 2 2" xfId="24739" xr:uid="{E26A031A-F6F7-492D-8F72-6FA089A1D5D3}"/>
    <cellStyle name="20% - Accent4 2 2 3 2 2 2" xfId="29456" xr:uid="{4FBDE21C-490E-499C-A9B5-76584CA6F9FB}"/>
    <cellStyle name="20% - Accent4 2 2 3 2 2 2 2" xfId="7355" xr:uid="{20CC1E65-EFA5-4BB8-8B44-1F5DB104C47E}"/>
    <cellStyle name="20% - Accent4 2 2 3 2 2 2 2 2" xfId="24736" xr:uid="{E003947A-F627-4279-BD50-C0706ABF6A88}"/>
    <cellStyle name="20% - Accent4 2 2 3 2 2 2 2 2 2" xfId="7816" xr:uid="{7D6C5E56-1AFD-4C8E-A798-4F4847FEF1FD}"/>
    <cellStyle name="20% - Accent4 2 2 3 2 2 2 2 2 2 2" xfId="12643" xr:uid="{FB6C5DA4-E61B-45B0-932D-B42365DB91EE}"/>
    <cellStyle name="20% - Accent4 2 2 3 2 2 2 2 2 3" xfId="24734" xr:uid="{AD2B0984-FFA2-4921-AD3C-DCB0C02B4CB5}"/>
    <cellStyle name="20% - Accent4 2 2 3 2 2 2 2 3" xfId="24733" xr:uid="{F4A08759-C649-466D-9A60-0BD47D746DDC}"/>
    <cellStyle name="20% - Accent4 2 2 3 2 2 2 2 3 2" xfId="24731" xr:uid="{857E08E3-AC80-4B4A-B16E-20B8A0E249EA}"/>
    <cellStyle name="20% - Accent4 2 2 3 2 2 2 2 4" xfId="9069" xr:uid="{FB648EE0-FADF-449C-9147-AC404A94C2D5}"/>
    <cellStyle name="20% - Accent4 2 2 3 2 2 2 3" xfId="7351" xr:uid="{8C195B15-FC84-4509-B01F-BABF102550E2}"/>
    <cellStyle name="20% - Accent4 2 2 3 2 2 2 3 2" xfId="24728" xr:uid="{5A2539EA-7EAB-4CB3-95F5-B3833D58EB85}"/>
    <cellStyle name="20% - Accent4 2 2 3 2 2 2 3 2 2" xfId="17868" xr:uid="{EA1F2888-46F2-4EE3-B2ED-22D659BD7A2B}"/>
    <cellStyle name="20% - Accent4 2 2 3 2 2 2 3 3" xfId="29507" xr:uid="{B4803F49-5833-4AA7-8A22-A42E3E91C9FF}"/>
    <cellStyle name="20% - Accent4 2 2 3 2 2 2 4" xfId="24725" xr:uid="{A90B70EA-AB45-4CA7-8023-D91A044E260F}"/>
    <cellStyle name="20% - Accent4 2 2 3 2 2 2 4 2" xfId="24723" xr:uid="{D247C7AD-852B-4D79-9A4A-9A753431FE2F}"/>
    <cellStyle name="20% - Accent4 2 2 3 2 2 2 5" xfId="24721" xr:uid="{C2BA9B67-1D95-4E70-90BF-AC567F4FA355}"/>
    <cellStyle name="20% - Accent4 2 2 3 2 2 3" xfId="11734" xr:uid="{D0059B76-A8FA-4579-ADE6-33E8D10B4D6E}"/>
    <cellStyle name="20% - Accent4 2 2 3 2 2 3 2" xfId="7347" xr:uid="{ED72CA35-5D4B-4CBC-9057-72524DE50B1A}"/>
    <cellStyle name="20% - Accent4 2 2 3 2 2 3 2 2" xfId="30166" xr:uid="{2CC64E5D-41EC-420C-9AD6-DE98BC111483}"/>
    <cellStyle name="20% - Accent4 2 2 3 2 2 3 2 2 2" xfId="24719" xr:uid="{1C7A934B-2F91-4B0D-AEB8-38B010EEDECD}"/>
    <cellStyle name="20% - Accent4 2 2 3 2 2 3 2 3" xfId="17771" xr:uid="{6E9A5E22-9515-4ACE-81C5-F271D4ADB871}"/>
    <cellStyle name="20% - Accent4 2 2 3 2 2 3 3" xfId="24716" xr:uid="{4396C111-14B0-4CA8-B1C2-372CF757E31A}"/>
    <cellStyle name="20% - Accent4 2 2 3 2 2 3 3 2" xfId="32881" xr:uid="{61C14641-40F8-49D4-8BCD-D79D187EF269}"/>
    <cellStyle name="20% - Accent4 2 2 3 2 2 3 4" xfId="24714" xr:uid="{001984F5-2106-49F1-A8F7-F72D8766F408}"/>
    <cellStyle name="20% - Accent4 2 2 3 2 2 4" xfId="26434" xr:uid="{DDB08953-9E52-4DEE-BF0D-B3C0C9D4221D}"/>
    <cellStyle name="20% - Accent4 2 2 3 2 2 4 2" xfId="24711" xr:uid="{8C6337BA-18D4-4AD1-99C9-748338069AA3}"/>
    <cellStyle name="20% - Accent4 2 2 3 2 2 4 2 2" xfId="32859" xr:uid="{2FD578EB-20E9-465D-8872-45CC8DFDD4A9}"/>
    <cellStyle name="20% - Accent4 2 2 3 2 2 4 3" xfId="24704" xr:uid="{539281DC-FB3F-45AE-9154-2D2B01A84D0F}"/>
    <cellStyle name="20% - Accent4 2 2 3 2 2 5" xfId="24698" xr:uid="{EDF37D3B-31CC-4222-9E9C-8DA1663D33F2}"/>
    <cellStyle name="20% - Accent4 2 2 3 2 2 5 2" xfId="24693" xr:uid="{160191EB-EE5D-43C0-B240-46F2100CDD2B}"/>
    <cellStyle name="20% - Accent4 2 2 3 2 2 6" xfId="11719" xr:uid="{1518E10D-962C-4CB7-B2D5-F3EB11A9BD9A}"/>
    <cellStyle name="20% - Accent4 2 2 3 2 3" xfId="21298" xr:uid="{69B7470F-E231-4165-8183-FEABB2B51546}"/>
    <cellStyle name="20% - Accent4 2 2 3 2 3 2" xfId="29304" xr:uid="{2CFB9F21-FC9A-4E18-AEE3-D783AA1E733D}"/>
    <cellStyle name="20% - Accent4 2 2 3 2 3 2 2" xfId="7338" xr:uid="{C6C50E23-C75A-4094-8FE9-804F4FEA83A8}"/>
    <cellStyle name="20% - Accent4 2 2 3 2 3 2 2 2" xfId="24687" xr:uid="{6B4FD06C-1AAA-43A9-BEF2-4C35FDF60B7D}"/>
    <cellStyle name="20% - Accent4 2 2 3 2 3 2 2 2 2" xfId="24685" xr:uid="{2DDB4B49-B444-471B-8C95-D294B3A62041}"/>
    <cellStyle name="20% - Accent4 2 2 3 2 3 2 2 3" xfId="24684" xr:uid="{63A6F8BE-3549-4021-97D9-D72B6E9685F4}"/>
    <cellStyle name="20% - Accent4 2 2 3 2 3 2 3" xfId="24682" xr:uid="{A0AA5835-87DD-4022-B4BA-CC581704B0D0}"/>
    <cellStyle name="20% - Accent4 2 2 3 2 3 2 3 2" xfId="33661" xr:uid="{6006A847-B2D1-43B1-8FCD-5A088ED3E643}"/>
    <cellStyle name="20% - Accent4 2 2 3 2 3 2 4" xfId="24677" xr:uid="{9CD1CD45-3DB1-4856-93E0-6C8F7BFB2BF7}"/>
    <cellStyle name="20% - Accent4 2 2 3 2 3 3" xfId="11716" xr:uid="{218DE157-044F-4B34-8521-B9C1F5F355CC}"/>
    <cellStyle name="20% - Accent4 2 2 3 2 3 3 2" xfId="24674" xr:uid="{9969B7F2-4085-4305-9C78-5C7BC5EDA077}"/>
    <cellStyle name="20% - Accent4 2 2 3 2 3 3 2 2" xfId="30414" xr:uid="{7F321D2A-C9B8-49CC-AC9B-516C73A80295}"/>
    <cellStyle name="20% - Accent4 2 2 3 2 3 3 3" xfId="24668" xr:uid="{0DBB5873-A928-4C6B-8115-F2E7BD6ABC53}"/>
    <cellStyle name="20% - Accent4 2 2 3 2 3 4" xfId="24664" xr:uid="{8CB04289-88B8-4588-8809-137FEB4E2D97}"/>
    <cellStyle name="20% - Accent4 2 2 3 2 3 4 2" xfId="6218" xr:uid="{C41FEAF2-F9E2-406B-8614-B0F1E5CDB5CD}"/>
    <cellStyle name="20% - Accent4 2 2 3 2 3 5" xfId="11706" xr:uid="{EE1BB8DB-C39D-426A-ACA5-D8762EA17532}"/>
    <cellStyle name="20% - Accent4 2 2 3 2 4" xfId="24656" xr:uid="{09FEEB9E-305E-4276-93A3-D21E8513A538}"/>
    <cellStyle name="20% - Accent4 2 2 3 2 4 2" xfId="22286" xr:uid="{D134FAC4-6927-424B-A488-1D7ABF20F05F}"/>
    <cellStyle name="20% - Accent4 2 2 3 2 4 2 2" xfId="34398" xr:uid="{258C5BCD-B2E0-4FE6-B39F-9E8A6DAEB7AE}"/>
    <cellStyle name="20% - Accent4 2 2 3 2 4 2 2 2" xfId="24653" xr:uid="{710A7CA9-2741-43A3-BCC8-39E54D2C2A68}"/>
    <cellStyle name="20% - Accent4 2 2 3 2 4 2 3" xfId="25167" xr:uid="{D19C77ED-3A6F-49C2-B341-FC4A11D2FEAC}"/>
    <cellStyle name="20% - Accent4 2 2 3 2 4 3" xfId="11704" xr:uid="{E065D3E2-966A-4E7C-8A28-DD237A4504F2}"/>
    <cellStyle name="20% - Accent4 2 2 3 2 4 3 2" xfId="33885" xr:uid="{C0FA7F51-6F18-4E73-BCAA-42FD56DB7A1B}"/>
    <cellStyle name="20% - Accent4 2 2 3 2 4 4" xfId="12222" xr:uid="{0DD7ABC3-AFFA-4409-81F8-6B3C9B2EB16C}"/>
    <cellStyle name="20% - Accent4 2 2 3 2 5" xfId="24647" xr:uid="{357E548A-70B8-480E-A770-7785C0C1C92D}"/>
    <cellStyle name="20% - Accent4 2 2 3 2 5 2" xfId="24644" xr:uid="{1F6F6D34-59AE-4B58-9219-C319877B05CC}"/>
    <cellStyle name="20% - Accent4 2 2 3 2 5 2 2" xfId="34205" xr:uid="{F80D2B34-0802-4207-943A-9FF7FEFC4884}"/>
    <cellStyle name="20% - Accent4 2 2 3 2 5 3" xfId="24643" xr:uid="{B5FA068A-18C5-4A95-B2AB-8CB2E8D72350}"/>
    <cellStyle name="20% - Accent4 2 2 3 2 6" xfId="24639" xr:uid="{D658EE70-EEEF-4DA9-BD15-0833D5DD64C8}"/>
    <cellStyle name="20% - Accent4 2 2 3 2 6 2" xfId="30554" xr:uid="{A941150D-3170-4F59-90B4-C8EEF8EA19EE}"/>
    <cellStyle name="20% - Accent4 2 2 3 2 7" xfId="24636" xr:uid="{F96BA396-1BD5-4093-AA77-F12F73457416}"/>
    <cellStyle name="20% - Accent4 2 2 3 3" xfId="33679" xr:uid="{D0ECE168-0C05-41C2-B4A1-8292EE4342ED}"/>
    <cellStyle name="20% - Accent4 2 2 3 3 2" xfId="25976" xr:uid="{0F7924F1-52BF-4DF8-96B9-0FDA18ECC6A3}"/>
    <cellStyle name="20% - Accent4 2 2 3 3 2 2" xfId="25395" xr:uid="{A4A5F2FC-44CD-46EC-AB7F-8D4C5AECAFB4}"/>
    <cellStyle name="20% - Accent4 2 2 3 3 2 2 2" xfId="24263" xr:uid="{B4A430D6-EEE0-4004-966E-311EB8826D64}"/>
    <cellStyle name="20% - Accent4 2 2 3 3 2 2 2 2" xfId="5509" xr:uid="{A9A17279-E527-4AAF-A82E-1F62688E1D4B}"/>
    <cellStyle name="20% - Accent4 2 2 3 3 2 2 2 2 2" xfId="26095" xr:uid="{13F3DB42-766D-464D-A4D1-074EF05E674B}"/>
    <cellStyle name="20% - Accent4 2 2 3 3 2 2 2 3" xfId="5507" xr:uid="{AAE8E09A-820C-43C7-A677-E1780E26B4F6}"/>
    <cellStyle name="20% - Accent4 2 2 3 3 2 2 3" xfId="24256" xr:uid="{281C7378-1DDD-45A4-8B0D-E48A0E76A586}"/>
    <cellStyle name="20% - Accent4 2 2 3 3 2 2 3 2" xfId="24632" xr:uid="{4208B518-C590-4FAA-B866-3C08B47A8BF4}"/>
    <cellStyle name="20% - Accent4 2 2 3 3 2 2 4" xfId="24630" xr:uid="{65ACF123-AEF4-4DDE-A315-F031CDAA42C2}"/>
    <cellStyle name="20% - Accent4 2 2 3 3 2 3" xfId="11687" xr:uid="{30E2BAC9-F759-40AD-BC88-F33F8374A49B}"/>
    <cellStyle name="20% - Accent4 2 2 3 3 2 3 2" xfId="24236" xr:uid="{CC536A92-FD26-4C6D-9C95-4FB08A7D0B27}"/>
    <cellStyle name="20% - Accent4 2 2 3 3 2 3 2 2" xfId="26554" xr:uid="{934E3418-321D-4B9B-85A5-BE7086F7F857}"/>
    <cellStyle name="20% - Accent4 2 2 3 3 2 3 3" xfId="24628" xr:uid="{6D5AC934-9FA1-490F-A707-D8A469D90FD9}"/>
    <cellStyle name="20% - Accent4 2 2 3 3 2 4" xfId="24626" xr:uid="{13E76DBE-2577-4C92-97A3-8BBFF4AB2530}"/>
    <cellStyle name="20% - Accent4 2 2 3 3 2 4 2" xfId="24621" xr:uid="{2AAE621A-EA48-4176-8A39-BDBA57360241}"/>
    <cellStyle name="20% - Accent4 2 2 3 3 2 5" xfId="11682" xr:uid="{ED36309B-89DC-4090-ABEE-5250591C9722}"/>
    <cellStyle name="20% - Accent4 2 2 3 3 3" xfId="21272" xr:uid="{47E0D5A3-C15C-4235-BB72-789F1EE7CD3C}"/>
    <cellStyle name="20% - Accent4 2 2 3 3 3 2" xfId="24618" xr:uid="{1500312A-7EBD-422F-87F6-6F37E46801CB}"/>
    <cellStyle name="20% - Accent4 2 2 3 3 3 2 2" xfId="24199" xr:uid="{7C41ACF6-1415-49CD-A821-59285EA582D3}"/>
    <cellStyle name="20% - Accent4 2 2 3 3 3 2 2 2" xfId="24614" xr:uid="{6C7EFC1F-69B8-4F39-9B9E-E910351B86A2}"/>
    <cellStyle name="20% - Accent4 2 2 3 3 3 2 3" xfId="24612" xr:uid="{B60ABD5D-DEFD-4D28-80F1-4D9146FB030E}"/>
    <cellStyle name="20% - Accent4 2 2 3 3 3 3" xfId="11680" xr:uid="{D5491492-B1AA-44EB-AC79-8E2334F69925}"/>
    <cellStyle name="20% - Accent4 2 2 3 3 3 3 2" xfId="24607" xr:uid="{9A285C36-1F94-41AA-A24F-2E6D31B5421C}"/>
    <cellStyle name="20% - Accent4 2 2 3 3 3 4" xfId="11677" xr:uid="{6870097B-DD49-41AA-AC6E-88232C20BC95}"/>
    <cellStyle name="20% - Accent4 2 2 3 3 4" xfId="23596" xr:uid="{7C1AA720-03C8-4B7F-8D6B-EDEBA1BEA73D}"/>
    <cellStyle name="20% - Accent4 2 2 3 3 4 2" xfId="24599" xr:uid="{A9C52478-6063-4596-B519-417FFC760DDA}"/>
    <cellStyle name="20% - Accent4 2 2 3 3 4 2 2" xfId="27240" xr:uid="{192EE2D2-E16B-4F8D-977C-2A4F5F171FCF}"/>
    <cellStyle name="20% - Accent4 2 2 3 3 4 3" xfId="21516" xr:uid="{4D638BDE-95C4-4ED9-B110-B09E1C47ABBA}"/>
    <cellStyle name="20% - Accent4 2 2 3 3 5" xfId="21266" xr:uid="{C9144979-D5B1-4440-B82F-5F1BE1E85D7C}"/>
    <cellStyle name="20% - Accent4 2 2 3 3 5 2" xfId="24596" xr:uid="{EE401DA0-CE96-440C-BF7E-CB773F53687F}"/>
    <cellStyle name="20% - Accent4 2 2 3 3 6" xfId="24595" xr:uid="{5B5111EA-5459-411D-B5C4-59874C95BAED}"/>
    <cellStyle name="20% - Accent4 2 2 3 4" xfId="33663" xr:uid="{12674CEE-D536-4903-8678-9AFE5D876AF8}"/>
    <cellStyle name="20% - Accent4 2 2 3 4 2" xfId="30838" xr:uid="{A658937D-A0CC-49BC-B463-9865FAB64B08}"/>
    <cellStyle name="20% - Accent4 2 2 3 4 2 2" xfId="24589" xr:uid="{6A1C1C3B-74EE-4355-A500-63C6668B0621}"/>
    <cellStyle name="20% - Accent4 2 2 3 4 2 2 2" xfId="24121" xr:uid="{DEAF53DF-784A-4DC3-829F-7753AF593CF7}"/>
    <cellStyle name="20% - Accent4 2 2 3 4 2 2 2 2" xfId="24587" xr:uid="{DE7CF09E-E963-4733-8DE5-4E53D7113095}"/>
    <cellStyle name="20% - Accent4 2 2 3 4 2 2 3" xfId="24581" xr:uid="{58E6F4AB-4D33-4AE7-9453-7291B291CD04}"/>
    <cellStyle name="20% - Accent4 2 2 3 4 2 3" xfId="11663" xr:uid="{4D855323-E429-4EB1-9E17-DEE53A76FE3F}"/>
    <cellStyle name="20% - Accent4 2 2 3 4 2 3 2" xfId="24577" xr:uid="{BD4F2694-8AFC-4B29-906C-7AB9BC8850AC}"/>
    <cellStyle name="20% - Accent4 2 2 3 4 2 4" xfId="11660" xr:uid="{D10D2027-5D93-4D16-978D-ECF1B38A4101}"/>
    <cellStyle name="20% - Accent4 2 2 3 4 3" xfId="21262" xr:uid="{B6D97614-D059-4113-9BBD-8ADEE220EFF2}"/>
    <cellStyle name="20% - Accent4 2 2 3 4 3 2" xfId="24573" xr:uid="{6B80DCC5-2CC8-4387-B083-F1D0DF63DC9C}"/>
    <cellStyle name="20% - Accent4 2 2 3 4 3 2 2" xfId="24572" xr:uid="{0AC34F65-F1DA-4B33-9927-F3FF346732E3}"/>
    <cellStyle name="20% - Accent4 2 2 3 4 3 3" xfId="11658" xr:uid="{0051CF20-086F-43C4-B997-87811EA0DB74}"/>
    <cellStyle name="20% - Accent4 2 2 3 4 4" xfId="21257" xr:uid="{CA087987-69E5-4853-9D68-EF864A9E18EA}"/>
    <cellStyle name="20% - Accent4 2 2 3 4 4 2" xfId="24567" xr:uid="{94BE91DD-B67B-42C7-BE2E-146E99265A46}"/>
    <cellStyle name="20% - Accent4 2 2 3 4 5" xfId="24566" xr:uid="{DA1A3470-D50E-4D53-9562-8D24AA66CFDB}"/>
    <cellStyle name="20% - Accent4 2 2 3 5" xfId="33615" xr:uid="{1E5ACD7E-E010-44C1-9175-4B15BCD63379}"/>
    <cellStyle name="20% - Accent4 2 2 3 5 2" xfId="23575" xr:uid="{41B2199A-122F-455C-92A3-F1D43EF5E7B3}"/>
    <cellStyle name="20% - Accent4 2 2 3 5 2 2" xfId="24562" xr:uid="{B5F82BDF-F41C-40E9-8CF9-15F5416631F1}"/>
    <cellStyle name="20% - Accent4 2 2 3 5 2 2 2" xfId="10745" xr:uid="{398AE2E6-4592-459B-BFBF-B52C2700129E}"/>
    <cellStyle name="20% - Accent4 2 2 3 5 2 3" xfId="11648" xr:uid="{69916A3E-A5D2-47DA-A4A2-2B5424230766}"/>
    <cellStyle name="20% - Accent4 2 2 3 5 3" xfId="23318" xr:uid="{EFB789B6-734E-47E5-8C6B-A3C689FC5AFB}"/>
    <cellStyle name="20% - Accent4 2 2 3 5 3 2" xfId="9172" xr:uid="{32C25078-2FD3-4663-8F5C-EACFB0AB1A4D}"/>
    <cellStyle name="20% - Accent4 2 2 3 5 4" xfId="8229" xr:uid="{9A27F89E-444D-41AA-8AA6-02C92382CB0A}"/>
    <cellStyle name="20% - Accent4 2 2 3 6" xfId="26413" xr:uid="{DF173626-AA27-4958-86AA-1F1D0E355C0D}"/>
    <cellStyle name="20% - Accent4 2 2 3 6 2" xfId="30580" xr:uid="{3FE8001A-3B52-49BF-87B0-CC2509C397C4}"/>
    <cellStyle name="20% - Accent4 2 2 3 6 2 2" xfId="24559" xr:uid="{71EF0141-D2F4-4929-8556-C8D352E72E92}"/>
    <cellStyle name="20% - Accent4 2 2 3 6 3" xfId="24557" xr:uid="{7E1AC8BD-E62C-40FC-B7F7-AB9DEB0203D9}"/>
    <cellStyle name="20% - Accent4 2 2 3 7" xfId="34269" xr:uid="{84069FE7-CE88-4864-A1E1-3C46F010C424}"/>
    <cellStyle name="20% - Accent4 2 2 3 7 2" xfId="24555" xr:uid="{1200EBDD-7757-47FF-8EAB-BC234CCC821F}"/>
    <cellStyle name="20% - Accent4 2 2 3 8" xfId="24551" xr:uid="{A69878EA-54FE-432E-8333-2B1909E4CBC7}"/>
    <cellStyle name="20% - Accent4 2 2 4" xfId="24546" xr:uid="{E86AE9BA-A95A-4A0E-9981-D6BCF1B99754}"/>
    <cellStyle name="20% - Accent4 2 2 4 2" xfId="32978" xr:uid="{C5A8E7A2-DC9F-4CC8-BF6B-D518CC06D71F}"/>
    <cellStyle name="20% - Accent4 2 2 4 2 2" xfId="25962" xr:uid="{E59B92CE-E506-4CBD-ACEF-B7F0E3B50195}"/>
    <cellStyle name="20% - Accent4 2 2 4 2 2 2" xfId="29526" xr:uid="{E0C3F77A-7AB4-4DAB-BE7D-425E94DB24FA}"/>
    <cellStyle name="20% - Accent4 2 2 4 2 2 2 2" xfId="24541" xr:uid="{0673985B-593E-4A47-8634-337A111B2F07}"/>
    <cellStyle name="20% - Accent4 2 2 4 2 2 2 2 2" xfId="24538" xr:uid="{3C48D6F4-A0A2-4633-9278-7E9943F3EBA5}"/>
    <cellStyle name="20% - Accent4 2 2 4 2 2 2 2 2 2" xfId="28569" xr:uid="{25577D68-304A-44DE-A2C9-66433D393628}"/>
    <cellStyle name="20% - Accent4 2 2 4 2 2 2 2 3" xfId="31260" xr:uid="{69E656DA-8334-4752-B7AD-6D584E01251F}"/>
    <cellStyle name="20% - Accent4 2 2 4 2 2 2 3" xfId="24529" xr:uid="{5ED20210-774E-4B11-994C-88C2E153D828}"/>
    <cellStyle name="20% - Accent4 2 2 4 2 2 2 3 2" xfId="24525" xr:uid="{4C82CD80-0E9C-495E-9F50-8420F40D1F5B}"/>
    <cellStyle name="20% - Accent4 2 2 4 2 2 2 4" xfId="27132" xr:uid="{92A41363-D3C8-414C-95E3-A33DF6436C4D}"/>
    <cellStyle name="20% - Accent4 2 2 4 2 2 3" xfId="9132" xr:uid="{5A52B898-D4F1-4FA9-812F-C51114217FDB}"/>
    <cellStyle name="20% - Accent4 2 2 4 2 2 3 2" xfId="24521" xr:uid="{9A59D8FB-4843-48B8-8CFA-65D001342D00}"/>
    <cellStyle name="20% - Accent4 2 2 4 2 2 3 2 2" xfId="24519" xr:uid="{6054919E-008A-483C-9B4C-AFC1B3012F84}"/>
    <cellStyle name="20% - Accent4 2 2 4 2 2 3 3" xfId="24514" xr:uid="{30215FBE-DD2D-4ED1-8DCE-10EBCFFE3092}"/>
    <cellStyle name="20% - Accent4 2 2 4 2 2 4" xfId="13293" xr:uid="{79B5B8B2-8434-4D46-8971-4AC5499ACF38}"/>
    <cellStyle name="20% - Accent4 2 2 4 2 2 4 2" xfId="24509" xr:uid="{90F267CD-FE5D-4F4D-854C-BD4F265E81DF}"/>
    <cellStyle name="20% - Accent4 2 2 4 2 2 5" xfId="24505" xr:uid="{2F828C96-FF6A-429E-96E1-0A2D6AA3F158}"/>
    <cellStyle name="20% - Accent4 2 2 4 2 3" xfId="22848" xr:uid="{B019DD79-8E85-4B9D-8F8F-AE0488E9C696}"/>
    <cellStyle name="20% - Accent4 2 2 4 2 3 2" xfId="31832" xr:uid="{B6091949-2B9C-4BD6-A70E-A09DD580DCB9}"/>
    <cellStyle name="20% - Accent4 2 2 4 2 3 2 2" xfId="24499" xr:uid="{1ADC334F-302D-4230-AAF9-6F053F391F23}"/>
    <cellStyle name="20% - Accent4 2 2 4 2 3 2 2 2" xfId="24492" xr:uid="{0F7E68B8-2246-414D-9822-7B67874565C0}"/>
    <cellStyle name="20% - Accent4 2 2 4 2 3 2 3" xfId="17990" xr:uid="{63A2657B-FF6E-43BA-A63F-A73BBD4772C0}"/>
    <cellStyle name="20% - Accent4 2 2 4 2 3 3" xfId="9107" xr:uid="{E9E7AA2A-4D25-45EA-8861-479CB9F71240}"/>
    <cellStyle name="20% - Accent4 2 2 4 2 3 3 2" xfId="24481" xr:uid="{E4F58E95-56A7-492C-81D2-89ECE7E927DA}"/>
    <cellStyle name="20% - Accent4 2 2 4 2 3 4" xfId="19584" xr:uid="{C3109CFF-7EB0-4133-8955-543048401118}"/>
    <cellStyle name="20% - Accent4 2 2 4 2 4" xfId="23552" xr:uid="{E81D1120-DA89-4109-B0E4-0AC0FFAB39AF}"/>
    <cellStyle name="20% - Accent4 2 2 4 2 4 2" xfId="24471" xr:uid="{204A3894-05CB-463F-8335-5B712AB39E9D}"/>
    <cellStyle name="20% - Accent4 2 2 4 2 4 2 2" xfId="31407" xr:uid="{6074AC88-69A9-4768-B716-A8AB5EC16186}"/>
    <cellStyle name="20% - Accent4 2 2 4 2 4 3" xfId="9091" xr:uid="{3FF0A21D-5D8C-46D7-A81F-3B78388BE5A5}"/>
    <cellStyle name="20% - Accent4 2 2 4 2 5" xfId="21252" xr:uid="{E5A4EF4D-F566-423B-9CF2-54846E58DBCD}"/>
    <cellStyle name="20% - Accent4 2 2 4 2 5 2" xfId="24147" xr:uid="{D3682CB1-AA55-4020-AF78-63E38486172A}"/>
    <cellStyle name="20% - Accent4 2 2 4 2 6" xfId="24465" xr:uid="{316C3772-7F0B-41D2-BF37-7B78C3087C88}"/>
    <cellStyle name="20% - Accent4 2 2 4 3" xfId="29883" xr:uid="{D3171117-643A-48EC-9E28-71AECDE1A81F}"/>
    <cellStyle name="20% - Accent4 2 2 4 3 2" xfId="25954" xr:uid="{14323C46-7E84-419B-B695-0D4F67FF8193}"/>
    <cellStyle name="20% - Accent4 2 2 4 3 2 2" xfId="29508" xr:uid="{9AB39DD3-7E38-413C-A0F5-335D9244F0DE}"/>
    <cellStyle name="20% - Accent4 2 2 4 3 2 2 2" xfId="23965" xr:uid="{4BECEFC2-E88C-498C-870C-F9503BDC4A10}"/>
    <cellStyle name="20% - Accent4 2 2 4 3 2 2 2 2" xfId="24464" xr:uid="{583C72E8-6194-49C5-B9C2-5DF6DA74990B}"/>
    <cellStyle name="20% - Accent4 2 2 4 3 2 2 3" xfId="24459" xr:uid="{B96E6E3A-A6F3-4CF6-B23E-A7DA2122C3D6}"/>
    <cellStyle name="20% - Accent4 2 2 4 3 2 3" xfId="9061" xr:uid="{9232BEE9-E261-4908-8124-DC6D8F24D4A9}"/>
    <cellStyle name="20% - Accent4 2 2 4 3 2 3 2" xfId="24455" xr:uid="{FD7EEE36-B338-4E0A-824B-5743E771711B}"/>
    <cellStyle name="20% - Accent4 2 2 4 3 2 4" xfId="12968" xr:uid="{FDD7C733-6431-4AD4-A9BC-AC6E5103139F}"/>
    <cellStyle name="20% - Accent4 2 2 4 3 3" xfId="21246" xr:uid="{4AE27216-5E88-42DC-B9D8-0574A3E6085C}"/>
    <cellStyle name="20% - Accent4 2 2 4 3 3 2" xfId="30763" xr:uid="{A39A0EC0-F303-415C-8B8D-ADBC89378396}"/>
    <cellStyle name="20% - Accent4 2 2 4 3 3 2 2" xfId="24449" xr:uid="{122CF4EE-2B49-4F5E-9391-3ED21C1C6FFB}"/>
    <cellStyle name="20% - Accent4 2 2 4 3 3 3" xfId="9052" xr:uid="{A5F611A3-BBE8-4A44-A789-B6130DE92B61}"/>
    <cellStyle name="20% - Accent4 2 2 4 3 4" xfId="21243" xr:uid="{557E7F8D-D333-4994-8EA2-82B32D6D1453}"/>
    <cellStyle name="20% - Accent4 2 2 4 3 4 2" xfId="30759" xr:uid="{9491FA14-BE6E-43A5-96F6-766EDE0ED320}"/>
    <cellStyle name="20% - Accent4 2 2 4 3 5" xfId="33471" xr:uid="{00F7CC69-3104-46F9-A878-CABB78E9BABA}"/>
    <cellStyle name="20% - Accent4 2 2 4 4" xfId="32346" xr:uid="{58300C36-227C-4104-8DC2-B75923F61EB3}"/>
    <cellStyle name="20% - Accent4 2 2 4 4 2" xfId="23524" xr:uid="{E91D7BC5-1CE6-4A53-B2C0-1FAFC2C20449}"/>
    <cellStyle name="20% - Accent4 2 2 4 4 2 2" xfId="24444" xr:uid="{07E39EF4-3391-4724-9E82-B2EF831FBFE6}"/>
    <cellStyle name="20% - Accent4 2 2 4 4 2 2 2" xfId="24442" xr:uid="{91746274-8172-46DB-883B-3EB72C2FA6CC}"/>
    <cellStyle name="20% - Accent4 2 2 4 4 2 3" xfId="9017" xr:uid="{DAB6ECA3-4C45-4672-BEBD-315A05E1E32D}"/>
    <cellStyle name="20% - Accent4 2 2 4 4 3" xfId="21240" xr:uid="{8237C47C-63D5-4DF6-A19F-009A6D3D443E}"/>
    <cellStyle name="20% - Accent4 2 2 4 4 3 2" xfId="30805" xr:uid="{BF0432CF-2D88-4129-BB51-48E96B797D3C}"/>
    <cellStyle name="20% - Accent4 2 2 4 4 4" xfId="33852" xr:uid="{A3F33EE7-77A5-4950-9895-D5EDD3E0083C}"/>
    <cellStyle name="20% - Accent4 2 2 4 5" xfId="31802" xr:uid="{529514DB-68C8-4E3D-9BA5-9E0258AEEB4A}"/>
    <cellStyle name="20% - Accent4 2 2 4 5 2" xfId="34196" xr:uid="{5AED743F-FAF4-4F8B-B22D-B54DB06D63E5}"/>
    <cellStyle name="20% - Accent4 2 2 4 5 2 2" xfId="24437" xr:uid="{8872149D-A75E-422D-B1D9-AD86BD1DAA9A}"/>
    <cellStyle name="20% - Accent4 2 2 4 5 3" xfId="9124" xr:uid="{FD9C38CE-F991-45AF-907C-660B8FCA2EC1}"/>
    <cellStyle name="20% - Accent4 2 2 4 6" xfId="33618" xr:uid="{57E7A3AA-0B6F-4834-9B21-B8C4533045EC}"/>
    <cellStyle name="20% - Accent4 2 2 4 6 2" xfId="27954" xr:uid="{E272AF99-BD57-49C1-93CF-BA2494031F16}"/>
    <cellStyle name="20% - Accent4 2 2 4 7" xfId="24435" xr:uid="{16719F65-6D84-460F-950C-EA047E9BA539}"/>
    <cellStyle name="20% - Accent4 2 2 5" xfId="24430" xr:uid="{BDC00718-6851-434E-9400-2302003C3A6F}"/>
    <cellStyle name="20% - Accent4 2 2 5 2" xfId="30366" xr:uid="{7B777168-EA1B-4470-A028-C46CC0C8843F}"/>
    <cellStyle name="20% - Accent4 2 2 5 2 2" xfId="25940" xr:uid="{BA16FD5C-8118-4270-A6AC-F4A9817736B9}"/>
    <cellStyle name="20% - Accent4 2 2 5 2 2 2" xfId="22268" xr:uid="{EDFD63A4-E996-4AB8-8A99-D6DAB1C212E0}"/>
    <cellStyle name="20% - Accent4 2 2 5 2 2 2 2" xfId="24067" xr:uid="{6716260D-261F-45AA-91D7-B2D4AAB2FF9B}"/>
    <cellStyle name="20% - Accent4 2 2 5 2 2 2 2 2" xfId="20216" xr:uid="{2A3EEA8C-D664-4D89-8DB4-D23C59F7DDF8}"/>
    <cellStyle name="20% - Accent4 2 2 5 2 2 2 3" xfId="31501" xr:uid="{74D72372-BDF8-466D-A82A-9F8130BD8D17}"/>
    <cellStyle name="20% - Accent4 2 2 5 2 2 3" xfId="7207" xr:uid="{969B14A0-3AAE-4C54-8E8D-6AF4B283624B}"/>
    <cellStyle name="20% - Accent4 2 2 5 2 2 3 2" xfId="24422" xr:uid="{D212DCD0-F8F6-4A4A-8C90-362829A99487}"/>
    <cellStyle name="20% - Accent4 2 2 5 2 2 4" xfId="12520" xr:uid="{35E30421-8DCA-4688-981A-FCF5BEFA9C9F}"/>
    <cellStyle name="20% - Accent4 2 2 5 2 3" xfId="21231" xr:uid="{0F484694-0551-41A9-858B-8EE5D6B60F82}"/>
    <cellStyle name="20% - Accent4 2 2 5 2 3 2" xfId="24420" xr:uid="{C2D8BA8B-1A6C-4A65-A2C7-F360CDA9B016}"/>
    <cellStyle name="20% - Accent4 2 2 5 2 3 2 2" xfId="24417" xr:uid="{853FD764-9830-4209-86E3-940EF2BD452C}"/>
    <cellStyle name="20% - Accent4 2 2 5 2 3 3" xfId="7188" xr:uid="{66D3537D-4799-4541-BC6F-7B5640C55504}"/>
    <cellStyle name="20% - Accent4 2 2 5 2 4" xfId="21230" xr:uid="{73DABA92-4AA2-4BA1-809C-2D3FA0F6B806}"/>
    <cellStyle name="20% - Accent4 2 2 5 2 4 2" xfId="24411" xr:uid="{05D86522-B7D8-484B-96B2-58C2C5D7FAC2}"/>
    <cellStyle name="20% - Accent4 2 2 5 2 5" xfId="24410" xr:uid="{F8B52DFD-6B0C-4B5C-B35C-7D8C8C3BCD4E}"/>
    <cellStyle name="20% - Accent4 2 2 5 3" xfId="24346" xr:uid="{9901DE5A-8011-4792-9632-DAC99C27EAD0}"/>
    <cellStyle name="20% - Accent4 2 2 5 3 2" xfId="8863" xr:uid="{22B0DA1F-A992-49E4-8632-D1EFC968FFAD}"/>
    <cellStyle name="20% - Accent4 2 2 5 3 2 2" xfId="24409" xr:uid="{A616EEFB-2914-40D4-8D56-C278EA78016E}"/>
    <cellStyle name="20% - Accent4 2 2 5 3 2 2 2" xfId="25784" xr:uid="{E7C3E8A4-1F56-45AE-848B-4C9A069A7289}"/>
    <cellStyle name="20% - Accent4 2 2 5 3 2 3" xfId="12373" xr:uid="{CBDEB99C-D81D-4CA6-A3C9-CBE9844AB322}"/>
    <cellStyle name="20% - Accent4 2 2 5 3 3" xfId="21222" xr:uid="{8DE5907D-D4B7-4403-9259-C15C27D45865}"/>
    <cellStyle name="20% - Accent4 2 2 5 3 3 2" xfId="30730" xr:uid="{6100F6D1-87D8-4F81-B763-E6DC9CC832FD}"/>
    <cellStyle name="20% - Accent4 2 2 5 3 4" xfId="33844" xr:uid="{59F237D3-1CBF-421A-9753-C6D10B33200F}"/>
    <cellStyle name="20% - Accent4 2 2 5 4" xfId="23314" xr:uid="{0A7F317A-B09E-45CC-90F5-1C8EDDE87DE2}"/>
    <cellStyle name="20% - Accent4 2 2 5 4 2" xfId="34191" xr:uid="{557C5572-4C7F-443D-BD6D-E40D5CD27D2E}"/>
    <cellStyle name="20% - Accent4 2 2 5 4 2 2" xfId="24405" xr:uid="{EF15CE75-DCCA-4D52-96E7-7C173551F8B6}"/>
    <cellStyle name="20% - Accent4 2 2 5 4 3" xfId="24403" xr:uid="{87E80871-555A-4E56-A413-897550ACF474}"/>
    <cellStyle name="20% - Accent4 2 2 5 5" xfId="23310" xr:uid="{0B6F4068-CF16-49CD-8D34-6CE34EB6A149}"/>
    <cellStyle name="20% - Accent4 2 2 5 5 2" xfId="24402" xr:uid="{2DDF57F8-CCF0-4D47-9F31-FACDE42E5A88}"/>
    <cellStyle name="20% - Accent4 2 2 5 6" xfId="26083" xr:uid="{F29D2C74-119D-4242-BF69-9D25DFE82233}"/>
    <cellStyle name="20% - Accent4 2 2 6" xfId="33447" xr:uid="{5AC9972E-ECB1-4911-BEAD-015173366CA6}"/>
    <cellStyle name="20% - Accent4 2 2 6 2" xfId="24341" xr:uid="{F7931480-AC7B-41D8-93D8-F0E61F896115}"/>
    <cellStyle name="20% - Accent4 2 2 6 2 2" xfId="23485" xr:uid="{C8635130-D706-4AA5-8CB8-B959F9E7BEC1}"/>
    <cellStyle name="20% - Accent4 2 2 6 2 2 2" xfId="20160" xr:uid="{599A2397-A171-444A-83B8-926EBD5DD898}"/>
    <cellStyle name="20% - Accent4 2 2 6 2 2 2 2" xfId="24399" xr:uid="{80B52ACC-C2AB-421C-A372-A460C6C9116C}"/>
    <cellStyle name="20% - Accent4 2 2 6 2 2 3" xfId="5899" xr:uid="{36488660-5B7A-466C-888F-C2858A1D2B55}"/>
    <cellStyle name="20% - Accent4 2 2 6 2 3" xfId="24394" xr:uid="{DD20BC56-37FC-498E-9F65-8340B3AA933E}"/>
    <cellStyle name="20% - Accent4 2 2 6 2 3 2" xfId="24388" xr:uid="{321462CF-62EC-4EC5-BD7B-9A636F549ECB}"/>
    <cellStyle name="20% - Accent4 2 2 6 2 4" xfId="24384" xr:uid="{BD72129C-E0F7-4D34-A878-5A5A3E2C7A98}"/>
    <cellStyle name="20% - Accent4 2 2 6 3" xfId="24338" xr:uid="{6B3205BB-E925-43CA-98BB-5017EEBBF0DD}"/>
    <cellStyle name="20% - Accent4 2 2 6 3 2" xfId="33610" xr:uid="{8F4162A8-F49C-4876-BF58-29C6CA40B4D1}"/>
    <cellStyle name="20% - Accent4 2 2 6 3 2 2" xfId="24381" xr:uid="{46F7849F-5FC4-4637-9382-259546E5EF97}"/>
    <cellStyle name="20% - Accent4 2 2 6 3 3" xfId="24379" xr:uid="{BDC62811-DB75-4C09-A9D1-AB2A34EB261E}"/>
    <cellStyle name="20% - Accent4 2 2 6 4" xfId="23306" xr:uid="{0610C091-9C30-4C24-AC39-7F9EF4083305}"/>
    <cellStyle name="20% - Accent4 2 2 6 4 2" xfId="24378" xr:uid="{8335FDB6-D5F0-428B-A018-BE45B1851F9C}"/>
    <cellStyle name="20% - Accent4 2 2 6 5" xfId="24373" xr:uid="{870F711F-F259-4F98-89EA-FBE278A2E5EF}"/>
    <cellStyle name="20% - Accent4 2 2 7" xfId="24865" xr:uid="{A5F9A1AF-9755-47A1-8BC2-C6DD04C1655D}"/>
    <cellStyle name="20% - Accent4 2 2 7 2" xfId="24335" xr:uid="{E6B61975-1A38-4E74-B8E5-612210225299}"/>
    <cellStyle name="20% - Accent4 2 2 7 2 2" xfId="24372" xr:uid="{77277A39-EFB4-45C3-991B-D092AF67E1CD}"/>
    <cellStyle name="20% - Accent4 2 2 7 2 2 2" xfId="18072" xr:uid="{82C391A7-1FFF-4E2C-94F5-E0E500B73B94}"/>
    <cellStyle name="20% - Accent4 2 2 7 2 3" xfId="24366" xr:uid="{B65DD282-5F61-41EE-AD9B-E4011D743F73}"/>
    <cellStyle name="20% - Accent4 2 2 7 3" xfId="24330" xr:uid="{FDE41F29-4F2D-406F-96C0-5E5FDEBF2575}"/>
    <cellStyle name="20% - Accent4 2 2 7 3 2" xfId="24365" xr:uid="{F0FC1B8B-E661-4A2C-8FB6-ED8CE70A0C9F}"/>
    <cellStyle name="20% - Accent4 2 2 7 4" xfId="24363" xr:uid="{D51A0ED9-6B06-4ACC-B314-9B2567F7E1F0}"/>
    <cellStyle name="20% - Accent4 2 2 8" xfId="24361" xr:uid="{6968E301-C89A-40FF-8429-D4CE5178BF7C}"/>
    <cellStyle name="20% - Accent4 2 2 8 2" xfId="16151" xr:uid="{7860339A-6123-4627-8174-5D6FF9E29614}"/>
    <cellStyle name="20% - Accent4 2 2 8 2 2" xfId="24359" xr:uid="{AF4BB404-E1EA-4607-BB5C-0637E7AC946C}"/>
    <cellStyle name="20% - Accent4 2 2 8 3" xfId="28703" xr:uid="{A0948BCD-1A03-4D47-BA23-8B17B83EAFAD}"/>
    <cellStyle name="20% - Accent4 2 2 9" xfId="24358" xr:uid="{49A77A7A-E9B9-438D-ADEB-383139554124}"/>
    <cellStyle name="20% - Accent4 2 2 9 2" xfId="26488" xr:uid="{E85DB7EB-C6A1-435E-83A2-B81014BE93C3}"/>
    <cellStyle name="20% - Accent4 2 3" xfId="208" xr:uid="{A933C2BB-29D1-40A1-9878-4AAD5AE508E4}"/>
    <cellStyle name="20% - Accent4 2 3 10" xfId="34540" xr:uid="{33AD7F17-620D-40FF-9EFE-4DAACD6EAA22}"/>
    <cellStyle name="20% - Accent4 2 3 11" xfId="22598" xr:uid="{45475917-E554-489C-8203-9ED51C08A0B7}"/>
    <cellStyle name="20% - Accent4 2 3 2" xfId="32001" xr:uid="{C5904C32-7872-4E1E-8ECB-50F948CD6313}"/>
    <cellStyle name="20% - Accent4 2 3 2 2" xfId="8853" xr:uid="{0C2C72CE-440E-4825-94AF-3631AB85B43A}"/>
    <cellStyle name="20% - Accent4 2 3 2 2 2" xfId="24357" xr:uid="{CF6D3B5A-DE50-4568-B2E3-4E6FA65C1A1D}"/>
    <cellStyle name="20% - Accent4 2 3 2 2 2 2" xfId="24842" xr:uid="{9B94B32E-D005-4651-A4DC-35F96ADB0BDA}"/>
    <cellStyle name="20% - Accent4 2 3 2 2 2 2 2" xfId="30367" xr:uid="{C7E19BDA-F950-4590-A5B4-FBABD4FD426C}"/>
    <cellStyle name="20% - Accent4 2 3 2 2 2 2 2 2" xfId="10534" xr:uid="{084363ED-0B82-4E9A-8ECA-63EC7A810C09}"/>
    <cellStyle name="20% - Accent4 2 3 2 2 2 2 2 2 2" xfId="14498" xr:uid="{72D1F02E-185C-4C5C-BBEE-DADA57BBA79C}"/>
    <cellStyle name="20% - Accent4 2 3 2 2 2 2 2 2 2 2" xfId="24355" xr:uid="{AB757AA3-A36E-40B0-8489-FCCF8DA51D9A}"/>
    <cellStyle name="20% - Accent4 2 3 2 2 2 2 2 2 3" xfId="6967" xr:uid="{50934B94-86DB-4C2E-9E4D-845257E8D2F1}"/>
    <cellStyle name="20% - Accent4 2 3 2 2 2 2 2 3" xfId="10523" xr:uid="{BBAA682F-751F-48CE-8300-30386AF4BD12}"/>
    <cellStyle name="20% - Accent4 2 3 2 2 2 2 2 3 2" xfId="6964" xr:uid="{EC73AE0B-DE07-45CB-A1E1-8C21039787B7}"/>
    <cellStyle name="20% - Accent4 2 3 2 2 2 2 2 4" xfId="10520" xr:uid="{65770086-3D7A-4A6A-830A-29AA658029C5}"/>
    <cellStyle name="20% - Accent4 2 3 2 2 2 2 3" xfId="24347" xr:uid="{06DACB49-563B-4746-AA35-8911D55F68AF}"/>
    <cellStyle name="20% - Accent4 2 3 2 2 2 2 3 2" xfId="10503" xr:uid="{C7E2205F-9094-4731-9E9B-CFA3F00C8589}"/>
    <cellStyle name="20% - Accent4 2 3 2 2 2 2 3 2 2" xfId="6957" xr:uid="{9D96C0FF-596D-405D-866B-88AFB4C68091}"/>
    <cellStyle name="20% - Accent4 2 3 2 2 2 2 3 3" xfId="10500" xr:uid="{60503E0D-5099-4A1A-B19A-1EF8918A4B0C}"/>
    <cellStyle name="20% - Accent4 2 3 2 2 2 2 4" xfId="23315" xr:uid="{572DD7DD-A7A7-4C20-88B3-1B98E8D636BE}"/>
    <cellStyle name="20% - Accent4 2 3 2 2 2 2 4 2" xfId="10485" xr:uid="{2CF5ABDD-2893-4D1C-8C85-1E6CD5FE4F42}"/>
    <cellStyle name="20% - Accent4 2 3 2 2 2 2 5" xfId="23311" xr:uid="{9024A304-D0C1-40E5-B4E4-24F5ED011C16}"/>
    <cellStyle name="20% - Accent4 2 3 2 2 2 3" xfId="21876" xr:uid="{C0DB9E73-3269-4FD8-997A-21B29F4296AC}"/>
    <cellStyle name="20% - Accent4 2 3 2 2 2 3 2" xfId="13172" xr:uid="{43AA71F5-D7FD-4A74-B4D7-488BB6B18BDB}"/>
    <cellStyle name="20% - Accent4 2 3 2 2 2 3 2 2" xfId="10452" xr:uid="{5822EDC0-E11C-42FD-AA72-7170B9FFD6A8}"/>
    <cellStyle name="20% - Accent4 2 3 2 2 2 3 2 2 2" xfId="6934" xr:uid="{1C6FD976-2FD2-48FC-9339-A923BC50C63D}"/>
    <cellStyle name="20% - Accent4 2 3 2 2 2 3 2 3" xfId="10445" xr:uid="{F18C58AA-E877-4FCF-ABFF-B8978BA3C41E}"/>
    <cellStyle name="20% - Accent4 2 3 2 2 2 3 3" xfId="24339" xr:uid="{CEE7501A-2E0E-49D4-A2DE-475B81C6F8A3}"/>
    <cellStyle name="20% - Accent4 2 3 2 2 2 3 3 2" xfId="10435" xr:uid="{B5DB3F8D-2B89-404E-90C8-73C3CF55202F}"/>
    <cellStyle name="20% - Accent4 2 3 2 2 2 3 4" xfId="23307" xr:uid="{D442CED4-F8A1-4132-9995-2BF979CA09E4}"/>
    <cellStyle name="20% - Accent4 2 3 2 2 2 4" xfId="29726" xr:uid="{81B9A636-3F1C-4195-B6A6-69C0B933E09C}"/>
    <cellStyle name="20% - Accent4 2 3 2 2 2 4 2" xfId="24336" xr:uid="{B4B85762-F4B5-4F41-A3B4-C84341B17D92}"/>
    <cellStyle name="20% - Accent4 2 3 2 2 2 4 2 2" xfId="10411" xr:uid="{E9E44414-61B1-4BAB-B3E4-091E29C0B60E}"/>
    <cellStyle name="20% - Accent4 2 3 2 2 2 4 3" xfId="18944" xr:uid="{B4A28F6D-D397-4BD3-A328-BAF8E0E81F15}"/>
    <cellStyle name="20% - Accent4 2 3 2 2 2 5" xfId="24329" xr:uid="{DF2CBAE3-44C8-49D8-A711-B47E056505EC}"/>
    <cellStyle name="20% - Accent4 2 3 2 2 2 5 2" xfId="24326" xr:uid="{A80FD285-089A-4AB6-AA08-891D20CBDF33}"/>
    <cellStyle name="20% - Accent4 2 3 2 2 2 6" xfId="24324" xr:uid="{DC43687A-301C-4698-87F7-FA26AAFA7766}"/>
    <cellStyle name="20% - Accent4 2 3 2 2 3" xfId="24313" xr:uid="{0A482141-31BC-488F-9F7D-3899550D5663}"/>
    <cellStyle name="20% - Accent4 2 3 2 2 3 2" xfId="32666" xr:uid="{02680503-DB6B-4D1D-8930-496595C2EF6F}"/>
    <cellStyle name="20% - Accent4 2 3 2 2 3 2 2" xfId="24312" xr:uid="{08C6FDE9-444D-46A4-B5E3-91E0E6729065}"/>
    <cellStyle name="20% - Accent4 2 3 2 2 3 2 2 2" xfId="10377" xr:uid="{10F4D9DE-E812-4C01-8E82-4E65D28676C3}"/>
    <cellStyle name="20% - Accent4 2 3 2 2 3 2 2 2 2" xfId="6826" xr:uid="{CFFDA99E-1798-48AB-8914-1B93C9A6EE0E}"/>
    <cellStyle name="20% - Accent4 2 3 2 2 3 2 2 3" xfId="10373" xr:uid="{CED06DE8-1373-4E8C-AB26-5B10CBD3FB23}"/>
    <cellStyle name="20% - Accent4 2 3 2 2 3 2 3" xfId="24309" xr:uid="{E8723F98-0868-4CFF-B89A-42E84285C5FC}"/>
    <cellStyle name="20% - Accent4 2 3 2 2 3 2 3 2" xfId="10364" xr:uid="{8B739E06-A6F7-4EBC-9CF1-6A23F87ECF26}"/>
    <cellStyle name="20% - Accent4 2 3 2 2 3 2 4" xfId="23298" xr:uid="{63396A59-09DC-47E8-A661-5B8B393B8B97}"/>
    <cellStyle name="20% - Accent4 2 3 2 2 3 3" xfId="30867" xr:uid="{6B1A30AD-69A4-4F97-8127-417B22AAC5D7}"/>
    <cellStyle name="20% - Accent4 2 3 2 2 3 3 2" xfId="24306" xr:uid="{A235F87E-AE84-4178-8547-692E61A111CB}"/>
    <cellStyle name="20% - Accent4 2 3 2 2 3 3 2 2" xfId="10348" xr:uid="{3C1675C9-DE50-462F-9DC8-800B19D8982B}"/>
    <cellStyle name="20% - Accent4 2 3 2 2 3 3 3" xfId="24302" xr:uid="{875B36AE-2382-40D4-974B-30E24EA0E11A}"/>
    <cellStyle name="20% - Accent4 2 3 2 2 3 4" xfId="24298" xr:uid="{F0E8C849-1FB3-4E79-918F-20FA6F3A67C5}"/>
    <cellStyle name="20% - Accent4 2 3 2 2 3 4 2" xfId="24043" xr:uid="{522561A3-DA70-4242-AEFE-DF00CECE215D}"/>
    <cellStyle name="20% - Accent4 2 3 2 2 3 5" xfId="24295" xr:uid="{1BBBE5AB-2DDE-4932-A353-84D705D62C73}"/>
    <cellStyle name="20% - Accent4 2 3 2 2 4" xfId="24294" xr:uid="{21F07CCA-4AFC-421E-9270-147999A5CE0F}"/>
    <cellStyle name="20% - Accent4 2 3 2 2 4 2" xfId="23783" xr:uid="{C0403573-1108-4AD9-B5F4-4A5A714700FC}"/>
    <cellStyle name="20% - Accent4 2 3 2 2 4 2 2" xfId="28768" xr:uid="{B0A71E56-DDBD-4C57-8DF6-C6CD2BCAC776}"/>
    <cellStyle name="20% - Accent4 2 3 2 2 4 2 2 2" xfId="10309" xr:uid="{A1082607-DD95-4D8C-8D39-CDD7BF2877A5}"/>
    <cellStyle name="20% - Accent4 2 3 2 2 4 2 3" xfId="28759" xr:uid="{6352DF56-52FE-4880-AC9B-B65A94E8D2DC}"/>
    <cellStyle name="20% - Accent4 2 3 2 2 4 3" xfId="25082" xr:uid="{EAAB7C76-05E8-49F4-8440-878135F26C57}"/>
    <cellStyle name="20% - Accent4 2 3 2 2 4 3 2" xfId="23809" xr:uid="{82BCC63E-D1A0-4A8A-9029-13B7A5E0AC3A}"/>
    <cellStyle name="20% - Accent4 2 3 2 2 4 4" xfId="25073" xr:uid="{57B0FA16-88F1-44E7-B696-D3418F32BFBF}"/>
    <cellStyle name="20% - Accent4 2 3 2 2 5" xfId="24287" xr:uid="{9E7F6969-D4F8-46F8-B0E2-F00A8A6C7FF5}"/>
    <cellStyle name="20% - Accent4 2 3 2 2 5 2" xfId="24286" xr:uid="{C6B4F948-1F43-4D97-8FF0-C1A22E7173E1}"/>
    <cellStyle name="20% - Accent4 2 3 2 2 5 2 2" xfId="23772" xr:uid="{57362E8E-9497-4139-892D-CCE04CD71AF3}"/>
    <cellStyle name="20% - Accent4 2 3 2 2 5 3" xfId="25070" xr:uid="{A5DE1357-7781-4187-B221-3B4C824064C5}"/>
    <cellStyle name="20% - Accent4 2 3 2 2 6" xfId="24280" xr:uid="{7E10E037-2CBA-4BA3-A5FA-775E26A4B1AB}"/>
    <cellStyle name="20% - Accent4 2 3 2 2 6 2" xfId="33875" xr:uid="{0485CCD1-5C4B-4993-8EFC-5BF3EBE50AA4}"/>
    <cellStyle name="20% - Accent4 2 3 2 2 7" xfId="24278" xr:uid="{9626FD67-0615-4568-969F-A49AC017250E}"/>
    <cellStyle name="20% - Accent4 2 3 2 3" xfId="34348" xr:uid="{99D5E5C4-D1E6-406F-AC25-B2512F25A36E}"/>
    <cellStyle name="20% - Accent4 2 3 2 3 2" xfId="30995" xr:uid="{753C55C3-DA2D-4074-9136-8EBC5F3812A9}"/>
    <cellStyle name="20% - Accent4 2 3 2 3 2 2" xfId="30887" xr:uid="{F309FCB3-7301-4E0A-8685-B7312B0A25F1}"/>
    <cellStyle name="20% - Accent4 2 3 2 3 2 2 2" xfId="17801" xr:uid="{A0B0BB9B-1D95-4C64-ABFE-288167955346}"/>
    <cellStyle name="20% - Accent4 2 3 2 3 2 2 2 2" xfId="24277" xr:uid="{95C0AD33-FFF9-4702-95DB-1E8CE1DC28B7}"/>
    <cellStyle name="20% - Accent4 2 3 2 3 2 2 2 2 2" xfId="6639" xr:uid="{92CB8FA7-F793-4727-90F3-206AD6D2474F}"/>
    <cellStyle name="20% - Accent4 2 3 2 3 2 2 2 3" xfId="24275" xr:uid="{EF9972AB-C0AF-4BB8-87C0-FCA55906D0A3}"/>
    <cellStyle name="20% - Accent4 2 3 2 3 2 2 3" xfId="17793" xr:uid="{25CA937F-9D5F-423D-9180-7C74306F179D}"/>
    <cellStyle name="20% - Accent4 2 3 2 3 2 2 3 2" xfId="24272" xr:uid="{FB37457B-4D0F-4F60-B0F5-17641B271A8F}"/>
    <cellStyle name="20% - Accent4 2 3 2 3 2 2 4" xfId="17785" xr:uid="{C69EF732-94BD-4CEF-BCFF-E9811BA8BE41}"/>
    <cellStyle name="20% - Accent4 2 3 2 3 2 3" xfId="32435" xr:uid="{2BEA94A1-4BDC-41F4-94FB-C3B73F06E784}"/>
    <cellStyle name="20% - Accent4 2 3 2 3 2 3 2" xfId="21248" xr:uid="{AE1AC7A3-3899-46FC-B615-BFC5D2715F3E}"/>
    <cellStyle name="20% - Accent4 2 3 2 3 2 3 2 2" xfId="24266" xr:uid="{6BDA699B-E9D8-48C9-98CA-E209598E623F}"/>
    <cellStyle name="20% - Accent4 2 3 2 3 2 3 3" xfId="17617" xr:uid="{F32B9E21-B438-4DC9-974C-F0BEEC355D57}"/>
    <cellStyle name="20% - Accent4 2 3 2 3 2 4" xfId="24264" xr:uid="{5DCE65A7-A680-4692-BCE9-596643CCFD26}"/>
    <cellStyle name="20% - Accent4 2 3 2 3 2 4 2" xfId="17508" xr:uid="{78EF88A1-1C6B-49E3-92F3-D61F26EDD174}"/>
    <cellStyle name="20% - Accent4 2 3 2 3 2 5" xfId="24257" xr:uid="{B43C7E48-0348-4A8A-8A6A-9F2D3044356A}"/>
    <cellStyle name="20% - Accent4 2 3 2 3 3" xfId="30992" xr:uid="{48F0569D-31C6-4EF8-9FCF-628612C2507F}"/>
    <cellStyle name="20% - Accent4 2 3 2 3 3 2" xfId="24255" xr:uid="{5C89CBFC-9B82-41EA-ADD1-FE8B1382F3BB}"/>
    <cellStyle name="20% - Accent4 2 3 2 3 3 2 2" xfId="21233" xr:uid="{56702519-0176-40A6-B09C-FFF0AABEA93F}"/>
    <cellStyle name="20% - Accent4 2 3 2 3 3 2 2 2" xfId="24251" xr:uid="{D459C320-328C-41CF-92E6-AB34BDD3AD91}"/>
    <cellStyle name="20% - Accent4 2 3 2 3 3 2 3" xfId="24249" xr:uid="{DEA94FC6-5F1C-4D98-979E-5537BE4ADCDD}"/>
    <cellStyle name="20% - Accent4 2 3 2 3 3 3" xfId="24246" xr:uid="{2805BB6E-AF38-4305-B2A8-4E144EAB1707}"/>
    <cellStyle name="20% - Accent4 2 3 2 3 3 3 2" xfId="24244" xr:uid="{927BF190-4049-43FE-8015-7CBBA6ABC211}"/>
    <cellStyle name="20% - Accent4 2 3 2 3 3 4" xfId="24237" xr:uid="{81E0C27B-FD52-410E-A469-B7B806F27021}"/>
    <cellStyle name="20% - Accent4 2 3 2 3 4" xfId="33923" xr:uid="{B83F179C-A09C-4125-99E0-EE7BDE793560}"/>
    <cellStyle name="20% - Accent4 2 3 2 3 4 2" xfId="24234" xr:uid="{9995A207-D54C-4853-9F22-457330F88753}"/>
    <cellStyle name="20% - Accent4 2 3 2 3 4 2 2" xfId="16362" xr:uid="{B7F4B8BC-D260-4940-B809-9ED281FA22CF}"/>
    <cellStyle name="20% - Accent4 2 3 2 3 4 3" xfId="26151" xr:uid="{FF54C884-8DDF-47E3-857F-C097E7466071}"/>
    <cellStyle name="20% - Accent4 2 3 2 3 5" xfId="27422" xr:uid="{91FA2F13-78E8-4BE6-898C-45B50F5C83DD}"/>
    <cellStyle name="20% - Accent4 2 3 2 3 5 2" xfId="24229" xr:uid="{088DF0C8-DADF-48E2-9687-B4D10A487174}"/>
    <cellStyle name="20% - Accent4 2 3 2 3 6" xfId="24224" xr:uid="{A8F3C5E4-3F77-4158-8E31-FA1DFAB41C5A}"/>
    <cellStyle name="20% - Accent4 2 3 2 4" xfId="15918" xr:uid="{EA002F91-74C3-4F82-9BDE-05853DF410F6}"/>
    <cellStyle name="20% - Accent4 2 3 2 4 2" xfId="20770" xr:uid="{2CA24DFD-14F9-4580-8B95-A7201380869F}"/>
    <cellStyle name="20% - Accent4 2 3 2 4 2 2" xfId="24218" xr:uid="{A21D427F-F524-491F-909C-70C6BC745441}"/>
    <cellStyle name="20% - Accent4 2 3 2 4 2 2 2" xfId="23357" xr:uid="{7F5EF227-3AE7-466B-A4FF-09252F510060}"/>
    <cellStyle name="20% - Accent4 2 3 2 4 2 2 2 2" xfId="24213" xr:uid="{9D2F08C7-BB86-4E9B-827B-95271CE29202}"/>
    <cellStyle name="20% - Accent4 2 3 2 4 2 2 3" xfId="24210" xr:uid="{0AC21301-7579-4081-AFEA-C06AE08E3B8F}"/>
    <cellStyle name="20% - Accent4 2 3 2 4 2 3" xfId="24207" xr:uid="{30EDCD35-320D-40F4-9C38-CAC61444E5AF}"/>
    <cellStyle name="20% - Accent4 2 3 2 4 2 3 2" xfId="24203" xr:uid="{5681F95E-2DE6-401D-9922-5168AFBC6057}"/>
    <cellStyle name="20% - Accent4 2 3 2 4 2 4" xfId="24200" xr:uid="{CFBF19EA-A926-4224-AB8B-E49C1D0391D6}"/>
    <cellStyle name="20% - Accent4 2 3 2 4 3" xfId="24008" xr:uid="{9FD568DD-DB96-4D63-A37C-6F32ACB88D6F}"/>
    <cellStyle name="20% - Accent4 2 3 2 4 3 2" xfId="24195" xr:uid="{08ABF2A1-5E46-4AFF-9BA0-DD7BD14608CA}"/>
    <cellStyle name="20% - Accent4 2 3 2 4 3 2 2" xfId="23194" xr:uid="{B323EE26-EED0-4C64-A257-5A5183A6F6A3}"/>
    <cellStyle name="20% - Accent4 2 3 2 4 3 3" xfId="24188" xr:uid="{7947140E-83DB-4144-92F0-7618C6230F2F}"/>
    <cellStyle name="20% - Accent4 2 3 2 4 4" xfId="29449" xr:uid="{FC3252B3-592F-4AD7-91E0-8877291160A1}"/>
    <cellStyle name="20% - Accent4 2 3 2 4 4 2" xfId="34137" xr:uid="{85769532-2A78-480E-83B5-F348576AA9E5}"/>
    <cellStyle name="20% - Accent4 2 3 2 4 5" xfId="24185" xr:uid="{02DD91B8-8595-4943-A116-BB1337382A50}"/>
    <cellStyle name="20% - Accent4 2 3 2 5" xfId="15908" xr:uid="{25041DC6-9CF9-419A-8BCB-8D98E965222E}"/>
    <cellStyle name="20% - Accent4 2 3 2 5 2" xfId="26909" xr:uid="{EC76547D-7F05-400A-9241-19497B016BCF}"/>
    <cellStyle name="20% - Accent4 2 3 2 5 2 2" xfId="26040" xr:uid="{10ED71FB-D5DC-4A98-BC49-8EA97199CCBB}"/>
    <cellStyle name="20% - Accent4 2 3 2 5 2 2 2" xfId="22703" xr:uid="{5A76D080-5EFB-4391-96B8-7351F60BD8E0}"/>
    <cellStyle name="20% - Accent4 2 3 2 5 2 3" xfId="24179" xr:uid="{6BE7AB35-EF01-458A-8DDC-ABA67BC57A26}"/>
    <cellStyle name="20% - Accent4 2 3 2 5 3" xfId="32286" xr:uid="{1DD33C6D-6223-4EA0-9BE2-A8ACAE408ACF}"/>
    <cellStyle name="20% - Accent4 2 3 2 5 3 2" xfId="24176" xr:uid="{A675DC71-A877-4FDB-A395-E7E92656CC10}"/>
    <cellStyle name="20% - Accent4 2 3 2 5 4" xfId="8217" xr:uid="{D075018F-AA9A-4D1D-8E14-9A692882CAC7}"/>
    <cellStyle name="20% - Accent4 2 3 2 6" xfId="33573" xr:uid="{48BFEFF0-DFE8-47F0-8746-DA311468A66C}"/>
    <cellStyle name="20% - Accent4 2 3 2 6 2" xfId="34129" xr:uid="{09FC3B0E-7A0B-4502-9E99-106770E9A141}"/>
    <cellStyle name="20% - Accent4 2 3 2 6 2 2" xfId="24172" xr:uid="{F5E7049E-FA39-4CFB-BC0E-FADCA22B8F79}"/>
    <cellStyle name="20% - Accent4 2 3 2 6 3" xfId="24169" xr:uid="{CE5C9229-1A27-43B0-B58C-DDFD5A380B9C}"/>
    <cellStyle name="20% - Accent4 2 3 2 7" xfId="33568" xr:uid="{577B5C2B-CFA7-44B9-B69E-406C53A3D0D9}"/>
    <cellStyle name="20% - Accent4 2 3 2 7 2" xfId="26048" xr:uid="{FE2C6321-83E3-43E4-85EA-92A6B10A6950}"/>
    <cellStyle name="20% - Accent4 2 3 2 8" xfId="24167" xr:uid="{32B5B5B6-5F03-43DE-922E-DCB1628494CD}"/>
    <cellStyle name="20% - Accent4 2 3 3" xfId="31095" xr:uid="{12D1A529-AB61-4873-ADE4-1357D951834B}"/>
    <cellStyle name="20% - Accent4 2 3 3 2" xfId="24163" xr:uid="{89EC3174-8A97-4DAE-83D8-B25B32335528}"/>
    <cellStyle name="20% - Accent4 2 3 3 2 2" xfId="24162" xr:uid="{A6C1F810-B356-447C-A0BB-EFD85C031C57}"/>
    <cellStyle name="20% - Accent4 2 3 3 2 2 2" xfId="18837" xr:uid="{160792D4-2B02-4107-A290-0ABF761591F5}"/>
    <cellStyle name="20% - Accent4 2 3 3 2 2 2 2" xfId="21617" xr:uid="{5F835C5A-68ED-4844-AA6D-82B82618CA8D}"/>
    <cellStyle name="20% - Accent4 2 3 3 2 2 2 2 2" xfId="24708" xr:uid="{7FC48874-721E-4BF4-A2D4-8CDDEA8BDFFB}"/>
    <cellStyle name="20% - Accent4 2 3 3 2 2 2 2 2 2" xfId="6280" xr:uid="{6BC68DF7-7818-4EA3-9DE8-EEF891E2C33B}"/>
    <cellStyle name="20% - Accent4 2 3 3 2 2 2 2 3" xfId="24700" xr:uid="{BD0E2404-B147-47D3-BEA8-A10CA5CC0D15}"/>
    <cellStyle name="20% - Accent4 2 3 3 2 2 2 3" xfId="27213" xr:uid="{3C3F02DA-B227-4858-AA42-4C219C38D75A}"/>
    <cellStyle name="20% - Accent4 2 3 3 2 2 2 3 2" xfId="24691" xr:uid="{A5497B57-3904-4CF4-956F-5F35F99309C0}"/>
    <cellStyle name="20% - Accent4 2 3 3 2 2 2 4" xfId="24268" xr:uid="{74288401-31EE-464B-83E2-A2D5357F9522}"/>
    <cellStyle name="20% - Accent4 2 3 3 2 2 3" xfId="28650" xr:uid="{B522C1BB-ED92-468B-830D-8E8BD52AF7A7}"/>
    <cellStyle name="20% - Accent4 2 3 3 2 2 3 2" xfId="21576" xr:uid="{529151F5-ECF0-4ED2-8A98-D803FA239A51}"/>
    <cellStyle name="20% - Accent4 2 3 3 2 2 3 2 2" xfId="24659" xr:uid="{57800C80-02BC-42E3-A612-8C33C9D6FAF1}"/>
    <cellStyle name="20% - Accent4 2 3 3 2 2 3 3" xfId="24892" xr:uid="{E8A8A435-D320-4589-923F-BF9CF264431B}"/>
    <cellStyle name="20% - Accent4 2 3 3 2 2 4" xfId="24158" xr:uid="{946857BE-D823-4A97-A85D-8C19413935DE}"/>
    <cellStyle name="20% - Accent4 2 3 3 2 2 4 2" xfId="22840" xr:uid="{AD68ECF9-640A-4F51-ACCF-84CA815A00AD}"/>
    <cellStyle name="20% - Accent4 2 3 3 2 2 5" xfId="24156" xr:uid="{0A63E308-D26B-49C6-A662-AE555A260067}"/>
    <cellStyle name="20% - Accent4 2 3 3 2 3" xfId="25575" xr:uid="{D576AB33-A296-44AF-9A74-1962F8450781}"/>
    <cellStyle name="20% - Accent4 2 3 3 2 3 2" xfId="24155" xr:uid="{53F64848-8463-454E-8A38-DADB4B09C40C}"/>
    <cellStyle name="20% - Accent4 2 3 3 2 3 2 2" xfId="22525" xr:uid="{52FA87BC-247F-49E8-BB9D-CDEC5EFA1395}"/>
    <cellStyle name="20% - Accent4 2 3 3 2 3 2 2 2" xfId="24620" xr:uid="{701B4047-48CC-47E2-8781-80E672A07659}"/>
    <cellStyle name="20% - Accent4 2 3 3 2 3 2 3" xfId="27348" xr:uid="{35506B85-FFB2-4F02-BC7D-3F16D6396F0E}"/>
    <cellStyle name="20% - Accent4 2 3 3 2 3 3" xfId="24154" xr:uid="{0112FB1A-4114-49DA-9173-6C274CA705CD}"/>
    <cellStyle name="20% - Accent4 2 3 3 2 3 3 2" xfId="21321" xr:uid="{2AE3D5B6-0488-41B5-8B6C-71B72936127D}"/>
    <cellStyle name="20% - Accent4 2 3 3 2 3 4" xfId="24153" xr:uid="{9C8DB343-96C5-4B3D-A784-7A448B4CE365}"/>
    <cellStyle name="20% - Accent4 2 3 3 2 4" xfId="23708" xr:uid="{B491F651-71E0-4441-9798-F16F79C6C8B1}"/>
    <cellStyle name="20% - Accent4 2 3 3 2 4 2" xfId="19476" xr:uid="{CC1FD5FA-311B-4EA8-BB50-134F94CF6669}"/>
    <cellStyle name="20% - Accent4 2 3 3 2 4 2 2" xfId="21186" xr:uid="{9D614C6A-6A31-4E57-872A-4BD9657A20A3}"/>
    <cellStyle name="20% - Accent4 2 3 3 2 4 3" xfId="19469" xr:uid="{B30094F1-1C39-4012-B5A1-825112410A93}"/>
    <cellStyle name="20% - Accent4 2 3 3 2 5" xfId="24150" xr:uid="{382977B6-670D-48CA-972A-A742AAD96D71}"/>
    <cellStyle name="20% - Accent4 2 3 3 2 5 2" xfId="19465" xr:uid="{D62FA7B1-BEF8-45DF-B815-9A9E4F3D12B3}"/>
    <cellStyle name="20% - Accent4 2 3 3 2 6" xfId="24145" xr:uid="{938D7AA9-876E-4779-BD9D-A004FBE29763}"/>
    <cellStyle name="20% - Accent4 2 3 3 3" xfId="33448" xr:uid="{9C9DC15F-83E7-483A-BEDC-071D16197523}"/>
    <cellStyle name="20% - Accent4 2 3 3 3 2" xfId="25860" xr:uid="{694421EF-D478-43B4-8DE6-FB7E89398397}"/>
    <cellStyle name="20% - Accent4 2 3 3 3 2 2" xfId="24144" xr:uid="{B2B3D878-3622-42F2-BBA4-644FCD1E83C4}"/>
    <cellStyle name="20% - Accent4 2 3 3 3 2 2 2" xfId="12676" xr:uid="{0472AB59-ED83-438B-A043-2A4AF9435058}"/>
    <cellStyle name="20% - Accent4 2 3 3 3 2 2 2 2" xfId="24507" xr:uid="{410BCC87-6C59-4EE0-B760-5A563BF66986}"/>
    <cellStyle name="20% - Accent4 2 3 3 3 2 2 3" xfId="24139" xr:uid="{E3EF7B3F-705B-4D4F-8337-AD6465EDD1FD}"/>
    <cellStyle name="20% - Accent4 2 3 3 3 2 3" xfId="24127" xr:uid="{80DA0BDE-E375-4B2D-989C-8C3DFBB04933}"/>
    <cellStyle name="20% - Accent4 2 3 3 3 2 3 2" xfId="20792" xr:uid="{9E1C3B27-9285-47FB-9CFD-68CE36F203C7}"/>
    <cellStyle name="20% - Accent4 2 3 3 3 2 4" xfId="24122" xr:uid="{11839E0E-BBF1-477A-8AD2-8FA1FB8876BF}"/>
    <cellStyle name="20% - Accent4 2 3 3 3 3" xfId="23401" xr:uid="{69832B17-242E-4794-BC8B-84BA8BD0941C}"/>
    <cellStyle name="20% - Accent4 2 3 3 3 3 2" xfId="24117" xr:uid="{84658BFB-C90F-4D8B-9504-8C77A3572A8A}"/>
    <cellStyle name="20% - Accent4 2 3 3 3 3 2 2" xfId="20681" xr:uid="{BF41533E-DEA8-47F6-A1C2-00149E1767C5}"/>
    <cellStyle name="20% - Accent4 2 3 3 3 3 3" xfId="24114" xr:uid="{5B89490A-F2B3-4B37-B121-B4727BB93711}"/>
    <cellStyle name="20% - Accent4 2 3 3 3 4" xfId="29969" xr:uid="{56EAED69-1D29-4703-969A-680C5213AE1E}"/>
    <cellStyle name="20% - Accent4 2 3 3 3 4 2" xfId="19444" xr:uid="{AF335914-6529-4980-9975-53F7FDFAC596}"/>
    <cellStyle name="20% - Accent4 2 3 3 3 5" xfId="24113" xr:uid="{BA7BBE39-85EB-4D31-A497-5A351E2D5EFE}"/>
    <cellStyle name="20% - Accent4 2 3 3 4" xfId="15902" xr:uid="{0723DC3A-309C-4F42-807F-68A2448F64E0}"/>
    <cellStyle name="20% - Accent4 2 3 3 4 2" xfId="23380" xr:uid="{E4CA7EA6-985D-4F08-AFB5-786BE359471E}"/>
    <cellStyle name="20% - Accent4 2 3 3 4 2 2" xfId="24111" xr:uid="{F451246D-63C7-474C-B059-A082A5E252FE}"/>
    <cellStyle name="20% - Accent4 2 3 3 4 2 2 2" xfId="24108" xr:uid="{02BB0E07-C2F8-49C1-A231-505A43DD2C3C}"/>
    <cellStyle name="20% - Accent4 2 3 3 4 2 3" xfId="21862" xr:uid="{58E21119-4BA8-4638-99A5-4728CC054007}"/>
    <cellStyle name="20% - Accent4 2 3 3 4 3" xfId="21210" xr:uid="{7D98A881-75CF-4D22-9C51-DAF586CEA686}"/>
    <cellStyle name="20% - Accent4 2 3 3 4 3 2" xfId="24097" xr:uid="{583D6544-6692-47E8-A333-9ADFF48F3E96}"/>
    <cellStyle name="20% - Accent4 2 3 3 4 4" xfId="21072" xr:uid="{BA12131B-8CF3-49ED-8985-3FCB18B56104}"/>
    <cellStyle name="20% - Accent4 2 3 3 5" xfId="33524" xr:uid="{617E906C-49F3-474E-96F5-0639EE296592}"/>
    <cellStyle name="20% - Accent4 2 3 3 5 2" xfId="29209" xr:uid="{E4BE75EB-43E8-4534-A775-6E67DCA62A31}"/>
    <cellStyle name="20% - Accent4 2 3 3 5 2 2" xfId="26064" xr:uid="{B9AFBE23-45F3-4682-AD8D-9207ECB47870}"/>
    <cellStyle name="20% - Accent4 2 3 3 5 3" xfId="17625" xr:uid="{0258781A-2481-49C2-879B-A30D170EDA70}"/>
    <cellStyle name="20% - Accent4 2 3 3 6" xfId="33547" xr:uid="{DA36CDDB-C5F3-4B1B-AB09-33F232CBE38A}"/>
    <cellStyle name="20% - Accent4 2 3 3 6 2" xfId="24092" xr:uid="{978C34E4-8BD6-444B-A290-8CD36E975EA2}"/>
    <cellStyle name="20% - Accent4 2 3 3 7" xfId="24091" xr:uid="{3A8BC42B-9DB1-48AD-B340-2AFC06B5EED9}"/>
    <cellStyle name="20% - Accent4 2 3 4" xfId="31029" xr:uid="{51648471-DEE1-4EC5-8E9A-4EBC5A9F6D1E}"/>
    <cellStyle name="20% - Accent4 2 3 4 2" xfId="31469" xr:uid="{0337590E-1793-4F4A-96A6-3926167D1B09}"/>
    <cellStyle name="20% - Accent4 2 3 4 2 2" xfId="25847" xr:uid="{A377BB57-6F34-4598-98BD-C1BC31918CB3}"/>
    <cellStyle name="20% - Accent4 2 3 4 2 2 2" xfId="23526" xr:uid="{1CE47C8C-0418-4468-9E3B-8BA80BD09B0E}"/>
    <cellStyle name="20% - Accent4 2 3 4 2 2 2 2" xfId="19773" xr:uid="{82F3D295-8EF3-4074-A625-AE0B412AE592}"/>
    <cellStyle name="20% - Accent4 2 3 4 2 2 2 2 2" xfId="20826" xr:uid="{A560DC62-8A46-4867-A3E1-ACC5C7E4095C}"/>
    <cellStyle name="20% - Accent4 2 3 4 2 2 2 3" xfId="21481" xr:uid="{74AB3B57-430E-49C5-8F3D-DFDA630A0825}"/>
    <cellStyle name="20% - Accent4 2 3 4 2 2 3" xfId="20844" xr:uid="{4EA3BB30-7228-4536-AAC8-C7C8C11541CE}"/>
    <cellStyle name="20% - Accent4 2 3 4 2 2 3 2" xfId="19455" xr:uid="{6D788957-B72B-4062-9BEF-4B6B5C73DA9B}"/>
    <cellStyle name="20% - Accent4 2 3 4 2 2 4" xfId="11263" xr:uid="{889E0884-7C4B-45BA-81AB-3A90FB718798}"/>
    <cellStyle name="20% - Accent4 2 3 4 2 3" xfId="23354" xr:uid="{2BF9D631-8ED6-4345-8ED3-FC96A387E6FD}"/>
    <cellStyle name="20% - Accent4 2 3 4 2 3 2" xfId="20834" xr:uid="{1141D4F4-0AA9-4E81-BA6A-710AB1AA1585}"/>
    <cellStyle name="20% - Accent4 2 3 4 2 3 2 2" xfId="19199" xr:uid="{601DC0D0-8B29-43FC-878D-8FEFF7C03B83}"/>
    <cellStyle name="20% - Accent4 2 3 4 2 3 3" xfId="11133" xr:uid="{563C4B62-807D-431A-893E-AA7AEE09792B}"/>
    <cellStyle name="20% - Accent4 2 3 4 2 4" xfId="21208" xr:uid="{FA1E4240-6E62-4AC1-90D4-269191569F8E}"/>
    <cellStyle name="20% - Accent4 2 3 4 2 4 2" xfId="19187" xr:uid="{EB89A46D-AD6A-4699-9217-DB5129385B07}"/>
    <cellStyle name="20% - Accent4 2 3 4 2 5" xfId="24085" xr:uid="{E1A7A9B3-11D1-4B0E-8661-C6CAA39FFB74}"/>
    <cellStyle name="20% - Accent4 2 3 4 3" xfId="27195" xr:uid="{329B552F-3B0E-416E-A5D6-989D50922E6A}"/>
    <cellStyle name="20% - Accent4 2 3 4 3 2" xfId="23350" xr:uid="{007284B7-2F44-4704-9794-99902290EF33}"/>
    <cellStyle name="20% - Accent4 2 3 4 3 2 2" xfId="20808" xr:uid="{96979943-BBAD-4433-882F-3F9E8FB52A8E}"/>
    <cellStyle name="20% - Accent4 2 3 4 3 2 2 2" xfId="17177" xr:uid="{615A5CA9-D0D5-43AE-ABF6-7B7C318834D6}"/>
    <cellStyle name="20% - Accent4 2 3 4 3 2 3" xfId="11895" xr:uid="{90E3C5E4-A7B5-4495-9E96-B9A13E2EE546}"/>
    <cellStyle name="20% - Accent4 2 3 4 3 3" xfId="21204" xr:uid="{158D5444-CDE4-4E4E-B4B5-39997850AAB3}"/>
    <cellStyle name="20% - Accent4 2 3 4 3 3 2" xfId="32041" xr:uid="{EFDE169D-BDF9-4359-8668-F6633856FF64}"/>
    <cellStyle name="20% - Accent4 2 3 4 3 4" xfId="33795" xr:uid="{C61DF1AA-F987-4D5E-A125-47F191654A3D}"/>
    <cellStyle name="20% - Accent4 2 3 4 4" xfId="31441" xr:uid="{D549370B-6E0B-402D-B2B0-16181F736E81}"/>
    <cellStyle name="20% - Accent4 2 3 4 4 2" xfId="33825" xr:uid="{B42333A6-5E75-496E-B3FC-DF2B8BE8D1BC}"/>
    <cellStyle name="20% - Accent4 2 3 4 4 2 2" xfId="24084" xr:uid="{5C5DD875-39FF-44CA-9463-3B064E589E4C}"/>
    <cellStyle name="20% - Accent4 2 3 4 4 3" xfId="24082" xr:uid="{F719478D-E6B0-4074-894C-C64471D2F952}"/>
    <cellStyle name="20% - Accent4 2 3 4 5" xfId="33541" xr:uid="{D925BE66-7D9F-4331-9AAF-E41A634789D9}"/>
    <cellStyle name="20% - Accent4 2 3 4 5 2" xfId="24081" xr:uid="{864AAED8-2471-46BF-8185-79FE4DDF73A4}"/>
    <cellStyle name="20% - Accent4 2 3 4 6" xfId="24080" xr:uid="{B4196A26-0BD1-4114-BE1B-29E0F52F7133}"/>
    <cellStyle name="20% - Accent4 2 3 5" xfId="16756" xr:uid="{4249D77B-6EF5-4720-92AE-464E065DE80A}"/>
    <cellStyle name="20% - Accent4 2 3 5 2" xfId="24311" xr:uid="{0045F184-2F30-4F64-8CA4-6BA76C73475F}"/>
    <cellStyle name="20% - Accent4 2 3 5 2 2" xfId="23336" xr:uid="{145EDF01-93A1-4058-8DF2-410B2EE8E18C}"/>
    <cellStyle name="20% - Accent4 2 3 5 2 2 2" xfId="24076" xr:uid="{7ED3B2EC-1B38-40AA-83CC-2481BC88D5EA}"/>
    <cellStyle name="20% - Accent4 2 3 5 2 2 2 2" xfId="21336" xr:uid="{0C580435-4BD8-463F-B986-04357D955738}"/>
    <cellStyle name="20% - Accent4 2 3 5 2 2 3" xfId="10075" xr:uid="{FEFD6216-CE00-4E10-88AF-852E4DD9E8F0}"/>
    <cellStyle name="20% - Accent4 2 3 5 2 3" xfId="21203" xr:uid="{269F3937-9EB6-455B-98E4-B41F0F3B0A9F}"/>
    <cellStyle name="20% - Accent4 2 3 5 2 3 2" xfId="24071" xr:uid="{6035298E-10E1-4CBC-90D2-965766F0B97B}"/>
    <cellStyle name="20% - Accent4 2 3 5 2 4" xfId="24070" xr:uid="{9187C914-5CE0-4799-8ADE-C1FC24A7F1BA}"/>
    <cellStyle name="20% - Accent4 2 3 5 3" xfId="24308" xr:uid="{C63E03D6-DBF7-4CC4-9ED2-3983C8F6E758}"/>
    <cellStyle name="20% - Accent4 2 3 5 3 2" xfId="33537" xr:uid="{E3BFE075-06CA-448E-B7A8-1BBB1C87FF80}"/>
    <cellStyle name="20% - Accent4 2 3 5 3 2 2" xfId="24069" xr:uid="{684B6A45-A538-4B93-863A-1E19ED353E5C}"/>
    <cellStyle name="20% - Accent4 2 3 5 3 3" xfId="24068" xr:uid="{C9EF9E72-BE0D-46EF-B3FF-E30C67F44666}"/>
    <cellStyle name="20% - Accent4 2 3 5 4" xfId="23297" xr:uid="{A35233A7-76C5-4A4B-B6E6-632C4B16859E}"/>
    <cellStyle name="20% - Accent4 2 3 5 4 2" xfId="24065" xr:uid="{52C105E4-7190-4465-9480-D78FC86AB309}"/>
    <cellStyle name="20% - Accent4 2 3 5 5" xfId="24064" xr:uid="{44EFAD4B-1419-4917-A762-BEB100CB2A6F}"/>
    <cellStyle name="20% - Accent4 2 3 6" xfId="24061" xr:uid="{329BA5C5-1A52-4F55-87BA-3632771422C0}"/>
    <cellStyle name="20% - Accent4 2 3 6 2" xfId="24305" xr:uid="{2FD81C99-FB79-419B-8558-701595B052C0}"/>
    <cellStyle name="20% - Accent4 2 3 6 2 2" xfId="24059" xr:uid="{0C7D4FDE-95C4-4A4F-93DA-2E86AEECC791}"/>
    <cellStyle name="20% - Accent4 2 3 6 2 2 2" xfId="24056" xr:uid="{2E160362-7265-498B-985B-44E2F7BA1155}"/>
    <cellStyle name="20% - Accent4 2 3 6 2 3" xfId="24054" xr:uid="{03DF7753-AB51-4BE5-8A17-3A70DFA7BD8F}"/>
    <cellStyle name="20% - Accent4 2 3 6 3" xfId="24301" xr:uid="{6641DD0C-15FF-45B1-A2B4-8EAE5F06118F}"/>
    <cellStyle name="20% - Accent4 2 3 6 3 2" xfId="24052" xr:uid="{A9399AC9-9E52-42B9-8158-A887497154F9}"/>
    <cellStyle name="20% - Accent4 2 3 6 4" xfId="24049" xr:uid="{9689698F-C948-452E-8926-C17610C9371F}"/>
    <cellStyle name="20% - Accent4 2 3 7" xfId="24046" xr:uid="{6A765437-FD76-4E5F-90CD-C4942C4D39CA}"/>
    <cellStyle name="20% - Accent4 2 3 7 2" xfId="24044" xr:uid="{28C5A377-5E57-4AE0-A2E1-406AF7B97F25}"/>
    <cellStyle name="20% - Accent4 2 3 7 2 2" xfId="18432" xr:uid="{86413D3E-81E0-43D1-A1B7-F811EF539EE3}"/>
    <cellStyle name="20% - Accent4 2 3 7 3" xfId="24041" xr:uid="{A594A635-293E-4E63-846B-5609167FD935}"/>
    <cellStyle name="20% - Accent4 2 3 8" xfId="28260" xr:uid="{4DF84E6E-FDE4-4658-80F8-33D591F521BB}"/>
    <cellStyle name="20% - Accent4 2 3 8 2" xfId="34023" xr:uid="{479A0C8F-E2EA-4DE3-A950-5ED1FAC0D22B}"/>
    <cellStyle name="20% - Accent4 2 3 9" xfId="24039" xr:uid="{AB6C0A76-077F-46C7-B9F3-159A3277F475}"/>
    <cellStyle name="20% - Accent4 2 4" xfId="24032" xr:uid="{23A6437F-69CC-4DF6-A208-95C3043A3997}"/>
    <cellStyle name="20% - Accent4 2 4 2" xfId="8974" xr:uid="{8BE5F48D-F356-49BC-AE62-C26A2286258C}"/>
    <cellStyle name="20% - Accent4 2 4 2 2" xfId="24030" xr:uid="{F3560048-7283-48B8-A978-FEA9E8D06135}"/>
    <cellStyle name="20% - Accent4 2 4 2 2 2" xfId="24029" xr:uid="{0E809E47-E14F-444A-8D70-F2F43A539564}"/>
    <cellStyle name="20% - Accent4 2 4 2 2 2 2" xfId="26377" xr:uid="{BFE26225-F808-419D-9EB7-90D4EC25BD55}"/>
    <cellStyle name="20% - Accent4 2 4 2 2 2 2 2" xfId="24025" xr:uid="{1C5133DD-021C-4755-B117-A00E981FAB6D}"/>
    <cellStyle name="20% - Accent4 2 4 2 2 2 2 2 2" xfId="23477" xr:uid="{26FF6872-161D-4E93-985B-B654AAC586D5}"/>
    <cellStyle name="20% - Accent4 2 4 2 2 2 2 2 2 2" xfId="24021" xr:uid="{078A3D68-E4F8-4437-867D-4399AC139607}"/>
    <cellStyle name="20% - Accent4 2 4 2 2 2 2 2 3" xfId="24020" xr:uid="{D1338FC2-A122-455E-8A2E-6871D754B465}"/>
    <cellStyle name="20% - Accent4 2 4 2 2 2 2 3" xfId="26304" xr:uid="{F707B430-8777-4D15-959A-05A9A05A99D6}"/>
    <cellStyle name="20% - Accent4 2 4 2 2 2 2 3 2" xfId="24019" xr:uid="{E6A50F2D-F632-414E-9BBC-A4B69146A159}"/>
    <cellStyle name="20% - Accent4 2 4 2 2 2 2 4" xfId="19557" xr:uid="{BE395AEE-2202-40E7-A911-EDD5568D5926}"/>
    <cellStyle name="20% - Accent4 2 4 2 2 2 3" xfId="26928" xr:uid="{7CA809C3-E5DB-4C5D-AFFD-F0CE8BBE4D4C}"/>
    <cellStyle name="20% - Accent4 2 4 2 2 2 3 2" xfId="24018" xr:uid="{6C00C3F4-88EA-44D1-93D1-D8D84428E3D7}"/>
    <cellStyle name="20% - Accent4 2 4 2 2 2 3 2 2" xfId="24016" xr:uid="{7643A44D-B6D0-404F-AEFC-AFF220E9ABBA}"/>
    <cellStyle name="20% - Accent4 2 4 2 2 2 3 3" xfId="24012" xr:uid="{F59DA844-3E91-43BB-826A-C5A3E3BC6649}"/>
    <cellStyle name="20% - Accent4 2 4 2 2 2 4" xfId="24011" xr:uid="{E9FA0B26-638D-4079-BB16-C0EC5AF6E314}"/>
    <cellStyle name="20% - Accent4 2 4 2 2 2 4 2" xfId="24007" xr:uid="{C3906521-B646-425F-80D9-4065F342FBB8}"/>
    <cellStyle name="20% - Accent4 2 4 2 2 2 5" xfId="24006" xr:uid="{E9519633-47F5-428F-A23A-746336926EDB}"/>
    <cellStyle name="20% - Accent4 2 4 2 2 3" xfId="23705" xr:uid="{70FEDC58-4C68-4A78-ABAC-C0FC3C573A56}"/>
    <cellStyle name="20% - Accent4 2 4 2 2 3 2" xfId="24001" xr:uid="{8C1431C2-705F-40D5-9730-2E3EB6CB3550}"/>
    <cellStyle name="20% - Accent4 2 4 2 2 3 2 2" xfId="23997" xr:uid="{486BF623-C26C-49EE-80F6-B92ADA27C3CB}"/>
    <cellStyle name="20% - Accent4 2 4 2 2 3 2 2 2" xfId="33800" xr:uid="{DA0C75B3-DA7B-478B-8854-794F5AA8BD9F}"/>
    <cellStyle name="20% - Accent4 2 4 2 2 3 2 3" xfId="23993" xr:uid="{E73E3FF9-E4B2-4EFE-973A-5D79068BF21A}"/>
    <cellStyle name="20% - Accent4 2 4 2 2 3 3" xfId="26908" xr:uid="{008DA03A-820F-4607-AEF2-C24C3D418EA2}"/>
    <cellStyle name="20% - Accent4 2 4 2 2 3 3 2" xfId="23990" xr:uid="{D282F95B-09E8-42E8-BE22-E3C8E828B82C}"/>
    <cellStyle name="20% - Accent4 2 4 2 2 3 4" xfId="25677" xr:uid="{959E24E4-EEB9-4405-AE8D-56577EF50947}"/>
    <cellStyle name="20% - Accent4 2 4 2 2 4" xfId="23987" xr:uid="{4B70F3EB-868B-4534-AAC5-670D15D6D01B}"/>
    <cellStyle name="20% - Accent4 2 4 2 2 4 2" xfId="23984" xr:uid="{DB647F12-F126-4E9F-A84D-A7AEAD028A76}"/>
    <cellStyle name="20% - Accent4 2 4 2 2 4 2 2" xfId="33073" xr:uid="{AB40DB6B-9659-4FAD-9249-321B433FDD98}"/>
    <cellStyle name="20% - Accent4 2 4 2 2 4 3" xfId="25663" xr:uid="{3902C204-3B25-4978-AE03-4BEE70681C0E}"/>
    <cellStyle name="20% - Accent4 2 4 2 2 5" xfId="23976" xr:uid="{90613C97-1E1D-4002-A1F6-55EFDAF18354}"/>
    <cellStyle name="20% - Accent4 2 4 2 2 5 2" xfId="20317" xr:uid="{05906000-DD30-4B7B-A32A-D2588563D63C}"/>
    <cellStyle name="20% - Accent4 2 4 2 2 6" xfId="33050" xr:uid="{773ADC1D-35D7-4EE7-9DFF-56C407497A79}"/>
    <cellStyle name="20% - Accent4 2 4 2 3" xfId="32028" xr:uid="{92B5CC68-4C28-4CF5-803E-B70ECFA2E08C}"/>
    <cellStyle name="20% - Accent4 2 4 2 3 2" xfId="32798" xr:uid="{25DE06B4-16D3-45C9-B0FE-B1512A057B4B}"/>
    <cellStyle name="20% - Accent4 2 4 2 3 2 2" xfId="23974" xr:uid="{75D96F06-39F1-4368-9ADF-4A759844E620}"/>
    <cellStyle name="20% - Accent4 2 4 2 3 2 2 2" xfId="20638" xr:uid="{AE131082-E2DD-4794-A468-662CC730508B}"/>
    <cellStyle name="20% - Accent4 2 4 2 3 2 2 2 2" xfId="33184" xr:uid="{5486051D-2DD3-4E1D-A272-AEDD5BFD7655}"/>
    <cellStyle name="20% - Accent4 2 4 2 3 2 2 3" xfId="22527" xr:uid="{24FADB09-E29C-4376-AA2C-50B9FADAC379}"/>
    <cellStyle name="20% - Accent4 2 4 2 3 2 3" xfId="23971" xr:uid="{96371BB7-DAD2-41DA-8848-E960B0E78722}"/>
    <cellStyle name="20% - Accent4 2 4 2 3 2 3 2" xfId="30074" xr:uid="{E5050463-DC00-4815-B93F-C28A94776B3E}"/>
    <cellStyle name="20% - Accent4 2 4 2 3 2 4" xfId="23966" xr:uid="{4E0032AD-57DC-432E-886F-A2986958CD44}"/>
    <cellStyle name="20% - Accent4 2 4 2 3 3" xfId="27695" xr:uid="{35104C6E-44BA-4BF0-9CD5-6152FBC863CB}"/>
    <cellStyle name="20% - Accent4 2 4 2 3 3 2" xfId="23962" xr:uid="{4E14CC93-993E-4151-96B6-5C2435D0590E}"/>
    <cellStyle name="20% - Accent4 2 4 2 3 3 2 2" xfId="31172" xr:uid="{1F50CDED-5424-446D-AB31-8CE3B7FD6CA1}"/>
    <cellStyle name="20% - Accent4 2 4 2 3 3 3" xfId="25633" xr:uid="{856FF7D4-278E-4B0E-B7B6-34C6CD7FE4EF}"/>
    <cellStyle name="20% - Accent4 2 4 2 3 4" xfId="32566" xr:uid="{0303D84E-5133-4F91-AF65-005FA06F7C4B}"/>
    <cellStyle name="20% - Accent4 2 4 2 3 4 2" xfId="23957" xr:uid="{D105FA63-CC06-470A-B707-6D517B10DCEF}"/>
    <cellStyle name="20% - Accent4 2 4 2 3 5" xfId="23952" xr:uid="{BBF7ED84-2B13-4E81-A5E0-848C94E5F54C}"/>
    <cellStyle name="20% - Accent4 2 4 2 4" xfId="15889" xr:uid="{3D78FA8A-7D17-4144-ADCE-6C67B6FCF894}"/>
    <cellStyle name="20% - Accent4 2 4 2 4 2" xfId="23900" xr:uid="{E5D7F7E0-E122-4956-856C-6E62A56705E4}"/>
    <cellStyle name="20% - Accent4 2 4 2 4 2 2" xfId="23940" xr:uid="{94835C60-9174-4179-94B0-3A260C0AC6BF}"/>
    <cellStyle name="20% - Accent4 2 4 2 4 2 2 2" xfId="33724" xr:uid="{7980D3C7-EF0E-4E92-B096-15DFAF0ADF97}"/>
    <cellStyle name="20% - Accent4 2 4 2 4 2 3" xfId="23936" xr:uid="{F00976C1-8BBE-49BB-B6E5-B5A2C4CAACD4}"/>
    <cellStyle name="20% - Accent4 2 4 2 4 3" xfId="32982" xr:uid="{FF088233-3DA9-4AF7-9CA6-0A6E92738342}"/>
    <cellStyle name="20% - Accent4 2 4 2 4 3 2" xfId="28121" xr:uid="{15D8C575-55C2-40B8-AADF-746419113F31}"/>
    <cellStyle name="20% - Accent4 2 4 2 4 4" xfId="23933" xr:uid="{BB8BBB16-F86B-4CCE-8E1B-D14FDFD3A40F}"/>
    <cellStyle name="20% - Accent4 2 4 2 5" xfId="31983" xr:uid="{5CA6BE40-9264-426B-84E0-5B1C709A46A4}"/>
    <cellStyle name="20% - Accent4 2 4 2 5 2" xfId="32965" xr:uid="{F1EF6DFE-6196-4AA6-9E1C-BC8A9B985763}"/>
    <cellStyle name="20% - Accent4 2 4 2 5 2 2" xfId="23929" xr:uid="{7F91943A-EEF3-474B-A62F-75D1BC355260}"/>
    <cellStyle name="20% - Accent4 2 4 2 5 3" xfId="23926" xr:uid="{10B8CA20-0DFC-48AF-B877-0EE3DC0246A6}"/>
    <cellStyle name="20% - Accent4 2 4 2 6" xfId="25506" xr:uid="{7390DEB9-5C44-4E85-8535-ABD7ECCA2A4C}"/>
    <cellStyle name="20% - Accent4 2 4 2 6 2" xfId="23923" xr:uid="{0CA8309E-587E-49C4-A260-00AE886EB365}"/>
    <cellStyle name="20% - Accent4 2 4 2 7" xfId="20031" xr:uid="{908E2B43-5309-4E84-A9B8-B73A4B9202A6}"/>
    <cellStyle name="20% - Accent4 2 4 3" xfId="8972" xr:uid="{11C04E4A-4051-41F0-AF25-68C05030C256}"/>
    <cellStyle name="20% - Accent4 2 4 3 2" xfId="26298" xr:uid="{E5EAAA34-21DF-48ED-9BBB-ADFD33766BC6}"/>
    <cellStyle name="20% - Accent4 2 4 3 2 2" xfId="23921" xr:uid="{5FD4ACE7-D410-4CA3-86CF-565F12044D7B}"/>
    <cellStyle name="20% - Accent4 2 4 3 2 2 2" xfId="23918" xr:uid="{1CF2DBB9-C7C0-4F4D-9E5E-3B646ECBEB89}"/>
    <cellStyle name="20% - Accent4 2 4 3 2 2 2 2" xfId="23915" xr:uid="{1F7E1F8D-47B8-4A38-8F6A-84DCCA640166}"/>
    <cellStyle name="20% - Accent4 2 4 3 2 2 2 2 2" xfId="23615" xr:uid="{BCA541BD-25B2-4602-B5F1-E5CDCF444790}"/>
    <cellStyle name="20% - Accent4 2 4 3 2 2 2 3" xfId="23905" xr:uid="{01423A24-FBE3-422D-928F-EC8E7E394B23}"/>
    <cellStyle name="20% - Accent4 2 4 3 2 2 3" xfId="23904" xr:uid="{487EFCE6-3A07-46C6-8363-151E233BE7E3}"/>
    <cellStyle name="20% - Accent4 2 4 3 2 2 3 2" xfId="32514" xr:uid="{EA87B6FD-BD67-4D9E-BCFE-E0CDD3C986D4}"/>
    <cellStyle name="20% - Accent4 2 4 3 2 2 4" xfId="23899" xr:uid="{792431C2-BAE8-4808-9826-0A2172EB2902}"/>
    <cellStyle name="20% - Accent4 2 4 3 2 3" xfId="23302" xr:uid="{3C911F57-186F-41A8-A9B7-3E8255C4B714}"/>
    <cellStyle name="20% - Accent4 2 4 3 2 3 2" xfId="23897" xr:uid="{A661AE2D-D9FC-4FB6-B94D-553067E91436}"/>
    <cellStyle name="20% - Accent4 2 4 3 2 3 2 2" xfId="23893" xr:uid="{DA5E350C-F15B-4117-815E-546E2F336987}"/>
    <cellStyle name="20% - Accent4 2 4 3 2 3 3" xfId="25538" xr:uid="{5FC5BAB7-2C2D-4927-8634-F789951B2297}"/>
    <cellStyle name="20% - Accent4 2 4 3 2 4" xfId="23888" xr:uid="{B1243207-C23B-4D2D-9CBF-8F22F5E4C1B8}"/>
    <cellStyle name="20% - Accent4 2 4 3 2 4 2" xfId="18743" xr:uid="{D76525EB-8280-4969-A0DC-5CEA0A2887C4}"/>
    <cellStyle name="20% - Accent4 2 4 3 2 5" xfId="23886" xr:uid="{CE1CDC79-D68A-4173-9671-ABFF147A2483}"/>
    <cellStyle name="20% - Accent4 2 4 3 3" xfId="31909" xr:uid="{571A3674-7D4D-400D-9EC0-D558D97A2AA6}"/>
    <cellStyle name="20% - Accent4 2 4 3 3 2" xfId="31314" xr:uid="{68C62EF9-01B0-4AD4-91E0-4AAAE33BEF6C}"/>
    <cellStyle name="20% - Accent4 2 4 3 3 2 2" xfId="23885" xr:uid="{8E07BFFA-8CC6-4280-AC59-22A3227513A1}"/>
    <cellStyle name="20% - Accent4 2 4 3 3 2 2 2" xfId="23882" xr:uid="{947866BD-72E6-4AF0-8AA6-A60311F51854}"/>
    <cellStyle name="20% - Accent4 2 4 3 3 2 3" xfId="23881" xr:uid="{71EAAF8D-84E1-4E68-821F-0F28963E651B}"/>
    <cellStyle name="20% - Accent4 2 4 3 3 3" xfId="24822" xr:uid="{A64456E3-EC18-4FA4-8BFE-0BE86067BC35}"/>
    <cellStyle name="20% - Accent4 2 4 3 3 3 2" xfId="23879" xr:uid="{62279857-33CA-42AD-B4EF-A42BBBDD1455}"/>
    <cellStyle name="20% - Accent4 2 4 3 3 4" xfId="23877" xr:uid="{D31B8DCA-7D2B-49FF-880C-D03EBF852A0A}"/>
    <cellStyle name="20% - Accent4 2 4 3 4" xfId="23367" xr:uid="{6518B629-C5A5-4FF1-BAC9-E83349BD7909}"/>
    <cellStyle name="20% - Accent4 2 4 3 4 2" xfId="32952" xr:uid="{2247659C-95A0-4F19-BF1D-995312E0F130}"/>
    <cellStyle name="20% - Accent4 2 4 3 4 2 2" xfId="23875" xr:uid="{961E2158-7934-4AE9-92A5-C7C09D826F40}"/>
    <cellStyle name="20% - Accent4 2 4 3 4 3" xfId="23873" xr:uid="{2EEE39FF-B917-4E23-B15E-7582B7B51C3F}"/>
    <cellStyle name="20% - Accent4 2 4 3 5" xfId="31897" xr:uid="{01B7E8AB-60D5-444A-8B33-291367DC3DA6}"/>
    <cellStyle name="20% - Accent4 2 4 3 5 2" xfId="23869" xr:uid="{CF6E09F6-AB9C-45CE-96E5-0D708A086BB3}"/>
    <cellStyle name="20% - Accent4 2 4 3 6" xfId="20026" xr:uid="{AE971422-A17A-41EC-BB00-F73DE685B399}"/>
    <cellStyle name="20% - Accent4 2 4 4" xfId="8970" xr:uid="{0BCD06D9-23E4-443B-A718-2719AC1D0696}"/>
    <cellStyle name="20% - Accent4 2 4 4 2" xfId="31250" xr:uid="{110874F4-7486-4814-9B19-EC06DF00E34C}"/>
    <cellStyle name="20% - Accent4 2 4 4 2 2" xfId="24036" xr:uid="{A965C1BD-CC10-472F-B27C-A09D400374AF}"/>
    <cellStyle name="20% - Accent4 2 4 4 2 2 2" xfId="26206" xr:uid="{25B44FE2-9E07-400A-936C-0594137E9B2D}"/>
    <cellStyle name="20% - Accent4 2 4 4 2 2 2 2" xfId="15243" xr:uid="{3FF98AB0-3A62-4789-A988-4CD9CBB0BE47}"/>
    <cellStyle name="20% - Accent4 2 4 4 2 2 3" xfId="8700" xr:uid="{3CD923EC-D8E3-48DC-9DD8-65F1069EED00}"/>
    <cellStyle name="20% - Accent4 2 4 4 2 3" xfId="23863" xr:uid="{F229C353-2467-4B7D-A00F-F113136A035A}"/>
    <cellStyle name="20% - Accent4 2 4 4 2 3 2" xfId="27700" xr:uid="{5DFA8CA2-AE6C-4723-B12D-4303E7C23242}"/>
    <cellStyle name="20% - Accent4 2 4 4 2 4" xfId="23855" xr:uid="{F67D0207-0E20-4C10-AE8B-858A51FC91F6}"/>
    <cellStyle name="20% - Accent4 2 4 4 3" xfId="31236" xr:uid="{753C737E-4040-4CBB-BED7-E0614F7FA39A}"/>
    <cellStyle name="20% - Accent4 2 4 4 3 2" xfId="25356" xr:uid="{C383EFC2-A41D-4DC3-88F1-733FE4890422}"/>
    <cellStyle name="20% - Accent4 2 4 4 3 2 2" xfId="26912" xr:uid="{E68AA515-46BF-42AF-9651-93AD1F309FE0}"/>
    <cellStyle name="20% - Accent4 2 4 4 3 3" xfId="23850" xr:uid="{AC123B97-AB37-49F1-86EC-74FCDD7EC0A9}"/>
    <cellStyle name="20% - Accent4 2 4 4 4" xfId="31869" xr:uid="{31E4DEC1-A75F-4E94-92D5-DDB867ED5922}"/>
    <cellStyle name="20% - Accent4 2 4 4 4 2" xfId="23845" xr:uid="{908A6E8C-B488-4F64-B773-BBAEFF950827}"/>
    <cellStyle name="20% - Accent4 2 4 4 5" xfId="23837" xr:uid="{FCB0B206-B554-4C33-ADE2-FD8530F49693}"/>
    <cellStyle name="20% - Accent4 2 4 5" xfId="31188" xr:uid="{20414ED2-06C7-4B03-AB61-92F67E2F82A8}"/>
    <cellStyle name="20% - Accent4 2 4 5 2" xfId="28767" xr:uid="{ACD21D31-DDF5-41EF-A0E1-3EB688175DB0}"/>
    <cellStyle name="20% - Accent4 2 4 5 2 2" xfId="23831" xr:uid="{129D5BFF-A7A6-433C-A6CD-DA76A86E8CC0}"/>
    <cellStyle name="20% - Accent4 2 4 5 2 2 2" xfId="26081" xr:uid="{223AD644-70AE-45DA-AB84-8A52EAB47E03}"/>
    <cellStyle name="20% - Accent4 2 4 5 2 3" xfId="23825" xr:uid="{C813583B-A20C-4A36-84A8-4F3FCCF2A54F}"/>
    <cellStyle name="20% - Accent4 2 4 5 3" xfId="28758" xr:uid="{CB4136F8-0408-47A2-9D31-52F668D2AB71}"/>
    <cellStyle name="20% - Accent4 2 4 5 3 2" xfId="23822" xr:uid="{E994BF1D-0C33-47EC-BAE8-2197B1725C36}"/>
    <cellStyle name="20% - Accent4 2 4 5 4" xfId="23819" xr:uid="{3130351D-7F3D-4852-A347-F86C12FE188A}"/>
    <cellStyle name="20% - Accent4 2 4 6" xfId="23813" xr:uid="{1F715386-7047-4051-8584-2435353814EF}"/>
    <cellStyle name="20% - Accent4 2 4 6 2" xfId="23810" xr:uid="{C1A80469-BC20-40C0-A1EC-9768D33399AE}"/>
    <cellStyle name="20% - Accent4 2 4 6 2 2" xfId="23806" xr:uid="{BDA40B8E-FD94-468D-9EAB-CF231B72B0F0}"/>
    <cellStyle name="20% - Accent4 2 4 6 3" xfId="23804" xr:uid="{2F9DC2FA-55C8-419E-A944-286938ED7D4F}"/>
    <cellStyle name="20% - Accent4 2 4 7" xfId="23799" xr:uid="{BECE3B70-BFF1-48DF-BDED-6C836262E343}"/>
    <cellStyle name="20% - Accent4 2 4 7 2" xfId="23795" xr:uid="{D38F7652-9A62-47C6-A034-BBDCFC600637}"/>
    <cellStyle name="20% - Accent4 2 4 8" xfId="26188" xr:uid="{A179E868-D6D8-456E-B01E-F79878300547}"/>
    <cellStyle name="20% - Accent4 2 4 9" xfId="34759" xr:uid="{F51D94D3-5A0D-46E3-8A6C-61BC676B3C8B}"/>
    <cellStyle name="20% - Accent4 2 5" xfId="23792" xr:uid="{54EDFC96-9CD4-404D-96F0-859AA5653B2F}"/>
    <cellStyle name="20% - Accent4 2 5 2" xfId="8967" xr:uid="{41B84AD5-9020-42C8-BAF2-BA9C371FC241}"/>
    <cellStyle name="20% - Accent4 2 5 2 2" xfId="23790" xr:uid="{7DE96E41-C728-4035-89A3-0160BF9FDAF7}"/>
    <cellStyle name="20% - Accent4 2 5 2 2 2" xfId="29918" xr:uid="{8744FDD8-2986-49B4-8167-DC4FB0C230CA}"/>
    <cellStyle name="20% - Accent4 2 5 2 2 2 2" xfId="29379" xr:uid="{23BA2E36-D887-49BF-A4A3-5A7F05FCF154}"/>
    <cellStyle name="20% - Accent4 2 5 2 2 2 2 2" xfId="8968" xr:uid="{E9C022E5-00E7-4603-ABCF-026DD7146CAC}"/>
    <cellStyle name="20% - Accent4 2 5 2 2 2 2 2 2" xfId="19921" xr:uid="{8D8FB979-041D-4DE5-959C-B98A923076D6}"/>
    <cellStyle name="20% - Accent4 2 5 2 2 2 2 3" xfId="8963" xr:uid="{B40A2C23-A967-4CAF-8FD5-293D43D169B3}"/>
    <cellStyle name="20% - Accent4 2 5 2 2 2 3" xfId="25357" xr:uid="{567B07A5-5227-4E5F-AC78-286565E1F03B}"/>
    <cellStyle name="20% - Accent4 2 5 2 2 2 3 2" xfId="17925" xr:uid="{844C1665-F3C6-4C70-AA79-F3971A596440}"/>
    <cellStyle name="20% - Accent4 2 5 2 2 2 4" xfId="23849" xr:uid="{BB7B6CDD-0FE1-4B05-BE84-DF57EF6520CA}"/>
    <cellStyle name="20% - Accent4 2 5 2 2 3" xfId="27383" xr:uid="{27CEBE1C-6421-4CE7-B159-FABE924DAEBA}"/>
    <cellStyle name="20% - Accent4 2 5 2 2 3 2" xfId="26053" xr:uid="{C8FB62D4-93FF-472C-B722-4EA9FB1BD75C}"/>
    <cellStyle name="20% - Accent4 2 5 2 2 3 2 2" xfId="8942" xr:uid="{BCD05661-3661-4970-8B15-34FB8838B710}"/>
    <cellStyle name="20% - Accent4 2 5 2 2 3 3" xfId="23844" xr:uid="{6CC7B191-C1E9-441D-AE79-2615D9AC695E}"/>
    <cellStyle name="20% - Accent4 2 5 2 2 4" xfId="32208" xr:uid="{F0FD78A3-BCF8-4ADD-B85A-5D556561B85A}"/>
    <cellStyle name="20% - Accent4 2 5 2 2 4 2" xfId="26270" xr:uid="{BD6298A4-2942-4457-8B11-1E3C2286F03B}"/>
    <cellStyle name="20% - Accent4 2 5 2 2 5" xfId="26263" xr:uid="{BD21ECA7-C9CF-42AA-A83B-1A77E20A7712}"/>
    <cellStyle name="20% - Accent4 2 5 2 3" xfId="31788" xr:uid="{EA8C8247-8BE0-4BE8-9BE8-1B6483A3BD98}"/>
    <cellStyle name="20% - Accent4 2 5 2 3 2" xfId="26253" xr:uid="{362FF76A-CB56-492D-9DAD-E00365F731E7}"/>
    <cellStyle name="20% - Accent4 2 5 2 3 2 2" xfId="26250" xr:uid="{A4754B6F-C1B4-4A23-A912-77FB4D3C2A13}"/>
    <cellStyle name="20% - Accent4 2 5 2 3 2 2 2" xfId="22303" xr:uid="{D65E5696-F6A8-439F-9886-02CC8BA3247B}"/>
    <cellStyle name="20% - Accent4 2 5 2 3 2 3" xfId="23821" xr:uid="{FED5F5BA-B162-4D96-A8C7-CDE53AF2CEB2}"/>
    <cellStyle name="20% - Accent4 2 5 2 3 3" xfId="31930" xr:uid="{2BD314C9-D8F1-4CF6-87F5-CC6951F5C62B}"/>
    <cellStyle name="20% - Accent4 2 5 2 3 3 2" xfId="26245" xr:uid="{C60B47DE-67B9-488B-AD8B-4EEE2D89CA85}"/>
    <cellStyle name="20% - Accent4 2 5 2 3 4" xfId="26244" xr:uid="{39B769D5-355D-4094-85E2-273285F83EC8}"/>
    <cellStyle name="20% - Accent4 2 5 2 4" xfId="31752" xr:uid="{11DAB4A5-1BC1-4474-A68E-94B7D5A27319}"/>
    <cellStyle name="20% - Accent4 2 5 2 4 2" xfId="26230" xr:uid="{172A7E37-5F69-4F2B-969D-14C521985F08}"/>
    <cellStyle name="20% - Accent4 2 5 2 4 2 2" xfId="26228" xr:uid="{4F4E86B9-907A-43D1-868D-C8133B526A76}"/>
    <cellStyle name="20% - Accent4 2 5 2 4 3" xfId="26224" xr:uid="{28C519E6-3BF6-48A9-90D0-425D5180E960}"/>
    <cellStyle name="20% - Accent4 2 5 2 5" xfId="31057" xr:uid="{BF0EA115-DE0E-44A2-8324-18D07B4CC50D}"/>
    <cellStyle name="20% - Accent4 2 5 2 5 2" xfId="26219" xr:uid="{60A84FE5-0770-424E-8BA0-1287590320B8}"/>
    <cellStyle name="20% - Accent4 2 5 2 6" xfId="19980" xr:uid="{E8A26636-0547-4214-B989-5A3410775933}"/>
    <cellStyle name="20% - Accent4 2 5 3" xfId="8964" xr:uid="{23E7E223-BAAF-473F-BA95-B4A7214AFB33}"/>
    <cellStyle name="20% - Accent4 2 5 3 2" xfId="23786" xr:uid="{003054BE-8B90-4796-99B8-B2C96FDA3964}"/>
    <cellStyle name="20% - Accent4 2 5 3 2 2" xfId="22472" xr:uid="{5313BA27-4E36-480F-A85E-094434FA6785}"/>
    <cellStyle name="20% - Accent4 2 5 3 2 2 2" xfId="26199" xr:uid="{C2F906AE-545D-4519-9212-561574E641A7}"/>
    <cellStyle name="20% - Accent4 2 5 3 2 2 2 2" xfId="8841" xr:uid="{E393E472-2B77-428B-9009-BAAB93B26B5B}"/>
    <cellStyle name="20% - Accent4 2 5 3 2 2 3" xfId="25245" xr:uid="{F5CE957E-E31D-4C9B-AD0C-D6CFCAB868EA}"/>
    <cellStyle name="20% - Accent4 2 5 3 2 3" xfId="24608" xr:uid="{2D621F74-4BE1-42D8-94B1-DFD778A26E38}"/>
    <cellStyle name="20% - Accent4 2 5 3 2 3 2" xfId="26193" xr:uid="{DAC2325D-F973-4E92-AAEB-95E104388855}"/>
    <cellStyle name="20% - Accent4 2 5 3 2 4" xfId="26189" xr:uid="{314E7AF0-2712-4538-B88C-58FC9B6A6265}"/>
    <cellStyle name="20% - Accent4 2 5 3 3" xfId="32252" xr:uid="{5D27FDFA-73DF-4C43-AE26-7CE648389733}"/>
    <cellStyle name="20% - Accent4 2 5 3 3 2" xfId="26171" xr:uid="{9EA4F467-79E6-4372-85B2-CA6C9AE9932B}"/>
    <cellStyle name="20% - Accent4 2 5 3 3 2 2" xfId="26163" xr:uid="{A23119C2-F556-4013-95B9-EE1F357974B1}"/>
    <cellStyle name="20% - Accent4 2 5 3 3 3" xfId="26158" xr:uid="{0EF72E02-F2D5-4AAF-AD1C-C822B748ECB6}"/>
    <cellStyle name="20% - Accent4 2 5 3 4" xfId="32894" xr:uid="{7EFC17BA-3AA2-49EE-86A6-ABA5A53351DB}"/>
    <cellStyle name="20% - Accent4 2 5 3 4 2" xfId="24356" xr:uid="{705810D9-5403-4554-A6AF-A9CF8FF29BE3}"/>
    <cellStyle name="20% - Accent4 2 5 3 5" xfId="23785" xr:uid="{D4E1A67E-B278-4B9F-9D76-2AF13863C547}"/>
    <cellStyle name="20% - Accent4 2 5 4" xfId="8961" xr:uid="{CCD1B135-CDFC-431D-86DE-8EB69DD395BB}"/>
    <cellStyle name="20% - Accent4 2 5 4 2" xfId="19238" xr:uid="{2BC8BE5C-B9E4-485E-98CB-EDD6E8715603}"/>
    <cellStyle name="20% - Accent4 2 5 4 2 2" xfId="32709" xr:uid="{B0626E15-AFE2-4A90-80BA-0758764D00AE}"/>
    <cellStyle name="20% - Accent4 2 5 4 2 2 2" xfId="24331" xr:uid="{D2EE3532-0B0E-40A0-9C20-B259EBFA432E}"/>
    <cellStyle name="20% - Accent4 2 5 4 2 3" xfId="25186" xr:uid="{E573FECD-47C7-4213-9EDE-0D35778FA748}"/>
    <cellStyle name="20% - Accent4 2 5 4 3" xfId="23118" xr:uid="{BB0C9983-4C7C-49AC-BAFF-79B51DAB1512}"/>
    <cellStyle name="20% - Accent4 2 5 4 3 2" xfId="25244" xr:uid="{B758E3A1-240A-4922-BBF2-4FB9EDA76844}"/>
    <cellStyle name="20% - Accent4 2 5 4 4" xfId="23780" xr:uid="{9E546C60-3FC8-42B2-889E-E629A5DB5D62}"/>
    <cellStyle name="20% - Accent4 2 5 5" xfId="23777" xr:uid="{ACAD3EBC-C3B8-4090-8B89-3E6E9F40C1AB}"/>
    <cellStyle name="20% - Accent4 2 5 5 2" xfId="23774" xr:uid="{1630F03E-7EC0-4E63-8E8D-90F5CC52EA30}"/>
    <cellStyle name="20% - Accent4 2 5 5 2 2" xfId="32665" xr:uid="{9298AB47-7B14-417E-BB1B-361A039C7F48}"/>
    <cellStyle name="20% - Accent4 2 5 5 3" xfId="23768" xr:uid="{A1735C29-44D4-49F7-AE9F-C5F9EAF7F05C}"/>
    <cellStyle name="20% - Accent4 2 5 6" xfId="23762" xr:uid="{7F98A92E-934E-4296-961F-3FC4BAC18D3F}"/>
    <cellStyle name="20% - Accent4 2 5 6 2" xfId="30857" xr:uid="{FDE65367-C3BB-4522-BBED-98A82C482C89}"/>
    <cellStyle name="20% - Accent4 2 5 7" xfId="23757" xr:uid="{D0540608-1051-4AB6-88D0-AC8942B8D49A}"/>
    <cellStyle name="20% - Accent4 2 5 8" xfId="34949" xr:uid="{DEBA05BE-93F0-4370-95CB-A60235DBEC2F}"/>
    <cellStyle name="20% - Accent4 2 6" xfId="23753" xr:uid="{AE872975-906C-487A-8493-D6C8553C928D}"/>
    <cellStyle name="20% - Accent4 2 6 2" xfId="17927" xr:uid="{8BC832A1-6605-47BF-ADB4-AE78650F71DE}"/>
    <cellStyle name="20% - Accent4 2 6 2 2" xfId="10494" xr:uid="{3B759CFF-2A5D-4293-AE20-0BBDE5CE557F}"/>
    <cellStyle name="20% - Accent4 2 6 2 2 2" xfId="10489" xr:uid="{8AB5A3B6-1AAF-4BBD-96E3-3ADC59B4B60A}"/>
    <cellStyle name="20% - Accent4 2 6 2 2 2 2" xfId="25926" xr:uid="{474EC35F-8078-47D7-B914-D0944692771F}"/>
    <cellStyle name="20% - Accent4 2 6 2 2 2 2 2" xfId="8685" xr:uid="{F5BE29BB-71A3-418A-B859-A52614CCB6F2}"/>
    <cellStyle name="20% - Accent4 2 6 2 2 2 3" xfId="22995" xr:uid="{4D2E00EA-6B02-4513-A5AC-B1437FCE0795}"/>
    <cellStyle name="20% - Accent4 2 6 2 2 3" xfId="31515" xr:uid="{AC00DD69-C3F8-49CD-9D03-E3861F7EFFB2}"/>
    <cellStyle name="20% - Accent4 2 6 2 2 3 2" xfId="26419" xr:uid="{7B8B53E8-0233-4D38-AF3D-ABF95CEF4722}"/>
    <cellStyle name="20% - Accent4 2 6 2 2 4" xfId="20954" xr:uid="{C5532745-2538-44A2-A0FB-3EB1F21D2C84}"/>
    <cellStyle name="20% - Accent4 2 6 2 3" xfId="10484" xr:uid="{A3DE8439-2465-411C-8CA0-306D10BF75FA}"/>
    <cellStyle name="20% - Accent4 2 6 2 3 2" xfId="26004" xr:uid="{20FF0C40-3050-408F-822F-553F1C299E27}"/>
    <cellStyle name="20% - Accent4 2 6 2 3 2 2" xfId="30206" xr:uid="{21469077-176B-4739-AF79-0F6A0AA7784F}"/>
    <cellStyle name="20% - Accent4 2 6 2 3 3" xfId="31505" xr:uid="{872EECF2-E210-4F9A-BCC2-E11062050290}"/>
    <cellStyle name="20% - Accent4 2 6 2 4" xfId="31651" xr:uid="{8A3EE4D6-9CC1-4BF6-97D5-4FDA735ABA7D}"/>
    <cellStyle name="20% - Accent4 2 6 2 4 2" xfId="25998" xr:uid="{20C2D2DA-A224-4862-BB68-67B28A288BC9}"/>
    <cellStyle name="20% - Accent4 2 6 2 5" xfId="23750" xr:uid="{7DE6857F-43D9-46DC-864B-283B6D7B3C5A}"/>
    <cellStyle name="20% - Accent4 2 6 3" xfId="8954" xr:uid="{A43A7EAD-AC3E-4AA3-9E05-55CD7CD15A61}"/>
    <cellStyle name="20% - Accent4 2 6 3 2" xfId="7066" xr:uid="{B8C949D5-E515-4244-BC10-4BB915C1569E}"/>
    <cellStyle name="20% - Accent4 2 6 3 2 2" xfId="30596" xr:uid="{16293D29-F9F3-4268-88AF-A96EF23E7551}"/>
    <cellStyle name="20% - Accent4 2 6 3 2 2 2" xfId="25981" xr:uid="{88644028-3035-4350-8848-3C15234D24B1}"/>
    <cellStyle name="20% - Accent4 2 6 3 2 3" xfId="30776" xr:uid="{9F6C6D29-D35D-412D-A44D-66810D519DCE}"/>
    <cellStyle name="20% - Accent4 2 6 3 3" xfId="30962" xr:uid="{02803D2A-3868-49BD-80F5-56E73F039FCF}"/>
    <cellStyle name="20% - Accent4 2 6 3 3 2" xfId="30589" xr:uid="{327BB666-CE37-433E-B67C-8385055FD257}"/>
    <cellStyle name="20% - Accent4 2 6 3 4" xfId="23749" xr:uid="{09DA341D-7AAC-4A06-BAFD-5E77B9F76F49}"/>
    <cellStyle name="20% - Accent4 2 6 4" xfId="7999" xr:uid="{B8920AC9-3C3E-44F8-840F-B3C08ECD69DE}"/>
    <cellStyle name="20% - Accent4 2 6 4 2" xfId="7992" xr:uid="{4D90FD1C-1F1F-4514-B7A2-045531D3F11B}"/>
    <cellStyle name="20% - Accent4 2 6 4 2 2" xfId="15016" xr:uid="{C224E6F3-F91A-4DB3-8C42-921E8665A434}"/>
    <cellStyle name="20% - Accent4 2 6 4 3" xfId="7978" xr:uid="{E2A516BA-B84D-49BC-B1C5-29B45D24A3E9}"/>
    <cellStyle name="20% - Accent4 2 6 5" xfId="23736" xr:uid="{808E8B2D-7896-46AF-99E1-CCE1A93B1B9C}"/>
    <cellStyle name="20% - Accent4 2 6 5 2" xfId="11802" xr:uid="{61B215E9-8E60-4EC9-ABB0-9089D9CDB0CA}"/>
    <cellStyle name="20% - Accent4 2 6 6" xfId="11796" xr:uid="{8FAAA3DC-030C-4E65-9E62-606433A86854}"/>
    <cellStyle name="20% - Accent4 2 6 7" xfId="35154" xr:uid="{C9A95DBA-FE56-4A97-B965-71E072FEBF9D}"/>
    <cellStyle name="20% - Accent4 2 7" xfId="23724" xr:uid="{CE913B50-6CD7-4A88-9938-1B7D56624F0D}"/>
    <cellStyle name="20% - Accent4 2 7 2" xfId="8951" xr:uid="{EA502547-981B-4B2B-BDC4-2FD462400CE3}"/>
    <cellStyle name="20% - Accent4 2 7 2 2" xfId="10431" xr:uid="{F435635F-7D65-4394-AF14-BF109654AAEB}"/>
    <cellStyle name="20% - Accent4 2 7 2 2 2" xfId="34028" xr:uid="{9D2CA514-6599-49AB-905A-91DB30B6DBBC}"/>
    <cellStyle name="20% - Accent4 2 7 2 2 2 2" xfId="25877" xr:uid="{AF89401A-F461-40D6-AF20-95929A3A8D18}"/>
    <cellStyle name="20% - Accent4 2 7 2 2 3" xfId="25875" xr:uid="{3C22A734-7C96-4701-9D53-3319F9E11DDB}"/>
    <cellStyle name="20% - Accent4 2 7 2 3" xfId="31585" xr:uid="{FEB43A14-180F-4860-B953-148253A3588D}"/>
    <cellStyle name="20% - Accent4 2 7 2 3 2" xfId="25871" xr:uid="{F4D3D6CE-4B59-469F-BC20-1AC99AB6E58C}"/>
    <cellStyle name="20% - Accent4 2 7 2 4" xfId="23721" xr:uid="{652DEB92-12C1-46D7-AE17-87B6916F343A}"/>
    <cellStyle name="20% - Accent4 2 7 3" xfId="33272" xr:uid="{8B34F8D1-8D9C-4BEC-B38A-282EB71D18CC}"/>
    <cellStyle name="20% - Accent4 2 7 3 2" xfId="23720" xr:uid="{7A1457EB-D313-45C2-AB53-DDD9CB1F0AAE}"/>
    <cellStyle name="20% - Accent4 2 7 3 2 2" xfId="30539" xr:uid="{E50090B8-E271-42E4-8AD7-AC1455709BD6}"/>
    <cellStyle name="20% - Accent4 2 7 3 3" xfId="20560" xr:uid="{A7436972-56D3-4E09-A102-3872B8DA7BE5}"/>
    <cellStyle name="20% - Accent4 2 7 4" xfId="31575" xr:uid="{93376914-5A20-47C8-A137-555828D561DD}"/>
    <cellStyle name="20% - Accent4 2 7 4 2" xfId="7940" xr:uid="{03A81761-7E87-450C-8539-3FFB0F42D60E}"/>
    <cellStyle name="20% - Accent4 2 7 5" xfId="11790" xr:uid="{88E6E114-B20F-423A-A962-3116346BF731}"/>
    <cellStyle name="20% - Accent4 2 7 6" xfId="35383" xr:uid="{11EA6D4C-5962-4DBB-8CE4-7ED897576419}"/>
    <cellStyle name="20% - Accent4 2 8" xfId="23043" xr:uid="{372D20CA-02FB-48C4-BC91-3DCFEC1EA126}"/>
    <cellStyle name="20% - Accent4 2 8 2" xfId="23714" xr:uid="{CD008472-4A68-4F66-86DE-732D0B020D2D}"/>
    <cellStyle name="20% - Accent4 2 8 2 2" xfId="23712" xr:uid="{929523B9-6F59-4C8F-B08D-FC9562EDDE02}"/>
    <cellStyle name="20% - Accent4 2 8 2 2 2" xfId="25822" xr:uid="{8A5379F6-F546-400D-8E53-1AC7570DB3EE}"/>
    <cellStyle name="20% - Accent4 2 8 2 3" xfId="25735" xr:uid="{B7A32240-B652-494F-9446-8959BFD97493}"/>
    <cellStyle name="20% - Accent4 2 8 3" xfId="34242" xr:uid="{0C2504D9-618A-4827-8AEB-60782FA40821}"/>
    <cellStyle name="20% - Accent4 2 8 3 2" xfId="23706" xr:uid="{676C0249-BB12-41ED-81F8-926C86FE75DA}"/>
    <cellStyle name="20% - Accent4 2 8 4" xfId="7915" xr:uid="{AAC7B1C3-F769-476F-9AD2-CC154FE94CB8}"/>
    <cellStyle name="20% - Accent4 2 8 5" xfId="36255" xr:uid="{2AA66CD1-A2C8-4548-A3C9-7107AF98B776}"/>
    <cellStyle name="20% - Accent4 2 9" xfId="31230" xr:uid="{27DEDE97-7CF4-4039-BCB2-29D037063BE1}"/>
    <cellStyle name="20% - Accent4 2 9 2" xfId="25602" xr:uid="{375841FD-BCC5-44E3-AA57-918D0BD204C1}"/>
    <cellStyle name="20% - Accent4 2 9 2 2" xfId="31218" xr:uid="{3DEEEB11-4F14-4DCF-A525-602C29F2DAAF}"/>
    <cellStyle name="20% - Accent4 2 9 3" xfId="28664" xr:uid="{DDDB596F-10C7-4A01-9366-7864A784F5CA}"/>
    <cellStyle name="20% - Accent4 2 9 4" xfId="36541" xr:uid="{18250696-79C5-4976-8CF0-7260075A034A}"/>
    <cellStyle name="20% - Accent4 20" xfId="35705" xr:uid="{07D6B140-DBDD-4469-80EB-26B95C6E3E1B}"/>
    <cellStyle name="20% - Accent4 20 2" xfId="36874" xr:uid="{A4FFF182-774A-4A61-AD90-B8829E71D71D}"/>
    <cellStyle name="20% - Accent4 20 3" xfId="37765" xr:uid="{897AA300-8380-4E7C-9C03-F69F39475E35}"/>
    <cellStyle name="20% - Accent4 21" xfId="35724" xr:uid="{DDEABBD7-8945-4727-B0AA-7EF98CD7E567}"/>
    <cellStyle name="20% - Accent4 21 2" xfId="36894" xr:uid="{C2D3185C-1876-43EA-B1C2-07977B57C7C0}"/>
    <cellStyle name="20% - Accent4 21 3" xfId="37785" xr:uid="{CBD0FD29-2BD8-417E-A1A5-9009D655B744}"/>
    <cellStyle name="20% - Accent4 22" xfId="35743" xr:uid="{78C78441-8EA9-4430-912F-801CAAF1616B}"/>
    <cellStyle name="20% - Accent4 22 2" xfId="36914" xr:uid="{F2E1B185-6C77-4670-95D5-0B4CA07B5D75}"/>
    <cellStyle name="20% - Accent4 22 3" xfId="37805" xr:uid="{CD492526-7E34-4325-86C8-F8697DFC3A3D}"/>
    <cellStyle name="20% - Accent4 23" xfId="35763" xr:uid="{D7EA5F79-5018-4315-88B9-22AA7B990C7D}"/>
    <cellStyle name="20% - Accent4 23 2" xfId="36933" xr:uid="{5BAE967E-36AE-48BC-89B1-01C7CFFBD7DE}"/>
    <cellStyle name="20% - Accent4 23 3" xfId="37825" xr:uid="{B99148F6-6994-4553-820E-ECE724944FC1}"/>
    <cellStyle name="20% - Accent4 24" xfId="35783" xr:uid="{F1849D35-7C45-42C6-99CF-3BEF52232C7B}"/>
    <cellStyle name="20% - Accent4 24 2" xfId="36952" xr:uid="{00BF345A-113C-4865-932A-8302421B0071}"/>
    <cellStyle name="20% - Accent4 24 3" xfId="37845" xr:uid="{29974D16-97C4-4803-8C5A-90AE0BAB18B6}"/>
    <cellStyle name="20% - Accent4 25" xfId="35802" xr:uid="{E3AE9AA3-3C2B-4074-88AE-8583EA9E0792}"/>
    <cellStyle name="20% - Accent4 25 2" xfId="36972" xr:uid="{7B5F6118-61BB-4C28-B4A7-2E0482409BD9}"/>
    <cellStyle name="20% - Accent4 25 3" xfId="37865" xr:uid="{8509FBFF-C89E-4FF3-85C3-D763694BF2F6}"/>
    <cellStyle name="20% - Accent4 26" xfId="35821" xr:uid="{12302CD3-14B1-4038-97A6-1C661D12FA8A}"/>
    <cellStyle name="20% - Accent4 26 2" xfId="36992" xr:uid="{DC30B1F0-EE69-4F71-8E75-6DF557C347F7}"/>
    <cellStyle name="20% - Accent4 26 3" xfId="37885" xr:uid="{3759288E-5219-42C8-9C4C-8AE0CEA2B8E5}"/>
    <cellStyle name="20% - Accent4 27" xfId="35840" xr:uid="{AFFF1E22-53B6-4241-9462-8F4784CDF057}"/>
    <cellStyle name="20% - Accent4 27 2" xfId="37012" xr:uid="{AB4934DD-7DEB-4410-8349-2ED569C6ABD1}"/>
    <cellStyle name="20% - Accent4 27 3" xfId="37905" xr:uid="{E132B1B4-CD25-4CF4-BE8B-9AA355A754D6}"/>
    <cellStyle name="20% - Accent4 28" xfId="35859" xr:uid="{8CF854A6-2986-4C74-A457-0D5AE1858870}"/>
    <cellStyle name="20% - Accent4 28 2" xfId="37032" xr:uid="{D876F05C-E13D-47F6-94FB-61F9A57A3525}"/>
    <cellStyle name="20% - Accent4 28 3" xfId="37925" xr:uid="{09974B05-5EDD-4AF3-AECC-878821F8CDC0}"/>
    <cellStyle name="20% - Accent4 29" xfId="35872" xr:uid="{76C7B9AC-F6B9-46F0-9753-8254D0BAA8AB}"/>
    <cellStyle name="20% - Accent4 29 2" xfId="37044" xr:uid="{54F9863F-BF5D-43F4-9D67-88F80CE4CE9D}"/>
    <cellStyle name="20% - Accent4 29 3" xfId="37938" xr:uid="{70B0BDC7-8ECD-451D-96AA-75D4E83C00BD}"/>
    <cellStyle name="20% - Accent4 3" xfId="106" xr:uid="{6725BB29-4E13-46D1-A79F-C4FA7EE97B6F}"/>
    <cellStyle name="20% - Accent4 3 10" xfId="23698" xr:uid="{53D27B1B-59FF-408F-926F-3D16C0959FEC}"/>
    <cellStyle name="20% - Accent4 3 10 2" xfId="37445" xr:uid="{D78A5734-5083-48FC-A244-FF155FE192C9}"/>
    <cellStyle name="20% - Accent4 3 11" xfId="34460" xr:uid="{74A4197C-8239-4124-94A1-EE1ABEE8DBBF}"/>
    <cellStyle name="20% - Accent4 3 12" xfId="23701" xr:uid="{ABA4E9E1-F0AF-4CA1-ACAC-8F8E2AE8E9FB}"/>
    <cellStyle name="20% - Accent4 3 2" xfId="167" xr:uid="{6D8B0C7C-B4D3-4BF2-B037-A1F01A26A0C1}"/>
    <cellStyle name="20% - Accent4 3 2 10" xfId="34512" xr:uid="{3C9C9341-DDF1-49F5-ACBE-F630EA6B2FB7}"/>
    <cellStyle name="20% - Accent4 3 2 11" xfId="23696" xr:uid="{E27CFD94-B021-47A7-A4AA-BA0CDB62B729}"/>
    <cellStyle name="20% - Accent4 3 2 2" xfId="23695" xr:uid="{13FE6221-25B9-449E-A383-2C8C5F06FBD2}"/>
    <cellStyle name="20% - Accent4 3 2 2 2" xfId="23692" xr:uid="{3F77A24B-FA96-4921-A690-96134D5856CA}"/>
    <cellStyle name="20% - Accent4 3 2 2 2 2" xfId="20981" xr:uid="{7B8347C3-3FB8-4AE2-B8C1-C8DB41EA3330}"/>
    <cellStyle name="20% - Accent4 3 2 2 2 2 2" xfId="25170" xr:uid="{343BBDA1-3914-404E-9DDD-31C51F2D95F2}"/>
    <cellStyle name="20% - Accent4 3 2 2 2 2 2 2" xfId="23687" xr:uid="{960DAFAE-37C0-4E2C-B5F3-0FC9312B8E48}"/>
    <cellStyle name="20% - Accent4 3 2 2 2 2 2 2 2" xfId="23684" xr:uid="{4350310E-4E40-4B43-93B7-78B69B077774}"/>
    <cellStyle name="20% - Accent4 3 2 2 2 2 2 2 2 2" xfId="21666" xr:uid="{15829F3C-90D6-4807-92C0-15C66F30092D}"/>
    <cellStyle name="20% - Accent4 3 2 2 2 2 2 2 2 2 2" xfId="23679" xr:uid="{57AAB93C-2618-4A2D-9D89-3E024D0AB158}"/>
    <cellStyle name="20% - Accent4 3 2 2 2 2 2 2 2 3" xfId="23676" xr:uid="{C646DC04-0DFB-4604-A246-8B2789600ACC}"/>
    <cellStyle name="20% - Accent4 3 2 2 2 2 2 2 3" xfId="27945" xr:uid="{32705828-A7C3-4D96-8E95-41C621C71D85}"/>
    <cellStyle name="20% - Accent4 3 2 2 2 2 2 2 3 2" xfId="23675" xr:uid="{F07EEE95-78FC-4B00-8FBC-E1D961F342B0}"/>
    <cellStyle name="20% - Accent4 3 2 2 2 2 2 2 4" xfId="27932" xr:uid="{DC1D2251-B122-438B-844F-FA4E9F6A72A5}"/>
    <cellStyle name="20% - Accent4 3 2 2 2 2 2 3" xfId="23668" xr:uid="{3EA7350D-A700-4433-B0FD-1CBC66535381}"/>
    <cellStyle name="20% - Accent4 3 2 2 2 2 2 3 2" xfId="23666" xr:uid="{C553521B-43A5-42AC-AD0C-D36B34F10D3F}"/>
    <cellStyle name="20% - Accent4 3 2 2 2 2 2 3 2 2" xfId="23664" xr:uid="{21CB8F4E-DFCB-4F5C-8DF7-A75BB504F79A}"/>
    <cellStyle name="20% - Accent4 3 2 2 2 2 2 3 3" xfId="27827" xr:uid="{C3284098-55B4-4842-B902-9F83C80A8F64}"/>
    <cellStyle name="20% - Accent4 3 2 2 2 2 2 4" xfId="23661" xr:uid="{967838FA-AAE1-4BE8-94DB-468F52282651}"/>
    <cellStyle name="20% - Accent4 3 2 2 2 2 2 4 2" xfId="23656" xr:uid="{3316B34C-7B5B-422B-9DDA-4E4345FE00C2}"/>
    <cellStyle name="20% - Accent4 3 2 2 2 2 2 5" xfId="23653" xr:uid="{C6A894F4-7770-418B-B933-29B7E8220C07}"/>
    <cellStyle name="20% - Accent4 3 2 2 2 2 3" xfId="24738" xr:uid="{36C8B343-9BCE-403A-9D28-D17C7D83952B}"/>
    <cellStyle name="20% - Accent4 3 2 2 2 2 3 2" xfId="23647" xr:uid="{A044AF5A-AC57-470D-B0DC-ED1DD2CE4D4B}"/>
    <cellStyle name="20% - Accent4 3 2 2 2 2 3 2 2" xfId="31279" xr:uid="{065DFEF0-41B5-4BAD-A44D-BC19929DD9B8}"/>
    <cellStyle name="20% - Accent4 3 2 2 2 2 3 2 2 2" xfId="23644" xr:uid="{B12800A2-F98A-4F43-B59B-A87122590A28}"/>
    <cellStyle name="20% - Accent4 3 2 2 2 2 3 2 3" xfId="27385" xr:uid="{FC6A416B-480E-48CC-A63A-0FC32F92DD15}"/>
    <cellStyle name="20% - Accent4 3 2 2 2 2 3 3" xfId="23641" xr:uid="{56161955-D24F-4BF7-AC05-49502AB3230F}"/>
    <cellStyle name="20% - Accent4 3 2 2 2 2 3 3 2" xfId="28250" xr:uid="{6C42A02E-3356-4813-BFF6-F54AA9DCFEAC}"/>
    <cellStyle name="20% - Accent4 3 2 2 2 2 3 4" xfId="23640" xr:uid="{A8EAE390-A3F1-4547-842F-22668459BA96}"/>
    <cellStyle name="20% - Accent4 3 2 2 2 2 4" xfId="21297" xr:uid="{7C257D2F-3B31-4E37-BAFF-2F86BE1D0D55}"/>
    <cellStyle name="20% - Accent4 3 2 2 2 2 4 2" xfId="21296" xr:uid="{54A55324-9D08-46CF-8A4D-DA337390186A}"/>
    <cellStyle name="20% - Accent4 3 2 2 2 2 4 2 2" xfId="21290" xr:uid="{4DBBF4AB-3EA5-4DE4-82F4-0792AA60EDC9}"/>
    <cellStyle name="20% - Accent4 3 2 2 2 2 4 3" xfId="23491" xr:uid="{11B5CA5C-C958-4717-9A7A-0C23D128BE0C}"/>
    <cellStyle name="20% - Accent4 3 2 2 2 2 5" xfId="24654" xr:uid="{0EB7DBB8-85FA-4676-810D-B93C6631F362}"/>
    <cellStyle name="20% - Accent4 3 2 2 2 2 5 2" xfId="23635" xr:uid="{03540F6D-4E7C-4E98-81ED-41D38282B8B4}"/>
    <cellStyle name="20% - Accent4 3 2 2 2 2 6" xfId="24646" xr:uid="{AB85CBB0-0E1B-4AB8-995C-AB4CA472C35C}"/>
    <cellStyle name="20% - Accent4 3 2 2 2 3" xfId="23634" xr:uid="{824DA4FE-A40C-4B7A-8EE2-461EAEE0A847}"/>
    <cellStyle name="20% - Accent4 3 2 2 2 3 2" xfId="31782" xr:uid="{4EE9B929-D3E9-4093-836D-30528AB5C8C7}"/>
    <cellStyle name="20% - Accent4 3 2 2 2 3 2 2" xfId="23633" xr:uid="{D5731DE1-C149-407D-A5F0-AA90733FAA05}"/>
    <cellStyle name="20% - Accent4 3 2 2 2 3 2 2 2" xfId="32716" xr:uid="{B39A9923-5EB0-4948-AF0F-1B073819BCEF}"/>
    <cellStyle name="20% - Accent4 3 2 2 2 3 2 2 2 2" xfId="20312" xr:uid="{1D75AFCE-825A-4145-8009-94F3E1B610D4}"/>
    <cellStyle name="20% - Accent4 3 2 2 2 3 2 2 3" xfId="27855" xr:uid="{5EC8591E-7AD1-4BF5-AFF4-CC9E6BE205F2}"/>
    <cellStyle name="20% - Accent4 3 2 2 2 3 2 3" xfId="23626" xr:uid="{DC9FE6CE-D53B-4DDB-BA39-A8FD491952D3}"/>
    <cellStyle name="20% - Accent4 3 2 2 2 3 2 3 2" xfId="30398" xr:uid="{29C7FDA4-2DFC-41F6-AD00-106D4CFFD554}"/>
    <cellStyle name="20% - Accent4 3 2 2 2 3 2 4" xfId="23619" xr:uid="{68A17115-204F-4621-A183-27D31019171C}"/>
    <cellStyle name="20% - Accent4 3 2 2 2 3 3" xfId="25977" xr:uid="{8C7DFE15-2A6A-4E2B-86CC-B61D71BC9F13}"/>
    <cellStyle name="20% - Accent4 3 2 2 2 3 3 2" xfId="29922" xr:uid="{BC67C318-22C5-4472-A63D-23242FF6F50F}"/>
    <cellStyle name="20% - Accent4 3 2 2 2 3 3 2 2" xfId="31470" xr:uid="{0186A64F-7643-461D-9F89-6EC771B5187F}"/>
    <cellStyle name="20% - Accent4 3 2 2 2 3 3 3" xfId="23613" xr:uid="{918676CA-9B1A-484A-916B-53C62FB1730F}"/>
    <cellStyle name="20% - Accent4 3 2 2 2 3 4" xfId="13162" xr:uid="{FAFEEABB-EE34-43E0-BF1B-ACBFF71D4254}"/>
    <cellStyle name="20% - Accent4 3 2 2 2 3 4 2" xfId="23606" xr:uid="{BCA667D8-7404-4ABB-B547-E439E343FF75}"/>
    <cellStyle name="20% - Accent4 3 2 2 2 3 5" xfId="23598" xr:uid="{7F2E04B7-A88C-4124-9158-E91893AB5492}"/>
    <cellStyle name="20% - Accent4 3 2 2 2 4" xfId="23595" xr:uid="{85AB04B3-66DD-4380-906A-64F1D85B7B5A}"/>
    <cellStyle name="20% - Accent4 3 2 2 2 4 2" xfId="21354" xr:uid="{91959E5D-1BF7-4A8A-A1B3-E7EBB4886DF7}"/>
    <cellStyle name="20% - Accent4 3 2 2 2 4 2 2" xfId="32756" xr:uid="{23AF0C57-5DB5-456E-B632-2CC37BF96201}"/>
    <cellStyle name="20% - Accent4 3 2 2 2 4 2 2 2" xfId="32400" xr:uid="{B0855B78-F462-4934-9752-12C2C2847853}"/>
    <cellStyle name="20% - Accent4 3 2 2 2 4 2 3" xfId="32246" xr:uid="{6BE8420F-A8B8-4748-913B-EE5EC2ADB4CE}"/>
    <cellStyle name="20% - Accent4 3 2 2 2 4 3" xfId="32910" xr:uid="{00364F87-AA6F-4D8C-864F-78B7EA5ECB58}"/>
    <cellStyle name="20% - Accent4 3 2 2 2 4 3 2" xfId="23592" xr:uid="{58DF8158-A44B-49AF-9249-571ABDF26CB5}"/>
    <cellStyle name="20% - Accent4 3 2 2 2 4 4" xfId="21263" xr:uid="{99434E1C-3839-4768-A033-F16810D9688A}"/>
    <cellStyle name="20% - Accent4 3 2 2 2 5" xfId="23587" xr:uid="{408F9B38-5FA2-4AFE-91D8-3348ABD8F421}"/>
    <cellStyle name="20% - Accent4 3 2 2 2 5 2" xfId="23585" xr:uid="{EFBB841A-7885-41B9-85E4-C8C896742793}"/>
    <cellStyle name="20% - Accent4 3 2 2 2 5 2 2" xfId="23581" xr:uid="{C6BBF4CE-F71D-466D-BABD-2CD7D519AAFE}"/>
    <cellStyle name="20% - Accent4 3 2 2 2 5 3" xfId="23576" xr:uid="{898DC912-BB5F-4CC0-BD8B-32CA5065A719}"/>
    <cellStyle name="20% - Accent4 3 2 2 2 6" xfId="23573" xr:uid="{85003ED1-FB84-41DB-91D8-1DDA4D23D764}"/>
    <cellStyle name="20% - Accent4 3 2 2 2 6 2" xfId="30077" xr:uid="{8DF9AE16-FC8E-498A-B9A5-FE5F2D182098}"/>
    <cellStyle name="20% - Accent4 3 2 2 2 7" xfId="23570" xr:uid="{CE9FF877-4580-451C-80E6-6D7C853EF4B0}"/>
    <cellStyle name="20% - Accent4 3 2 2 3" xfId="32974" xr:uid="{666D9183-118D-4B07-A5A4-7114950B8E44}"/>
    <cellStyle name="20% - Accent4 3 2 2 3 2" xfId="31842" xr:uid="{4C70DC5B-6FDF-474E-9BB8-ACF78241E733}"/>
    <cellStyle name="20% - Accent4 3 2 2 3 2 2" xfId="29907" xr:uid="{CC5B9E18-4BE9-42ED-A4C3-B0A7BAC5DDB9}"/>
    <cellStyle name="20% - Accent4 3 2 2 3 2 2 2" xfId="23569" xr:uid="{DB712896-4884-4059-9696-B55895FA282C}"/>
    <cellStyle name="20% - Accent4 3 2 2 3 2 2 2 2" xfId="23562" xr:uid="{182CC911-E1E5-40C7-B0D5-ED1E87AE86B1}"/>
    <cellStyle name="20% - Accent4 3 2 2 3 2 2 2 2 2" xfId="23561" xr:uid="{F4FD1B7E-0D5E-48FC-887B-148F343EBAA5}"/>
    <cellStyle name="20% - Accent4 3 2 2 3 2 2 2 3" xfId="25213" xr:uid="{2F31AC6A-7869-4E42-A912-C7D89BDBFB22}"/>
    <cellStyle name="20% - Accent4 3 2 2 3 2 2 3" xfId="22018" xr:uid="{EE701FB7-4E7F-49ED-AB9D-E3CFF02C3CC5}"/>
    <cellStyle name="20% - Accent4 3 2 2 3 2 2 3 2" xfId="23555" xr:uid="{1141A727-2805-4716-9F0B-94A3D1D997BA}"/>
    <cellStyle name="20% - Accent4 3 2 2 3 2 2 4" xfId="22014" xr:uid="{1D30D631-320D-4B89-AD55-B12DB230FAEE}"/>
    <cellStyle name="20% - Accent4 3 2 2 3 2 3" xfId="25963" xr:uid="{11D53289-4C9A-45E2-A944-82F21F5022DF}"/>
    <cellStyle name="20% - Accent4 3 2 2 3 2 3 2" xfId="22003" xr:uid="{45A7CA91-7BB0-4709-9428-78F88EB1D69C}"/>
    <cellStyle name="20% - Accent4 3 2 2 3 2 3 2 2" xfId="28616" xr:uid="{EED6D005-24F8-4986-B5A3-7DDBB83CB1C3}"/>
    <cellStyle name="20% - Accent4 3 2 2 3 2 3 3" xfId="21998" xr:uid="{D6692A15-F80F-4FEF-8408-955712E0F06C}"/>
    <cellStyle name="20% - Accent4 3 2 2 3 2 4" xfId="17800" xr:uid="{93CECB23-986F-4C35-BF46-5C143DB1B499}"/>
    <cellStyle name="20% - Accent4 3 2 2 3 2 4 2" xfId="7957" xr:uid="{3AF74A4C-4E42-41C6-B157-9F98D70949A5}"/>
    <cellStyle name="20% - Accent4 3 2 2 3 2 5" xfId="17792" xr:uid="{CE23B00A-31DA-46E0-8692-54D6056A4F78}"/>
    <cellStyle name="20% - Accent4 3 2 2 3 3" xfId="29319" xr:uid="{6692B262-993A-4D4F-A3F2-D8249B020D60}"/>
    <cellStyle name="20% - Accent4 3 2 2 3 3 2" xfId="29581" xr:uid="{F21912C0-46BC-473A-9AD7-299601AC9552}"/>
    <cellStyle name="20% - Accent4 3 2 2 3 3 2 2" xfId="23549" xr:uid="{C673A8B1-0AEE-4BB4-B2D4-95D06C3DE965}"/>
    <cellStyle name="20% - Accent4 3 2 2 3 3 2 2 2" xfId="24843" xr:uid="{C15CF69B-5F5C-4DC1-9F01-7A8D344710E5}"/>
    <cellStyle name="20% - Accent4 3 2 2 3 3 2 3" xfId="23539" xr:uid="{B6B46284-AE14-4DA9-8828-875249283284}"/>
    <cellStyle name="20% - Accent4 3 2 2 3 3 3" xfId="25955" xr:uid="{DF6A7DD3-0EC3-45AF-84F9-D9AF845BDD41}"/>
    <cellStyle name="20% - Accent4 3 2 2 3 3 3 2" xfId="23454" xr:uid="{0D77BFF2-7E38-4B79-B4C8-4385867CABF9}"/>
    <cellStyle name="20% - Accent4 3 2 2 3 3 4" xfId="21249" xr:uid="{3B34087D-70EF-4279-ADE0-F9A8602A1A87}"/>
    <cellStyle name="20% - Accent4 3 2 2 3 4" xfId="6270" xr:uid="{ADD25022-77CA-4289-AEC0-E978713B13A5}"/>
    <cellStyle name="20% - Accent4 3 2 2 3 4 2" xfId="23532" xr:uid="{B880533F-A65D-4BA8-9342-09BEF730224D}"/>
    <cellStyle name="20% - Accent4 3 2 2 3 4 2 2" xfId="20044" xr:uid="{8132C9A9-925C-4B08-9DE7-86E9A20B0A5C}"/>
    <cellStyle name="20% - Accent4 3 2 2 3 4 3" xfId="23525" xr:uid="{526A006E-A4AB-4BFE-A4CB-1037F4212CB0}"/>
    <cellStyle name="20% - Accent4 3 2 2 3 5" xfId="27367" xr:uid="{41FC367C-6B82-4201-9AF5-8BA450D16BA9}"/>
    <cellStyle name="20% - Accent4 3 2 2 3 5 2" xfId="23523" xr:uid="{236F434D-FABB-470D-A09D-FE11655E73BB}"/>
    <cellStyle name="20% - Accent4 3 2 2 3 6" xfId="23521" xr:uid="{4C623405-9289-42B2-8135-7A18B7FFC42F}"/>
    <cellStyle name="20% - Accent4 3 2 2 4" xfId="31821" xr:uid="{AB59E2BA-D936-4F0C-9FA5-B48152025684}"/>
    <cellStyle name="20% - Accent4 3 2 2 4 2" xfId="18698" xr:uid="{A3E0BA8A-FE6F-4812-A7FC-2A9058FDA155}"/>
    <cellStyle name="20% - Accent4 3 2 2 4 2 2" xfId="28642" xr:uid="{9AE1AB5E-8C66-4B53-837D-0517FDAF0BAE}"/>
    <cellStyle name="20% - Accent4 3 2 2 4 2 2 2" xfId="21799" xr:uid="{1DAA1756-549E-431F-AAAA-9DE10F96D153}"/>
    <cellStyle name="20% - Accent4 3 2 2 4 2 2 2 2" xfId="23512" xr:uid="{95FD9506-5250-474D-84F6-A2C3483B4343}"/>
    <cellStyle name="20% - Accent4 3 2 2 4 2 2 3" xfId="23511" xr:uid="{3A9DBFBB-D24D-43EB-8A70-E9E56D454CE7}"/>
    <cellStyle name="20% - Accent4 3 2 2 4 2 3" xfId="25941" xr:uid="{DC485399-214B-4F9B-AF21-A95D74547FF6}"/>
    <cellStyle name="20% - Accent4 3 2 2 4 2 3 2" xfId="21786" xr:uid="{C55246DF-AA64-4AA9-90CE-4C4548638330}"/>
    <cellStyle name="20% - Accent4 3 2 2 4 2 4" xfId="21234" xr:uid="{CEF5F61C-31F2-42B4-AC43-B974350CEEB1}"/>
    <cellStyle name="20% - Accent4 3 2 2 4 3" xfId="33424" xr:uid="{B9D8B9FC-735F-46D9-AEF7-E7BF018703BD}"/>
    <cellStyle name="20% - Accent4 3 2 2 4 3 2" xfId="23508" xr:uid="{41C6640D-E5FB-45BE-BBFB-E73BD774C7A4}"/>
    <cellStyle name="20% - Accent4 3 2 2 4 3 2 2" xfId="22907" xr:uid="{CEDA92BC-FDA2-43DD-B835-C1EDA2B49EF5}"/>
    <cellStyle name="20% - Accent4 3 2 2 4 3 3" xfId="23507" xr:uid="{E6027992-99FA-4038-9C2E-377C4268DC49}"/>
    <cellStyle name="20% - Accent4 3 2 2 4 4" xfId="26476" xr:uid="{6C9F224D-07D7-4B4B-9D32-4C9406D46871}"/>
    <cellStyle name="20% - Accent4 3 2 2 4 4 2" xfId="23506" xr:uid="{8B3D0EC8-70DA-4DAD-AF3C-3F30F9772B3E}"/>
    <cellStyle name="20% - Accent4 3 2 2 4 5" xfId="23503" xr:uid="{18592A02-14F8-4AAC-A402-79D555E3EF7F}"/>
    <cellStyle name="20% - Accent4 3 2 2 5" xfId="33409" xr:uid="{1F72D9C2-8DE8-48CA-A98D-F3021B3B7D60}"/>
    <cellStyle name="20% - Accent4 3 2 2 5 2" xfId="33403" xr:uid="{7D459789-4FDC-4EC2-B70E-56C1BDA58F02}"/>
    <cellStyle name="20% - Accent4 3 2 2 5 2 2" xfId="23498" xr:uid="{EFEB8A3E-8B9D-48AE-8EDC-2901A8616365}"/>
    <cellStyle name="20% - Accent4 3 2 2 5 2 2 2" xfId="21674" xr:uid="{4FB0CD67-4DFF-4AA4-9F8A-DDCE672B1D7A}"/>
    <cellStyle name="20% - Accent4 3 2 2 5 2 3" xfId="23486" xr:uid="{0A8BD763-9A72-493D-99CB-CA58CE7CEB67}"/>
    <cellStyle name="20% - Accent4 3 2 2 5 3" xfId="33398" xr:uid="{DC7D8FEB-6A4D-42A6-B53B-8E406061DE30}"/>
    <cellStyle name="20% - Accent4 3 2 2 5 3 2" xfId="23484" xr:uid="{E3E2F370-6C8D-43AB-BC4F-AB65ED5DE28F}"/>
    <cellStyle name="20% - Accent4 3 2 2 5 4" xfId="23483" xr:uid="{BD6A22BF-F8B1-4DD8-9589-4C3F73B00BCD}"/>
    <cellStyle name="20% - Accent4 3 2 2 6" xfId="30828" xr:uid="{BBCC6588-200E-4538-AB2C-D35DCF2980E5}"/>
    <cellStyle name="20% - Accent4 3 2 2 6 2" xfId="33390" xr:uid="{452C32A8-ABB7-45CE-971A-23E567D56028}"/>
    <cellStyle name="20% - Accent4 3 2 2 6 2 2" xfId="19620" xr:uid="{3D362B5F-533D-4EF3-A5E2-A5C4CC03CA40}"/>
    <cellStyle name="20% - Accent4 3 2 2 6 3" xfId="23474" xr:uid="{1BAB5AF6-22FF-48DE-B73D-B09FA79C3321}"/>
    <cellStyle name="20% - Accent4 3 2 2 7" xfId="26999" xr:uid="{80282588-C451-4E28-86C2-2CBB1D3A68DC}"/>
    <cellStyle name="20% - Accent4 3 2 2 7 2" xfId="23470" xr:uid="{DB575403-2F00-4245-A1C0-1BF7473B4C46}"/>
    <cellStyle name="20% - Accent4 3 2 2 8" xfId="16993" xr:uid="{103F3A67-967F-47E4-A87A-250FCE4011A2}"/>
    <cellStyle name="20% - Accent4 3 2 3" xfId="23467" xr:uid="{B1A03C95-7846-42DC-9768-A899907FB5C8}"/>
    <cellStyle name="20% - Accent4 3 2 3 2" xfId="23458" xr:uid="{55040452-D449-434A-9A40-4F7A2C0B36EB}"/>
    <cellStyle name="20% - Accent4 3 2 3 2 2" xfId="23451" xr:uid="{51494542-1C20-4B8E-948C-11423A14239A}"/>
    <cellStyle name="20% - Accent4 3 2 3 2 2 2" xfId="31750" xr:uid="{F3482C1C-C6CB-45EC-AFDC-54F6E98079B3}"/>
    <cellStyle name="20% - Accent4 3 2 3 2 2 2 2" xfId="16801" xr:uid="{2237A1E8-29EA-42F1-9219-4A61F3DABF1E}"/>
    <cellStyle name="20% - Accent4 3 2 3 2 2 2 2 2" xfId="29179" xr:uid="{ABFE9BBD-79C1-42F3-9EAD-875C88DC81FB}"/>
    <cellStyle name="20% - Accent4 3 2 3 2 2 2 2 2 2" xfId="23448" xr:uid="{D31AE961-CA03-4EAD-9EAB-FDD34257DF6F}"/>
    <cellStyle name="20% - Accent4 3 2 3 2 2 2 2 3" xfId="29168" xr:uid="{DF697D50-661E-4949-B5A9-7B62DDF2A57B}"/>
    <cellStyle name="20% - Accent4 3 2 3 2 2 2 3" xfId="16789" xr:uid="{B001D1A7-3CAF-465E-89D8-24431C7387D3}"/>
    <cellStyle name="20% - Accent4 3 2 3 2 2 2 3 2" xfId="29138" xr:uid="{174EA6FE-6D89-4BA2-B2FF-B45B41C50526}"/>
    <cellStyle name="20% - Accent4 3 2 3 2 2 2 4" xfId="16785" xr:uid="{65E94533-32B8-44E8-92FD-9606F8DAFA06}"/>
    <cellStyle name="20% - Accent4 3 2 3 2 2 3" xfId="24161" xr:uid="{079D9B55-DBBB-4B1D-B966-2DF33FBDAC6B}"/>
    <cellStyle name="20% - Accent4 3 2 3 2 2 3 2" xfId="20048" xr:uid="{08A1EA80-653C-47E8-9FFB-E2BADD370BE9}"/>
    <cellStyle name="20% - Accent4 3 2 3 2 2 3 2 2" xfId="26853" xr:uid="{DA674744-E9D5-4665-B91D-40226905B366}"/>
    <cellStyle name="20% - Accent4 3 2 3 2 2 3 3" xfId="18079" xr:uid="{E7C2612C-CA8D-40D2-BBE1-0A614647C993}"/>
    <cellStyle name="20% - Accent4 3 2 3 2 2 4" xfId="25573" xr:uid="{2CEF1F4C-07C7-4CDD-BF16-F20C68592C88}"/>
    <cellStyle name="20% - Accent4 3 2 3 2 2 4 2" xfId="23910" xr:uid="{3FB68B75-CA8E-48D0-B7AB-E59F306DCABD}"/>
    <cellStyle name="20% - Accent4 3 2 3 2 2 5" xfId="23709" xr:uid="{7D1CA842-2345-4036-A729-E8E2AAAE9D0D}"/>
    <cellStyle name="20% - Accent4 3 2 3 2 3" xfId="23428" xr:uid="{4927D564-57F4-41A1-8032-9FCE52E778DE}"/>
    <cellStyle name="20% - Accent4 3 2 3 2 3 2" xfId="23431" xr:uid="{7D60422F-8236-418B-85A5-2CEF88F858BD}"/>
    <cellStyle name="20% - Accent4 3 2 3 2 3 2 2" xfId="23425" xr:uid="{B487F4FD-375F-4D10-B492-57E7C9785CA6}"/>
    <cellStyle name="20% - Accent4 3 2 3 2 3 2 2 2" xfId="28800" xr:uid="{3E7E8484-138C-41D0-9689-F3E189FD672E}"/>
    <cellStyle name="20% - Accent4 3 2 3 2 3 2 3" xfId="16733" xr:uid="{6546B5DB-4434-423C-824D-191B2399B6AF}"/>
    <cellStyle name="20% - Accent4 3 2 3 2 3 3" xfId="25862" xr:uid="{7BFF168C-4418-47B6-B509-6CE72F06471B}"/>
    <cellStyle name="20% - Accent4 3 2 3 2 3 3 2" xfId="23410" xr:uid="{50DFF639-E6C0-430F-A7B2-8872129DF733}"/>
    <cellStyle name="20% - Accent4 3 2 3 2 3 4" xfId="23402" xr:uid="{E549B6F1-8508-4B0E-959E-EEC662F58980}"/>
    <cellStyle name="20% - Accent4 3 2 3 2 4" xfId="23222" xr:uid="{3B94A2A7-E0A4-4EB9-9FE8-1179C249007A}"/>
    <cellStyle name="20% - Accent4 3 2 3 2 4 2" xfId="23398" xr:uid="{190741C7-8CF4-4299-883E-A4ADA2D4DC0F}"/>
    <cellStyle name="20% - Accent4 3 2 3 2 4 2 2" xfId="23395" xr:uid="{8BE0AE84-AF6D-4C50-BA35-0F783934FC0D}"/>
    <cellStyle name="20% - Accent4 3 2 3 2 4 3" xfId="23381" xr:uid="{736EDECC-435D-48BD-9DC6-DE007D99E7DA}"/>
    <cellStyle name="20% - Accent4 3 2 3 2 5" xfId="23376" xr:uid="{A4A0E80B-4E80-4AEA-A4CA-E557070FF6C4}"/>
    <cellStyle name="20% - Accent4 3 2 3 2 5 2" xfId="23373" xr:uid="{CAD2F4D5-4410-4C72-870E-5AA22C1F8A0F}"/>
    <cellStyle name="20% - Accent4 3 2 3 2 6" xfId="10928" xr:uid="{3D543B4C-610D-4D99-9415-FC4AB011CA61}"/>
    <cellStyle name="20% - Accent4 3 2 3 3" xfId="33479" xr:uid="{2D1E46FE-8ECD-4E87-BDD3-35161DA0D3D4}"/>
    <cellStyle name="20% - Accent4 3 2 3 3 2" xfId="9166" xr:uid="{83ED3C38-A2D4-47D3-BAE9-629230AB0723}"/>
    <cellStyle name="20% - Accent4 3 2 3 3 2 2" xfId="26905" xr:uid="{08B181B0-69E1-4C07-B11B-F762742DBE07}"/>
    <cellStyle name="20% - Accent4 3 2 3 3 2 2 2" xfId="16667" xr:uid="{8E1E42CB-7C48-4662-8392-D109A7C16480}"/>
    <cellStyle name="20% - Accent4 3 2 3 3 2 2 2 2" xfId="23789" xr:uid="{ECF7F05C-3AC8-4004-8F33-6DD01BFB989D}"/>
    <cellStyle name="20% - Accent4 3 2 3 3 2 2 3" xfId="16663" xr:uid="{727F3ED3-F855-41AF-9E29-23DA358ADEC1}"/>
    <cellStyle name="20% - Accent4 3 2 3 3 2 3" xfId="25849" xr:uid="{0C571E2A-3C64-43F3-B7E5-79B697FC5EAC}"/>
    <cellStyle name="20% - Accent4 3 2 3 3 2 3 2" xfId="18055" xr:uid="{DC714D9B-CAF3-4D65-BF03-2BA96AC2DA21}"/>
    <cellStyle name="20% - Accent4 3 2 3 3 2 4" xfId="23358" xr:uid="{C9D36C60-B21E-4E35-BD12-DA81A080BB74}"/>
    <cellStyle name="20% - Accent4 3 2 3 3 3" xfId="7263" xr:uid="{56378F38-B2BA-4FC4-BEB8-38258623BC0E}"/>
    <cellStyle name="20% - Accent4 3 2 3 3 3 2" xfId="30136" xr:uid="{104A9093-3772-4EC3-A11F-9DDE8504DBA0}"/>
    <cellStyle name="20% - Accent4 3 2 3 3 3 2 2" xfId="16634" xr:uid="{9E7ABB10-E2EE-46EB-BEC1-CC2345DA4476}"/>
    <cellStyle name="20% - Accent4 3 2 3 3 3 3" xfId="23351" xr:uid="{DB87C78D-7BC2-4C23-A7C3-60DBFD392BB6}"/>
    <cellStyle name="20% - Accent4 3 2 3 3 4" xfId="23377" xr:uid="{98552EAA-13C7-4CFF-833B-A7585193C7D1}"/>
    <cellStyle name="20% - Accent4 3 2 3 3 4 2" xfId="23346" xr:uid="{9CB9E8A4-719B-41E8-8565-41F1AF8AD5FC}"/>
    <cellStyle name="20% - Accent4 3 2 3 3 5" xfId="23342" xr:uid="{E8816282-A802-4043-B47B-7F2FF8396875}"/>
    <cellStyle name="20% - Accent4 3 2 3 4" xfId="33365" xr:uid="{5D95B4C3-E4EA-4077-8BC9-E0FCF16FF44D}"/>
    <cellStyle name="20% - Accent4 3 2 3 4 2" xfId="5417" xr:uid="{53F24C19-0CC0-4AC9-B7B5-C7C2CA9C2DD6}"/>
    <cellStyle name="20% - Accent4 3 2 3 4 2 2" xfId="25929" xr:uid="{AE57468D-3A0C-4842-AC2F-06F0A31A38F6}"/>
    <cellStyle name="20% - Accent4 3 2 3 4 2 2 2" xfId="16603" xr:uid="{B6DAD751-3589-4EC1-984A-6ED7E5F5D4C6}"/>
    <cellStyle name="20% - Accent4 3 2 3 4 2 3" xfId="23337" xr:uid="{D299AF5C-3925-4C0A-B35D-7AE0BE6144F2}"/>
    <cellStyle name="20% - Accent4 3 2 3 4 3" xfId="23371" xr:uid="{63F795D4-848D-46E1-AEDD-110B3886334A}"/>
    <cellStyle name="20% - Accent4 3 2 3 4 3 2" xfId="23334" xr:uid="{535E9B59-B97B-4EE0-8E10-160A763BE653}"/>
    <cellStyle name="20% - Accent4 3 2 3 4 4" xfId="23327" xr:uid="{0BCDCED2-3895-4492-A501-A642F05789AA}"/>
    <cellStyle name="20% - Accent4 3 2 3 5" xfId="33360" xr:uid="{E6941B12-4ABB-487A-BA4A-2804E604EF26}"/>
    <cellStyle name="20% - Accent4 3 2 3 5 2" xfId="21056" xr:uid="{A3E8552A-1245-452B-975D-11FC7D6F859C}"/>
    <cellStyle name="20% - Accent4 3 2 3 5 2 2" xfId="23322" xr:uid="{FF90C891-5C6D-4F94-86CB-BD33860A7D61}"/>
    <cellStyle name="20% - Accent4 3 2 3 5 3" xfId="21048" xr:uid="{28A7F41D-5399-43BB-8F5A-C8BC45D6AA5D}"/>
    <cellStyle name="20% - Accent4 3 2 3 6" xfId="30818" xr:uid="{67881F7A-FBFC-4B02-B85A-6A4EDA17D1A6}"/>
    <cellStyle name="20% - Accent4 3 2 3 6 2" xfId="21044" xr:uid="{DE9BC302-755B-4CB3-9FC8-1F3C6C8DF41B}"/>
    <cellStyle name="20% - Accent4 3 2 3 7" xfId="23321" xr:uid="{F4936316-C878-41B0-8E5A-7B5FF04C143E}"/>
    <cellStyle name="20% - Accent4 3 2 4" xfId="9330" xr:uid="{8CC8FCB0-58DA-414C-96F8-99D51BDE201A}"/>
    <cellStyle name="20% - Accent4 3 2 4 2" xfId="33202" xr:uid="{4CCC2B67-3A2E-431A-BF94-0D117B1B7A5B}"/>
    <cellStyle name="20% - Accent4 3 2 4 2 2" xfId="32759" xr:uid="{F4E309BD-9040-4EE5-9776-1B965A4A96A7}"/>
    <cellStyle name="20% - Accent4 3 2 4 2 2 2" xfId="28267" xr:uid="{0018F066-959C-4BB7-82D9-DC4BE47AEBC9}"/>
    <cellStyle name="20% - Accent4 3 2 4 2 2 2 2" xfId="23317" xr:uid="{0BD652A6-ACD0-4651-B0F0-C469314CD664}"/>
    <cellStyle name="20% - Accent4 3 2 4 2 2 2 2 2" xfId="23312" xr:uid="{F3EB1F17-C2B5-446A-81F3-6A215CDE792F}"/>
    <cellStyle name="20% - Accent4 3 2 4 2 2 2 3" xfId="16523" xr:uid="{0DCB9F49-E240-4440-B8DB-0834096A81FE}"/>
    <cellStyle name="20% - Accent4 3 2 4 2 2 3" xfId="23920" xr:uid="{DAB9E85E-6A49-4990-9A3C-BDDE2DD70E26}"/>
    <cellStyle name="20% - Accent4 3 2 4 2 2 3 2" xfId="16513" xr:uid="{548B5527-406B-4E44-B9A4-50382BD2B53B}"/>
    <cellStyle name="20% - Accent4 3 2 4 2 2 4" xfId="23304" xr:uid="{F1A6A5AE-6684-48FC-B412-4E2BE88740B5}"/>
    <cellStyle name="20% - Accent4 3 2 4 2 3" xfId="23177" xr:uid="{68F41345-8A39-4AB3-9378-EBAB56DB5772}"/>
    <cellStyle name="20% - Accent4 3 2 4 2 3 2" xfId="27889" xr:uid="{6B02A29D-270E-4C3F-ACAC-7BB0C231777C}"/>
    <cellStyle name="20% - Accent4 3 2 4 2 3 2 2" xfId="16482" xr:uid="{6C40B0E9-C5EF-4142-872A-192611442FD3}"/>
    <cellStyle name="20% - Accent4 3 2 4 2 3 3" xfId="31316" xr:uid="{7316D664-B167-4163-9F30-6EAFAAE7948B}"/>
    <cellStyle name="20% - Accent4 3 2 4 2 4" xfId="23348" xr:uid="{0D180CF4-053B-402F-8B82-F7B963E0EA66}"/>
    <cellStyle name="20% - Accent4 3 2 4 2 4 2" xfId="8866" xr:uid="{B16BC1C6-6F07-4388-A29C-AA5EB082105C}"/>
    <cellStyle name="20% - Accent4 3 2 4 2 5" xfId="23286" xr:uid="{BE6199BA-1AA6-40E6-88B7-677635821804}"/>
    <cellStyle name="20% - Accent4 3 2 4 3" xfId="31556" xr:uid="{C62F9649-B115-4319-BA98-1942713DAB4A}"/>
    <cellStyle name="20% - Accent4 3 2 4 3 2" xfId="6013" xr:uid="{82D2925D-211E-4A68-BC61-B96CE2B4C08D}"/>
    <cellStyle name="20% - Accent4 3 2 4 3 2 2" xfId="28258" xr:uid="{49CED062-4293-49A5-867C-51970F91253C}"/>
    <cellStyle name="20% - Accent4 3 2 4 3 2 2 2" xfId="16450" xr:uid="{24ECBD8F-6EC3-4305-B0C9-06D220499C2A}"/>
    <cellStyle name="20% - Accent4 3 2 4 3 2 3" xfId="24037" xr:uid="{357D42E3-FBB5-4310-9617-9351BE016DFC}"/>
    <cellStyle name="20% - Accent4 3 2 4 3 3" xfId="23344" xr:uid="{24B8A012-E550-4CB5-8F2E-8A851D32E961}"/>
    <cellStyle name="20% - Accent4 3 2 4 3 3 2" xfId="33470" xr:uid="{0479646F-EB42-4DEA-A5F0-68B0764DEE02}"/>
    <cellStyle name="20% - Accent4 3 2 4 3 4" xfId="30336" xr:uid="{0D760242-416D-4E66-BA40-81A031F4624A}"/>
    <cellStyle name="20% - Accent4 3 2 4 4" xfId="33145" xr:uid="{64F3FD45-134E-40A7-98D5-D72499232101}"/>
    <cellStyle name="20% - Accent4 3 2 4 4 2" xfId="33140" xr:uid="{83144187-4916-44F4-B936-1BEDA2E1A512}"/>
    <cellStyle name="20% - Accent4 3 2 4 4 2 2" xfId="23282" xr:uid="{77CDF45D-87C7-4349-A58D-52A16DC037CD}"/>
    <cellStyle name="20% - Accent4 3 2 4 4 3" xfId="30064" xr:uid="{9526E430-14BA-4DAA-9B04-9C58AE555826}"/>
    <cellStyle name="20% - Accent4 3 2 4 5" xfId="33132" xr:uid="{E685AA15-A61A-4596-BB97-9761AE23C2A7}"/>
    <cellStyle name="20% - Accent4 3 2 4 5 2" xfId="21032" xr:uid="{5F1FC3AB-C0AB-4B7C-82A4-C203E5A0C4D4}"/>
    <cellStyle name="20% - Accent4 3 2 4 6" xfId="23278" xr:uid="{BEBD88FE-67B9-4426-A142-01F62CF0DFF3}"/>
    <cellStyle name="20% - Accent4 3 2 5" xfId="23276" xr:uid="{5F60B891-4A5E-40CA-B5EC-415B82B9F694}"/>
    <cellStyle name="20% - Accent4 3 2 5 2" xfId="17799" xr:uid="{674AAD11-7E94-4F38-8212-EE8EF6401E46}"/>
    <cellStyle name="20% - Accent4 3 2 5 2 2" xfId="17795" xr:uid="{3631DC3F-806D-4069-A28B-5CB1EDA7E3D4}"/>
    <cellStyle name="20% - Accent4 3 2 5 2 2 2" xfId="22544" xr:uid="{4F1799C9-7AB5-473F-955D-67EA3F6922FD}"/>
    <cellStyle name="20% - Accent4 3 2 5 2 2 2 2" xfId="16366" xr:uid="{C5618BA4-0BEE-47BC-8F68-0EBEECBBB8AE}"/>
    <cellStyle name="20% - Accent4 3 2 5 2 2 3" xfId="22473" xr:uid="{4E8E361D-EF45-4A3F-9E75-2E19E2B0409A}"/>
    <cellStyle name="20% - Accent4 3 2 5 2 3" xfId="23330" xr:uid="{EBBB2F90-9455-4EEC-A620-10D1237F1417}"/>
    <cellStyle name="20% - Accent4 3 2 5 2 3 2" xfId="22356" xr:uid="{3E7D3A6C-EB5B-47D6-A8D2-B931D56DAFF0}"/>
    <cellStyle name="20% - Accent4 3 2 5 2 4" xfId="23275" xr:uid="{72878AD1-F10A-416B-A316-30ED351A0B03}"/>
    <cellStyle name="20% - Accent4 3 2 5 3" xfId="17791" xr:uid="{1DC12C8E-5340-4D11-8D2F-4FDAA6023784}"/>
    <cellStyle name="20% - Accent4 3 2 5 3 2" xfId="17787" xr:uid="{9C2E4D01-84E2-4868-867F-88681E7EA36A}"/>
    <cellStyle name="20% - Accent4 3 2 5 3 2 2" xfId="20270" xr:uid="{6F195BE2-ABA7-4B85-AD68-EFA965307A67}"/>
    <cellStyle name="20% - Accent4 3 2 5 3 3" xfId="23269" xr:uid="{6AA5CF2F-89C0-4346-801F-8771AEB4AF99}"/>
    <cellStyle name="20% - Accent4 3 2 5 4" xfId="17784" xr:uid="{ED159BD5-D8C1-4EBF-8397-F99055A469BF}"/>
    <cellStyle name="20% - Accent4 3 2 5 4 2" xfId="23266" xr:uid="{448969C3-BA2D-4D5A-9086-633A0868AE72}"/>
    <cellStyle name="20% - Accent4 3 2 5 5" xfId="23494" xr:uid="{98E6AAA0-24CC-4C91-B1BF-F45109798195}"/>
    <cellStyle name="20% - Accent4 3 2 6" xfId="23263" xr:uid="{029BFB71-11CE-45F4-BF7C-AC86CEEC8A4C}"/>
    <cellStyle name="20% - Accent4 3 2 6 2" xfId="21635" xr:uid="{B1F9EF83-4A76-480A-BA11-DBF50E3C9584}"/>
    <cellStyle name="20% - Accent4 3 2 6 2 2" xfId="33110" xr:uid="{9FCD0A68-AD9F-4916-B882-4A39A8DAB48C}"/>
    <cellStyle name="20% - Accent4 3 2 6 2 2 2" xfId="24125" xr:uid="{9AE6F89C-CDF7-4042-880B-11228D6DA883}"/>
    <cellStyle name="20% - Accent4 3 2 6 2 3" xfId="23262" xr:uid="{E0B404C4-11FE-4674-AA60-5954DCC20CE7}"/>
    <cellStyle name="20% - Accent4 3 2 6 3" xfId="17616" xr:uid="{C17C0DA4-078C-4AAF-A8EC-35F76DB386C0}"/>
    <cellStyle name="20% - Accent4 3 2 6 3 2" xfId="23258" xr:uid="{76D2E0E2-05D0-4F87-8A92-84765FB4BF65}"/>
    <cellStyle name="20% - Accent4 3 2 6 4" xfId="22574" xr:uid="{09CA7E45-74ED-4AB0-9B60-FCC143252CBA}"/>
    <cellStyle name="20% - Accent4 3 2 7" xfId="23256" xr:uid="{A7159C6F-B52E-4EE6-9F30-CE2C9EC1E319}"/>
    <cellStyle name="20% - Accent4 3 2 7 2" xfId="17507" xr:uid="{0287794A-4896-4CDF-8D9D-55143D0BCAB1}"/>
    <cellStyle name="20% - Accent4 3 2 7 2 2" xfId="17503" xr:uid="{9680A6B8-6F2D-4A00-AEC8-045F4B09BB21}"/>
    <cellStyle name="20% - Accent4 3 2 7 3" xfId="17501" xr:uid="{C822D765-3E09-4487-BD03-A22D50C4F73D}"/>
    <cellStyle name="20% - Accent4 3 2 8" xfId="23255" xr:uid="{58E62358-4C84-4478-A615-57C4F5FE0928}"/>
    <cellStyle name="20% - Accent4 3 2 8 2" xfId="24129" xr:uid="{947C4FDB-1ABF-4018-BE19-322ED1DC9AB1}"/>
    <cellStyle name="20% - Accent4 3 2 9" xfId="23253" xr:uid="{A8F2F532-63D9-4F3C-BB60-8B37CC1C9854}"/>
    <cellStyle name="20% - Accent4 3 3" xfId="228" xr:uid="{8D3E9024-D190-45F2-84E2-E5367A34BDE1}"/>
    <cellStyle name="20% - Accent4 3 3 10" xfId="23251" xr:uid="{17AA5A99-199A-4BE5-AE9F-986D87A403FE}"/>
    <cellStyle name="20% - Accent4 3 3 2" xfId="26237" xr:uid="{51ABA9CD-0B41-4250-BF05-C058C3A055E2}"/>
    <cellStyle name="20% - Accent4 3 3 2 2" xfId="23250" xr:uid="{17EA9476-77A8-4103-9B38-7E0AB895B910}"/>
    <cellStyle name="20% - Accent4 3 3 2 2 2" xfId="31062" xr:uid="{3A430B22-2A14-4537-A22E-6F97D1CF2939}"/>
    <cellStyle name="20% - Accent4 3 3 2 2 2 2" xfId="27706" xr:uid="{968ADC27-D6E0-48AB-927D-6643783A86DB}"/>
    <cellStyle name="20% - Accent4 3 3 2 2 2 2 2" xfId="23248" xr:uid="{42127F03-1484-4179-9CEB-3741B715C870}"/>
    <cellStyle name="20% - Accent4 3 3 2 2 2 2 2 2" xfId="34166" xr:uid="{43615C6F-E77A-4E13-A022-5DDE655B186B}"/>
    <cellStyle name="20% - Accent4 3 3 2 2 2 2 2 2 2" xfId="19739" xr:uid="{B319AF29-EC1A-4417-9958-15224E3FCCFD}"/>
    <cellStyle name="20% - Accent4 3 3 2 2 2 2 2 3" xfId="23244" xr:uid="{48DC2560-8791-4FF8-80A8-04FA32C8A3E4}"/>
    <cellStyle name="20% - Accent4 3 3 2 2 2 2 3" xfId="23239" xr:uid="{7F7BB972-96F8-437D-B1EB-9140B3C25DC1}"/>
    <cellStyle name="20% - Accent4 3 3 2 2 2 2 3 2" xfId="23235" xr:uid="{4AC43C67-0A1E-404E-B0B1-7FE1D44AC2B2}"/>
    <cellStyle name="20% - Accent4 3 3 2 2 2 2 4" xfId="31436" xr:uid="{FBE1EBE1-6A8B-40BF-A7E8-15A04CB2D58E}"/>
    <cellStyle name="20% - Accent4 3 3 2 2 2 3" xfId="23450" xr:uid="{8F5249F1-6722-4956-BF88-8309DB2DA0B8}"/>
    <cellStyle name="20% - Accent4 3 3 2 2 2 3 2" xfId="23231" xr:uid="{D92D2D81-5545-42C4-94AD-05E092D900F7}"/>
    <cellStyle name="20% - Accent4 3 3 2 2 2 3 2 2" xfId="23228" xr:uid="{42C2B872-CDD0-49C5-9CB7-026B206623A0}"/>
    <cellStyle name="20% - Accent4 3 3 2 2 2 3 3" xfId="21124" xr:uid="{022D92F1-1C79-4C2F-9D5A-A3F00602C2A9}"/>
    <cellStyle name="20% - Accent4 3 3 2 2 2 4" xfId="23427" xr:uid="{878CF29D-3E58-49B6-9F45-29F37CD3F918}"/>
    <cellStyle name="20% - Accent4 3 3 2 2 2 4 2" xfId="23030" xr:uid="{75C406A2-20AB-4F28-9ACC-53A84B6EC1BB}"/>
    <cellStyle name="20% - Accent4 3 3 2 2 2 5" xfId="23223" xr:uid="{A73ACBDB-87B1-4450-B5DA-AA1CE8107DE3}"/>
    <cellStyle name="20% - Accent4 3 3 2 2 3" xfId="23219" xr:uid="{11198A15-56CC-455A-A291-40D43F8FB390}"/>
    <cellStyle name="20% - Accent4 3 3 2 2 3 2" xfId="23217" xr:uid="{11BBC531-8E19-4F39-8AD2-CD4062C451EE}"/>
    <cellStyle name="20% - Accent4 3 3 2 2 3 2 2" xfId="23215" xr:uid="{66F3A2F8-6AF8-4939-B17E-5A801A91E12B}"/>
    <cellStyle name="20% - Accent4 3 3 2 2 3 2 2 2" xfId="23210" xr:uid="{E25C70A5-4592-4B51-870D-242C623659EB}"/>
    <cellStyle name="20% - Accent4 3 3 2 2 3 2 3" xfId="23202" xr:uid="{14509FAF-C9BF-4BFC-8AE1-F3744A71213E}"/>
    <cellStyle name="20% - Accent4 3 3 2 2 3 3" xfId="33454" xr:uid="{DD32423E-214C-4AD5-9EC6-D58CA533C129}"/>
    <cellStyle name="20% - Accent4 3 3 2 2 3 3 2" xfId="23198" xr:uid="{5FC43AA7-7CCC-4245-AC5A-DA673C190410}"/>
    <cellStyle name="20% - Accent4 3 3 2 2 3 4" xfId="23196" xr:uid="{A9FB44E8-4708-4DFF-A55C-D75C844A2699}"/>
    <cellStyle name="20% - Accent4 3 3 2 2 4" xfId="6225" xr:uid="{E876C5BE-6033-4F77-B249-E5817F9E6A0C}"/>
    <cellStyle name="20% - Accent4 3 3 2 2 4 2" xfId="23193" xr:uid="{67895EC6-B3C3-43EF-9AA2-F3751206149A}"/>
    <cellStyle name="20% - Accent4 3 3 2 2 4 2 2" xfId="23184" xr:uid="{B4347E3D-FFF9-431F-A7E3-36D4338605DE}"/>
    <cellStyle name="20% - Accent4 3 3 2 2 4 3" xfId="8976" xr:uid="{3654B27C-4D24-4836-BA26-2FA2DD056D7B}"/>
    <cellStyle name="20% - Accent4 3 3 2 2 5" xfId="30449" xr:uid="{EE51CA91-5D25-4ED5-B145-C14281D1F321}"/>
    <cellStyle name="20% - Accent4 3 3 2 2 5 2" xfId="31626" xr:uid="{436D198C-4DAB-4B81-B13B-3D01B6105565}"/>
    <cellStyle name="20% - Accent4 3 3 2 2 6" xfId="34000" xr:uid="{85E87647-DCBE-4FEA-9D13-14A19572C638}"/>
    <cellStyle name="20% - Accent4 3 3 2 3" xfId="31467" xr:uid="{CA9C1432-E59E-42EE-A5DB-38D2F4F766EC}"/>
    <cellStyle name="20% - Accent4 3 3 2 3 2" xfId="31196" xr:uid="{8A338614-0422-4D2F-AF73-EF5B3A599FDC}"/>
    <cellStyle name="20% - Accent4 3 3 2 3 2 2" xfId="26324" xr:uid="{31F89770-4906-4118-93B0-9FDEB94A2792}"/>
    <cellStyle name="20% - Accent4 3 3 2 3 2 2 2" xfId="20766" xr:uid="{5ED7EA0E-F802-4AEA-B15A-706D1B7AFFC3}"/>
    <cellStyle name="20% - Accent4 3 3 2 3 2 2 2 2" xfId="32813" xr:uid="{5772C3FB-A49B-4775-965A-3734F82E1E2D}"/>
    <cellStyle name="20% - Accent4 3 3 2 3 2 2 3" xfId="20655" xr:uid="{D4613197-2A22-4310-8162-B5E238A0B826}"/>
    <cellStyle name="20% - Accent4 3 3 2 3 2 3" xfId="12678" xr:uid="{31B49928-FF38-438C-8DB9-E614B490ABEE}"/>
    <cellStyle name="20% - Accent4 3 3 2 3 2 3 2" xfId="20456" xr:uid="{E6BB508A-1A4F-4748-B1AB-35D977FDFD0A}"/>
    <cellStyle name="20% - Accent4 3 3 2 3 2 4" xfId="12675" xr:uid="{92FADFD7-F45A-4930-80B2-D909E0991EFE}"/>
    <cellStyle name="20% - Accent4 3 3 2 3 3" xfId="31454" xr:uid="{7F5E826B-DB41-4285-ABE4-A87C80CB208E}"/>
    <cellStyle name="20% - Accent4 3 3 2 3 3 2" xfId="23175" xr:uid="{2CE023B5-1265-423D-9E03-D60FA82FE9C0}"/>
    <cellStyle name="20% - Accent4 3 3 2 3 3 2 2" xfId="19145" xr:uid="{C4D2ACF9-7CA9-47B9-BFB5-CB814BF6A6FE}"/>
    <cellStyle name="20% - Accent4 3 3 2 3 3 3" xfId="23172" xr:uid="{F38761BE-D977-40FC-9CB5-3D41BA451CBE}"/>
    <cellStyle name="20% - Accent4 3 3 2 3 4" xfId="30028" xr:uid="{9F50351C-AA74-4D41-B24C-CAB756FF6F79}"/>
    <cellStyle name="20% - Accent4 3 3 2 3 4 2" xfId="23170" xr:uid="{5807FF81-A072-443C-A914-C06958C2BA9B}"/>
    <cellStyle name="20% - Accent4 3 3 2 3 5" xfId="27352" xr:uid="{B641D955-9B8C-4330-9ACC-53DB07237D63}"/>
    <cellStyle name="20% - Accent4 3 3 2 4" xfId="15770" xr:uid="{BD4FB694-6D6F-462B-BBE6-2862BDFAE163}"/>
    <cellStyle name="20% - Accent4 3 3 2 4 2" xfId="25354" xr:uid="{1F80D5DD-7BB7-4849-A56C-63F676678B47}"/>
    <cellStyle name="20% - Accent4 3 3 2 4 2 2" xfId="23167" xr:uid="{68CC1A9E-E02B-4858-9619-B15975D4BE4D}"/>
    <cellStyle name="20% - Accent4 3 3 2 4 2 2 2" xfId="23166" xr:uid="{A4A68646-0D75-4000-8869-4AA0D92C08C4}"/>
    <cellStyle name="20% - Accent4 3 3 2 4 2 3" xfId="12648" xr:uid="{86D409D5-42B1-4900-9452-60209FBBC6C4}"/>
    <cellStyle name="20% - Accent4 3 3 2 4 3" xfId="29434" xr:uid="{51A0F2A7-0C24-4767-89F2-F475884783A2}"/>
    <cellStyle name="20% - Accent4 3 3 2 4 3 2" xfId="23162" xr:uid="{38718490-9AEC-4CC3-AC1F-30D1A6674DE3}"/>
    <cellStyle name="20% - Accent4 3 3 2 4 4" xfId="23160" xr:uid="{241898A0-3056-4136-8EA1-4ABDFCA86690}"/>
    <cellStyle name="20% - Accent4 3 3 2 5" xfId="31438" xr:uid="{051D1E43-D5DC-44E5-B988-BA0BC0556ECE}"/>
    <cellStyle name="20% - Accent4 3 3 2 5 2" xfId="33266" xr:uid="{1199B035-6D51-4BC7-B93C-8F0ED4B5189A}"/>
    <cellStyle name="20% - Accent4 3 3 2 5 2 2" xfId="23158" xr:uid="{ED909F16-F21B-4BB6-922C-B6BCE965FF62}"/>
    <cellStyle name="20% - Accent4 3 3 2 5 3" xfId="23153" xr:uid="{B2FFCCA5-7763-47BD-B7A1-59E6F9EF0942}"/>
    <cellStyle name="20% - Accent4 3 3 2 6" xfId="33219" xr:uid="{E701E56C-399A-4A87-8761-7D72992E6485}"/>
    <cellStyle name="20% - Accent4 3 3 2 6 2" xfId="11597" xr:uid="{920B46B7-A438-4445-A401-3A1475F3B20B}"/>
    <cellStyle name="20% - Accent4 3 3 2 7" xfId="23149" xr:uid="{50AC930D-1F61-43B7-8521-89905C8FE4DA}"/>
    <cellStyle name="20% - Accent4 3 3 3" xfId="30999" xr:uid="{23B05ABF-CF79-4CE6-AE9A-C6E12B1193A8}"/>
    <cellStyle name="20% - Accent4 3 3 3 2" xfId="23147" xr:uid="{00B10FDB-44DC-4C41-813F-3CE165767E85}"/>
    <cellStyle name="20% - Accent4 3 3 3 2 2" xfId="18739" xr:uid="{C5A189F9-A7C2-4BAB-A09E-6B770F310CCE}"/>
    <cellStyle name="20% - Accent4 3 3 3 2 2 2" xfId="23144" xr:uid="{61FA77D7-2FE1-4741-BC57-274732F35250}"/>
    <cellStyle name="20% - Accent4 3 3 3 2 2 2 2" xfId="19523" xr:uid="{8CE78E7F-95A4-4955-80BE-79A5A3F253B6}"/>
    <cellStyle name="20% - Accent4 3 3 3 2 2 2 2 2" xfId="33577" xr:uid="{EC67BD9A-0F39-4735-8E2E-AB253E946DEF}"/>
    <cellStyle name="20% - Accent4 3 3 3 2 2 2 3" xfId="16183" xr:uid="{0C725249-ED7D-4232-B35B-87D6D5523BFA}"/>
    <cellStyle name="20% - Accent4 3 3 3 2 2 3" xfId="23145" xr:uid="{DCCA9A6E-E519-4717-A0ED-298DE663DD3F}"/>
    <cellStyle name="20% - Accent4 3 3 3 2 2 3 2" xfId="16169" xr:uid="{50ED2D1A-16BA-4075-B029-16973C4D0C90}"/>
    <cellStyle name="20% - Accent4 3 3 3 2 2 4" xfId="23142" xr:uid="{4BE65483-F2D8-4DD1-85F0-F31EFC5C6FE7}"/>
    <cellStyle name="20% - Accent4 3 3 3 2 3" xfId="18735" xr:uid="{9C05A5D5-5C8C-45FA-B60A-E4794D584A2D}"/>
    <cellStyle name="20% - Accent4 3 3 3 2 3 2" xfId="23140" xr:uid="{BF96EE73-4908-48E2-84E3-9A88CBD8A69C}"/>
    <cellStyle name="20% - Accent4 3 3 3 2 3 2 2" xfId="16749" xr:uid="{7DC9149D-E25F-4362-8FC1-6ED0C11EBF64}"/>
    <cellStyle name="20% - Accent4 3 3 3 2 3 3" xfId="23136" xr:uid="{262DEE58-A74E-4988-8BC2-F40FF384F84E}"/>
    <cellStyle name="20% - Accent4 3 3 3 2 4" xfId="18732" xr:uid="{B6AB4B62-81C2-48A7-AE68-B1F2851EE4AC}"/>
    <cellStyle name="20% - Accent4 3 3 3 2 4 2" xfId="31079" xr:uid="{70D0CDBF-7DE7-42A3-94B4-945D7C9C2E3B}"/>
    <cellStyle name="20% - Accent4 3 3 3 2 5" xfId="30419" xr:uid="{72A9039C-FE29-49B1-BF15-A740DB845FF7}"/>
    <cellStyle name="20% - Accent4 3 3 3 3" xfId="33261" xr:uid="{4883F5A0-17D9-4006-84A2-E9FD15C7AC9A}"/>
    <cellStyle name="20% - Accent4 3 3 3 3 2" xfId="21827" xr:uid="{90BD265D-B285-4678-AA26-26DADCBEC497}"/>
    <cellStyle name="20% - Accent4 3 3 3 3 2 2" xfId="23131" xr:uid="{44CA2EEA-1280-4B3B-B26B-A76BEB8C904A}"/>
    <cellStyle name="20% - Accent4 3 3 3 3 2 2 2" xfId="16100" xr:uid="{34978E0C-C645-4D57-9BB7-0F555DC72CBA}"/>
    <cellStyle name="20% - Accent4 3 3 3 3 2 3" xfId="12609" xr:uid="{1553A179-EB47-4AAC-8E30-8CB597198030}"/>
    <cellStyle name="20% - Accent4 3 3 3 3 3" xfId="21819" xr:uid="{74F4390B-D63F-4C52-A7F0-2C96F9E7F295}"/>
    <cellStyle name="20% - Accent4 3 3 3 3 3 2" xfId="23127" xr:uid="{ADC6BE99-E042-4588-B161-F91513789507}"/>
    <cellStyle name="20% - Accent4 3 3 3 3 4" xfId="23124" xr:uid="{2355D139-DBA1-4A88-8B65-7C19A6C274B1}"/>
    <cellStyle name="20% - Accent4 3 3 3 4" xfId="33382" xr:uid="{7F515573-714C-4DC1-983D-D9726713EDE9}"/>
    <cellStyle name="20% - Accent4 3 3 3 4 2" xfId="21777" xr:uid="{DE337DF4-9148-4CE2-8B87-B8DBBA9E6BF2}"/>
    <cellStyle name="20% - Accent4 3 3 3 4 2 2" xfId="23123" xr:uid="{8AC02EAB-E133-458E-B8B3-252ED5185F69}"/>
    <cellStyle name="20% - Accent4 3 3 3 4 3" xfId="23122" xr:uid="{949D5F76-7B53-4B21-8037-00936632F248}"/>
    <cellStyle name="20% - Accent4 3 3 3 5" xfId="33232" xr:uid="{D0450ED3-7EBE-4E33-976C-CE4B794A25B2}"/>
    <cellStyle name="20% - Accent4 3 3 3 5 2" xfId="21013" xr:uid="{86303491-892F-4328-8452-2CAA65872B41}"/>
    <cellStyle name="20% - Accent4 3 3 3 6" xfId="23121" xr:uid="{5F323BD3-8C97-4A26-B87F-4C67F0910372}"/>
    <cellStyle name="20% - Accent4 3 3 4" xfId="32424" xr:uid="{39D9ACDE-6202-42FE-AF0F-3663A439EA74}"/>
    <cellStyle name="20% - Accent4 3 3 4 2" xfId="32489" xr:uid="{31E37A2D-2216-4D1E-8741-19B7C36B151B}"/>
    <cellStyle name="20% - Accent4 3 3 4 2 2" xfId="18599" xr:uid="{E53C81C4-73F3-4C27-B637-681FF3B62403}"/>
    <cellStyle name="20% - Accent4 3 3 4 2 2 2" xfId="28023" xr:uid="{E9F19701-405C-4E1C-A174-B7FB79B994B0}"/>
    <cellStyle name="20% - Accent4 3 3 4 2 2 2 2" xfId="23119" xr:uid="{1094E93D-0204-40EF-94AE-0B535A33A63E}"/>
    <cellStyle name="20% - Accent4 3 3 4 2 2 3" xfId="23031" xr:uid="{128B0885-3A7F-485B-8F96-39C756A8F1F0}"/>
    <cellStyle name="20% - Accent4 3 3 4 2 3" xfId="18596" xr:uid="{DF84CA73-5152-4783-9573-2322F8161806}"/>
    <cellStyle name="20% - Accent4 3 3 4 2 3 2" xfId="23113" xr:uid="{03C24B5C-2B34-4994-9FE6-0A13644CD673}"/>
    <cellStyle name="20% - Accent4 3 3 4 2 4" xfId="23111" xr:uid="{61619251-778B-4E0E-BB28-5165881F2D97}"/>
    <cellStyle name="20% - Accent4 3 3 4 3" xfId="32446" xr:uid="{677B0467-CBE6-40C6-B878-B975719C7F21}"/>
    <cellStyle name="20% - Accent4 3 3 4 3 2" xfId="21683" xr:uid="{EDECFCD6-2EFF-400A-94E5-3131FFCADCB0}"/>
    <cellStyle name="20% - Accent4 3 3 4 3 2 2" xfId="23110" xr:uid="{6960D7B6-C675-4315-A128-BF11D7469C17}"/>
    <cellStyle name="20% - Accent4 3 3 4 3 3" xfId="23109" xr:uid="{6CC0549A-126C-4E04-B694-51DB454489E9}"/>
    <cellStyle name="20% - Accent4 3 3 4 4" xfId="33030" xr:uid="{9037B7C3-BD64-4193-A9DF-06E7687F195E}"/>
    <cellStyle name="20% - Accent4 3 3 4 4 2" xfId="14810" xr:uid="{BFD3B598-E0A6-4067-9B22-6136DAAA71B5}"/>
    <cellStyle name="20% - Accent4 3 3 4 5" xfId="23102" xr:uid="{A5CAF24C-802A-406F-A263-DAC18461D2DA}"/>
    <cellStyle name="20% - Accent4 3 3 5" xfId="23101" xr:uid="{222F219A-F8FC-4CDD-ADAE-627B6FEEBE08}"/>
    <cellStyle name="20% - Accent4 3 3 5 2" xfId="24254" xr:uid="{BD877756-8A9B-4107-80C5-2B861DC862FE}"/>
    <cellStyle name="20% - Accent4 3 3 5 2 2" xfId="18513" xr:uid="{5804AA90-3284-469B-9763-6B9488355D37}"/>
    <cellStyle name="20% - Accent4 3 3 5 2 2 2" xfId="23969" xr:uid="{6393B5CE-AB8D-400F-8711-CD76DC722C7B}"/>
    <cellStyle name="20% - Accent4 3 3 5 2 3" xfId="30220" xr:uid="{93584572-70B3-49EA-A4F2-E86FF1F875BE}"/>
    <cellStyle name="20% - Accent4 3 3 5 3" xfId="24248" xr:uid="{5B33EF2E-A5D2-4710-83FA-ABFC08E826E4}"/>
    <cellStyle name="20% - Accent4 3 3 5 3 2" xfId="23100" xr:uid="{0D39D4DA-67A7-43A9-B2D7-46A5D5F8C198}"/>
    <cellStyle name="20% - Accent4 3 3 5 4" xfId="23095" xr:uid="{F25BFC13-7798-47EE-8297-E24F448DCCFA}"/>
    <cellStyle name="20% - Accent4 3 3 6" xfId="32503" xr:uid="{6A52F9D2-76CC-4420-BA43-C2B96E41A7CD}"/>
    <cellStyle name="20% - Accent4 3 3 6 2" xfId="24243" xr:uid="{5412F24A-29B9-4F6F-8051-25248FA5A903}"/>
    <cellStyle name="20% - Accent4 3 3 6 2 2" xfId="23090" xr:uid="{5AA99569-99B1-4B18-9A0B-ABFB5CABFBFB}"/>
    <cellStyle name="20% - Accent4 3 3 6 3" xfId="23089" xr:uid="{ED78396B-1726-42F5-965C-7A13EB3A23DF}"/>
    <cellStyle name="20% - Accent4 3 3 7" xfId="23087" xr:uid="{01480D08-FB11-400A-BDDF-396FCFA09004}"/>
    <cellStyle name="20% - Accent4 3 3 7 2" xfId="23084" xr:uid="{EC8FF494-5019-49FA-8F5A-993010DF7186}"/>
    <cellStyle name="20% - Accent4 3 3 8" xfId="23280" xr:uid="{D53C1810-398B-40F0-9F09-0075138967FA}"/>
    <cellStyle name="20% - Accent4 3 3 9" xfId="34554" xr:uid="{D3C82404-DC7F-40C3-B411-C9F45DEEBC5D}"/>
    <cellStyle name="20% - Accent4 3 4" xfId="23081" xr:uid="{C95A434B-643D-42A6-8D18-8B7905378AE9}"/>
    <cellStyle name="20% - Accent4 3 4 2" xfId="20007" xr:uid="{8F2928E2-F7D3-46FA-96E3-A99607CBC4C0}"/>
    <cellStyle name="20% - Accent4 3 4 2 2" xfId="23080" xr:uid="{56C5A819-F6FE-4FF8-81CB-D9B93AD7F17A}"/>
    <cellStyle name="20% - Accent4 3 4 2 2 2" xfId="23079" xr:uid="{3D29DBDD-85FE-473A-BC53-6A13D95C0A4F}"/>
    <cellStyle name="20% - Accent4 3 4 2 2 2 2" xfId="30984" xr:uid="{CD7F9C22-D987-418C-88D5-DC0CD049F461}"/>
    <cellStyle name="20% - Accent4 3 4 2 2 2 2 2" xfId="23075" xr:uid="{B24AA583-2041-4241-BC93-C8993C7AD50A}"/>
    <cellStyle name="20% - Accent4 3 4 2 2 2 2 2 2" xfId="30647" xr:uid="{DA7846AF-C3BC-480B-91C6-E24998CCBB66}"/>
    <cellStyle name="20% - Accent4 3 4 2 2 2 2 3" xfId="23072" xr:uid="{BD75B1BC-B702-48CC-B14A-434A48A7339B}"/>
    <cellStyle name="20% - Accent4 3 4 2 2 2 3" xfId="22829" xr:uid="{4D5D348E-6D88-4755-B878-CA0BA4D82783}"/>
    <cellStyle name="20% - Accent4 3 4 2 2 2 3 2" xfId="23069" xr:uid="{EAD138A5-178F-4E6A-B672-10331B4F4F41}"/>
    <cellStyle name="20% - Accent4 3 4 2 2 2 4" xfId="19740" xr:uid="{2781E2F9-549F-41F5-9846-31A4D37482F1}"/>
    <cellStyle name="20% - Accent4 3 4 2 2 3" xfId="21126" xr:uid="{E655D14F-4406-4A04-A99F-D5FA1A65E470}"/>
    <cellStyle name="20% - Accent4 3 4 2 2 3 2" xfId="29806" xr:uid="{66898675-990F-4806-8A29-C53F24FC96F3}"/>
    <cellStyle name="20% - Accent4 3 4 2 2 3 2 2" xfId="23066" xr:uid="{F81CEDBF-39A5-4BCD-A93E-8F8F29E61869}"/>
    <cellStyle name="20% - Accent4 3 4 2 2 3 3" xfId="26401" xr:uid="{2EEC5D9C-0C31-4365-AFD9-ECFFDF00BF4D}"/>
    <cellStyle name="20% - Accent4 3 4 2 2 4" xfId="23064" xr:uid="{9B1DF78A-5D01-4BD2-8967-CED8BDA0985F}"/>
    <cellStyle name="20% - Accent4 3 4 2 2 4 2" xfId="23060" xr:uid="{82B55506-4109-41E6-A930-5B6DFD5D02A3}"/>
    <cellStyle name="20% - Accent4 3 4 2 2 5" xfId="29941" xr:uid="{5BFC57AE-C777-4034-AD36-9B398695191D}"/>
    <cellStyle name="20% - Accent4 3 4 2 3" xfId="18471" xr:uid="{9B896108-419B-471B-BDD8-73FE6EE2BF19}"/>
    <cellStyle name="20% - Accent4 3 4 2 3 2" xfId="31238" xr:uid="{6B2564FB-A275-43B7-826D-5C5ABBACDD62}"/>
    <cellStyle name="20% - Accent4 3 4 2 3 2 2" xfId="23052" xr:uid="{A03C217A-FDDF-42C2-B498-1E62AC7CD139}"/>
    <cellStyle name="20% - Accent4 3 4 2 3 2 2 2" xfId="18563" xr:uid="{EFC4A1EF-E3D7-4790-8ABF-3890A64D084E}"/>
    <cellStyle name="20% - Accent4 3 4 2 3 2 3" xfId="23049" xr:uid="{84FBBACF-9B32-4AEA-9037-77801929967C}"/>
    <cellStyle name="20% - Accent4 3 4 2 3 3" xfId="32034" xr:uid="{59FB33CB-3C42-4D22-B596-D4EE13E1B935}"/>
    <cellStyle name="20% - Accent4 3 4 2 3 3 2" xfId="23045" xr:uid="{A9A6056C-B6CA-4ED0-816E-220CE0480C5E}"/>
    <cellStyle name="20% - Accent4 3 4 2 3 4" xfId="23041" xr:uid="{5D2B913E-CD19-4C9A-9630-055C1B266375}"/>
    <cellStyle name="20% - Accent4 3 4 2 4" xfId="24531" xr:uid="{0C60261F-3E90-4DD4-9DF9-EAB2BB8C6A87}"/>
    <cellStyle name="20% - Accent4 3 4 2 4 2" xfId="31513" xr:uid="{3B8A0C05-C91B-49B7-8CDA-FBBF45F4A9C7}"/>
    <cellStyle name="20% - Accent4 3 4 2 4 2 2" xfId="23039" xr:uid="{42BE646B-CB3B-4AE7-B248-573B5B6B4EAC}"/>
    <cellStyle name="20% - Accent4 3 4 2 4 3" xfId="17746" xr:uid="{19AC1D57-8C60-4FFD-A2DE-959093E261C7}"/>
    <cellStyle name="20% - Accent4 3 4 2 5" xfId="31509" xr:uid="{9F4019AD-80E4-4131-8AF9-C24D360784A0}"/>
    <cellStyle name="20% - Accent4 3 4 2 5 2" xfId="23036" xr:uid="{BE8D675A-564D-42E3-AD86-6AB441E143EE}"/>
    <cellStyle name="20% - Accent4 3 4 2 6" xfId="19882" xr:uid="{805A3C0C-8683-484E-9CAB-8BA7FFAA94F1}"/>
    <cellStyle name="20% - Accent4 3 4 3" xfId="26020" xr:uid="{7F133A45-3926-4928-A663-DFDC989D9306}"/>
    <cellStyle name="20% - Accent4 3 4 3 2" xfId="23035" xr:uid="{D2655241-2E67-4A73-B175-B8E6BEC3891C}"/>
    <cellStyle name="20% - Accent4 3 4 3 2 2" xfId="23034" xr:uid="{47310B75-D826-4683-8F61-7DAB66739EDF}"/>
    <cellStyle name="20% - Accent4 3 4 3 2 2 2" xfId="23027" xr:uid="{B00768FD-E220-42B0-9FFC-1CAA01EDCCC9}"/>
    <cellStyle name="20% - Accent4 3 4 3 2 2 2 2" xfId="15872" xr:uid="{48A6359A-38F2-48A8-B4DA-5031C07F7A3E}"/>
    <cellStyle name="20% - Accent4 3 4 3 2 2 3" xfId="22740" xr:uid="{A661FBCF-0755-41C9-BCA0-A81A1FEDAC9C}"/>
    <cellStyle name="20% - Accent4 3 4 3 2 3" xfId="16916" xr:uid="{C3713977-250D-4129-ABA1-D490DECE53D2}"/>
    <cellStyle name="20% - Accent4 3 4 3 2 3 2" xfId="23016" xr:uid="{4FEBCAFF-1F87-43E7-830E-FD412BB0F391}"/>
    <cellStyle name="20% - Accent4 3 4 3 2 4" xfId="23446" xr:uid="{6D7F080E-BD06-43A1-A89C-D0303D2C0A9A}"/>
    <cellStyle name="20% - Accent4 3 4 3 3" xfId="18464" xr:uid="{2604F75F-E354-467D-835F-8FC1387D4AA5}"/>
    <cellStyle name="20% - Accent4 3 4 3 3 2" xfId="23406" xr:uid="{8A6292F0-5806-424B-AF3B-4B2D2727CE3B}"/>
    <cellStyle name="20% - Accent4 3 4 3 3 2 2" xfId="23012" xr:uid="{57E3BC99-614B-4944-BBF2-B7FBCC4F1751}"/>
    <cellStyle name="20% - Accent4 3 4 3 3 3" xfId="7704" xr:uid="{0632DBB7-F37A-4E27-B519-A2B31E2C3ACC}"/>
    <cellStyle name="20% - Accent4 3 4 3 4" xfId="33200" xr:uid="{E8B47E45-2DE2-4B44-B720-05EB76E88CDC}"/>
    <cellStyle name="20% - Accent4 3 4 3 4 2" xfId="23009" xr:uid="{38D3A328-59AB-4A58-A2DE-114F4D5B7C3D}"/>
    <cellStyle name="20% - Accent4 3 4 3 5" xfId="23006" xr:uid="{52CCAE6C-F561-478F-B246-C9D4FAD293DA}"/>
    <cellStyle name="20% - Accent4 3 4 4" xfId="11497" xr:uid="{6448E845-953A-418B-9FA9-BA303E9ADAE2}"/>
    <cellStyle name="20% - Accent4 3 4 4 2" xfId="21836" xr:uid="{5B4BA627-B335-4838-B02D-149EAD951C16}"/>
    <cellStyle name="20% - Accent4 3 4 4 2 2" xfId="23388" xr:uid="{CEA6DAF0-1623-4394-A2AB-756ED571BF3E}"/>
    <cellStyle name="20% - Accent4 3 4 4 2 2 2" xfId="22226" xr:uid="{1A176F18-B335-4AED-89B1-F3CFB6C58264}"/>
    <cellStyle name="20% - Accent4 3 4 4 2 3" xfId="22751" xr:uid="{81BFD72D-81CD-4FF8-A55C-6DF428532954}"/>
    <cellStyle name="20% - Accent4 3 4 4 3" xfId="21831" xr:uid="{AF645A1D-BC7E-42C4-9757-4365D704533C}"/>
    <cellStyle name="20% - Accent4 3 4 4 3 2" xfId="22996" xr:uid="{F2EB4E98-80EB-4D1C-9B0E-29F2AA401DD3}"/>
    <cellStyle name="20% - Accent4 3 4 4 4" xfId="22991" xr:uid="{326801FF-3054-4FF6-8337-41B3DFBDC782}"/>
    <cellStyle name="20% - Accent4 3 4 5" xfId="22986" xr:uid="{D8BC4009-6D55-4178-BAD7-2AD25A95AF55}"/>
    <cellStyle name="20% - Accent4 3 4 5 2" xfId="23839" xr:uid="{0A4C5163-D4D4-409F-A10D-0E64144D8F35}"/>
    <cellStyle name="20% - Accent4 3 4 5 2 2" xfId="22984" xr:uid="{BA4E719E-0FB2-4422-9666-1F49BB77B1BA}"/>
    <cellStyle name="20% - Accent4 3 4 5 3" xfId="22978" xr:uid="{56EDDDB2-DF7B-481D-BAA7-76577BD74642}"/>
    <cellStyle name="20% - Accent4 3 4 6" xfId="16805" xr:uid="{7DCD9681-A3BA-473F-9962-774C2E8B95E7}"/>
    <cellStyle name="20% - Accent4 3 4 6 2" xfId="22974" xr:uid="{F7ADB71E-3127-47E5-8EA0-7ECD140998D9}"/>
    <cellStyle name="20% - Accent4 3 4 7" xfId="6678" xr:uid="{7A2BD592-FFCD-4AC4-9979-BDC9E5BC7D9F}"/>
    <cellStyle name="20% - Accent4 3 4 8" xfId="34775" xr:uid="{871BA91D-4047-4646-8AB5-C31BAC65FC77}"/>
    <cellStyle name="20% - Accent4 3 5" xfId="22967" xr:uid="{308CDBD2-533C-4AB9-8424-885A3C3FCFA0}"/>
    <cellStyle name="20% - Accent4 3 5 2" xfId="8943" xr:uid="{71D9A454-AF1D-465D-9E8E-F8A68625BE3E}"/>
    <cellStyle name="20% - Accent4 3 5 2 2" xfId="12158" xr:uid="{5E9A853B-66B0-4068-B4E9-A053FC5DE399}"/>
    <cellStyle name="20% - Accent4 3 5 2 2 2" xfId="26920" xr:uid="{B513DAA0-F75C-41B6-A7E6-1F469A18B948}"/>
    <cellStyle name="20% - Accent4 3 5 2 2 2 2" xfId="25696" xr:uid="{EE0D8BDF-4E98-4970-A71B-A173D5B293A7}"/>
    <cellStyle name="20% - Accent4 3 5 2 2 2 2 2" xfId="8417" xr:uid="{4072FC5E-0C85-4ACF-A82D-146E81989297}"/>
    <cellStyle name="20% - Accent4 3 5 2 2 2 3" xfId="25691" xr:uid="{CFCBBBE8-EFB6-421C-8B52-8F2F6BE8969E}"/>
    <cellStyle name="20% - Accent4 3 5 2 2 3" xfId="31617" xr:uid="{208FD582-5CE8-47C5-BEC2-767063301D39}"/>
    <cellStyle name="20% - Accent4 3 5 2 2 3 2" xfId="25686" xr:uid="{7438CF63-97F1-4864-99A0-D1973165D02B}"/>
    <cellStyle name="20% - Accent4 3 5 2 2 4" xfId="25682" xr:uid="{44CCC5F0-36F2-4773-85B7-427AE5AED65F}"/>
    <cellStyle name="20% - Accent4 3 5 2 3" xfId="12154" xr:uid="{A542DAB8-EB2D-4138-86BD-00A742F0D58A}"/>
    <cellStyle name="20% - Accent4 3 5 2 3 2" xfId="25674" xr:uid="{134C051A-F036-4ED8-9C05-22CC0DC16348}"/>
    <cellStyle name="20% - Accent4 3 5 2 3 2 2" xfId="25670" xr:uid="{C53F0649-148B-4B2E-B021-A34824D23221}"/>
    <cellStyle name="20% - Accent4 3 5 2 3 3" xfId="25668" xr:uid="{8661953F-E8F0-4EC8-83CF-45291646F5B7}"/>
    <cellStyle name="20% - Accent4 3 5 2 4" xfId="31422" xr:uid="{3BBD2831-9C0B-4594-8BA2-93E2FA28CCF6}"/>
    <cellStyle name="20% - Accent4 3 5 2 4 2" xfId="25659" xr:uid="{70E0DCB8-2CC8-4672-B645-4243BA86C5F1}"/>
    <cellStyle name="20% - Accent4 3 5 2 5" xfId="33576" xr:uid="{6D079747-3C3C-424D-90DF-635B5F9E1BDB}"/>
    <cellStyle name="20% - Accent4 3 5 3" xfId="8940" xr:uid="{F9584116-E54C-4213-AA76-5B8B5565AA39}"/>
    <cellStyle name="20% - Accent4 3 5 3 2" xfId="12150" xr:uid="{D245FC9A-29AD-493F-9C8A-A028DC26F279}"/>
    <cellStyle name="20% - Accent4 3 5 3 2 2" xfId="25653" xr:uid="{1E141510-7D5E-4F6F-AA6A-05DD03E94006}"/>
    <cellStyle name="20% - Accent4 3 5 3 2 2 2" xfId="25646" xr:uid="{B33D62B5-3424-4E02-9370-B185CABADE3C}"/>
    <cellStyle name="20% - Accent4 3 5 3 2 3" xfId="25642" xr:uid="{930E083D-F3CE-4B81-8673-A7D0B8F6ECC1}"/>
    <cellStyle name="20% - Accent4 3 5 3 3" xfId="20346" xr:uid="{461453A6-2239-4320-9AAA-BBE83D06FBAC}"/>
    <cellStyle name="20% - Accent4 3 5 3 3 2" xfId="25627" xr:uid="{35FCE637-DB8A-4658-88F1-553B20D78802}"/>
    <cellStyle name="20% - Accent4 3 5 3 4" xfId="17911" xr:uid="{D293013E-A550-47EC-924A-C3570A90786A}"/>
    <cellStyle name="20% - Accent4 3 5 4" xfId="22960" xr:uid="{AA765526-B569-4C6C-8A7A-804F4DC0ADA3}"/>
    <cellStyle name="20% - Accent4 3 5 4 2" xfId="16009" xr:uid="{EF56D910-DB29-4216-A60C-D629ECFB9DFA}"/>
    <cellStyle name="20% - Accent4 3 5 4 2 2" xfId="28648" xr:uid="{90BFCF36-7692-4D1D-9223-1E97176DA3AF}"/>
    <cellStyle name="20% - Accent4 3 5 4 3" xfId="18829" xr:uid="{511E306F-03DC-474A-B6D5-B63A86816124}"/>
    <cellStyle name="20% - Accent4 3 5 5" xfId="22959" xr:uid="{C40820C0-EA21-43F0-A883-1BC6F508FB36}"/>
    <cellStyle name="20% - Accent4 3 5 5 2" xfId="18824" xr:uid="{B25F33AD-C558-4069-94F5-B48D6C6456E2}"/>
    <cellStyle name="20% - Accent4 3 5 6" xfId="6652" xr:uid="{C5D72C56-3AD0-4EA6-BEB0-FEECF89437A5}"/>
    <cellStyle name="20% - Accent4 3 5 7" xfId="34968" xr:uid="{82ABCEAF-E3D4-46FF-824B-069202CD6F62}"/>
    <cellStyle name="20% - Accent4 3 6" xfId="22949" xr:uid="{550F776B-56D9-4279-850B-C7FA77F02D98}"/>
    <cellStyle name="20% - Accent4 3 6 2" xfId="8936" xr:uid="{047B2ADA-D86A-4D0A-8E34-A9AD77B6F57F}"/>
    <cellStyle name="20% - Accent4 3 6 2 2" xfId="10359" xr:uid="{46FDB7BF-7BAA-47B9-83E0-F8739B481AB9}"/>
    <cellStyle name="20% - Accent4 3 6 2 2 2" xfId="25555" xr:uid="{B6E6F018-3F2B-4B2C-ADE8-A24677D1BDC3}"/>
    <cellStyle name="20% - Accent4 3 6 2 2 2 2" xfId="25548" xr:uid="{7FF8EFF6-8B0C-40CE-8AE3-4C9B542390B6}"/>
    <cellStyle name="20% - Accent4 3 6 2 2 3" xfId="25546" xr:uid="{A1C10C17-8181-45A9-A214-D2451760A265}"/>
    <cellStyle name="20% - Accent4 3 6 2 3" xfId="31380" xr:uid="{09DCF98E-0CD8-456F-ADC0-63C52BD8570F}"/>
    <cellStyle name="20% - Accent4 3 6 2 3 2" xfId="25529" xr:uid="{707B5FBE-AFA4-4225-B356-121862AAAACA}"/>
    <cellStyle name="20% - Accent4 3 6 2 4" xfId="27581" xr:uid="{EB6E65CD-7070-4299-9A55-42CD963F70E6}"/>
    <cellStyle name="20% - Accent4 3 6 3" xfId="29719" xr:uid="{435D4C89-14FD-4FFC-98A4-8D9B8E0A3EC1}"/>
    <cellStyle name="20% - Accent4 3 6 3 2" xfId="22943" xr:uid="{FE1DCBE1-502D-4582-A14F-0D5B34CF864E}"/>
    <cellStyle name="20% - Accent4 3 6 3 2 2" xfId="27416" xr:uid="{7889E378-D251-4B42-AF40-EA863AE01416}"/>
    <cellStyle name="20% - Accent4 3 6 3 3" xfId="22939" xr:uid="{827C83E9-724F-47CF-A41F-1C514504DB2C}"/>
    <cellStyle name="20% - Accent4 3 6 4" xfId="29715" xr:uid="{337C8C8E-9883-4B50-911B-01B7714D1934}"/>
    <cellStyle name="20% - Accent4 3 6 4 2" xfId="22937" xr:uid="{1074A753-01E5-494E-80FB-3BD7E25E607F}"/>
    <cellStyle name="20% - Accent4 3 6 5" xfId="29710" xr:uid="{CE6A74A6-B183-44D9-AE0E-0CA57D64F0A4}"/>
    <cellStyle name="20% - Accent4 3 6 6" xfId="35173" xr:uid="{797F3B4A-7498-43D3-9379-E88D45C6C581}"/>
    <cellStyle name="20% - Accent4 3 7" xfId="22934" xr:uid="{B9191CD9-8D0E-455C-A9BA-2711412E52A8}"/>
    <cellStyle name="20% - Accent4 3 7 2" xfId="22930" xr:uid="{086CDFD6-D04A-4F73-96CC-25D781B5E35B}"/>
    <cellStyle name="20% - Accent4 3 7 2 2" xfId="22926" xr:uid="{123C646A-D7CA-472F-A608-144CABE9FF7C}"/>
    <cellStyle name="20% - Accent4 3 7 2 2 2" xfId="25462" xr:uid="{284BA2DC-BB62-4E86-8132-7008B5A1B383}"/>
    <cellStyle name="20% - Accent4 3 7 2 3" xfId="22923" xr:uid="{BB82B849-D73F-49F1-947C-5B48F5963C58}"/>
    <cellStyle name="20% - Accent4 3 7 3" xfId="29701" xr:uid="{4CFA6775-5FAD-4A1A-AE99-D5CE4473FA83}"/>
    <cellStyle name="20% - Accent4 3 7 3 2" xfId="27943" xr:uid="{FB746C6F-116E-4DE6-B2E1-99839C8E1FF7}"/>
    <cellStyle name="20% - Accent4 3 7 4" xfId="29693" xr:uid="{DF991619-F7D6-43EE-AD80-A94DCF288111}"/>
    <cellStyle name="20% - Accent4 3 7 5" xfId="35402" xr:uid="{A64EEE0C-08F3-4F0D-AE52-E5F991C0D9EF}"/>
    <cellStyle name="20% - Accent4 3 8" xfId="22921" xr:uid="{E9D96F10-575F-49A7-8C8A-A214CA39D8F9}"/>
    <cellStyle name="20% - Accent4 3 8 2" xfId="22916" xr:uid="{3A4FF9B1-ECA1-4409-BFBC-C58660E008E6}"/>
    <cellStyle name="20% - Accent4 3 8 2 2" xfId="22912" xr:uid="{670A224F-7AEA-4BF1-A5D5-32FAFA376640}"/>
    <cellStyle name="20% - Accent4 3 8 3" xfId="29683" xr:uid="{E1EEA051-1265-42AF-9F4D-C049A4F1E7A3}"/>
    <cellStyle name="20% - Accent4 3 8 4" xfId="36274" xr:uid="{89E8F630-FC1B-4408-86F0-CB99A6A9B7BE}"/>
    <cellStyle name="20% - Accent4 3 9" xfId="27618" xr:uid="{340F0D66-E573-4542-87D7-2C9954D22B8E}"/>
    <cellStyle name="20% - Accent4 3 9 2" xfId="25054" xr:uid="{41A1056D-5680-4FDB-A9F1-40729405BCD2}"/>
    <cellStyle name="20% - Accent4 3 9 3" xfId="36560" xr:uid="{28F77414-0888-4DFE-B5FF-81DD3EA15D92}"/>
    <cellStyle name="20% - Accent4 30" xfId="35899" xr:uid="{D92DFB33-B2B4-4E62-A20A-BCD96D312AC9}"/>
    <cellStyle name="20% - Accent4 30 2" xfId="37071" xr:uid="{B0AD590B-0BD4-49FE-9C8E-E00754DB72D4}"/>
    <cellStyle name="20% - Accent4 30 3" xfId="37966" xr:uid="{37E27C08-EEC6-4B90-B733-26F57C3D73FE}"/>
    <cellStyle name="20% - Accent4 31" xfId="35919" xr:uid="{00E6AA91-2422-469F-BF29-272C86743A73}"/>
    <cellStyle name="20% - Accent4 31 2" xfId="37090" xr:uid="{D910DF07-501B-481F-8D29-07AF197CE526}"/>
    <cellStyle name="20% - Accent4 31 3" xfId="37986" xr:uid="{95308022-63AA-4CD9-9902-8BA9A9A82375}"/>
    <cellStyle name="20% - Accent4 32" xfId="35939" xr:uid="{2425D7F4-7E8A-447E-B039-B3D3C0955D1C}"/>
    <cellStyle name="20% - Accent4 32 2" xfId="37109" xr:uid="{87FD5695-9F65-43F9-A3A5-F307E731D399}"/>
    <cellStyle name="20% - Accent4 32 3" xfId="38006" xr:uid="{EF4ADEA7-7D4A-41F5-9511-68DF6FD26FCE}"/>
    <cellStyle name="20% - Accent4 33" xfId="35959" xr:uid="{C4681FCD-A1E5-4DB2-AB6D-5C20FC9FCA66}"/>
    <cellStyle name="20% - Accent4 33 2" xfId="37128" xr:uid="{0648EF92-6E7A-40E6-9836-4992CA8BFEF6}"/>
    <cellStyle name="20% - Accent4 33 3" xfId="38026" xr:uid="{24CDD378-8EA7-4020-BF6B-7292D09E286A}"/>
    <cellStyle name="20% - Accent4 34" xfId="35979" xr:uid="{CB4168A9-813B-4EEA-B477-13AD7A464ED2}"/>
    <cellStyle name="20% - Accent4 34 2" xfId="37148" xr:uid="{3F468BEB-41FB-422F-AF88-529647C42CEF}"/>
    <cellStyle name="20% - Accent4 34 3" xfId="38046" xr:uid="{A8FAA5F8-005B-4728-A2AE-70B3F2E2F301}"/>
    <cellStyle name="20% - Accent4 35" xfId="35999" xr:uid="{07E75FA7-D908-4651-8B1D-E8EC36014116}"/>
    <cellStyle name="20% - Accent4 35 2" xfId="37168" xr:uid="{4CADB491-D8AD-4A9B-9897-8BCE50DC94AC}"/>
    <cellStyle name="20% - Accent4 35 3" xfId="38066" xr:uid="{678A848B-91C9-4D5B-8F82-BE0D6CF2C2F2}"/>
    <cellStyle name="20% - Accent4 36" xfId="36019" xr:uid="{F8BB4D8B-C940-4F26-9DD5-D6C969DCB112}"/>
    <cellStyle name="20% - Accent4 36 2" xfId="37188" xr:uid="{185561A4-21A1-49BC-B3E4-79016CD8A52E}"/>
    <cellStyle name="20% - Accent4 36 3" xfId="38086" xr:uid="{9532A74B-67D8-4CF9-811A-6F506004BE27}"/>
    <cellStyle name="20% - Accent4 37" xfId="36039" xr:uid="{B3CC65DB-EF87-4F0C-814B-E8F3432BEC6C}"/>
    <cellStyle name="20% - Accent4 37 2" xfId="37208" xr:uid="{884A723C-5135-4E93-9BD6-F65AB825A807}"/>
    <cellStyle name="20% - Accent4 37 3" xfId="38106" xr:uid="{D9CE5595-1534-4D56-8F31-ED1D9BAFE58A}"/>
    <cellStyle name="20% - Accent4 38" xfId="36059" xr:uid="{C198A86A-F712-47AB-B373-CC9099A82106}"/>
    <cellStyle name="20% - Accent4 38 2" xfId="37228" xr:uid="{DC88BFE7-00FF-42DD-898A-29084617D06A}"/>
    <cellStyle name="20% - Accent4 38 3" xfId="38126" xr:uid="{63A0CEF0-7295-4B8F-A0DF-FF6C2D3EE84C}"/>
    <cellStyle name="20% - Accent4 39" xfId="36079" xr:uid="{5F617171-79E9-4955-ABDC-007CC2A8C1A5}"/>
    <cellStyle name="20% - Accent4 39 2" xfId="37248" xr:uid="{85D0A4AE-FDCC-456B-9E94-5DE882BF1B15}"/>
    <cellStyle name="20% - Accent4 39 3" xfId="38146" xr:uid="{CEE14539-CAC9-437D-87B8-6F31A3975347}"/>
    <cellStyle name="20% - Accent4 4" xfId="125" xr:uid="{704F507F-7183-41F8-9AFA-F20C5858A02C}"/>
    <cellStyle name="20% - Accent4 4 10" xfId="34479" xr:uid="{56290B87-2131-4ADE-A6AA-B641A7D634B0}"/>
    <cellStyle name="20% - Accent4 4 11" xfId="19235" xr:uid="{F7CAF51B-E482-4FC9-A05C-14272F50719A}"/>
    <cellStyle name="20% - Accent4 4 2" xfId="248" xr:uid="{11A5CD36-1ABB-48E6-B931-E24B24A6B229}"/>
    <cellStyle name="20% - Accent4 4 2 10" xfId="19233" xr:uid="{7E35311B-04D3-4FEB-BD7C-7270DA10BC19}"/>
    <cellStyle name="20% - Accent4 4 2 2" xfId="22910" xr:uid="{CCFE079C-7332-4144-B8E9-8758F059C3BF}"/>
    <cellStyle name="20% - Accent4 4 2 2 2" xfId="22909" xr:uid="{F2B100E9-A271-43FF-8509-A6626D4CA842}"/>
    <cellStyle name="20% - Accent4 4 2 2 2 2" xfId="22903" xr:uid="{BAA591D9-3F69-407E-ADC0-A303B0C77828}"/>
    <cellStyle name="20% - Accent4 4 2 2 2 2 2" xfId="26018" xr:uid="{8EC9A5A2-3E75-47B2-885B-6F26D4A3F3F3}"/>
    <cellStyle name="20% - Accent4 4 2 2 2 2 2 2" xfId="22902" xr:uid="{4F938A74-6D6D-4DE2-9E75-3D97D4B3E16E}"/>
    <cellStyle name="20% - Accent4 4 2 2 2 2 2 2 2" xfId="22901" xr:uid="{C483C2A8-5FD3-4481-9C63-340F5B5BCF98}"/>
    <cellStyle name="20% - Accent4 4 2 2 2 2 2 2 2 2" xfId="23947" xr:uid="{81DA32C7-5A6A-4C64-B570-C6238D1EC4B4}"/>
    <cellStyle name="20% - Accent4 4 2 2 2 2 2 2 3" xfId="30606" xr:uid="{6B6184C3-724C-4D21-89E5-AFABD8311297}"/>
    <cellStyle name="20% - Accent4 4 2 2 2 2 2 3" xfId="22898" xr:uid="{B2E8FDE8-0F70-47DB-878E-98BA3DDD6EB0}"/>
    <cellStyle name="20% - Accent4 4 2 2 2 2 2 3 2" xfId="22897" xr:uid="{0B62E51C-6FBC-4569-A863-13AAB3535559}"/>
    <cellStyle name="20% - Accent4 4 2 2 2 2 2 4" xfId="22896" xr:uid="{AF04FEA9-A09B-471A-A357-A71958A2A2FB}"/>
    <cellStyle name="20% - Accent4 4 2 2 2 2 3" xfId="21915" xr:uid="{30EC22EE-10A7-4C95-A4EE-E53016DC82B7}"/>
    <cellStyle name="20% - Accent4 4 2 2 2 2 3 2" xfId="22894" xr:uid="{8739E100-9C52-4E79-B4F7-DAB1D5B7CDCB}"/>
    <cellStyle name="20% - Accent4 4 2 2 2 2 3 2 2" xfId="22893" xr:uid="{B814D71B-10C9-4AB2-BDCC-034D64E4B7F4}"/>
    <cellStyle name="20% - Accent4 4 2 2 2 2 3 3" xfId="22891" xr:uid="{E41A73CE-4D4F-489D-B263-422E2B30698B}"/>
    <cellStyle name="20% - Accent4 4 2 2 2 2 4" xfId="20647" xr:uid="{272FFE22-3D10-446E-BDA0-FEFFFBC94E93}"/>
    <cellStyle name="20% - Accent4 4 2 2 2 2 4 2" xfId="22887" xr:uid="{7DB2FD13-2F46-4A3B-A4A4-93288850D688}"/>
    <cellStyle name="20% - Accent4 4 2 2 2 2 5" xfId="21618" xr:uid="{D0DFB93F-4500-4D30-84DE-C8606F4B86DC}"/>
    <cellStyle name="20% - Accent4 4 2 2 2 3" xfId="22884" xr:uid="{EDED7B1F-7AE0-4DCC-9CF5-8ABDCEFD9DBD}"/>
    <cellStyle name="20% - Accent4 4 2 2 2 3 2" xfId="7701" xr:uid="{46DF345F-8CD3-44E2-A69B-F19E3E7F6078}"/>
    <cellStyle name="20% - Accent4 4 2 2 2 3 2 2" xfId="22883" xr:uid="{0980A4DE-7285-4A62-B203-4AF868B667F1}"/>
    <cellStyle name="20% - Accent4 4 2 2 2 3 2 2 2" xfId="15477" xr:uid="{C0468161-7E16-4F77-B0CF-0F03EDE8CCD7}"/>
    <cellStyle name="20% - Accent4 4 2 2 2 3 2 3" xfId="22874" xr:uid="{9F80E504-3206-4DEB-97E0-793AB74822F9}"/>
    <cellStyle name="20% - Accent4 4 2 2 2 3 3" xfId="18297" xr:uid="{25D759EC-6ADD-4044-AF75-9B4F13192285}"/>
    <cellStyle name="20% - Accent4 4 2 2 2 3 3 2" xfId="28187" xr:uid="{ED5845CD-7642-4A36-89A8-4533A333C92F}"/>
    <cellStyle name="20% - Accent4 4 2 2 2 3 4" xfId="18292" xr:uid="{5F683808-E3A3-415D-ABE6-F936A323B4A1}"/>
    <cellStyle name="20% - Accent4 4 2 2 2 4" xfId="22872" xr:uid="{291A9681-1295-4879-A493-F1A4892AAD50}"/>
    <cellStyle name="20% - Accent4 4 2 2 2 4 2" xfId="22870" xr:uid="{15D63BA3-618F-4506-988C-4C6703053523}"/>
    <cellStyle name="20% - Accent4 4 2 2 2 4 2 2" xfId="22868" xr:uid="{DD8644BB-6932-447C-9978-5ED6BAF9BF0E}"/>
    <cellStyle name="20% - Accent4 4 2 2 2 4 3" xfId="23108" xr:uid="{5673C53A-7910-46CF-A7DB-F107B240E723}"/>
    <cellStyle name="20% - Accent4 4 2 2 2 5" xfId="22866" xr:uid="{0F7D19B7-2EBB-495D-9A3D-64C27A7D0812}"/>
    <cellStyle name="20% - Accent4 4 2 2 2 5 2" xfId="31225" xr:uid="{D61A00A7-5A3A-4003-8DEC-6F231E365898}"/>
    <cellStyle name="20% - Accent4 4 2 2 2 6" xfId="26623" xr:uid="{01CB4086-F416-4FEF-9650-E0DD5A95FBD3}"/>
    <cellStyle name="20% - Accent4 4 2 2 3" xfId="28008" xr:uid="{70370A02-DA22-4550-A66D-9B6EDFB8A9BA}"/>
    <cellStyle name="20% - Accent4 4 2 2 3 2" xfId="26555" xr:uid="{30D203EF-AED7-4853-97C2-5AE5695CE798}"/>
    <cellStyle name="20% - Accent4 4 2 2 3 2 2" xfId="22864" xr:uid="{5D5FF9B6-FB88-4B3C-9CB6-A5295527418B}"/>
    <cellStyle name="20% - Accent4 4 2 2 3 2 2 2" xfId="19890" xr:uid="{DEBCC917-2976-43B2-804D-A8723D4E6784}"/>
    <cellStyle name="20% - Accent4 4 2 2 3 2 2 2 2" xfId="22860" xr:uid="{369C5D90-40C0-4B22-8671-370E3A891364}"/>
    <cellStyle name="20% - Accent4 4 2 2 3 2 2 3" xfId="19873" xr:uid="{76FAE767-F8F7-4C67-8703-5EF6E6BD6FD3}"/>
    <cellStyle name="20% - Accent4 4 2 2 3 2 3" xfId="21715" xr:uid="{85CFDB5B-3C69-49B2-8ACD-4A0105770AF2}"/>
    <cellStyle name="20% - Accent4 4 2 2 3 2 3 2" xfId="19839" xr:uid="{685D8206-5524-4B50-9EFB-3B4E1C9C99C8}"/>
    <cellStyle name="20% - Accent4 4 2 2 3 2 4" xfId="20639" xr:uid="{52D334DA-27E5-4861-AF4E-F1B93D4BEB0A}"/>
    <cellStyle name="20% - Accent4 4 2 2 3 3" xfId="25800" xr:uid="{A3423A1E-5451-421A-AF03-108906FB2E66}"/>
    <cellStyle name="20% - Accent4 4 2 2 3 3 2" xfId="22859" xr:uid="{2A690138-CEE8-4FDB-945B-1437E96CE010}"/>
    <cellStyle name="20% - Accent4 4 2 2 3 3 2 2" xfId="21946" xr:uid="{35F9B305-C6CD-464C-96B3-7A94CF885223}"/>
    <cellStyle name="20% - Accent4 4 2 2 3 3 3" xfId="23098" xr:uid="{1E5C323E-1D06-49AC-9BD8-9D044C5887C1}"/>
    <cellStyle name="20% - Accent4 4 2 2 3 4" xfId="22623" xr:uid="{3A6F59AC-1F62-4E90-9D80-A4DE8F41E376}"/>
    <cellStyle name="20% - Accent4 4 2 2 3 4 2" xfId="22856" xr:uid="{03A2A5A1-F44E-4B66-AF4D-DFF27BD36A4B}"/>
    <cellStyle name="20% - Accent4 4 2 2 3 5" xfId="22854" xr:uid="{E392B939-C22F-4590-AECB-8E377F49EDC1}"/>
    <cellStyle name="20% - Accent4 4 2 2 4" xfId="33167" xr:uid="{97A302BD-3243-4F58-AA79-E63735F483A9}"/>
    <cellStyle name="20% - Accent4 4 2 2 4 2" xfId="14251" xr:uid="{81A5AE0F-16A8-4961-AA9F-0B8D61443EFE}"/>
    <cellStyle name="20% - Accent4 4 2 2 4 2 2" xfId="12789" xr:uid="{6B931571-5CD8-4408-8B46-820A7B1D8758}"/>
    <cellStyle name="20% - Accent4 4 2 2 4 2 2 2" xfId="13605" xr:uid="{12882B90-ED1A-4D87-AFF8-E4CA0C232233}"/>
    <cellStyle name="20% - Accent4 4 2 2 4 2 3" xfId="21614" xr:uid="{52448243-D4A7-4612-A721-8A0483DA89A6}"/>
    <cellStyle name="20% - Accent4 4 2 2 4 3" xfId="12785" xr:uid="{A4EA2BEA-BC2D-4D1A-A124-18375B1FA5DE}"/>
    <cellStyle name="20% - Accent4 4 2 2 4 3 2" xfId="22839" xr:uid="{A491C2E4-9D12-4ED5-9FAE-425F81407719}"/>
    <cellStyle name="20% - Accent4 4 2 2 4 4" xfId="22625" xr:uid="{C0CDF584-3CFA-42C0-83DF-1DD70DE19630}"/>
    <cellStyle name="20% - Accent4 4 2 2 5" xfId="27806" xr:uid="{8ABE0296-6E20-4A63-8266-B894E8F86C63}"/>
    <cellStyle name="20% - Accent4 4 2 2 5 2" xfId="12779" xr:uid="{48FD1F48-B41B-4006-A064-CBDFF8AE6C95}"/>
    <cellStyle name="20% - Accent4 4 2 2 5 2 2" xfId="22837" xr:uid="{F843592E-D1CD-47F9-A5B7-79D58FA746CE}"/>
    <cellStyle name="20% - Accent4 4 2 2 5 3" xfId="17676" xr:uid="{DC869B88-9645-408C-BA5D-C7D44D4A5FD2}"/>
    <cellStyle name="20% - Accent4 4 2 2 6" xfId="27795" xr:uid="{408AC862-E42D-44E2-BA70-2D86490B4256}"/>
    <cellStyle name="20% - Accent4 4 2 2 6 2" xfId="17663" xr:uid="{961FCA7C-7424-41C3-894B-4E648E4F9FFF}"/>
    <cellStyle name="20% - Accent4 4 2 2 7" xfId="22836" xr:uid="{BE558B98-85A2-42D3-A60F-84EAD3A08326}"/>
    <cellStyle name="20% - Accent4 4 2 3" xfId="22834" xr:uid="{B026C9FF-8C2D-4B14-A6C8-EF31762DED0F}"/>
    <cellStyle name="20% - Accent4 4 2 3 2" xfId="22831" xr:uid="{5F31407F-6B1E-4328-9E5E-2B1AB02E3982}"/>
    <cellStyle name="20% - Accent4 4 2 3 2 2" xfId="22830" xr:uid="{C542E13C-3F0C-4CBE-8199-48F742A9ACE6}"/>
    <cellStyle name="20% - Accent4 4 2 3 2 2 2" xfId="22827" xr:uid="{EBA69612-4582-4D1B-977F-185CEDD5AD40}"/>
    <cellStyle name="20% - Accent4 4 2 3 2 2 2 2" xfId="14784" xr:uid="{18B625D7-E947-47BF-8C36-43727D8484C2}"/>
    <cellStyle name="20% - Accent4 4 2 3 2 2 2 2 2" xfId="27736" xr:uid="{C4CA4DCE-28E2-424E-9D4B-B750FB4FCA48}"/>
    <cellStyle name="20% - Accent4 4 2 3 2 2 2 3" xfId="14776" xr:uid="{8351284D-D24A-4C04-906C-0FD73430AA66}"/>
    <cellStyle name="20% - Accent4 4 2 3 2 2 3" xfId="30480" xr:uid="{3F974088-E6E8-469A-A496-2FAEB83FFA07}"/>
    <cellStyle name="20% - Accent4 4 2 3 2 2 3 2" xfId="14762" xr:uid="{6E9F2766-FF16-4DDF-9056-BD42F756D49D}"/>
    <cellStyle name="20% - Accent4 4 2 3 2 2 4" xfId="23000" xr:uid="{7B0D98F1-60DC-4D2B-95E5-35185DD9AFD7}"/>
    <cellStyle name="20% - Accent4 4 2 3 2 3" xfId="22825" xr:uid="{7E7EBB62-2250-4BF0-91C5-31771D5757DF}"/>
    <cellStyle name="20% - Accent4 4 2 3 2 3 2" xfId="22820" xr:uid="{A7D3F4C7-2538-46CA-A43C-28AE75715BD7}"/>
    <cellStyle name="20% - Accent4 4 2 3 2 3 2 2" xfId="14745" xr:uid="{2AA3F0F2-2F08-4C11-B639-655E4A3AC39E}"/>
    <cellStyle name="20% - Accent4 4 2 3 2 3 3" xfId="18150" xr:uid="{1FD01439-D561-4D19-9FF0-BECB50B9A080}"/>
    <cellStyle name="20% - Accent4 4 2 3 2 4" xfId="22814" xr:uid="{4E2FF3F5-B8FB-4F55-9800-B2CF6BB07331}"/>
    <cellStyle name="20% - Accent4 4 2 3 2 4 2" xfId="22807" xr:uid="{43AB1EA5-DDD1-4CC1-BB3D-74FAA981DC09}"/>
    <cellStyle name="20% - Accent4 4 2 3 2 5" xfId="22799" xr:uid="{4C8F8DF1-1F5E-4DF1-AD4E-6F89349C1093}"/>
    <cellStyle name="20% - Accent4 4 2 3 3" xfId="33516" xr:uid="{8D2A4739-C6DD-428F-9F54-4616EFB04050}"/>
    <cellStyle name="20% - Accent4 4 2 3 3 2" xfId="5396" xr:uid="{F33608DE-3E78-4665-9F4D-B8D4B15B3D2D}"/>
    <cellStyle name="20% - Accent4 4 2 3 3 2 2" xfId="22794" xr:uid="{D21191F4-FB06-4557-929E-66493D283A91}"/>
    <cellStyle name="20% - Accent4 4 2 3 3 2 2 2" xfId="19363" xr:uid="{E57DF68B-615C-4B9C-979F-3213798446BC}"/>
    <cellStyle name="20% - Accent4 4 2 3 3 2 3" xfId="22980" xr:uid="{1DB7E906-9C9B-4E2B-A63D-90EE192D48ED}"/>
    <cellStyle name="20% - Accent4 4 2 3 3 3" xfId="24327" xr:uid="{6C4DCD1A-5CCB-407E-B7F7-93E62D2E3D23}"/>
    <cellStyle name="20% - Accent4 4 2 3 3 3 2" xfId="22791" xr:uid="{04EDD226-635D-48AF-9B2F-3CA754601E53}"/>
    <cellStyle name="20% - Accent4 4 2 3 3 4" xfId="22783" xr:uid="{E26F05E5-3FBE-4103-86A3-4E0FEF8F112E}"/>
    <cellStyle name="20% - Accent4 4 2 3 4" xfId="33473" xr:uid="{9F7CBE38-F080-4FAA-92E3-22BB77CF7C1C}"/>
    <cellStyle name="20% - Accent4 4 2 3 4 2" xfId="16148" xr:uid="{BF076C5C-88EB-4CC5-A7FC-6AC53BF00B16}"/>
    <cellStyle name="20% - Accent4 4 2 3 4 2 2" xfId="28420" xr:uid="{8D2076AF-A734-4D0D-B017-DB2259FB8EBA}"/>
    <cellStyle name="20% - Accent4 4 2 3 4 3" xfId="22782" xr:uid="{F0CC155F-2F4C-4C9E-B3AC-043B7818F5A6}"/>
    <cellStyle name="20% - Accent4 4 2 3 5" xfId="27783" xr:uid="{6544CF51-0DC4-4FB3-A1D9-3CB510ECFBB2}"/>
    <cellStyle name="20% - Accent4 4 2 3 5 2" xfId="20083" xr:uid="{287B6460-DA58-4638-BCD6-908DE21A8097}"/>
    <cellStyle name="20% - Accent4 4 2 3 6" xfId="17634" xr:uid="{C4E84F7E-9386-4536-A91D-A945252B5C59}"/>
    <cellStyle name="20% - Accent4 4 2 4" xfId="19295" xr:uid="{D30AB0A7-FBFE-422E-8F2E-03AD88D0B6F4}"/>
    <cellStyle name="20% - Accent4 4 2 4 2" xfId="32944" xr:uid="{592134D3-9471-4925-AC38-7DF774C51FCB}"/>
    <cellStyle name="20% - Accent4 4 2 4 2 2" xfId="23046" xr:uid="{A8FB0EB8-14CD-4C2A-8317-7071FCA80A32}"/>
    <cellStyle name="20% - Accent4 4 2 4 2 2 2" xfId="10239" xr:uid="{D1EAD6F7-3587-4975-8A0C-C2FBF1AAB186}"/>
    <cellStyle name="20% - Accent4 4 2 4 2 2 2 2" xfId="14552" xr:uid="{F042C370-9D04-4BD9-AECA-5572FABDEE60}"/>
    <cellStyle name="20% - Accent4 4 2 4 2 2 3" xfId="28865" xr:uid="{E1B1B39C-059A-4939-A128-B2B7585DAB0D}"/>
    <cellStyle name="20% - Accent4 4 2 4 2 3" xfId="23125" xr:uid="{B26D565C-C317-42D4-96A8-C4DD8AB411E8}"/>
    <cellStyle name="20% - Accent4 4 2 4 2 3 2" xfId="25613" xr:uid="{C9393CEB-9D3C-4078-98B6-3A9EB1CF4AB6}"/>
    <cellStyle name="20% - Accent4 4 2 4 2 4" xfId="25611" xr:uid="{AC370BC1-8B66-4A64-827B-26F3E0527E00}"/>
    <cellStyle name="20% - Accent4 4 2 4 3" xfId="32939" xr:uid="{079CB323-3DE9-4A54-AE1F-4B531B0DBABD}"/>
    <cellStyle name="20% - Accent4 4 2 4 3 2" xfId="24258" xr:uid="{C9545725-E2EB-4CEF-A905-D66B07C61831}"/>
    <cellStyle name="20% - Accent4 4 2 4 3 2 2" xfId="25603" xr:uid="{E150AC47-E6DD-40F8-842F-0BEBE164ABDE}"/>
    <cellStyle name="20% - Accent4 4 2 4 3 3" xfId="25599" xr:uid="{929C437D-39B1-4CF4-B11E-537EBAF4138F}"/>
    <cellStyle name="20% - Accent4 4 2 4 4" xfId="33095" xr:uid="{EDADC35A-9156-4142-BA7E-3BC37351968E}"/>
    <cellStyle name="20% - Accent4 4 2 4 4 2" xfId="27619" xr:uid="{8536F5B3-9A70-4C3E-83C4-2FFA0CF21355}"/>
    <cellStyle name="20% - Accent4 4 2 4 5" xfId="21708" xr:uid="{156EA244-952C-4CFF-8858-C541CABC1C8D}"/>
    <cellStyle name="20% - Accent4 4 2 5" xfId="22776" xr:uid="{B313660A-E79A-41A4-9A02-EFD308CB15DA}"/>
    <cellStyle name="20% - Accent4 4 2 5 2" xfId="24215" xr:uid="{3A18E42A-9992-42D8-9B5D-59346944F820}"/>
    <cellStyle name="20% - Accent4 4 2 5 2 2" xfId="34333" xr:uid="{B01C0187-43D0-4A05-8177-8E4556555EA8}"/>
    <cellStyle name="20% - Accent4 4 2 5 2 2 2" xfId="30751" xr:uid="{5BD71B6F-0EE7-49E1-9533-B567EEF92317}"/>
    <cellStyle name="20% - Accent4 4 2 5 2 3" xfId="25511" xr:uid="{6B2E741B-1123-4874-87DD-3B98514E3DC7}"/>
    <cellStyle name="20% - Accent4 4 2 5 3" xfId="24209" xr:uid="{CE9A36BD-BE9F-4BE5-9AED-A3D5947C39BC}"/>
    <cellStyle name="20% - Accent4 4 2 5 3 2" xfId="25502" xr:uid="{8569F108-A49B-4BBA-8231-60CF91DFCCDB}"/>
    <cellStyle name="20% - Accent4 4 2 5 4" xfId="23157" xr:uid="{259B2D7B-AF19-4210-9B3C-8CA662623425}"/>
    <cellStyle name="20% - Accent4 4 2 6" xfId="30463" xr:uid="{B9420CA5-3462-41E1-BDB7-59E60E749DD6}"/>
    <cellStyle name="20% - Accent4 4 2 6 2" xfId="24202" xr:uid="{AD859611-49D2-451C-98C8-DE0B82A7BC34}"/>
    <cellStyle name="20% - Accent4 4 2 6 2 2" xfId="26728" xr:uid="{BC2C8553-9D99-44F0-95FE-7E0DC6598748}"/>
    <cellStyle name="20% - Accent4 4 2 6 3" xfId="8650" xr:uid="{DFC39E48-8D70-47F8-BD6D-FD90DADFDA79}"/>
    <cellStyle name="20% - Accent4 4 2 7" xfId="7879" xr:uid="{264A5D8E-C6FD-49D7-B59A-B5D8F70E876E}"/>
    <cellStyle name="20% - Accent4 4 2 7 2" xfId="26692" xr:uid="{5BE097C9-BF86-4791-A263-23D3564D4520}"/>
    <cellStyle name="20% - Accent4 4 2 8" xfId="7873" xr:uid="{5CFE2DE9-A101-423F-8E4C-BD25A7E669A1}"/>
    <cellStyle name="20% - Accent4 4 2 9" xfId="34568" xr:uid="{B78DFB71-FEB9-4587-85EE-98876F3E53C7}"/>
    <cellStyle name="20% - Accent4 4 3" xfId="22770" xr:uid="{276D7936-577A-4FCB-A159-710E93FEFC1B}"/>
    <cellStyle name="20% - Accent4 4 3 2" xfId="29858" xr:uid="{AE5D20F7-B5EE-42F7-A26D-0F5DC2FFF3F4}"/>
    <cellStyle name="20% - Accent4 4 3 2 2" xfId="34347" xr:uid="{E0B50A08-0D8E-4FD9-B1D3-94DBC5752868}"/>
    <cellStyle name="20% - Accent4 4 3 2 2 2" xfId="22767" xr:uid="{2A93EDD3-57AD-432B-896D-56CEC91D8864}"/>
    <cellStyle name="20% - Accent4 4 3 2 2 2 2" xfId="22763" xr:uid="{007D5BED-0ADB-43AD-AA30-E1B9F3AA83E6}"/>
    <cellStyle name="20% - Accent4 4 3 2 2 2 2 2" xfId="22762" xr:uid="{01B866E5-D9CB-4AD1-95E4-1B7811879943}"/>
    <cellStyle name="20% - Accent4 4 3 2 2 2 2 2 2" xfId="22761" xr:uid="{75A474EA-7EE4-4635-A430-E463E355D3A1}"/>
    <cellStyle name="20% - Accent4 4 3 2 2 2 2 3" xfId="15772" xr:uid="{FCD5887A-B8B2-4784-AD7D-02141380F96D}"/>
    <cellStyle name="20% - Accent4 4 3 2 2 2 3" xfId="20923" xr:uid="{87411211-2297-45C0-AD40-5D4888FBE057}"/>
    <cellStyle name="20% - Accent4 4 3 2 2 2 3 2" xfId="20392" xr:uid="{555735E6-95CB-4110-A2F7-6183EC54BF8F}"/>
    <cellStyle name="20% - Accent4 4 3 2 2 2 4" xfId="22815" xr:uid="{2B23B109-EE5A-43E0-A495-669C34957947}"/>
    <cellStyle name="20% - Accent4 4 3 2 2 3" xfId="22757" xr:uid="{8F120FD4-93E0-4F1B-B9DD-CCDAD41AA559}"/>
    <cellStyle name="20% - Accent4 4 3 2 2 3 2" xfId="29196" xr:uid="{29718763-FDD5-4343-9EC2-E2C678D757D6}"/>
    <cellStyle name="20% - Accent4 4 3 2 2 3 2 2" xfId="22756" xr:uid="{5C7D8EA4-8050-4F10-A499-B3AB0E8CDE91}"/>
    <cellStyle name="20% - Accent4 4 3 2 2 3 3" xfId="25293" xr:uid="{67D4B08F-4114-4F60-9E76-DB68EFE483C3}"/>
    <cellStyle name="20% - Accent4 4 3 2 2 4" xfId="24990" xr:uid="{C8F0864A-D59E-48A5-83D6-A9A7431D2078}"/>
    <cellStyle name="20% - Accent4 4 3 2 2 4 2" xfId="22753" xr:uid="{2788D0E7-B73B-476E-A561-76BE83FE977D}"/>
    <cellStyle name="20% - Accent4 4 3 2 2 5" xfId="29610" xr:uid="{D44953EB-5344-4DB6-A972-F430506611F8}"/>
    <cellStyle name="20% - Accent4 4 3 2 3" xfId="30915" xr:uid="{6E5CEE1B-9A82-488F-AFBF-48F31C43360C}"/>
    <cellStyle name="20% - Accent4 4 3 2 3 2" xfId="25788" xr:uid="{1195C223-5E40-4E61-850D-1B1F3ED07E46}"/>
    <cellStyle name="20% - Accent4 4 3 2 3 2 2" xfId="22749" xr:uid="{5199F9E6-8342-4AA6-9FCC-5969A4B68823}"/>
    <cellStyle name="20% - Accent4 4 3 2 3 2 2 2" xfId="22748" xr:uid="{0FADFBFC-0EEB-4807-89FC-1CE357F92A5B}"/>
    <cellStyle name="20% - Accent4 4 3 2 3 2 3" xfId="12407" xr:uid="{613667AC-E1BA-4A7C-9F3B-5CAF24C37B0C}"/>
    <cellStyle name="20% - Accent4 4 3 2 3 3" xfId="21948" xr:uid="{D313DBCC-C435-4D1E-BB1F-054A2C90FAA3}"/>
    <cellStyle name="20% - Accent4 4 3 2 3 3 2" xfId="22746" xr:uid="{FF9181A6-8489-42EF-B0DB-DBEE630AAACD}"/>
    <cellStyle name="20% - Accent4 4 3 2 3 4" xfId="22745" xr:uid="{05C1B610-9AB2-4EA1-B269-349BB40BED4F}"/>
    <cellStyle name="20% - Accent4 4 3 2 4" xfId="32447" xr:uid="{CC9B8EB6-7635-4786-BE58-1923FB5CFB47}"/>
    <cellStyle name="20% - Accent4 4 3 2 4 2" xfId="12746" xr:uid="{28254ABE-1AFB-414B-9DD9-A4212BBC2B2A}"/>
    <cellStyle name="20% - Accent4 4 3 2 4 2 2" xfId="22744" xr:uid="{1E03EFE0-F4A2-4391-9C99-9377B0440560}"/>
    <cellStyle name="20% - Accent4 4 3 2 4 3" xfId="22742" xr:uid="{AB504E44-F5D3-4A3C-A858-7A32385138E5}"/>
    <cellStyle name="20% - Accent4 4 3 2 5" xfId="27744" xr:uid="{65BCFDD9-90F7-4ACA-970B-DB2850A15B44}"/>
    <cellStyle name="20% - Accent4 4 3 2 5 2" xfId="17575" xr:uid="{4832A1C3-DBDE-4C2D-A4D9-6CEE0B4254A1}"/>
    <cellStyle name="20% - Accent4 4 3 2 6" xfId="17557" xr:uid="{C5B19C3D-EDED-4AA7-9188-BDC047C25C64}"/>
    <cellStyle name="20% - Accent4 4 3 3" xfId="19293" xr:uid="{00609CE3-A999-418E-95EE-9A2EB231E7A9}"/>
    <cellStyle name="20% - Accent4 4 3 3 2" xfId="22741" xr:uid="{BB37115D-DF02-497E-AD0E-6B809C415F3B}"/>
    <cellStyle name="20% - Accent4 4 3 3 2 2" xfId="13350" xr:uid="{6161BB4D-7D34-4F87-B1E5-0EEA8A2AB83F}"/>
    <cellStyle name="20% - Accent4 4 3 3 2 2 2" xfId="22737" xr:uid="{D189FA42-4C40-461F-BD2D-58B96F01DFFD}"/>
    <cellStyle name="20% - Accent4 4 3 3 2 2 2 2" xfId="14257" xr:uid="{74440E2C-53D1-4570-86E4-B48DB697D7AE}"/>
    <cellStyle name="20% - Accent4 4 3 3 2 2 3" xfId="27204" xr:uid="{7DB8DE4E-0F9C-4E16-A763-816847A266FF}"/>
    <cellStyle name="20% - Accent4 4 3 3 2 3" xfId="13346" xr:uid="{3239DC1D-8887-4BBE-807A-B6CD9506EE37}"/>
    <cellStyle name="20% - Accent4 4 3 3 2 3 2" xfId="22727" xr:uid="{9E7CD5A6-74B3-453C-916C-9919470FA56D}"/>
    <cellStyle name="20% - Accent4 4 3 3 2 4" xfId="22722" xr:uid="{287CFDD0-9620-43AE-B276-F32B2837FB3A}"/>
    <cellStyle name="20% - Accent4 4 3 3 3" xfId="32957" xr:uid="{D6C86228-D4A4-4D3C-999F-22118699A6B4}"/>
    <cellStyle name="20% - Accent4 4 3 3 3 2" xfId="13335" xr:uid="{3EC2C781-43B2-437C-8298-A35FBF739184}"/>
    <cellStyle name="20% - Accent4 4 3 3 3 2 2" xfId="22721" xr:uid="{6B07235F-FAE4-4267-9993-D6E38DF6D66A}"/>
    <cellStyle name="20% - Accent4 4 3 3 3 3" xfId="22720" xr:uid="{33C0760D-2C74-48D7-84FC-81A02CA516F4}"/>
    <cellStyle name="20% - Accent4 4 3 3 4" xfId="32690" xr:uid="{572F9DA6-3A60-4FED-916D-9798778065C5}"/>
    <cellStyle name="20% - Accent4 4 3 3 4 2" xfId="22719" xr:uid="{4C6876DD-6CB0-4C57-84B3-A03A6790C06F}"/>
    <cellStyle name="20% - Accent4 4 3 3 5" xfId="17529" xr:uid="{8866D9A5-B143-4696-9C02-701C57F6982C}"/>
    <cellStyle name="20% - Accent4 4 3 4" xfId="22716" xr:uid="{B0AE0465-5E4E-4817-AC7C-4665B6573067}"/>
    <cellStyle name="20% - Accent4 4 3 4 2" xfId="32900" xr:uid="{437D1E13-7D55-4C74-8905-1E3E9F69A8BD}"/>
    <cellStyle name="20% - Accent4 4 3 4 2 2" xfId="13316" xr:uid="{ACEA8DA5-CC1A-4FF8-9020-85805114185B}"/>
    <cellStyle name="20% - Accent4 4 3 4 2 2 2" xfId="25295" xr:uid="{94B62E7C-CB3B-420A-A499-80D4071F2603}"/>
    <cellStyle name="20% - Accent4 4 3 4 2 3" xfId="28621" xr:uid="{6A3392E0-1FC0-47F5-9FCC-F25E3F102371}"/>
    <cellStyle name="20% - Accent4 4 3 4 3" xfId="32673" xr:uid="{08FEF68C-F0DA-4842-913D-BD79F6C2F63D}"/>
    <cellStyle name="20% - Accent4 4 3 4 3 2" xfId="25290" xr:uid="{FA4E8795-DF8C-4F41-A27E-647BC8E85002}"/>
    <cellStyle name="20% - Accent4 4 3 4 4" xfId="25288" xr:uid="{5C12910C-BA05-4BF4-9BB6-0C9BD4856AED}"/>
    <cellStyle name="20% - Accent4 4 3 5" xfId="22712" xr:uid="{06230A85-1D13-4C42-A6CF-DB7E52DA9CE0}"/>
    <cellStyle name="20% - Accent4 4 3 5 2" xfId="32459" xr:uid="{73FEAC4D-E106-4AC7-B305-DE55A984FE12}"/>
    <cellStyle name="20% - Accent4 4 3 5 2 2" xfId="25216" xr:uid="{D7DF0E68-15DF-4A5D-96BC-C491172C1DB9}"/>
    <cellStyle name="20% - Accent4 4 3 5 3" xfId="33316" xr:uid="{5664A82D-A692-460E-9F0B-D1944F714582}"/>
    <cellStyle name="20% - Accent4 4 3 6" xfId="21388" xr:uid="{7EF75E3E-219D-4F3A-B608-2A9D3E5EAA00}"/>
    <cellStyle name="20% - Accent4 4 3 6 2" xfId="33227" xr:uid="{D5F880E1-857A-43EF-97AB-888FA4B0BECA}"/>
    <cellStyle name="20% - Accent4 4 3 7" xfId="7869" xr:uid="{B684C0A7-6A61-4779-9FFB-47666966232B}"/>
    <cellStyle name="20% - Accent4 4 3 8" xfId="34788" xr:uid="{52FDAC0D-BF53-4938-ADF3-D74E4C22F622}"/>
    <cellStyle name="20% - Accent4 4 4" xfId="22694" xr:uid="{4536A14A-4B10-451A-A041-5FD54C70CA16}"/>
    <cellStyle name="20% - Accent4 4 4 2" xfId="8933" xr:uid="{DD1AC4C7-595E-46D7-9359-FCCC65D1A6D2}"/>
    <cellStyle name="20% - Accent4 4 4 2 2" xfId="22691" xr:uid="{AEE6BC07-879C-44C4-B5E0-43B98D23F92D}"/>
    <cellStyle name="20% - Accent4 4 4 2 2 2" xfId="22690" xr:uid="{0360060D-AAE0-4BB3-B63E-93329DD709B7}"/>
    <cellStyle name="20% - Accent4 4 4 2 2 2 2" xfId="22715" xr:uid="{89D27E21-2B0D-4628-8DFD-5DBAD7408DB7}"/>
    <cellStyle name="20% - Accent4 4 4 2 2 2 2 2" xfId="22684" xr:uid="{8C204216-D203-41B0-A367-62EBBFA81A33}"/>
    <cellStyle name="20% - Accent4 4 4 2 2 2 3" xfId="22708" xr:uid="{8B803CBE-1E5C-47C4-807A-B424EE56416B}"/>
    <cellStyle name="20% - Accent4 4 4 2 2 3" xfId="19024" xr:uid="{1EB62C93-A038-43D4-B1E9-72AE6AE00D3C}"/>
    <cellStyle name="20% - Accent4 4 4 2 2 3 2" xfId="22680" xr:uid="{F9562D19-CAE7-441E-97CF-D9E67735F101}"/>
    <cellStyle name="20% - Accent4 4 4 2 2 4" xfId="24812" xr:uid="{C1AAD433-A10F-4447-A914-B506B5F53F1D}"/>
    <cellStyle name="20% - Accent4 4 4 2 3" xfId="18444" xr:uid="{3AD1144D-0BA7-4CBC-AF15-63511A7F2F49}"/>
    <cellStyle name="20% - Accent4 4 4 2 3 2" xfId="21934" xr:uid="{9012EBB5-DC97-46E8-BD95-D821CBB4E1AF}"/>
    <cellStyle name="20% - Accent4 4 4 2 3 2 2" xfId="22677" xr:uid="{D17907EC-0472-44D9-A7ED-14F6898D6535}"/>
    <cellStyle name="20% - Accent4 4 4 2 3 3" xfId="22674" xr:uid="{C2F4F835-ACAE-4C3F-BDD5-FA34B6429986}"/>
    <cellStyle name="20% - Accent4 4 4 2 4" xfId="32556" xr:uid="{91574DBA-A3EE-44F9-B86C-CC151B360085}"/>
    <cellStyle name="20% - Accent4 4 4 2 4 2" xfId="22672" xr:uid="{4B95E1B0-C463-4301-BCA0-14A4384779F9}"/>
    <cellStyle name="20% - Accent4 4 4 2 5" xfId="17479" xr:uid="{5DD70450-EF4A-4285-8D3E-BB4782008E14}"/>
    <cellStyle name="20% - Accent4 4 4 3" xfId="8931" xr:uid="{D3FDF744-A0AE-47FE-9443-A77388CF10EB}"/>
    <cellStyle name="20% - Accent4 4 4 3 2" xfId="22670" xr:uid="{82233D1C-C830-4F75-8B37-41C44DF5F2F4}"/>
    <cellStyle name="20% - Accent4 4 4 3 2 2" xfId="13278" xr:uid="{4F61DEAF-AF30-4811-89EB-B9EBAE3AC22D}"/>
    <cellStyle name="20% - Accent4 4 4 3 2 2 2" xfId="22666" xr:uid="{28BF456D-40EC-476A-B156-D179748DA973}"/>
    <cellStyle name="20% - Accent4 4 4 3 2 3" xfId="7679" xr:uid="{7AA48DA1-D059-406A-8C59-C5F851306EB1}"/>
    <cellStyle name="20% - Accent4 4 4 3 3" xfId="31287" xr:uid="{BDAADEDC-BF8B-4ED2-A1BC-556353A4F2F7}"/>
    <cellStyle name="20% - Accent4 4 4 3 3 2" xfId="22655" xr:uid="{B58C3D10-98CD-4ECF-91B2-3DF9D80F8F81}"/>
    <cellStyle name="20% - Accent4 4 4 3 4" xfId="22653" xr:uid="{CA2DE4E8-311E-43A0-96D8-0C823C1ED0B9}"/>
    <cellStyle name="20% - Accent4 4 4 4" xfId="22679" xr:uid="{DE050EB6-AE98-4E40-91F4-7B81187DE410}"/>
    <cellStyle name="20% - Accent4 4 4 4 2" xfId="31034" xr:uid="{073CD37F-C8A5-42FA-9867-B60CCA826F88}"/>
    <cellStyle name="20% - Accent4 4 4 4 2 2" xfId="33306" xr:uid="{9399E4EB-301C-4F7E-98BF-40941768F721}"/>
    <cellStyle name="20% - Accent4 4 4 4 3" xfId="32788" xr:uid="{638DFCB3-A42E-4018-B4EE-9533BAC33998}"/>
    <cellStyle name="20% - Accent4 4 4 5" xfId="22647" xr:uid="{0B6D6AAB-63C5-44C0-8A70-35EC47FD4A1B}"/>
    <cellStyle name="20% - Accent4 4 4 5 2" xfId="33113" xr:uid="{5F007BBD-9536-40F8-A16B-415AFC0619E9}"/>
    <cellStyle name="20% - Accent4 4 4 6" xfId="14945" xr:uid="{82F5B730-3924-4A91-8B5F-DD4B8B3A30E9}"/>
    <cellStyle name="20% - Accent4 4 4 7" xfId="34987" xr:uid="{F132E60C-3453-4A4E-94DE-0EE8AE41BE70}"/>
    <cellStyle name="20% - Accent4 4 5" xfId="8306" xr:uid="{F9FC538F-5933-4A34-A771-1333C0BA4C8B}"/>
    <cellStyle name="20% - Accent4 4 5 2" xfId="8928" xr:uid="{E6662105-DF27-47DB-9C0D-FC4A51A04D10}"/>
    <cellStyle name="20% - Accent4 4 5 2 2" xfId="19450" xr:uid="{EEBA3F2E-C229-497B-AECE-FF286A177E2E}"/>
    <cellStyle name="20% - Accent4 4 5 2 2 2" xfId="25338" xr:uid="{6528118F-644B-4B7D-9ACB-4AE7FC08EA05}"/>
    <cellStyle name="20% - Accent4 4 5 2 2 2 2" xfId="25333" xr:uid="{76521B69-4913-44B4-BA3C-8D639B5A3ED2}"/>
    <cellStyle name="20% - Accent4 4 5 2 2 3" xfId="25329" xr:uid="{633AA679-CFD0-4611-824B-A7735BCC3BEF}"/>
    <cellStyle name="20% - Accent4 4 5 2 3" xfId="31227" xr:uid="{E0FFFE50-C3B2-43F5-AE70-852BDE469004}"/>
    <cellStyle name="20% - Accent4 4 5 2 3 2" xfId="25317" xr:uid="{4266EB21-51F4-4B0A-B7BA-9D0FC46F7E42}"/>
    <cellStyle name="20% - Accent4 4 5 2 4" xfId="22641" xr:uid="{B3F3D8BA-712E-4E8A-AE94-21AF26E8C024}"/>
    <cellStyle name="20% - Accent4 4 5 3" xfId="22640" xr:uid="{417B65ED-8E13-427C-B6D0-F14FD3843FCD}"/>
    <cellStyle name="20% - Accent4 4 5 3 2" xfId="22638" xr:uid="{917BD4BC-CED0-462C-A184-553EB8344286}"/>
    <cellStyle name="20% - Accent4 4 5 3 2 2" xfId="25304" xr:uid="{B8862142-EEE4-47BC-9651-8690F0C970A2}"/>
    <cellStyle name="20% - Accent4 4 5 3 3" xfId="17740" xr:uid="{8D150B9D-C209-40BE-A989-A7E01D0D9972}"/>
    <cellStyle name="20% - Accent4 4 5 4" xfId="22633" xr:uid="{48233E2B-6C9D-4FFB-AC90-BA454E259FA2}"/>
    <cellStyle name="20% - Accent4 4 5 4 2" xfId="18814" xr:uid="{752200A5-BAD6-466F-9368-2769B6D95620}"/>
    <cellStyle name="20% - Accent4 4 5 5" xfId="22632" xr:uid="{01B4FF96-E4B3-44DF-9B10-08FE8C7504B7}"/>
    <cellStyle name="20% - Accent4 4 5 6" xfId="35192" xr:uid="{B65749C9-8B17-46AE-8214-C785DD6FC343}"/>
    <cellStyle name="20% - Accent4 4 6" xfId="22630" xr:uid="{F224079E-6569-489D-A855-5964FBB447D8}"/>
    <cellStyle name="20% - Accent4 4 6 2" xfId="22628" xr:uid="{EAEC8F96-1F69-4DAD-9792-0A4A8EFADAA3}"/>
    <cellStyle name="20% - Accent4 4 6 2 2" xfId="22626" xr:uid="{39BF0AC1-BFF1-4AA3-8864-457DD1F521AE}"/>
    <cellStyle name="20% - Accent4 4 6 2 2 2" xfId="25236" xr:uid="{D98AAF5D-E4F9-48F9-A8C7-0E2947FC25B3}"/>
    <cellStyle name="20% - Accent4 4 6 2 3" xfId="21060" xr:uid="{3FCECA75-ED2A-41D7-AE82-F9ADFF379A03}"/>
    <cellStyle name="20% - Accent4 4 6 3" xfId="29675" xr:uid="{B85FC39E-77F9-489D-B4C3-B776C131DD63}"/>
    <cellStyle name="20% - Accent4 4 6 3 2" xfId="17672" xr:uid="{957B57FE-600D-482E-A920-B0940916D4D6}"/>
    <cellStyle name="20% - Accent4 4 6 4" xfId="29670" xr:uid="{B3993F17-0E2A-45FA-8D95-9F6CBC661952}"/>
    <cellStyle name="20% - Accent4 4 6 5" xfId="35421" xr:uid="{7ADAFC29-9924-4A15-8F55-449ACF6FCA7F}"/>
    <cellStyle name="20% - Accent4 4 7" xfId="22622" xr:uid="{D2FE71A7-2D4C-4CA9-B2BA-321CBD6CA8B0}"/>
    <cellStyle name="20% - Accent4 4 7 2" xfId="22617" xr:uid="{8C87827E-8618-4E74-9793-9DED5ED7E714}"/>
    <cellStyle name="20% - Accent4 4 7 2 2" xfId="24319" xr:uid="{E0C8BBA8-91DC-4313-8155-9843A1199C87}"/>
    <cellStyle name="20% - Accent4 4 7 3" xfId="29661" xr:uid="{1FB53475-E414-466A-BE42-386154EF133F}"/>
    <cellStyle name="20% - Accent4 4 7 4" xfId="36293" xr:uid="{10752708-BAD4-4B6C-933C-295D6C6BD30F}"/>
    <cellStyle name="20% - Accent4 4 8" xfId="22615" xr:uid="{1190AC05-5004-48B7-82AC-509447AC822B}"/>
    <cellStyle name="20% - Accent4 4 8 2" xfId="31595" xr:uid="{4B96E7F6-E5AA-40F0-9782-BFF6223F4309}"/>
    <cellStyle name="20% - Accent4 4 8 3" xfId="36579" xr:uid="{6D251AC3-F1D4-48ED-9141-C3D62C3BC139}"/>
    <cellStyle name="20% - Accent4 4 9" xfId="31795" xr:uid="{6825FD1B-E824-4342-B146-E226DFA077D8}"/>
    <cellStyle name="20% - Accent4 4 9 2" xfId="37464" xr:uid="{B4758E11-E19E-47EF-B0BC-3A2DD876C1DF}"/>
    <cellStyle name="20% - Accent4 40" xfId="36099" xr:uid="{617D8764-F1B8-4B33-98D1-3F3778EB62B8}"/>
    <cellStyle name="20% - Accent4 40 2" xfId="37268" xr:uid="{15B9757D-78BD-45DF-9DCF-AA44CF25AC23}"/>
    <cellStyle name="20% - Accent4 40 3" xfId="38166" xr:uid="{C4C08AB0-4754-40FE-B74D-755C2FC6461F}"/>
    <cellStyle name="20% - Accent4 41" xfId="36119" xr:uid="{A1D6F4CF-AF51-423E-8C0F-3B9DD07F4045}"/>
    <cellStyle name="20% - Accent4 41 2" xfId="37288" xr:uid="{0AEA7C60-1170-41F4-89D6-B62D99D62CF8}"/>
    <cellStyle name="20% - Accent4 41 3" xfId="38186" xr:uid="{F6F93031-B0EB-40E1-B5C7-A2DB89CCD123}"/>
    <cellStyle name="20% - Accent4 42" xfId="36139" xr:uid="{FD8D6D3E-51EE-49A6-9973-44B8C38FDF24}"/>
    <cellStyle name="20% - Accent4 42 2" xfId="37308" xr:uid="{954C03CA-125C-4E9E-8898-811B6A3B2C16}"/>
    <cellStyle name="20% - Accent4 42 3" xfId="38206" xr:uid="{42D523E9-0FE4-4B6E-960F-4C43C50151CF}"/>
    <cellStyle name="20% - Accent4 43" xfId="36159" xr:uid="{3622CCA8-119D-4F1F-8A19-FC3469044976}"/>
    <cellStyle name="20% - Accent4 43 2" xfId="37328" xr:uid="{D155DDEE-E96B-477C-89DA-82814E273587}"/>
    <cellStyle name="20% - Accent4 43 3" xfId="38226" xr:uid="{4077FB49-7C1E-4BA7-A695-F59E70020868}"/>
    <cellStyle name="20% - Accent4 44" xfId="36179" xr:uid="{2820F787-C16F-41B6-B7DC-2F4615BD9157}"/>
    <cellStyle name="20% - Accent4 44 2" xfId="37348" xr:uid="{94012247-7C68-4769-B7E8-F76F79223CDC}"/>
    <cellStyle name="20% - Accent4 44 3" xfId="38246" xr:uid="{31DCBAC1-D3FE-4ECF-A233-8119CEC193A2}"/>
    <cellStyle name="20% - Accent4 45" xfId="36199" xr:uid="{3C5CB698-DD86-43FE-86B8-9555F21E475D}"/>
    <cellStyle name="20% - Accent4 45 2" xfId="37368" xr:uid="{C4A56050-2840-412D-BA44-8AC1A1698FC5}"/>
    <cellStyle name="20% - Accent4 45 3" xfId="38266" xr:uid="{3A59D09A-182D-4199-86E5-2E31860DB673}"/>
    <cellStyle name="20% - Accent4 46" xfId="36219" xr:uid="{359B79C7-9AAA-47D3-8E13-07655EE2789D}"/>
    <cellStyle name="20% - Accent4 46 2" xfId="37386" xr:uid="{6D37E21C-59B3-4CD7-AE7E-FBF9875D1371}"/>
    <cellStyle name="20% - Accent4 46 3" xfId="38286" xr:uid="{4AA40BB1-21AD-4789-A595-937DDB092991}"/>
    <cellStyle name="20% - Accent4 47" xfId="36520" xr:uid="{0C02FF61-FAF6-400E-83A9-6E51D5C7E841}"/>
    <cellStyle name="20% - Accent4 48" xfId="37405" xr:uid="{5EFACB42-0093-46E2-B354-B3484D547F8B}"/>
    <cellStyle name="20% - Accent4 5" xfId="268" xr:uid="{8ED1C7A8-1F88-4B12-AF2B-21ACA2C86E95}"/>
    <cellStyle name="20% - Accent4 5 10" xfId="19224" xr:uid="{2336CBCD-9154-4D35-BCC2-19674B77F451}"/>
    <cellStyle name="20% - Accent4 5 2" xfId="19220" xr:uid="{B779036A-897E-453C-8E22-FC1D27271FB8}"/>
    <cellStyle name="20% - Accent4 5 2 2" xfId="24143" xr:uid="{1580D8AA-0090-4469-8F22-1AE0901F49A4}"/>
    <cellStyle name="20% - Accent4 5 2 2 2" xfId="22611" xr:uid="{19DF2B1C-B0FC-41DF-9E4A-945933132861}"/>
    <cellStyle name="20% - Accent4 5 2 2 2 2" xfId="26948" xr:uid="{E1915D50-A5D4-47E2-87F6-94D4AB8FBC03}"/>
    <cellStyle name="20% - Accent4 5 2 2 2 2 2" xfId="20234" xr:uid="{94AE0036-B16B-4848-BD49-B8AFE153656B}"/>
    <cellStyle name="20% - Accent4 5 2 2 2 2 2 2" xfId="15330" xr:uid="{D228BBF4-3368-4358-BDB4-D9AF2896EB74}"/>
    <cellStyle name="20% - Accent4 5 2 2 2 2 2 2 2" xfId="22606" xr:uid="{83E6CDC4-97D0-48AD-817C-02B9A9DD2C97}"/>
    <cellStyle name="20% - Accent4 5 2 2 2 2 2 3" xfId="22605" xr:uid="{809A5BDB-FFD1-41F5-B316-5D5A0A169CA9}"/>
    <cellStyle name="20% - Accent4 5 2 2 2 2 3" xfId="19687" xr:uid="{CC46AD3A-835C-47A1-A675-91BD79E1FE3E}"/>
    <cellStyle name="20% - Accent4 5 2 2 2 2 3 2" xfId="17685" xr:uid="{6EB84808-A292-4399-ABFC-A3F864866C2F}"/>
    <cellStyle name="20% - Accent4 5 2 2 2 2 4" xfId="19663" xr:uid="{98627462-5186-4D43-ABC0-ED6F76B43E7D}"/>
    <cellStyle name="20% - Accent4 5 2 2 2 3" xfId="18942" xr:uid="{BF9EBC5A-11CE-4F8C-A78A-06B8F7FEA33B}"/>
    <cellStyle name="20% - Accent4 5 2 2 2 3 2" xfId="26933" xr:uid="{D5C512A7-CE57-4A26-A396-360CE4BAFCFA}"/>
    <cellStyle name="20% - Accent4 5 2 2 2 3 2 2" xfId="7326" xr:uid="{28469D07-E606-4540-8A4C-FC33576E5F59}"/>
    <cellStyle name="20% - Accent4 5 2 2 2 3 3" xfId="26931" xr:uid="{558EAB37-142E-4649-BB9D-ED51AFB6E1A5}"/>
    <cellStyle name="20% - Accent4 5 2 2 2 4" xfId="6069" xr:uid="{78DD10EB-638F-4B54-8C2D-65EBBAB06639}"/>
    <cellStyle name="20% - Accent4 5 2 2 2 4 2" xfId="26916" xr:uid="{24624D41-0A12-45F2-A352-4B734508D2DC}"/>
    <cellStyle name="20% - Accent4 5 2 2 2 5" xfId="6066" xr:uid="{2110BD35-7205-4E00-A6CC-11A251A37C65}"/>
    <cellStyle name="20% - Accent4 5 2 2 3" xfId="5737" xr:uid="{C8BA745A-32FF-40EE-AA70-E9A55A9EFB87}"/>
    <cellStyle name="20% - Accent4 5 2 2 3 2" xfId="5734" xr:uid="{AA577710-5D55-44B9-B9C5-5C293C5BFF06}"/>
    <cellStyle name="20% - Accent4 5 2 2 3 2 2" xfId="5731" xr:uid="{B9B67D9F-CE7F-4182-94CF-ADA53EAF1D64}"/>
    <cellStyle name="20% - Accent4 5 2 2 3 2 2 2" xfId="7292" xr:uid="{55D228E3-5573-4E00-94AC-292F16D665BA}"/>
    <cellStyle name="20% - Accent4 5 2 2 3 2 3" xfId="19538" xr:uid="{781F514E-2417-47B0-A2B3-672A0C72C8D0}"/>
    <cellStyle name="20% - Accent4 5 2 2 3 3" xfId="5728" xr:uid="{427FF457-E7F5-4966-BFD3-FBE17B372FDC}"/>
    <cellStyle name="20% - Accent4 5 2 2 3 3 2" xfId="26597" xr:uid="{395CAB73-83D2-4D82-A859-C20731D8CCAB}"/>
    <cellStyle name="20% - Accent4 5 2 2 3 4" xfId="6064" xr:uid="{92B52E6F-3688-4933-A976-092348F45A0B}"/>
    <cellStyle name="20% - Accent4 5 2 2 4" xfId="8562" xr:uid="{51F899DE-04BA-4E1C-B3A3-3D8F1A378969}"/>
    <cellStyle name="20% - Accent4 5 2 2 4 2" xfId="8557" xr:uid="{0092D9BC-5451-49C0-BE6F-E8352DEB2182}"/>
    <cellStyle name="20% - Accent4 5 2 2 4 2 2" xfId="29080" xr:uid="{06142372-9905-43EB-85D4-E1DCCFE29374}"/>
    <cellStyle name="20% - Accent4 5 2 2 4 3" xfId="26496" xr:uid="{35257170-DE1B-44C5-81FB-57002E5C5F4E}"/>
    <cellStyle name="20% - Accent4 5 2 2 5" xfId="8517" xr:uid="{789B9DF5-288E-48D5-B984-3BE495EC6081}"/>
    <cellStyle name="20% - Accent4 5 2 2 5 2" xfId="26453" xr:uid="{892507EB-BE45-4EC3-AE56-4E209609B4C3}"/>
    <cellStyle name="20% - Accent4 5 2 2 6" xfId="22597" xr:uid="{5CE5B438-427B-4703-8E26-85F05820B41D}"/>
    <cellStyle name="20% - Accent4 5 2 3" xfId="24135" xr:uid="{3CADBB4F-84BE-4A6E-B109-0037079E3289}"/>
    <cellStyle name="20% - Accent4 5 2 3 2" xfId="22593" xr:uid="{09EF399C-31C2-4768-9272-B8ABAD80ADBE}"/>
    <cellStyle name="20% - Accent4 5 2 3 2 2" xfId="25688" xr:uid="{00001100-5BE7-4348-A9EB-1705AD7FFBAA}"/>
    <cellStyle name="20% - Accent4 5 2 3 2 2 2" xfId="25967" xr:uid="{403A7EA6-5690-4DF3-AC13-EE18DACAD95B}"/>
    <cellStyle name="20% - Accent4 5 2 3 2 2 2 2" xfId="7224" xr:uid="{880C482E-B597-4146-A4C6-9D36B1B331E3}"/>
    <cellStyle name="20% - Accent4 5 2 3 2 2 3" xfId="19300" xr:uid="{D56155FC-4AD5-4168-87EF-C164B49C8518}"/>
    <cellStyle name="20% - Accent4 5 2 3 2 3" xfId="23013" xr:uid="{FC80EE01-61F6-4782-83BD-EA66984FBA5C}"/>
    <cellStyle name="20% - Accent4 5 2 3 2 3 2" xfId="25942" xr:uid="{65359584-18BE-4231-81FF-E9DED9A7F35B}"/>
    <cellStyle name="20% - Accent4 5 2 3 2 4" xfId="11521" xr:uid="{2F482095-2216-4A54-8750-594D60341EC4}"/>
    <cellStyle name="20% - Accent4 5 2 3 3" xfId="5726" xr:uid="{D1BD5079-427F-4F9A-9544-91BA38372D86}"/>
    <cellStyle name="20% - Accent4 5 2 3 3 2" xfId="10914" xr:uid="{567A916B-C8A8-4BA8-BD9B-EA2517C04288}"/>
    <cellStyle name="20% - Accent4 5 2 3 3 2 2" xfId="26842" xr:uid="{BD02A9ED-9AF4-41C5-8FE4-643A2012F964}"/>
    <cellStyle name="20% - Accent4 5 2 3 3 3" xfId="26815" xr:uid="{C0463A60-C993-43B1-B513-7283E467A7CD}"/>
    <cellStyle name="20% - Accent4 5 2 3 4" xfId="25412" xr:uid="{9B395AFC-4A23-45E4-98C1-BD6C3205061B}"/>
    <cellStyle name="20% - Accent4 5 2 3 4 2" xfId="26786" xr:uid="{0107B729-3C31-40CD-BFC9-452CD0457F71}"/>
    <cellStyle name="20% - Accent4 5 2 3 5" xfId="22592" xr:uid="{CC86ED1A-1A15-48EA-AFC9-35100D1F0BAC}"/>
    <cellStyle name="20% - Accent4 5 2 4" xfId="22589" xr:uid="{73A239F5-D194-40D3-BE2A-0E489EB7219C}"/>
    <cellStyle name="20% - Accent4 5 2 4 2" xfId="22774" xr:uid="{513118AD-3501-42EA-A546-B2E9766072C3}"/>
    <cellStyle name="20% - Accent4 5 2 4 2 2" xfId="33729" xr:uid="{2031620C-1A48-4B4E-9CD4-59B913A3E757}"/>
    <cellStyle name="20% - Accent4 5 2 4 2 2 2" xfId="34332" xr:uid="{1B72266E-850D-4821-9231-2ABC646B3774}"/>
    <cellStyle name="20% - Accent4 5 2 4 2 3" xfId="32772" xr:uid="{11837267-E986-4430-A1D9-00C2414CD5DB}"/>
    <cellStyle name="20% - Accent4 5 2 4 3" xfId="5724" xr:uid="{AAE23E1B-4C45-4878-87EA-CC2042471BA9}"/>
    <cellStyle name="20% - Accent4 5 2 4 3 2" xfId="20522" xr:uid="{40702CB0-6F8E-4189-A9CC-4FEF36C0F06C}"/>
    <cellStyle name="20% - Accent4 5 2 4 4" xfId="22771" xr:uid="{7FC1FFA8-7542-42DD-80AA-BB09C276C10F}"/>
    <cellStyle name="20% - Accent4 5 2 5" xfId="16597" xr:uid="{DF823AB2-F57B-4DB0-BF46-6ED19DD29222}"/>
    <cellStyle name="20% - Accent4 5 2 5 2" xfId="22704" xr:uid="{67AAEA6D-6930-4639-A531-F1530ED0B99F}"/>
    <cellStyle name="20% - Accent4 5 2 5 2 2" xfId="32877" xr:uid="{AF20BFD5-767C-46F9-BCCB-AC8199FBAC12}"/>
    <cellStyle name="20% - Accent4 5 2 5 3" xfId="22696" xr:uid="{AE1A3DC5-2CC6-4B50-BAA3-B4C92DA790AC}"/>
    <cellStyle name="20% - Accent4 5 2 6" xfId="18035" xr:uid="{CC388F62-55F5-4D7B-B35A-6FA53F841097}"/>
    <cellStyle name="20% - Accent4 5 2 6 2" xfId="22645" xr:uid="{8DD878EC-0C5A-45DB-83ED-5C2CBBE13D1F}"/>
    <cellStyle name="20% - Accent4 5 2 7" xfId="7861" xr:uid="{760E5943-6915-4C74-B78C-15A6464F3FF4}"/>
    <cellStyle name="20% - Accent4 5 2 8" xfId="34804" xr:uid="{2EB34959-986D-4E04-B16E-B45217034B15}"/>
    <cellStyle name="20% - Accent4 5 3" xfId="22578" xr:uid="{55EB2E5E-9A04-468D-82AC-F9471D7DDEAD}"/>
    <cellStyle name="20% - Accent4 5 3 2" xfId="6847" xr:uid="{DA036CAF-E659-46AF-82F5-4A6441AACCB5}"/>
    <cellStyle name="20% - Accent4 5 3 2 2" xfId="22576" xr:uid="{58E6272C-8342-4817-8249-D9C783F9C459}"/>
    <cellStyle name="20% - Accent4 5 3 2 2 2" xfId="24077" xr:uid="{0C75C564-262E-4BC5-8633-E802D8131DA7}"/>
    <cellStyle name="20% - Accent4 5 3 2 2 2 2" xfId="33258" xr:uid="{7B84218B-64A1-41F4-9B61-28D143F050C7}"/>
    <cellStyle name="20% - Accent4 5 3 2 2 2 2 2" xfId="19095" xr:uid="{4AE428D3-C33B-4576-9A52-1307423F4B17}"/>
    <cellStyle name="20% - Accent4 5 3 2 2 2 3" xfId="18839" xr:uid="{287DCAED-79DE-471E-8156-DCB201CFA831}"/>
    <cellStyle name="20% - Accent4 5 3 2 2 3" xfId="24060" xr:uid="{D050A984-FFE5-4059-8ADE-920513CA6C79}"/>
    <cellStyle name="20% - Accent4 5 3 2 2 3 2" xfId="21278" xr:uid="{7942F480-07CF-40F8-A7B7-33BAB479A555}"/>
    <cellStyle name="20% - Accent4 5 3 2 2 4" xfId="6055" xr:uid="{5BA1BB5A-11EC-4A58-B654-CBCCC6B0D739}"/>
    <cellStyle name="20% - Accent4 5 3 2 3" xfId="5717" xr:uid="{9B3BBEE4-930E-4FA8-ACA6-620CF34DE7A0}"/>
    <cellStyle name="20% - Accent4 5 3 2 3 2" xfId="19396" xr:uid="{8DE04E02-778C-4032-8007-4793CD0C5DBC}"/>
    <cellStyle name="20% - Accent4 5 3 2 3 2 2" xfId="31496" xr:uid="{E4521203-41FC-4DBE-9723-D6E32EF1179A}"/>
    <cellStyle name="20% - Accent4 5 3 2 3 3" xfId="23811" xr:uid="{6F5D5187-437F-4F82-8954-5B4265F948A7}"/>
    <cellStyle name="20% - Accent4 5 3 2 4" xfId="12192" xr:uid="{676E4627-1D84-4B19-833E-32CD4D5A66DE}"/>
    <cellStyle name="20% - Accent4 5 3 2 4 2" xfId="23775" xr:uid="{CA557BAB-9CB4-4C3B-9C7D-578BAAA60DB5}"/>
    <cellStyle name="20% - Accent4 5 3 2 5" xfId="22573" xr:uid="{C04F91D9-DA80-47DE-9B32-2FD5BCA79273}"/>
    <cellStyle name="20% - Accent4 5 3 3" xfId="22571" xr:uid="{16A94688-26B6-4A2F-B24A-BFCF1672DC03}"/>
    <cellStyle name="20% - Accent4 5 3 3 2" xfId="22570" xr:uid="{441D3BBD-191A-4F80-B309-8F8F3BCE725A}"/>
    <cellStyle name="20% - Accent4 5 3 3 2 2" xfId="13205" xr:uid="{B55AFE2B-82CE-4111-B5FA-43886AB86BB0}"/>
    <cellStyle name="20% - Accent4 5 3 3 2 2 2" xfId="32956" xr:uid="{FABD3843-0DB5-45BB-945D-4B03477ABE44}"/>
    <cellStyle name="20% - Accent4 5 3 3 2 3" xfId="32502" xr:uid="{104F4A69-3DEF-4E9E-BE9E-CD3D0B3C83DD}"/>
    <cellStyle name="20% - Accent4 5 3 3 3" xfId="5714" xr:uid="{DA70DDDC-E917-4B27-978A-A729453A15B5}"/>
    <cellStyle name="20% - Accent4 5 3 3 3 2" xfId="22985" xr:uid="{0E0BEC4F-CA72-44BF-B27F-2F4C71D2A0F9}"/>
    <cellStyle name="20% - Accent4 5 3 3 4" xfId="22566" xr:uid="{799E822E-8948-45EB-91EE-996068821506}"/>
    <cellStyle name="20% - Accent4 5 3 4" xfId="22676" xr:uid="{3F48D58A-579B-41E6-9096-A65558FEA9C5}"/>
    <cellStyle name="20% - Accent4 5 3 4 2" xfId="22588" xr:uid="{3658A00B-7B57-446B-B00E-A541FD3116F8}"/>
    <cellStyle name="20% - Accent4 5 3 4 2 2" xfId="22700" xr:uid="{B4D9A2D1-5656-403C-AA96-F392608D2FA4}"/>
    <cellStyle name="20% - Accent4 5 3 4 3" xfId="22582" xr:uid="{479B8F96-47B8-43A4-A464-07577D55D598}"/>
    <cellStyle name="20% - Accent4 5 3 5" xfId="16587" xr:uid="{3E92A19A-F6D0-4F01-B50E-6A80692F78D0}"/>
    <cellStyle name="20% - Accent4 5 3 5 2" xfId="22559" xr:uid="{36ED1295-F7DB-4173-81B4-4FC5C86DB9A6}"/>
    <cellStyle name="20% - Accent4 5 3 6" xfId="22556" xr:uid="{71352B4C-0BDD-4D15-8EEB-0A90D1CE9AA5}"/>
    <cellStyle name="20% - Accent4 5 3 7" xfId="35006" xr:uid="{CD8A172B-63CF-44AE-B611-899300C3DA24}"/>
    <cellStyle name="20% - Accent4 5 4" xfId="22553" xr:uid="{6847C24D-EB80-4BFF-A5BB-398C10903EAC}"/>
    <cellStyle name="20% - Accent4 5 4 2" xfId="22542" xr:uid="{B7B946B8-9E6D-45C6-8CD1-7786CE0CF081}"/>
    <cellStyle name="20% - Accent4 5 4 2 2" xfId="22540" xr:uid="{9F9C37F7-A7FE-45AA-AD07-B2089ABEFBB8}"/>
    <cellStyle name="20% - Accent4 5 4 2 2 2" xfId="22538" xr:uid="{367F5AE2-5856-4322-ABC9-F041B19688E5}"/>
    <cellStyle name="20% - Accent4 5 4 2 2 2 2" xfId="22530" xr:uid="{98FA6BCC-55D0-4A58-8048-D26A3125F2A8}"/>
    <cellStyle name="20% - Accent4 5 4 2 2 3" xfId="22523" xr:uid="{22728340-C019-4C8E-8FDD-4C5F8EA1089C}"/>
    <cellStyle name="20% - Accent4 5 4 2 3" xfId="32857" xr:uid="{6F661C10-3BFE-48E5-8C2F-A85D06BB40D8}"/>
    <cellStyle name="20% - Accent4 5 4 2 3 2" xfId="22517" xr:uid="{C5212E0C-8A5B-40AB-BFFF-216A6FC90B69}"/>
    <cellStyle name="20% - Accent4 5 4 2 4" xfId="22510" xr:uid="{1BE11BBA-AA33-4A9F-8D86-7763EA8775F6}"/>
    <cellStyle name="20% - Accent4 5 4 3" xfId="22506" xr:uid="{0FA1288A-4EC1-4A51-B539-3EB176B16B10}"/>
    <cellStyle name="20% - Accent4 5 4 3 2" xfId="22504" xr:uid="{D5D432D1-4E8C-4B35-BB26-C7DB04792822}"/>
    <cellStyle name="20% - Accent4 5 4 3 2 2" xfId="22502" xr:uid="{4B8B6FE4-04FC-421B-AB85-E26D2FAB7C6B}"/>
    <cellStyle name="20% - Accent4 5 4 3 3" xfId="22492" xr:uid="{92752975-16AA-4FAC-AE66-BF20238BE7C4}"/>
    <cellStyle name="20% - Accent4 5 4 4" xfId="22485" xr:uid="{00EF0218-BB62-4A6E-A1B9-CDB36E5DA083}"/>
    <cellStyle name="20% - Accent4 5 4 4 2" xfId="22483" xr:uid="{2BF70F6B-303D-4C61-827A-F06806A01257}"/>
    <cellStyle name="20% - Accent4 5 4 5" xfId="22478" xr:uid="{049AA710-EE80-488B-A734-CC68C6826D9C}"/>
    <cellStyle name="20% - Accent4 5 4 6" xfId="35212" xr:uid="{B025D56D-2F46-4081-A5CD-70F4FB545A7A}"/>
    <cellStyle name="20% - Accent4 5 5" xfId="21291" xr:uid="{AD6A0A7B-B47F-40C0-8F68-3E703793F6A1}"/>
    <cellStyle name="20% - Accent4 5 5 2" xfId="22471" xr:uid="{A8BFF3E4-A649-460A-805C-BA629D3E22D2}"/>
    <cellStyle name="20% - Accent4 5 5 2 2" xfId="22470" xr:uid="{77A32856-AA26-4D73-84A7-880958D01127}"/>
    <cellStyle name="20% - Accent4 5 5 2 2 2" xfId="25160" xr:uid="{06EA700E-DC4F-4A6B-B288-198930CF1129}"/>
    <cellStyle name="20% - Accent4 5 5 2 3" xfId="22468" xr:uid="{43C077FA-021D-4D9D-B801-B3FC8E7B51E4}"/>
    <cellStyle name="20% - Accent4 5 5 3" xfId="22466" xr:uid="{1A055075-0C93-4D0F-A7C9-18E65E3FA2F1}"/>
    <cellStyle name="20% - Accent4 5 5 3 2" xfId="17605" xr:uid="{30CAEF01-DA9D-4BF8-A6AD-C3F41D9B0278}"/>
    <cellStyle name="20% - Accent4 5 5 4" xfId="22464" xr:uid="{D5C92F91-27F5-4894-9D1C-EB14F13C5116}"/>
    <cellStyle name="20% - Accent4 5 5 5" xfId="35441" xr:uid="{AE53BA75-6063-485A-A43A-29E7B2FCFB1B}"/>
    <cellStyle name="20% - Accent4 5 6" xfId="21288" xr:uid="{1E540CB3-8ADE-4DA7-AD1B-52333EE4B045}"/>
    <cellStyle name="20% - Accent4 5 6 2" xfId="22462" xr:uid="{1E61D77D-4B17-46B4-ACC4-558A721060C2}"/>
    <cellStyle name="20% - Accent4 5 6 2 2" xfId="22460" xr:uid="{E55C59AF-451E-47A4-89B0-8E127D4D8A94}"/>
    <cellStyle name="20% - Accent4 5 6 3" xfId="29653" xr:uid="{FEE66D67-6C5A-4D74-9DDF-A3E5F5872BA4}"/>
    <cellStyle name="20% - Accent4 5 6 4" xfId="36313" xr:uid="{6AA4A2E4-D932-4303-9B71-2B1E96BB5654}"/>
    <cellStyle name="20% - Accent4 5 7" xfId="23363" xr:uid="{1055DAA1-CF7F-455A-B046-802BB0A6F0E0}"/>
    <cellStyle name="20% - Accent4 5 7 2" xfId="22459" xr:uid="{B08BB2B0-1FD3-47E9-AE15-C94D14EF3851}"/>
    <cellStyle name="20% - Accent4 5 7 3" xfId="36599" xr:uid="{FA412370-58BF-4E4E-9E4D-1B6036CDB392}"/>
    <cellStyle name="20% - Accent4 5 8" xfId="22456" xr:uid="{8EDDA5A5-81F5-44B6-89A6-A6FB823E3978}"/>
    <cellStyle name="20% - Accent4 5 8 2" xfId="37484" xr:uid="{7AA82DE4-69CA-42EC-A764-5CBBC99F0EA9}"/>
    <cellStyle name="20% - Accent4 5 9" xfId="34582" xr:uid="{150F0DE7-E3F8-4288-825D-169F5D529EEF}"/>
    <cellStyle name="20% - Accent4 6" xfId="288" xr:uid="{F56676DC-BC99-45A2-A993-5C061FABB5C7}"/>
    <cellStyle name="20% - Accent4 6 2" xfId="19823" xr:uid="{0F85B700-7B42-41EE-A995-AA905B96016E}"/>
    <cellStyle name="20% - Accent4 6 2 2" xfId="24116" xr:uid="{29B7003A-03E6-4971-B2EB-DE62C3897FEB}"/>
    <cellStyle name="20% - Accent4 6 2 2 2" xfId="19074" xr:uid="{95D7D215-665E-413E-9B89-1D8B76FDE2A5}"/>
    <cellStyle name="20% - Accent4 6 2 2 2 2" xfId="19073" xr:uid="{D624E7A4-7B66-41F8-A5BC-98A3A0E04E28}"/>
    <cellStyle name="20% - Accent4 6 2 2 2 2 2" xfId="22450" xr:uid="{8B466AED-BDC3-444C-A726-55CE0D6E8F2D}"/>
    <cellStyle name="20% - Accent4 6 2 2 2 2 2 2" xfId="21410" xr:uid="{3ED0B293-676B-46CD-A770-440809B355C1}"/>
    <cellStyle name="20% - Accent4 6 2 2 2 2 3" xfId="22447" xr:uid="{A8A657BA-F159-4D6F-B01B-62FDDBC00056}"/>
    <cellStyle name="20% - Accent4 6 2 2 2 3" xfId="26031" xr:uid="{FAC2DF2D-70AE-4992-BD08-23442B3B2816}"/>
    <cellStyle name="20% - Accent4 6 2 2 2 3 2" xfId="22445" xr:uid="{AA29C37A-73EF-4525-AFA4-6F131CFE9E55}"/>
    <cellStyle name="20% - Accent4 6 2 2 2 4" xfId="6041" xr:uid="{F439DB14-2BE5-422B-A0DC-26A475FE8A04}"/>
    <cellStyle name="20% - Accent4 6 2 2 3" xfId="5708" xr:uid="{2C49F76C-19B0-45DC-85A6-9447657B5636}"/>
    <cellStyle name="20% - Accent4 6 2 2 3 2" xfId="21655" xr:uid="{5DD04C07-C8C5-4740-8599-1D4F340D555B}"/>
    <cellStyle name="20% - Accent4 6 2 2 3 2 2" xfId="22444" xr:uid="{00B475D8-B66E-47B0-84C5-C7DE991F93F7}"/>
    <cellStyle name="20% - Accent4 6 2 2 3 3" xfId="26019" xr:uid="{088238AC-8A56-442D-AFAD-90D8D978D5E6}"/>
    <cellStyle name="20% - Accent4 6 2 2 4" xfId="7750" xr:uid="{19F23907-6A56-435A-9D33-779E3525D7D6}"/>
    <cellStyle name="20% - Accent4 6 2 2 4 2" xfId="33230" xr:uid="{569DC755-5A9D-450E-BF2E-573B11CCB78B}"/>
    <cellStyle name="20% - Accent4 6 2 2 5" xfId="23700" xr:uid="{82FB80E9-187D-457C-A3A1-729F493BACFB}"/>
    <cellStyle name="20% - Accent4 6 2 3" xfId="22443" xr:uid="{0545B4D0-CD55-4D89-9C9D-CDBD15C1021A}"/>
    <cellStyle name="20% - Accent4 6 2 3 2" xfId="19064" xr:uid="{1F2DD85A-1E9A-4DA8-AA31-EB63648A21E3}"/>
    <cellStyle name="20% - Accent4 6 2 3 2 2" xfId="22442" xr:uid="{1F38C0DF-A677-41BA-9547-2359A2361FAF}"/>
    <cellStyle name="20% - Accent4 6 2 3 2 2 2" xfId="22441" xr:uid="{82325B3F-ACE9-45C6-960C-0D9282572DD8}"/>
    <cellStyle name="20% - Accent4 6 2 3 2 3" xfId="17970" xr:uid="{83B70D4B-F7BC-4C0A-804F-23D79B241D15}"/>
    <cellStyle name="20% - Accent4 6 2 3 3" xfId="5705" xr:uid="{31BBE0AA-3DEC-48AD-9FEF-BB0B08B04759}"/>
    <cellStyle name="20% - Accent4 6 2 3 3 2" xfId="22439" xr:uid="{A4F3A792-DB2B-4BFB-B101-57D0A069628B}"/>
    <cellStyle name="20% - Accent4 6 2 3 4" xfId="22438" xr:uid="{128783DD-10A2-4B80-8475-9E5D15C64D47}"/>
    <cellStyle name="20% - Accent4 6 2 4" xfId="22434" xr:uid="{9AE997E4-EDAC-42AF-B865-6B22C6F9C74B}"/>
    <cellStyle name="20% - Accent4 6 2 4 2" xfId="22433" xr:uid="{4093DC83-2F1F-4216-94E8-457001AD7FD6}"/>
    <cellStyle name="20% - Accent4 6 2 4 2 2" xfId="25400" xr:uid="{38737F77-4A21-4927-B17E-FEADE49BB202}"/>
    <cellStyle name="20% - Accent4 6 2 4 3" xfId="22430" xr:uid="{3F43CF66-4D50-4F8D-B70F-369765020E48}"/>
    <cellStyle name="20% - Accent4 6 2 5" xfId="16579" xr:uid="{3B233479-5B32-4385-A30C-23F11C7B3CA7}"/>
    <cellStyle name="20% - Accent4 6 2 5 2" xfId="22426" xr:uid="{E7112966-64FA-4065-8240-A075DF319625}"/>
    <cellStyle name="20% - Accent4 6 2 6" xfId="22419" xr:uid="{72B82480-5C53-43B5-9228-03B2FAE08946}"/>
    <cellStyle name="20% - Accent4 6 2 7" xfId="34823" xr:uid="{C16E4968-3919-499B-A565-8C15D1E812C4}"/>
    <cellStyle name="20% - Accent4 6 3" xfId="22415" xr:uid="{D49C65FF-9981-4B2C-834E-72F68C3D2068}"/>
    <cellStyle name="20% - Accent4 6 3 2" xfId="22407" xr:uid="{AF6E532D-1418-490D-907C-05D2AA1A642E}"/>
    <cellStyle name="20% - Accent4 6 3 2 2" xfId="19050" xr:uid="{D2256726-7538-4EAF-B4D3-A5E9D88938EB}"/>
    <cellStyle name="20% - Accent4 6 3 2 2 2" xfId="22392" xr:uid="{BA810F85-A0A0-45B0-AD12-887E660A08C5}"/>
    <cellStyle name="20% - Accent4 6 3 2 2 2 2" xfId="22390" xr:uid="{E8F8C589-85DF-4026-A053-CBCB2B241C65}"/>
    <cellStyle name="20% - Accent4 6 3 2 2 3" xfId="24768" xr:uid="{1DE9078D-3001-4567-BDCB-7D2854D32C7E}"/>
    <cellStyle name="20% - Accent4 6 3 2 3" xfId="14157" xr:uid="{E79A9C69-37B9-4F62-98BB-B0301C91BE78}"/>
    <cellStyle name="20% - Accent4 6 3 2 3 2" xfId="22095" xr:uid="{A4D6BCDC-6F1F-46E2-91BA-7A19B42F5652}"/>
    <cellStyle name="20% - Accent4 6 3 2 4" xfId="22283" xr:uid="{B94D54D8-CDE6-4825-B4F2-CAA42D26FF39}"/>
    <cellStyle name="20% - Accent4 6 3 3" xfId="22389" xr:uid="{9D44A04D-388C-4A5B-BBB5-3AC7241B87DB}"/>
    <cellStyle name="20% - Accent4 6 3 3 2" xfId="22385" xr:uid="{8D213F4A-F18D-40FB-9AF4-08278AA9E55C}"/>
    <cellStyle name="20% - Accent4 6 3 3 2 2" xfId="22381" xr:uid="{CAEAF07B-7BFC-4F7D-B78E-1734C0E12914}"/>
    <cellStyle name="20% - Accent4 6 3 3 3" xfId="22380" xr:uid="{31D64CDB-462B-4620-B211-AFE5EF60E12E}"/>
    <cellStyle name="20% - Accent4 6 3 4" xfId="22377" xr:uid="{DE5EF10D-8E38-4261-A3B6-F28632CB9122}"/>
    <cellStyle name="20% - Accent4 6 3 4 2" xfId="22370" xr:uid="{815ABB0F-79EC-43D3-9767-8355C67EE25D}"/>
    <cellStyle name="20% - Accent4 6 3 5" xfId="22365" xr:uid="{58B2C208-F39F-4DF6-8105-39172BE6E99A}"/>
    <cellStyle name="20% - Accent4 6 3 6" xfId="35025" xr:uid="{455B924E-5BB5-47F5-9859-4075D870E666}"/>
    <cellStyle name="20% - Accent4 6 4" xfId="22361" xr:uid="{3C425D03-9809-4DF2-BDE0-A40C1F3E1885}"/>
    <cellStyle name="20% - Accent4 6 4 2" xfId="22354" xr:uid="{EA42A3E9-FB38-494C-A8C6-A525F1E7E5BF}"/>
    <cellStyle name="20% - Accent4 6 4 2 2" xfId="17687" xr:uid="{2C818B60-4375-4616-AA00-AC7C82991355}"/>
    <cellStyle name="20% - Accent4 6 4 2 2 2" xfId="22347" xr:uid="{45AECE5C-9ABB-4693-9641-87F7E20DAF89}"/>
    <cellStyle name="20% - Accent4 6 4 2 3" xfId="22340" xr:uid="{1ED0EFDB-819F-4526-B1DE-72B1EF598DB9}"/>
    <cellStyle name="20% - Accent4 6 4 3" xfId="22335" xr:uid="{BF4FA554-4171-4045-AC6F-8ED0AAE47514}"/>
    <cellStyle name="20% - Accent4 6 4 3 2" xfId="22327" xr:uid="{8244646A-2D96-4890-93BF-D17DE2970C9C}"/>
    <cellStyle name="20% - Accent4 6 4 4" xfId="22325" xr:uid="{3693F336-4395-427B-9EAE-BC74BB66A608}"/>
    <cellStyle name="20% - Accent4 6 4 5" xfId="35231" xr:uid="{02C3BDBF-458F-4786-BC62-4C6469160C73}"/>
    <cellStyle name="20% - Accent4 6 5" xfId="32039" xr:uid="{C86AB848-3715-4587-9396-D25B7BE38C6E}"/>
    <cellStyle name="20% - Accent4 6 5 2" xfId="22321" xr:uid="{B6389F98-2B47-4DF8-89AA-1E2765772402}"/>
    <cellStyle name="20% - Accent4 6 5 2 2" xfId="22311" xr:uid="{F8A094B5-FC0B-4395-AA4F-EB53167B3493}"/>
    <cellStyle name="20% - Accent4 6 5 3" xfId="22307" xr:uid="{A12897D4-BDCF-47E7-9A99-7790F03A47D9}"/>
    <cellStyle name="20% - Accent4 6 5 4" xfId="35460" xr:uid="{E0289C5E-D038-4E19-A970-6B6F748AE2EF}"/>
    <cellStyle name="20% - Accent4 6 6" xfId="32616" xr:uid="{AD7E7B91-3216-451C-89B9-3D8622596537}"/>
    <cellStyle name="20% - Accent4 6 6 2" xfId="22300" xr:uid="{ACEF1B17-1CEC-4764-BA50-FF70F95AE70E}"/>
    <cellStyle name="20% - Accent4 6 6 3" xfId="36332" xr:uid="{6EC005EB-F8B6-4C12-B070-68B8DD95BF75}"/>
    <cellStyle name="20% - Accent4 6 7" xfId="22293" xr:uid="{864507F3-6537-446D-A6FE-01AED6297C58}"/>
    <cellStyle name="20% - Accent4 6 7 2" xfId="36618" xr:uid="{C8BC0958-92ED-46F5-8CB4-EA00097B0B7B}"/>
    <cellStyle name="20% - Accent4 6 8" xfId="34596" xr:uid="{93CC53EC-6A0C-485F-95CB-1A7CC17A0AC7}"/>
    <cellStyle name="20% - Accent4 6 9" xfId="19216" xr:uid="{56113063-BCD5-4EFD-A78B-B94310289B02}"/>
    <cellStyle name="20% - Accent4 7" xfId="308" xr:uid="{CB13445D-E90F-4C46-B657-FE2606370883}"/>
    <cellStyle name="20% - Accent4 7 2" xfId="28159" xr:uid="{AB21336E-E46E-4C3E-A4F2-F78A05F2CE13}"/>
    <cellStyle name="20% - Accent4 7 2 2" xfId="34164" xr:uid="{68FC6500-3ED7-4BFD-B8CB-CD2D3BDD35D0}"/>
    <cellStyle name="20% - Accent4 7 2 2 2" xfId="18515" xr:uid="{F915E61E-7C42-4FF9-A0AA-3602231FC949}"/>
    <cellStyle name="20% - Accent4 7 2 2 2 2" xfId="22290" xr:uid="{E72B84EF-5270-4F6B-BDEB-EFF42291FCA4}"/>
    <cellStyle name="20% - Accent4 7 2 2 2 2 2" xfId="22289" xr:uid="{0A57151A-E8FA-4AD0-BEBD-0D14B811BE81}"/>
    <cellStyle name="20% - Accent4 7 2 2 2 3" xfId="24574" xr:uid="{EBA74CBC-91E6-4DEE-A2B5-7361CD0BEB59}"/>
    <cellStyle name="20% - Accent4 7 2 2 3" xfId="5696" xr:uid="{4EE8EFB3-DA31-41CB-8288-ADB455260D24}"/>
    <cellStyle name="20% - Accent4 7 2 2 3 2" xfId="22288" xr:uid="{F1308131-05D3-47F5-92DF-4B3DA41C0096}"/>
    <cellStyle name="20% - Accent4 7 2 2 4" xfId="22280" xr:uid="{988BD59E-66C4-458F-943E-C0D679A86538}"/>
    <cellStyle name="20% - Accent4 7 2 3" xfId="23240" xr:uid="{BB6E38A7-C65A-4E73-A7BA-5BE7A996465F}"/>
    <cellStyle name="20% - Accent4 7 2 3 2" xfId="22278" xr:uid="{CC73AD81-6B16-425E-8674-E65A9E483755}"/>
    <cellStyle name="20% - Accent4 7 2 3 2 2" xfId="21068" xr:uid="{47E22EA0-AC08-4668-B465-6FC13AC80912}"/>
    <cellStyle name="20% - Accent4 7 2 3 3" xfId="22277" xr:uid="{C3704230-7AFF-405B-A71D-2E7233B845FE}"/>
    <cellStyle name="20% - Accent4 7 2 4" xfId="22275" xr:uid="{474B58E0-35D4-40D6-856C-92E6F23BA643}"/>
    <cellStyle name="20% - Accent4 7 2 4 2" xfId="31305" xr:uid="{386B7E66-849E-4B59-BBD7-EA25AACA8D0E}"/>
    <cellStyle name="20% - Accent4 7 2 5" xfId="22272" xr:uid="{5A615E31-6DAA-473A-9340-37F34C6AB774}"/>
    <cellStyle name="20% - Accent4 7 2 6" xfId="34842" xr:uid="{EC6E3480-5AEE-4C98-8358-43A281C97385}"/>
    <cellStyle name="20% - Accent4 7 3" xfId="28153" xr:uid="{6E5089DD-9743-4E2F-99CD-394B4A9F96E3}"/>
    <cellStyle name="20% - Accent4 7 3 2" xfId="23232" xr:uid="{D805C5CA-B6AD-433E-89CF-0E40399D426C}"/>
    <cellStyle name="20% - Accent4 7 3 2 2" xfId="22266" xr:uid="{76A18E56-70D1-4D28-A706-ED7B9D55AB5E}"/>
    <cellStyle name="20% - Accent4 7 3 2 2 2" xfId="26890" xr:uid="{32AF1F23-E983-4AF1-859F-033356D8D0B3}"/>
    <cellStyle name="20% - Accent4 7 3 2 3" xfId="22263" xr:uid="{A4B466E7-74A5-4FBB-BB2C-B9B3B06DCBE4}"/>
    <cellStyle name="20% - Accent4 7 3 3" xfId="22261" xr:uid="{DF5DA802-D002-41A5-8549-3B9D7E000454}"/>
    <cellStyle name="20% - Accent4 7 3 3 2" xfId="22257" xr:uid="{14BB525D-65C7-4913-A641-049E6D5DD314}"/>
    <cellStyle name="20% - Accent4 7 3 4" xfId="22098" xr:uid="{1AEA6E50-ABBE-4441-B3A9-A8FFA1FF4A16}"/>
    <cellStyle name="20% - Accent4 7 3 5" xfId="35044" xr:uid="{8C0A1B0D-113D-4CB5-BEC9-BE3155B772B1}"/>
    <cellStyle name="20% - Accent4 7 4" xfId="33619" xr:uid="{6365E996-92EC-4415-A0D1-E95B26819DA6}"/>
    <cellStyle name="20% - Accent4 7 4 2" xfId="22255" xr:uid="{5C1BDBD9-22F3-4601-A4DD-729804A1388D}"/>
    <cellStyle name="20% - Accent4 7 4 2 2" xfId="22249" xr:uid="{1513C7A2-575B-49AA-80F6-7B3463CA9F60}"/>
    <cellStyle name="20% - Accent4 7 4 3" xfId="22247" xr:uid="{1DC55B9D-EF2F-49DD-AF3E-008A5DDD3A02}"/>
    <cellStyle name="20% - Accent4 7 4 4" xfId="35251" xr:uid="{FA7A58A0-D38E-4AEB-801A-44C7EF427A91}"/>
    <cellStyle name="20% - Accent4 7 5" xfId="32107" xr:uid="{13095A4F-7652-4DF7-9DD2-DEE0874FAB03}"/>
    <cellStyle name="20% - Accent4 7 5 2" xfId="22245" xr:uid="{9FA4DD87-8011-4D8A-AA1D-2436FCC832CC}"/>
    <cellStyle name="20% - Accent4 7 5 3" xfId="35480" xr:uid="{A7822CAA-40E5-4CD0-BC59-B908B445297B}"/>
    <cellStyle name="20% - Accent4 7 6" xfId="22239" xr:uid="{8DF53941-0694-4EF8-93D5-71E8766ECD2F}"/>
    <cellStyle name="20% - Accent4 7 6 2" xfId="36352" xr:uid="{3C7451D1-F849-4ACD-9FBB-2F0F9B6AD8B0}"/>
    <cellStyle name="20% - Accent4 7 7" xfId="34610" xr:uid="{17BF059A-2083-4EBA-95D7-E6537DC1DBCE}"/>
    <cellStyle name="20% - Accent4 7 8" xfId="23053" xr:uid="{A9FEA9A2-D12A-4234-868A-CC4922AC5A1C}"/>
    <cellStyle name="20% - Accent4 7 8 2" xfId="37510" xr:uid="{8F16A435-5D0A-43BE-BC60-10473FB14248}"/>
    <cellStyle name="20% - Accent4 8" xfId="328" xr:uid="{4E21FCF2-FCC2-464B-A3D1-2BD96C3F4C28}"/>
    <cellStyle name="20% - Accent4 8 2" xfId="28132" xr:uid="{B8E40C0B-1E8F-4375-92EB-708733F88EA9}"/>
    <cellStyle name="20% - Accent4 8 2 2" xfId="23224" xr:uid="{C513417A-355E-4427-9118-601F06496492}"/>
    <cellStyle name="20% - Accent4 8 2 2 2" xfId="30590" xr:uid="{ED7C749B-D429-4820-946E-C38E16E2A649}"/>
    <cellStyle name="20% - Accent4 8 2 2 2 2" xfId="22236" xr:uid="{5F95423F-D197-4613-9E65-8D7CD0AA56F7}"/>
    <cellStyle name="20% - Accent4 8 2 2 3" xfId="22233" xr:uid="{D189FCC4-1710-428E-9A2F-2CBD8BD70AEF}"/>
    <cellStyle name="20% - Accent4 8 2 3" xfId="22231" xr:uid="{BE300EB5-0781-4E37-8E46-C9A35CF529E0}"/>
    <cellStyle name="20% - Accent4 8 2 3 2" xfId="22229" xr:uid="{54C9B319-5D7F-43FD-AA4E-6F1E13AF7659}"/>
    <cellStyle name="20% - Accent4 8 2 4" xfId="22228" xr:uid="{AFC54BFD-B563-405C-B86A-43011079EE4E}"/>
    <cellStyle name="20% - Accent4 8 2 5" xfId="34861" xr:uid="{8E5130CE-F0F4-4D59-9146-E91BB2C99376}"/>
    <cellStyle name="20% - Accent4 8 3" xfId="18425" xr:uid="{630825F7-E00F-4ED2-AA6E-FB18752C4C59}"/>
    <cellStyle name="20% - Accent4 8 3 2" xfId="22224" xr:uid="{77A82A13-292D-47C0-AEDE-0A7A9FC16625}"/>
    <cellStyle name="20% - Accent4 8 3 2 2" xfId="21927" xr:uid="{C42716D7-8FE1-4307-80C3-A4262CDFADFF}"/>
    <cellStyle name="20% - Accent4 8 3 3" xfId="22223" xr:uid="{B5115286-F96B-4302-B6C0-FE80445E003E}"/>
    <cellStyle name="20% - Accent4 8 3 4" xfId="35063" xr:uid="{ED48E04E-72F3-40EC-8B80-1BFF01627EDE}"/>
    <cellStyle name="20% - Accent4 8 4" xfId="18420" xr:uid="{F357B8A4-702A-4763-96C9-75BBFF76916F}"/>
    <cellStyle name="20% - Accent4 8 4 2" xfId="22221" xr:uid="{A8069BED-9D5E-498F-BFBD-6DB3BFCE674F}"/>
    <cellStyle name="20% - Accent4 8 4 3" xfId="35270" xr:uid="{96FAC405-9AF7-4D0B-B7DF-35D92F1CAB28}"/>
    <cellStyle name="20% - Accent4 8 5" xfId="22219" xr:uid="{B54EAAC1-41BF-4771-B94A-4449CD83CDA4}"/>
    <cellStyle name="20% - Accent4 8 5 2" xfId="35499" xr:uid="{FBD4DE61-35EA-4F16-99F4-4FECA00E1A0D}"/>
    <cellStyle name="20% - Accent4 8 6" xfId="34624" xr:uid="{75B52D8C-C2A5-4253-8328-5C49C363C881}"/>
    <cellStyle name="20% - Accent4 8 7" xfId="22238" xr:uid="{84D32399-7344-40D4-9F3B-BE20CCC74977}"/>
    <cellStyle name="20% - Accent4 8 7 2" xfId="36644" xr:uid="{B5C49DAC-2C30-40E9-94ED-C7B2370A8304}"/>
    <cellStyle name="20% - Accent4 8 8" xfId="37529" xr:uid="{C2B77734-96F6-4F9E-9CE8-30217BC17744}"/>
    <cellStyle name="20% - Accent4 9" xfId="348" xr:uid="{B9952445-C61C-4699-836F-E8E154990B72}"/>
    <cellStyle name="20% - Accent4 9 2" xfId="22212" xr:uid="{B40F75A8-C480-4E42-8061-DFB5F7F1AEF2}"/>
    <cellStyle name="20% - Accent4 9 2 2" xfId="24151" xr:uid="{F3FC86F7-FBE0-4509-A35A-AC3AE3089739}"/>
    <cellStyle name="20% - Accent4 9 2 2 2" xfId="22208" xr:uid="{87843760-47E4-4322-9477-02F0C32B709D}"/>
    <cellStyle name="20% - Accent4 9 2 3" xfId="22206" xr:uid="{0C85F5C4-8023-4DE7-8280-98A804C16813}"/>
    <cellStyle name="20% - Accent4 9 2 4" xfId="34881" xr:uid="{6B3881A4-961C-4CF4-AEE2-C76CCEDCD618}"/>
    <cellStyle name="20% - Accent4 9 3" xfId="14722" xr:uid="{EFCE343E-34EF-48E3-A44F-138F46F2C515}"/>
    <cellStyle name="20% - Accent4 9 3 2" xfId="22201" xr:uid="{01DC73B0-A336-4749-8390-977F27A973D1}"/>
    <cellStyle name="20% - Accent4 9 3 3" xfId="35082" xr:uid="{87C1472C-39A0-40F9-9F23-7E057A3016DF}"/>
    <cellStyle name="20% - Accent4 9 4" xfId="18520" xr:uid="{53DD5519-2913-41F4-B07E-9444C87B9712}"/>
    <cellStyle name="20% - Accent4 9 4 2" xfId="35290" xr:uid="{881E2AC7-995D-4092-A4C8-ED83B74917AD}"/>
    <cellStyle name="20% - Accent4 9 5" xfId="34638" xr:uid="{A3FE7373-2FB8-43B9-83E3-D39BE29530E8}"/>
    <cellStyle name="20% - Accent4 9 6" xfId="22216" xr:uid="{F3BCECA4-A1F3-4D52-8C56-9C60E7FE83CC}"/>
    <cellStyle name="20% - Accent4 9 6 2" xfId="36378" xr:uid="{2C5E436C-B8AB-4FD4-85BF-CBB2A408E9FC}"/>
    <cellStyle name="20% - Accent4 9 7" xfId="36664" xr:uid="{4445D87A-F7FF-49BB-81C8-AAD54FA7433B}"/>
    <cellStyle name="20% - Accent4 9 8" xfId="37549" xr:uid="{A60313AA-A0D2-49C6-B86F-AB88580E86DE}"/>
    <cellStyle name="20% - Accent5" xfId="38" builtinId="46" customBuiltin="1"/>
    <cellStyle name="20% - Accent5 10" xfId="189" xr:uid="{E40FAF40-ED0D-4A83-997A-A3A0B80F5AF8}"/>
    <cellStyle name="20% - Accent5 10 2" xfId="24493" xr:uid="{4C4EE126-3731-404F-883A-333B3EC5FF09}"/>
    <cellStyle name="20% - Accent5 10 2 2" xfId="11792" xr:uid="{BB627492-CB1F-4A2D-A853-72525F807DA1}"/>
    <cellStyle name="20% - Accent5 10 2 3" xfId="34902" xr:uid="{7E69781D-A8FB-4F5D-8ED7-B24B5B0CE8B1}"/>
    <cellStyle name="20% - Accent5 10 3" xfId="24463" xr:uid="{721EB612-028E-4CC2-8398-2870D013DCB4}"/>
    <cellStyle name="20% - Accent5 10 3 2" xfId="35104" xr:uid="{095EF6D9-74CA-4501-B634-5F56874AD826}"/>
    <cellStyle name="20% - Accent5 10 4" xfId="34527" xr:uid="{746CF4D4-3318-45B0-8056-B21D6A334339}"/>
    <cellStyle name="20% - Accent5 10 5" xfId="22200" xr:uid="{C662EF67-8BFE-4796-B8B3-A939A37E09F6}"/>
    <cellStyle name="20% - Accent5 10 5 2" xfId="35527" xr:uid="{F6EBCF88-CA2A-4EFB-B0B8-AFD8263CF04B}"/>
    <cellStyle name="20% - Accent5 10 6" xfId="36400" xr:uid="{EB300B3E-25F0-435B-89FD-7A7173D4B602}"/>
    <cellStyle name="20% - Accent5 10 7" xfId="36686" xr:uid="{F992662B-F827-4518-A0C4-B4EB75E3C89D}"/>
    <cellStyle name="20% - Accent5 10 8" xfId="37571" xr:uid="{D5436D7F-1BA8-4E68-9B13-472436B89E04}"/>
    <cellStyle name="20% - Accent5 11" xfId="22193" xr:uid="{4B23C61E-E277-4184-BCD3-5889F075C8EB}"/>
    <cellStyle name="20% - Accent5 11 2" xfId="24476" xr:uid="{BAE780B3-AAF6-470A-9301-583AE41D9F6F}"/>
    <cellStyle name="20% - Accent5 11 2 2" xfId="35123" xr:uid="{D1EB7963-22C3-4F3D-ABA8-1AA8ED11CFE6}"/>
    <cellStyle name="20% - Accent5 11 3" xfId="34696" xr:uid="{233F8F65-2694-41DC-AEE9-D9E92AF6619D}"/>
    <cellStyle name="20% - Accent5 11 4" xfId="35547" xr:uid="{559A0ECC-FF61-4F88-B4F4-0B8993D9EE77}"/>
    <cellStyle name="20% - Accent5 11 5" xfId="36420" xr:uid="{C7FC800C-14E6-47DA-9C3B-C7055D3D0E8C}"/>
    <cellStyle name="20% - Accent5 11 6" xfId="36706" xr:uid="{9902B140-3311-4166-A447-FFFA0B0CF87D}"/>
    <cellStyle name="20% - Accent5 11 7" xfId="37591" xr:uid="{88115677-78A5-4898-BB57-08A38BC8D81C}"/>
    <cellStyle name="20% - Accent5 12" xfId="22192" xr:uid="{32DCEE3A-798C-4079-A0C1-180B7B0AFDA9}"/>
    <cellStyle name="20% - Accent5 12 2" xfId="34713" xr:uid="{373F3403-3A78-4DFD-8334-43FEAB619156}"/>
    <cellStyle name="20% - Accent5 12 3" xfId="35326" xr:uid="{519F7FD1-D326-4FB6-B34C-C38CFADCF63A}"/>
    <cellStyle name="20% - Accent5 12 4" xfId="35566" xr:uid="{BE152EEC-219D-497B-BCF7-ED0265C0802A}"/>
    <cellStyle name="20% - Accent5 12 5" xfId="36439" xr:uid="{A94B663A-F5FF-458A-AA23-5C413AEB82E9}"/>
    <cellStyle name="20% - Accent5 12 6" xfId="36725" xr:uid="{4407DD75-F50C-440A-8514-0A60BD48396C}"/>
    <cellStyle name="20% - Accent5 12 7" xfId="37610" xr:uid="{6CCBA9DD-9281-469C-B7EB-30493E9EB534}"/>
    <cellStyle name="20% - Accent5 13" xfId="22186" xr:uid="{CCA20435-E579-4DD7-A375-D1AB862A740A}"/>
    <cellStyle name="20% - Accent5 13 2" xfId="34741" xr:uid="{27887828-3E16-4D20-8C1C-EDDF696F4BAC}"/>
    <cellStyle name="20% - Accent5 13 3" xfId="35585" xr:uid="{AA0B3B13-8545-437B-8C27-82A891C9E002}"/>
    <cellStyle name="20% - Accent5 13 4" xfId="36460" xr:uid="{04B0FCBA-E2E5-43D2-94E4-918ABCA33617}"/>
    <cellStyle name="20% - Accent5 13 5" xfId="36746" xr:uid="{C27010EB-3E48-4097-989A-D0466CB71F9A}"/>
    <cellStyle name="20% - Accent5 13 6" xfId="37631" xr:uid="{6E600835-FFE2-4074-8DEB-47C1EC39E25D}"/>
    <cellStyle name="20% - Accent5 14" xfId="19750" xr:uid="{623ACC44-2DDE-4948-8BD5-73250E8A7DDC}"/>
    <cellStyle name="20% - Accent5 14 2" xfId="34931" xr:uid="{0F74C6E0-EFC4-4102-B525-091FAD8074EB}"/>
    <cellStyle name="20% - Accent5 14 3" xfId="36756" xr:uid="{502CA06F-9C77-4F63-B447-28CCACF41BF2}"/>
    <cellStyle name="20% - Accent5 14 4" xfId="37641" xr:uid="{D317DF7C-F042-4E2A-8369-44D6D2978B46}"/>
    <cellStyle name="20% - Accent5 15" xfId="34650" xr:uid="{F0CA6D4B-1CE6-4819-A2B4-013E66AB8354}"/>
    <cellStyle name="20% - Accent5 15 2" xfId="36485" xr:uid="{26A1EEA0-E04B-4AEE-AC62-1BB21C7751F4}"/>
    <cellStyle name="20% - Accent5 15 3" xfId="36783" xr:uid="{E28568A1-2C38-4A17-B3D1-F7438495E65D}"/>
    <cellStyle name="20% - Accent5 15 4" xfId="37671" xr:uid="{79C0ED6F-E99D-4DDE-B085-D564CF8C8F97}"/>
    <cellStyle name="20% - Accent5 16" xfId="35365" xr:uid="{E26EB04D-6971-4FD9-8719-DB7F68C5A064}"/>
    <cellStyle name="20% - Accent5 16 2" xfId="36503" xr:uid="{9220F7BE-73DC-42FA-8A00-4FCD33B8C107}"/>
    <cellStyle name="20% - Accent5 16 3" xfId="36801" xr:uid="{137C6B6B-2518-49D7-99D2-BD06ED3F3A2A}"/>
    <cellStyle name="20% - Accent5 16 4" xfId="37690" xr:uid="{DEA0CB14-3D31-41F2-84F1-BE33D59419A9}"/>
    <cellStyle name="20% - Accent5 17" xfId="35652" xr:uid="{24A8D3F3-9067-4FF0-9671-5DAA9EC8BBBE}"/>
    <cellStyle name="20% - Accent5 17 2" xfId="36820" xr:uid="{5A73A756-05E4-49AE-AF6C-0CBF609062C4}"/>
    <cellStyle name="20% - Accent5 17 3" xfId="37710" xr:uid="{BA0F80F6-555B-4C8A-86BC-21179975ED65}"/>
    <cellStyle name="20% - Accent5 18" xfId="35670" xr:uid="{7472EADD-1C2C-45BD-A5F8-94D7D033D6C5}"/>
    <cellStyle name="20% - Accent5 18 2" xfId="36839" xr:uid="{6CFFF597-3E55-4C3B-A655-307734C4999F}"/>
    <cellStyle name="20% - Accent5 18 3" xfId="37729" xr:uid="{A0EF72BA-4AD0-4F3F-8384-F7EF500CE1CA}"/>
    <cellStyle name="20% - Accent5 19" xfId="35689" xr:uid="{93E8BC96-0907-48FA-825F-A6CDE4F46138}"/>
    <cellStyle name="20% - Accent5 19 2" xfId="36858" xr:uid="{ECDDE0D9-84BF-4B74-AA49-16DC4157517A}"/>
    <cellStyle name="20% - Accent5 19 3" xfId="37748" xr:uid="{A6337A8B-D674-4CB3-B719-33105298E27E}"/>
    <cellStyle name="20% - Accent5 2" xfId="89" xr:uid="{B55D10E2-D705-4DAC-A0CE-6B91E90DBFC9}"/>
    <cellStyle name="20% - Accent5 2 10" xfId="13043" xr:uid="{7883751E-1BE0-4773-9F41-FB0E2C3D3E23}"/>
    <cellStyle name="20% - Accent5 2 10 2" xfId="11665" xr:uid="{5BAB99CC-836E-404E-A914-22DF42E3DF53}"/>
    <cellStyle name="20% - Accent5 2 10 3" xfId="37429" xr:uid="{B3E03FA6-A12F-4907-9B0B-FD779A54F168}"/>
    <cellStyle name="20% - Accent5 2 11" xfId="7516" xr:uid="{142F3604-D826-4AC7-8B97-7697B7E058A2}"/>
    <cellStyle name="20% - Accent5 2 12" xfId="34445" xr:uid="{49F164C0-858C-4BC4-B5B0-E6BE67F3A92A}"/>
    <cellStyle name="20% - Accent5 2 13" xfId="22437" xr:uid="{9F099976-F9DD-4600-9A2C-FB5EA66A619B}"/>
    <cellStyle name="20% - Accent5 2 2" xfId="150" xr:uid="{07DC5C85-0053-4464-A17C-13156E54D96B}"/>
    <cellStyle name="20% - Accent5 2 2 10" xfId="22185" xr:uid="{70D656BA-1AF2-419E-ACDE-DB56669A5749}"/>
    <cellStyle name="20% - Accent5 2 2 11" xfId="34500" xr:uid="{3E210C08-A3CA-4445-B13D-0FAF72680F1E}"/>
    <cellStyle name="20% - Accent5 2 2 12" xfId="33206" xr:uid="{C6A0E606-AE85-4F61-AE1F-E3DE3FA21767}"/>
    <cellStyle name="20% - Accent5 2 2 2" xfId="22184" xr:uid="{C37C082E-AB4D-4A31-8B8A-DACD067AE6B2}"/>
    <cellStyle name="20% - Accent5 2 2 2 2" xfId="22182" xr:uid="{CBB7A25E-4B3F-43A9-8EF9-1F119D836875}"/>
    <cellStyle name="20% - Accent5 2 2 2 2 2" xfId="22177" xr:uid="{9E368B53-66E6-4C0D-A52C-D06C2C7306CB}"/>
    <cellStyle name="20% - Accent5 2 2 2 2 2 2" xfId="25720" xr:uid="{D46DA10A-D256-48E0-A5D4-C9CB1862CBAF}"/>
    <cellStyle name="20% - Accent5 2 2 2 2 2 2 2" xfId="32173" xr:uid="{1B0351E8-ABE3-43BA-B3D2-4FD4509A3D21}"/>
    <cellStyle name="20% - Accent5 2 2 2 2 2 2 2 2" xfId="22173" xr:uid="{474931BE-EA56-49C5-A6C8-096128739442}"/>
    <cellStyle name="20% - Accent5 2 2 2 2 2 2 2 2 2" xfId="22172" xr:uid="{0BE7F42F-E7B8-4A33-BC7F-B7A29C10A89A}"/>
    <cellStyle name="20% - Accent5 2 2 2 2 2 2 2 2 2 2" xfId="22537" xr:uid="{2A7927AA-2117-4EAD-90CE-7B160162FF3B}"/>
    <cellStyle name="20% - Accent5 2 2 2 2 2 2 2 2 2 2 2" xfId="22170" xr:uid="{B399298F-3AC0-4346-B06B-CB4B0AC03CC8}"/>
    <cellStyle name="20% - Accent5 2 2 2 2 2 2 2 2 2 3" xfId="22522" xr:uid="{ABB5FB5F-FE92-4251-A96D-270DF9D3F81F}"/>
    <cellStyle name="20% - Accent5 2 2 2 2 2 2 2 2 3" xfId="22168" xr:uid="{06C19C00-06EC-40DB-8C3B-8227E84DC84A}"/>
    <cellStyle name="20% - Accent5 2 2 2 2 2 2 2 2 3 2" xfId="22516" xr:uid="{34985F54-0039-4131-8C03-3B0FA9CADC47}"/>
    <cellStyle name="20% - Accent5 2 2 2 2 2 2 2 2 4" xfId="24671" xr:uid="{8B802B29-DC2B-4EAD-9E93-D057F6DF75EC}"/>
    <cellStyle name="20% - Accent5 2 2 2 2 2 2 2 3" xfId="22166" xr:uid="{0BE51E40-96F3-4119-ADC1-8C41578F25D6}"/>
    <cellStyle name="20% - Accent5 2 2 2 2 2 2 2 3 2" xfId="22165" xr:uid="{C542E770-8975-439A-B684-ECE4FBFA32B3}"/>
    <cellStyle name="20% - Accent5 2 2 2 2 2 2 2 3 2 2" xfId="22501" xr:uid="{475708E6-1C43-4B0F-8E3B-45C6510BAD2E}"/>
    <cellStyle name="20% - Accent5 2 2 2 2 2 2 2 3 3" xfId="22164" xr:uid="{0F871D4F-D679-4C3F-9A03-499FDD322FC8}"/>
    <cellStyle name="20% - Accent5 2 2 2 2 2 2 2 4" xfId="27720" xr:uid="{9DC2BCAF-44E7-4DE3-B39F-5540D7E412AC}"/>
    <cellStyle name="20% - Accent5 2 2 2 2 2 2 2 4 2" xfId="22162" xr:uid="{C571C0A1-7807-4D24-924F-BC5FACFF0909}"/>
    <cellStyle name="20% - Accent5 2 2 2 2 2 2 2 5" xfId="27710" xr:uid="{099A3B5D-499F-4B45-B811-0FE3C03C3445}"/>
    <cellStyle name="20% - Accent5 2 2 2 2 2 2 3" xfId="25917" xr:uid="{505AD114-4E8A-4A07-9726-5E8A2241D72C}"/>
    <cellStyle name="20% - Accent5 2 2 2 2 2 2 3 2" xfId="22159" xr:uid="{F9A37558-B531-4538-8C41-6425A196EE45}"/>
    <cellStyle name="20% - Accent5 2 2 2 2 2 2 3 2 2" xfId="22155" xr:uid="{1EAC4030-2522-49B9-9AD0-FF9559F383E2}"/>
    <cellStyle name="20% - Accent5 2 2 2 2 2 2 3 2 2 2" xfId="25159" xr:uid="{41BAE1D3-4CF9-42DC-91EC-7B9956279A61}"/>
    <cellStyle name="20% - Accent5 2 2 2 2 2 2 3 2 3" xfId="22154" xr:uid="{B2BAC7C3-6808-4139-A070-175C86E36F0D}"/>
    <cellStyle name="20% - Accent5 2 2 2 2 2 2 3 3" xfId="22151" xr:uid="{8DB48239-AC47-4A5F-BBB8-EC6C57960244}"/>
    <cellStyle name="20% - Accent5 2 2 2 2 2 2 3 3 2" xfId="22148" xr:uid="{C15E8FF6-FD57-4996-B655-C7057A20DC1B}"/>
    <cellStyle name="20% - Accent5 2 2 2 2 2 2 3 4" xfId="8291" xr:uid="{768922E0-3C5A-4A81-A069-4B2C7ADF8063}"/>
    <cellStyle name="20% - Accent5 2 2 2 2 2 2 4" xfId="25909" xr:uid="{A1843E09-13D9-4F66-A53D-D7A04950F701}"/>
    <cellStyle name="20% - Accent5 2 2 2 2 2 2 4 2" xfId="22147" xr:uid="{A3065CEB-4128-46A3-9716-FAF6A1AB8ACF}"/>
    <cellStyle name="20% - Accent5 2 2 2 2 2 2 4 2 2" xfId="22144" xr:uid="{19170DBD-CF51-4F6D-9CAB-B031213CE16A}"/>
    <cellStyle name="20% - Accent5 2 2 2 2 2 2 4 3" xfId="8287" xr:uid="{71E98E19-0A82-4DA6-8EA4-7EC5D3810E4C}"/>
    <cellStyle name="20% - Accent5 2 2 2 2 2 2 5" xfId="25901" xr:uid="{20A42E09-94BB-40A0-8013-21D542B83CD8}"/>
    <cellStyle name="20% - Accent5 2 2 2 2 2 2 5 2" xfId="19914" xr:uid="{7808782B-E99F-405E-8BE3-C493205DB196}"/>
    <cellStyle name="20% - Accent5 2 2 2 2 2 2 6" xfId="31648" xr:uid="{EE2C6DFA-3A2D-48AD-B368-3E73483D903F}"/>
    <cellStyle name="20% - Accent5 2 2 2 2 2 3" xfId="30975" xr:uid="{5D0CB3E1-1B9A-4319-90FF-FCE6E233873B}"/>
    <cellStyle name="20% - Accent5 2 2 2 2 2 3 2" xfId="12025" xr:uid="{6F4537C4-48B2-4FBA-977E-55EBE675450A}"/>
    <cellStyle name="20% - Accent5 2 2 2 2 2 3 2 2" xfId="19515" xr:uid="{E464669D-5B2C-4010-BBBD-24C1956C0EF1}"/>
    <cellStyle name="20% - Accent5 2 2 2 2 2 3 2 2 2" xfId="22141" xr:uid="{ABF30D36-1CFF-43CA-9B15-11C78B29725C}"/>
    <cellStyle name="20% - Accent5 2 2 2 2 2 3 2 2 2 2" xfId="22345" xr:uid="{E7377488-5D38-40A7-B26B-CB96188B44ED}"/>
    <cellStyle name="20% - Accent5 2 2 2 2 2 3 2 2 3" xfId="16233" xr:uid="{3B9A3A36-9D2E-40F7-A797-91157A0143B5}"/>
    <cellStyle name="20% - Accent5 2 2 2 2 2 3 2 3" xfId="22136" xr:uid="{7F7B00F4-96E4-46A9-9FBE-556EA67B6CE0}"/>
    <cellStyle name="20% - Accent5 2 2 2 2 2 3 2 3 2" xfId="22132" xr:uid="{380EDEA5-2262-4C71-BE66-C650A0AC92BE}"/>
    <cellStyle name="20% - Accent5 2 2 2 2 2 3 2 4" xfId="23289" xr:uid="{898FA37E-7FB7-44B3-86F6-5627C3B44F50}"/>
    <cellStyle name="20% - Accent5 2 2 2 2 2 3 3" xfId="12974" xr:uid="{65442084-3CEF-4362-8DA0-C7F304A9A708}"/>
    <cellStyle name="20% - Accent5 2 2 2 2 2 3 3 2" xfId="22125" xr:uid="{486A0C3C-0CEA-48AC-BA17-1797A68F9051}"/>
    <cellStyle name="20% - Accent5 2 2 2 2 2 3 3 2 2" xfId="22120" xr:uid="{632FD37B-D8A7-4BFD-889D-7EC36C913736}"/>
    <cellStyle name="20% - Accent5 2 2 2 2 2 3 3 3" xfId="8273" xr:uid="{18DA255A-D097-4DF8-9B76-1029AA0E952F}"/>
    <cellStyle name="20% - Accent5 2 2 2 2 2 3 4" xfId="12970" xr:uid="{BC433E13-710F-4367-AF48-94436087CDB4}"/>
    <cellStyle name="20% - Accent5 2 2 2 2 2 3 4 2" xfId="8265" xr:uid="{FDC5F54C-168A-45E3-94A6-B73D7817D3F4}"/>
    <cellStyle name="20% - Accent5 2 2 2 2 2 3 5" xfId="8076" xr:uid="{249FDE74-28E9-4A7F-A43E-8160A3D138A5}"/>
    <cellStyle name="20% - Accent5 2 2 2 2 2 4" xfId="23953" xr:uid="{5B905602-BAC8-495A-9E2A-A2B1570CE56D}"/>
    <cellStyle name="20% - Accent5 2 2 2 2 2 4 2" xfId="18526" xr:uid="{313E2B47-943B-46F1-BAC3-F65CB4B9D36C}"/>
    <cellStyle name="20% - Accent5 2 2 2 2 2 4 2 2" xfId="23759" xr:uid="{6C9BC572-2C2B-4AE9-8836-74224CCADC53}"/>
    <cellStyle name="20% - Accent5 2 2 2 2 2 4 2 2 2" xfId="22116" xr:uid="{BFD17054-FE74-46F0-9C16-759BF8EC84D1}"/>
    <cellStyle name="20% - Accent5 2 2 2 2 2 4 2 3" xfId="23755" xr:uid="{72A8018A-F558-431C-B3DE-F491F3D9968B}"/>
    <cellStyle name="20% - Accent5 2 2 2 2 2 4 3" xfId="12959" xr:uid="{B50D75D5-E3AC-49C1-A9FF-11ACB2327BAF}"/>
    <cellStyle name="20% - Accent5 2 2 2 2 2 4 3 2" xfId="8254" xr:uid="{755E9AA1-1C28-401D-97AD-DFDB845EFD03}"/>
    <cellStyle name="20% - Accent5 2 2 2 2 2 4 4" xfId="12957" xr:uid="{1DB38EAB-2650-433B-B928-3E47822E2564}"/>
    <cellStyle name="20% - Accent5 2 2 2 2 2 5" xfId="27646" xr:uid="{5EE8F544-80D3-4854-A27A-58AA853CF56F}"/>
    <cellStyle name="20% - Accent5 2 2 2 2 2 5 2" xfId="27519" xr:uid="{B43A8181-FD35-4688-9B49-EBDE96C7E05C}"/>
    <cellStyle name="20% - Accent5 2 2 2 2 2 5 2 2" xfId="22956" xr:uid="{5F33A652-A6D8-4735-A3A0-0D9A7E303BD5}"/>
    <cellStyle name="20% - Accent5 2 2 2 2 2 5 3" xfId="12944" xr:uid="{35611DF1-D3FD-4D9C-9802-5981B68BCBC5}"/>
    <cellStyle name="20% - Accent5 2 2 2 2 2 6" xfId="22111" xr:uid="{F5DBF054-DA01-4EA4-9779-DB33FB347D6D}"/>
    <cellStyle name="20% - Accent5 2 2 2 2 2 6 2" xfId="12941" xr:uid="{479D0157-9020-4C94-9BDB-E51FC04E8409}"/>
    <cellStyle name="20% - Accent5 2 2 2 2 2 7" xfId="22109" xr:uid="{F39DF705-1E89-4E88-8BA6-EF88A113D0DB}"/>
    <cellStyle name="20% - Accent5 2 2 2 2 3" xfId="22131" xr:uid="{93CC6318-119D-44B8-9CB4-EB76A09AD34C}"/>
    <cellStyle name="20% - Accent5 2 2 2 2 3 2" xfId="27494" xr:uid="{498D5863-C4A4-4361-BC91-EAFDBB54957D}"/>
    <cellStyle name="20% - Accent5 2 2 2 2 3 2 2" xfId="25878" xr:uid="{BD8F412A-803B-4327-BA06-784140F13FE1}"/>
    <cellStyle name="20% - Accent5 2 2 2 2 3 2 2 2" xfId="22108" xr:uid="{FC3574A8-E75F-40E5-8119-089965F2E763}"/>
    <cellStyle name="20% - Accent5 2 2 2 2 3 2 2 2 2" xfId="22103" xr:uid="{B76C4C63-04E7-4015-94CA-30676BC850AC}"/>
    <cellStyle name="20% - Accent5 2 2 2 2 3 2 2 2 2 2" xfId="32193" xr:uid="{A3179027-CDD0-49C4-90C9-46FAB9FE5D0A}"/>
    <cellStyle name="20% - Accent5 2 2 2 2 3 2 2 2 3" xfId="26973" xr:uid="{F9F85AF5-A63D-431C-8D88-5E8598142F75}"/>
    <cellStyle name="20% - Accent5 2 2 2 2 3 2 2 3" xfId="24290" xr:uid="{72D5B8DF-8799-48A5-BC5B-8C0D168A8897}"/>
    <cellStyle name="20% - Accent5 2 2 2 2 3 2 2 3 2" xfId="23685" xr:uid="{2A5C0A31-8202-4750-A35B-BDF5F14D90B6}"/>
    <cellStyle name="20% - Accent5 2 2 2 2 3 2 2 4" xfId="25081" xr:uid="{D0B545B9-982E-43FA-A00C-FBBE607EDD19}"/>
    <cellStyle name="20% - Accent5 2 2 2 2 3 2 3" xfId="32226" xr:uid="{CE346BD8-644B-4347-948D-1AF11FB3C7EA}"/>
    <cellStyle name="20% - Accent5 2 2 2 2 3 2 3 2" xfId="22101" xr:uid="{24FD62FD-34A6-44B3-BE20-AF9A9D71689B}"/>
    <cellStyle name="20% - Accent5 2 2 2 2 3 2 3 2 2" xfId="18768" xr:uid="{A3D16229-6D6E-4E79-8C4B-2757AF13E653}"/>
    <cellStyle name="20% - Accent5 2 2 2 2 3 2 3 3" xfId="24170" xr:uid="{75D42B68-3E0E-4587-AAE3-05BA9833632E}"/>
    <cellStyle name="20% - Accent5 2 2 2 2 3 2 4" xfId="25873" xr:uid="{1B6E9673-779F-4465-BD9F-EF265C34C1D1}"/>
    <cellStyle name="20% - Accent5 2 2 2 2 3 2 4 2" xfId="8227" xr:uid="{F7E02986-0740-445C-AACA-C4447955B210}"/>
    <cellStyle name="20% - Accent5 2 2 2 2 3 2 5" xfId="30242" xr:uid="{67C115C3-FF2D-4377-BA49-448D7AD5A3A7}"/>
    <cellStyle name="20% - Accent5 2 2 2 2 3 3" xfId="22092" xr:uid="{C00CFADC-3394-4BFA-8E30-7395F0B63F71}"/>
    <cellStyle name="20% - Accent5 2 2 2 2 3 3 2" xfId="12934" xr:uid="{1B50A5DA-849D-437F-A808-DAF174B16EF7}"/>
    <cellStyle name="20% - Accent5 2 2 2 2 3 3 2 2" xfId="22091" xr:uid="{1B45C9B0-FA11-41A9-9513-BE96CAC8FE30}"/>
    <cellStyle name="20% - Accent5 2 2 2 2 3 3 2 2 2" xfId="22087" xr:uid="{819AA6F2-44C1-409E-ADDF-43AD1290C5F8}"/>
    <cellStyle name="20% - Accent5 2 2 2 2 3 3 2 3" xfId="24233" xr:uid="{3EB475EB-A37A-45B6-825F-A48F3A4C2B7F}"/>
    <cellStyle name="20% - Accent5 2 2 2 2 3 3 3" xfId="25869" xr:uid="{5B41B5FD-470A-49DF-AD72-F5C3F2AF3BA3}"/>
    <cellStyle name="20% - Accent5 2 2 2 2 3 3 3 2" xfId="22083" xr:uid="{D54EF86D-BC73-413C-9CFC-F16DC0383BE6}"/>
    <cellStyle name="20% - Accent5 2 2 2 2 3 3 4" xfId="12932" xr:uid="{4AE8756F-B209-4D93-A9B8-92DF996D8BF8}"/>
    <cellStyle name="20% - Accent5 2 2 2 2 3 4" xfId="22077" xr:uid="{D18C55CB-DB48-4541-923C-9B53EBD7AB42}"/>
    <cellStyle name="20% - Accent5 2 2 2 2 3 4 2" xfId="12922" xr:uid="{0666D51D-4F40-4308-AB24-CD8E5CD0F07A}"/>
    <cellStyle name="20% - Accent5 2 2 2 2 3 4 2 2" xfId="34158" xr:uid="{10735E11-13AA-4D9E-A1E2-40627942C05D}"/>
    <cellStyle name="20% - Accent5 2 2 2 2 3 4 3" xfId="12920" xr:uid="{850C450E-E39F-4C9E-B011-976F00827CD4}"/>
    <cellStyle name="20% - Accent5 2 2 2 2 3 5" xfId="22075" xr:uid="{BD7255E2-9EB5-443B-B0C5-1C380107BDC8}"/>
    <cellStyle name="20% - Accent5 2 2 2 2 3 5 2" xfId="12916" xr:uid="{0DBDEDBC-B2F6-4A0F-9B63-5E80702A5AD1}"/>
    <cellStyle name="20% - Accent5 2 2 2 2 3 6" xfId="22072" xr:uid="{3D68E10D-93CB-4E2A-AD9C-9CB8DC269B5E}"/>
    <cellStyle name="20% - Accent5 2 2 2 2 4" xfId="22070" xr:uid="{9794528E-09B1-47F7-93A1-516FC29A1A02}"/>
    <cellStyle name="20% - Accent5 2 2 2 2 4 2" xfId="20465" xr:uid="{53BAFD3F-2EF3-4A1F-BCDD-F150DA7A8618}"/>
    <cellStyle name="20% - Accent5 2 2 2 2 4 2 2" xfId="25866" xr:uid="{3F5C7C24-E527-475F-915C-283976ABB05E}"/>
    <cellStyle name="20% - Accent5 2 2 2 2 4 2 2 2" xfId="22069" xr:uid="{3F9E4D48-187F-4E53-81B0-FC5D3A28DA06}"/>
    <cellStyle name="20% - Accent5 2 2 2 2 4 2 2 2 2" xfId="22064" xr:uid="{707A64A5-4FBE-4FFB-A715-35A6F11D4676}"/>
    <cellStyle name="20% - Accent5 2 2 2 2 4 2 2 3" xfId="24152" xr:uid="{E45CAFE4-EBDA-4F8F-8552-EBF92BF6DB10}"/>
    <cellStyle name="20% - Accent5 2 2 2 2 4 2 3" xfId="30538" xr:uid="{1F6CDB83-00A5-4666-8FE8-CFED63446F19}"/>
    <cellStyle name="20% - Accent5 2 2 2 2 4 2 3 2" xfId="8205" xr:uid="{0FE310E1-68F4-409C-8E84-55AFD159F774}"/>
    <cellStyle name="20% - Accent5 2 2 2 2 4 2 4" xfId="23707" xr:uid="{DDA87B00-E482-433F-BCAD-4507AC594D6E}"/>
    <cellStyle name="20% - Accent5 2 2 2 2 4 3" xfId="32943" xr:uid="{10255471-216E-40C8-B687-7E47AD51A531}"/>
    <cellStyle name="20% - Accent5 2 2 2 2 4 3 2" xfId="12906" xr:uid="{9550E839-9A52-4743-9C47-2205B3800F1F}"/>
    <cellStyle name="20% - Accent5 2 2 2 2 4 3 2 2" xfId="22061" xr:uid="{D2CA2825-71A3-4C03-A56E-A51F2B531AA4}"/>
    <cellStyle name="20% - Accent5 2 2 2 2 4 3 3" xfId="12904" xr:uid="{55824E31-2577-4311-8924-72FF619F09E3}"/>
    <cellStyle name="20% - Accent5 2 2 2 2 4 4" xfId="7968" xr:uid="{E0BCB3A9-8E79-4B3E-B3EE-C7893081BE67}"/>
    <cellStyle name="20% - Accent5 2 2 2 2 4 4 2" xfId="12898" xr:uid="{70A440FC-37EA-4F66-A5C7-49127E7FB034}"/>
    <cellStyle name="20% - Accent5 2 2 2 2 4 5" xfId="26612" xr:uid="{819D155D-859C-4A74-A645-FC832903F7A0}"/>
    <cellStyle name="20% - Accent5 2 2 2 2 5" xfId="22053" xr:uid="{F4AEE4D9-BD3A-46C7-B7D9-4DA1B3C77BE2}"/>
    <cellStyle name="20% - Accent5 2 2 2 2 5 2" xfId="32018" xr:uid="{0CAB8E9E-007D-4DFC-B2F9-03A6DB8259D2}"/>
    <cellStyle name="20% - Accent5 2 2 2 2 5 2 2" xfId="8740" xr:uid="{AC2F673D-00FA-49EE-A46D-8CB1B9A0A576}"/>
    <cellStyle name="20% - Accent5 2 2 2 2 5 2 2 2" xfId="22050" xr:uid="{4651A35E-4FB3-4127-98EC-B4D30D139291}"/>
    <cellStyle name="20% - Accent5 2 2 2 2 5 2 3" xfId="23352" xr:uid="{F8332D16-D944-439E-9BAE-CE803615183B}"/>
    <cellStyle name="20% - Accent5 2 2 2 2 5 3" xfId="33673" xr:uid="{FA5E2C96-4E63-4F69-BBE8-36C1DCE58CC4}"/>
    <cellStyle name="20% - Accent5 2 2 2 2 5 3 2" xfId="12885" xr:uid="{F8F53E7B-87C9-4EAA-BC34-E275E9E80AEE}"/>
    <cellStyle name="20% - Accent5 2 2 2 2 5 4" xfId="7962" xr:uid="{64270143-2DD0-4480-B39E-93C2CAE96B2F}"/>
    <cellStyle name="20% - Accent5 2 2 2 2 6" xfId="22044" xr:uid="{549BD050-0D87-4A64-9B50-81EB7F23C0CB}"/>
    <cellStyle name="20% - Accent5 2 2 2 2 6 2" xfId="28922" xr:uid="{77A10D25-B3F1-4596-B212-BA919A18A083}"/>
    <cellStyle name="20% - Accent5 2 2 2 2 6 2 2" xfId="23335" xr:uid="{3F0DDC02-A9C0-4390-BFF6-17815D8CC5FB}"/>
    <cellStyle name="20% - Accent5 2 2 2 2 6 3" xfId="32916" xr:uid="{D99CA568-0F1A-4A57-8B9F-B26436713FEE}"/>
    <cellStyle name="20% - Accent5 2 2 2 2 7" xfId="22042" xr:uid="{60355F30-FFE7-4546-B063-CEE22381CC4D}"/>
    <cellStyle name="20% - Accent5 2 2 2 2 7 2" xfId="27871" xr:uid="{27CC02A7-1E00-40CB-9768-1FA8181EB302}"/>
    <cellStyle name="20% - Accent5 2 2 2 2 8" xfId="22041" xr:uid="{AAAC4578-BF0D-46E8-A35D-2DA24F820DAC}"/>
    <cellStyle name="20% - Accent5 2 2 2 3" xfId="31143" xr:uid="{F6FA4A97-B124-44CE-83CE-CDDDADBB3800}"/>
    <cellStyle name="20% - Accent5 2 2 2 3 2" xfId="18302" xr:uid="{2C60196D-FDF0-4B28-BA74-1D76AC944447}"/>
    <cellStyle name="20% - Accent5 2 2 2 3 2 2" xfId="27489" xr:uid="{6DF38461-5F52-4A72-B93B-11F1B134CF96}"/>
    <cellStyle name="20% - Accent5 2 2 2 3 2 2 2" xfId="28322" xr:uid="{9745B1BA-76C8-4C31-BCD2-6D273ADE5A64}"/>
    <cellStyle name="20% - Accent5 2 2 2 3 2 2 2 2" xfId="22039" xr:uid="{94C963C7-7780-456B-B244-F69BCA0E8006}"/>
    <cellStyle name="20% - Accent5 2 2 2 3 2 2 2 2 2" xfId="6067" xr:uid="{5FCAD91F-AF65-43C1-912E-992D0EF7BEA4}"/>
    <cellStyle name="20% - Accent5 2 2 2 3 2 2 2 2 2 2" xfId="13780" xr:uid="{70C97CA6-2EB6-47C5-9D18-7C45CEC614F2}"/>
    <cellStyle name="20% - Accent5 2 2 2 3 2 2 2 2 3" xfId="33459" xr:uid="{33942438-182A-4725-957C-68F634053699}"/>
    <cellStyle name="20% - Accent5 2 2 2 3 2 2 2 3" xfId="21661" xr:uid="{BFBC2EAB-14E8-48E1-BA82-8809D3FBD138}"/>
    <cellStyle name="20% - Accent5 2 2 2 3 2 2 2 3 2" xfId="22038" xr:uid="{FC5C2447-4AD1-4E56-A910-50BABC2A9594}"/>
    <cellStyle name="20% - Accent5 2 2 2 3 2 2 2 4" xfId="21654" xr:uid="{2AA0412D-5FB8-4264-B012-DE798770A591}"/>
    <cellStyle name="20% - Accent5 2 2 2 3 2 2 3" xfId="28314" xr:uid="{9A487A18-FF56-4C46-9140-16A679E357C6}"/>
    <cellStyle name="20% - Accent5 2 2 2 3 2 2 3 2" xfId="22032" xr:uid="{990D22B1-FB0A-4F33-B1FD-546BBC7B7294}"/>
    <cellStyle name="20% - Accent5 2 2 2 3 2 2 3 2 2" xfId="22028" xr:uid="{1D73A2E8-3D1F-445E-AEAC-1FBAA3710909}"/>
    <cellStyle name="20% - Accent5 2 2 2 3 2 2 3 3" xfId="21650" xr:uid="{C3CC5286-E71D-4005-8BD4-72764F2A97D6}"/>
    <cellStyle name="20% - Accent5 2 2 2 3 2 2 4" xfId="25834" xr:uid="{AE6B9CB4-8DBD-496C-84BE-4FE72CD0A5F3}"/>
    <cellStyle name="20% - Accent5 2 2 2 3 2 2 4 2" xfId="8117" xr:uid="{F9098752-D1BD-41B2-9D2B-1E048C332B7D}"/>
    <cellStyle name="20% - Accent5 2 2 2 3 2 2 5" xfId="31379" xr:uid="{1EB4AB6E-D4E0-4012-AB17-8EDA4A7A09B1}"/>
    <cellStyle name="20% - Accent5 2 2 2 3 2 3" xfId="31530" xr:uid="{DEC61613-024D-4F41-A78D-D47ACF6D1653}"/>
    <cellStyle name="20% - Accent5 2 2 2 3 2 3 2" xfId="14699" xr:uid="{9508B06E-C3FD-460B-A6A6-55D3AA0DB3AB}"/>
    <cellStyle name="20% - Accent5 2 2 2 3 2 3 2 2" xfId="24343" xr:uid="{C6ED7E43-58A5-49AF-81A9-5C85FF4A1FC9}"/>
    <cellStyle name="20% - Accent5 2 2 2 3 2 3 2 2 2" xfId="22024" xr:uid="{0C46AC07-8AC1-405A-A4CB-E4036B20D6EE}"/>
    <cellStyle name="20% - Accent5 2 2 2 3 2 3 2 3" xfId="21642" xr:uid="{FB95EFAA-BE27-4C57-B272-123089707772}"/>
    <cellStyle name="20% - Accent5 2 2 2 3 2 3 3" xfId="17316" xr:uid="{236EB637-BDC9-4C62-9861-B61F1C31D90D}"/>
    <cellStyle name="20% - Accent5 2 2 2 3 2 3 3 2" xfId="8109" xr:uid="{B8D13C41-47F0-4FE7-A5D1-079C6A4EDFBB}"/>
    <cellStyle name="20% - Accent5 2 2 2 3 2 3 4" xfId="12838" xr:uid="{E620586E-5F13-46E2-A918-18AD2E916B29}"/>
    <cellStyle name="20% - Accent5 2 2 2 3 2 4" xfId="23568" xr:uid="{A6391BA0-1EE4-471B-AFA6-07850F355AC4}"/>
    <cellStyle name="20% - Accent5 2 2 2 3 2 4 2" xfId="14685" xr:uid="{F1E3F48A-9F64-4AA7-B5A1-8909C6CC672C}"/>
    <cellStyle name="20% - Accent5 2 2 2 3 2 4 2 2" xfId="19718" xr:uid="{E1DA008D-34A0-47CC-B907-806D0C002B9B}"/>
    <cellStyle name="20% - Accent5 2 2 2 3 2 4 3" xfId="12834" xr:uid="{8C2BBD71-3B40-495E-98F4-674532593B61}"/>
    <cellStyle name="20% - Accent5 2 2 2 3 2 5" xfId="22019" xr:uid="{98069542-75F8-4314-BF97-1BDACFEB6201}"/>
    <cellStyle name="20% - Accent5 2 2 2 3 2 5 2" xfId="12832" xr:uid="{2BA0EDB4-D9C3-47FC-8BF3-C538CC005C47}"/>
    <cellStyle name="20% - Accent5 2 2 2 3 2 6" xfId="22015" xr:uid="{62AFF951-BD86-4F02-AD88-048E1509D303}"/>
    <cellStyle name="20% - Accent5 2 2 2 3 3" xfId="24368" xr:uid="{AFAEEA98-5E25-46B8-B2C4-BAB23E0A53F2}"/>
    <cellStyle name="20% - Accent5 2 2 2 3 3 2" xfId="29911" xr:uid="{83D381DF-6046-4C02-9D6A-B0B74042602E}"/>
    <cellStyle name="20% - Accent5 2 2 2 3 3 2 2" xfId="28276" xr:uid="{C9A1B57B-E9CD-418F-A63A-D0CCCA4C695F}"/>
    <cellStyle name="20% - Accent5 2 2 2 3 3 2 2 2" xfId="22012" xr:uid="{7B9E63DB-51EC-44E1-ACCF-906CED0BBE32}"/>
    <cellStyle name="20% - Accent5 2 2 2 3 3 2 2 2 2" xfId="34061" xr:uid="{7051FA03-1356-47C1-BF47-56C154314EFE}"/>
    <cellStyle name="20% - Accent5 2 2 2 3 3 2 2 3" xfId="21586" xr:uid="{94253B05-20ED-4772-B8B7-DC4C6A550A14}"/>
    <cellStyle name="20% - Accent5 2 2 2 3 3 2 3" xfId="25819" xr:uid="{724555C3-335E-467C-96E3-DE21EF21FCE6}"/>
    <cellStyle name="20% - Accent5 2 2 2 3 3 2 3 2" xfId="8095" xr:uid="{055A9495-CE51-409F-B477-7F76AF6ADC08}"/>
    <cellStyle name="20% - Accent5 2 2 2 3 3 2 4" xfId="22924" xr:uid="{DEA94A9D-D1D7-45F3-89C5-51746A0AC663}"/>
    <cellStyle name="20% - Accent5 2 2 2 3 3 3" xfId="24772" xr:uid="{DA56E567-FA4A-45C0-B51F-FFAA87E95147}"/>
    <cellStyle name="20% - Accent5 2 2 2 3 3 3 2" xfId="25816" xr:uid="{6603F8A5-FD63-4442-BDF3-215376ABE328}"/>
    <cellStyle name="20% - Accent5 2 2 2 3 3 3 2 2" xfId="31527" xr:uid="{153428D8-729D-4F84-9626-658873772EC2}"/>
    <cellStyle name="20% - Accent5 2 2 2 3 3 3 3" xfId="16189" xr:uid="{C134E07E-D793-4737-96D2-98B07A31732F}"/>
    <cellStyle name="20% - Accent5 2 2 2 3 3 4" xfId="22004" xr:uid="{0EBD4FAE-A3DF-40C9-BFD8-89D124319D0E}"/>
    <cellStyle name="20% - Accent5 2 2 2 3 3 4 2" xfId="16186" xr:uid="{41559EAB-ACA8-4168-90F9-3F28C0D394F3}"/>
    <cellStyle name="20% - Accent5 2 2 2 3 3 5" xfId="21999" xr:uid="{E55AA54F-49F2-4AEC-BD28-5CDE9EB30CFF}"/>
    <cellStyle name="20% - Accent5 2 2 2 3 4" xfId="18299" xr:uid="{17928472-E0AC-42CD-8B0A-DF4A55A7DB88}"/>
    <cellStyle name="20% - Accent5 2 2 2 3 4 2" xfId="29552" xr:uid="{2A0CF29B-4504-4A8A-904A-D572ACD614DA}"/>
    <cellStyle name="20% - Accent5 2 2 2 3 4 2 2" xfId="25807" xr:uid="{CA699983-DF56-4F4C-B55E-62146E2C6041}"/>
    <cellStyle name="20% - Accent5 2 2 2 3 4 2 2 2" xfId="21997" xr:uid="{85101A5D-B680-45EC-A553-EFF0AC6A01AA}"/>
    <cellStyle name="20% - Accent5 2 2 2 3 4 2 3" xfId="23300" xr:uid="{622E400E-C441-433E-9723-2AB80E8E540B}"/>
    <cellStyle name="20% - Accent5 2 2 2 3 4 3" xfId="15247" xr:uid="{3C94ED3A-0BA4-40F3-BAAE-0324DD1C03DE}"/>
    <cellStyle name="20% - Accent5 2 2 2 3 4 3 2" xfId="16175" xr:uid="{70E4DA3A-FA56-4E54-9B15-54AD70272802}"/>
    <cellStyle name="20% - Accent5 2 2 2 3 4 4" xfId="7956" xr:uid="{B89F131E-6E65-4417-9B33-6FB9CB70D8FD}"/>
    <cellStyle name="20% - Accent5 2 2 2 3 5" xfId="28417" xr:uid="{3D84B545-B9C6-4DAA-B3B6-646DC2913F72}"/>
    <cellStyle name="20% - Accent5 2 2 2 3 5 2" xfId="30327" xr:uid="{B265F65E-F596-4A1A-A398-203B83DF9367}"/>
    <cellStyle name="20% - Accent5 2 2 2 3 5 2 2" xfId="24034" xr:uid="{C6265B9D-1BCB-45C8-B468-4902F4A20CDB}"/>
    <cellStyle name="20% - Accent5 2 2 2 3 5 3" xfId="30324" xr:uid="{4BA7BAFA-3325-4F40-BBF3-60B7B4F0B07E}"/>
    <cellStyle name="20% - Accent5 2 2 2 3 6" xfId="21988" xr:uid="{36444724-9550-4681-805D-0E675EA6D6F2}"/>
    <cellStyle name="20% - Accent5 2 2 2 3 6 2" xfId="30319" xr:uid="{9F32D2E8-1081-4F5A-B7C5-3C241E881E5D}"/>
    <cellStyle name="20% - Accent5 2 2 2 3 7" xfId="20490" xr:uid="{5A78DE12-0B98-4A07-861B-EA7C7F0E2999}"/>
    <cellStyle name="20% - Accent5 2 2 2 4" xfId="33080" xr:uid="{F273AB8B-30B2-4236-B634-BB1069113DD7}"/>
    <cellStyle name="20% - Accent5 2 2 2 4 2" xfId="11349" xr:uid="{59FFDFBD-E908-4F7C-820D-1C3C761E50D5}"/>
    <cellStyle name="20% - Accent5 2 2 2 4 2 2" xfId="29478" xr:uid="{21A5164A-F512-4F49-BA64-FB27A8A157BE}"/>
    <cellStyle name="20% - Accent5 2 2 2 4 2 2 2" xfId="26556" xr:uid="{691B758B-B356-4617-9B5A-0BF163A989D2}"/>
    <cellStyle name="20% - Accent5 2 2 2 4 2 2 2 2" xfId="21981" xr:uid="{941A2BD0-59F2-45C3-B4F5-B22AF0EBB2F3}"/>
    <cellStyle name="20% - Accent5 2 2 2 4 2 2 2 2 2" xfId="20105" xr:uid="{A47A64CA-3ABE-43B5-A5F8-42B4CC0C77C6}"/>
    <cellStyle name="20% - Accent5 2 2 2 4 2 2 2 3" xfId="21351" xr:uid="{E56CF306-C725-4F45-A15E-D7A3DD66AA41}"/>
    <cellStyle name="20% - Accent5 2 2 2 4 2 2 3" xfId="25801" xr:uid="{4DD330CE-300E-40BF-909A-0A9BACB1A964}"/>
    <cellStyle name="20% - Accent5 2 2 2 4 2 2 3 2" xfId="8036" xr:uid="{2900BC57-F9C3-4234-B01F-4E9F8424A3C9}"/>
    <cellStyle name="20% - Accent5 2 2 2 4 2 2 4" xfId="22624" xr:uid="{5907E1D9-DDE3-4D59-859E-4A8D0EC35CCF}"/>
    <cellStyle name="20% - Accent5 2 2 2 4 2 3" xfId="24593" xr:uid="{941B4F5E-B93D-4D72-AB67-FF5E8EF2682F}"/>
    <cellStyle name="20% - Accent5 2 2 2 4 2 3 2" xfId="14252" xr:uid="{38F9C03C-A282-4532-A8FB-5BD0EF4FE7C3}"/>
    <cellStyle name="20% - Accent5 2 2 2 4 2 3 2 2" xfId="21595" xr:uid="{7BD00C16-7FD5-4DE5-9395-F1409F939DC4}"/>
    <cellStyle name="20% - Accent5 2 2 2 4 2 3 3" xfId="12786" xr:uid="{A359E92D-98A3-4243-8322-E3169D63879D}"/>
    <cellStyle name="20% - Accent5 2 2 2 4 2 4" xfId="23548" xr:uid="{6F8F9E98-51BD-419D-9AC5-DDAFF4CD0DF7}"/>
    <cellStyle name="20% - Accent5 2 2 2 4 2 4 2" xfId="12778" xr:uid="{3BAFD645-C23A-478B-B4F9-6B4E2F35355C}"/>
    <cellStyle name="20% - Accent5 2 2 2 4 2 5" xfId="23538" xr:uid="{30E651A2-5ECA-4EC3-B593-71AC400F5F05}"/>
    <cellStyle name="20% - Accent5 2 2 2 4 3" xfId="29470" xr:uid="{85288662-BE59-4C23-BE6F-1622F76AECE8}"/>
    <cellStyle name="20% - Accent5 2 2 2 4 3 2" xfId="24564" xr:uid="{9CAE59E4-8161-47DC-9387-835378FCD248}"/>
    <cellStyle name="20% - Accent5 2 2 2 4 3 2 2" xfId="5395" xr:uid="{79110A4F-B032-4059-A538-6D55B5D95DA7}"/>
    <cellStyle name="20% - Accent5 2 2 2 4 3 2 2 2" xfId="21975" xr:uid="{CC3C6AE4-81A7-4534-ABEF-ED7DDF93302A}"/>
    <cellStyle name="20% - Accent5 2 2 2 4 3 2 3" xfId="24328" xr:uid="{54509A14-0A9B-4D23-AB6F-3096CBBF5400}"/>
    <cellStyle name="20% - Accent5 2 2 2 4 3 3" xfId="21968" xr:uid="{398BB8FF-35D1-4D87-A14B-99C8F15F5133}"/>
    <cellStyle name="20% - Accent5 2 2 2 4 3 3 2" xfId="16149" xr:uid="{C3FDB1C9-E5E0-475B-8F71-B126F24AB4F7}"/>
    <cellStyle name="20% - Accent5 2 2 2 4 3 4" xfId="23455" xr:uid="{85E24A28-D8EF-48EF-AC0F-3AF8F7088A1F}"/>
    <cellStyle name="20% - Accent5 2 2 2 4 4" xfId="33040" xr:uid="{8ACA7410-933C-4ED0-AB54-8B996E01A464}"/>
    <cellStyle name="20% - Accent5 2 2 2 4 4 2" xfId="26477" xr:uid="{2ACF487B-CD0F-43D7-9D5A-0F1618784F92}"/>
    <cellStyle name="20% - Accent5 2 2 2 4 4 2 2" xfId="24259" xr:uid="{370DF0D0-85C2-4C54-B8A7-3DD7FEFC3157}"/>
    <cellStyle name="20% - Accent5 2 2 2 4 4 3" xfId="26654" xr:uid="{AEC2F970-2700-4D9E-8132-74294E3766E2}"/>
    <cellStyle name="20% - Accent5 2 2 2 4 5" xfId="21963" xr:uid="{308784CB-A2BD-468E-A024-4AFBEFE167B9}"/>
    <cellStyle name="20% - Accent5 2 2 2 4 5 2" xfId="30191" xr:uid="{6A7529B8-0FC3-41B3-86D1-61D7F025681A}"/>
    <cellStyle name="20% - Accent5 2 2 2 4 6" xfId="21955" xr:uid="{BDD20AD1-FAFC-4BE8-AF05-EDEF087E8EEE}"/>
    <cellStyle name="20% - Accent5 2 2 2 5" xfId="32749" xr:uid="{414F6AF2-F22E-4BB6-955A-565C67BE00BE}"/>
    <cellStyle name="20% - Accent5 2 2 2 5 2" xfId="29415" xr:uid="{042438D9-EB43-478B-845B-A65AF60CF51D}"/>
    <cellStyle name="20% - Accent5 2 2 2 5 2 2" xfId="32634" xr:uid="{8401D19F-9328-4AC2-9BF3-EC37A9E3B67B}"/>
    <cellStyle name="20% - Accent5 2 2 2 5 2 2 2" xfId="25789" xr:uid="{99647341-BA97-4E01-A820-4747CCC4DB80}"/>
    <cellStyle name="20% - Accent5 2 2 2 5 2 2 2 2" xfId="23830" xr:uid="{D6D12317-59E1-49AE-A824-5E8C2C90C9FC}"/>
    <cellStyle name="20% - Accent5 2 2 2 5 2 2 3" xfId="21949" xr:uid="{517644BD-8CF0-4B41-9E20-B363FA95F6F6}"/>
    <cellStyle name="20% - Accent5 2 2 2 5 2 3" xfId="30160" xr:uid="{1A335068-A839-4649-B9AE-7DD1AB4330E8}"/>
    <cellStyle name="20% - Accent5 2 2 2 5 2 3 2" xfId="12747" xr:uid="{6AEAC7C3-9C8D-44C3-8895-208E5B6D17AE}"/>
    <cellStyle name="20% - Accent5 2 2 2 5 2 4" xfId="20045" xr:uid="{1B445C5B-0027-4CD9-BBC3-C7A88BD9B6F6}"/>
    <cellStyle name="20% - Accent5 2 2 2 5 3" xfId="34014" xr:uid="{250A89F8-61D9-4A1C-B423-0921AD247B06}"/>
    <cellStyle name="20% - Accent5 2 2 2 5 3 2" xfId="32152" xr:uid="{8CD88534-75A4-403E-B608-5D4EA125BAF6}"/>
    <cellStyle name="20% - Accent5 2 2 2 5 3 2 2" xfId="13336" xr:uid="{33E34478-D5EF-4ADA-9ADC-570E6B8B267E}"/>
    <cellStyle name="20% - Accent5 2 2 2 5 3 3" xfId="21943" xr:uid="{035E5974-C27E-4451-9E3C-403F5943874C}"/>
    <cellStyle name="20% - Accent5 2 2 2 5 4" xfId="8097" xr:uid="{8A0E692A-7629-464E-986B-68A8D065BB0E}"/>
    <cellStyle name="20% - Accent5 2 2 2 5 4 2" xfId="27811" xr:uid="{C452C141-35B4-48A8-96C8-88D2591645B4}"/>
    <cellStyle name="20% - Accent5 2 2 2 5 5" xfId="21939" xr:uid="{FCC17B90-4A32-4910-9482-C71631CDDE15}"/>
    <cellStyle name="20% - Accent5 2 2 2 6" xfId="32398" xr:uid="{BC2AD261-7253-43F6-BB79-E699840CFB8F}"/>
    <cellStyle name="20% - Accent5 2 2 2 6 2" xfId="32391" xr:uid="{08E0301E-B13A-426B-BC08-FC7779CF2748}"/>
    <cellStyle name="20% - Accent5 2 2 2 6 2 2" xfId="30861" xr:uid="{72160C81-BBD0-4D7D-BE94-D1D907025B3A}"/>
    <cellStyle name="20% - Accent5 2 2 2 6 2 2 2" xfId="21935" xr:uid="{681D4E41-3CB2-4965-8BA4-4ECDD2A7FE04}"/>
    <cellStyle name="20% - Accent5 2 2 2 6 2 3" xfId="21933" xr:uid="{369EB42F-8C4C-45B7-AAAA-415C121888ED}"/>
    <cellStyle name="20% - Accent5 2 2 2 6 3" xfId="21929" xr:uid="{C96F04C3-8ECD-478A-AF00-C36345F88A54}"/>
    <cellStyle name="20% - Accent5 2 2 2 6 3 2" xfId="21925" xr:uid="{6630205B-E132-4FE2-80A5-BE47B2FFE407}"/>
    <cellStyle name="20% - Accent5 2 2 2 6 4" xfId="21921" xr:uid="{9B43755D-85E4-46CA-B69D-52F791EF6682}"/>
    <cellStyle name="20% - Accent5 2 2 2 7" xfId="32657" xr:uid="{6AA68167-FE52-4A4C-B095-56BDF89A2A32}"/>
    <cellStyle name="20% - Accent5 2 2 2 7 2" xfId="6771" xr:uid="{5D8AACB0-CA0C-44F5-8A2F-606BEFF01584}"/>
    <cellStyle name="20% - Accent5 2 2 2 7 2 2" xfId="30823" xr:uid="{52872F43-007F-4CBB-BE6F-A52046DCA9F7}"/>
    <cellStyle name="20% - Accent5 2 2 2 7 3" xfId="16680" xr:uid="{D0B4A0A2-A88D-427D-B639-3FB7A8179ABD}"/>
    <cellStyle name="20% - Accent5 2 2 2 8" xfId="33401" xr:uid="{A4DEBC60-91D3-4E0A-8526-6302BEF695CE}"/>
    <cellStyle name="20% - Accent5 2 2 2 8 2" xfId="16670" xr:uid="{2F8BDDE7-91EF-44DA-9A25-EE3342D8AEF6}"/>
    <cellStyle name="20% - Accent5 2 2 2 9" xfId="33394" xr:uid="{0531CB8F-23CF-4517-B27D-6B204D6B5EE4}"/>
    <cellStyle name="20% - Accent5 2 2 3" xfId="21919" xr:uid="{C2CA45DE-8E64-4FF2-995B-60219DD6A8EE}"/>
    <cellStyle name="20% - Accent5 2 2 3 2" xfId="21917" xr:uid="{A5EC4249-84EE-48C2-B286-49259E5DD3FD}"/>
    <cellStyle name="20% - Accent5 2 2 3 2 2" xfId="21916" xr:uid="{44B9E2E3-0E50-418A-B46E-3332D46BE936}"/>
    <cellStyle name="20% - Accent5 2 2 3 2 2 2" xfId="27474" xr:uid="{DD194E9B-9F57-4C3F-9836-43CF6D7323CC}"/>
    <cellStyle name="20% - Accent5 2 2 3 2 2 2 2" xfId="25596" xr:uid="{BFD86A3E-C7A7-4233-8172-4EB6540F4B06}"/>
    <cellStyle name="20% - Accent5 2 2 3 2 2 2 2 2" xfId="21910" xr:uid="{BB453B81-0214-41A3-8D68-E0DBD1CE9846}"/>
    <cellStyle name="20% - Accent5 2 2 3 2 2 2 2 2 2" xfId="21908" xr:uid="{55626A36-F67E-4C2C-A653-65F8D5A22489}"/>
    <cellStyle name="20% - Accent5 2 2 3 2 2 2 2 2 2 2" xfId="19617" xr:uid="{B82F6DF9-941D-4321-95D9-1096CF2A6D52}"/>
    <cellStyle name="20% - Accent5 2 2 3 2 2 2 2 2 3" xfId="21900" xr:uid="{E7396249-82DA-41F3-808B-E09E44303338}"/>
    <cellStyle name="20% - Accent5 2 2 3 2 2 2 2 3" xfId="21189" xr:uid="{870A515E-B40F-4F04-800E-F4ED838A55A3}"/>
    <cellStyle name="20% - Accent5 2 2 3 2 2 2 2 3 2" xfId="21898" xr:uid="{25B0F9AD-7459-433A-8B6F-AD5BC5CFD808}"/>
    <cellStyle name="20% - Accent5 2 2 3 2 2 2 2 4" xfId="5938" xr:uid="{958B0E66-F501-4EB5-848D-89D81BFD774F}"/>
    <cellStyle name="20% - Accent5 2 2 3 2 2 2 3" xfId="25489" xr:uid="{2FC0E966-7ADA-4011-97E1-1BCA606E6181}"/>
    <cellStyle name="20% - Accent5 2 2 3 2 2 2 3 2" xfId="17072" xr:uid="{64AE8FCF-F05C-4485-A1D0-706C1CCC8A6B}"/>
    <cellStyle name="20% - Accent5 2 2 3 2 2 2 3 2 2" xfId="21893" xr:uid="{3D623A80-8870-4075-B38F-5495FF55E986}"/>
    <cellStyle name="20% - Accent5 2 2 3 2 2 2 3 3" xfId="23092" xr:uid="{392A748F-00FF-4FF7-9900-6DA757DEFA3F}"/>
    <cellStyle name="20% - Accent5 2 2 3 2 2 2 4" xfId="33752" xr:uid="{3A1E4921-0290-422E-A4E7-786069C23B81}"/>
    <cellStyle name="20% - Accent5 2 2 3 2 2 2 4 2" xfId="21891" xr:uid="{74AE44EF-654D-490E-9E9B-3CB1C53D1800}"/>
    <cellStyle name="20% - Accent5 2 2 3 2 2 2 5" xfId="32266" xr:uid="{D7B3D4D0-640E-4A0D-A1FA-7CA2B982BF2A}"/>
    <cellStyle name="20% - Accent5 2 2 3 2 2 3" xfId="21888" xr:uid="{52BC80BD-1A3C-4D47-BCC2-C715ADF709C4}"/>
    <cellStyle name="20% - Accent5 2 2 3 2 2 3 2" xfId="9559" xr:uid="{18BBF46D-DBD5-49F0-BD3A-8F4C6D5744A2}"/>
    <cellStyle name="20% - Accent5 2 2 3 2 2 3 2 2" xfId="24978" xr:uid="{2D7833DF-255F-4BBA-919D-50CF6A671B3D}"/>
    <cellStyle name="20% - Accent5 2 2 3 2 2 3 2 2 2" xfId="21887" xr:uid="{965B54AF-2D13-4E76-BD29-03DC8E1955FA}"/>
    <cellStyle name="20% - Accent5 2 2 3 2 2 3 2 3" xfId="30964" xr:uid="{19D9816C-922A-4B5B-8A78-8F59021C10C4}"/>
    <cellStyle name="20% - Accent5 2 2 3 2 2 3 3" xfId="12367" xr:uid="{6179E017-4AE6-4AD0-BF74-A43E035A789F}"/>
    <cellStyle name="20% - Accent5 2 2 3 2 2 3 3 2" xfId="21880" xr:uid="{CCDCD4DE-DAA8-438E-9A54-3E1F71861398}"/>
    <cellStyle name="20% - Accent5 2 2 3 2 2 3 4" xfId="12363" xr:uid="{219CE22E-DBCC-45F2-B251-54AC81E8A6D4}"/>
    <cellStyle name="20% - Accent5 2 2 3 2 2 4" xfId="21873" xr:uid="{938C9CF8-C699-448A-BA38-901AC05FD4A1}"/>
    <cellStyle name="20% - Accent5 2 2 3 2 2 4 2" xfId="31075" xr:uid="{401DD527-9291-4584-B91A-7A850B7A6F66}"/>
    <cellStyle name="20% - Accent5 2 2 3 2 2 4 2 2" xfId="21871" xr:uid="{50EEED2C-9074-4033-A7ED-8AA38D05B421}"/>
    <cellStyle name="20% - Accent5 2 2 3 2 2 4 3" xfId="12358" xr:uid="{5F964C13-FD9E-4A8D-9E90-443CAEE44C5F}"/>
    <cellStyle name="20% - Accent5 2 2 3 2 2 5" xfId="21869" xr:uid="{DD6C0E12-B5A0-43A4-902A-398657B1D58F}"/>
    <cellStyle name="20% - Accent5 2 2 3 2 2 5 2" xfId="15795" xr:uid="{985EF33E-4785-4F24-B2E5-E7FC9FE22A54}"/>
    <cellStyle name="20% - Accent5 2 2 3 2 2 6" xfId="21868" xr:uid="{F657FA48-1C84-4556-9C72-4974A809357C}"/>
    <cellStyle name="20% - Accent5 2 2 3 2 3" xfId="20648" xr:uid="{D861110C-E93F-4441-AC44-E3AFF8CF4A49}"/>
    <cellStyle name="20% - Accent5 2 2 3 2 3 2" xfId="21866" xr:uid="{A60CECC4-76E7-4E0F-A64E-76AA3DAE3A16}"/>
    <cellStyle name="20% - Accent5 2 2 3 2 3 2 2" xfId="25469" xr:uid="{5A2C0973-77BA-40D1-A24D-63C3DFEAB443}"/>
    <cellStyle name="20% - Accent5 2 2 3 2 3 2 2 2" xfId="21865" xr:uid="{96070551-C743-495B-A38F-FB30C621C467}"/>
    <cellStyle name="20% - Accent5 2 2 3 2 3 2 2 2 2" xfId="21860" xr:uid="{AC78731E-273D-4BEE-B53F-1068F0F382FC}"/>
    <cellStyle name="20% - Accent5 2 2 3 2 3 2 2 3" xfId="23189" xr:uid="{E343FF27-8D39-4465-A91D-AB99D086BD82}"/>
    <cellStyle name="20% - Accent5 2 2 3 2 3 2 3" xfId="25460" xr:uid="{82BCFD7F-5E36-4988-A583-94BB6A261EB9}"/>
    <cellStyle name="20% - Accent5 2 2 3 2 3 2 3 2" xfId="21858" xr:uid="{391073DB-F045-492B-9358-4F55FCDA292E}"/>
    <cellStyle name="20% - Accent5 2 2 3 2 3 2 4" xfId="21853" xr:uid="{836D051A-1685-4C25-BBC2-F91341D56FA1}"/>
    <cellStyle name="20% - Accent5 2 2 3 2 3 3" xfId="21847" xr:uid="{E393105F-8C32-43D9-86CD-FC60C3AEBCB8}"/>
    <cellStyle name="20% - Accent5 2 2 3 2 3 3 2" xfId="12341" xr:uid="{97EF3C33-BA00-4494-AEDC-43992519190D}"/>
    <cellStyle name="20% - Accent5 2 2 3 2 3 3 2 2" xfId="21846" xr:uid="{BF6297DF-1CC1-4627-9BC7-19EF0EFF3C44}"/>
    <cellStyle name="20% - Accent5 2 2 3 2 3 3 3" xfId="12338" xr:uid="{954C6D8B-8CD8-41A0-9E1F-CA15FBCD3D1A}"/>
    <cellStyle name="20% - Accent5 2 2 3 2 3 4" xfId="21840" xr:uid="{76DFA99E-6811-4198-936E-4C01C599DA08}"/>
    <cellStyle name="20% - Accent5 2 2 3 2 3 4 2" xfId="12662" xr:uid="{73CA2B99-C378-4B65-B2B5-BCFBAE329CDF}"/>
    <cellStyle name="20% - Accent5 2 2 3 2 3 5" xfId="21839" xr:uid="{DDD09030-3834-4BA5-9FC9-06287CCF5893}"/>
    <cellStyle name="20% - Accent5 2 2 3 2 4" xfId="21838" xr:uid="{F9170990-19BA-4EBD-8E73-35CE4B74BDAA}"/>
    <cellStyle name="20% - Accent5 2 2 3 2 4 2" xfId="18380" xr:uid="{445819D1-F5B9-46E3-A7F2-9B53288CF2B2}"/>
    <cellStyle name="20% - Accent5 2 2 3 2 4 2 2" xfId="33191" xr:uid="{DD08A05B-E733-43B5-9846-BD9C0BEFB169}"/>
    <cellStyle name="20% - Accent5 2 2 3 2 4 2 2 2" xfId="32519" xr:uid="{8B38D8F5-436F-4E5F-90F0-DB9E6F37B295}"/>
    <cellStyle name="20% - Accent5 2 2 3 2 4 2 3" xfId="23143" xr:uid="{DA7D28C7-0632-43D4-90DD-31B3F2B14A7B}"/>
    <cellStyle name="20% - Accent5 2 2 3 2 4 3" xfId="28331" xr:uid="{5CEE1EF1-5B85-41D2-801C-9FDFDD2A6A98}"/>
    <cellStyle name="20% - Accent5 2 2 3 2 4 3 2" xfId="12323" xr:uid="{4CC9BA9E-8E9D-4DE8-A9B5-DE3E6F1103CF}"/>
    <cellStyle name="20% - Accent5 2 2 3 2 4 4" xfId="7928" xr:uid="{A4F4628D-5E2A-4651-8000-301029E55BF4}"/>
    <cellStyle name="20% - Accent5 2 2 3 2 5" xfId="21833" xr:uid="{9ED66D09-74A1-4E69-87FD-F73D2D1AF0E6}"/>
    <cellStyle name="20% - Accent5 2 2 3 2 5 2" xfId="33532" xr:uid="{D9CEB684-7819-40A0-B277-4A8F9C1E1EB0}"/>
    <cellStyle name="20% - Accent5 2 2 3 2 5 2 2" xfId="23129" xr:uid="{11B0F599-B86C-4508-8833-4097A882EA9F}"/>
    <cellStyle name="20% - Accent5 2 2 3 2 5 3" xfId="26964" xr:uid="{569081D1-FF56-4DE7-9145-97FB311B80C5}"/>
    <cellStyle name="20% - Accent5 2 2 3 2 6" xfId="21823" xr:uid="{7444C7EF-2FB8-4B02-9BDA-05DA25956B7D}"/>
    <cellStyle name="20% - Accent5 2 2 3 2 6 2" xfId="28912" xr:uid="{B4444280-41D7-4CE1-8CDD-B929F520B526}"/>
    <cellStyle name="20% - Accent5 2 2 3 2 7" xfId="8721" xr:uid="{9D54A8A8-F833-4B97-876A-7E97550B09F8}"/>
    <cellStyle name="20% - Accent5 2 2 3 3" xfId="30787" xr:uid="{A49831AB-9FAE-4EEC-85AB-B9FB07671FDD}"/>
    <cellStyle name="20% - Accent5 2 2 3 3 2" xfId="18296" xr:uid="{4CEF5F16-3311-4496-B762-619FE317B98C}"/>
    <cellStyle name="20% - Accent5 2 2 3 3 2 2" xfId="24905" xr:uid="{B1CC1442-8C9E-45A0-B88B-049D95C2BC79}"/>
    <cellStyle name="20% - Accent5 2 2 3 3 2 2 2" xfId="28289" xr:uid="{EF33FF6C-C7D2-487F-BD26-2C85E3764707}"/>
    <cellStyle name="20% - Accent5 2 2 3 3 2 2 2 2" xfId="21817" xr:uid="{F1283B09-2CC9-4D3B-AF71-8E867B164F57}"/>
    <cellStyle name="20% - Accent5 2 2 3 3 2 2 2 2 2" xfId="21814" xr:uid="{209581D7-C565-441D-B707-1D3F2F8ED50C}"/>
    <cellStyle name="20% - Accent5 2 2 3 3 2 2 2 3" xfId="20830" xr:uid="{D8C6BEA9-0041-4CE2-9AB4-C4CAAA79D2A0}"/>
    <cellStyle name="20% - Accent5 2 2 3 3 2 2 3" xfId="25446" xr:uid="{44DEE36E-3F35-405B-8B93-20FCB04BE170}"/>
    <cellStyle name="20% - Accent5 2 2 3 3 2 2 3 2" xfId="20671" xr:uid="{309B4400-8EF5-4F9B-9AC9-6DFAB50D3361}"/>
    <cellStyle name="20% - Accent5 2 2 3 3 2 2 4" xfId="21810" xr:uid="{024590F7-B6C3-4172-84AD-49EC94405AF1}"/>
    <cellStyle name="20% - Accent5 2 2 3 3 2 3" xfId="24222" xr:uid="{835A9727-08DE-4A5A-9AD1-462F5C7C2D24}"/>
    <cellStyle name="20% - Accent5 2 2 3 3 2 3 2" xfId="13905" xr:uid="{5091A4A7-1D66-4792-8B78-C16CCD363440}"/>
    <cellStyle name="20% - Accent5 2 2 3 3 2 3 2 2" xfId="21806" xr:uid="{58689A18-1C44-45CE-806F-79A68A74E89B}"/>
    <cellStyle name="20% - Accent5 2 2 3 3 2 3 3" xfId="12740" xr:uid="{2400FCF0-D35B-4DFB-A5A9-2FD32DC9A149}"/>
    <cellStyle name="20% - Accent5 2 2 3 3 2 4" xfId="21800" xr:uid="{41CED772-3C0E-4AEC-B5A8-6924E9C0B935}"/>
    <cellStyle name="20% - Accent5 2 2 3 3 2 4 2" xfId="12733" xr:uid="{17140A60-8E1D-4BB7-8DB2-AB2C8C2F7D7A}"/>
    <cellStyle name="20% - Accent5 2 2 3 3 2 5" xfId="23510" xr:uid="{4722C811-AC07-466E-8B0F-6B786A367752}"/>
    <cellStyle name="20% - Accent5 2 2 3 3 3" xfId="18291" xr:uid="{E70E0BB2-4904-4F26-A752-FA5545BF76FF}"/>
    <cellStyle name="20% - Accent5 2 2 3 3 3 2" xfId="24183" xr:uid="{B802FF93-0097-4B9B-BD15-B330A316781F}"/>
    <cellStyle name="20% - Accent5 2 2 3 3 3 2 2" xfId="25435" xr:uid="{745D3F49-5D4F-47FC-84C1-604353E9568F}"/>
    <cellStyle name="20% - Accent5 2 2 3 3 3 2 2 2" xfId="22454" xr:uid="{13664446-F01B-4037-A07A-E8D60133AAA0}"/>
    <cellStyle name="20% - Accent5 2 2 3 3 3 2 3" xfId="21795" xr:uid="{7FDB82F0-7155-42AE-BC69-37E6A5FE4F32}"/>
    <cellStyle name="20% - Accent5 2 2 3 3 3 3" xfId="21792" xr:uid="{FBAA0D22-7553-4C01-A560-D4661E8F8BC4}"/>
    <cellStyle name="20% - Accent5 2 2 3 3 3 3 2" xfId="16107" xr:uid="{E65B772B-4762-4FE7-8905-672CFCA6AE6F}"/>
    <cellStyle name="20% - Accent5 2 2 3 3 3 4" xfId="21787" xr:uid="{C647793E-2233-4719-8938-5D8398BC53A4}"/>
    <cellStyle name="20% - Accent5 2 2 3 3 4" xfId="23838" xr:uid="{784B7C80-0BE9-4093-AE71-337F797B0FC0}"/>
    <cellStyle name="20% - Accent5 2 2 3 3 4 2" xfId="11859" xr:uid="{517564C4-EAA1-4C17-BC9F-B9BD2D1DC1F2}"/>
    <cellStyle name="20% - Accent5 2 2 3 3 4 2 2" xfId="23115" xr:uid="{3601EEFA-9C37-490B-90DE-5E29119DD8C0}"/>
    <cellStyle name="20% - Accent5 2 2 3 3 4 3" xfId="9228" xr:uid="{C0180713-3768-447A-B8A5-D88E8FD7FB6D}"/>
    <cellStyle name="20% - Accent5 2 2 3 3 5" xfId="20038" xr:uid="{F8C7A91B-853A-480D-8E43-AB5A16CCE104}"/>
    <cellStyle name="20% - Accent5 2 2 3 3 5 2" xfId="23941" xr:uid="{678421C5-4C5D-4E26-B444-AB55241CA43B}"/>
    <cellStyle name="20% - Accent5 2 2 3 3 6" xfId="21775" xr:uid="{F49573C5-5973-4685-A7FA-EF60690E281E}"/>
    <cellStyle name="20% - Accent5 2 2 3 4" xfId="30699" xr:uid="{3F1EA7D0-D090-4238-8A19-3D35BC773D15}"/>
    <cellStyle name="20% - Accent5 2 2 3 4 2" xfId="23105" xr:uid="{41C9F19C-7196-466F-AEF0-ED1C43A17A6E}"/>
    <cellStyle name="20% - Accent5 2 2 3 4 2 2" xfId="23673" xr:uid="{07EDC8DB-9CD7-4D10-8C85-78923604D2D5}"/>
    <cellStyle name="20% - Accent5 2 2 3 4 2 2 2" xfId="5735" xr:uid="{120F5F0F-6CD7-43BE-A92A-C71EB80384F2}"/>
    <cellStyle name="20% - Accent5 2 2 3 4 2 2 2 2" xfId="33566" xr:uid="{3231BEB7-A69A-410E-B005-BE67BEAFD5D3}"/>
    <cellStyle name="20% - Accent5 2 2 3 4 2 2 3" xfId="5729" xr:uid="{4F2B0138-DA3B-41FE-AE49-DD20C3FB711C}"/>
    <cellStyle name="20% - Accent5 2 2 3 4 2 3" xfId="21766" xr:uid="{56E5A12D-F8EF-4B83-80FC-C40758AD3483}"/>
    <cellStyle name="20% - Accent5 2 2 3 4 2 3 2" xfId="8556" xr:uid="{CDA16176-6164-4B43-B82A-AE0A76951CCA}"/>
    <cellStyle name="20% - Accent5 2 2 3 4 2 4" xfId="22908" xr:uid="{B414B37D-F6F7-4424-B77D-2ADCDDB140D7}"/>
    <cellStyle name="20% - Accent5 2 2 3 4 3" xfId="20643" xr:uid="{8769AAFC-B7FD-461F-8C47-AB836AA3703F}"/>
    <cellStyle name="20% - Accent5 2 2 3 4 3 2" xfId="21761" xr:uid="{4C24EC3C-2781-4E1F-8A9D-EAA2627F85A7}"/>
    <cellStyle name="20% - Accent5 2 2 3 4 3 2 2" xfId="10915" xr:uid="{A74D9F6E-77B8-4FC2-A96F-41DF91F7AF5A}"/>
    <cellStyle name="20% - Accent5 2 2 3 4 3 3" xfId="21758" xr:uid="{976965CA-7BEC-4382-8B2C-30D1D2725D3C}"/>
    <cellStyle name="20% - Accent5 2 2 3 4 4" xfId="21754" xr:uid="{8C5355B0-5362-433F-875C-725AC4DDA7D3}"/>
    <cellStyle name="20% - Accent5 2 2 3 4 4 2" xfId="29295" xr:uid="{36A8069A-BDFF-4134-B672-1BB10B3B9DE8}"/>
    <cellStyle name="20% - Accent5 2 2 3 4 5" xfId="21751" xr:uid="{EBDE3759-1EA5-4BD9-8821-64D63E6833ED}"/>
    <cellStyle name="20% - Accent5 2 2 3 5" xfId="32370" xr:uid="{60B25CE7-666F-43CB-AEE5-C22EC8FA969C}"/>
    <cellStyle name="20% - Accent5 2 2 3 5 2" xfId="34135" xr:uid="{7F9478DF-127D-4590-BF83-80281965F487}"/>
    <cellStyle name="20% - Accent5 2 2 3 5 2 2" xfId="31942" xr:uid="{3FE62D78-3EA7-4986-B313-C43E8A73053C}"/>
    <cellStyle name="20% - Accent5 2 2 3 5 2 2 2" xfId="19397" xr:uid="{50880548-DF8F-47B9-82A0-066B8CD10201}"/>
    <cellStyle name="20% - Accent5 2 2 3 5 2 3" xfId="25634" xr:uid="{828F1223-40AE-4B2D-9246-76CF850D10FF}"/>
    <cellStyle name="20% - Accent5 2 2 3 5 3" xfId="21748" xr:uid="{4C383405-6D61-4689-A701-C79FE41AB1F4}"/>
    <cellStyle name="20% - Accent5 2 2 3 5 3 2" xfId="21746" xr:uid="{56D082E7-4B66-4262-885A-7E7DE548049F}"/>
    <cellStyle name="20% - Accent5 2 2 3 5 4" xfId="21741" xr:uid="{4A9CF798-3278-43C6-A303-F3A5EEF6A544}"/>
    <cellStyle name="20% - Accent5 2 2 3 6" xfId="28392" xr:uid="{F68648C5-557C-48D4-8B3F-9F3CA4306F8A}"/>
    <cellStyle name="20% - Accent5 2 2 3 6 2" xfId="21738" xr:uid="{63AFEA58-17BA-4040-879C-599061D589B4}"/>
    <cellStyle name="20% - Accent5 2 2 3 6 2 2" xfId="21736" xr:uid="{73826E6E-CC3D-403E-9EF1-BE46E2087F43}"/>
    <cellStyle name="20% - Accent5 2 2 3 6 3" xfId="21730" xr:uid="{1D4833C8-EE12-43F7-8D95-DC2D62ABC2FD}"/>
    <cellStyle name="20% - Accent5 2 2 3 7" xfId="28389" xr:uid="{90843F86-8DC9-4D2F-88BB-879C7D7419C3}"/>
    <cellStyle name="20% - Accent5 2 2 3 7 2" xfId="16653" xr:uid="{3CC2C891-455F-4E41-AFE5-B167198A638A}"/>
    <cellStyle name="20% - Accent5 2 2 3 8" xfId="33387" xr:uid="{41B0063C-DDFD-4F99-AC93-7AEF639CD316}"/>
    <cellStyle name="20% - Accent5 2 2 4" xfId="21724" xr:uid="{938CBB9E-B65A-4012-AEA2-F07434C9DBFD}"/>
    <cellStyle name="20% - Accent5 2 2 4 2" xfId="21720" xr:uid="{E1D9CB10-C4C8-474A-9552-7A2071AAC9FA}"/>
    <cellStyle name="20% - Accent5 2 2 4 2 2" xfId="21719" xr:uid="{92B3693B-2256-47AD-919E-E625EDB4DB14}"/>
    <cellStyle name="20% - Accent5 2 2 4 2 2 2" xfId="21714" xr:uid="{E39B7C6A-9460-4545-8A2B-9857EBA9726B}"/>
    <cellStyle name="20% - Accent5 2 2 4 2 2 2 2" xfId="25209" xr:uid="{C8CF3CD6-47D1-4BE2-B4CD-CF9C0A059348}"/>
    <cellStyle name="20% - Accent5 2 2 4 2 2 2 2 2" xfId="21712" xr:uid="{2BE1460A-6FDF-49A8-BF45-40F684C30087}"/>
    <cellStyle name="20% - Accent5 2 2 4 2 2 2 2 2 2" xfId="21711" xr:uid="{550947EA-CE1C-4B7E-BE0D-5704FA5EEE29}"/>
    <cellStyle name="20% - Accent5 2 2 4 2 2 2 2 3" xfId="19629" xr:uid="{21072124-0A47-46CE-B18D-56D5FD1B4DBB}"/>
    <cellStyle name="20% - Accent5 2 2 4 2 2 2 3" xfId="33894" xr:uid="{FC86301C-C8F1-46AF-A59F-249B0C19EF8C}"/>
    <cellStyle name="20% - Accent5 2 2 4 2 2 2 3 2" xfId="12665" xr:uid="{106F1CB5-5994-4CB4-A304-86D5D5397C8C}"/>
    <cellStyle name="20% - Accent5 2 2 4 2 2 2 4" xfId="30794" xr:uid="{5975EEB8-A656-45DB-9F62-8285BF93C6BF}"/>
    <cellStyle name="20% - Accent5 2 2 4 2 2 3" xfId="27760" xr:uid="{CA29462C-CE3E-45CA-860E-8B177B73F724}"/>
    <cellStyle name="20% - Accent5 2 2 4 2 2 3 2" xfId="10972" xr:uid="{FA2C5FB7-ED89-4287-A694-35622B7F80BE}"/>
    <cellStyle name="20% - Accent5 2 2 4 2 2 3 2 2" xfId="21709" xr:uid="{D31D0936-B240-47EB-98AE-3E37D0BBFCF4}"/>
    <cellStyle name="20% - Accent5 2 2 4 2 2 3 3" xfId="12067" xr:uid="{FB9B0704-0070-4C2A-828E-4E0FA46C0AFF}"/>
    <cellStyle name="20% - Accent5 2 2 4 2 2 4" xfId="18988" xr:uid="{2E0F2AAC-474E-43DD-A478-FA332818222A}"/>
    <cellStyle name="20% - Accent5 2 2 4 2 2 4 2" xfId="21707" xr:uid="{F7738F8B-C815-4D18-9F2D-DBF3A63CCFC0}"/>
    <cellStyle name="20% - Accent5 2 2 4 2 2 5" xfId="21705" xr:uid="{3E4A4378-111D-445E-92FC-87BC2D1D208F}"/>
    <cellStyle name="20% - Accent5 2 2 4 2 3" xfId="20640" xr:uid="{60FFCDBE-70D9-4752-B75D-D47183F13F9A}"/>
    <cellStyle name="20% - Accent5 2 2 4 2 3 2" xfId="21701" xr:uid="{960A55BC-B53C-4DFB-9184-E136FA856B3D}"/>
    <cellStyle name="20% - Accent5 2 2 4 2 3 2 2" xfId="25198" xr:uid="{496A3678-DEA8-4D81-A940-D82650777AA3}"/>
    <cellStyle name="20% - Accent5 2 2 4 2 3 2 2 2" xfId="21698" xr:uid="{1F29737E-EF55-417B-92F6-2675690128F5}"/>
    <cellStyle name="20% - Accent5 2 2 4 2 3 2 3" xfId="21696" xr:uid="{3EB8FDA0-47F1-4797-AA16-1C2DD510CE40}"/>
    <cellStyle name="20% - Accent5 2 2 4 2 3 3" xfId="21695" xr:uid="{677FFA0F-A6D3-4DA7-8755-6929E86BC4DB}"/>
    <cellStyle name="20% - Accent5 2 2 4 2 3 3 2" xfId="12056" xr:uid="{475BC511-DB0D-4F77-BE0B-DD5A3779B46D}"/>
    <cellStyle name="20% - Accent5 2 2 4 2 3 4" xfId="33681" xr:uid="{959C4C4E-181B-4FB2-A300-22ECD5A5D0A5}"/>
    <cellStyle name="20% - Accent5 2 2 4 2 4" xfId="21693" xr:uid="{8D77FBC5-1159-4CB8-872B-B5A64068CA1A}"/>
    <cellStyle name="20% - Accent5 2 2 4 2 4 2" xfId="24744" xr:uid="{EA8FEED3-B257-4EAA-B808-28357FDF112C}"/>
    <cellStyle name="20% - Accent5 2 2 4 2 4 2 2" xfId="23023" xr:uid="{A92D63B7-D484-43AF-B3AC-F64F6A539E45}"/>
    <cellStyle name="20% - Accent5 2 2 4 2 4 3" xfId="24545" xr:uid="{9DD287A6-DFB5-44F1-87E4-53DBCBC7533E}"/>
    <cellStyle name="20% - Accent5 2 2 4 2 5" xfId="21688" xr:uid="{73611C83-43CA-451D-830E-A8EBB2EB6DF8}"/>
    <cellStyle name="20% - Accent5 2 2 4 2 5 2" xfId="31092" xr:uid="{A321EC65-1DD3-4217-BF93-CA0E87683674}"/>
    <cellStyle name="20% - Accent5 2 2 4 2 6" xfId="21681" xr:uid="{47688447-3F82-429D-B511-CEACCB665724}"/>
    <cellStyle name="20% - Accent5 2 2 4 3" xfId="26173" xr:uid="{6D52F0B6-D001-42FF-8741-F5302FA160D3}"/>
    <cellStyle name="20% - Accent5 2 2 4 3 2" xfId="23096" xr:uid="{FD9AF355-C46E-4DDC-B05A-490A6E0B9899}"/>
    <cellStyle name="20% - Accent5 2 2 4 3 2 2" xfId="23946" xr:uid="{5FA30321-6524-49FE-83E7-2CEF9BB9DAA7}"/>
    <cellStyle name="20% - Accent5 2 2 4 3 2 2 2" xfId="25193" xr:uid="{F9D645DB-2ADC-403D-AB3D-4A0A80A50E99}"/>
    <cellStyle name="20% - Accent5 2 2 4 3 2 2 2 2" xfId="26711" xr:uid="{3B6826EE-D1B9-4965-A50A-D4993D7B4255}"/>
    <cellStyle name="20% - Accent5 2 2 4 3 2 2 3" xfId="21680" xr:uid="{1FD51040-8EB6-4214-B979-6F163442566B}"/>
    <cellStyle name="20% - Accent5 2 2 4 3 2 3" xfId="21679" xr:uid="{B3A36CB8-59CA-4711-96DD-F03828CCF298}"/>
    <cellStyle name="20% - Accent5 2 2 4 3 2 3 2" xfId="11997" xr:uid="{C3E15A3B-1AC9-47AD-8554-0EA1B6F029DF}"/>
    <cellStyle name="20% - Accent5 2 2 4 3 2 4" xfId="21675" xr:uid="{5B4869D6-BD96-4329-B473-FD2A0A94B4F6}"/>
    <cellStyle name="20% - Accent5 2 2 4 3 3" xfId="20629" xr:uid="{39799AA1-971E-4CC3-9053-0BA39CEC2DD1}"/>
    <cellStyle name="20% - Accent5 2 2 4 3 3 2" xfId="30604" xr:uid="{6F26744D-89FB-4D96-976C-E2E4992FDEA1}"/>
    <cellStyle name="20% - Accent5 2 2 4 3 3 2 2" xfId="26372" xr:uid="{5787F610-14AC-4014-B792-5935B8787796}"/>
    <cellStyle name="20% - Accent5 2 2 4 3 3 3" xfId="21667" xr:uid="{42042000-D0A4-4BA4-A8C1-2908DD655FDC}"/>
    <cellStyle name="20% - Accent5 2 2 4 3 4" xfId="28101" xr:uid="{2761FDC6-E6EC-4AA5-8517-E1A3512D5D3C}"/>
    <cellStyle name="20% - Accent5 2 2 4 3 4 2" xfId="23463" xr:uid="{F18BEB49-DA9D-467E-954E-514EC962E4A0}"/>
    <cellStyle name="20% - Accent5 2 2 4 3 5" xfId="30514" xr:uid="{3C474F1A-18E4-4D29-B7FA-187039E170FC}"/>
    <cellStyle name="20% - Accent5 2 2 4 4" xfId="18289" xr:uid="{F96E668E-1831-4F18-B4BE-132D43D5F070}"/>
    <cellStyle name="20% - Accent5 2 2 4 4 2" xfId="34283" xr:uid="{238EFA9B-A5DA-4AD3-81B2-D60AC32F5209}"/>
    <cellStyle name="20% - Accent5 2 2 4 4 2 2" xfId="17293" xr:uid="{DD1C3FF7-D698-4CBF-8381-549EBD0F1CFC}"/>
    <cellStyle name="20% - Accent5 2 2 4 4 2 2 2" xfId="21657" xr:uid="{25F679AD-05FD-466D-832E-B2522702A947}"/>
    <cellStyle name="20% - Accent5 2 2 4 4 2 3" xfId="14591" xr:uid="{C2D06C18-7ED7-41C4-A93E-C7CAFEE9A412}"/>
    <cellStyle name="20% - Accent5 2 2 4 4 3" xfId="34265" xr:uid="{35F39B32-D01A-423A-949F-AF8CE371B43E}"/>
    <cellStyle name="20% - Accent5 2 2 4 4 3 2" xfId="14589" xr:uid="{EF72BBE3-4744-4875-BD0E-362ACE6F031C}"/>
    <cellStyle name="20% - Accent5 2 2 4 4 4" xfId="30469" xr:uid="{6FC7D745-F20D-41B1-A829-4BE74F440352}"/>
    <cellStyle name="20% - Accent5 2 2 4 5" xfId="24926" xr:uid="{AD8579A6-C10E-4A73-A88B-5417988ACBCF}"/>
    <cellStyle name="20% - Accent5 2 2 4 5 2" xfId="21643" xr:uid="{1CECFB65-E8F3-4340-9695-FDC883052C08}"/>
    <cellStyle name="20% - Accent5 2 2 4 5 2 2" xfId="11628" xr:uid="{07F2551F-3593-42C0-9A74-E09A2EF9D527}"/>
    <cellStyle name="20% - Accent5 2 2 4 5 3" xfId="21633" xr:uid="{0A608511-E9F8-4A64-AF8D-B113107BD1B7}"/>
    <cellStyle name="20% - Accent5 2 2 4 6" xfId="28385" xr:uid="{D8B12050-6C64-4E23-B72A-E5EF8DD3EAE2}"/>
    <cellStyle name="20% - Accent5 2 2 4 6 2" xfId="33917" xr:uid="{BE42E8DE-7738-4DEB-B6FC-5D0C59703D68}"/>
    <cellStyle name="20% - Accent5 2 2 4 7" xfId="21631" xr:uid="{FEC67F55-C29B-40D1-B7F5-442477A9E6B0}"/>
    <cellStyle name="20% - Accent5 2 2 5" xfId="21623" xr:uid="{0DD00BE2-A676-403B-BE60-B9C63DE45922}"/>
    <cellStyle name="20% - Accent5 2 2 5 2" xfId="21619" xr:uid="{2C27E00A-EE2C-48BB-9253-F801ADE518F3}"/>
    <cellStyle name="20% - Accent5 2 2 5 2 2" xfId="21615" xr:uid="{47E793DC-1ACD-4BF9-802A-7DC732C8097C}"/>
    <cellStyle name="20% - Accent5 2 2 5 2 2 2" xfId="26327" xr:uid="{A5068EFD-5B82-4C27-8B75-D329789F5E45}"/>
    <cellStyle name="20% - Accent5 2 2 5 2 2 2 2" xfId="31209" xr:uid="{4A04C62C-4C76-4B38-9498-DDE14DD13199}"/>
    <cellStyle name="20% - Accent5 2 2 5 2 2 2 2 2" xfId="21613" xr:uid="{B82DDE9D-B1A4-4566-9ED3-F2D70B6FEEC2}"/>
    <cellStyle name="20% - Accent5 2 2 5 2 2 2 3" xfId="21612" xr:uid="{5F2AD491-5BCF-4FD6-91BA-58088A07EAC5}"/>
    <cellStyle name="20% - Accent5 2 2 5 2 2 3" xfId="21611" xr:uid="{023F24D9-66E9-4BDB-85D0-1EE38D37DF91}"/>
    <cellStyle name="20% - Accent5 2 2 5 2 2 3 2" xfId="11837" xr:uid="{991F557D-376A-4CF3-ABFD-7C25C57C78A7}"/>
    <cellStyle name="20% - Accent5 2 2 5 2 2 4" xfId="21610" xr:uid="{860248EB-DAFE-4988-9968-80B3134BC293}"/>
    <cellStyle name="20% - Accent5 2 2 5 2 3" xfId="20628" xr:uid="{60D335EC-59AF-4732-85B2-D731540FF9D3}"/>
    <cellStyle name="20% - Accent5 2 2 5 2 3 2" xfId="21609" xr:uid="{5514C477-B7CB-46F7-B179-913430DFD3BF}"/>
    <cellStyle name="20% - Accent5 2 2 5 2 3 2 2" xfId="34272" xr:uid="{34B336EC-4AA6-4FCB-9529-D1B63733BE34}"/>
    <cellStyle name="20% - Accent5 2 2 5 2 3 3" xfId="21608" xr:uid="{B74FB961-0DD1-4133-A79A-623E080B5B04}"/>
    <cellStyle name="20% - Accent5 2 2 5 2 4" xfId="21607" xr:uid="{939D444A-D363-4EF1-A4B3-406589924E3A}"/>
    <cellStyle name="20% - Accent5 2 2 5 2 4 2" xfId="21918" xr:uid="{96E22360-046F-403D-A036-392FC3013805}"/>
    <cellStyle name="20% - Accent5 2 2 5 2 5" xfId="21599" xr:uid="{8607C527-BFDC-4D68-B651-E97353F85A68}"/>
    <cellStyle name="20% - Accent5 2 2 5 3" xfId="27214" xr:uid="{8BBA1DA4-8534-4DFF-9553-61ACBEFEC181}"/>
    <cellStyle name="20% - Accent5 2 2 5 3 2" xfId="33921" xr:uid="{0619B84B-C849-4247-ADE9-8D43F7D8F8F0}"/>
    <cellStyle name="20% - Accent5 2 2 5 3 2 2" xfId="21597" xr:uid="{AB2F28F0-7D2A-4E23-84E1-E74DE1AA6CA5}"/>
    <cellStyle name="20% - Accent5 2 2 5 3 2 2 2" xfId="21593" xr:uid="{1A696906-DFA2-4BB8-B0EE-0EA667CB7145}"/>
    <cellStyle name="20% - Accent5 2 2 5 3 2 3" xfId="20241" xr:uid="{2524D541-CE02-4B66-9499-B739E982427C}"/>
    <cellStyle name="20% - Accent5 2 2 5 3 3" xfId="21591" xr:uid="{D9215A25-23FD-49B0-B0A9-BD4D49937FC1}"/>
    <cellStyle name="20% - Accent5 2 2 5 3 3 2" xfId="21590" xr:uid="{17F74822-ACCF-4A31-9571-4D59D9F657A2}"/>
    <cellStyle name="20% - Accent5 2 2 5 3 4" xfId="30009" xr:uid="{3323967F-1A84-4830-8670-D7F9CA7BB682}"/>
    <cellStyle name="20% - Accent5 2 2 5 4" xfId="24269" xr:uid="{5FC11927-845F-4088-B3FD-D8F5C43FF9A1}"/>
    <cellStyle name="20% - Accent5 2 2 5 4 2" xfId="21587" xr:uid="{D8D5B6B0-7E99-4473-AA9F-EF2D269DAA21}"/>
    <cellStyle name="20% - Accent5 2 2 5 4 2 2" xfId="14580" xr:uid="{1D7AEB32-8FEF-4DAE-9E75-39047D88210C}"/>
    <cellStyle name="20% - Accent5 2 2 5 4 3" xfId="21583" xr:uid="{184F4C85-29C3-4594-9667-31E43E638D6C}"/>
    <cellStyle name="20% - Accent5 2 2 5 5" xfId="21582" xr:uid="{39998638-CA09-4D35-A98D-602F2A88AE82}"/>
    <cellStyle name="20% - Accent5 2 2 5 5 2" xfId="21581" xr:uid="{31DE2506-FFCA-4403-AA61-D83F8640DF3C}"/>
    <cellStyle name="20% - Accent5 2 2 5 6" xfId="21580" xr:uid="{03C0C91C-6F76-43C6-A37A-588731E27484}"/>
    <cellStyle name="20% - Accent5 2 2 6" xfId="21579" xr:uid="{B1840D52-8D89-41C7-819E-A0E9CFE78E70}"/>
    <cellStyle name="20% - Accent5 2 2 6 2" xfId="21577" xr:uid="{4656319F-27C6-46FB-9F86-8CBBD2697C82}"/>
    <cellStyle name="20% - Accent5 2 2 6 2 2" xfId="21575" xr:uid="{DC879F8D-6752-4C15-8B80-B2AC7FAFF0AE}"/>
    <cellStyle name="20% - Accent5 2 2 6 2 2 2" xfId="34180" xr:uid="{E831DB90-2F31-46E5-BA6E-518B0360490A}"/>
    <cellStyle name="20% - Accent5 2 2 6 2 2 2 2" xfId="21574" xr:uid="{D14795F3-AEEB-4B03-9A03-ED9AFDC0DB1C}"/>
    <cellStyle name="20% - Accent5 2 2 6 2 2 3" xfId="21572" xr:uid="{22FBEB31-88BD-49D3-B8E9-EE19EA31D562}"/>
    <cellStyle name="20% - Accent5 2 2 6 2 3" xfId="21570" xr:uid="{535DD3DF-6407-473F-81E9-C7F5B5BD3B28}"/>
    <cellStyle name="20% - Accent5 2 2 6 2 3 2" xfId="21569" xr:uid="{ED7748CC-F517-4A21-975B-D8EA807C9BA2}"/>
    <cellStyle name="20% - Accent5 2 2 6 2 4" xfId="29831" xr:uid="{DF7FFC5C-5CC9-4F2F-BC82-DE66D669BA64}"/>
    <cellStyle name="20% - Accent5 2 2 6 3" xfId="24893" xr:uid="{7F4262F2-B789-4F9C-AB82-42A78400CF50}"/>
    <cellStyle name="20% - Accent5 2 2 6 3 2" xfId="21566" xr:uid="{C3EDD9C3-693C-485E-BFBB-EF895E2B0019}"/>
    <cellStyle name="20% - Accent5 2 2 6 3 2 2" xfId="21564" xr:uid="{94F78306-556D-4A99-9F58-A6569F744D0F}"/>
    <cellStyle name="20% - Accent5 2 2 6 3 3" xfId="21559" xr:uid="{5F86E6DD-F6F5-4F7A-9661-9277B6FC70B3}"/>
    <cellStyle name="20% - Accent5 2 2 6 4" xfId="21558" xr:uid="{3B559CED-CB49-49B6-B624-71D84E4C4902}"/>
    <cellStyle name="20% - Accent5 2 2 6 4 2" xfId="21557" xr:uid="{3AAB17CB-69C7-4606-993E-D4B99C36AAFC}"/>
    <cellStyle name="20% - Accent5 2 2 6 5" xfId="21556" xr:uid="{E9744C3B-A64D-4EB1-98EE-A1F7DA4916EA}"/>
    <cellStyle name="20% - Accent5 2 2 7" xfId="21555" xr:uid="{474262EA-50BE-406B-BA22-F40CDC2F6FCC}"/>
    <cellStyle name="20% - Accent5 2 2 7 2" xfId="22841" xr:uid="{7A8B0570-1328-49D0-992F-B3BDCB2B19EB}"/>
    <cellStyle name="20% - Accent5 2 2 7 2 2" xfId="21554" xr:uid="{BCA7CA1D-A261-421C-9331-6C545562F027}"/>
    <cellStyle name="20% - Accent5 2 2 7 2 2 2" xfId="17591" xr:uid="{83B52EF6-4B18-432F-BFE0-3A27712CCCB2}"/>
    <cellStyle name="20% - Accent5 2 2 7 2 3" xfId="21551" xr:uid="{E991376B-DB98-49BF-B94F-7318AB9B3B03}"/>
    <cellStyle name="20% - Accent5 2 2 7 3" xfId="21550" xr:uid="{10DACFCF-8956-4A9A-9DD3-04A61D302EB9}"/>
    <cellStyle name="20% - Accent5 2 2 7 3 2" xfId="21549" xr:uid="{A5BBEC83-1308-4EF0-AD70-A8DF7129A2DF}"/>
    <cellStyle name="20% - Accent5 2 2 7 4" xfId="21548" xr:uid="{1684D141-535D-43A4-AFB0-62849C5F27ED}"/>
    <cellStyle name="20% - Accent5 2 2 8" xfId="21547" xr:uid="{C7333117-0E95-46A8-9877-966196F0E823}"/>
    <cellStyle name="20% - Accent5 2 2 8 2" xfId="28568" xr:uid="{F6450A1E-7DDA-454E-BD03-33B15C4193C3}"/>
    <cellStyle name="20% - Accent5 2 2 8 2 2" xfId="21546" xr:uid="{CCC6B3D0-91B5-4129-AC62-B42249502E54}"/>
    <cellStyle name="20% - Accent5 2 2 8 3" xfId="21544" xr:uid="{B5874803-81C6-4B05-BE7B-791B04B720B7}"/>
    <cellStyle name="20% - Accent5 2 2 9" xfId="21543" xr:uid="{B27A4C47-4FF8-40CD-A9EE-97CCAB5CAD7F}"/>
    <cellStyle name="20% - Accent5 2 2 9 2" xfId="21542" xr:uid="{15C4814E-E479-4277-9753-6FE482ED61C0}"/>
    <cellStyle name="20% - Accent5 2 3" xfId="211" xr:uid="{593EF86A-5684-4367-8ECC-2F40D76E9E68}"/>
    <cellStyle name="20% - Accent5 2 3 10" xfId="34542" xr:uid="{2071BE13-17E2-45DC-B28D-4F3E78361B87}"/>
    <cellStyle name="20% - Accent5 2 3 11" xfId="33580" xr:uid="{75EF4F44-5CD5-43A4-89FD-C79E196DDE3F}"/>
    <cellStyle name="20% - Accent5 2 3 2" xfId="30952" xr:uid="{E8B161EC-37AF-47CC-8982-6C98E9B472D3}"/>
    <cellStyle name="20% - Accent5 2 3 2 2" xfId="21541" xr:uid="{BC3A3B26-B3DD-4F64-884F-B3A2B1B26BB5}"/>
    <cellStyle name="20% - Accent5 2 3 2 2 2" xfId="7370" xr:uid="{4DEC9AB6-CFB1-43AD-A158-95C3D8A198CA}"/>
    <cellStyle name="20% - Accent5 2 3 2 2 2 2" xfId="27471" xr:uid="{76B37004-67C6-4C26-B760-689A2A20CF56}"/>
    <cellStyle name="20% - Accent5 2 3 2 2 2 2 2" xfId="23077" xr:uid="{D178E0DE-78E6-467F-A41D-253BB1A60FC9}"/>
    <cellStyle name="20% - Accent5 2 3 2 2 2 2 2 2" xfId="7772" xr:uid="{4838AA81-5482-4055-A27F-B69352608C20}"/>
    <cellStyle name="20% - Accent5 2 3 2 2 2 2 2 2 2" xfId="20706" xr:uid="{701EC9DE-2E02-48F3-BF80-05D6D1C7889C}"/>
    <cellStyle name="20% - Accent5 2 3 2 2 2 2 2 2 2 2" xfId="12777" xr:uid="{913F133F-4B89-4BBB-8578-9D7D2B5CEEC2}"/>
    <cellStyle name="20% - Accent5 2 3 2 2 2 2 2 2 3" xfId="21536" xr:uid="{D6B6D51C-00D7-414E-A4EF-BAE658FA06A6}"/>
    <cellStyle name="20% - Accent5 2 3 2 2 2 2 2 3" xfId="21532" xr:uid="{49CD9727-DE25-424E-894C-6F3D54B0BFE8}"/>
    <cellStyle name="20% - Accent5 2 3 2 2 2 2 2 3 2" xfId="29461" xr:uid="{4E1018A5-4F15-4994-BC27-BB2DA3DA3A2C}"/>
    <cellStyle name="20% - Accent5 2 3 2 2 2 2 2 4" xfId="21531" xr:uid="{58A6D35F-D6C2-41F4-B250-D442173E1473}"/>
    <cellStyle name="20% - Accent5 2 3 2 2 2 2 3" xfId="23068" xr:uid="{9CD0EA19-853D-43A7-9BFD-F8BAD7D84588}"/>
    <cellStyle name="20% - Accent5 2 3 2 2 2 2 3 2" xfId="17680" xr:uid="{63665F09-B288-4894-9DF4-2921F18157D3}"/>
    <cellStyle name="20% - Accent5 2 3 2 2 2 2 3 2 2" xfId="21530" xr:uid="{5ED38278-393B-4507-AC09-A557AC5E5701}"/>
    <cellStyle name="20% - Accent5 2 3 2 2 2 2 3 3" xfId="6602" xr:uid="{33F0841E-1970-4EB5-9FE6-78D99630512D}"/>
    <cellStyle name="20% - Accent5 2 3 2 2 2 2 4" xfId="23063" xr:uid="{C520D37C-E908-4891-B25F-8A6F4AC73941}"/>
    <cellStyle name="20% - Accent5 2 3 2 2 2 2 4 2" xfId="6596" xr:uid="{BBCF30AC-8B2C-43F9-8A98-6739D8191DA7}"/>
    <cellStyle name="20% - Accent5 2 3 2 2 2 2 5" xfId="29940" xr:uid="{33BA5A9B-BC02-4754-972E-6821CA7F0F28}"/>
    <cellStyle name="20% - Accent5 2 3 2 2 2 3" xfId="21528" xr:uid="{F8FAB4DE-A5DF-4A2A-8FAC-B31FD1F40C95}"/>
    <cellStyle name="20% - Accent5 2 3 2 2 2 3 2" xfId="10762" xr:uid="{DE7F33B9-0678-464F-B087-4E7CD00CD7A2}"/>
    <cellStyle name="20% - Accent5 2 3 2 2 2 3 2 2" xfId="21527" xr:uid="{DF789A43-C183-4B42-89AC-57B7796340B7}"/>
    <cellStyle name="20% - Accent5 2 3 2 2 2 3 2 2 2" xfId="21525" xr:uid="{B6F74167-CAFE-4E86-8AAA-8484D98F1DFF}"/>
    <cellStyle name="20% - Accent5 2 3 2 2 2 3 2 3" xfId="21523" xr:uid="{99516E4E-88B2-4C45-8E66-DD3AA5E25D32}"/>
    <cellStyle name="20% - Accent5 2 3 2 2 2 3 3" xfId="10753" xr:uid="{1C499D1D-8456-43BE-9CDC-FFFAFFE42C73}"/>
    <cellStyle name="20% - Accent5 2 3 2 2 2 3 3 2" xfId="6583" xr:uid="{93839A2C-95A0-4843-92B6-C8FBB676ED02}"/>
    <cellStyle name="20% - Accent5 2 3 2 2 2 3 4" xfId="10749" xr:uid="{41B6A687-DE4F-4065-BC59-EB07332F5938}"/>
    <cellStyle name="20% - Accent5 2 3 2 2 2 4" xfId="21522" xr:uid="{973E08D5-5394-40EF-B4B4-918755C264B4}"/>
    <cellStyle name="20% - Accent5 2 3 2 2 2 4 2" xfId="10726" xr:uid="{829BCD37-4BBD-4AB8-A09B-5CE30903C3C2}"/>
    <cellStyle name="20% - Accent5 2 3 2 2 2 4 2 2" xfId="21520" xr:uid="{1DC7F9D8-57AE-4A63-8F79-9826DFB308FA}"/>
    <cellStyle name="20% - Accent5 2 3 2 2 2 4 3" xfId="10712" xr:uid="{47E513F7-2139-426A-969F-07C6E68370B1}"/>
    <cellStyle name="20% - Accent5 2 3 2 2 2 5" xfId="30718" xr:uid="{06FCE84B-91AF-4A86-A047-C025E74F5369}"/>
    <cellStyle name="20% - Accent5 2 3 2 2 2 5 2" xfId="10694" xr:uid="{770F6738-64DF-4463-99E4-AE193BDA32EB}"/>
    <cellStyle name="20% - Accent5 2 3 2 2 2 6" xfId="21518" xr:uid="{1C90BE42-E7D5-4B86-A768-1D13EF682ED3}"/>
    <cellStyle name="20% - Accent5 2 3 2 2 3" xfId="21515" xr:uid="{FF84D932-A2C3-4BB0-9742-1889C3DA08C0}"/>
    <cellStyle name="20% - Accent5 2 3 2 2 3 2" xfId="21513" xr:uid="{06B907E4-8B47-4B85-AF89-5041AE37F1CA}"/>
    <cellStyle name="20% - Accent5 2 3 2 2 3 2 2" xfId="23029" xr:uid="{8F702F18-4E19-4965-A985-75006DD86F5F}"/>
    <cellStyle name="20% - Accent5 2 3 2 2 3 2 2 2" xfId="21511" xr:uid="{069AC747-E7FA-44D3-B023-21515C1C1663}"/>
    <cellStyle name="20% - Accent5 2 3 2 2 3 2 2 2 2" xfId="21507" xr:uid="{10F7F1AC-3D12-4910-B97F-35766744D36E}"/>
    <cellStyle name="20% - Accent5 2 3 2 2 3 2 2 3" xfId="18794" xr:uid="{941BC383-24AB-4E55-A01E-2228511E4993}"/>
    <cellStyle name="20% - Accent5 2 3 2 2 3 2 3" xfId="22486" xr:uid="{AC5571C5-7FBC-4271-ADBE-3772F8DE9FCE}"/>
    <cellStyle name="20% - Accent5 2 3 2 2 3 2 3 2" xfId="6555" xr:uid="{5717FA61-FCB6-4EF3-BF5E-F2D0CCB0F6C9}"/>
    <cellStyle name="20% - Accent5 2 3 2 2 3 2 4" xfId="19602" xr:uid="{B11ED5F1-30B6-462C-911C-FCE2A2F53FB0}"/>
    <cellStyle name="20% - Accent5 2 3 2 2 3 3" xfId="21502" xr:uid="{72F4D1C0-88EC-4D36-8A24-7C929B0017CC}"/>
    <cellStyle name="20% - Accent5 2 3 2 2 3 3 2" xfId="10672" xr:uid="{93BAF767-FE7B-477F-A369-752C6DF3CEE8}"/>
    <cellStyle name="20% - Accent5 2 3 2 2 3 3 2 2" xfId="18762" xr:uid="{D5CF6712-96F5-43B7-AB8C-5417B842DC21}"/>
    <cellStyle name="20% - Accent5 2 3 2 2 3 3 3" xfId="10666" xr:uid="{1734F3EB-6F9F-4F56-99D6-D6A55C1E9B15}"/>
    <cellStyle name="20% - Accent5 2 3 2 2 3 4" xfId="21500" xr:uid="{EA70A25A-D38B-4DAF-815C-868F4E5EA76A}"/>
    <cellStyle name="20% - Accent5 2 3 2 2 3 4 2" xfId="10641" xr:uid="{E5F12CA5-1DE0-4D49-BA8B-ED7EFD661795}"/>
    <cellStyle name="20% - Accent5 2 3 2 2 3 5" xfId="21498" xr:uid="{686926EF-022C-402F-82C6-434A81602C26}"/>
    <cellStyle name="20% - Accent5 2 3 2 2 4" xfId="21496" xr:uid="{84BDC5BA-56A6-41D9-B658-6B34F12F75AF}"/>
    <cellStyle name="20% - Accent5 2 3 2 2 4 2" xfId="21505" xr:uid="{57803734-B722-4B66-B087-B68CBC1C3DBA}"/>
    <cellStyle name="20% - Accent5 2 3 2 2 4 2 2" xfId="22066" xr:uid="{1F9276DB-D6E1-4262-BB98-8503CE47700E}"/>
    <cellStyle name="20% - Accent5 2 3 2 2 4 2 2 2" xfId="18631" xr:uid="{8BF02224-A4CA-4B05-B222-3CA92BB5CAF4}"/>
    <cellStyle name="20% - Accent5 2 3 2 2 4 2 3" xfId="19593" xr:uid="{E111B525-6D7C-4712-96BA-8382BAA343D2}"/>
    <cellStyle name="20% - Accent5 2 3 2 2 4 3" xfId="21492" xr:uid="{59ADF4F1-FA4E-43E0-A157-5C6AE4F4E3D4}"/>
    <cellStyle name="20% - Accent5 2 3 2 2 4 3 2" xfId="10604" xr:uid="{033D66E9-EC1C-4893-AD1F-4CA924E08893}"/>
    <cellStyle name="20% - Accent5 2 3 2 2 4 4" xfId="21489" xr:uid="{ED18182B-33EB-4630-A255-4B2BFFA5E231}"/>
    <cellStyle name="20% - Accent5 2 3 2 2 5" xfId="21487" xr:uid="{C943FDF7-FF31-4189-9069-058640684E1A}"/>
    <cellStyle name="20% - Accent5 2 3 2 2 5 2" xfId="30306" xr:uid="{69E7E858-1351-4EB5-A52C-B9437D54D543}"/>
    <cellStyle name="20% - Accent5 2 3 2 2 5 2 2" xfId="22055" xr:uid="{F7F10C93-4D23-4C5D-9283-66B979D65646}"/>
    <cellStyle name="20% - Accent5 2 3 2 2 5 3" xfId="7971" xr:uid="{1185BA1A-F24C-4BA8-AC21-E596B1E5E6BD}"/>
    <cellStyle name="20% - Accent5 2 3 2 2 6" xfId="21486" xr:uid="{BF1B6878-3D6E-4BB4-99F2-F13EBFADC7ED}"/>
    <cellStyle name="20% - Accent5 2 3 2 2 6 2" xfId="26694" xr:uid="{E8B428DB-B343-404E-98B3-AC8EDE6823D0}"/>
    <cellStyle name="20% - Accent5 2 3 2 2 7" xfId="21485" xr:uid="{741CDA7B-3C54-4920-8BFB-ED996E71E9C8}"/>
    <cellStyle name="20% - Accent5 2 3 2 3" xfId="16697" xr:uid="{79F327E3-344D-4926-810D-470CEC0BACE4}"/>
    <cellStyle name="20% - Accent5 2 3 2 3 2" xfId="18155" xr:uid="{71014E2D-247F-4725-B7F5-37D26EFB3024}"/>
    <cellStyle name="20% - Accent5 2 3 2 3 2 2" xfId="16695" xr:uid="{B0286ACC-8B7C-4006-BC14-72A70A2032BB}"/>
    <cellStyle name="20% - Accent5 2 3 2 3 2 2 2" xfId="26918" xr:uid="{31C94AD9-6272-4508-AEC4-46ADFB59B24F}"/>
    <cellStyle name="20% - Accent5 2 3 2 3 2 2 2 2" xfId="21484" xr:uid="{805E7BED-109C-44F7-8A0B-8B832AE7ADAB}"/>
    <cellStyle name="20% - Accent5 2 3 2 3 2 2 2 2 2" xfId="21483" xr:uid="{3FE4BE34-AE37-4E18-9EC4-E354B03CDDE5}"/>
    <cellStyle name="20% - Accent5 2 3 2 3 2 2 2 3" xfId="19503" xr:uid="{4FA5340F-C065-4F13-A67C-CE12822D5447}"/>
    <cellStyle name="20% - Accent5 2 3 2 3 2 2 3" xfId="26408" xr:uid="{DF497197-118C-493D-8349-18240BAD92DD}"/>
    <cellStyle name="20% - Accent5 2 3 2 3 2 2 3 2" xfId="7782" xr:uid="{8A2C7DA3-8162-4B9A-BAD3-A31AE96A3176}"/>
    <cellStyle name="20% - Accent5 2 3 2 3 2 2 4" xfId="25681" xr:uid="{873D7713-FD5A-4C0D-A75C-181FF4495931}"/>
    <cellStyle name="20% - Accent5 2 3 2 3 2 3" xfId="16677" xr:uid="{740E957C-304B-4C04-A7B8-4E419614B043}"/>
    <cellStyle name="20% - Accent5 2 3 2 3 2 3 2" xfId="10475" xr:uid="{29219083-2EF4-4B25-A81D-C26A7397D301}"/>
    <cellStyle name="20% - Accent5 2 3 2 3 2 3 2 2" xfId="21478" xr:uid="{5DB62F3D-5C2F-4653-9F0B-FD6579E01D57}"/>
    <cellStyle name="20% - Accent5 2 3 2 3 2 3 3" xfId="10471" xr:uid="{922FAB91-6E96-4065-B81A-AECAD623C20F}"/>
    <cellStyle name="20% - Accent5 2 3 2 3 2 4" xfId="16668" xr:uid="{017755C6-CE15-4843-A4DF-1294E1F045FD}"/>
    <cellStyle name="20% - Accent5 2 3 2 3 2 4 2" xfId="10456" xr:uid="{DAC38BB3-A7B1-4C9A-9987-33E0A3A6A33B}"/>
    <cellStyle name="20% - Accent5 2 3 2 3 2 5" xfId="16664" xr:uid="{B849D50C-C457-4AEB-A8BB-10F98AC056CB}"/>
    <cellStyle name="20% - Accent5 2 3 2 3 3" xfId="21903" xr:uid="{850E7095-F169-409C-A011-E62530B9FDA5}"/>
    <cellStyle name="20% - Accent5 2 3 2 3 3 2" xfId="16660" xr:uid="{685500C9-C1BC-4900-82F8-B590AC326870}"/>
    <cellStyle name="20% - Accent5 2 3 2 3 3 2 2" xfId="25649" xr:uid="{CAF89582-1A00-41B0-84A3-3E176B3FCF0E}"/>
    <cellStyle name="20% - Accent5 2 3 2 3 3 2 2 2" xfId="21471" xr:uid="{66A940BC-D474-417A-BAB9-E524294FD119}"/>
    <cellStyle name="20% - Accent5 2 3 2 3 3 2 3" xfId="19933" xr:uid="{F4076CB0-2FE2-4B37-9974-D449F573BEDB}"/>
    <cellStyle name="20% - Accent5 2 3 2 3 3 3" xfId="19989" xr:uid="{B29D6078-A080-4DCA-922E-94557314B548}"/>
    <cellStyle name="20% - Accent5 2 3 2 3 3 3 2" xfId="25624" xr:uid="{364FF18D-B75F-417D-ABC7-D918C3E26C14}"/>
    <cellStyle name="20% - Accent5 2 3 2 3 3 4" xfId="18057" xr:uid="{413E205B-F3C5-43AF-82BF-F4A6BDFEB1D8}"/>
    <cellStyle name="20% - Accent5 2 3 2 3 4" xfId="16650" xr:uid="{35707884-CE39-4D55-8FDE-296CA8658305}"/>
    <cellStyle name="20% - Accent5 2 3 2 3 4 2" xfId="16648" xr:uid="{0381BC6A-CDBE-418B-B249-25C001B016FB}"/>
    <cellStyle name="20% - Accent5 2 3 2 3 4 2 2" xfId="22046" xr:uid="{E1379F77-CA8B-4A3E-89DE-D244BAAB439C}"/>
    <cellStyle name="20% - Accent5 2 3 2 3 4 3" xfId="21457" xr:uid="{9EED6DC5-17BA-4A86-8171-F1D70C3A1DC5}"/>
    <cellStyle name="20% - Accent5 2 3 2 3 5" xfId="16645" xr:uid="{CD680CCF-16CC-41FD-A80B-2EB83A7875F9}"/>
    <cellStyle name="20% - Accent5 2 3 2 3 5 2" xfId="16643" xr:uid="{9F6C278A-A947-4C7B-881F-0DB28FE7C67F}"/>
    <cellStyle name="20% - Accent5 2 3 2 3 6" xfId="16640" xr:uid="{E69A0EB9-725B-40D8-BC09-E1293DBD1BE3}"/>
    <cellStyle name="20% - Accent5 2 3 2 4" xfId="13939" xr:uid="{DFC99DA1-0DEE-4CB7-ABF7-16A0E1EAFF0B}"/>
    <cellStyle name="20% - Accent5 2 3 2 4 2" xfId="22034" xr:uid="{ACBE8C00-84E7-444A-B804-024E16171E40}"/>
    <cellStyle name="20% - Accent5 2 3 2 4 2 2" xfId="22217" xr:uid="{33317F1C-27E1-4CE2-A2FF-47E2B6A904BC}"/>
    <cellStyle name="20% - Accent5 2 3 2 4 2 2 2" xfId="25553" xr:uid="{B1DDA114-580C-4B66-B5F3-8387145BF0B4}"/>
    <cellStyle name="20% - Accent5 2 3 2 4 2 2 2 2" xfId="27622" xr:uid="{DAE2A6C8-0EEA-43F5-AECF-2A097F5BBE4C}"/>
    <cellStyle name="20% - Accent5 2 3 2 4 2 2 3" xfId="25544" xr:uid="{F9C0E301-F135-4CAE-8009-E27EB6ECCCAA}"/>
    <cellStyle name="20% - Accent5 2 3 2 4 2 3" xfId="20494" xr:uid="{8813D212-9DB7-43C4-B3C1-FA7ED1F996BC}"/>
    <cellStyle name="20% - Accent5 2 3 2 4 2 3 2" xfId="25528" xr:uid="{FF9F9751-E833-410B-8AD3-8F0BB4BEB14E}"/>
    <cellStyle name="20% - Accent5 2 3 2 4 2 4" xfId="16635" xr:uid="{EC6E03BF-9474-4886-8EDF-4D20CD4AC1CC}"/>
    <cellStyle name="20% - Accent5 2 3 2 4 3" xfId="20486" xr:uid="{ABCF70CB-073A-4EE1-8CEA-4BE0446A6D9F}"/>
    <cellStyle name="20% - Accent5 2 3 2 4 3 2" xfId="20482" xr:uid="{A5466813-6486-4FB9-B871-C4ED7F944CC0}"/>
    <cellStyle name="20% - Accent5 2 3 2 4 3 2 2" xfId="32094" xr:uid="{CDF639FE-19AD-4B87-B69B-4B22EFE964BC}"/>
    <cellStyle name="20% - Accent5 2 3 2 4 3 3" xfId="21433" xr:uid="{2342B354-7C16-49C0-891B-B1D3A9FDB102}"/>
    <cellStyle name="20% - Accent5 2 3 2 4 4" xfId="20478" xr:uid="{7471080E-4584-469E-8200-79C26F171D2B}"/>
    <cellStyle name="20% - Accent5 2 3 2 4 4 2" xfId="16631" xr:uid="{65322881-CF16-4536-A2B6-32E55E092253}"/>
    <cellStyle name="20% - Accent5 2 3 2 4 5" xfId="16628" xr:uid="{7CAB9E1D-8990-4035-A54F-C5837BA2BAD4}"/>
    <cellStyle name="20% - Accent5 2 3 2 5" xfId="16625" xr:uid="{E51467C8-62F1-4FD6-ADBB-DEBA731CA28D}"/>
    <cellStyle name="20% - Accent5 2 3 2 5 2" xfId="29212" xr:uid="{FFF3BAF1-92E0-436A-828C-002D81EBFE75}"/>
    <cellStyle name="20% - Accent5 2 3 2 5 2 2" xfId="28813" xr:uid="{B15C9138-A51D-4798-A91B-B4BBDFE710C2}"/>
    <cellStyle name="20% - Accent5 2 3 2 5 2 2 2" xfId="15862" xr:uid="{0F902A6E-3AE9-4388-B3BD-FE5CB957F467}"/>
    <cellStyle name="20% - Accent5 2 3 2 5 2 3" xfId="21426" xr:uid="{6A2B3AAA-8A3E-4604-9BE4-8114C4D14987}"/>
    <cellStyle name="20% - Accent5 2 3 2 5 3" xfId="21420" xr:uid="{1A244384-1C8C-4240-B88C-EA0E92D8E2AE}"/>
    <cellStyle name="20% - Accent5 2 3 2 5 3 2" xfId="21417" xr:uid="{F5DF0F51-132F-4D4D-9594-1C15E27FB45B}"/>
    <cellStyle name="20% - Accent5 2 3 2 5 4" xfId="16622" xr:uid="{3E0219C5-7139-4CE4-8275-662F85CFE9F5}"/>
    <cellStyle name="20% - Accent5 2 3 2 6" xfId="16620" xr:uid="{9A5D9B89-D6BC-462B-971E-45F2DD278817}"/>
    <cellStyle name="20% - Accent5 2 3 2 6 2" xfId="21411" xr:uid="{A2790A1E-EBDF-40ED-8F3C-F6740D243448}"/>
    <cellStyle name="20% - Accent5 2 3 2 6 2 2" xfId="21407" xr:uid="{B594265F-63CA-4842-AC20-DB6E67AA1ED8}"/>
    <cellStyle name="20% - Accent5 2 3 2 6 3" xfId="16618" xr:uid="{F51C2925-ACE5-426B-80ED-77964AB30198}"/>
    <cellStyle name="20% - Accent5 2 3 2 7" xfId="21404" xr:uid="{97E54A0E-7E3A-4F77-8F72-141E93D5DB43}"/>
    <cellStyle name="20% - Accent5 2 3 2 7 2" xfId="21402" xr:uid="{C3E6A9F4-E0D1-4523-A3ED-A67D1244CE90}"/>
    <cellStyle name="20% - Accent5 2 3 2 8" xfId="26716" xr:uid="{111742F9-D7F4-4DB5-8591-03C81B4AF23D}"/>
    <cellStyle name="20% - Accent5 2 3 3" xfId="30951" xr:uid="{1CF7C1F3-8908-40D0-82B0-5972ACB7F33D}"/>
    <cellStyle name="20% - Accent5 2 3 3 2" xfId="21399" xr:uid="{F6FF1FBC-91D1-450E-B4F9-F396D0DC50F5}"/>
    <cellStyle name="20% - Accent5 2 3 3 2 2" xfId="30482" xr:uid="{5B8382C9-8DB9-4546-B4BE-7630C49E603C}"/>
    <cellStyle name="20% - Accent5 2 3 3 2 2 2" xfId="30476" xr:uid="{8255AFA2-5C5E-41CF-8BDE-0128CE619CAA}"/>
    <cellStyle name="20% - Accent5 2 3 3 2 2 2 2" xfId="22689" xr:uid="{D3940882-238E-4CBD-8CB1-ABE22B89C9CA}"/>
    <cellStyle name="20% - Accent5 2 3 3 2 2 2 2 2" xfId="21398" xr:uid="{373BD70D-A594-4182-92FF-81262BDF65A0}"/>
    <cellStyle name="20% - Accent5 2 3 3 2 2 2 2 2 2" xfId="21396" xr:uid="{59D6FED3-9180-496D-BE6D-0D1A69D97858}"/>
    <cellStyle name="20% - Accent5 2 3 3 2 2 2 2 3" xfId="21394" xr:uid="{933B4DD8-88EB-4726-A602-004F77532FF3}"/>
    <cellStyle name="20% - Accent5 2 3 3 2 2 2 3" xfId="22683" xr:uid="{7CF33021-7EF1-4F1A-BBDF-0387AEDA5673}"/>
    <cellStyle name="20% - Accent5 2 3 3 2 2 2 3 2" xfId="6165" xr:uid="{1ECC43BC-3B0D-4658-961D-6259AB1541BD}"/>
    <cellStyle name="20% - Accent5 2 3 3 2 2 2 4" xfId="24811" xr:uid="{96743B09-256E-42F8-BD07-2A3BB01A4DBF}"/>
    <cellStyle name="20% - Accent5 2 3 3 2 2 3" xfId="30470" xr:uid="{8BF08AD5-A894-4F40-B4EA-901A6F60AA95}"/>
    <cellStyle name="20% - Accent5 2 3 3 2 2 3 2" xfId="9773" xr:uid="{21ADAFDC-8997-4CC4-B495-7C212449F70B}"/>
    <cellStyle name="20% - Accent5 2 3 3 2 2 3 2 2" xfId="21393" xr:uid="{509B2DC4-25C1-4DEA-B1E6-C5CDCE518C88}"/>
    <cellStyle name="20% - Accent5 2 3 3 2 2 3 3" xfId="11380" xr:uid="{CCDE6682-9DA0-47E0-9F9E-FF6BF6F1623A}"/>
    <cellStyle name="20% - Accent5 2 3 3 2 2 4" xfId="30725" xr:uid="{B6C84F5D-F0C0-4076-8F7D-BB2E25C2CFDA}"/>
    <cellStyle name="20% - Accent5 2 3 3 2 2 4 2" xfId="9749" xr:uid="{C5D2E850-A47F-43B8-9310-D89F278DCE48}"/>
    <cellStyle name="20% - Accent5 2 3 3 2 2 5" xfId="21392" xr:uid="{0E9AA9A7-507F-4B74-93BD-9DD6732EBBFC}"/>
    <cellStyle name="20% - Accent5 2 3 3 2 3" xfId="22999" xr:uid="{8C573C0D-CA36-48A4-8613-09CCFBBC1105}"/>
    <cellStyle name="20% - Accent5 2 3 3 2 3 2" xfId="22775" xr:uid="{834F27D0-EC15-47ED-9BB2-79DDFE4CBC6C}"/>
    <cellStyle name="20% - Accent5 2 3 3 2 3 2 2" xfId="20145" xr:uid="{AEC6AA60-A8F7-4F37-A697-9960A5F6C469}"/>
    <cellStyle name="20% - Accent5 2 3 3 2 3 2 2 2" xfId="21391" xr:uid="{B060B01E-6D4E-4B16-BAF9-AD69FBFAFAF1}"/>
    <cellStyle name="20% - Accent5 2 3 3 2 3 2 3" xfId="20125" xr:uid="{8C88C639-C8D4-4D54-AEE0-6D188B4D78E0}"/>
    <cellStyle name="20% - Accent5 2 3 3 2 3 3" xfId="30464" xr:uid="{848114E2-0578-487A-B1FE-994BB64D9C39}"/>
    <cellStyle name="20% - Accent5 2 3 3 2 3 3 2" xfId="9709" xr:uid="{EA9D92C1-D419-4796-B26D-7A3EB76BCFD0}"/>
    <cellStyle name="20% - Accent5 2 3 3 2 3 4" xfId="7880" xr:uid="{F6F7814F-B892-4FB5-A963-602F7032BAE8}"/>
    <cellStyle name="20% - Accent5 2 3 3 2 4" xfId="31036" xr:uid="{270EBEB5-7025-4293-812E-CA3541A6E0CC}"/>
    <cellStyle name="20% - Accent5 2 3 3 2 4 2" xfId="22711" xr:uid="{D573F23E-F309-43E8-9260-8954B9B63CAE}"/>
    <cellStyle name="20% - Accent5 2 3 3 2 4 2 2" xfId="21992" xr:uid="{2604260A-5F68-4CFC-B0FE-CC29371932DE}"/>
    <cellStyle name="20% - Accent5 2 3 3 2 4 3" xfId="21389" xr:uid="{DB4A07E9-74D3-49AA-8223-DFA1A7C5228E}"/>
    <cellStyle name="20% - Accent5 2 3 3 2 5" xfId="26936" xr:uid="{535C7143-B6A0-47C5-B8C6-088A33E45C2A}"/>
    <cellStyle name="20% - Accent5 2 3 3 2 5 2" xfId="22646" xr:uid="{E61FD7C9-26D5-469F-8087-CB01B8555C45}"/>
    <cellStyle name="20% - Accent5 2 3 3 2 6" xfId="21387" xr:uid="{B400B38C-0C3C-4505-BDB9-9B5FCAEAE904}"/>
    <cellStyle name="20% - Accent5 2 3 3 3" xfId="16614" xr:uid="{B5ABEEC2-AA8C-45A0-975E-1A0100ED26D1}"/>
    <cellStyle name="20% - Accent5 2 3 3 3 2" xfId="18149" xr:uid="{7AF2D1BF-2B9D-473B-ADF9-7D8EA236D523}"/>
    <cellStyle name="20% - Accent5 2 3 3 3 2 2" xfId="16612" xr:uid="{259EFE35-7DD9-4757-9DCD-43DC9DED1EB9}"/>
    <cellStyle name="20% - Accent5 2 3 3 3 2 2 2" xfId="10214" xr:uid="{62811B53-C565-4380-AEAC-7E85F1DC5DF9}"/>
    <cellStyle name="20% - Accent5 2 3 3 3 2 2 2 2" xfId="21386" xr:uid="{5B937DDD-491F-4E53-A1E8-99639FE61E3D}"/>
    <cellStyle name="20% - Accent5 2 3 3 3 2 2 3" xfId="25328" xr:uid="{6FC42D88-0B21-4AA9-8B75-C3CBB5A6799E}"/>
    <cellStyle name="20% - Accent5 2 3 3 3 2 3" xfId="16606" xr:uid="{B97E2A0B-7257-4667-B706-7FA397186E4C}"/>
    <cellStyle name="20% - Accent5 2 3 3 3 2 3 2" xfId="9629" xr:uid="{66BA057B-65AB-4453-87D3-630069E153F3}"/>
    <cellStyle name="20% - Accent5 2 3 3 3 2 4" xfId="16604" xr:uid="{9935592C-DC30-4797-9723-B5F0E8DFDD04}"/>
    <cellStyle name="20% - Accent5 2 3 3 3 3" xfId="16599" xr:uid="{DE97DE8A-4D8F-4EC1-8080-C74A04705DB6}"/>
    <cellStyle name="20% - Accent5 2 3 3 3 3 2" xfId="16596" xr:uid="{66547DD6-AEF4-41B2-9BDC-69DC28478EDC}"/>
    <cellStyle name="20% - Accent5 2 3 3 3 3 2 2" xfId="25303" xr:uid="{7D14E0EE-97FF-4E13-A66E-D235E2BEEBAD}"/>
    <cellStyle name="20% - Accent5 2 3 3 3 3 3" xfId="18036" xr:uid="{65022FA4-8214-4533-8BFE-6B6AF1B28F84}"/>
    <cellStyle name="20% - Accent5 2 3 3 3 4" xfId="16593" xr:uid="{20A2375A-8F6A-44C0-B751-8F7E58F0B7B8}"/>
    <cellStyle name="20% - Accent5 2 3 3 3 4 2" xfId="16588" xr:uid="{83627A48-C69A-4273-8403-59B6AD50218F}"/>
    <cellStyle name="20% - Accent5 2 3 3 3 5" xfId="16583" xr:uid="{F6CD2C31-A53D-4CAE-A0E1-43A60CAD2A12}"/>
    <cellStyle name="20% - Accent5 2 3 3 4" xfId="18145" xr:uid="{2D26E5EE-EE15-4120-BB85-A864AF2ACD84}"/>
    <cellStyle name="20% - Accent5 2 3 3 4 2" xfId="20425" xr:uid="{42F96265-F579-4994-B56E-291A8B33A64E}"/>
    <cellStyle name="20% - Accent5 2 3 3 4 2 2" xfId="30140" xr:uid="{0DA1B910-8AF8-40F9-A952-34B20F25ED43}"/>
    <cellStyle name="20% - Accent5 2 3 3 4 2 2 2" xfId="25235" xr:uid="{87A845AB-CAFD-4943-8349-64B352C90848}"/>
    <cellStyle name="20% - Accent5 2 3 3 4 2 3" xfId="16581" xr:uid="{94059945-1BF6-46BF-8C5F-6CDB6E0F9C79}"/>
    <cellStyle name="20% - Accent5 2 3 3 4 3" xfId="20420" xr:uid="{1C1E44BC-1166-492C-AE07-C8DA7C94535B}"/>
    <cellStyle name="20% - Accent5 2 3 3 4 3 2" xfId="16578" xr:uid="{BD1D0E1B-8E09-440C-A0BD-114E64E9506A}"/>
    <cellStyle name="20% - Accent5 2 3 3 4 4" xfId="16575" xr:uid="{AE253C1B-7057-4B92-8408-7DB9BF175FA3}"/>
    <cellStyle name="20% - Accent5 2 3 3 5" xfId="19656" xr:uid="{32C51EF7-446D-4699-84D1-9E77C929194E}"/>
    <cellStyle name="20% - Accent5 2 3 3 5 2" xfId="25911" xr:uid="{75DC58FB-7974-4DEA-BCFC-61C564BB773A}"/>
    <cellStyle name="20% - Accent5 2 3 3 5 2 2" xfId="21373" xr:uid="{458A5C1C-283D-497E-A5AC-A24B575D1741}"/>
    <cellStyle name="20% - Accent5 2 3 3 5 3" xfId="16571" xr:uid="{9A276C09-0AAE-4999-8855-C1A145C52611}"/>
    <cellStyle name="20% - Accent5 2 3 3 6" xfId="16567" xr:uid="{F73BCA41-F083-4536-BABA-9DFCA7949CD8}"/>
    <cellStyle name="20% - Accent5 2 3 3 6 2" xfId="26878" xr:uid="{9DC9A018-4CC6-4C1C-B233-21BB3E5FE2BF}"/>
    <cellStyle name="20% - Accent5 2 3 3 7" xfId="21371" xr:uid="{7029C7A8-2817-46BD-8C62-C9F03BE5FD42}"/>
    <cellStyle name="20% - Accent5 2 3 4" xfId="21367" xr:uid="{3FC3E618-D1B7-4153-A133-B6C5A7C41E24}"/>
    <cellStyle name="20% - Accent5 2 3 4 2" xfId="21363" xr:uid="{7445691C-9381-4A45-BD38-409170869C3D}"/>
    <cellStyle name="20% - Accent5 2 3 4 2 2" xfId="22979" xr:uid="{636F3AA6-ECE2-4BEA-BD72-D3C88DBF0DBF}"/>
    <cellStyle name="20% - Accent5 2 3 4 2 2 2" xfId="29961" xr:uid="{D1DD5D73-EF7D-40E9-AF50-BBDCFC027B5A}"/>
    <cellStyle name="20% - Accent5 2 3 4 2 2 2 2" xfId="22535" xr:uid="{F50FC410-E4AE-44BE-AC0F-AE595E48C7A0}"/>
    <cellStyle name="20% - Accent5 2 3 4 2 2 2 2 2" xfId="28156" xr:uid="{17D3D883-B520-449A-8454-CF6BB2CD51ED}"/>
    <cellStyle name="20% - Accent5 2 3 4 2 2 2 3" xfId="22520" xr:uid="{F81A5F2C-4D39-4DCE-86B4-87A9E8831D4C}"/>
    <cellStyle name="20% - Accent5 2 3 4 2 2 3" xfId="22886" xr:uid="{6806BD42-C65C-4AC4-9CD9-51EA89CA4084}"/>
    <cellStyle name="20% - Accent5 2 3 4 2 2 3 2" xfId="9414" xr:uid="{50E149D1-A6A8-4475-9C3A-1C67B9017EB9}"/>
    <cellStyle name="20% - Accent5 2 3 4 2 2 4" xfId="29890" xr:uid="{17E66043-8728-4C3F-95A2-C2A625A0BD87}"/>
    <cellStyle name="20% - Accent5 2 3 4 2 3" xfId="26096" xr:uid="{16C83769-AAE9-411A-A260-D5B378A177B8}"/>
    <cellStyle name="20% - Accent5 2 3 4 2 3 2" xfId="22431" xr:uid="{7DFFB55A-CE19-4F4D-8AF3-8B510FA80836}"/>
    <cellStyle name="20% - Accent5 2 3 4 2 3 2 2" xfId="22499" xr:uid="{1DEB9C16-B099-4302-B432-7ED83C137C89}"/>
    <cellStyle name="20% - Accent5 2 3 4 2 3 3" xfId="21362" xr:uid="{60AA0D4F-0E00-46B0-8384-AEDE3AB4ADCC}"/>
    <cellStyle name="20% - Accent5 2 3 4 2 4" xfId="26704" xr:uid="{CE79FC58-62BC-4E5E-A714-DBBFA02D49E7}"/>
    <cellStyle name="20% - Accent5 2 3 4 2 4 2" xfId="21360" xr:uid="{392C395E-E0C2-44CC-8C51-5C3CF558E58F}"/>
    <cellStyle name="20% - Accent5 2 3 4 2 5" xfId="21358" xr:uid="{0FB85C19-9DDE-4E80-8A9E-F93D3A16FEB9}"/>
    <cellStyle name="20% - Accent5 2 3 4 3" xfId="18141" xr:uid="{F36E72E1-19D8-4DDD-A91C-0628A968E39D}"/>
    <cellStyle name="20% - Accent5 2 3 4 3 2" xfId="16564" xr:uid="{CFA01DAC-DE1B-4568-912C-E9DD31ECE2E5}"/>
    <cellStyle name="20% - Accent5 2 3 4 3 2 2" xfId="16562" xr:uid="{DB617AF7-7CB7-412D-86CF-AD9BDC44DE5C}"/>
    <cellStyle name="20% - Accent5 2 3 4 3 2 2 2" xfId="25157" xr:uid="{1A790B1C-5CCF-446A-A882-B12B343F8D01}"/>
    <cellStyle name="20% - Accent5 2 3 4 3 2 3" xfId="16560" xr:uid="{CCF0564F-05DA-412D-83A9-4F1CA9D034CF}"/>
    <cellStyle name="20% - Accent5 2 3 4 3 3" xfId="20309" xr:uid="{C0C84750-123F-453A-A36A-3B90091F953E}"/>
    <cellStyle name="20% - Accent5 2 3 4 3 3 2" xfId="16558" xr:uid="{508DB735-6062-42DF-BA19-EE387F8EEB88}"/>
    <cellStyle name="20% - Accent5 2 3 4 3 4" xfId="16554" xr:uid="{FF1D8264-D3DD-4758-9256-C646A57A23C1}"/>
    <cellStyle name="20% - Accent5 2 3 4 4" xfId="10996" xr:uid="{75923A2A-CB99-46F5-822B-D684C729E979}"/>
    <cellStyle name="20% - Accent5 2 3 4 4 2" xfId="20405" xr:uid="{CCF46DB4-2140-4DA7-8D22-40CF46DE4E6F}"/>
    <cellStyle name="20% - Accent5 2 3 4 4 2 2" xfId="15181" xr:uid="{C234DCF9-D75E-4753-9665-FC4B5C8C6678}"/>
    <cellStyle name="20% - Accent5 2 3 4 4 3" xfId="16552" xr:uid="{48E9F44D-3ED2-4608-932D-FC0185816399}"/>
    <cellStyle name="20% - Accent5 2 3 4 5" xfId="16549" xr:uid="{8E7058B1-1FDD-4A9E-B7A1-B91BC4BDF3D5}"/>
    <cellStyle name="20% - Accent5 2 3 4 5 2" xfId="16547" xr:uid="{03B93A36-5589-46D2-803B-265533FB11C9}"/>
    <cellStyle name="20% - Accent5 2 3 4 6" xfId="16545" xr:uid="{6FB45297-09FB-45B6-8BFE-61442E683803}"/>
    <cellStyle name="20% - Accent5 2 3 5" xfId="22532" xr:uid="{A57984BF-7E7D-476D-9B2C-D084C27B4D0C}"/>
    <cellStyle name="20% - Accent5 2 3 5 2" xfId="22528" xr:uid="{53A5D19F-DB12-47EE-A374-F3F2B9FCAD9C}"/>
    <cellStyle name="20% - Accent5 2 3 5 2 2" xfId="32763" xr:uid="{D565F800-ABDE-47B6-BE37-C590A4E0202E}"/>
    <cellStyle name="20% - Accent5 2 3 5 2 2 2" xfId="29596" xr:uid="{8E324778-F0A1-43FF-9E15-2761DFCEDE25}"/>
    <cellStyle name="20% - Accent5 2 3 5 2 2 2 2" xfId="22342" xr:uid="{F495FB28-A37A-4679-96F7-90635513BD8B}"/>
    <cellStyle name="20% - Accent5 2 3 5 2 2 3" xfId="21346" xr:uid="{68E73C6C-B4DE-4B21-A2AD-5B6514DA7059}"/>
    <cellStyle name="20% - Accent5 2 3 5 2 3" xfId="32753" xr:uid="{E3355E91-FCC5-472E-BA27-BD1E4974D287}"/>
    <cellStyle name="20% - Accent5 2 3 5 2 3 2" xfId="21344" xr:uid="{61067864-0C65-46A8-8783-F20AD604E76D}"/>
    <cellStyle name="20% - Accent5 2 3 5 2 4" xfId="21342" xr:uid="{1D62C8DC-0239-4E7A-901A-56306913E9A5}"/>
    <cellStyle name="20% - Accent5 2 3 5 3" xfId="24973" xr:uid="{E9DB5BB7-269D-4297-867B-92476CF6CAC3}"/>
    <cellStyle name="20% - Accent5 2 3 5 3 2" xfId="33282" xr:uid="{91BE3F78-3DA6-493F-AF4E-82D1025EB617}"/>
    <cellStyle name="20% - Accent5 2 3 5 3 2 2" xfId="16541" xr:uid="{E46AF0B9-15A6-4FDF-BE25-10E0A4C73CC9}"/>
    <cellStyle name="20% - Accent5 2 3 5 3 3" xfId="21338" xr:uid="{6B5A2C5F-0B6E-418D-A415-805DC8135673}"/>
    <cellStyle name="20% - Accent5 2 3 5 4" xfId="21333" xr:uid="{FCD9C434-0C9B-4804-A0F8-E9EA9CE7260F}"/>
    <cellStyle name="20% - Accent5 2 3 5 4 2" xfId="21328" xr:uid="{DEC419FB-7938-461B-B6D1-A49AEA2467FD}"/>
    <cellStyle name="20% - Accent5 2 3 5 5" xfId="21325" xr:uid="{26DFB2F0-61DA-4423-B66D-86BCF191D680}"/>
    <cellStyle name="20% - Accent5 2 3 6" xfId="22519" xr:uid="{F589A01F-8AB8-4655-AC7C-D5D3ABF5B33A}"/>
    <cellStyle name="20% - Accent5 2 3 6 2" xfId="21322" xr:uid="{7FDB4A87-60E5-469B-9F4C-FE9AD49154F6}"/>
    <cellStyle name="20% - Accent5 2 3 6 2 2" xfId="33806" xr:uid="{47CFD52B-8018-40E5-A567-10CFDA3E016A}"/>
    <cellStyle name="20% - Accent5 2 3 6 2 2 2" xfId="20109" xr:uid="{325D7E2B-43BE-4FCC-8125-C9B95A7FF90B}"/>
    <cellStyle name="20% - Accent5 2 3 6 2 3" xfId="18711" xr:uid="{EAFF2E2F-ECFB-4F9E-86E9-07C496158993}"/>
    <cellStyle name="20% - Accent5 2 3 6 3" xfId="21315" xr:uid="{D3D9D458-B443-4E63-9709-7B4D8D1DFC0C}"/>
    <cellStyle name="20% - Accent5 2 3 6 3 2" xfId="20909" xr:uid="{306DFA2B-011F-41B6-ADBA-C92D0DE39EF6}"/>
    <cellStyle name="20% - Accent5 2 3 6 4" xfId="21312" xr:uid="{BBFDD582-B52E-4691-B041-C5DC2D3D9A5D}"/>
    <cellStyle name="20% - Accent5 2 3 7" xfId="24217" xr:uid="{AFA750A0-8466-4B98-9A37-A79C24C55776}"/>
    <cellStyle name="20% - Accent5 2 3 7 2" xfId="21310" xr:uid="{D1E3FD13-6CD6-48CF-B6E0-5A409A5166FC}"/>
    <cellStyle name="20% - Accent5 2 3 7 2 2" xfId="21308" xr:uid="{004402EE-0A00-4200-995F-B9682B73F412}"/>
    <cellStyle name="20% - Accent5 2 3 7 3" xfId="21307" xr:uid="{F855FEC4-4261-4EA2-A258-4147C72D4D7A}"/>
    <cellStyle name="20% - Accent5 2 3 8" xfId="24205" xr:uid="{46286A0B-B7C1-40CB-9698-3DD4737D7874}"/>
    <cellStyle name="20% - Accent5 2 3 8 2" xfId="21305" xr:uid="{392739DB-B980-4D67-8A7D-222344816CC2}"/>
    <cellStyle name="20% - Accent5 2 3 9" xfId="24196" xr:uid="{C0595B0E-7AE4-4BD9-8037-CE97FD9A39EF}"/>
    <cellStyle name="20% - Accent5 2 4" xfId="21304" xr:uid="{9DAC6A92-FE11-4CCF-8638-9446CDC6F3BD}"/>
    <cellStyle name="20% - Accent5 2 4 2" xfId="8918" xr:uid="{21EAB0BF-F4E8-457F-851A-566D790BF518}"/>
    <cellStyle name="20% - Accent5 2 4 2 2" xfId="21303" xr:uid="{343F4F16-A67F-4DC2-8790-F3DB12E89D9B}"/>
    <cellStyle name="20% - Accent5 2 4 2 2 2" xfId="21302" xr:uid="{EF6FF94D-D8C8-4784-88FB-B900736DC07E}"/>
    <cellStyle name="20% - Accent5 2 4 2 2 2 2" xfId="21299" xr:uid="{5E643EDC-83B4-4585-887D-A2F8EBD4B42E}"/>
    <cellStyle name="20% - Accent5 2 4 2 2 2 2 2" xfId="16998" xr:uid="{3F3456E9-9107-467F-B392-EA6F67013882}"/>
    <cellStyle name="20% - Accent5 2 4 2 2 2 2 2 2" xfId="21292" xr:uid="{EE7B256B-0B23-40CE-AFB2-8E3EACA2F639}"/>
    <cellStyle name="20% - Accent5 2 4 2 2 2 2 2 2 2" xfId="27342" xr:uid="{0B820062-756C-42C3-9054-AA63A6F484BE}"/>
    <cellStyle name="20% - Accent5 2 4 2 2 2 2 2 3" xfId="21289" xr:uid="{781E8EE3-F695-4B8B-8526-822877DC659F}"/>
    <cellStyle name="20% - Accent5 2 4 2 2 2 2 3" xfId="23492" xr:uid="{472265CA-588A-41CE-A5D6-D089C3BA19EB}"/>
    <cellStyle name="20% - Accent5 2 4 2 2 2 2 3 2" xfId="32040" xr:uid="{11CC6B60-4C4C-4AB7-A0ED-7861684354B6}"/>
    <cellStyle name="20% - Accent5 2 4 2 2 2 2 4" xfId="21286" xr:uid="{C1DC8806-8E8F-4B6F-9BC7-8AC7A697C879}"/>
    <cellStyle name="20% - Accent5 2 4 2 2 2 3" xfId="24655" xr:uid="{D5E1D47C-A26B-463C-BB37-D7A02BF59266}"/>
    <cellStyle name="20% - Accent5 2 4 2 2 2 3 2" xfId="8289" xr:uid="{1E7C3EC4-3E08-4270-907F-1F4FB30E7826}"/>
    <cellStyle name="20% - Accent5 2 4 2 2 2 3 2 2" xfId="21279" xr:uid="{AEA5AF51-D1EA-458F-AA04-613FA5210203}"/>
    <cellStyle name="20% - Accent5 2 4 2 2 2 3 3" xfId="8285" xr:uid="{D7299FA6-9FEB-4447-9554-EC0526F57928}"/>
    <cellStyle name="20% - Accent5 2 4 2 2 2 4" xfId="24645" xr:uid="{9338FC12-0E18-404A-8528-8047F2F3D7BF}"/>
    <cellStyle name="20% - Accent5 2 4 2 2 2 4 2" xfId="8269" xr:uid="{46E59ED3-BEEB-47BB-A271-CC94FA04E425}"/>
    <cellStyle name="20% - Accent5 2 4 2 2 2 5" xfId="24637" xr:uid="{1FC7F42A-C543-431F-A9B9-B1732376CF1B}"/>
    <cellStyle name="20% - Accent5 2 4 2 2 3" xfId="21276" xr:uid="{E950BB0D-7822-4C79-9EBF-B4B291DC3703}"/>
    <cellStyle name="20% - Accent5 2 4 2 2 3 2" xfId="21273" xr:uid="{56713714-F03B-4BAC-A9B7-AFD6F5ED8423}"/>
    <cellStyle name="20% - Accent5 2 4 2 2 3 2 2" xfId="23604" xr:uid="{2D5A41E3-CAC3-4509-8EE9-BCE981165A90}"/>
    <cellStyle name="20% - Accent5 2 4 2 2 3 2 2 2" xfId="21270" xr:uid="{5183199F-AEAB-48DD-AE60-94BCC2AAB3CE}"/>
    <cellStyle name="20% - Accent5 2 4 2 2 3 2 3" xfId="21151" xr:uid="{32D51085-FFB6-4829-90E0-638F27F8260E}"/>
    <cellStyle name="20% - Accent5 2 4 2 2 3 3" xfId="23597" xr:uid="{16A5905F-5466-44A2-8070-0F0FCD5569D4}"/>
    <cellStyle name="20% - Accent5 2 4 2 2 3 3 2" xfId="8232" xr:uid="{26AD7C70-0209-4F17-A309-C6F035E8E829}"/>
    <cellStyle name="20% - Accent5 2 4 2 2 3 4" xfId="21268" xr:uid="{2290A3BA-DDD8-4539-825C-B08FCEF52625}"/>
    <cellStyle name="20% - Accent5 2 4 2 2 4" xfId="21265" xr:uid="{CC518CBC-CC8D-4AB1-AAC8-6D488948937F}"/>
    <cellStyle name="20% - Accent5 2 4 2 2 4 2" xfId="21264" xr:uid="{75973678-7744-46CD-AFDA-15CE7A129935}"/>
    <cellStyle name="20% - Accent5 2 4 2 2 4 2 2" xfId="25857" xr:uid="{2EB40F68-3A8C-4826-BEBB-9614DDD14FB7}"/>
    <cellStyle name="20% - Accent5 2 4 2 2 4 3" xfId="21261" xr:uid="{156F9353-F3B9-4E68-A59F-2C0402E83715}"/>
    <cellStyle name="20% - Accent5 2 4 2 2 5" xfId="21256" xr:uid="{D522C0A3-C1EE-4165-B240-1C065ACF6907}"/>
    <cellStyle name="20% - Accent5 2 4 2 2 5 2" xfId="29271" xr:uid="{C192A779-B9FA-48A1-B2DA-A77CD66B3F63}"/>
    <cellStyle name="20% - Accent5 2 4 2 2 6" xfId="21254" xr:uid="{8DAEDBDD-99CB-4DEB-A68A-DF49767ADBB1}"/>
    <cellStyle name="20% - Accent5 2 4 2 3" xfId="16460" xr:uid="{1AE29BCE-77D5-482A-B247-3A17D64CE09D}"/>
    <cellStyle name="20% - Accent5 2 4 2 3 2" xfId="20210" xr:uid="{29594B84-F741-46B9-BA6C-8B403E4728CE}"/>
    <cellStyle name="20% - Accent5 2 4 2 3 2 2" xfId="16458" xr:uid="{2B0A55FD-2AB8-45B3-AF3A-945CFEC5F3A5}"/>
    <cellStyle name="20% - Accent5 2 4 2 3 2 2 2" xfId="22823" xr:uid="{B0AD8866-3DF9-4AD3-8607-D4245938DB9D}"/>
    <cellStyle name="20% - Accent5 2 4 2 3 2 2 2 2" xfId="21253" xr:uid="{2422A0F3-E7E6-4CE8-A8D7-08142909F247}"/>
    <cellStyle name="20% - Accent5 2 4 2 3 2 2 3" xfId="22812" xr:uid="{68B2203C-D898-4A77-88A0-756BFF4A87BD}"/>
    <cellStyle name="20% - Accent5 2 4 2 3 2 3" xfId="16452" xr:uid="{8B94DEAF-6996-402B-BF27-F283EEDB20AC}"/>
    <cellStyle name="20% - Accent5 2 4 2 3 2 3 2" xfId="8120" xr:uid="{D396B057-0086-4411-A791-170025BC8CB7}"/>
    <cellStyle name="20% - Accent5 2 4 2 3 2 4" xfId="16449" xr:uid="{6825EBE8-81B5-4790-B25A-AF0042FC5562}"/>
    <cellStyle name="20% - Accent5 2 4 2 3 3" xfId="16445" xr:uid="{A0A21307-123A-40C6-B70E-F3CEF7646238}"/>
    <cellStyle name="20% - Accent5 2 4 2 3 3 2" xfId="16441" xr:uid="{97BBC727-7011-4268-8F74-0283433EC26C}"/>
    <cellStyle name="20% - Accent5 2 4 2 3 3 2 2" xfId="25813" xr:uid="{708602A1-FF09-4729-818D-7EBDB2340BCA}"/>
    <cellStyle name="20% - Accent5 2 4 2 3 3 3" xfId="16436" xr:uid="{C4206CFC-3AF6-4AC2-972C-DE471FC2E94C}"/>
    <cellStyle name="20% - Accent5 2 4 2 3 4" xfId="16434" xr:uid="{F005D2AB-1050-41C3-A6D6-F34CA94AC605}"/>
    <cellStyle name="20% - Accent5 2 4 2 3 4 2" xfId="6333" xr:uid="{465FFB42-6BF1-41FB-9CD2-CA0FD0299202}"/>
    <cellStyle name="20% - Accent5 2 4 2 3 5" xfId="16428" xr:uid="{24C18BB5-55C1-4434-9428-E95AC8D9332F}"/>
    <cellStyle name="20% - Accent5 2 4 2 4" xfId="16426" xr:uid="{ECDCAC20-414B-4B2F-AADA-4F6A959EFFF5}"/>
    <cellStyle name="20% - Accent5 2 4 2 4 2" xfId="20331" xr:uid="{73BC6B53-23B3-4506-8D3F-39DA681CB558}"/>
    <cellStyle name="20% - Accent5 2 4 2 4 2 2" xfId="20327" xr:uid="{C4D5759D-935E-455E-9FC7-BD9D976C097B}"/>
    <cellStyle name="20% - Accent5 2 4 2 4 2 2 2" xfId="22732" xr:uid="{EEA43526-3FCD-4AE4-8260-EA096F806651}"/>
    <cellStyle name="20% - Accent5 2 4 2 4 2 3" xfId="16423" xr:uid="{71725B80-4391-4D5B-B2A5-BDA551F460EB}"/>
    <cellStyle name="20% - Accent5 2 4 2 4 3" xfId="20320" xr:uid="{59C176EE-5592-4BB1-B767-51AE8FF4F9C6}"/>
    <cellStyle name="20% - Accent5 2 4 2 4 3 2" xfId="16419" xr:uid="{0841262B-D66D-4AED-A052-DDFD457C2E95}"/>
    <cellStyle name="20% - Accent5 2 4 2 4 4" xfId="16415" xr:uid="{CC83797C-75C5-42F6-8CF8-89FEE1B2BFB5}"/>
    <cellStyle name="20% - Accent5 2 4 2 5" xfId="16413" xr:uid="{54CF57D9-35EA-4CF9-94BA-B88CDCFA9035}"/>
    <cellStyle name="20% - Accent5 2 4 2 5 2" xfId="21220" xr:uid="{DB15DE2D-DEC8-4CC6-AEA6-36A6F9827CF9}"/>
    <cellStyle name="20% - Accent5 2 4 2 5 2 2" xfId="24391" xr:uid="{F6E2343C-7533-4649-9541-6AB8989193EB}"/>
    <cellStyle name="20% - Accent5 2 4 2 5 3" xfId="16411" xr:uid="{E3279C1C-EBB8-409B-817A-158B8B96CE25}"/>
    <cellStyle name="20% - Accent5 2 4 2 6" xfId="16409" xr:uid="{B7E27013-F196-42FA-B99C-63BE82D5E1BE}"/>
    <cellStyle name="20% - Accent5 2 4 2 6 2" xfId="16407" xr:uid="{73FB8E54-8572-4801-9080-760AE5E433A4}"/>
    <cellStyle name="20% - Accent5 2 4 2 7" xfId="19669" xr:uid="{175BF188-C058-4389-9EAC-8F17025AAA09}"/>
    <cellStyle name="20% - Accent5 2 4 3" xfId="8911" xr:uid="{1A9B9C05-0939-470B-B205-D0596FF49CC9}"/>
    <cellStyle name="20% - Accent5 2 4 3 2" xfId="21214" xr:uid="{B7C28F77-E810-41B8-B24B-ABB284D51074}"/>
    <cellStyle name="20% - Accent5 2 4 3 2 2" xfId="28866" xr:uid="{D9C01149-AED3-49E8-89DC-4DB60874EC9E}"/>
    <cellStyle name="20% - Accent5 2 4 3 2 2 2" xfId="17246" xr:uid="{235EF75E-2C4F-49C2-8240-7667800FF600}"/>
    <cellStyle name="20% - Accent5 2 4 3 2 2 2 2" xfId="14847" xr:uid="{EFF448A3-90B4-4DE4-A7A6-3A7C2D567698}"/>
    <cellStyle name="20% - Accent5 2 4 3 2 2 2 2 2" xfId="21213" xr:uid="{22FAC1B1-54D0-49F5-8C31-6455FEB891A1}"/>
    <cellStyle name="20% - Accent5 2 4 3 2 2 2 3" xfId="25463" xr:uid="{271D3CD9-8FFB-4DD3-860F-5D209C69180D}"/>
    <cellStyle name="20% - Accent5 2 4 3 2 2 3" xfId="15205" xr:uid="{49E44065-1CDF-4A74-9486-A9C4154B55BA}"/>
    <cellStyle name="20% - Accent5 2 4 3 2 2 3 2" xfId="25453" xr:uid="{B2B5264B-5A7C-4339-880A-F7B8B4E28F8C}"/>
    <cellStyle name="20% - Accent5 2 4 3 2 2 4" xfId="24149" xr:uid="{8E85216A-8ADE-47B3-8A86-40F185B1E6BF}"/>
    <cellStyle name="20% - Accent5 2 4 3 2 3" xfId="25951" xr:uid="{C28418C9-75D9-43FF-AC93-169701D914E8}"/>
    <cellStyle name="20% - Accent5 2 4 3 2 3 2" xfId="15184" xr:uid="{4286DD64-F549-4E4E-BFFE-DCEBCC92A3E4}"/>
    <cellStyle name="20% - Accent5 2 4 3 2 3 2 2" xfId="28126" xr:uid="{10157F73-C292-40B1-8E17-312E9A7AFF50}"/>
    <cellStyle name="20% - Accent5 2 4 3 2 3 3" xfId="29970" xr:uid="{9697B949-E9C3-418D-9CA2-AAC29DFF563F}"/>
    <cellStyle name="20% - Accent5 2 4 3 2 4" xfId="28860" xr:uid="{4C024F69-66B0-48DD-A0E0-E3F44F0372BF}"/>
    <cellStyle name="20% - Accent5 2 4 3 2 4 2" xfId="21211" xr:uid="{579DCAAF-A1BF-4A71-88E5-A743825B90F3}"/>
    <cellStyle name="20% - Accent5 2 4 3 2 5" xfId="21209" xr:uid="{F3DDB231-7967-4F40-B67B-3A72E508E0F3}"/>
    <cellStyle name="20% - Accent5 2 4 3 3" xfId="16404" xr:uid="{7D2A14F8-8476-4EED-942A-3449637BFED4}"/>
    <cellStyle name="20% - Accent5 2 4 3 3 2" xfId="29033" xr:uid="{877C698D-DBD3-4DAC-9D6E-D3DAB99FEEA8}"/>
    <cellStyle name="20% - Accent5 2 4 3 3 2 2" xfId="15157" xr:uid="{4DF00B62-9B43-40D4-B0B6-AF74D87671AC}"/>
    <cellStyle name="20% - Accent5 2 4 3 3 2 2 2" xfId="25438" xr:uid="{BE5034A7-1033-4A95-8427-6CE6DEB1D3CE}"/>
    <cellStyle name="20% - Accent5 2 4 3 3 2 3" xfId="16402" xr:uid="{B5E3190E-E6E2-4D46-ACC2-D20E30027BD8}"/>
    <cellStyle name="20% - Accent5 2 4 3 3 3" xfId="28852" xr:uid="{BB2B9714-2B1D-480C-8825-E5A7441E6E93}"/>
    <cellStyle name="20% - Accent5 2 4 3 3 3 2" xfId="16400" xr:uid="{53A54035-2F3E-4A83-9F96-CAE096FBA1D6}"/>
    <cellStyle name="20% - Accent5 2 4 3 3 4" xfId="16398" xr:uid="{86909AA4-5426-457E-A5A8-561E9A1B90DD}"/>
    <cellStyle name="20% - Accent5 2 4 3 4" xfId="20993" xr:uid="{56CE1FA4-2B53-4EFE-8D19-B5F5D8191D4D}"/>
    <cellStyle name="20% - Accent5 2 4 3 4 2" xfId="20285" xr:uid="{AD28BD61-1B56-44D5-9A5E-B8194B32C067}"/>
    <cellStyle name="20% - Accent5 2 4 3 4 2 2" xfId="16395" xr:uid="{A65ABF86-B8F8-451C-B8A4-72B5CBD59D24}"/>
    <cellStyle name="20% - Accent5 2 4 3 4 3" xfId="16392" xr:uid="{1E006FC2-79BA-4FB5-B47B-75CD22086813}"/>
    <cellStyle name="20% - Accent5 2 4 3 5" xfId="16388" xr:uid="{8042509B-82B0-4DDA-866E-5C229DED6C9D}"/>
    <cellStyle name="20% - Accent5 2 4 3 5 2" xfId="21195" xr:uid="{70B0A1BE-00E8-4579-9D8B-A93A12AA65A0}"/>
    <cellStyle name="20% - Accent5 2 4 3 6" xfId="16386" xr:uid="{153470ED-9F4D-4354-B08C-31F356FB94B0}"/>
    <cellStyle name="20% - Accent5 2 4 4" xfId="8909" xr:uid="{04AF42A8-27FC-4D0A-811C-64231CACEA09}"/>
    <cellStyle name="20% - Accent5 2 4 4 2" xfId="21193" xr:uid="{193985A4-CA4F-4A46-9B42-4C6839E29999}"/>
    <cellStyle name="20% - Accent5 2 4 4 2 2" xfId="28665" xr:uid="{C8914D4F-AEEE-49E4-BADC-4A58838AB317}"/>
    <cellStyle name="20% - Accent5 2 4 4 2 2 2" xfId="15114" xr:uid="{353E592A-85CC-4DB1-8FC3-F1F6E367082C}"/>
    <cellStyle name="20% - Accent5 2 4 4 2 2 2 2" xfId="13535" xr:uid="{31140540-F42A-4F14-8848-4C179588C37A}"/>
    <cellStyle name="20% - Accent5 2 4 4 2 2 3" xfId="9180" xr:uid="{17E05074-5A8B-40A4-85B5-C3705AA7BDC2}"/>
    <cellStyle name="20% - Accent5 2 4 4 2 3" xfId="28661" xr:uid="{D9603CB2-AB3C-4E62-B6CF-AF96F078D5CB}"/>
    <cellStyle name="20% - Accent5 2 4 4 2 3 2" xfId="24823" xr:uid="{C41B6B94-54A5-437E-9015-3CA7E70A5418}"/>
    <cellStyle name="20% - Accent5 2 4 4 2 4" xfId="21191" xr:uid="{A0D3A7FE-DC9A-4153-810C-796B667D87F9}"/>
    <cellStyle name="20% - Accent5 2 4 4 3" xfId="16383" xr:uid="{2662B708-81BD-4625-AC72-33B31B71CDF2}"/>
    <cellStyle name="20% - Accent5 2 4 4 3 2" xfId="25690" xr:uid="{2E9CDCF9-F5C7-44EB-9BD3-F87127BE50C6}"/>
    <cellStyle name="20% - Accent5 2 4 4 3 2 2" xfId="23862" xr:uid="{D53E150A-EA1D-4D53-827E-2AB0EE0CE7CC}"/>
    <cellStyle name="20% - Accent5 2 4 4 3 3" xfId="16381" xr:uid="{7728CB47-7117-48DC-95B1-FD7D16F7BEFB}"/>
    <cellStyle name="20% - Accent5 2 4 4 4" xfId="16379" xr:uid="{202909F8-1145-4336-A3AE-860B5356B2DD}"/>
    <cellStyle name="20% - Accent5 2 4 4 4 2" xfId="16377" xr:uid="{82EF3C08-3A87-4508-AB1C-766212178195}"/>
    <cellStyle name="20% - Accent5 2 4 4 5" xfId="8165" xr:uid="{51AC4FA6-2A07-4218-9F30-D5822FDDE17B}"/>
    <cellStyle name="20% - Accent5 2 4 5" xfId="22512" xr:uid="{4C7E6953-90FF-4D6E-B9A8-DD434266DA6E}"/>
    <cellStyle name="20% - Accent5 2 4 5 2" xfId="21187" xr:uid="{08E1F0E0-0503-425A-95A7-618D394D2BB0}"/>
    <cellStyle name="20% - Accent5 2 4 5 2 2" xfId="22950" xr:uid="{89BE13F2-AD24-47AA-B2E3-7515AA987DD9}"/>
    <cellStyle name="20% - Accent5 2 4 5 2 2 2" xfId="24609" xr:uid="{6AA8219F-0BC6-4594-8596-FA7FA03D724A}"/>
    <cellStyle name="20% - Accent5 2 4 5 2 3" xfId="21182" xr:uid="{16B9DD93-7031-4D18-B1AA-9913A746E089}"/>
    <cellStyle name="20% - Accent5 2 4 5 3" xfId="21178" xr:uid="{F93B41E3-0EE2-436A-BF34-82A83BEBF80B}"/>
    <cellStyle name="20% - Accent5 2 4 5 3 2" xfId="21173" xr:uid="{8B41A9DC-C69C-4832-A95C-0F8EBE8C66AB}"/>
    <cellStyle name="20% - Accent5 2 4 5 4" xfId="21170" xr:uid="{F9254210-BE6E-45A4-9C6A-D8CAF427C804}"/>
    <cellStyle name="20% - Accent5 2 4 6" xfId="21166" xr:uid="{5CD51D43-6B93-4FB1-AA37-9DE8BD4818B4}"/>
    <cellStyle name="20% - Accent5 2 4 6 2" xfId="21164" xr:uid="{FFFE39F4-C407-46F2-B7A7-F4CA33B51E05}"/>
    <cellStyle name="20% - Accent5 2 4 6 2 2" xfId="21162" xr:uid="{0D99A9A3-65C6-478C-AAB9-B4162E90D0BD}"/>
    <cellStyle name="20% - Accent5 2 4 6 3" xfId="21161" xr:uid="{1C424699-A86E-47E7-A587-5CC7FD52B976}"/>
    <cellStyle name="20% - Accent5 2 4 7" xfId="24192" xr:uid="{3B643017-79DA-4F73-93C8-5C69D270E0E4}"/>
    <cellStyle name="20% - Accent5 2 4 7 2" xfId="21157" xr:uid="{02B6048E-F5BF-41C2-B7D5-A8CF027D85A9}"/>
    <cellStyle name="20% - Accent5 2 4 8" xfId="24187" xr:uid="{EAD67DE6-0A6F-471A-B85B-11C1154918EE}"/>
    <cellStyle name="20% - Accent5 2 4 9" xfId="34762" xr:uid="{D8D73377-548B-40DF-B126-B20D9D7FC25C}"/>
    <cellStyle name="20% - Accent5 2 5" xfId="32232" xr:uid="{BA81AACC-0999-49C2-9F35-89D9C8AB3CBA}"/>
    <cellStyle name="20% - Accent5 2 5 2" xfId="22302" xr:uid="{1427599B-A9EF-412E-ACEF-EC624AB9762D}"/>
    <cellStyle name="20% - Accent5 2 5 2 2" xfId="21156" xr:uid="{5D11F2D3-6A12-4390-95C9-73AF717E248F}"/>
    <cellStyle name="20% - Accent5 2 5 2 2 2" xfId="23433" xr:uid="{1A0476C3-86C6-4BCB-9070-214028CA5219}"/>
    <cellStyle name="20% - Accent5 2 5 2 2 2 2" xfId="23429" xr:uid="{718C6321-17D7-430D-9CFA-32AD34762D06}"/>
    <cellStyle name="20% - Accent5 2 5 2 2 2 2 2" xfId="7868" xr:uid="{A75A54D2-B784-4695-B381-1C2C25307E9B}"/>
    <cellStyle name="20% - Accent5 2 5 2 2 2 2 2 2" xfId="28604" xr:uid="{D7F92147-B11E-4E9A-B49E-01AC8FB8A70B}"/>
    <cellStyle name="20% - Accent5 2 5 2 2 2 2 3" xfId="7865" xr:uid="{B8AE6511-4C2F-460F-91E8-323232AF37C3}"/>
    <cellStyle name="20% - Accent5 2 5 2 2 2 3" xfId="23220" xr:uid="{2B1875FE-B062-40DC-A85D-854EE8068987}"/>
    <cellStyle name="20% - Accent5 2 5 2 2 2 3 2" xfId="6599" xr:uid="{B8A4DC51-CD64-4F6A-B355-71EF939B7A4C}"/>
    <cellStyle name="20% - Accent5 2 5 2 2 2 4" xfId="23375" xr:uid="{C6252BB2-1094-46B0-8053-9F3E8AFB136A}"/>
    <cellStyle name="20% - Accent5 2 5 2 2 3" xfId="23400" xr:uid="{9D0DDD25-78E2-4BA1-8E0B-E1A228C1661B}"/>
    <cellStyle name="20% - Accent5 2 5 2 2 3 2" xfId="23195" xr:uid="{A1769EB3-23F0-47CE-BA01-8272AB15BD1A}"/>
    <cellStyle name="20% - Accent5 2 5 2 2 3 2 2" xfId="7858" xr:uid="{7F8C8E4F-51B2-47D3-A0DF-27A7D0F3E7A2}"/>
    <cellStyle name="20% - Accent5 2 5 2 2 3 3" xfId="23378" xr:uid="{EDA9C0F1-C8FE-4071-953B-81A30CC84797}"/>
    <cellStyle name="20% - Accent5 2 5 2 2 4" xfId="23374" xr:uid="{9C4E1093-8863-4272-9838-2CE3B53EEECA}"/>
    <cellStyle name="20% - Accent5 2 5 2 2 4 2" xfId="23372" xr:uid="{3C509502-BE80-46E9-8C15-44F335FBB5C6}"/>
    <cellStyle name="20% - Accent5 2 5 2 2 5" xfId="23366" xr:uid="{1FC96484-51D5-42CD-80C5-64D8F39B3560}"/>
    <cellStyle name="20% - Accent5 2 5 2 3" xfId="16334" xr:uid="{843E429E-04FA-4251-80E5-8569E96AF75E}"/>
    <cellStyle name="20% - Accent5 2 5 2 3 2" xfId="16332" xr:uid="{FDA72D59-23BC-499A-8AFF-BD117B23BBAF}"/>
    <cellStyle name="20% - Accent5 2 5 2 3 2 2" xfId="16330" xr:uid="{5FBC6A72-E828-404B-AB83-BB7C8B2F57AA}"/>
    <cellStyle name="20% - Accent5 2 5 2 3 2 2 2" xfId="19811" xr:uid="{EA57EF7F-7F9D-4762-B87F-56EEFE602539}"/>
    <cellStyle name="20% - Accent5 2 5 2 3 2 3" xfId="16328" xr:uid="{5291B00C-51C3-43D4-82BF-D24E3D9567F4}"/>
    <cellStyle name="20% - Accent5 2 5 2 3 3" xfId="16326" xr:uid="{CDF86149-6FA8-4D58-A5DA-9B14347AC038}"/>
    <cellStyle name="20% - Accent5 2 5 2 3 3 2" xfId="16324" xr:uid="{EED622FA-47BD-44D7-9440-4EB666273BEA}"/>
    <cellStyle name="20% - Accent5 2 5 2 3 4" xfId="16322" xr:uid="{139ABC17-3456-4C32-B881-25FA30A3ED0E}"/>
    <cellStyle name="20% - Accent5 2 5 2 4" xfId="16320" xr:uid="{C2811796-6C72-4C19-9648-574FF3AF6E3D}"/>
    <cellStyle name="20% - Accent5 2 5 2 4 2" xfId="20226" xr:uid="{F1EDB956-CE0A-498A-A45A-5140440D89F4}"/>
    <cellStyle name="20% - Accent5 2 5 2 4 2 2" xfId="23333" xr:uid="{7C38411E-F2E5-457D-B45B-BDABF6D35D28}"/>
    <cellStyle name="20% - Accent5 2 5 2 4 3" xfId="16317" xr:uid="{A53391A2-DCD6-4133-8446-D8ABADF2B323}"/>
    <cellStyle name="20% - Accent5 2 5 2 5" xfId="16315" xr:uid="{5C3B154F-00D0-480B-9EA0-3AA23C6A3E20}"/>
    <cellStyle name="20% - Accent5 2 5 2 5 2" xfId="16313" xr:uid="{187034AA-4EC0-4C1D-B136-16AACAC14CDF}"/>
    <cellStyle name="20% - Accent5 2 5 2 6" xfId="16310" xr:uid="{294B74DF-B341-4662-9160-7AE52A4A3B28}"/>
    <cellStyle name="20% - Accent5 2 5 3" xfId="18558" xr:uid="{6C951584-B839-4070-9038-B53973D8AF2B}"/>
    <cellStyle name="20% - Accent5 2 5 3 2" xfId="21155" xr:uid="{0A471DEF-C00E-4BB5-9B4F-62F8E9A8B5E2}"/>
    <cellStyle name="20% - Accent5 2 5 3 2 2" xfId="30034" xr:uid="{A66C4C6F-7C41-43ED-9A4B-0E11C454630A}"/>
    <cellStyle name="20% - Accent5 2 5 3 2 2 2" xfId="15055" xr:uid="{6AFA35BF-5FB8-4A9C-A5C2-A4A5FE1E048B}"/>
    <cellStyle name="20% - Accent5 2 5 3 2 2 2 2" xfId="7823" xr:uid="{6337C2C8-C0DE-44A9-B4A1-F4D674E4851E}"/>
    <cellStyle name="20% - Accent5 2 5 3 2 2 3" xfId="23134" xr:uid="{0EA55723-90AA-484D-B8C3-F7D7BE4E870D}"/>
    <cellStyle name="20% - Accent5 2 5 3 2 3" xfId="23645" xr:uid="{C90ED75A-50E5-44BA-94DF-F5753C2E6810}"/>
    <cellStyle name="20% - Accent5 2 5 3 2 3 2" xfId="21767" xr:uid="{C43C5ADA-42F5-4DB0-80D7-D36B17FB8401}"/>
    <cellStyle name="20% - Accent5 2 5 3 2 4" xfId="23285" xr:uid="{D554B444-7F3A-4A57-9A50-25FC122BB809}"/>
    <cellStyle name="20% - Accent5 2 5 3 3" xfId="16306" xr:uid="{9AA9AC0F-8AC1-410C-9363-660E779C5C1F}"/>
    <cellStyle name="20% - Accent5 2 5 3 3 2" xfId="28992" xr:uid="{5D6BA288-4911-4027-9D62-221BC73B001C}"/>
    <cellStyle name="20% - Accent5 2 5 3 3 2 2" xfId="16304" xr:uid="{A04897B8-1D9D-4947-B63A-C158DF583982}"/>
    <cellStyle name="20% - Accent5 2 5 3 3 3" xfId="16300" xr:uid="{AE46BFC3-FF4A-45B7-B78D-95B8CC92EBE5}"/>
    <cellStyle name="20% - Accent5 2 5 3 4" xfId="16298" xr:uid="{6CCD9E79-35C9-4D78-A991-E1DEC95041F7}"/>
    <cellStyle name="20% - Accent5 2 5 3 4 2" xfId="16294" xr:uid="{74DCC03F-220C-467C-8BF1-B6E869A0C439}"/>
    <cellStyle name="20% - Accent5 2 5 3 5" xfId="16292" xr:uid="{56B566E8-80FE-4490-AAD3-4BE3A38229BB}"/>
    <cellStyle name="20% - Accent5 2 5 4" xfId="34182" xr:uid="{B2709149-1F7B-423B-9D80-2A66C19F7F31}"/>
    <cellStyle name="20% - Accent5 2 5 4 2" xfId="15972" xr:uid="{C6027C36-47E9-47EA-B322-254C233AD585}"/>
    <cellStyle name="20% - Accent5 2 5 4 2 2" xfId="29928" xr:uid="{B1C8F07D-05A2-4F99-86CA-195080A2B010}"/>
    <cellStyle name="20% - Accent5 2 5 4 2 2 2" xfId="23022" xr:uid="{7D06EC32-E139-4B3B-A81E-42DD763E01F4}"/>
    <cellStyle name="20% - Accent5 2 5 4 2 3" xfId="23273" xr:uid="{6B43DEC5-D673-4D42-AA20-49810A09755B}"/>
    <cellStyle name="20% - Accent5 2 5 4 3" xfId="16290" xr:uid="{B02B9275-5E41-4C0E-918F-03710D33EB88}"/>
    <cellStyle name="20% - Accent5 2 5 4 3 2" xfId="16287" xr:uid="{F0F09E59-7499-4E43-B49F-BA9082A05C4C}"/>
    <cellStyle name="20% - Accent5 2 5 4 4" xfId="16283" xr:uid="{C46B2E8D-CA41-4A25-94D4-47AFBAEB51FD}"/>
    <cellStyle name="20% - Accent5 2 5 5" xfId="34249" xr:uid="{432447DC-50AA-4FC6-95E2-03B08D7D8714}"/>
    <cellStyle name="20% - Accent5 2 5 5 2" xfId="21149" xr:uid="{5C9632ED-F40A-4AA9-9239-F7677CE27248}"/>
    <cellStyle name="20% - Accent5 2 5 5 2 2" xfId="23261" xr:uid="{613670AC-5453-45E1-AD84-3EB46A5DE61A}"/>
    <cellStyle name="20% - Accent5 2 5 5 3" xfId="21144" xr:uid="{DCF47011-4D0C-40CD-B1C9-2C11E56A1F7D}"/>
    <cellStyle name="20% - Accent5 2 5 6" xfId="34156" xr:uid="{3C368EB5-8151-48C6-A4E0-44B7AF5A98A2}"/>
    <cellStyle name="20% - Accent5 2 5 6 2" xfId="31121" xr:uid="{E2788327-AA61-49FD-A0BE-D83049B7463C}"/>
    <cellStyle name="20% - Accent5 2 5 7" xfId="33160" xr:uid="{AD4CB862-617D-4AA6-A8A2-09C13AC49E19}"/>
    <cellStyle name="20% - Accent5 2 5 8" xfId="34952" xr:uid="{F6AC3C3A-ED9B-4FA1-934B-A2327D68A077}"/>
    <cellStyle name="20% - Accent5 2 6" xfId="25710" xr:uid="{B6B2665E-BE35-41B3-A289-AF362D81AF2A}"/>
    <cellStyle name="20% - Accent5 2 6 2" xfId="20526" xr:uid="{BFAA022B-9919-4B0C-B8CD-6DF944668310}"/>
    <cellStyle name="20% - Accent5 2 6 2 2" xfId="33750" xr:uid="{3EC9782B-6125-4520-AB21-00F2AA9D280F}"/>
    <cellStyle name="20% - Accent5 2 6 2 2 2" xfId="23141" xr:uid="{EBBD6285-5624-4466-871A-8136BEFA684F}"/>
    <cellStyle name="20% - Accent5 2 6 2 2 2 2" xfId="22824" xr:uid="{84FF50A8-BA2B-45B7-A460-3E499B345A60}"/>
    <cellStyle name="20% - Accent5 2 6 2 2 2 2 2" xfId="6890" xr:uid="{572D6F59-F203-414A-9CE5-B891F87D0207}"/>
    <cellStyle name="20% - Accent5 2 6 2 2 2 3" xfId="22813" xr:uid="{BDF77144-E899-4C8E-8844-94E89C1CEFD7}"/>
    <cellStyle name="20% - Accent5 2 6 2 2 3" xfId="7713" xr:uid="{78B174FB-D746-4978-A572-57B918C04C96}"/>
    <cellStyle name="20% - Accent5 2 6 2 2 3 2" xfId="5817" xr:uid="{0A12A9FA-1581-4E22-8F2E-E872A15D7E95}"/>
    <cellStyle name="20% - Accent5 2 6 2 2 4" xfId="7706" xr:uid="{E151EF41-21AF-4CE6-91C5-4351036C6BAA}"/>
    <cellStyle name="20% - Accent5 2 6 2 3" xfId="16257" xr:uid="{994E68A7-E51B-4E4C-8714-AA44AC1D4F7C}"/>
    <cellStyle name="20% - Accent5 2 6 2 3 2" xfId="30338" xr:uid="{D279CF9D-7A47-4BDF-8C80-16F75E222B72}"/>
    <cellStyle name="20% - Accent5 2 6 2 3 2 2" xfId="16255" xr:uid="{B2F9433D-EDB9-41CE-93A6-3A8A5A693D30}"/>
    <cellStyle name="20% - Accent5 2 6 2 3 3" xfId="13211" xr:uid="{235AFE3F-6E00-4E44-9817-8F5DE262317A}"/>
    <cellStyle name="20% - Accent5 2 6 2 4" xfId="16251" xr:uid="{901B1726-3B90-4BC3-99B0-D19168659FBD}"/>
    <cellStyle name="20% - Accent5 2 6 2 4 2" xfId="16248" xr:uid="{D7DE86A2-F918-44B8-821C-ADB06321BD91}"/>
    <cellStyle name="20% - Accent5 2 6 2 5" xfId="17699" xr:uid="{3FC250B1-C4BD-494D-A99E-88EC0E5B41F1}"/>
    <cellStyle name="20% - Accent5 2 6 3" xfId="29175" xr:uid="{ECCB6D0A-5F15-4472-BC80-982350DECBAA}"/>
    <cellStyle name="20% - Accent5 2 6 3 2" xfId="21874" xr:uid="{A0841218-9D64-4B2E-A326-161A7A668222}"/>
    <cellStyle name="20% - Accent5 2 6 3 2 2" xfId="30066" xr:uid="{CE3A97A8-53C8-4E42-82F6-BCC2B7A8F724}"/>
    <cellStyle name="20% - Accent5 2 6 3 2 2 2" xfId="22734" xr:uid="{B9D24404-EC9A-4995-98FE-42E3300DB69C}"/>
    <cellStyle name="20% - Accent5 2 6 3 2 3" xfId="7699" xr:uid="{3926D8C2-9D5C-4349-9FFE-8819C7B6DEF0}"/>
    <cellStyle name="20% - Accent5 2 6 3 3" xfId="16243" xr:uid="{AE3B4385-30BE-4ACA-8F66-A46A5D339A20}"/>
    <cellStyle name="20% - Accent5 2 6 3 3 2" xfId="16241" xr:uid="{B5915030-FA80-449E-BA0F-A676375314A5}"/>
    <cellStyle name="20% - Accent5 2 6 3 4" xfId="16237" xr:uid="{84758F2C-D791-48C6-B09C-1093133E7CC2}"/>
    <cellStyle name="20% - Accent5 2 6 4" xfId="29170" xr:uid="{61AA5F17-244A-4346-93AF-3DF21F7FFEDE}"/>
    <cellStyle name="20% - Accent5 2 6 4 2" xfId="32585" xr:uid="{62FAD67C-9475-41D1-A5FC-73B4C012FADC}"/>
    <cellStyle name="20% - Accent5 2 6 4 2 2" xfId="19021" xr:uid="{E172698C-7771-49FA-8F03-E4A6BC6EBD36}"/>
    <cellStyle name="20% - Accent5 2 6 4 3" xfId="32296" xr:uid="{2EB3DDD6-0525-4345-B002-02EA96D6ED27}"/>
    <cellStyle name="20% - Accent5 2 6 5" xfId="34152" xr:uid="{65758F45-003B-4692-9E59-CE92E6213887}"/>
    <cellStyle name="20% - Accent5 2 6 5 2" xfId="17773" xr:uid="{178C1735-B2D2-4C34-9787-EEA0EBA2CF43}"/>
    <cellStyle name="20% - Accent5 2 6 6" xfId="34278" xr:uid="{8660B5F1-9D21-4531-ABA2-9B879C33338A}"/>
    <cellStyle name="20% - Accent5 2 6 7" xfId="35157" xr:uid="{D6AB4E05-4ABC-4CF1-A7BE-FA0A5490C8A3}"/>
    <cellStyle name="20% - Accent5 2 7" xfId="27918" xr:uid="{D1FFA5DC-F14D-4630-BC5F-8D40C47DCDDA}"/>
    <cellStyle name="20% - Accent5 2 7 2" xfId="34239" xr:uid="{EE9D115F-7F79-4541-ABD8-255B1AC52F31}"/>
    <cellStyle name="20% - Accent5 2 7 2 2" xfId="21848" xr:uid="{3C78E2A7-31F8-4ED4-8CA7-98062FA56B83}"/>
    <cellStyle name="20% - Accent5 2 7 2 2 2" xfId="23018" xr:uid="{ACCAA162-A035-4F4B-A06B-0F4976609BFB}"/>
    <cellStyle name="20% - Accent5 2 7 2 2 2 2" xfId="23014" xr:uid="{32FF20A0-815E-44C2-A572-2019BD4F4541}"/>
    <cellStyle name="20% - Accent5 2 7 2 2 3" xfId="23442" xr:uid="{14C93E81-783C-41E6-9862-A7EB6F2A97A2}"/>
    <cellStyle name="20% - Accent5 2 7 2 3" xfId="21141" xr:uid="{932D7309-AD3C-43B4-BCCC-6BB3A71BC6AC}"/>
    <cellStyle name="20% - Accent5 2 7 2 3 2" xfId="16216" xr:uid="{D7587C1D-E631-4248-AB60-F0B28B6B694F}"/>
    <cellStyle name="20% - Accent5 2 7 2 4" xfId="21136" xr:uid="{111FB900-1A43-4DF2-995B-AE249985EA60}"/>
    <cellStyle name="20% - Accent5 2 7 3" xfId="33947" xr:uid="{59BA9AF2-C5D7-4134-B7D2-73CD2875468B}"/>
    <cellStyle name="20% - Accent5 2 7 3 2" xfId="21133" xr:uid="{6AF4EE8E-3A47-4511-A2A2-C48B2F089AA7}"/>
    <cellStyle name="20% - Accent5 2 7 3 2 2" xfId="22998" xr:uid="{C393FE28-B36B-476E-A8CA-503281A44693}"/>
    <cellStyle name="20% - Accent5 2 7 3 3" xfId="16212" xr:uid="{8B5CAA64-59D3-41CA-9F1A-18901E1B14E7}"/>
    <cellStyle name="20% - Accent5 2 7 4" xfId="33945" xr:uid="{86158E56-BC26-4889-B5DC-1CDD38660158}"/>
    <cellStyle name="20% - Accent5 2 7 4 2" xfId="31991" xr:uid="{A65C204F-B588-4E71-8921-AED6B9E38B57}"/>
    <cellStyle name="20% - Accent5 2 7 5" xfId="34305" xr:uid="{EE086BA8-0C25-4177-A8DE-BCE2E2181973}"/>
    <cellStyle name="20% - Accent5 2 7 6" xfId="35386" xr:uid="{C0C56F92-6B78-40EF-8D88-2307F4A74BDB}"/>
    <cellStyle name="20% - Accent5 2 8" xfId="32147" xr:uid="{ECD3FDC8-5848-40D8-9F18-A393D469D177}"/>
    <cellStyle name="20% - Accent5 2 8 2" xfId="30736" xr:uid="{17E0A994-BCE7-4B5C-8FA0-7525BB1784A1}"/>
    <cellStyle name="20% - Accent5 2 8 2 2" xfId="21132" xr:uid="{20E1A634-EFA3-40CC-B01B-708AD2A3B06B}"/>
    <cellStyle name="20% - Accent5 2 8 2 2 2" xfId="25638" xr:uid="{ADBAD57A-33ED-4F2F-89FE-1F8FFB21A21F}"/>
    <cellStyle name="20% - Accent5 2 8 2 3" xfId="21130" xr:uid="{B63FE28A-95A3-44BE-8F2D-DDFA99295072}"/>
    <cellStyle name="20% - Accent5 2 8 3" xfId="30708" xr:uid="{7B2C357D-BDA9-400D-B527-D18747BDF416}"/>
    <cellStyle name="20% - Accent5 2 8 3 2" xfId="21128" xr:uid="{9EDE2C69-12CE-4265-8B30-51A5EE0EE601}"/>
    <cellStyle name="20% - Accent5 2 8 4" xfId="16971" xr:uid="{1DA91311-0219-481C-A75E-2C7EF4DE00F3}"/>
    <cellStyle name="20% - Accent5 2 8 5" xfId="36258" xr:uid="{E2BC88FA-BF96-4DF6-AED2-0147B5D3F509}"/>
    <cellStyle name="20% - Accent5 2 9" xfId="25501" xr:uid="{28DFCBF4-4318-42EE-A8D5-69CD9C6A1C68}"/>
    <cellStyle name="20% - Accent5 2 9 2" xfId="30726" xr:uid="{3E8C31FA-41B2-4864-A67F-E48EAC17E450}"/>
    <cellStyle name="20% - Accent5 2 9 2 2" xfId="21125" xr:uid="{C2A6D518-CC95-48DA-9EEB-53966A8FF36F}"/>
    <cellStyle name="20% - Accent5 2 9 3" xfId="33491" xr:uid="{4A23EE8D-586E-4AA2-B41E-6203284715B7}"/>
    <cellStyle name="20% - Accent5 2 9 4" xfId="36544" xr:uid="{93864551-81BB-4708-9F9B-FB7CEB3CD504}"/>
    <cellStyle name="20% - Accent5 20" xfId="35708" xr:uid="{6889B22E-9282-4210-BA01-EF25DE9AB7DA}"/>
    <cellStyle name="20% - Accent5 20 2" xfId="36877" xr:uid="{31110D2F-9766-4EEF-A075-E97C7D50FA8A}"/>
    <cellStyle name="20% - Accent5 20 3" xfId="37768" xr:uid="{202F7FFE-1A9D-4899-9910-94337F8E2727}"/>
    <cellStyle name="20% - Accent5 21" xfId="35727" xr:uid="{BDCADB38-8BE1-4B1F-8D22-8EB2081E2490}"/>
    <cellStyle name="20% - Accent5 21 2" xfId="36897" xr:uid="{B476E24F-2AD5-4C28-BC4D-A0ECCB9006CC}"/>
    <cellStyle name="20% - Accent5 21 3" xfId="37788" xr:uid="{1A2C369B-C361-4346-8BBF-BA5F099F00B9}"/>
    <cellStyle name="20% - Accent5 22" xfId="35746" xr:uid="{2210582F-6DB1-4D34-94AD-3B124B118FAD}"/>
    <cellStyle name="20% - Accent5 22 2" xfId="36917" xr:uid="{F077BC60-9F48-43A9-96AC-497BDD8562E4}"/>
    <cellStyle name="20% - Accent5 22 3" xfId="37808" xr:uid="{69C1DE0E-9A03-4ED2-88C9-43CB67BA6E34}"/>
    <cellStyle name="20% - Accent5 23" xfId="35766" xr:uid="{36965652-8A8C-40A0-B4FD-08004B9093D4}"/>
    <cellStyle name="20% - Accent5 23 2" xfId="36936" xr:uid="{021AB48B-34FC-4359-8D47-38F9BCE11334}"/>
    <cellStyle name="20% - Accent5 23 3" xfId="37828" xr:uid="{7CEDF894-8467-4399-8741-F7AAB2759EAB}"/>
    <cellStyle name="20% - Accent5 24" xfId="35786" xr:uid="{7915A079-C649-4622-B268-51253EFE7D8C}"/>
    <cellStyle name="20% - Accent5 24 2" xfId="36955" xr:uid="{B80F662E-5FBD-4AFC-9647-119FE306888B}"/>
    <cellStyle name="20% - Accent5 24 3" xfId="37848" xr:uid="{EDD3AB6E-2BAC-48B6-966A-1B1EF66333E8}"/>
    <cellStyle name="20% - Accent5 25" xfId="35805" xr:uid="{8A4C13AE-60CC-49D5-B464-2D2C76F83423}"/>
    <cellStyle name="20% - Accent5 25 2" xfId="36975" xr:uid="{2298A71D-62BF-4734-9099-ABA3AD875073}"/>
    <cellStyle name="20% - Accent5 25 3" xfId="37868" xr:uid="{20372285-16E4-4433-901A-63C9B332F74E}"/>
    <cellStyle name="20% - Accent5 26" xfId="35824" xr:uid="{64BF3419-423F-4C95-8C1E-F371E1219A4A}"/>
    <cellStyle name="20% - Accent5 26 2" xfId="36995" xr:uid="{1277098B-FBC3-4AC3-B561-9C4B09E5A50A}"/>
    <cellStyle name="20% - Accent5 26 3" xfId="37888" xr:uid="{11B0EE50-818B-4B48-B914-59A81F1F3DFC}"/>
    <cellStyle name="20% - Accent5 27" xfId="35843" xr:uid="{819A3715-78E3-48BF-B52C-8BC03796D009}"/>
    <cellStyle name="20% - Accent5 27 2" xfId="37015" xr:uid="{9CA7277D-FA5A-4115-BDC0-459E04C4A7AF}"/>
    <cellStyle name="20% - Accent5 27 3" xfId="37908" xr:uid="{49ED2992-C496-420A-94C5-C8D953FCD873}"/>
    <cellStyle name="20% - Accent5 28" xfId="35862" xr:uid="{F028306A-4417-49DE-B324-8A7E111196FA}"/>
    <cellStyle name="20% - Accent5 28 2" xfId="37035" xr:uid="{20B55B7E-D856-48D5-924B-EF036172B3FF}"/>
    <cellStyle name="20% - Accent5 28 3" xfId="37928" xr:uid="{8F097DAB-DA1F-4232-89DF-C03CF6CAB816}"/>
    <cellStyle name="20% - Accent5 29" xfId="35873" xr:uid="{2B94EB6D-D5FF-4C5F-AE40-9E835083A9F6}"/>
    <cellStyle name="20% - Accent5 29 2" xfId="37045" xr:uid="{3FBA07DC-689F-4487-BCB5-1761396B155C}"/>
    <cellStyle name="20% - Accent5 29 3" xfId="37939" xr:uid="{AFE650F2-684D-4C95-8869-66CE32175ED1}"/>
    <cellStyle name="20% - Accent5 3" xfId="109" xr:uid="{E6BD2B99-F26E-448E-9FDE-4B1A3D782248}"/>
    <cellStyle name="20% - Accent5 3 10" xfId="22284" xr:uid="{FC8B05B1-9088-40CB-B864-684ECB89A8CC}"/>
    <cellStyle name="20% - Accent5 3 10 2" xfId="37448" xr:uid="{D01D0330-85E1-4523-8146-34F7DEADB990}"/>
    <cellStyle name="20% - Accent5 3 11" xfId="34463" xr:uid="{08039543-901F-477D-8699-66E4ADDE2619}"/>
    <cellStyle name="20% - Accent5 3 12" xfId="21123" xr:uid="{3D6D6B77-CCC4-463E-B25F-7FC71F7CA2D6}"/>
    <cellStyle name="20% - Accent5 3 2" xfId="170" xr:uid="{51AAB344-D0D5-48D8-833A-F81A682E72E5}"/>
    <cellStyle name="20% - Accent5 3 2 10" xfId="34514" xr:uid="{4348D988-95F8-4027-93C0-6C06DF149325}"/>
    <cellStyle name="20% - Accent5 3 2 11" xfId="29564" xr:uid="{D8A6F881-32CA-4FBE-ACD5-12A0BB9AE097}"/>
    <cellStyle name="20% - Accent5 3 2 2" xfId="21122" xr:uid="{B9DFAC84-D6E7-4FCA-8089-116197AFF456}"/>
    <cellStyle name="20% - Accent5 3 2 2 2" xfId="21438" xr:uid="{C08B3DB8-2CDD-4EE5-B405-CA4D0C8D26B9}"/>
    <cellStyle name="20% - Accent5 3 2 2 2 2" xfId="21121" xr:uid="{112015EE-15B1-4F80-B408-B598E28B40EF}"/>
    <cellStyle name="20% - Accent5 3 2 2 2 2 2" xfId="22851" xr:uid="{3274595D-9B06-425D-83BE-3B3D07253436}"/>
    <cellStyle name="20% - Accent5 3 2 2 2 2 2 2" xfId="21116" xr:uid="{4957FDB8-4855-4C86-A3E7-F17C86EAF50B}"/>
    <cellStyle name="20% - Accent5 3 2 2 2 2 2 2 2" xfId="9362" xr:uid="{253815C1-B7E4-4830-8EE1-389FFD74AB71}"/>
    <cellStyle name="20% - Accent5 3 2 2 2 2 2 2 2 2" xfId="21112" xr:uid="{EC1591F9-C296-4F1A-8E44-2AE45A2856D6}"/>
    <cellStyle name="20% - Accent5 3 2 2 2 2 2 2 2 2 2" xfId="21111" xr:uid="{BD1D7EED-1A5B-44DD-BCA4-B58CA94A80BC}"/>
    <cellStyle name="20% - Accent5 3 2 2 2 2 2 2 2 3" xfId="23639" xr:uid="{29B158A4-C747-4574-B102-45EB600CFA3A}"/>
    <cellStyle name="20% - Accent5 3 2 2 2 2 2 2 3" xfId="22743" xr:uid="{6639D7E9-69D5-46B2-B17D-D25FC404BD5F}"/>
    <cellStyle name="20% - Accent5 3 2 2 2 2 2 2 3 2" xfId="21107" xr:uid="{C10CCBC1-FFB9-4203-9959-C8FCDF77BEB3}"/>
    <cellStyle name="20% - Accent5 3 2 2 2 2 2 2 4" xfId="21106" xr:uid="{58510AB1-0DE8-44F1-B443-680FD336BA1F}"/>
    <cellStyle name="20% - Accent5 3 2 2 2 2 2 3" xfId="21104" xr:uid="{EE4585BA-222B-4326-8945-F49DEA560FD3}"/>
    <cellStyle name="20% - Accent5 3 2 2 2 2 2 3 2" xfId="17807" xr:uid="{F50F6B49-5DA8-49D2-BB56-50808BF303CE}"/>
    <cellStyle name="20% - Accent5 3 2 2 2 2 2 3 2 2" xfId="21103" xr:uid="{A06BAA29-67A5-479D-9D57-FE096902FDAB}"/>
    <cellStyle name="20% - Accent5 3 2 2 2 2 2 3 3" xfId="21100" xr:uid="{06F72D3D-615C-46C1-B799-9A70C9900587}"/>
    <cellStyle name="20% - Accent5 3 2 2 2 2 2 4" xfId="21098" xr:uid="{0698B56D-AC87-4C41-829B-BF33E30A5AB1}"/>
    <cellStyle name="20% - Accent5 3 2 2 2 2 2 4 2" xfId="21094" xr:uid="{4285CAC2-F172-441C-9D00-32073520940A}"/>
    <cellStyle name="20% - Accent5 3 2 2 2 2 2 5" xfId="21092" xr:uid="{6A6FA14D-CF39-4A91-B5A4-7633FE477088}"/>
    <cellStyle name="20% - Accent5 3 2 2 2 2 3" xfId="21091" xr:uid="{0AAFB974-083F-464C-80B7-BEDE28672485}"/>
    <cellStyle name="20% - Accent5 3 2 2 2 2 3 2" xfId="21087" xr:uid="{70FEE3A8-42A7-4C08-997F-348399BB7556}"/>
    <cellStyle name="20% - Accent5 3 2 2 2 2 3 2 2" xfId="20230" xr:uid="{D9943EBE-6C4D-47FB-82AC-C1D6B2949DE7}"/>
    <cellStyle name="20% - Accent5 3 2 2 2 2 3 2 2 2" xfId="32249" xr:uid="{B2729943-69D0-4AD9-97D7-14ED56A4E490}"/>
    <cellStyle name="20% - Accent5 3 2 2 2 2 3 2 3" xfId="21086" xr:uid="{BBD0C628-1AD8-45AB-A7CD-3B2500CC8DE5}"/>
    <cellStyle name="20% - Accent5 3 2 2 2 2 3 3" xfId="21085" xr:uid="{9B95C2A5-0474-4068-851A-1E1E2E391621}"/>
    <cellStyle name="20% - Accent5 3 2 2 2 2 3 3 2" xfId="21084" xr:uid="{FBA75801-AA54-4BF7-A374-F8A5CE4FD2B1}"/>
    <cellStyle name="20% - Accent5 3 2 2 2 2 3 4" xfId="21079" xr:uid="{DA726836-F473-418B-B828-1D390D44244A}"/>
    <cellStyle name="20% - Accent5 3 2 2 2 2 4" xfId="21078" xr:uid="{FA105456-0AF6-4BF5-B0E0-2AA1C9ADEC0A}"/>
    <cellStyle name="20% - Accent5 3 2 2 2 2 4 2" xfId="21074" xr:uid="{840ADD38-659F-414F-9C05-F952EC3222C6}"/>
    <cellStyle name="20% - Accent5 3 2 2 2 2 4 2 2" xfId="21071" xr:uid="{3A72A3DB-8F83-4BDF-B98B-6CBC31FD8408}"/>
    <cellStyle name="20% - Accent5 3 2 2 2 2 4 3" xfId="21069" xr:uid="{D9B91B81-36DE-4EDD-B67E-00EB98A5AC2C}"/>
    <cellStyle name="20% - Accent5 3 2 2 2 2 5" xfId="21066" xr:uid="{CAA9A31D-549D-45E9-A27C-15142CCB0817}"/>
    <cellStyle name="20% - Accent5 3 2 2 2 2 5 2" xfId="21063" xr:uid="{0EE38F05-4463-4CD0-A10A-057479B456B4}"/>
    <cellStyle name="20% - Accent5 3 2 2 2 2 6" xfId="22963" xr:uid="{65025958-30B8-4576-987A-8363C402D6B9}"/>
    <cellStyle name="20% - Accent5 3 2 2 2 3" xfId="23565" xr:uid="{7D7EFB72-A85C-4D24-A969-E6C4CB59F8A6}"/>
    <cellStyle name="20% - Accent5 3 2 2 2 3 2" xfId="21062" xr:uid="{A8AEBA1F-DA39-4FE2-B1E0-B0C08CFEE882}"/>
    <cellStyle name="20% - Accent5 3 2 2 2 3 2 2" xfId="21059" xr:uid="{20103EB2-6CAE-443D-878D-40DB20BA7543}"/>
    <cellStyle name="20% - Accent5 3 2 2 2 3 2 2 2" xfId="21058" xr:uid="{F7A4B33F-CB08-4DFC-944D-6830788A1819}"/>
    <cellStyle name="20% - Accent5 3 2 2 2 3 2 2 2 2" xfId="21051" xr:uid="{BEE6735E-265F-4191-978A-509A83876455}"/>
    <cellStyle name="20% - Accent5 3 2 2 2 3 2 2 3" xfId="21049" xr:uid="{0E9DE2D0-AFFD-4DD9-9419-E8AA1C12DFCC}"/>
    <cellStyle name="20% - Accent5 3 2 2 2 3 2 3" xfId="21046" xr:uid="{DF56E8A2-DA00-4D39-9B7A-56B2FBE256A3}"/>
    <cellStyle name="20% - Accent5 3 2 2 2 3 2 3 2" xfId="21045" xr:uid="{701E52EF-6D68-466C-A642-3E2456FF9C53}"/>
    <cellStyle name="20% - Accent5 3 2 2 2 3 2 4" xfId="21038" xr:uid="{908C3920-D316-4EE7-ACB9-C24AAA9BA8BB}"/>
    <cellStyle name="20% - Accent5 3 2 2 2 3 3" xfId="21037" xr:uid="{CDD22A09-8BCA-4382-BD06-555013D0A357}"/>
    <cellStyle name="20% - Accent5 3 2 2 2 3 3 2" xfId="21034" xr:uid="{FDD1FCEA-60C6-4FAC-9DDB-125AD493F409}"/>
    <cellStyle name="20% - Accent5 3 2 2 2 3 3 2 2" xfId="21033" xr:uid="{33C25A89-C3BC-4BAF-A056-E5FEC6285E6C}"/>
    <cellStyle name="20% - Accent5 3 2 2 2 3 3 3" xfId="21029" xr:uid="{4B6B1C8C-4B09-4D1F-8AEB-C7ADE1DDA645}"/>
    <cellStyle name="20% - Accent5 3 2 2 2 3 4" xfId="21028" xr:uid="{1BA2F067-0B17-4118-B600-78E374E55143}"/>
    <cellStyle name="20% - Accent5 3 2 2 2 3 4 2" xfId="21024" xr:uid="{2107B9EF-3868-455E-9A9F-85347AEC0832}"/>
    <cellStyle name="20% - Accent5 3 2 2 2 3 5" xfId="21021" xr:uid="{3BEF99D5-983A-4664-A169-F06BA049F9B0}"/>
    <cellStyle name="20% - Accent5 3 2 2 2 4" xfId="23557" xr:uid="{DD79DC26-48AE-4F3E-9F9A-CD773B7B330F}"/>
    <cellStyle name="20% - Accent5 3 2 2 2 4 2" xfId="17667" xr:uid="{29C0F08D-4299-4539-A873-BC75860C890E}"/>
    <cellStyle name="20% - Accent5 3 2 2 2 4 2 2" xfId="21018" xr:uid="{A95A7437-0E6F-48DA-9B94-9D8B9E8B8D88}"/>
    <cellStyle name="20% - Accent5 3 2 2 2 4 2 2 2" xfId="21014" xr:uid="{97FFBB5A-0AC3-4BC6-85D1-2F3CFC836E0F}"/>
    <cellStyle name="20% - Accent5 3 2 2 2 4 2 3" xfId="21010" xr:uid="{68317005-6A74-4542-A8EF-C6820D39BCA5}"/>
    <cellStyle name="20% - Accent5 3 2 2 2 4 3" xfId="21009" xr:uid="{4184E002-16B9-47F8-A90C-BDF4066415E9}"/>
    <cellStyle name="20% - Accent5 3 2 2 2 4 3 2" xfId="21007" xr:uid="{F38B15A2-CDB3-4142-B097-9D5A73D7FE06}"/>
    <cellStyle name="20% - Accent5 3 2 2 2 4 4" xfId="21000" xr:uid="{EAA00529-143F-4122-84C3-66976C51EBA4}"/>
    <cellStyle name="20% - Accent5 3 2 2 2 5" xfId="23554" xr:uid="{A05AFF20-D796-4891-B40E-B4DE0D932176}"/>
    <cellStyle name="20% - Accent5 3 2 2 2 5 2" xfId="20997" xr:uid="{5C597E86-4544-44C7-B372-71A2601585E2}"/>
    <cellStyle name="20% - Accent5 3 2 2 2 5 2 2" xfId="21447" xr:uid="{5A004834-0753-4D79-94F4-F2EFA45F3DFC}"/>
    <cellStyle name="20% - Accent5 3 2 2 2 5 3" xfId="20992" xr:uid="{E8AD799C-54B2-4F51-A701-92734D618B04}"/>
    <cellStyle name="20% - Accent5 3 2 2 2 6" xfId="33036" xr:uid="{1D7E034A-72B0-4D8C-9072-CED4A519C8B1}"/>
    <cellStyle name="20% - Accent5 3 2 2 2 6 2" xfId="20991" xr:uid="{37B8DDA5-F320-4B78-921D-1BD9469D21C0}"/>
    <cellStyle name="20% - Accent5 3 2 2 2 7" xfId="20989" xr:uid="{861DE264-511C-4F49-85F9-EF32C53058B7}"/>
    <cellStyle name="20% - Accent5 3 2 2 3" xfId="29990" xr:uid="{A885FA02-66BD-4DA2-9904-B12564013F5C}"/>
    <cellStyle name="20% - Accent5 3 2 2 3 2" xfId="30572" xr:uid="{2E4E512E-9990-4BDD-8B9A-20D212BC5AC9}"/>
    <cellStyle name="20% - Accent5 3 2 2 3 2 2" xfId="22941" xr:uid="{72CE7A00-D566-42AC-AB47-17B959DF8D0E}"/>
    <cellStyle name="20% - Accent5 3 2 2 3 2 2 2" xfId="26362" xr:uid="{8180DA28-CC56-442B-BFA5-692325A27111}"/>
    <cellStyle name="20% - Accent5 3 2 2 3 2 2 2 2" xfId="22388" xr:uid="{C0B0BC7B-2AF5-4244-B615-CA2662E51F03}"/>
    <cellStyle name="20% - Accent5 3 2 2 3 2 2 2 2 2" xfId="20988" xr:uid="{4CB9C4B1-544E-4A3C-B825-7D8A40FFEB97}"/>
    <cellStyle name="20% - Accent5 3 2 2 3 2 2 2 3" xfId="22375" xr:uid="{08151F9F-47D6-4412-902F-DEB6F07EBA5B}"/>
    <cellStyle name="20% - Accent5 3 2 2 3 2 2 3" xfId="26361" xr:uid="{193D9B34-6499-4DCB-9C97-0156360995CB}"/>
    <cellStyle name="20% - Accent5 3 2 2 3 2 2 3 2" xfId="22334" xr:uid="{8D0454E1-0535-4A2E-84DC-06C0B7B9B982}"/>
    <cellStyle name="20% - Accent5 3 2 2 3 2 2 4" xfId="20982" xr:uid="{F367A88D-F86C-49C0-AD52-99EA4A1F628D}"/>
    <cellStyle name="20% - Accent5 3 2 2 3 2 3" xfId="21986" xr:uid="{99B36F49-9AE9-4008-8FCA-DE0232E4A51E}"/>
    <cellStyle name="20% - Accent5 3 2 2 3 2 3 2" xfId="26360" xr:uid="{FDF7E5A3-8AB5-4E49-8BD6-C5F4F8746139}"/>
    <cellStyle name="20% - Accent5 3 2 2 3 2 3 2 2" xfId="22260" xr:uid="{5290BBD1-0E83-40D7-933D-E1CB83A77F3D}"/>
    <cellStyle name="20% - Accent5 3 2 2 3 2 3 3" xfId="20980" xr:uid="{E227C0CE-1FF8-4FDF-9B1B-CDADA32CE71C}"/>
    <cellStyle name="20% - Accent5 3 2 2 3 2 4" xfId="20767" xr:uid="{916AE610-4D5C-4DC6-AAF9-92BE6F956C03}"/>
    <cellStyle name="20% - Accent5 3 2 2 3 2 4 2" xfId="20979" xr:uid="{C60CBB15-A9F6-4114-A33D-00425A85B071}"/>
    <cellStyle name="20% - Accent5 3 2 2 3 2 5" xfId="20656" xr:uid="{AD586E28-F5DD-495E-B5E9-83453C125E74}"/>
    <cellStyle name="20% - Accent5 3 2 2 3 3" xfId="32256" xr:uid="{25B51D64-D62D-4884-9832-F7CBD67F8E4E}"/>
    <cellStyle name="20% - Accent5 3 2 2 3 3 2" xfId="21961" xr:uid="{0717DFE2-5EA4-409B-862D-EDDB947E28AD}"/>
    <cellStyle name="20% - Accent5 3 2 2 3 3 2 2" xfId="26329" xr:uid="{77273EBF-97D3-4966-95B6-9B04A106C46A}"/>
    <cellStyle name="20% - Accent5 3 2 2 3 3 2 2 2" xfId="12220" xr:uid="{B3C59CA3-A45A-41F5-AF84-2B7FC1B4FC7E}"/>
    <cellStyle name="20% - Accent5 3 2 2 3 3 2 3" xfId="27707" xr:uid="{141A63CA-B91F-4583-A170-80227D947A89}"/>
    <cellStyle name="20% - Accent5 3 2 2 3 3 3" xfId="21954" xr:uid="{4A631A1B-74FA-48B4-BC02-99CB12BAB6AF}"/>
    <cellStyle name="20% - Accent5 3 2 2 3 3 3 2" xfId="20973" xr:uid="{3183092D-80BF-4F8D-AC11-085935C3F296}"/>
    <cellStyle name="20% - Accent5 3 2 2 3 3 4" xfId="20457" xr:uid="{53AEE87F-5E7F-47E7-B3B8-47550BBD0CFB}"/>
    <cellStyle name="20% - Accent5 3 2 2 3 4" xfId="32897" xr:uid="{A1EEEA67-B30E-4F5A-8333-63B1727322AE}"/>
    <cellStyle name="20% - Accent5 3 2 2 3 4 2" xfId="21937" xr:uid="{71B0D265-976B-401C-9F31-B3B15827A1AF}"/>
    <cellStyle name="20% - Accent5 3 2 2 3 4 2 2" xfId="20972" xr:uid="{6E75652D-32EE-486C-B883-83F2611471FA}"/>
    <cellStyle name="20% - Accent5 3 2 2 3 4 3" xfId="20967" xr:uid="{2877A253-A166-4718-8D05-D53316A929CE}"/>
    <cellStyle name="20% - Accent5 3 2 2 3 5" xfId="20965" xr:uid="{9CDD9BDA-5ECB-4B89-AE3B-877DDA668FE3}"/>
    <cellStyle name="20% - Accent5 3 2 2 3 5 2" xfId="20962" xr:uid="{BF61DF4C-7B58-4E47-AB1B-62D97751677B}"/>
    <cellStyle name="20% - Accent5 3 2 2 3 6" xfId="32852" xr:uid="{098A2C27-BB39-4EE9-BD9E-C48055EA4EE1}"/>
    <cellStyle name="20% - Accent5 3 2 2 4" xfId="29980" xr:uid="{3B1572B4-3C66-4865-8354-768EE4FB385A}"/>
    <cellStyle name="20% - Accent5 3 2 2 4 2" xfId="32247" xr:uid="{BC2FD92E-3ADF-4E79-88BC-5A5C398CA029}"/>
    <cellStyle name="20% - Accent5 3 2 2 4 2 2" xfId="21782" xr:uid="{0A1E7C25-453D-4CD9-A0FF-0A37941A5363}"/>
    <cellStyle name="20% - Accent5 3 2 2 4 2 2 2" xfId="26267" xr:uid="{3AE15396-0F00-4DB9-BE12-CE95D8FF3AB3}"/>
    <cellStyle name="20% - Accent5 3 2 2 4 2 2 2 2" xfId="27804" xr:uid="{EFE81FBA-C738-4135-85F6-0DDD9BCE9B03}"/>
    <cellStyle name="20% - Accent5 3 2 2 4 2 2 3" xfId="30743" xr:uid="{4F705F7E-5EA7-4E92-8495-1F87D84858B7}"/>
    <cellStyle name="20% - Accent5 3 2 2 4 2 3" xfId="21774" xr:uid="{1220FC0F-CC29-4777-9ABF-F3A4BD9FAC79}"/>
    <cellStyle name="20% - Accent5 3 2 2 4 2 3 2" xfId="17484" xr:uid="{8330B34A-7902-4A1A-8FE2-B7B64090F173}"/>
    <cellStyle name="20% - Accent5 3 2 2 4 2 4" xfId="19146" xr:uid="{5509CC59-D967-41B8-8F97-FD44979CD4D0}"/>
    <cellStyle name="20% - Accent5 3 2 2 4 3" xfId="31386" xr:uid="{4735FA24-23F8-45CC-AE03-6F09D38860E1}"/>
    <cellStyle name="20% - Accent5 3 2 2 4 3 2" xfId="21750" xr:uid="{A9B5BDA6-AAC1-4FF4-B654-5EB69D890BD9}"/>
    <cellStyle name="20% - Accent5 3 2 2 4 3 2 2" xfId="21521" xr:uid="{5D2B0AD0-C6CA-4574-AAD9-F66A539F4649}"/>
    <cellStyle name="20% - Accent5 3 2 2 4 3 3" xfId="20960" xr:uid="{CF0196BA-6B57-46AC-A875-1DF9D7777235}"/>
    <cellStyle name="20% - Accent5 3 2 2 4 4" xfId="20956" xr:uid="{DFE06037-3DEC-4E77-B8D6-04A1DB0D2D84}"/>
    <cellStyle name="20% - Accent5 3 2 2 4 4 2" xfId="20955" xr:uid="{FFAA5138-4B4A-44B2-A88C-0867DCED13EC}"/>
    <cellStyle name="20% - Accent5 3 2 2 4 5" xfId="20951" xr:uid="{B1E3AAEA-011D-488E-823A-3AD9EA40C94D}"/>
    <cellStyle name="20% - Accent5 3 2 2 5" xfId="34118" xr:uid="{5B5493C1-6C82-4B07-A889-55B114FEC3A2}"/>
    <cellStyle name="20% - Accent5 3 2 2 5 2" xfId="34145" xr:uid="{75FC3EA5-0362-445B-A297-C7EC35DF085D}"/>
    <cellStyle name="20% - Accent5 3 2 2 5 2 2" xfId="29124" xr:uid="{2A41B09D-9CD3-468D-9129-0E34FA084534}"/>
    <cellStyle name="20% - Accent5 3 2 2 5 2 2 2" xfId="30748" xr:uid="{9F9ACE11-B9BE-4EE2-A4B1-887F92AAAFCD}"/>
    <cellStyle name="20% - Accent5 3 2 2 5 2 3" xfId="20947" xr:uid="{CC81AA55-8F34-4091-860C-A15E3686CCBD}"/>
    <cellStyle name="20% - Accent5 3 2 2 5 3" xfId="20943" xr:uid="{1BCCEE04-AFD5-4BF7-8376-D7F0447B0CE0}"/>
    <cellStyle name="20% - Accent5 3 2 2 5 3 2" xfId="29115" xr:uid="{3E3AB4E4-0B2C-4BA1-AE74-2ABE03B03B94}"/>
    <cellStyle name="20% - Accent5 3 2 2 5 4" xfId="20942" xr:uid="{BFF42300-5FFB-406A-9DE0-2479080D1BAF}"/>
    <cellStyle name="20% - Accent5 3 2 2 6" xfId="30240" xr:uid="{D6C8D519-5717-476B-8A72-00B2B44AA36E}"/>
    <cellStyle name="20% - Accent5 3 2 2 6 2" xfId="20938" xr:uid="{046CD445-08EE-435F-AC90-E2FA84655F6A}"/>
    <cellStyle name="20% - Accent5 3 2 2 6 2 2" xfId="20937" xr:uid="{B1171634-8DF4-479D-8AC8-DCD87B352315}"/>
    <cellStyle name="20% - Accent5 3 2 2 6 3" xfId="20933" xr:uid="{9595DCC8-E1CF-4846-98E9-4EB94837A8D1}"/>
    <cellStyle name="20% - Accent5 3 2 2 7" xfId="30990" xr:uid="{B2717090-5108-4C7E-A6FD-D016169970E8}"/>
    <cellStyle name="20% - Accent5 3 2 2 7 2" xfId="17420" xr:uid="{7D2340E2-0BAE-424D-80C8-79054D5C5180}"/>
    <cellStyle name="20% - Accent5 3 2 2 8" xfId="14843" xr:uid="{03C924B1-C90C-4D33-A1CB-FE13FB74A030}"/>
    <cellStyle name="20% - Accent5 3 2 3" xfId="20930" xr:uid="{A4D9A6E4-0F0E-4A49-B347-4D3C8FBF7643}"/>
    <cellStyle name="20% - Accent5 3 2 3 2" xfId="20925" xr:uid="{F344D398-7519-41B9-BEF4-1EB40508955F}"/>
    <cellStyle name="20% - Accent5 3 2 3 2 2" xfId="20924" xr:uid="{3158CC80-DCA3-4DAC-8E23-38BB48FCFBA0}"/>
    <cellStyle name="20% - Accent5 3 2 3 2 2 2" xfId="20922" xr:uid="{D8ED5422-FE4D-489F-9065-47695FCDB0BE}"/>
    <cellStyle name="20% - Accent5 3 2 3 2 2 2 2" xfId="27020" xr:uid="{E01A75AF-57E7-44E7-A678-A2CAFAC19F14}"/>
    <cellStyle name="20% - Accent5 3 2 3 2 2 2 2 2" xfId="7405" xr:uid="{2788301C-759D-4C4D-B9D6-7B119469D1E3}"/>
    <cellStyle name="20% - Accent5 3 2 3 2 2 2 2 2 2" xfId="20920" xr:uid="{B354741B-BE1D-465A-8170-6AB0D023E8DF}"/>
    <cellStyle name="20% - Accent5 3 2 3 2 2 2 2 3" xfId="23769" xr:uid="{B9E4310C-97EC-4AD7-96A1-E2AE38373FBF}"/>
    <cellStyle name="20% - Accent5 3 2 3 2 2 2 3" xfId="29448" xr:uid="{D7B53603-55AF-4F01-AE20-9897162574BF}"/>
    <cellStyle name="20% - Accent5 3 2 3 2 2 2 3 2" xfId="20919" xr:uid="{A16E9C39-171F-4418-AAB9-8A6DFF82066C}"/>
    <cellStyle name="20% - Accent5 3 2 3 2 2 2 4" xfId="32745" xr:uid="{59480B76-9F67-411B-B100-F374D19AC38F}"/>
    <cellStyle name="20% - Accent5 3 2 3 2 2 3" xfId="21017" xr:uid="{1D5F0D39-EEF0-442D-85EE-7CC3ADB4CA01}"/>
    <cellStyle name="20% - Accent5 3 2 3 2 2 3 2" xfId="29505" xr:uid="{2201C050-3676-442D-A46F-DB9B9C32EA5B}"/>
    <cellStyle name="20% - Accent5 3 2 3 2 2 3 2 2" xfId="22113" xr:uid="{C1A40890-2187-4C1A-B237-B749F8FF9081}"/>
    <cellStyle name="20% - Accent5 3 2 3 2 2 3 3" xfId="23017" xr:uid="{10852CE1-D0CE-4ECF-A0CA-B18CDCF26141}"/>
    <cellStyle name="20% - Accent5 3 2 3 2 2 4" xfId="19114" xr:uid="{D2658CF6-C904-44EA-BA54-687EE0A5D5F0}"/>
    <cellStyle name="20% - Accent5 3 2 3 2 2 4 2" xfId="27307" xr:uid="{C58769C5-F76B-4C45-AAE5-84BFFBB9E239}"/>
    <cellStyle name="20% - Accent5 3 2 3 2 2 5" xfId="19107" xr:uid="{A228A99E-40B6-49EE-BEB0-24F161FD8974}"/>
    <cellStyle name="20% - Accent5 3 2 3 2 3" xfId="22816" xr:uid="{1829146D-C4FE-4D4A-AA59-D34BEC61E2C1}"/>
    <cellStyle name="20% - Accent5 3 2 3 2 3 2" xfId="20916" xr:uid="{3CB04CA7-C279-48F9-BB92-CEDD98D8C3E0}"/>
    <cellStyle name="20% - Accent5 3 2 3 2 3 2 2" xfId="29882" xr:uid="{B99DC4ED-C9B7-4377-B79C-CC62A5023A66}"/>
    <cellStyle name="20% - Accent5 3 2 3 2 3 2 2 2" xfId="13734" xr:uid="{BBC91527-EA5D-473D-8BBB-55268D27A4F6}"/>
    <cellStyle name="20% - Accent5 3 2 3 2 3 2 3" xfId="32345" xr:uid="{52B0C57F-49F8-4423-9FA8-8B9081751C5D}"/>
    <cellStyle name="20% - Accent5 3 2 3 2 3 3" xfId="21006" xr:uid="{92D228C9-562C-41A5-9F4A-F8B525C99E0A}"/>
    <cellStyle name="20% - Accent5 3 2 3 2 3 3 2" xfId="27244" xr:uid="{404A3E9D-E784-4F0C-B2A9-16D5AC44C1F9}"/>
    <cellStyle name="20% - Accent5 3 2 3 2 3 4" xfId="20908" xr:uid="{30069F49-2721-4635-8466-CC1F74A0CE87}"/>
    <cellStyle name="20% - Accent5 3 2 3 2 4" xfId="22992" xr:uid="{DFD11AAF-8AF0-448A-A7DA-5666BA20A48B}"/>
    <cellStyle name="20% - Accent5 3 2 3 2 4 2" xfId="20904" xr:uid="{7B239AAB-5FD5-4670-B74F-48B913D3D564}"/>
    <cellStyle name="20% - Accent5 3 2 3 2 4 2 2" xfId="27194" xr:uid="{8A396ADD-94C7-40E2-875E-D90BD7002589}"/>
    <cellStyle name="20% - Accent5 3 2 3 2 4 3" xfId="20903" xr:uid="{5FDC348D-DC0E-47D2-ACD4-E46C186D0F46}"/>
    <cellStyle name="20% - Accent5 3 2 3 2 5" xfId="20901" xr:uid="{CCB11732-4439-4C92-AE57-2103621B073D}"/>
    <cellStyle name="20% - Accent5 3 2 3 2 5 2" xfId="20895" xr:uid="{DE3B457B-6B16-4DFD-93DF-44716892A4CC}"/>
    <cellStyle name="20% - Accent5 3 2 3 2 6" xfId="10874" xr:uid="{1CE41EDD-3E60-4CC6-A34B-6FD4DB87373C}"/>
    <cellStyle name="20% - Accent5 3 2 3 3" xfId="29950" xr:uid="{8FD7829A-BC97-49C2-B17B-B88707850605}"/>
    <cellStyle name="20% - Accent5 3 2 3 3 2" xfId="25292" xr:uid="{BA877744-B33D-42F6-BDDE-992136F5CA5E}"/>
    <cellStyle name="20% - Accent5 3 2 3 3 2 2" xfId="5539" xr:uid="{85B64C45-1026-4B6D-A3FF-81BD0AB129DD}"/>
    <cellStyle name="20% - Accent5 3 2 3 3 2 2 2" xfId="21692" xr:uid="{045363A5-5F55-4CA4-8183-1B90C2902AB6}"/>
    <cellStyle name="20% - Accent5 3 2 3 3 2 2 2 2" xfId="20893" xr:uid="{12F193CB-715D-4ADA-982D-B251FD88427F}"/>
    <cellStyle name="20% - Accent5 3 2 3 3 2 2 3" xfId="21687" xr:uid="{2C78C6CB-C4F2-4DAA-A55B-E76C5F906AC7}"/>
    <cellStyle name="20% - Accent5 3 2 3 3 2 3" xfId="5536" xr:uid="{4D2A4997-F7D8-4F3B-9EB4-6F150116DC24}"/>
    <cellStyle name="20% - Accent5 3 2 3 3 2 3 2" xfId="28102" xr:uid="{C8BC8D7D-0E6B-4CAD-AF0A-9698C2E6FD6B}"/>
    <cellStyle name="20% - Accent5 3 2 3 3 2 4" xfId="23165" xr:uid="{5F6305C3-A690-4E1B-BE4D-E10C1D9F3D7D}"/>
    <cellStyle name="20% - Accent5 3 2 3 3 3" xfId="22800" xr:uid="{03EF955C-439A-43DA-8265-C1873DE6A7AD}"/>
    <cellStyle name="20% - Accent5 3 2 3 3 3 2" xfId="5518" xr:uid="{FF30CAD7-36CE-4747-89BE-B9EF3FD79F97}"/>
    <cellStyle name="20% - Accent5 3 2 3 3 3 2 2" xfId="21606" xr:uid="{B366FD93-F8CF-4967-8B8E-9CC6ABB90AA9}"/>
    <cellStyle name="20% - Accent5 3 2 3 3 3 3" xfId="20890" xr:uid="{E2410A9D-2624-45C3-9E0C-A2176A30E331}"/>
    <cellStyle name="20% - Accent5 3 2 3 3 4" xfId="20887" xr:uid="{D75386EC-2639-4DD4-B46B-F27A49771CA1}"/>
    <cellStyle name="20% - Accent5 3 2 3 3 4 2" xfId="10424" xr:uid="{8FEF69FC-AE32-4421-9E07-BEFA6A176870}"/>
    <cellStyle name="20% - Accent5 3 2 3 3 5" xfId="20884" xr:uid="{59BCA1AF-D223-4D10-914F-65855DBF85EE}"/>
    <cellStyle name="20% - Accent5 3 2 3 4" xfId="32220" xr:uid="{9D4FD690-8FAB-47FE-B59E-C46E79BEE7BB}"/>
    <cellStyle name="20% - Accent5 3 2 3 4 2" xfId="32217" xr:uid="{11E1A913-DFCA-480D-BD6E-A582BD806904}"/>
    <cellStyle name="20% - Accent5 3 2 3 4 2 2" xfId="21379" xr:uid="{E13E972F-1D32-486A-9624-09CCAD8622F5}"/>
    <cellStyle name="20% - Accent5 3 2 3 4 2 2 2" xfId="26705" xr:uid="{6E702E84-0FA7-451D-958E-9ADFDDEE05AC}"/>
    <cellStyle name="20% - Accent5 3 2 3 4 2 3" xfId="20882" xr:uid="{315EA605-EDB5-4F3D-80E5-B719B0AFF75E}"/>
    <cellStyle name="20% - Accent5 3 2 3 4 3" xfId="20878" xr:uid="{29E906B7-B5BE-498B-BD3C-294095DA44D6}"/>
    <cellStyle name="20% - Accent5 3 2 3 4 3 2" xfId="20877" xr:uid="{317DA920-49C9-4D2C-B1D5-694676EC7F43}"/>
    <cellStyle name="20% - Accent5 3 2 3 4 4" xfId="27684" xr:uid="{58A1460D-4C30-4604-B3FB-C49DCAB4D8E1}"/>
    <cellStyle name="20% - Accent5 3 2 3 5" xfId="34105" xr:uid="{C1449F02-F279-4735-B2CC-DF7E76BD4445}"/>
    <cellStyle name="20% - Accent5 3 2 3 5 2" xfId="29211" xr:uid="{BE2E829E-3871-41AD-B814-C5A3F36D4D78}"/>
    <cellStyle name="20% - Accent5 3 2 3 5 2 2" xfId="20875" xr:uid="{B42E91ED-C421-4825-B010-E64B59A41D50}"/>
    <cellStyle name="20% - Accent5 3 2 3 5 3" xfId="29195" xr:uid="{5B8C156D-0185-46CD-9ED6-00B6422A71D9}"/>
    <cellStyle name="20% - Accent5 3 2 3 6" xfId="33508" xr:uid="{8493180A-3A90-4E52-92F0-B6143F5FCB56}"/>
    <cellStyle name="20% - Accent5 3 2 3 6 2" xfId="30012" xr:uid="{0EE000A4-ACBE-4B85-96C1-8AB05230C315}"/>
    <cellStyle name="20% - Accent5 3 2 3 7" xfId="20873" xr:uid="{44BD9A9C-56A9-4BFA-8736-9472DF0AA03A}"/>
    <cellStyle name="20% - Accent5 3 2 4" xfId="20872" xr:uid="{F82A8A09-1F63-4B5D-8E41-9CE286180F1C}"/>
    <cellStyle name="20% - Accent5 3 2 4 2" xfId="20867" xr:uid="{F55993A0-DC43-4ACA-A616-FFF6AB817BE8}"/>
    <cellStyle name="20% - Accent5 3 2 4 2 2" xfId="20866" xr:uid="{33982C5A-CDE3-4B8F-A68C-A70D8C1E108B}"/>
    <cellStyle name="20% - Accent5 3 2 4 2 2 2" xfId="20865" xr:uid="{746F2F17-C9C5-4F7F-AEEC-A65EA2AA0AAB}"/>
    <cellStyle name="20% - Accent5 3 2 4 2 2 2 2" xfId="23062" xr:uid="{96C2D3B1-F8BC-4F13-83D5-FEC36C4D5704}"/>
    <cellStyle name="20% - Accent5 3 2 4 2 2 2 2 2" xfId="5977" xr:uid="{C5F8BDA5-8076-43AD-AFC7-F5CBE22B5539}"/>
    <cellStyle name="20% - Accent5 3 2 4 2 2 2 3" xfId="29939" xr:uid="{196A1648-6087-44F0-A7CF-36E2003A0A6E}"/>
    <cellStyle name="20% - Accent5 3 2 4 2 2 3" xfId="20971" xr:uid="{07F1EB89-11B2-42C3-8385-F282F06FFADF}"/>
    <cellStyle name="20% - Accent5 3 2 4 2 2 3 2" xfId="23040" xr:uid="{506DD0A7-3C1C-4EB0-8846-622415A33AF0}"/>
    <cellStyle name="20% - Accent5 3 2 4 2 2 4" xfId="20863" xr:uid="{963CBCF5-2E2F-4518-BE13-307E5F676B11}"/>
    <cellStyle name="20% - Accent5 3 2 4 2 3" xfId="22785" xr:uid="{514ACC09-97ED-4D90-8E05-C1BB5B5BA864}"/>
    <cellStyle name="20% - Accent5 3 2 4 2 3 2" xfId="20858" xr:uid="{1E19C467-6024-4F59-AEC3-B94A56E437CE}"/>
    <cellStyle name="20% - Accent5 3 2 4 2 3 2 2" xfId="23443" xr:uid="{F1AFE385-7D6A-4CEE-AD61-4DBBCBB20C8C}"/>
    <cellStyle name="20% - Accent5 3 2 4 2 3 3" xfId="20853" xr:uid="{71BF6844-A628-421A-A398-76A43DEE15ED}"/>
    <cellStyle name="20% - Accent5 3 2 4 2 4" xfId="20848" xr:uid="{91A4DE7B-5A68-4A9C-BB8A-936D75EDD1E6}"/>
    <cellStyle name="20% - Accent5 3 2 4 2 4 2" xfId="20840" xr:uid="{2DB2049C-B518-48A0-A246-8A4D8F773C5D}"/>
    <cellStyle name="20% - Accent5 3 2 4 2 5" xfId="20839" xr:uid="{F36DBF38-B48B-48CD-9A81-33B9E99F95CA}"/>
    <cellStyle name="20% - Accent5 3 2 4 3" xfId="32211" xr:uid="{34290F26-5DAC-427E-9D69-9D05FD84CB5B}"/>
    <cellStyle name="20% - Accent5 3 2 4 3 2" xfId="32209" xr:uid="{E2FBEEB8-1DCB-44A4-BEC5-63B99EDEEDD0}"/>
    <cellStyle name="20% - Accent5 3 2 4 3 2 2" xfId="21238" xr:uid="{D1EF0347-BDE8-4EE4-AC0D-59E2C7B95385}"/>
    <cellStyle name="20% - Accent5 3 2 4 3 2 2 2" xfId="20847" xr:uid="{4E087343-A871-4A26-BFE7-82108674312F}"/>
    <cellStyle name="20% - Accent5 3 2 4 3 2 3" xfId="22181" xr:uid="{126C800F-FB0C-40F7-A7E5-BCBF89E8E99E}"/>
    <cellStyle name="20% - Accent5 3 2 4 3 3" xfId="20837" xr:uid="{27E1FAFC-1F3C-4EA7-AA6D-94D96E624A18}"/>
    <cellStyle name="20% - Accent5 3 2 4 3 3 2" xfId="20833" xr:uid="{8F3E1B65-A522-4D49-935D-FEE63C04F376}"/>
    <cellStyle name="20% - Accent5 3 2 4 3 4" xfId="30895" xr:uid="{CAC27AEA-3D79-4949-87BF-1D1E284236C4}"/>
    <cellStyle name="20% - Accent5 3 2 4 4" xfId="26186" xr:uid="{4D463F3E-F374-45F7-9237-3B2798F99834}"/>
    <cellStyle name="20% - Accent5 3 2 4 4 2" xfId="20831" xr:uid="{046FE559-7985-4421-87A6-CE5BEDCDC8F0}"/>
    <cellStyle name="20% - Accent5 3 2 4 4 2 2" xfId="14480" xr:uid="{D9732497-9F98-488E-8660-EDDDCBAFF3BC}"/>
    <cellStyle name="20% - Accent5 3 2 4 4 3" xfId="20827" xr:uid="{092EF7B9-3504-410B-932B-F0BE9A1BA8A4}"/>
    <cellStyle name="20% - Accent5 3 2 4 5" xfId="20824" xr:uid="{533DB6E5-6B42-424A-BC7F-77E60F02AD06}"/>
    <cellStyle name="20% - Accent5 3 2 4 5 2" xfId="33692" xr:uid="{907C56BD-B4F8-4246-8577-52841D85B2FA}"/>
    <cellStyle name="20% - Accent5 3 2 4 6" xfId="20823" xr:uid="{66635DE6-77D9-41E2-AD41-F06A41858C5B}"/>
    <cellStyle name="20% - Accent5 3 2 5" xfId="20822" xr:uid="{59EE36AB-4287-4FA9-B538-7A8628FD52A3}"/>
    <cellStyle name="20% - Accent5 3 2 5 2" xfId="20820" xr:uid="{D6EE8067-DFFB-4648-9465-45F0DEC4DC3E}"/>
    <cellStyle name="20% - Accent5 3 2 5 2 2" xfId="20818" xr:uid="{6B09F5BB-66D4-40AF-92DC-C57F22B7A57F}"/>
    <cellStyle name="20% - Accent5 3 2 5 2 2 2" xfId="23518" xr:uid="{F455B7DF-FE43-4E19-A99D-AE5E7D9A2694}"/>
    <cellStyle name="20% - Accent5 3 2 5 2 2 2 2" xfId="24810" xr:uid="{80FF2CDD-EB92-4091-A413-EBA9BC6C9B14}"/>
    <cellStyle name="20% - Accent5 3 2 5 2 2 3" xfId="21475" xr:uid="{4A1EA5CF-4CE5-4F1D-8B7E-BCD492006D6A}"/>
    <cellStyle name="20% - Accent5 3 2 5 2 3" xfId="20812" xr:uid="{D0CF18C6-74AD-460B-B35F-DE0FEC465830}"/>
    <cellStyle name="20% - Accent5 3 2 5 2 3 2" xfId="21463" xr:uid="{D5697E22-B0CA-4E01-B42F-97B055DBF653}"/>
    <cellStyle name="20% - Accent5 3 2 5 2 4" xfId="20807" xr:uid="{5631BF0D-3FC7-48B5-B52B-183ACC706359}"/>
    <cellStyle name="20% - Accent5 3 2 5 3" xfId="24138" xr:uid="{703FD13B-072B-4330-865E-1D0B6DA12E6F}"/>
    <cellStyle name="20% - Accent5 3 2 5 3 2" xfId="20804" xr:uid="{FDA5D5B6-0188-48B6-8AEB-8F9D0BD9B3C1}"/>
    <cellStyle name="20% - Accent5 3 2 5 3 2 2" xfId="21443" xr:uid="{B563DC47-A3F6-4A9B-97B3-1692D7E9C21F}"/>
    <cellStyle name="20% - Accent5 3 2 5 3 3" xfId="20802" xr:uid="{8D8A0FFF-56E8-4395-A82D-85025D3B25A6}"/>
    <cellStyle name="20% - Accent5 3 2 5 4" xfId="20800" xr:uid="{52302E4C-A61D-49DD-A7BE-82FBAC7B75F2}"/>
    <cellStyle name="20% - Accent5 3 2 5 4 2" xfId="20798" xr:uid="{B248DD41-D1FD-4E84-9509-FC50B1F334D0}"/>
    <cellStyle name="20% - Accent5 3 2 5 5" xfId="23155" xr:uid="{484B3900-F47E-4FC2-8B74-0B84B213DD3D}"/>
    <cellStyle name="20% - Accent5 3 2 6" xfId="20794" xr:uid="{2020547B-B85E-4A29-AD29-0C8B0BC9CC9D}"/>
    <cellStyle name="20% - Accent5 3 2 6 2" xfId="20793" xr:uid="{BB43F214-F388-4192-8576-1C38157D34C1}"/>
    <cellStyle name="20% - Accent5 3 2 6 2 2" xfId="20790" xr:uid="{B420B605-123B-4EEC-BE4E-4685C4AFBC6E}"/>
    <cellStyle name="20% - Accent5 3 2 6 2 2 2" xfId="30437" xr:uid="{8FC68B16-E279-4F4E-9F4B-F9844A8CC667}"/>
    <cellStyle name="20% - Accent5 3 2 6 2 3" xfId="20788" xr:uid="{22A7E671-199C-4387-9D9F-6867E6823A53}"/>
    <cellStyle name="20% - Accent5 3 2 6 3" xfId="20785" xr:uid="{E85D435A-48C4-4F02-AAAD-CDFD3ECCB79F}"/>
    <cellStyle name="20% - Accent5 3 2 6 3 2" xfId="20782" xr:uid="{CC186F7C-04F9-4DA2-82F5-69588E543A97}"/>
    <cellStyle name="20% - Accent5 3 2 6 4" xfId="20780" xr:uid="{F229A27E-3062-4836-90E7-F56257C34F01}"/>
    <cellStyle name="20% - Accent5 3 2 7" xfId="20778" xr:uid="{DC8D5793-25B2-4D17-96F8-49C5A10683F3}"/>
    <cellStyle name="20% - Accent5 3 2 7 2" xfId="7122" xr:uid="{E938C8C8-1F20-4A14-A2AA-9874A42F06B9}"/>
    <cellStyle name="20% - Accent5 3 2 7 2 2" xfId="20777" xr:uid="{0C3C5CFA-6507-40C2-8139-9E3AD3FC16F6}"/>
    <cellStyle name="20% - Accent5 3 2 7 3" xfId="7118" xr:uid="{CDDE906A-608A-4602-9874-4351B4A5EED5}"/>
    <cellStyle name="20% - Accent5 3 2 8" xfId="20775" xr:uid="{F54D3E4B-209D-4BEA-9FC6-EAE2FBDFF2A0}"/>
    <cellStyle name="20% - Accent5 3 2 8 2" xfId="21347" xr:uid="{02690C8C-F5D0-472E-BB13-BE5CF65D8F46}"/>
    <cellStyle name="20% - Accent5 3 2 9" xfId="20773" xr:uid="{172E76B0-94A7-4862-8C9B-218A532A99BF}"/>
    <cellStyle name="20% - Accent5 3 3" xfId="231" xr:uid="{7B6445EB-737F-42ED-AE3B-7E9A3C7C4C2C}"/>
    <cellStyle name="20% - Accent5 3 3 10" xfId="20769" xr:uid="{B0941C87-39A5-4CAA-841F-CAE859A2309B}"/>
    <cellStyle name="20% - Accent5 3 3 2" xfId="30942" xr:uid="{9F26997A-7B28-45DB-95F2-886F6D31DCFA}"/>
    <cellStyle name="20% - Accent5 3 3 2 2" xfId="20760" xr:uid="{85401744-CC2D-4DCC-91E7-8A4A8F8C804D}"/>
    <cellStyle name="20% - Accent5 3 3 2 2 2" xfId="20759" xr:uid="{E1F6D81A-71D0-4302-AD45-34B27984D57E}"/>
    <cellStyle name="20% - Accent5 3 3 2 2 2 2" xfId="20757" xr:uid="{DD469803-B389-4A34-82AF-79BAD59B2FFF}"/>
    <cellStyle name="20% - Accent5 3 3 2 2 2 2 2" xfId="18615" xr:uid="{85D9EEFC-6485-4F79-A277-C32795C2D2F3}"/>
    <cellStyle name="20% - Accent5 3 3 2 2 2 2 2 2" xfId="20732" xr:uid="{EF870044-D285-4C9D-AEE5-0580E334264A}"/>
    <cellStyle name="20% - Accent5 3 3 2 2 2 2 2 2 2" xfId="20752" xr:uid="{DA262709-FBCB-49DC-BA09-B39079CBE0DC}"/>
    <cellStyle name="20% - Accent5 3 3 2 2 2 2 2 3" xfId="20750" xr:uid="{8231E771-2166-417A-BEB3-DB43E13B4EEC}"/>
    <cellStyle name="20% - Accent5 3 3 2 2 2 2 3" xfId="13806" xr:uid="{65FDF127-1EB4-45C8-8C31-5612E24A9736}"/>
    <cellStyle name="20% - Accent5 3 3 2 2 2 2 3 2" xfId="27117" xr:uid="{ECFA2CA1-AE7F-4706-8C85-38992371D28B}"/>
    <cellStyle name="20% - Accent5 3 3 2 2 2 2 4" xfId="32440" xr:uid="{2F2D1E6F-7226-46FB-B18D-E3B8C940DB07}"/>
    <cellStyle name="20% - Accent5 3 3 2 2 2 3" xfId="26868" xr:uid="{8FC0F06A-B188-47AA-9A01-84EAA38CF56E}"/>
    <cellStyle name="20% - Accent5 3 3 2 2 2 3 2" xfId="11234" xr:uid="{682C74E9-80A0-460A-AC62-96DDA4BE1F1F}"/>
    <cellStyle name="20% - Accent5 3 3 2 2 2 3 2 2" xfId="20742" xr:uid="{45637B40-6989-4C30-A2FB-56E37CD9164A}"/>
    <cellStyle name="20% - Accent5 3 3 2 2 2 3 3" xfId="11219" xr:uid="{B1B49A4E-E5AC-48AF-A181-BBC77488D75D}"/>
    <cellStyle name="20% - Accent5 3 3 2 2 2 4" xfId="20912" xr:uid="{834D033D-186B-48B3-8C14-36AAA844ACCC}"/>
    <cellStyle name="20% - Accent5 3 3 2 2 2 4 2" xfId="29626" xr:uid="{48C97FA8-97E3-4390-AF43-C5E68C0F1696}"/>
    <cellStyle name="20% - Accent5 3 3 2 2 2 5" xfId="21002" xr:uid="{3FCD928E-2A4E-4A73-985D-EA1322DA9898}"/>
    <cellStyle name="20% - Accent5 3 3 2 2 3" xfId="23513" xr:uid="{F947F22B-CD8B-4613-A271-C588CFAE9FDF}"/>
    <cellStyle name="20% - Accent5 3 3 2 2 3 2" xfId="20391" xr:uid="{16BF43AA-1191-47B2-A373-E237603D0A15}"/>
    <cellStyle name="20% - Accent5 3 3 2 2 3 2 2" xfId="26356" xr:uid="{7D44182B-18A6-41FC-BF43-7C940F98F1D5}"/>
    <cellStyle name="20% - Accent5 3 3 2 2 3 2 2 2" xfId="20736" xr:uid="{55351225-C109-475E-A80B-B4263D7B411F}"/>
    <cellStyle name="20% - Accent5 3 3 2 2 3 2 3" xfId="13753" xr:uid="{5758FB2C-8BBD-4728-9736-15985CE47D1A}"/>
    <cellStyle name="20% - Accent5 3 3 2 2 3 3" xfId="26846" xr:uid="{4A0B5ED0-6DBB-4743-B4D2-02269DFF5DC1}"/>
    <cellStyle name="20% - Accent5 3 3 2 2 3 3 2" xfId="24886" xr:uid="{C4E50884-4ECA-419E-8336-FF18B7375019}"/>
    <cellStyle name="20% - Accent5 3 3 2 2 3 4" xfId="20728" xr:uid="{1E0D67D9-9806-4DA9-A5DF-4085847C1829}"/>
    <cellStyle name="20% - Accent5 3 3 2 2 4" xfId="23509" xr:uid="{38B2EDC9-961D-441E-925B-521692B5074E}"/>
    <cellStyle name="20% - Accent5 3 3 2 2 4 2" xfId="20724" xr:uid="{BA5404CF-9C33-434A-A0AF-A0AF4F84558A}"/>
    <cellStyle name="20% - Accent5 3 3 2 2 4 2 2" xfId="21494" xr:uid="{5E5B868C-AD53-4A9F-A4A3-242A8213083A}"/>
    <cellStyle name="20% - Accent5 3 3 2 2 4 3" xfId="20722" xr:uid="{3869E0E1-5AC0-4EDC-8FA4-D63B90D2F535}"/>
    <cellStyle name="20% - Accent5 3 3 2 2 5" xfId="31156" xr:uid="{8C1F6E49-8D81-4444-8654-A3717A83426B}"/>
    <cellStyle name="20% - Accent5 3 3 2 2 5 2" xfId="27171" xr:uid="{9CAAFC26-44AC-4333-B2F0-81C2B7BA2DBD}"/>
    <cellStyle name="20% - Accent5 3 3 2 2 6" xfId="25085" xr:uid="{1AE47236-294A-4902-B73B-5E5BA7C49452}"/>
    <cellStyle name="20% - Accent5 3 3 2 3" xfId="16117" xr:uid="{8E957D6B-7D21-4C7E-A090-B3D51667F385}"/>
    <cellStyle name="20% - Accent5 3 3 2 3 2" xfId="32162" xr:uid="{D10F0085-45EA-4230-B48F-F2069AE3D287}"/>
    <cellStyle name="20% - Accent5 3 3 2 3 2 2" xfId="16113" xr:uid="{8164C130-37F2-4ABB-BA31-4FC34344B5A2}"/>
    <cellStyle name="20% - Accent5 3 3 2 3 2 2 2" xfId="25741" xr:uid="{105DE73F-A8E1-4D09-8B04-897EE576388B}"/>
    <cellStyle name="20% - Accent5 3 3 2 3 2 2 2 2" xfId="30350" xr:uid="{79680123-6587-4994-811C-32CB9309A86B}"/>
    <cellStyle name="20% - Accent5 3 3 2 3 2 2 3" xfId="11786" xr:uid="{098AA55F-0B13-4658-BC2A-98AEDBBBE5F8}"/>
    <cellStyle name="20% - Accent5 3 3 2 3 2 3" xfId="19471" xr:uid="{8B955F5C-1B8A-417C-84AD-702FA0791A1E}"/>
    <cellStyle name="20% - Accent5 3 3 2 3 2 3 2" xfId="29601" xr:uid="{8E93502E-7DA3-475F-AD8D-46AB92B576A8}"/>
    <cellStyle name="20% - Accent5 3 3 2 3 2 4" xfId="16101" xr:uid="{72C99AF8-66EF-450E-891F-46AADB027A77}"/>
    <cellStyle name="20% - Accent5 3 3 2 3 3" xfId="16095" xr:uid="{3306FE78-AA7F-42C8-84E3-82A34C023B8C}"/>
    <cellStyle name="20% - Accent5 3 3 2 3 3 2" xfId="20950" xr:uid="{D6A007AB-675F-467C-A4D9-223A284759FC}"/>
    <cellStyle name="20% - Accent5 3 3 2 3 3 2 2" xfId="22287" xr:uid="{BF5C6EE5-9172-48FF-8BDE-AE778E4CCAEC}"/>
    <cellStyle name="20% - Accent5 3 3 2 3 3 3" xfId="20715" xr:uid="{5D9A6856-F9E6-479E-AB05-4B76DBD0CA9B}"/>
    <cellStyle name="20% - Accent5 3 3 2 3 4" xfId="16090" xr:uid="{020FC8FB-7968-461C-84B8-21B90B2D8454}"/>
    <cellStyle name="20% - Accent5 3 3 2 3 4 2" xfId="20711" xr:uid="{CC284BF0-9148-4728-AD93-0B978D0EDCEF}"/>
    <cellStyle name="20% - Accent5 3 3 2 3 5" xfId="26384" xr:uid="{23075C53-A8AA-4C09-93BF-9CFBE1A561A4}"/>
    <cellStyle name="20% - Accent5 3 3 2 4" xfId="16088" xr:uid="{909DB0AE-506A-4B5C-86CB-2F8C61E3323C}"/>
    <cellStyle name="20% - Accent5 3 3 2 4 2" xfId="18398" xr:uid="{3ADC728F-A54C-4DB4-8C96-B76E11EFE5B5}"/>
    <cellStyle name="20% - Accent5 3 3 2 4 2 2" xfId="18396" xr:uid="{039C7254-B4B7-4500-87AD-5B7D47828AF2}"/>
    <cellStyle name="20% - Accent5 3 3 2 4 2 2 2" xfId="32627" xr:uid="{9183FE6F-D373-424D-8C47-049D08B6B07A}"/>
    <cellStyle name="20% - Accent5 3 3 2 4 2 3" xfId="18477" xr:uid="{C0E6A948-8DFE-447D-86CC-CC33ED751461}"/>
    <cellStyle name="20% - Accent5 3 3 2 4 3" xfId="18392" xr:uid="{91E509C2-726D-4F5C-8AAC-8CACA029BE0F}"/>
    <cellStyle name="20% - Accent5 3 3 2 4 3 2" xfId="18386" xr:uid="{99A5A3EB-643E-43D7-80D3-6F4C2F3B86BA}"/>
    <cellStyle name="20% - Accent5 3 3 2 4 4" xfId="18383" xr:uid="{9264D190-0425-464E-A206-8B330A8303C1}"/>
    <cellStyle name="20% - Accent5 3 3 2 5" xfId="16081" xr:uid="{F2AB2919-BF4E-4021-96F2-A8D6DC8DE8BD}"/>
    <cellStyle name="20% - Accent5 3 3 2 5 2" xfId="20705" xr:uid="{C083F044-1ED5-4612-8E91-10DDBE877DEA}"/>
    <cellStyle name="20% - Accent5 3 3 2 5 2 2" xfId="20702" xr:uid="{883740D1-3BF2-4052-8EE3-7B4F4FFD0207}"/>
    <cellStyle name="20% - Accent5 3 3 2 5 3" xfId="20699" xr:uid="{3823CAD0-6EBF-4F6C-9852-DD278B64A10A}"/>
    <cellStyle name="20% - Accent5 3 3 2 6" xfId="16079" xr:uid="{6FC244D2-1929-48F3-BD7A-B25E129A4CCC}"/>
    <cellStyle name="20% - Accent5 3 3 2 6 2" xfId="20696" xr:uid="{1D842EF3-80C4-4190-9B78-416DCA3A53E6}"/>
    <cellStyle name="20% - Accent5 3 3 2 7" xfId="20692" xr:uid="{7F93A4FA-34E3-4900-AE7A-223DC8539685}"/>
    <cellStyle name="20% - Accent5 3 3 3" xfId="32408" xr:uid="{2EFB84EF-0816-4093-98F2-DF10FF19015B}"/>
    <cellStyle name="20% - Accent5 3 3 3 2" xfId="20690" xr:uid="{177E309C-03A2-4897-821B-CE0A2E3E0683}"/>
    <cellStyle name="20% - Accent5 3 3 3 2 2" xfId="13101" xr:uid="{18BF5BE1-CD03-417E-8281-F5A5E288958B}"/>
    <cellStyle name="20% - Accent5 3 3 3 2 2 2" xfId="29868" xr:uid="{E1113583-5B3E-4C36-925D-110CF05FDD7A}"/>
    <cellStyle name="20% - Accent5 3 3 3 2 2 2 2" xfId="24500" xr:uid="{0BB0F678-A95B-415C-93AD-47667D40A1D0}"/>
    <cellStyle name="20% - Accent5 3 3 3 2 2 2 2 2" xfId="12120" xr:uid="{F1787BED-BDA8-498B-B219-E069D0FAF278}"/>
    <cellStyle name="20% - Accent5 3 3 3 2 2 2 3" xfId="26726" xr:uid="{A746C46E-0A11-42A1-A471-28080C43A671}"/>
    <cellStyle name="20% - Accent5 3 3 3 2 2 3" xfId="26738" xr:uid="{D32364DA-66CD-4C96-9B54-7BA2EAE0BAE0}"/>
    <cellStyle name="20% - Accent5 3 3 3 2 2 3 2" xfId="26700" xr:uid="{698DE7ED-AED5-461E-81EA-344582B8299A}"/>
    <cellStyle name="20% - Accent5 3 3 3 2 2 4" xfId="20855" xr:uid="{2D0087BE-1A2B-46C2-8BDD-D0013564E5A7}"/>
    <cellStyle name="20% - Accent5 3 3 3 2 3" xfId="13097" xr:uid="{765BB664-91BD-4BE6-9CF3-F3814BADDBE9}"/>
    <cellStyle name="20% - Accent5 3 3 3 2 3 2" xfId="27185" xr:uid="{8849AECB-2118-47E9-ABAF-8B398B25FE2D}"/>
    <cellStyle name="20% - Accent5 3 3 3 2 3 2 2" xfId="23782" xr:uid="{AF0F956B-4E5C-40D6-9B06-C0A3F9C4FBDE}"/>
    <cellStyle name="20% - Accent5 3 3 3 2 3 3" xfId="26731" xr:uid="{B7E97F0A-09CF-402D-B780-50CB2DEB7223}"/>
    <cellStyle name="20% - Accent5 3 3 3 2 4" xfId="27182" xr:uid="{D5449BD4-C80E-43DD-8B6D-28E734359D45}"/>
    <cellStyle name="20% - Accent5 3 3 3 2 4 2" xfId="27179" xr:uid="{E97437B2-B6E7-47FB-BB2F-97F2E52F274B}"/>
    <cellStyle name="20% - Accent5 3 3 3 2 5" xfId="27144" xr:uid="{BBD57722-350C-42A3-B7C5-44CCDC67B6C8}"/>
    <cellStyle name="20% - Accent5 3 3 3 3" xfId="30641" xr:uid="{B7BABCA3-33F0-4B6E-9D8A-8702AF28165A}"/>
    <cellStyle name="20% - Accent5 3 3 3 3 2" xfId="22952" xr:uid="{EA73A657-1764-430B-9E99-EBBFD98D2090}"/>
    <cellStyle name="20% - Accent5 3 3 3 3 2 2" xfId="16075" xr:uid="{4085BD62-1DE4-4209-9B10-E52D87683CC7}"/>
    <cellStyle name="20% - Accent5 3 3 3 3 2 2 2" xfId="19528" xr:uid="{1D866364-7E01-4B28-B582-5D0CAB7FA75E}"/>
    <cellStyle name="20% - Accent5 3 3 3 3 2 3" xfId="16072" xr:uid="{61DD75A5-DB40-4E27-846D-4099073C1197}"/>
    <cellStyle name="20% - Accent5 3 3 3 3 3" xfId="16069" xr:uid="{E3B4B7BB-0BD2-4522-BC20-8D2AE64A6EE3}"/>
    <cellStyle name="20% - Accent5 3 3 3 3 3 2" xfId="27264" xr:uid="{9C70CC90-E8E2-4EB0-AB1A-DCDFBB841F97}"/>
    <cellStyle name="20% - Accent5 3 3 3 3 4" xfId="16066" xr:uid="{38A41DD8-3B8C-4C9D-A41D-04A041991D46}"/>
    <cellStyle name="20% - Accent5 3 3 3 4" xfId="19634" xr:uid="{88F3EBB8-1D9C-4AF1-931F-65C5F1B0B707}"/>
    <cellStyle name="20% - Accent5 3 3 3 4 2" xfId="18360" xr:uid="{97218571-5FB8-4785-A8CF-E2BAD93E5E4D}"/>
    <cellStyle name="20% - Accent5 3 3 3 4 2 2" xfId="18357" xr:uid="{E076FADB-BDC1-4FBD-B493-22E03D9E008D}"/>
    <cellStyle name="20% - Accent5 3 3 3 4 3" xfId="18352" xr:uid="{468DEBB6-1B25-4BB9-88C3-330ECB86AF38}"/>
    <cellStyle name="20% - Accent5 3 3 3 5" xfId="16064" xr:uid="{E48B60D6-168A-495A-BA2C-83E01943B979}"/>
    <cellStyle name="20% - Accent5 3 3 3 5 2" xfId="29023" xr:uid="{6CCD848E-F5A1-4DEA-A4F4-EC5BF6FA6845}"/>
    <cellStyle name="20% - Accent5 3 3 3 6" xfId="16062" xr:uid="{CC679E51-96BB-43F4-A60A-81E7A15498CC}"/>
    <cellStyle name="20% - Accent5 3 3 4" xfId="20689" xr:uid="{6D991FAC-CA28-4BE3-8A60-EA7AE2B530EE}"/>
    <cellStyle name="20% - Accent5 3 3 4 2" xfId="20685" xr:uid="{99C38D05-AEF2-4ED8-8FDD-7DB5A4CDA777}"/>
    <cellStyle name="20% - Accent5 3 3 4 2 2" xfId="13075" xr:uid="{BA044ED4-B9E7-458B-9F82-69EE081602F2}"/>
    <cellStyle name="20% - Accent5 3 3 4 2 2 2" xfId="27830" xr:uid="{8192F33E-208C-4DF4-9D2F-DCFBA5A7632D}"/>
    <cellStyle name="20% - Accent5 3 3 4 2 2 2 2" xfId="21283" xr:uid="{A247FA57-6F82-40B2-AF4F-D15007E2B39F}"/>
    <cellStyle name="20% - Accent5 3 3 4 2 2 3" xfId="26652" xr:uid="{1F3D93EE-ABB8-46A2-BCD8-C6FC782A16EA}"/>
    <cellStyle name="20% - Accent5 3 3 4 2 3" xfId="26940" xr:uid="{05374869-0A03-4EF8-801C-184D46DC7242}"/>
    <cellStyle name="20% - Accent5 3 3 4 2 3 2" xfId="26938" xr:uid="{D5DB555B-E0AE-4673-8C30-6C0FD02DFDE5}"/>
    <cellStyle name="20% - Accent5 3 3 4 2 4" xfId="31641" xr:uid="{C9AA2C82-DA02-47C1-8CFB-02EA3E86C2FC}"/>
    <cellStyle name="20% - Accent5 3 3 4 3" xfId="30621" xr:uid="{89FE51E7-79BD-4D01-86EF-9A788D996956}"/>
    <cellStyle name="20% - Accent5 3 3 4 3 2" xfId="16059" xr:uid="{42BB144C-ADC4-429A-880A-07614CAFC2AE}"/>
    <cellStyle name="20% - Accent5 3 3 4 3 2 2" xfId="16057" xr:uid="{9E90849D-65B0-4037-9EE8-EC2B4FD6444E}"/>
    <cellStyle name="20% - Accent5 3 3 4 3 3" xfId="16055" xr:uid="{B0CF61F2-50D8-427D-B435-75F17FD1BD73}"/>
    <cellStyle name="20% - Accent5 3 3 4 4" xfId="16053" xr:uid="{72E848F2-145D-4192-B425-EAF2050EEF7C}"/>
    <cellStyle name="20% - Accent5 3 3 4 4 2" xfId="18308" xr:uid="{966AC2D1-BC70-49C0-BEE6-7B3DE38FD425}"/>
    <cellStyle name="20% - Accent5 3 3 4 5" xfId="20684" xr:uid="{49D79CEE-5DC6-47DF-85DB-432CFA0813D0}"/>
    <cellStyle name="20% - Accent5 3 3 5" xfId="22494" xr:uid="{A3ABD69F-2E09-4D9B-B496-A233DDF6C087}"/>
    <cellStyle name="20% - Accent5 3 3 5 2" xfId="20682" xr:uid="{BEEE29E2-CA05-462B-9827-A742AED9330A}"/>
    <cellStyle name="20% - Accent5 3 3 5 2 2" xfId="26611" xr:uid="{6C529284-650A-4F6D-B366-5989233D8234}"/>
    <cellStyle name="20% - Accent5 3 3 5 2 2 2" xfId="26603" xr:uid="{D9883DA2-F54F-4994-A97B-B052621D702F}"/>
    <cellStyle name="20% - Accent5 3 3 5 2 3" xfId="26599" xr:uid="{0F565959-DE6F-48B8-A8D1-CC348C63B34D}"/>
    <cellStyle name="20% - Accent5 3 3 5 3" xfId="20677" xr:uid="{38953817-516B-4183-912A-BDDEC9C790F9}"/>
    <cellStyle name="20% - Accent5 3 3 5 3 2" xfId="22051" xr:uid="{6AC7A65F-BF39-48DF-BA16-3095DECA9E7F}"/>
    <cellStyle name="20% - Accent5 3 3 5 4" xfId="20670" xr:uid="{10127A48-8332-498D-BCED-D2F32FD5F2C7}"/>
    <cellStyle name="20% - Accent5 3 3 6" xfId="20666" xr:uid="{FB86DE64-BD99-4DAD-8F06-528F124A0C3A}"/>
    <cellStyle name="20% - Accent5 3 3 6 2" xfId="20663" xr:uid="{A150BA4C-5A4F-415C-879C-AD2FA0D15883}"/>
    <cellStyle name="20% - Accent5 3 3 6 2 2" xfId="26501" xr:uid="{9518A669-6EB0-4682-84B8-6F552B42372E}"/>
    <cellStyle name="20% - Accent5 3 3 6 3" xfId="20660" xr:uid="{2F194A68-CA7A-4458-B036-9EB947F46A39}"/>
    <cellStyle name="20% - Accent5 3 3 7" xfId="32573" xr:uid="{2E66B136-F70D-46AF-B114-AA1412CE7BD2}"/>
    <cellStyle name="20% - Accent5 3 3 7 2" xfId="7113" xr:uid="{37D787CA-D85F-472A-ADE8-1CE241DD0687}"/>
    <cellStyle name="20% - Accent5 3 3 8" xfId="24177" xr:uid="{E81B98FF-E971-427E-8A3B-428334A5A395}"/>
    <cellStyle name="20% - Accent5 3 3 9" xfId="34556" xr:uid="{B61ABCCA-944A-4723-B808-3D83D366450D}"/>
    <cellStyle name="20% - Accent5 3 4" xfId="20657" xr:uid="{FADF4AD7-CAF8-4A6F-A724-D0A2B589E162}"/>
    <cellStyle name="20% - Accent5 3 4 2" xfId="8905" xr:uid="{2FA3F0F2-25B1-4BCC-8B7E-98146558082C}"/>
    <cellStyle name="20% - Accent5 3 4 2 2" xfId="20650" xr:uid="{B71EB9CB-A04F-4D84-874D-680063277551}"/>
    <cellStyle name="20% - Accent5 3 4 2 2 2" xfId="21294" xr:uid="{591EF328-459C-4365-90C0-270BD632B6AC}"/>
    <cellStyle name="20% - Accent5 3 4 2 2 2 2" xfId="20649" xr:uid="{D791E840-32E9-4819-A27D-92836A64A73F}"/>
    <cellStyle name="20% - Accent5 3 4 2 2 2 2 2" xfId="22885" xr:uid="{FBA64C81-971E-45B4-BCF2-105BF5E8BC98}"/>
    <cellStyle name="20% - Accent5 3 4 2 2 2 2 2 2" xfId="33972" xr:uid="{D1951B6D-AE17-42A3-9431-86FC4FC6B2B2}"/>
    <cellStyle name="20% - Accent5 3 4 2 2 2 2 3" xfId="29889" xr:uid="{39614480-3A5D-436D-A9E7-79B1C070CA36}"/>
    <cellStyle name="20% - Accent5 3 4 2 2 2 3" xfId="21837" xr:uid="{6BE6342C-F67E-40F7-9E62-FEDA82A4FEFD}"/>
    <cellStyle name="20% - Accent5 3 4 2 2 2 3 2" xfId="10990" xr:uid="{625B997C-7AB1-4078-A963-5992C7F99240}"/>
    <cellStyle name="20% - Accent5 3 4 2 2 2 4" xfId="21832" xr:uid="{D788CBCF-5905-402E-887C-155FEB1838D4}"/>
    <cellStyle name="20% - Accent5 3 4 2 2 3" xfId="23488" xr:uid="{0FB484C1-4D06-42CC-8D7B-7369433CE63B}"/>
    <cellStyle name="20% - Accent5 3 4 2 2 3 2" xfId="18293" xr:uid="{D2F7EDBB-90D0-4B2B-BF6B-BF71C7AFE708}"/>
    <cellStyle name="20% - Accent5 3 4 2 2 3 2 2" xfId="21355" xr:uid="{96BB9E67-E686-4120-9118-9E555C2D33B5}"/>
    <cellStyle name="20% - Accent5 3 4 2 2 3 3" xfId="23840" xr:uid="{EF231A7F-A3DB-4F01-8731-718E9DD8F66D}"/>
    <cellStyle name="20% - Accent5 3 4 2 2 4" xfId="21282" xr:uid="{DDDAEAE4-1864-4DE4-95D2-4B52E1B947C1}"/>
    <cellStyle name="20% - Accent5 3 4 2 2 4 2" xfId="20644" xr:uid="{196ADF59-8972-40E6-8328-565DC1540456}"/>
    <cellStyle name="20% - Accent5 3 4 2 2 5" xfId="27754" xr:uid="{66DA0C22-3B44-4D44-9417-DF24AD251446}"/>
    <cellStyle name="20% - Accent5 3 4 2 3" xfId="16019" xr:uid="{2F8A207C-83E1-4BF6-8EF1-65B5ABF9214B}"/>
    <cellStyle name="20% - Accent5 3 4 2 3 2" xfId="16015" xr:uid="{B7DBACAD-3E3B-4D02-B567-BD9F5C38EA16}"/>
    <cellStyle name="20% - Accent5 3 4 2 3 2 2" xfId="16011" xr:uid="{C888175B-0F11-43EC-849A-D460221825B7}"/>
    <cellStyle name="20% - Accent5 3 4 2 3 2 2 2" xfId="21345" xr:uid="{967E64C8-4DC4-4427-9CFD-589DB078B4A6}"/>
    <cellStyle name="20% - Accent5 3 4 2 3 2 3" xfId="16008" xr:uid="{93E71C73-F922-4FD4-A91F-D01FA8E0F054}"/>
    <cellStyle name="20% - Accent5 3 4 2 3 3" xfId="16005" xr:uid="{40BE7D03-91E5-450F-B059-2086186C81E9}"/>
    <cellStyle name="20% - Accent5 3 4 2 3 3 2" xfId="20633" xr:uid="{2D6B107A-F649-424C-9A37-0F700C52BFF4}"/>
    <cellStyle name="20% - Accent5 3 4 2 3 4" xfId="16003" xr:uid="{E16B842B-58FA-43DE-A86C-173899EF606F}"/>
    <cellStyle name="20% - Accent5 3 4 2 4" xfId="16001" xr:uid="{C237337E-6E62-4B50-B8A2-07FE1CD70DFB}"/>
    <cellStyle name="20% - Accent5 3 4 2 4 2" xfId="18235" xr:uid="{FA7535C6-FDA1-461A-BFE5-124874471629}"/>
    <cellStyle name="20% - Accent5 3 4 2 4 2 2" xfId="18230" xr:uid="{E5C5C50F-0563-4BAA-A3C3-4019548DDE52}"/>
    <cellStyle name="20% - Accent5 3 4 2 4 3" xfId="18225" xr:uid="{AF08A37A-F9D8-4F8F-A4A3-193C0DF9FFD5}"/>
    <cellStyle name="20% - Accent5 3 4 2 5" xfId="15997" xr:uid="{DF5557CF-4B4F-4556-97E2-1BBC083638AA}"/>
    <cellStyle name="20% - Accent5 3 4 2 5 2" xfId="20624" xr:uid="{5079DF34-944A-4E1B-AF2D-3A9635DFE716}"/>
    <cellStyle name="20% - Accent5 3 4 2 6" xfId="15995" xr:uid="{E0A44936-0545-44FE-80FD-AF29FB75AE92}"/>
    <cellStyle name="20% - Accent5 3 4 3" xfId="8902" xr:uid="{BFB83C5E-D2C0-40E7-93CC-24A3B98D0873}"/>
    <cellStyle name="20% - Accent5 3 4 3 2" xfId="20621" xr:uid="{25D81AA1-EF19-42D7-B093-52506394A6A8}"/>
    <cellStyle name="20% - Accent5 3 4 3 2 2" xfId="13041" xr:uid="{344E0B4E-B1EE-4B0E-8F91-BB3189B9B9FF}"/>
    <cellStyle name="20% - Accent5 3 4 3 2 2 2" xfId="14942" xr:uid="{13EFCD83-B9FC-453E-9366-991684DD8175}"/>
    <cellStyle name="20% - Accent5 3 4 3 2 2 2 2" xfId="23887" xr:uid="{E8187D88-1285-4953-9B10-27270F3D2C16}"/>
    <cellStyle name="20% - Accent5 3 4 3 2 2 3" xfId="31035" xr:uid="{7CBAC6FB-720B-4816-AF93-492C82A2AB3C}"/>
    <cellStyle name="20% - Accent5 3 4 3 2 3" xfId="9503" xr:uid="{7E3CA56F-A731-4F75-9880-2802E009F3A7}"/>
    <cellStyle name="20% - Accent5 3 4 3 2 3 2" xfId="26114" xr:uid="{94C86CFE-1057-4D0C-9F0C-6A0F443986DA}"/>
    <cellStyle name="20% - Accent5 3 4 3 2 4" xfId="26111" xr:uid="{DC224332-B548-4442-84E8-E0432C426F5D}"/>
    <cellStyle name="20% - Accent5 3 4 3 3" xfId="30503" xr:uid="{6A5E3697-A5B0-4479-9A2B-761FB30A9077}"/>
    <cellStyle name="20% - Accent5 3 4 3 3 2" xfId="26102" xr:uid="{6EE81A73-6541-49D6-BBC3-CCF77E533005}"/>
    <cellStyle name="20% - Accent5 3 4 3 3 2 2" xfId="15990" xr:uid="{BD4EE33D-524D-48BA-A27D-25A37FE5D26D}"/>
    <cellStyle name="20% - Accent5 3 4 3 3 3" xfId="7875" xr:uid="{EA46B77A-1487-4A49-9633-A06A7B5D0E3B}"/>
    <cellStyle name="20% - Accent5 3 4 3 4" xfId="15988" xr:uid="{7EF384E8-7C90-46D2-B786-8F0B8CBFCE29}"/>
    <cellStyle name="20% - Accent5 3 4 3 4 2" xfId="18187" xr:uid="{4FFDBDC0-8AC4-429B-8262-DF5F64350605}"/>
    <cellStyle name="20% - Accent5 3 4 3 5" xfId="15986" xr:uid="{CB54406C-AD69-4017-9788-FE03E8C3BCFD}"/>
    <cellStyle name="20% - Accent5 3 4 4" xfId="20619" xr:uid="{3C38EDFD-B7A4-4BFA-9ECA-EBB92FDEA345}"/>
    <cellStyle name="20% - Accent5 3 4 4 2" xfId="20618" xr:uid="{B4581E60-1BE5-48CE-BF52-3440265C9FAD}"/>
    <cellStyle name="20% - Accent5 3 4 4 2 2" xfId="25957" xr:uid="{A35C7A3F-B9DE-4C8B-B1EE-2E2BB259396B}"/>
    <cellStyle name="20% - Accent5 3 4 4 2 2 2" xfId="25953" xr:uid="{E698F61E-5F25-4B10-AC0A-BAEC113DB2A7}"/>
    <cellStyle name="20% - Accent5 3 4 4 2 3" xfId="25947" xr:uid="{47043539-4BCA-4C0E-AC7B-C36E90CC0212}"/>
    <cellStyle name="20% - Accent5 3 4 4 3" xfId="15984" xr:uid="{267077EE-AF42-4EFC-9E2B-BD4483D0DF58}"/>
    <cellStyle name="20% - Accent5 3 4 4 3 2" xfId="15982" xr:uid="{1DE75FB4-7C7A-4013-8A4B-644BABD4EC6D}"/>
    <cellStyle name="20% - Accent5 3 4 4 4" xfId="15980" xr:uid="{0FBED2FE-ADA4-46CD-91EC-C0AE4CB7C32E}"/>
    <cellStyle name="20% - Accent5 3 4 5" xfId="20615" xr:uid="{F5505CFD-67FA-4A65-84A3-FD27A370401B}"/>
    <cellStyle name="20% - Accent5 3 4 5 2" xfId="20612" xr:uid="{DFCBEF3C-8FAC-4A93-ABF8-5DB482CFBF10}"/>
    <cellStyle name="20% - Accent5 3 4 5 2 2" xfId="26824" xr:uid="{334C218E-D447-493C-AAFE-4A8ACFABB638}"/>
    <cellStyle name="20% - Accent5 3 4 5 3" xfId="20609" xr:uid="{3DD92BE5-017C-452C-A0A4-991EDBB19CB1}"/>
    <cellStyle name="20% - Accent5 3 4 6" xfId="6498" xr:uid="{132E5D5B-7746-4AA9-83D2-98D1DD1823CA}"/>
    <cellStyle name="20% - Accent5 3 4 6 2" xfId="20600" xr:uid="{151FF35A-8B56-4A21-88A4-5D17D01702DA}"/>
    <cellStyle name="20% - Accent5 3 4 7" xfId="6491" xr:uid="{30091EE4-B29A-4306-83A2-1AA6472B5D91}"/>
    <cellStyle name="20% - Accent5 3 4 8" xfId="34777" xr:uid="{51DB0282-A9E5-4DA5-93E9-22B651599623}"/>
    <cellStyle name="20% - Accent5 3 5" xfId="8304" xr:uid="{3B6AC158-3739-48FB-8C0B-A99407D1ADE1}"/>
    <cellStyle name="20% - Accent5 3 5 2" xfId="20507" xr:uid="{D80FA9FC-D03D-46D5-ACE2-D563337FA99C}"/>
    <cellStyle name="20% - Accent5 3 5 2 2" xfId="11542" xr:uid="{40E45161-BFFF-4E05-824B-90CE1486F2A0}"/>
    <cellStyle name="20% - Accent5 3 5 2 2 2" xfId="22821" xr:uid="{6A93DC88-BA6D-4F34-845D-D046529F7361}"/>
    <cellStyle name="20% - Accent5 3 5 2 2 2 2" xfId="22817" xr:uid="{F50715F8-E99B-4136-8ED4-921E333025C7}"/>
    <cellStyle name="20% - Accent5 3 5 2 2 2 2 2" xfId="13214" xr:uid="{6D9BB96D-3C7F-48E9-A04C-E6E641960369}"/>
    <cellStyle name="20% - Accent5 3 5 2 2 2 3" xfId="20617" xr:uid="{3FAEA100-D802-438D-8E68-9F24DA94E039}"/>
    <cellStyle name="20% - Accent5 3 5 2 2 3" xfId="8707" xr:uid="{D8CAE2A7-F36A-4FA9-838B-C1F64139345F}"/>
    <cellStyle name="20% - Accent5 3 5 2 2 3 2" xfId="22801" xr:uid="{F2C427E1-3F53-4723-8312-C7DCBDD7996E}"/>
    <cellStyle name="20% - Accent5 3 5 2 2 4" xfId="22795" xr:uid="{48AD0B75-C2B1-42A3-A1A4-1210041AE0B5}"/>
    <cellStyle name="20% - Accent5 3 5 2 3" xfId="15952" xr:uid="{DEA24E00-7FF5-4BD3-8C22-042C66D3EE23}"/>
    <cellStyle name="20% - Accent5 3 5 2 3 2" xfId="15947" xr:uid="{64EF242F-BCCD-4331-B516-FBBD964CFED9}"/>
    <cellStyle name="20% - Accent5 3 5 2 3 2 2" xfId="22787" xr:uid="{A9D14C2E-D377-463D-9DCF-979A4820CBF2}"/>
    <cellStyle name="20% - Accent5 3 5 2 3 3" xfId="15945" xr:uid="{A25D6F7A-241E-438C-A033-5C6049784551}"/>
    <cellStyle name="20% - Accent5 3 5 2 4" xfId="15943" xr:uid="{558B19B7-F933-4882-8D85-077D9B0D4774}"/>
    <cellStyle name="20% - Accent5 3 5 2 4 2" xfId="22780" xr:uid="{13BE0946-F190-409A-80EC-D8BE664F2B21}"/>
    <cellStyle name="20% - Accent5 3 5 2 5" xfId="15941" xr:uid="{DBD000EC-CCBA-4A90-BC4D-E314BED752BA}"/>
    <cellStyle name="20% - Accent5 3 5 3" xfId="33904" xr:uid="{873B15AA-F6C6-4D0B-AC2B-5A321AA720F8}"/>
    <cellStyle name="20% - Accent5 3 5 3 2" xfId="20547" xr:uid="{546AB180-444E-44AF-8A75-50FE6A76000C}"/>
    <cellStyle name="20% - Accent5 3 5 3 2 2" xfId="32057" xr:uid="{F205DE94-3913-4962-A185-0FF61E1CD22B}"/>
    <cellStyle name="20% - Accent5 3 5 3 2 2 2" xfId="24759" xr:uid="{072E35EE-BA13-4AD7-B262-D452F9B8328A}"/>
    <cellStyle name="20% - Accent5 3 5 3 2 3" xfId="7645" xr:uid="{F6DB50FF-E8D3-48E3-A733-8F08E1AD6B6D}"/>
    <cellStyle name="20% - Accent5 3 5 3 3" xfId="15934" xr:uid="{C8990525-E90E-42EE-8528-BFADB1423EC3}"/>
    <cellStyle name="20% - Accent5 3 5 3 3 2" xfId="15932" xr:uid="{99E70453-0FA6-4422-A1A2-CD6792B6DB19}"/>
    <cellStyle name="20% - Accent5 3 5 3 4" xfId="15928" xr:uid="{A1C48A48-8F82-4C23-A46F-527D35057AF2}"/>
    <cellStyle name="20% - Accent5 3 5 4" xfId="33869" xr:uid="{2ECF8AC4-CCBB-4D77-B21F-B70EB630C7B0}"/>
    <cellStyle name="20% - Accent5 3 5 4 2" xfId="18575" xr:uid="{BE02E1D7-39B6-4226-9AF5-3FEC9CFD1613}"/>
    <cellStyle name="20% - Accent5 3 5 4 2 2" xfId="25509" xr:uid="{99D2A80C-AB5E-4E12-A072-7E245CD49B90}"/>
    <cellStyle name="20% - Accent5 3 5 4 3" xfId="15924" xr:uid="{3649A4B4-1CEA-4C9E-81B2-57F869012996}"/>
    <cellStyle name="20% - Accent5 3 5 5" xfId="33957" xr:uid="{406B0C8A-79A8-4568-B9FC-C41101D1F2C7}"/>
    <cellStyle name="20% - Accent5 3 5 5 2" xfId="20583" xr:uid="{95104419-41D3-411B-BFFC-5C6B6590AEE8}"/>
    <cellStyle name="20% - Accent5 3 5 6" xfId="6478" xr:uid="{71CB19B3-CBB7-447F-A77C-6808CE343B69}"/>
    <cellStyle name="20% - Accent5 3 5 7" xfId="34971" xr:uid="{56C4EA23-C439-428B-AA9F-A6CE2AA6AD42}"/>
    <cellStyle name="20% - Accent5 3 6" xfId="33431" xr:uid="{309E25CD-4DF8-4A43-9454-226CD60DA73F}"/>
    <cellStyle name="20% - Accent5 3 6 2" xfId="21538" xr:uid="{640CA5EB-0AC4-452E-A0A9-BC8A6D0497E4}"/>
    <cellStyle name="20% - Accent5 3 6 2 2" xfId="20534" xr:uid="{DE8E8A83-B6C3-47DD-88EB-AC813EACD62B}"/>
    <cellStyle name="20% - Accent5 3 6 2 2 2" xfId="22728" xr:uid="{3D2B3E63-4161-43E7-A377-386B166079A1}"/>
    <cellStyle name="20% - Accent5 3 6 2 2 2 2" xfId="22725" xr:uid="{F6E6446F-7189-473A-A09E-3C08E36DBD51}"/>
    <cellStyle name="20% - Accent5 3 6 2 2 3" xfId="7691" xr:uid="{D0FC22A0-04A3-4727-BB6E-BF5DEF49587F}"/>
    <cellStyle name="20% - Accent5 3 6 2 3" xfId="15904" xr:uid="{1BCADA58-9DE8-4F89-AAA5-38B9FDBF63BD}"/>
    <cellStyle name="20% - Accent5 3 6 2 3 2" xfId="16783" xr:uid="{CC788DC8-8154-4C8C-9DFD-69F1AC2D4967}"/>
    <cellStyle name="20% - Accent5 3 6 2 4" xfId="15900" xr:uid="{38E999ED-5D1A-4B25-815A-E57C67CD52A2}"/>
    <cellStyle name="20% - Accent5 3 6 3" xfId="21535" xr:uid="{7B9D330F-0817-4C53-879A-B1C5BB2AE09C}"/>
    <cellStyle name="20% - Accent5 3 6 3 2" xfId="19298" xr:uid="{B5CCF6D3-BC7E-4435-9D34-CDDC3F51930A}"/>
    <cellStyle name="20% - Accent5 3 6 3 2 2" xfId="26103" xr:uid="{1AF1BE4D-87F2-44B1-A4AD-5282AEF19E6B}"/>
    <cellStyle name="20% - Accent5 3 6 3 3" xfId="15895" xr:uid="{5FC90107-A0D5-42EF-999B-DA0BAE5B9266}"/>
    <cellStyle name="20% - Accent5 3 6 4" xfId="29636" xr:uid="{483C0F5B-2F94-438D-812B-44002D2FFC42}"/>
    <cellStyle name="20% - Accent5 3 6 4 2" xfId="20575" xr:uid="{A007FBB4-DF6E-4946-8115-B95BC93BB6C1}"/>
    <cellStyle name="20% - Accent5 3 6 5" xfId="33951" xr:uid="{2068D79D-D6BE-4FFA-954E-C0861D63C6DB}"/>
    <cellStyle name="20% - Accent5 3 6 6" xfId="35176" xr:uid="{DB018044-3FBC-4E38-8757-49FC9B592B38}"/>
    <cellStyle name="20% - Accent5 3 7" xfId="32030" xr:uid="{03FF785F-2E0E-4E2C-B27E-E489B34E73EE}"/>
    <cellStyle name="20% - Accent5 3 7 2" xfId="29462" xr:uid="{D423C989-0377-42F8-BEC2-2B519E4F058C}"/>
    <cellStyle name="20% - Accent5 3 7 2 2" xfId="20573" xr:uid="{86B04E30-DBDE-4E72-A8CB-63743E14BEB3}"/>
    <cellStyle name="20% - Accent5 3 7 2 2 2" xfId="22659" xr:uid="{6F98D04D-8C5D-4B9E-A124-881E5CDE1775}"/>
    <cellStyle name="20% - Accent5 3 7 2 3" xfId="15887" xr:uid="{9E5E8838-F0BD-4D09-A492-2C5A6C034FD6}"/>
    <cellStyle name="20% - Accent5 3 7 3" xfId="29624" xr:uid="{38F28E33-5C1E-426B-92B5-2ACB5099DCE2}"/>
    <cellStyle name="20% - Accent5 3 7 3 2" xfId="27366" xr:uid="{DAFBDACD-79C6-410F-9884-304726D45DA5}"/>
    <cellStyle name="20% - Accent5 3 7 4" xfId="20013" xr:uid="{17064526-7227-4C72-9DBE-B7DB070C6065}"/>
    <cellStyle name="20% - Accent5 3 7 5" xfId="35405" xr:uid="{DF47580C-4E7B-4294-B194-5E52CF9FADB8}"/>
    <cellStyle name="20% - Accent5 3 8" xfId="29851" xr:uid="{E69FF6FA-E7BA-4898-8F13-7E79AF72C831}"/>
    <cellStyle name="20% - Accent5 3 8 2" xfId="31684" xr:uid="{1340A7B5-9CDB-4836-B4E7-D04C20F0F817}"/>
    <cellStyle name="20% - Accent5 3 8 2 2" xfId="29342" xr:uid="{38AD09AA-3336-4CE7-A950-A81DFD60D247}"/>
    <cellStyle name="20% - Accent5 3 8 3" xfId="33771" xr:uid="{5433A787-9762-4A34-83AE-4C6154DDB521}"/>
    <cellStyle name="20% - Accent5 3 8 4" xfId="36277" xr:uid="{FDFA49E8-E017-4729-AFE3-166A800F916D}"/>
    <cellStyle name="20% - Accent5 3 9" xfId="31194" xr:uid="{CDE2FB66-BED1-468E-BC64-CC1FB3320F55}"/>
    <cellStyle name="20% - Accent5 3 9 2" xfId="6634" xr:uid="{2A5E7562-FFDF-4868-8CC0-476A4C267D37}"/>
    <cellStyle name="20% - Accent5 3 9 3" xfId="36563" xr:uid="{971EEB5E-45DA-45A9-84E1-E92516B6A1B3}"/>
    <cellStyle name="20% - Accent5 30" xfId="35902" xr:uid="{660F461F-191C-45F7-8878-F930E4C12A17}"/>
    <cellStyle name="20% - Accent5 30 2" xfId="37074" xr:uid="{368F9AA9-CB9A-4300-9786-A0E8CAD41D43}"/>
    <cellStyle name="20% - Accent5 30 3" xfId="37969" xr:uid="{DC3887A5-A59E-4793-B30C-B344C775CC5C}"/>
    <cellStyle name="20% - Accent5 31" xfId="35922" xr:uid="{CCD12891-9D4F-4DAD-8D06-4806C6FFC7BD}"/>
    <cellStyle name="20% - Accent5 31 2" xfId="37093" xr:uid="{998771BF-DCF0-42D0-8B97-AA42C3EA9A98}"/>
    <cellStyle name="20% - Accent5 31 3" xfId="37989" xr:uid="{A9238A04-44AE-4229-81A0-16013E2A9C3D}"/>
    <cellStyle name="20% - Accent5 32" xfId="35942" xr:uid="{C0B4C330-51B0-4E01-B21B-F796646B4399}"/>
    <cellStyle name="20% - Accent5 32 2" xfId="37112" xr:uid="{6D5F2A0E-1568-4D75-B20F-CD9255A4646C}"/>
    <cellStyle name="20% - Accent5 32 3" xfId="38009" xr:uid="{A86DE208-2AC7-4FEA-9F41-87541A5BA831}"/>
    <cellStyle name="20% - Accent5 33" xfId="35962" xr:uid="{73CA7B0F-5126-48F7-9389-DEE14BB83225}"/>
    <cellStyle name="20% - Accent5 33 2" xfId="37131" xr:uid="{1B3F5103-92CA-40E2-9069-75BEF741D32F}"/>
    <cellStyle name="20% - Accent5 33 3" xfId="38029" xr:uid="{43CE42A2-6735-4556-B63B-91CF09544DBE}"/>
    <cellStyle name="20% - Accent5 34" xfId="35982" xr:uid="{832EF3EF-2B93-4289-8126-FF0F143F7458}"/>
    <cellStyle name="20% - Accent5 34 2" xfId="37151" xr:uid="{CAEE6CEA-5D93-412F-9A40-DB8FEAD2A3F4}"/>
    <cellStyle name="20% - Accent5 34 3" xfId="38049" xr:uid="{B9290A62-86EC-4B1B-BFC9-712C9866760B}"/>
    <cellStyle name="20% - Accent5 35" xfId="36002" xr:uid="{BE27FB4C-300D-47FD-832E-C7D3C0769567}"/>
    <cellStyle name="20% - Accent5 35 2" xfId="37171" xr:uid="{ED3CE333-6F20-433A-BC98-FBFC13876FCF}"/>
    <cellStyle name="20% - Accent5 35 3" xfId="38069" xr:uid="{00577198-A52A-47C5-A992-E2BDBC334E83}"/>
    <cellStyle name="20% - Accent5 36" xfId="36022" xr:uid="{38CD9E95-A228-4F97-8DB5-DD38A236CD70}"/>
    <cellStyle name="20% - Accent5 36 2" xfId="37191" xr:uid="{25D2CE68-699D-488E-8099-420FB6BF451A}"/>
    <cellStyle name="20% - Accent5 36 3" xfId="38089" xr:uid="{5BDB1150-CC24-4650-A6C7-1D28EAB3D62B}"/>
    <cellStyle name="20% - Accent5 37" xfId="36042" xr:uid="{1365057A-4C2D-44BE-BD70-3F89706C8DB4}"/>
    <cellStyle name="20% - Accent5 37 2" xfId="37211" xr:uid="{73810113-F77F-4E1D-9644-022C0E57359E}"/>
    <cellStyle name="20% - Accent5 37 3" xfId="38109" xr:uid="{6A76E60A-81A8-4C49-B11E-F085DB31E079}"/>
    <cellStyle name="20% - Accent5 38" xfId="36062" xr:uid="{A9403FA4-13EB-4EAB-BB71-2CC26AA1156B}"/>
    <cellStyle name="20% - Accent5 38 2" xfId="37231" xr:uid="{A9F1658C-B7E8-440A-B0EB-930CBF190E9A}"/>
    <cellStyle name="20% - Accent5 38 3" xfId="38129" xr:uid="{8893BBFF-0529-4997-8712-3D72A8AF1942}"/>
    <cellStyle name="20% - Accent5 39" xfId="36082" xr:uid="{363687BE-0383-47EB-9E90-EBE447D474BE}"/>
    <cellStyle name="20% - Accent5 39 2" xfId="37251" xr:uid="{50C0B6E8-C395-42EC-895B-4C51625D4F86}"/>
    <cellStyle name="20% - Accent5 39 3" xfId="38149" xr:uid="{C41B62A8-11B1-40C3-B15C-823863A5DEBE}"/>
    <cellStyle name="20% - Accent5 4" xfId="128" xr:uid="{29976D1D-E00A-4581-AC37-DD8742FA2AB4}"/>
    <cellStyle name="20% - Accent5 4 10" xfId="34482" xr:uid="{C00A01F1-13C6-47D8-B827-6159E4CCC3A7}"/>
    <cellStyle name="20% - Accent5 4 11" xfId="19212" xr:uid="{7F3FE969-3BAA-4A5D-BEF8-35A37BB8AE94}"/>
    <cellStyle name="20% - Accent5 4 2" xfId="251" xr:uid="{46E0CEDF-56BD-451F-A805-5516B60CBFAB}"/>
    <cellStyle name="20% - Accent5 4 2 10" xfId="20570" xr:uid="{F6E56B46-6682-4F31-A5A2-FCD30796843E}"/>
    <cellStyle name="20% - Accent5 4 2 2" xfId="20566" xr:uid="{837262B2-B7F6-4CE1-91D3-1C69BC3D0B30}"/>
    <cellStyle name="20% - Accent5 4 2 2 2" xfId="20565" xr:uid="{0ED4DAE6-CFA1-412B-901A-C5D202FCABC1}"/>
    <cellStyle name="20% - Accent5 4 2 2 2 2" xfId="22476" xr:uid="{4DBD13A9-5C2B-4D9A-ACB0-C90DC0866342}"/>
    <cellStyle name="20% - Accent5 4 2 2 2 2 2" xfId="20635" xr:uid="{BA12508F-C3E9-4B2C-A94C-33288FF3092C}"/>
    <cellStyle name="20% - Accent5 4 2 2 2 2 2 2" xfId="27669" xr:uid="{6DC96F63-6116-40A3-B5E7-1C93F630751A}"/>
    <cellStyle name="20% - Accent5 4 2 2 2 2 2 2 2" xfId="20564" xr:uid="{4E09D68D-9CB5-4E34-B786-6A4FB04C4E73}"/>
    <cellStyle name="20% - Accent5 4 2 2 2 2 2 2 2 2" xfId="16922" xr:uid="{0BB3C197-E02A-4EB4-BA73-2DFC0E073B0B}"/>
    <cellStyle name="20% - Accent5 4 2 2 2 2 2 2 3" xfId="28416" xr:uid="{FC37C552-BB68-4649-AFA3-33681515E05B}"/>
    <cellStyle name="20% - Accent5 4 2 2 2 2 2 3" xfId="26145" xr:uid="{8203B496-FCD4-4784-B5DA-A88F277DFFA3}"/>
    <cellStyle name="20% - Accent5 4 2 2 2 2 2 3 2" xfId="19394" xr:uid="{FCE9732F-0935-4C83-B813-1BA59163063F}"/>
    <cellStyle name="20% - Accent5 4 2 2 2 2 2 4" xfId="20554" xr:uid="{B612732C-7E20-4CD2-8DF5-91DC1BA6527C}"/>
    <cellStyle name="20% - Accent5 4 2 2 2 2 3" xfId="22465" xr:uid="{190E7417-E7AE-4EE5-8B32-AB8A5C98EDD8}"/>
    <cellStyle name="20% - Accent5 4 2 2 2 2 3 2" xfId="20552" xr:uid="{434412AF-1B45-4417-BA08-71AB4193B6AB}"/>
    <cellStyle name="20% - Accent5 4 2 2 2 2 3 2 2" xfId="20550" xr:uid="{5FA9C364-5914-4CAB-A4D9-A1B173A3291D}"/>
    <cellStyle name="20% - Accent5 4 2 2 2 2 3 3" xfId="20549" xr:uid="{F7BA3F27-1F13-48D6-B1F9-2A2C5DE8185F}"/>
    <cellStyle name="20% - Accent5 4 2 2 2 2 4" xfId="18581" xr:uid="{F8DAD118-2DBE-406C-97AF-1FAAEDC6A9AD}"/>
    <cellStyle name="20% - Accent5 4 2 2 2 2 4 2" xfId="20548" xr:uid="{3EF4EDFE-2A9A-4AFF-B086-EF9E45B5C41A}"/>
    <cellStyle name="20% - Accent5 4 2 2 2 2 5" xfId="20544" xr:uid="{8C752686-16BC-4514-AB91-682C1D9B23B3}"/>
    <cellStyle name="20% - Accent5 4 2 2 2 3" xfId="34356" xr:uid="{855491C9-C779-4AAA-B14D-EDEF43196686}"/>
    <cellStyle name="20% - Accent5 4 2 2 2 3 2" xfId="22461" xr:uid="{C5CB4215-D09F-4C1E-A52F-D2F7BBCCDB1E}"/>
    <cellStyle name="20% - Accent5 4 2 2 2 3 2 2" xfId="20540" xr:uid="{9A903C5E-9EBC-46EC-84AB-B4DE457311EF}"/>
    <cellStyle name="20% - Accent5 4 2 2 2 3 2 2 2" xfId="13505" xr:uid="{35C878C4-E729-448B-8950-689BD8ECEEAD}"/>
    <cellStyle name="20% - Accent5 4 2 2 2 3 2 3" xfId="20536" xr:uid="{4918CC71-152A-429D-A826-898DE58FE2DC}"/>
    <cellStyle name="20% - Accent5 4 2 2 2 3 3" xfId="29652" xr:uid="{DA5C4D61-84D4-4C43-8201-97DFD9EB125C}"/>
    <cellStyle name="20% - Accent5 4 2 2 2 3 3 2" xfId="20535" xr:uid="{4EA26E82-7367-4FCD-9921-F17BAABE47EA}"/>
    <cellStyle name="20% - Accent5 4 2 2 2 3 4" xfId="18570" xr:uid="{74895F25-3699-4487-84FB-83BA8C37EEF2}"/>
    <cellStyle name="20% - Accent5 4 2 2 2 4" xfId="23359" xr:uid="{BD292375-68D0-4AE6-8755-8F631AEFC799}"/>
    <cellStyle name="20% - Accent5 4 2 2 2 4 2" xfId="22458" xr:uid="{F035269D-1136-4D37-BC06-B34B6D4DF023}"/>
    <cellStyle name="20% - Accent5 4 2 2 2 4 2 2" xfId="20533" xr:uid="{5AF5E457-DF81-40DE-B5D2-6684A7294A40}"/>
    <cellStyle name="20% - Accent5 4 2 2 2 4 3" xfId="20531" xr:uid="{58326D94-DC96-41E2-8C68-61CEC8630517}"/>
    <cellStyle name="20% - Accent5 4 2 2 2 5" xfId="22455" xr:uid="{B7CD7557-4419-43AE-B30C-18A21DF10C49}"/>
    <cellStyle name="20% - Accent5 4 2 2 2 5 2" xfId="31548" xr:uid="{7381F255-3010-4B31-89B8-3157F09A2514}"/>
    <cellStyle name="20% - Accent5 4 2 2 2 6" xfId="23826" xr:uid="{775EC705-80D2-4F57-A1C5-29A999B8671C}"/>
    <cellStyle name="20% - Accent5 4 2 2 3" xfId="32125" xr:uid="{968E1EC0-A86F-4475-ADAC-DFF83BC18F20}"/>
    <cellStyle name="20% - Accent5 4 2 2 3 2" xfId="25552" xr:uid="{BCC20362-E529-4BA7-B905-118A09FF12B9}"/>
    <cellStyle name="20% - Accent5 4 2 2 3 2 2" xfId="22320" xr:uid="{C747E24B-0A96-498F-BB9F-73589CA05057}"/>
    <cellStyle name="20% - Accent5 4 2 2 3 2 2 2" xfId="23584" xr:uid="{0D57BDE3-4CFA-4C3F-906F-44E91C299619}"/>
    <cellStyle name="20% - Accent5 4 2 2 3 2 2 2 2" xfId="20530" xr:uid="{05FCA0C2-AF2F-4FD9-9334-87A583F95418}"/>
    <cellStyle name="20% - Accent5 4 2 2 3 2 2 3" xfId="23574" xr:uid="{4D37716B-AFA9-4F58-B906-E1EE557624D8}"/>
    <cellStyle name="20% - Accent5 4 2 2 3 2 3" xfId="22306" xr:uid="{A8FCEF2F-0BCD-477F-8E51-543A96783A85}"/>
    <cellStyle name="20% - Accent5 4 2 2 3 2 3 2" xfId="20396" xr:uid="{2CF4F275-7447-4C28-AEE8-0C9916F5C380}"/>
    <cellStyle name="20% - Accent5 4 2 2 3 2 4" xfId="18564" xr:uid="{75BC29F9-172F-411B-B273-1033B2D832CE}"/>
    <cellStyle name="20% - Accent5 4 2 2 3 3" xfId="25543" xr:uid="{2C6B8559-7B34-4B21-9193-9054F455C029}"/>
    <cellStyle name="20% - Accent5 4 2 2 3 3 2" xfId="22298" xr:uid="{742F9F0E-158D-4F7E-ACFD-80F72CE59E85}"/>
    <cellStyle name="20% - Accent5 4 2 2 3 3 2 2" xfId="23522" xr:uid="{6752EC85-78F5-4422-B3DA-C67685C6C86D}"/>
    <cellStyle name="20% - Accent5 4 2 2 3 3 3" xfId="20529" xr:uid="{42D676F3-9850-46E4-871E-F555140A6274}"/>
    <cellStyle name="20% - Accent5 4 2 2 3 4" xfId="22291" xr:uid="{17AD7F2D-ED5E-4438-AA43-FB3C105D730C}"/>
    <cellStyle name="20% - Accent5 4 2 2 3 4 2" xfId="20519" xr:uid="{DE9266C8-1E60-4842-B93A-E6417AA9A0E1}"/>
    <cellStyle name="20% - Accent5 4 2 2 3 5" xfId="20636" xr:uid="{21632198-3106-4438-BE95-A17CFBA9340F}"/>
    <cellStyle name="20% - Accent5 4 2 2 4" xfId="33182" xr:uid="{AA7BAF05-5CA3-4A78-8110-3EC6A2CFFAF5}"/>
    <cellStyle name="20% - Accent5 4 2 2 4 2" xfId="25526" xr:uid="{34F50C2D-EFA1-4A58-BB6D-5080DA0F9BB0}"/>
    <cellStyle name="20% - Accent5 4 2 2 4 2 2" xfId="22243" xr:uid="{248B59A2-8D1B-4ABB-988E-A362F4BB51DA}"/>
    <cellStyle name="20% - Accent5 4 2 2 4 2 2 2" xfId="23368" xr:uid="{226F8402-B235-4930-9B2E-84BEE23B6EF1}"/>
    <cellStyle name="20% - Accent5 4 2 2 4 2 3" xfId="20511" xr:uid="{B9200F1F-C71D-41FB-A38F-CB96A96577DF}"/>
    <cellStyle name="20% - Accent5 4 2 2 4 3" xfId="10354" xr:uid="{695C450C-EF72-483C-9B46-A4CD379704F8}"/>
    <cellStyle name="20% - Accent5 4 2 2 4 3 2" xfId="20505" xr:uid="{B2836611-D79B-411B-8D40-C135C2A443BA}"/>
    <cellStyle name="20% - Accent5 4 2 2 4 4" xfId="20501" xr:uid="{89D6C5A4-E3BC-445B-88D4-E33077563F57}"/>
    <cellStyle name="20% - Accent5 4 2 2 5" xfId="22037" xr:uid="{8808DCE3-BF24-4CC6-8647-48F5D9AD7E9E}"/>
    <cellStyle name="20% - Accent5 4 2 2 5 2" xfId="10350" xr:uid="{048D3268-1E6E-4F75-8AB1-F3DA8D876111}"/>
    <cellStyle name="20% - Accent5 4 2 2 5 2 2" xfId="20500" xr:uid="{1138BA71-0EC2-4C06-8F05-7AB6D12A58A7}"/>
    <cellStyle name="20% - Accent5 4 2 2 5 3" xfId="20497" xr:uid="{068A5888-51DD-442D-867F-403066CE58E7}"/>
    <cellStyle name="20% - Accent5 4 2 2 6" xfId="20488" xr:uid="{C21016AD-41DE-4C3C-B7FC-CC7A04C2D129}"/>
    <cellStyle name="20% - Accent5 4 2 2 6 2" xfId="20484" xr:uid="{48F00FCA-868A-4950-B803-4649DC5686CB}"/>
    <cellStyle name="20% - Accent5 4 2 2 7" xfId="20480" xr:uid="{C93E225F-5B6C-47F4-B60D-A03127F1A962}"/>
    <cellStyle name="20% - Accent5 4 2 3" xfId="20477" xr:uid="{7C3FA420-3B53-4B05-9F51-8A1CCF866BE1}"/>
    <cellStyle name="20% - Accent5 4 2 3 2" xfId="24867" xr:uid="{A7A6387A-BDC1-438C-BD6D-1AB1F586410A}"/>
    <cellStyle name="20% - Accent5 4 2 3 2 2" xfId="22706" xr:uid="{920E04B2-43D4-4399-9606-CE38513D379B}"/>
    <cellStyle name="20% - Accent5 4 2 3 2 2 2" xfId="34073" xr:uid="{133EAFE2-27E4-4736-B9A3-0A4550D25AFA}"/>
    <cellStyle name="20% - Accent5 4 2 3 2 2 2 2" xfId="20254" xr:uid="{4207A73D-391E-42DA-A9F8-8C76483B757D}"/>
    <cellStyle name="20% - Accent5 4 2 3 2 2 2 2 2" xfId="34015" xr:uid="{BD8D03D7-38BA-47B1-BBC1-B3E688E7F200}"/>
    <cellStyle name="20% - Accent5 4 2 3 2 2 2 3" xfId="29934" xr:uid="{5CA33300-2A1F-40A9-B86C-18043D406D28}"/>
    <cellStyle name="20% - Accent5 4 2 3 2 2 3" xfId="34121" xr:uid="{D5BB9F34-5A53-4B7D-BB72-0836D7D68E12}"/>
    <cellStyle name="20% - Accent5 4 2 3 2 2 3 2" xfId="18133" xr:uid="{0ADA4E4D-79DD-43D2-B47A-57DAAC50EF4D}"/>
    <cellStyle name="20% - Accent5 4 2 3 2 2 4" xfId="18544" xr:uid="{E8071023-17C5-491B-87DC-131EE0E5F432}"/>
    <cellStyle name="20% - Accent5 4 2 3 2 3" xfId="22724" xr:uid="{A399B96D-F870-4989-A4FE-25A9537B0D4B}"/>
    <cellStyle name="20% - Accent5 4 2 3 2 3 2" xfId="34066" xr:uid="{3A228DB5-3F0B-4C90-8A4B-26B2FF570E7C}"/>
    <cellStyle name="20% - Accent5 4 2 3 2 3 2 2" xfId="32085" xr:uid="{25AD07D0-C35F-420B-A37C-A7B1F3C6CE6F}"/>
    <cellStyle name="20% - Accent5 4 2 3 2 3 3" xfId="34227" xr:uid="{5996037C-0DF6-4407-8752-F1298899742A}"/>
    <cellStyle name="20% - Accent5 4 2 3 2 4" xfId="31563" xr:uid="{7D96639B-ADB7-47C0-B36B-30CE67BB0B68}"/>
    <cellStyle name="20% - Accent5 4 2 3 2 4 2" xfId="34055" xr:uid="{9E3FB946-148C-4999-BAF8-52A8DDB3AA10}"/>
    <cellStyle name="20% - Accent5 4 2 3 2 5" xfId="28963" xr:uid="{4893C737-6A3D-426F-90C8-C48DA0860A3D}"/>
    <cellStyle name="20% - Accent5 4 2 3 3" xfId="24860" xr:uid="{EAD0EABA-87FF-481B-85D5-B544F1C437D6}"/>
    <cellStyle name="20% - Accent5 4 2 3 3 2" xfId="32096" xr:uid="{C35D686E-12BB-4326-B137-B98880AF0900}"/>
    <cellStyle name="20% - Accent5 4 2 3 3 2 2" xfId="28344" xr:uid="{472C65E9-3879-431F-8F51-844D41199C90}"/>
    <cellStyle name="20% - Accent5 4 2 3 3 2 2 2" xfId="20375" xr:uid="{2AF63C31-B562-4811-B160-1F25E99A0AA9}"/>
    <cellStyle name="20% - Accent5 4 2 3 3 2 3" xfId="28327" xr:uid="{068B7813-9A0F-480B-84B1-C89ADC19E64B}"/>
    <cellStyle name="20% - Accent5 4 2 3 3 3" xfId="29113" xr:uid="{B26DF45D-5EE4-4CE1-B3FB-C69CD58F0156}"/>
    <cellStyle name="20% - Accent5 4 2 3 3 3 2" xfId="25843" xr:uid="{7DD65ADD-0D66-41B1-BDB3-2A303DD49A78}"/>
    <cellStyle name="20% - Accent5 4 2 3 3 4" xfId="33721" xr:uid="{D11EC93B-296F-44A3-85D9-95C6C367E4DC}"/>
    <cellStyle name="20% - Accent5 4 2 3 4" xfId="32089" xr:uid="{CCACDB5C-CFFA-4845-9164-68211ADA6D2B}"/>
    <cellStyle name="20% - Accent5 4 2 3 4 2" xfId="10340" xr:uid="{6B17FF69-64D3-4130-B30C-01D97CD23D30}"/>
    <cellStyle name="20% - Accent5 4 2 3 4 2 2" xfId="28302" xr:uid="{27933F84-3A3C-4637-9D68-8C631EE06327}"/>
    <cellStyle name="20% - Accent5 4 2 3 4 3" xfId="31275" xr:uid="{DC25D2E5-29CC-430E-BADF-DAC0FE88FEDF}"/>
    <cellStyle name="20% - Accent5 4 2 3 5" xfId="27267" xr:uid="{8DB307E4-8EB1-4D47-A686-8A6DB7B1694A}"/>
    <cellStyle name="20% - Accent5 4 2 3 5 2" xfId="28817" xr:uid="{424DDA97-E779-4CAD-A0F0-A2FB07C112B5}"/>
    <cellStyle name="20% - Accent5 4 2 3 6" xfId="25927" xr:uid="{22B9A31E-00B7-4BE3-87FF-A08227093B51}"/>
    <cellStyle name="20% - Accent5 4 2 4" xfId="20475" xr:uid="{086EC2E7-EE83-4B90-8E86-F4CCFFFAEE0E}"/>
    <cellStyle name="20% - Accent5 4 2 4 2" xfId="25411" xr:uid="{66F17E42-C0B4-4EE2-A43E-05D469C357C5}"/>
    <cellStyle name="20% - Accent5 4 2 4 2 2" xfId="15614" xr:uid="{684E9EDD-DFFB-480A-9598-E4035C54F599}"/>
    <cellStyle name="20% - Accent5 4 2 4 2 2 2" xfId="15612" xr:uid="{D204D66A-58A8-4F45-9AFB-90AE2FD7DB04}"/>
    <cellStyle name="20% - Accent5 4 2 4 2 2 2 2" xfId="33741" xr:uid="{85937690-9166-4B95-BAF8-3665A914E5AA}"/>
    <cellStyle name="20% - Accent5 4 2 4 2 2 3" xfId="25630" xr:uid="{83E9B01A-990B-4BE9-855D-D02FE5D299C4}"/>
    <cellStyle name="20% - Accent5 4 2 4 2 3" xfId="27087" xr:uid="{DE45088B-FDD4-4888-B845-2783FD1AA97F}"/>
    <cellStyle name="20% - Accent5 4 2 4 2 3 2" xfId="15608" xr:uid="{42498C27-CB84-45BA-926B-AD5030F4F35E}"/>
    <cellStyle name="20% - Accent5 4 2 4 2 4" xfId="19972" xr:uid="{8CE0AF40-D8F0-4063-AD97-8C0D7CE4E1B9}"/>
    <cellStyle name="20% - Accent5 4 2 4 3" xfId="24835" xr:uid="{7B3FE7D5-710F-434A-8FF1-58DBCA985729}"/>
    <cellStyle name="20% - Accent5 4 2 4 3 2" xfId="15595" xr:uid="{9E5B5CB9-DF9E-46DF-A8E1-32AC34AE06DA}"/>
    <cellStyle name="20% - Accent5 4 2 4 3 2 2" xfId="15592" xr:uid="{0DDE7ED0-1AAC-442D-ABA9-DE3E9ADAA1AB}"/>
    <cellStyle name="20% - Accent5 4 2 4 3 3" xfId="27084" xr:uid="{54F86FC2-4179-4F3D-AA88-5C73C56C5A0C}"/>
    <cellStyle name="20% - Accent5 4 2 4 4" xfId="23528" xr:uid="{5ABAD50B-B110-4F01-81AA-7CE861F50ED4}"/>
    <cellStyle name="20% - Accent5 4 2 4 4 2" xfId="28514" xr:uid="{3D35C116-1005-4A39-A608-26DA5820B33A}"/>
    <cellStyle name="20% - Accent5 4 2 4 5" xfId="31110" xr:uid="{FDFD86F8-EE67-43B2-B16C-94250DAAA125}"/>
    <cellStyle name="20% - Accent5 4 2 5" xfId="22432" xr:uid="{C8334006-5571-48F3-87F2-1629641328A6}"/>
    <cellStyle name="20% - Accent5 4 2 5 2" xfId="24106" xr:uid="{FE6D8EF8-45C7-485B-84F2-EF05A9EA4293}"/>
    <cellStyle name="20% - Accent5 4 2 5 2 2" xfId="13703" xr:uid="{EBE7B699-1D56-4551-B072-EF4A35B12206}"/>
    <cellStyle name="20% - Accent5 4 2 5 2 2 2" xfId="13699" xr:uid="{88BA1A2B-19E4-495D-B4AE-9F3D43451772}"/>
    <cellStyle name="20% - Accent5 4 2 5 2 3" xfId="25470" xr:uid="{9D4FF09C-8120-4E70-8B64-B4361513F7E3}"/>
    <cellStyle name="20% - Accent5 4 2 5 3" xfId="27235" xr:uid="{D0020FEE-3C17-4244-86F7-8ACD370BE8CB}"/>
    <cellStyle name="20% - Accent5 4 2 5 3 2" xfId="13688" xr:uid="{46EF150C-B9DD-4F96-974F-542AFF660392}"/>
    <cellStyle name="20% - Accent5 4 2 5 4" xfId="31098" xr:uid="{E72E1432-8490-4F58-BD6B-594510927C56}"/>
    <cellStyle name="20% - Accent5 4 2 6" xfId="21361" xr:uid="{6476299D-A643-4CF3-ACF9-9D832AEBF3A5}"/>
    <cellStyle name="20% - Accent5 4 2 6 2" xfId="27232" xr:uid="{849C772D-3B67-4F0A-9818-52019B56036F}"/>
    <cellStyle name="20% - Accent5 4 2 6 2 2" xfId="24742" xr:uid="{5E5FD4EA-1722-4F3B-9DCB-E5EB035DB9E6}"/>
    <cellStyle name="20% - Accent5 4 2 6 3" xfId="8525" xr:uid="{F031601D-4AC9-46BF-B3D3-1815A3ED1298}"/>
    <cellStyle name="20% - Accent5 4 2 7" xfId="19848" xr:uid="{8884FE72-92DA-4CDA-AC6C-854EE15412F7}"/>
    <cellStyle name="20% - Accent5 4 2 7 2" xfId="8985" xr:uid="{91C40236-540E-4D3F-83E4-4C835BAB9BFB}"/>
    <cellStyle name="20% - Accent5 4 2 8" xfId="19833" xr:uid="{FD4B0599-B614-47B1-8876-D91FD41C9854}"/>
    <cellStyle name="20% - Accent5 4 2 9" xfId="34570" xr:uid="{73968D97-B303-4257-842F-A4D7DE110C23}"/>
    <cellStyle name="20% - Accent5 4 3" xfId="20461" xr:uid="{E24842A1-7968-4B6C-A25B-F1A619EFF608}"/>
    <cellStyle name="20% - Accent5 4 3 2" xfId="20453" xr:uid="{2D0B3F7A-A8F3-438B-9FA1-07A1EBDBF866}"/>
    <cellStyle name="20% - Accent5 4 3 2 2" xfId="20452" xr:uid="{F293BD08-A19C-4D54-8A93-DB0BAD99F613}"/>
    <cellStyle name="20% - Accent5 4 3 2 2 2" xfId="33248" xr:uid="{38559CD6-C241-4ECA-925E-96907B4EF78A}"/>
    <cellStyle name="20% - Accent5 4 3 2 2 2 2" xfId="32272" xr:uid="{28EA0874-24AA-4DF2-992C-1E660D249920}"/>
    <cellStyle name="20% - Accent5 4 3 2 2 2 2 2" xfId="31431" xr:uid="{51AD300C-2E87-404F-B971-433728EB2034}"/>
    <cellStyle name="20% - Accent5 4 3 2 2 2 2 2 2" xfId="8483" xr:uid="{9894E811-7829-4CCB-825C-50A66FC52F6E}"/>
    <cellStyle name="20% - Accent5 4 3 2 2 2 2 3" xfId="31416" xr:uid="{17CB44F1-3517-4D0B-8399-D57570DD1AC4}"/>
    <cellStyle name="20% - Accent5 4 3 2 2 2 3" xfId="33666" xr:uid="{08208E36-D3E9-4491-9B4C-68D0CD1F70B1}"/>
    <cellStyle name="20% - Accent5 4 3 2 2 2 3 2" xfId="26662" xr:uid="{B477CD7B-D079-4952-A3A5-5D35D759E136}"/>
    <cellStyle name="20% - Accent5 4 3 2 2 2 4" xfId="18123" xr:uid="{805A84BA-32EC-40C7-A107-159B4EF8EAC4}"/>
    <cellStyle name="20% - Accent5 4 3 2 2 3" xfId="33239" xr:uid="{8DC5CAA1-164D-4ACB-872F-BD5A76C4A9F1}"/>
    <cellStyle name="20% - Accent5 4 3 2 2 3 2" xfId="34070" xr:uid="{132AC68F-AA8A-4A4F-BF95-2F11216EF215}"/>
    <cellStyle name="20% - Accent5 4 3 2 2 3 2 2" xfId="20464" xr:uid="{B2AC2DA2-A672-4C35-B147-63EA42D3F357}"/>
    <cellStyle name="20% - Accent5 4 3 2 2 3 3" xfId="20451" xr:uid="{D4771D28-C715-4498-96EF-3D17955DC774}"/>
    <cellStyle name="20% - Accent5 4 3 2 2 4" xfId="32429" xr:uid="{60551845-DA34-4A0D-A4A1-3D35B9DCAFC6}"/>
    <cellStyle name="20% - Accent5 4 3 2 2 4 2" xfId="20450" xr:uid="{8A18338F-C79F-429D-AF04-9D01E681276A}"/>
    <cellStyle name="20% - Accent5 4 3 2 2 5" xfId="26108" xr:uid="{0D5FB81B-FA13-49C9-85A5-655C1BF3EF3B}"/>
    <cellStyle name="20% - Accent5 4 3 2 3" xfId="31100" xr:uid="{C44A7E73-2F56-4F0B-B87D-9176ECA67CAA}"/>
    <cellStyle name="20% - Accent5 4 3 2 3 2" xfId="15861" xr:uid="{6CE55541-AFD6-4AF6-AAA2-75BCF16E1AD7}"/>
    <cellStyle name="20% - Accent5 4 3 2 3 2 2" xfId="28256" xr:uid="{E3BCB046-FEB1-4FAD-834A-D525C035EF34}"/>
    <cellStyle name="20% - Accent5 4 3 2 3 2 2 2" xfId="31222" xr:uid="{7FF2FCD9-5FA2-4D9F-A7F2-32BAE61729F8}"/>
    <cellStyle name="20% - Accent5 4 3 2 3 2 3" xfId="20448" xr:uid="{8287C6F6-82B7-4069-942B-0C3FD63F39B7}"/>
    <cellStyle name="20% - Accent5 4 3 2 3 3" xfId="32129" xr:uid="{FB4FE75C-DC86-46BC-B89E-6945A70CBF0E}"/>
    <cellStyle name="20% - Accent5 4 3 2 3 3 2" xfId="20440" xr:uid="{B4BDB7D0-910B-4125-985F-EE204CE57213}"/>
    <cellStyle name="20% - Accent5 4 3 2 3 4" xfId="20432" xr:uid="{17D2212F-5154-4026-8FA4-A9AC34B7B2EA}"/>
    <cellStyle name="20% - Accent5 4 3 2 4" xfId="15859" xr:uid="{97E30ABE-438C-472D-859D-B757E7B93A1E}"/>
    <cellStyle name="20% - Accent5 4 3 2 4 2" xfId="10301" xr:uid="{57CF63D8-761F-4203-9BEB-6E5B7EDFB608}"/>
    <cellStyle name="20% - Accent5 4 3 2 4 2 2" xfId="20749" xr:uid="{077B501C-543C-47A9-AD2B-C377FBFDCD77}"/>
    <cellStyle name="20% - Accent5 4 3 2 4 3" xfId="20430" xr:uid="{F8E00CA4-DDB8-4C9B-BAF1-FCF1346C0DB5}"/>
    <cellStyle name="20% - Accent5 4 3 2 5" xfId="20428" xr:uid="{712A2EA6-B266-4405-B21A-2E571AEFC553}"/>
    <cellStyle name="20% - Accent5 4 3 2 5 2" xfId="15857" xr:uid="{C0A9285D-08DD-45F4-9545-50CD283E5D44}"/>
    <cellStyle name="20% - Accent5 4 3 2 6" xfId="20423" xr:uid="{E4DFBCFA-ABA4-44E5-A1C1-A3DBDA1749D2}"/>
    <cellStyle name="20% - Accent5 4 3 3" xfId="20418" xr:uid="{66489E9F-B52F-4183-B540-5FBEF610817C}"/>
    <cellStyle name="20% - Accent5 4 3 3 2" xfId="24800" xr:uid="{75EF10C2-0508-428A-86C5-17ACB469FE71}"/>
    <cellStyle name="20% - Accent5 4 3 3 2 2" xfId="12984" xr:uid="{F71E1CF6-6AA0-4224-BDDD-FBC73EF1BB48}"/>
    <cellStyle name="20% - Accent5 4 3 3 2 2 2" xfId="33586" xr:uid="{8EE3E586-96FA-4201-9AA7-B8F422FD5DCF}"/>
    <cellStyle name="20% - Accent5 4 3 3 2 2 2 2" xfId="13380" xr:uid="{EA6E18E6-A576-496A-A38A-EB6C1C7D0B39}"/>
    <cellStyle name="20% - Accent5 4 3 3 2 2 3" xfId="5827" xr:uid="{99861361-6312-4DC2-98C5-8A46A0710182}"/>
    <cellStyle name="20% - Accent5 4 3 3 2 3" xfId="28983" xr:uid="{EF861A27-C39F-48C3-BCFF-EE90F1FDE7BF}"/>
    <cellStyle name="20% - Accent5 4 3 3 2 3 2" xfId="34190" xr:uid="{E2AC5D65-74AD-4D99-A4EB-33AEFE6AA6D3}"/>
    <cellStyle name="20% - Accent5 4 3 3 2 4" xfId="33435" xr:uid="{33AAE54E-CF1B-4190-8191-35F9832E0E7B}"/>
    <cellStyle name="20% - Accent5 4 3 3 3" xfId="24794" xr:uid="{DEF1F429-7EF3-4718-A394-977A9FEFBFA2}"/>
    <cellStyle name="20% - Accent5 4 3 3 3 2" xfId="15852" xr:uid="{9AA38048-5299-4025-9E1D-3381206DC905}"/>
    <cellStyle name="20% - Accent5 4 3 3 3 2 2" xfId="23737" xr:uid="{638EE95F-B7D6-4676-960D-4BF784D32C02}"/>
    <cellStyle name="20% - Accent5 4 3 3 3 3" xfId="33345" xr:uid="{00D559BE-0831-4E76-B5FF-0A6C8CA6A180}"/>
    <cellStyle name="20% - Accent5 4 3 3 4" xfId="15848" xr:uid="{6C5B538C-C6C9-41A9-A7A7-558BE830E69F}"/>
    <cellStyle name="20% - Accent5 4 3 3 4 2" xfId="15846" xr:uid="{8A3915AB-FF81-4892-94E5-FA1F89A48E33}"/>
    <cellStyle name="20% - Accent5 4 3 3 5" xfId="25914" xr:uid="{4ED952A1-28F9-498F-A913-6100D2DBF6FB}"/>
    <cellStyle name="20% - Accent5 4 3 4" xfId="22665" xr:uid="{574C48C4-F56E-4B06-B254-EC3E15E40E70}"/>
    <cellStyle name="20% - Accent5 4 3 4 2" xfId="24784" xr:uid="{B6AB223E-CEE4-43FC-AC6F-1170A206BE81}"/>
    <cellStyle name="20% - Accent5 4 3 4 2 2" xfId="22758" xr:uid="{022AFE13-A4E2-4F3E-99C6-17BE246683A5}"/>
    <cellStyle name="20% - Accent5 4 3 4 2 2 2" xfId="33536" xr:uid="{26319DB4-E610-41AE-9E84-95960F377FAB}"/>
    <cellStyle name="20% - Accent5 4 3 4 2 3" xfId="33533" xr:uid="{D9F26739-2184-42F6-A739-E861F7D1FDBA}"/>
    <cellStyle name="20% - Accent5 4 3 4 3" xfId="15842" xr:uid="{E4D270C3-CBBF-451F-8E86-48CA51D1BF92}"/>
    <cellStyle name="20% - Accent5 4 3 4 3 2" xfId="15840" xr:uid="{999B5E55-A5D9-47FD-B573-58E0DB916F2C}"/>
    <cellStyle name="20% - Accent5 4 3 4 4" xfId="15838" xr:uid="{A4BA1E63-5FBD-4F1C-A0BF-64243D8A3C29}"/>
    <cellStyle name="20% - Accent5 4 3 5" xfId="21359" xr:uid="{AC517FF0-983D-4BC0-8872-76F1205CE770}"/>
    <cellStyle name="20% - Accent5 4 3 5 2" xfId="27183" xr:uid="{AC6D9B9F-D8FD-450E-9134-C0D81D8C10C2}"/>
    <cellStyle name="20% - Accent5 4 3 5 2 2" xfId="31845" xr:uid="{25A6FC65-0BC0-4759-8AB0-C56C97A093DD}"/>
    <cellStyle name="20% - Accent5 4 3 5 3" xfId="26724" xr:uid="{F7CB2E8C-5372-4D7A-A69C-7A8D4EAFC0EB}"/>
    <cellStyle name="20% - Accent5 4 3 6" xfId="20417" xr:uid="{81665453-F936-4D51-A269-8CF582D04CD7}"/>
    <cellStyle name="20% - Accent5 4 3 6 2" xfId="33476" xr:uid="{459EB12E-4575-461F-B5F8-DD8C241B52CA}"/>
    <cellStyle name="20% - Accent5 4 3 7" xfId="19812" xr:uid="{427987C3-82A8-4B15-A827-541EEDE2D1A5}"/>
    <cellStyle name="20% - Accent5 4 3 8" xfId="34790" xr:uid="{AC1128BA-DE36-4E6F-86A4-74BC0CF44D74}"/>
    <cellStyle name="20% - Accent5 4 4" xfId="15793" xr:uid="{24192904-DEF5-446E-B36D-C1413B9872C5}"/>
    <cellStyle name="20% - Accent5 4 4 2" xfId="8893" xr:uid="{0A5C6996-009E-4F3D-8BD2-25B04369D59C}"/>
    <cellStyle name="20% - Accent5 4 4 2 2" xfId="20409" xr:uid="{4CFB24BF-70F2-4616-9E5E-54AB91168E04}"/>
    <cellStyle name="20% - Accent5 4 4 2 2 2" xfId="26006" xr:uid="{348855BA-CF9D-411E-8CEF-45537040D2AA}"/>
    <cellStyle name="20% - Accent5 4 4 2 2 2 2" xfId="19662" xr:uid="{D7F168E0-3E63-40AE-B332-AECFC3A35E79}"/>
    <cellStyle name="20% - Accent5 4 4 2 2 2 2 2" xfId="19256" xr:uid="{9A6CC40A-6EAB-480B-BBA8-BD5BEB262BE0}"/>
    <cellStyle name="20% - Accent5 4 4 2 2 2 3" xfId="19642" xr:uid="{C83379FD-999A-4F7D-BDF1-37ED69DE2E86}"/>
    <cellStyle name="20% - Accent5 4 4 2 2 3" xfId="26001" xr:uid="{A0A7507C-8718-4F98-A32B-05683521B97B}"/>
    <cellStyle name="20% - Accent5 4 4 2 2 3 2" xfId="28644" xr:uid="{429C131A-74FD-4E58-8640-E6FEE24CCF30}"/>
    <cellStyle name="20% - Accent5 4 4 2 2 4" xfId="28641" xr:uid="{4BAA1C1E-0B99-4AE6-910B-D6CE9254BD23}"/>
    <cellStyle name="20% - Accent5 4 4 2 3" xfId="15822" xr:uid="{73294D7A-A9F5-404B-A838-BA4ED8CC5FCE}"/>
    <cellStyle name="20% - Accent5 4 4 2 3 2" xfId="15818" xr:uid="{0F38106F-16FC-4F96-B96B-9F73D303F1B2}"/>
    <cellStyle name="20% - Accent5 4 4 2 3 2 2" xfId="19533" xr:uid="{6C195BB0-C0FD-4B44-B60F-4A2FAA1E4DEB}"/>
    <cellStyle name="20% - Accent5 4 4 2 3 3" xfId="28505" xr:uid="{82411F35-5EF2-42B2-9106-BF1ACBE28C07}"/>
    <cellStyle name="20% - Accent5 4 4 2 4" xfId="9913" xr:uid="{94C95086-96F9-4032-8159-37656DCAFF9D}"/>
    <cellStyle name="20% - Accent5 4 4 2 4 2" xfId="15815" xr:uid="{E1D0DCB2-F1EB-4962-ADF9-653DC4B7D8B0}"/>
    <cellStyle name="20% - Accent5 4 4 2 5" xfId="20408" xr:uid="{97F35D96-52F5-4B23-9538-A5F487FED6E9}"/>
    <cellStyle name="20% - Accent5 4 4 3" xfId="20404" xr:uid="{F4462B3C-13BC-4CEB-BB3A-84B6F5480D9A}"/>
    <cellStyle name="20% - Accent5 4 4 3 2" xfId="24765" xr:uid="{4DF9061C-85F0-4260-A668-1DCA6A0AC012}"/>
    <cellStyle name="20% - Accent5 4 4 3 2 2" xfId="25974" xr:uid="{44C3F047-4096-406D-BA86-FCDF79C4D91B}"/>
    <cellStyle name="20% - Accent5 4 4 3 2 2 2" xfId="19291" xr:uid="{5E858B0C-523E-4281-96AB-B4EE0883DE3E}"/>
    <cellStyle name="20% - Accent5 4 4 3 2 3" xfId="33031" xr:uid="{EC6D8D55-BA0B-4A9E-B84F-010EDBBF90C6}"/>
    <cellStyle name="20% - Accent5 4 4 3 3" xfId="15810" xr:uid="{B1958944-6257-4AF5-A4E0-CD45E233FDC5}"/>
    <cellStyle name="20% - Accent5 4 4 3 3 2" xfId="15806" xr:uid="{7253D02A-168F-4BED-83FE-CB3FFE8F4E3F}"/>
    <cellStyle name="20% - Accent5 4 4 3 4" xfId="15804" xr:uid="{6E7F7E5A-296A-4AAF-8682-E59C166C9451}"/>
    <cellStyle name="20% - Accent5 4 4 4" xfId="20402" xr:uid="{20975D66-BC57-42CA-95BA-7E759E4E2BFB}"/>
    <cellStyle name="20% - Accent5 4 4 4 2" xfId="27157" xr:uid="{B9C48664-6B7A-47B5-BB48-60D54268A501}"/>
    <cellStyle name="20% - Accent5 4 4 4 2 2" xfId="32689" xr:uid="{D629110B-DCB2-421D-9EC8-4523B1D8EA0E}"/>
    <cellStyle name="20% - Accent5 4 4 4 3" xfId="15800" xr:uid="{D0DF9D2A-B5B8-4000-AE8E-4CDA941563AE}"/>
    <cellStyle name="20% - Accent5 4 4 5" xfId="20400" xr:uid="{3CF2423B-B0A5-4E4A-A621-A9BAC5C78B71}"/>
    <cellStyle name="20% - Accent5 4 4 5 2" xfId="31465" xr:uid="{43BA3D15-6B9D-4610-B92D-50FF3BE9CED9}"/>
    <cellStyle name="20% - Accent5 4 4 6" xfId="6460" xr:uid="{4AB42FA5-9951-44CF-BD2F-9657623267F3}"/>
    <cellStyle name="20% - Accent5 4 4 7" xfId="34990" xr:uid="{978F2CE2-7902-4C55-986A-CC4999433C69}"/>
    <cellStyle name="20% - Accent5 4 5" xfId="22692" xr:uid="{091E1E4F-E63D-4821-8BEE-82A62CB028C4}"/>
    <cellStyle name="20% - Accent5 4 5 2" xfId="34103" xr:uid="{54591083-CA60-4A9C-977C-34CCF0DC37D8}"/>
    <cellStyle name="20% - Accent5 4 5 2 2" xfId="20397" xr:uid="{FE61B38A-BBBB-42F5-9DB0-FF1053975642}"/>
    <cellStyle name="20% - Accent5 4 5 2 2 2" xfId="19137" xr:uid="{A066D2B4-6A7C-4EC8-A395-B4DFB397AD7A}"/>
    <cellStyle name="20% - Accent5 4 5 2 2 2 2" xfId="18588" xr:uid="{5AF65D2C-C4FA-4EF6-8CB2-24110D0CE426}"/>
    <cellStyle name="20% - Accent5 4 5 2 2 3" xfId="25935" xr:uid="{C13202D2-6093-4C18-A9C1-D866D5EA0885}"/>
    <cellStyle name="20% - Accent5 4 5 2 3" xfId="15783" xr:uid="{8EA81725-1296-4564-9E68-4B1CE409D600}"/>
    <cellStyle name="20% - Accent5 4 5 2 3 2" xfId="15780" xr:uid="{FA88CB0C-BCB6-4D00-9AA6-64E43C182E0C}"/>
    <cellStyle name="20% - Accent5 4 5 2 4" xfId="15778" xr:uid="{765EADD8-E5BA-4075-A5AC-4D5A52086172}"/>
    <cellStyle name="20% - Accent5 4 5 3" xfId="30555" xr:uid="{CE02DB0D-7EAF-468D-AFAE-1CF973859DF6}"/>
    <cellStyle name="20% - Accent5 4 5 3 2" xfId="24227" xr:uid="{1B8511BF-A9FA-4AC3-95FF-60899C499423}"/>
    <cellStyle name="20% - Accent5 4 5 3 2 2" xfId="24337" xr:uid="{7EDBF455-98A7-444B-B4E8-AE9C5E901D9E}"/>
    <cellStyle name="20% - Accent5 4 5 3 3" xfId="31013" xr:uid="{28E790CD-B4BE-44AA-8737-3643F9A47E3A}"/>
    <cellStyle name="20% - Accent5 4 5 4" xfId="33624" xr:uid="{7E1E3D5B-EB47-4709-A090-9EBB39F4281E}"/>
    <cellStyle name="20% - Accent5 4 5 4 2" xfId="30851" xr:uid="{E13D568A-4817-45EE-859B-F60646E43A1E}"/>
    <cellStyle name="20% - Accent5 4 5 5" xfId="33762" xr:uid="{26C1FE04-FD45-4423-A5EA-BE8CED4DD1D1}"/>
    <cellStyle name="20% - Accent5 4 5 6" xfId="35195" xr:uid="{7698FDD6-4E3E-4EA9-9C9F-BE9683658830}"/>
    <cellStyle name="20% - Accent5 4 6" xfId="34150" xr:uid="{C2792798-2973-431C-AC65-4AB9E6791234}"/>
    <cellStyle name="20% - Accent5 4 6 2" xfId="21529" xr:uid="{B42065B5-2187-4256-B1E3-7E7C263015A7}"/>
    <cellStyle name="20% - Accent5 4 6 2 2" xfId="20393" xr:uid="{CF6AE40A-60F1-473C-9CD5-E3A5404D2032}"/>
    <cellStyle name="20% - Accent5 4 6 2 2 2" xfId="32501" xr:uid="{33F19BFB-4E32-46D9-AB49-FCD76B71FF69}"/>
    <cellStyle name="20% - Accent5 4 6 2 3" xfId="15760" xr:uid="{463AC390-E304-485E-B275-870D123CD4BD}"/>
    <cellStyle name="20% - Accent5 4 6 3" xfId="29619" xr:uid="{23E0F0C2-388E-4853-9002-E0739C638B15}"/>
    <cellStyle name="20% - Accent5 4 6 3 2" xfId="32909" xr:uid="{4D8F2184-AB35-417F-B2A9-9DFFF3594969}"/>
    <cellStyle name="20% - Accent5 4 6 4" xfId="34005" xr:uid="{7782264D-AF35-4E67-8329-C6D788968DBF}"/>
    <cellStyle name="20% - Accent5 4 6 5" xfId="35424" xr:uid="{7EB8EC58-FB52-4D8D-AC58-BF3F37C41762}"/>
    <cellStyle name="20% - Accent5 4 7" xfId="31910" xr:uid="{4E19ADD7-266C-4A4F-8433-7E947DC310FF}"/>
    <cellStyle name="20% - Accent5 4 7 2" xfId="32359" xr:uid="{B060B11E-B900-4E34-9AB0-D3E20BC99333}"/>
    <cellStyle name="20% - Accent5 4 7 2 2" xfId="20390" xr:uid="{39D1A745-7309-47B7-8511-4A240C4CA073}"/>
    <cellStyle name="20% - Accent5 4 7 3" xfId="32349" xr:uid="{FAA12A53-130A-4373-AA76-9404062F9238}"/>
    <cellStyle name="20% - Accent5 4 7 4" xfId="36296" xr:uid="{DD8CDF5F-DF44-4184-AE03-E3A699A06B1F}"/>
    <cellStyle name="20% - Accent5 4 8" xfId="31901" xr:uid="{E9D27D6A-6D5F-4104-B70D-08B34E79DF9F}"/>
    <cellStyle name="20% - Accent5 4 8 2" xfId="31357" xr:uid="{3181664E-1D47-4F14-ADEE-01F26C4E3078}"/>
    <cellStyle name="20% - Accent5 4 8 3" xfId="36582" xr:uid="{354062BD-C508-4D17-9199-F1A2BEAB75F6}"/>
    <cellStyle name="20% - Accent5 4 9" xfId="24123" xr:uid="{2A0790AE-B351-4DA9-8D74-32734568A5B3}"/>
    <cellStyle name="20% - Accent5 4 9 2" xfId="37467" xr:uid="{10CA764D-89B9-499F-94AB-56D5344F8EC5}"/>
    <cellStyle name="20% - Accent5 40" xfId="36102" xr:uid="{53AF4C82-BE1F-4DE3-9C14-9561A38A6417}"/>
    <cellStyle name="20% - Accent5 40 2" xfId="37271" xr:uid="{C589FF85-AAAC-420B-A4E9-EF66D016C4FE}"/>
    <cellStyle name="20% - Accent5 40 3" xfId="38169" xr:uid="{9850C695-E8B4-49DF-A4F7-36105888A465}"/>
    <cellStyle name="20% - Accent5 41" xfId="36122" xr:uid="{015BFC67-1217-4BB8-A05E-2E151B237CB2}"/>
    <cellStyle name="20% - Accent5 41 2" xfId="37291" xr:uid="{1E94F76E-1DEC-4DDE-B47B-01D47611A9B6}"/>
    <cellStyle name="20% - Accent5 41 3" xfId="38189" xr:uid="{91E1136D-8275-43A8-8331-45E3E62B4A98}"/>
    <cellStyle name="20% - Accent5 42" xfId="36142" xr:uid="{407FB290-3B57-4E53-97F3-194AC05779D7}"/>
    <cellStyle name="20% - Accent5 42 2" xfId="37311" xr:uid="{7FE79886-7ACC-4A0D-8DAF-A43E3B0465A8}"/>
    <cellStyle name="20% - Accent5 42 3" xfId="38209" xr:uid="{0CF57195-1D3C-4F30-8D67-A98C70265C0E}"/>
    <cellStyle name="20% - Accent5 43" xfId="36162" xr:uid="{20A523C5-7498-4352-822E-E2EB872CCB8B}"/>
    <cellStyle name="20% - Accent5 43 2" xfId="37331" xr:uid="{9BC501F0-B0C9-46E9-A8A3-542C26758BB2}"/>
    <cellStyle name="20% - Accent5 43 3" xfId="38229" xr:uid="{616EDF99-7291-4575-BF48-F2274311DEBF}"/>
    <cellStyle name="20% - Accent5 44" xfId="36182" xr:uid="{47E80F10-E69F-4ED0-87EB-EFBA0D3C35D5}"/>
    <cellStyle name="20% - Accent5 44 2" xfId="37351" xr:uid="{7594ACE5-9081-4FA9-BE92-8DDD6C616805}"/>
    <cellStyle name="20% - Accent5 44 3" xfId="38249" xr:uid="{EAD6F2D0-442F-42E4-9525-C15833DE4861}"/>
    <cellStyle name="20% - Accent5 45" xfId="36202" xr:uid="{4DD63170-F808-47CD-BB85-3DF0DA84586A}"/>
    <cellStyle name="20% - Accent5 45 2" xfId="37371" xr:uid="{B5D327F9-D512-44F3-8803-F301DC2CE670}"/>
    <cellStyle name="20% - Accent5 45 3" xfId="38269" xr:uid="{4DE952DA-E2E4-4CE9-B87A-0E40F98DC8A2}"/>
    <cellStyle name="20% - Accent5 46" xfId="36222" xr:uid="{7A98FEE3-716D-4DFB-AA37-AF206D473E54}"/>
    <cellStyle name="20% - Accent5 46 2" xfId="37389" xr:uid="{38724673-2E91-44C1-8093-A9EA31F2961E}"/>
    <cellStyle name="20% - Accent5 46 3" xfId="38289" xr:uid="{62956056-9C81-4D18-85E0-3EBE870506A9}"/>
    <cellStyle name="20% - Accent5 47" xfId="36523" xr:uid="{5DEC7712-7A05-4852-BE1B-6C72C21D1370}"/>
    <cellStyle name="20% - Accent5 48" xfId="37408" xr:uid="{1C074F3F-E2A8-4192-9958-FF99C2481722}"/>
    <cellStyle name="20% - Accent5 5" xfId="271" xr:uid="{B01DE993-F64C-4D34-8D2D-8E07E5E4AF04}"/>
    <cellStyle name="20% - Accent5 5 10" xfId="19208" xr:uid="{B1224397-F276-4CC7-B5A4-8349828DB1F8}"/>
    <cellStyle name="20% - Accent5 5 2" xfId="20388" xr:uid="{56E59352-A31C-401A-872A-78D344F47E43}"/>
    <cellStyle name="20% - Accent5 5 2 2" xfId="24100" xr:uid="{9AF69A2A-8D05-41BD-9100-1F57635B1ED9}"/>
    <cellStyle name="20% - Accent5 5 2 2 2" xfId="20384" xr:uid="{32BEB29D-2B2B-4380-8636-10D07996D65C}"/>
    <cellStyle name="20% - Accent5 5 2 2 2 2" xfId="10164" xr:uid="{D1B72D21-0F71-4B53-BDF4-1C8ECA1C282C}"/>
    <cellStyle name="20% - Accent5 5 2 2 2 2 2" xfId="20382" xr:uid="{DC86E3CF-D35C-49CB-B8DB-682F1747FC17}"/>
    <cellStyle name="20% - Accent5 5 2 2 2 2 2 2" xfId="20380" xr:uid="{98BB8540-EE43-4FCD-97EA-C6EF4CD12518}"/>
    <cellStyle name="20% - Accent5 5 2 2 2 2 2 2 2" xfId="20374" xr:uid="{222C3AE2-3AB0-478A-A459-F6F14E98085A}"/>
    <cellStyle name="20% - Accent5 5 2 2 2 2 2 3" xfId="20372" xr:uid="{D187A5DC-F7CE-4E18-AF40-5676F792F06A}"/>
    <cellStyle name="20% - Accent5 5 2 2 2 2 3" xfId="20365" xr:uid="{EAB25A5E-DC39-4318-BA8E-AF78F0341EBB}"/>
    <cellStyle name="20% - Accent5 5 2 2 2 2 3 2" xfId="12796" xr:uid="{6D6A8D76-B2EB-4DE1-8A57-C02EA3B5889E}"/>
    <cellStyle name="20% - Accent5 5 2 2 2 2 4" xfId="18335" xr:uid="{357F679A-E74D-4A37-9AC9-EBE3456F30B2}"/>
    <cellStyle name="20% - Accent5 5 2 2 2 3" xfId="23283" xr:uid="{064A213D-33C7-4EBC-A591-5E285DA4D3C8}"/>
    <cellStyle name="20% - Accent5 5 2 2 2 3 2" xfId="20361" xr:uid="{FFCB44B3-AF4C-46B4-A5E7-A21496D029BB}"/>
    <cellStyle name="20% - Accent5 5 2 2 2 3 2 2" xfId="20360" xr:uid="{1E24D9EB-D1C5-481D-A2EE-3FF4AE8796A5}"/>
    <cellStyle name="20% - Accent5 5 2 2 2 3 3" xfId="20356" xr:uid="{78FC96F1-777D-47BD-8B6B-6C18F956945B}"/>
    <cellStyle name="20% - Accent5 5 2 2 2 4" xfId="6022" xr:uid="{F2F61156-5F1C-4B69-A4AE-F19D33B4A978}"/>
    <cellStyle name="20% - Accent5 5 2 2 2 4 2" xfId="20355" xr:uid="{BEE31CFF-D586-497C-843E-C183664F55D7}"/>
    <cellStyle name="20% - Accent5 5 2 2 2 5" xfId="20104" xr:uid="{217FAC09-877E-4FFE-A958-F33CDC866391}"/>
    <cellStyle name="20% - Accent5 5 2 2 3" xfId="34384" xr:uid="{772D8AA6-E654-4AFC-8899-3EFE925A7C6F}"/>
    <cellStyle name="20% - Accent5 5 2 2 3 2" xfId="25234" xr:uid="{4D877611-3AB5-4EF5-9C3A-A8914351D6FB}"/>
    <cellStyle name="20% - Accent5 5 2 2 3 2 2" xfId="17368" xr:uid="{71B9421A-0E29-4225-B51E-6047164F112D}"/>
    <cellStyle name="20% - Accent5 5 2 2 3 2 2 2" xfId="20996" xr:uid="{5368BB3C-5158-4059-94ED-9FFA1B64AD22}"/>
    <cellStyle name="20% - Accent5 5 2 2 3 2 3" xfId="20349" xr:uid="{850A9FF0-A386-44A2-901E-72BB46ECC6D3}"/>
    <cellStyle name="20% - Accent5 5 2 2 3 3" xfId="20345" xr:uid="{0313EDCB-5E76-49E9-8C25-14793A95ACEC}"/>
    <cellStyle name="20% - Accent5 5 2 2 3 3 2" xfId="20344" xr:uid="{11FC020D-E735-4553-AF50-3D534974DDD3}"/>
    <cellStyle name="20% - Accent5 5 2 2 3 4" xfId="20338" xr:uid="{7EB902E6-C816-44E0-9F6C-4AF7EACA6BD7}"/>
    <cellStyle name="20% - Accent5 5 2 2 4" xfId="32064" xr:uid="{A8CD6981-E831-41B5-B427-327EBD1EDF38}"/>
    <cellStyle name="20% - Accent5 5 2 2 4 2" xfId="17170" xr:uid="{A0D7345C-E0AA-4D85-A4D9-90E6A5396855}"/>
    <cellStyle name="20% - Accent5 5 2 2 4 2 2" xfId="28083" xr:uid="{FA5C77F6-C2FD-4015-A59F-E5EA2A100A6A}"/>
    <cellStyle name="20% - Accent5 5 2 2 4 3" xfId="20337" xr:uid="{A9893256-2259-4271-AAD9-6569B4064A93}"/>
    <cellStyle name="20% - Accent5 5 2 2 5" xfId="20333" xr:uid="{8327726A-A6A4-4D99-9E73-F4C51FABF791}"/>
    <cellStyle name="20% - Accent5 5 2 2 5 2" xfId="20330" xr:uid="{AD3A47EF-9AAA-4371-A13E-1DF5470C2AB7}"/>
    <cellStyle name="20% - Accent5 5 2 2 6" xfId="20322" xr:uid="{2864EF72-226B-447E-A16B-1335B7F79112}"/>
    <cellStyle name="20% - Accent5 5 2 3" xfId="20319" xr:uid="{3FC3ED3A-AA0E-4273-B024-B3B5990BD51D}"/>
    <cellStyle name="20% - Accent5 5 2 3 2" xfId="24622" xr:uid="{B89283A1-319C-4302-9B6D-B030B85FBE1A}"/>
    <cellStyle name="20% - Accent5 5 2 3 2 2" xfId="27951" xr:uid="{03089C7C-AB29-459B-8078-49165B3745D3}"/>
    <cellStyle name="20% - Accent5 5 2 3 2 2 2" xfId="15441" xr:uid="{04DECD12-F19E-4ADB-A9EE-DE5CD5352A98}"/>
    <cellStyle name="20% - Accent5 5 2 3 2 2 2 2" xfId="31186" xr:uid="{FD640125-279C-4F26-A859-2408A2B3CD7C}"/>
    <cellStyle name="20% - Accent5 5 2 3 2 2 3" xfId="32597" xr:uid="{8759D6A1-5083-46D4-9282-A68DE3901E3B}"/>
    <cellStyle name="20% - Accent5 5 2 3 2 3" xfId="24981" xr:uid="{2ECA8C3B-9011-48C9-AE4C-01827135C498}"/>
    <cellStyle name="20% - Accent5 5 2 3 2 3 2" xfId="32592" xr:uid="{EA0CFCAD-6B3E-4F93-807E-C5BA0B4084DB}"/>
    <cellStyle name="20% - Accent5 5 2 3 2 4" xfId="32587" xr:uid="{5BA0A2B9-47BF-4EE8-9CBE-27939343BD3C}"/>
    <cellStyle name="20% - Accent5 5 2 3 3" xfId="32051" xr:uid="{81059A45-8913-4426-AA7F-244A6EAA2200}"/>
    <cellStyle name="20% - Accent5 5 2 3 3 2" xfId="25080" xr:uid="{B8B19A4D-89C5-4BD9-9028-D5EB82648A86}"/>
    <cellStyle name="20% - Accent5 5 2 3 3 2 2" xfId="28045" xr:uid="{B2327E7A-D167-4BCB-BB36-C6F8FC067DE1}"/>
    <cellStyle name="20% - Accent5 5 2 3 3 3" xfId="31807" xr:uid="{030C7566-9542-417F-9BD9-17E2718E110D}"/>
    <cellStyle name="20% - Accent5 5 2 3 4" xfId="31064" xr:uid="{C3C6B49F-F28F-4591-ABAA-A0D97C3D2753}"/>
    <cellStyle name="20% - Accent5 5 2 3 4 2" xfId="28805" xr:uid="{1C5BDE76-BC57-4A5D-9DD7-A5319A50F03B}"/>
    <cellStyle name="20% - Accent5 5 2 3 5" xfId="25889" xr:uid="{24632098-81CC-4CD8-A2BE-6E639C5F65E1}"/>
    <cellStyle name="20% - Accent5 5 2 4" xfId="20318" xr:uid="{ED8766C8-FA8B-4241-99CB-53996AEA888F}"/>
    <cellStyle name="20% - Accent5 5 2 4 2" xfId="24600" xr:uid="{0FA378A2-1B42-40A6-9B46-7126A996EC65}"/>
    <cellStyle name="20% - Accent5 5 2 4 2 2" xfId="30810" xr:uid="{5FC09E8D-B7C8-4192-B881-C43C354C22EB}"/>
    <cellStyle name="20% - Accent5 5 2 4 2 2 2" xfId="31369" xr:uid="{BBBCD3B2-997F-4D89-9F06-7CEE49E44142}"/>
    <cellStyle name="20% - Accent5 5 2 4 2 3" xfId="29483" xr:uid="{A24E2EF5-67A8-48AA-9C72-7004AD415124}"/>
    <cellStyle name="20% - Accent5 5 2 4 3" xfId="33653" xr:uid="{44345F31-365B-4533-B41A-1FFEC1F2E73F}"/>
    <cellStyle name="20% - Accent5 5 2 4 3 2" xfId="18832" xr:uid="{1919D1D4-6797-4622-BB13-BCE9C35B651A}"/>
    <cellStyle name="20% - Accent5 5 2 4 4" xfId="31050" xr:uid="{2DDE20A0-9CC4-4057-94FA-49415C8B7D30}"/>
    <cellStyle name="20% - Accent5 5 2 5" xfId="16557" xr:uid="{EB22C105-B0ED-4040-96EC-98AA5C64DD01}"/>
    <cellStyle name="20% - Accent5 5 2 5 2" xfId="31538" xr:uid="{8326FED8-A878-476E-A4B8-5092F7A08FD9}"/>
    <cellStyle name="20% - Accent5 5 2 5 2 2" xfId="32470" xr:uid="{5EF87EB5-D1D4-4F36-8ED9-9CF48F49128B}"/>
    <cellStyle name="20% - Accent5 5 2 5 3" xfId="32465" xr:uid="{17C1B2E5-FBA5-4839-87BB-B53AD095C92F}"/>
    <cellStyle name="20% - Accent5 5 2 6" xfId="20313" xr:uid="{5A319F24-7B33-4467-B103-C1128DFF0C4F}"/>
    <cellStyle name="20% - Accent5 5 2 6 2" xfId="32445" xr:uid="{FFF4EBC1-902A-4C55-AAC3-8A7DEBFD2AE6}"/>
    <cellStyle name="20% - Accent5 5 2 7" xfId="20308" xr:uid="{ACB07AB5-0F32-4FD4-A57B-661E9949544F}"/>
    <cellStyle name="20% - Accent5 5 2 8" xfId="34807" xr:uid="{AB9E96FA-E73E-4A69-8183-8A580EFB19EE}"/>
    <cellStyle name="20% - Accent5 5 3" xfId="10262" xr:uid="{6DD45967-0A9E-4640-8FF9-78BE339099FB}"/>
    <cellStyle name="20% - Accent5 5 3 2" xfId="20301" xr:uid="{D9E2F246-C460-4D3D-8CBC-70D1AA2D0485}"/>
    <cellStyle name="20% - Accent5 5 3 2 2" xfId="20298" xr:uid="{FE74B407-8F3D-4A74-9141-0058AD69E9DF}"/>
    <cellStyle name="20% - Accent5 5 3 2 2 2" xfId="32357" xr:uid="{C923992C-BE32-4EED-99DE-07A3B6827D35}"/>
    <cellStyle name="20% - Accent5 5 3 2 2 2 2" xfId="20293" xr:uid="{2B0A38F7-5AEC-45E3-8A97-6CE8A3FA29E3}"/>
    <cellStyle name="20% - Accent5 5 3 2 2 2 2 2" xfId="23697" xr:uid="{0FC4A091-49E8-4F26-AD95-4E1C09F65DDC}"/>
    <cellStyle name="20% - Accent5 5 3 2 2 2 3" xfId="20291" xr:uid="{FD6FE943-C26E-4447-B83D-660F44E1DA3C}"/>
    <cellStyle name="20% - Accent5 5 3 2 2 3" xfId="32353" xr:uid="{4AD25A31-80E9-4E10-B6B5-9F4165C21658}"/>
    <cellStyle name="20% - Accent5 5 3 2 2 3 2" xfId="20290" xr:uid="{2F96DCF1-6D7D-421D-B66E-9A72A9A7FFBF}"/>
    <cellStyle name="20% - Accent5 5 3 2 2 4" xfId="24947" xr:uid="{BFAD806D-EDE3-42AD-836F-F8D23A9616B0}"/>
    <cellStyle name="20% - Accent5 5 3 2 3" xfId="15735" xr:uid="{CB195A19-12AA-49E1-A4F3-49A2424D7433}"/>
    <cellStyle name="20% - Accent5 5 3 2 3 2" xfId="15730" xr:uid="{E065A1D2-D901-4691-AC7D-04A35FD0EB4B}"/>
    <cellStyle name="20% - Accent5 5 3 2 3 2 2" xfId="18194" xr:uid="{DBC20436-FC6A-4021-8EC3-E2DA51249F7B}"/>
    <cellStyle name="20% - Accent5 5 3 2 3 3" xfId="15728" xr:uid="{AD7C6435-10EB-4896-90F8-E5B916CA42C4}"/>
    <cellStyle name="20% - Accent5 5 3 2 4" xfId="15726" xr:uid="{1F934D07-3414-4D71-8251-884D933BFE13}"/>
    <cellStyle name="20% - Accent5 5 3 2 4 2" xfId="15724" xr:uid="{7F66CBB4-B112-43CF-8937-16E291C0708B}"/>
    <cellStyle name="20% - Accent5 5 3 2 5" xfId="20288" xr:uid="{0B782AA3-DA04-43BD-BBEB-30FBF9479E19}"/>
    <cellStyle name="20% - Accent5 5 3 3" xfId="20284" xr:uid="{2C9254E5-6E52-4ECC-B02C-1AED04B77CC9}"/>
    <cellStyle name="20% - Accent5 5 3 3 2" xfId="31363" xr:uid="{2873F4C8-7698-4071-9979-20027243AC1F}"/>
    <cellStyle name="20% - Accent5 5 3 3 2 2" xfId="20051" xr:uid="{CCBE8FFB-6F15-473E-9693-B36D64B2D195}"/>
    <cellStyle name="20% - Accent5 5 3 3 2 2 2" xfId="33920" xr:uid="{7DD80BC9-C165-424D-BD13-E28DCC30665A}"/>
    <cellStyle name="20% - Accent5 5 3 3 2 3" xfId="24910" xr:uid="{5422819B-E099-4EAE-AD1B-BEF21FA3CB2C}"/>
    <cellStyle name="20% - Accent5 5 3 3 3" xfId="15719" xr:uid="{723D358F-C67F-4841-8E15-FC2B496AF19F}"/>
    <cellStyle name="20% - Accent5 5 3 3 3 2" xfId="15717" xr:uid="{AA90897C-B2EC-457B-8F99-7C48EE45F84E}"/>
    <cellStyle name="20% - Accent5 5 3 3 4" xfId="15715" xr:uid="{5E6586B7-2943-46AE-A7E3-FEE2F39BA4AC}"/>
    <cellStyle name="20% - Accent5 5 3 4" xfId="20283" xr:uid="{393AC655-1500-4F00-862F-B0A6CFF06DFD}"/>
    <cellStyle name="20% - Accent5 5 3 4 2" xfId="31337" xr:uid="{A84254D5-D6CE-4867-AD56-3C0DB8C9105D}"/>
    <cellStyle name="20% - Accent5 5 3 4 2 2" xfId="32318" xr:uid="{1AAA57AD-37D6-4F6E-8C71-2FB0299FBB45}"/>
    <cellStyle name="20% - Accent5 5 3 4 3" xfId="15713" xr:uid="{EAAD68E1-8122-4E0E-819B-ABF02CD5FFB8}"/>
    <cellStyle name="20% - Accent5 5 3 5" xfId="20277" xr:uid="{7C365085-9DF3-4DD9-BC90-7C5E153E741B}"/>
    <cellStyle name="20% - Accent5 5 3 5 2" xfId="33204" xr:uid="{30ACD3C5-B23C-4679-9E90-000C90EED2CA}"/>
    <cellStyle name="20% - Accent5 5 3 6" xfId="20274" xr:uid="{DC7C0B1E-9BE3-4BF6-A3CE-2D3ADA8B84E5}"/>
    <cellStyle name="20% - Accent5 5 3 7" xfId="35009" xr:uid="{DFA18619-F315-442C-8AB2-EC4A250D34E3}"/>
    <cellStyle name="20% - Accent5 5 4" xfId="15790" xr:uid="{2A6ED2D2-06D9-42D4-A1E9-4F12A8937347}"/>
    <cellStyle name="20% - Accent5 5 4 2" xfId="20269" xr:uid="{5B82B12C-DCFE-42E3-8480-141C93BF6C7B}"/>
    <cellStyle name="20% - Accent5 5 4 2 2" xfId="28832" xr:uid="{D8A0E110-2E3B-4ED1-8F28-D751D8119BEB}"/>
    <cellStyle name="20% - Accent5 5 4 2 2 2" xfId="25536" xr:uid="{DD94943F-7591-47F3-A371-8C523C0F40B4}"/>
    <cellStyle name="20% - Accent5 5 4 2 2 2 2" xfId="20268" xr:uid="{3546A5DC-07B8-4E1A-9747-D11BBD6775C4}"/>
    <cellStyle name="20% - Accent5 5 4 2 2 3" xfId="26242" xr:uid="{7B933B33-A313-4724-BBE0-24510E217988}"/>
    <cellStyle name="20% - Accent5 5 4 2 3" xfId="15700" xr:uid="{0CC1DF68-0988-47D5-9E14-9E2F85B91BFD}"/>
    <cellStyle name="20% - Accent5 5 4 2 3 2" xfId="15698" xr:uid="{42E1CB79-BB3B-4F48-9934-56731F538510}"/>
    <cellStyle name="20% - Accent5 5 4 2 4" xfId="15695" xr:uid="{9CC71CD3-5AF4-443D-AAD1-85FBFDE958E2}"/>
    <cellStyle name="20% - Accent5 5 4 3" xfId="20267" xr:uid="{488B3973-F7EA-4BBA-9560-445DD3B50F26}"/>
    <cellStyle name="20% - Accent5 5 4 3 2" xfId="28819" xr:uid="{3273046E-0751-45AD-8AA1-154547A01F4E}"/>
    <cellStyle name="20% - Accent5 5 4 3 2 2" xfId="26153" xr:uid="{77BD7588-7EBD-480D-936F-FD7BE1189182}"/>
    <cellStyle name="20% - Accent5 5 4 3 3" xfId="15692" xr:uid="{5F96E700-6122-4E2D-B6DB-4C4CD2652F62}"/>
    <cellStyle name="20% - Accent5 5 4 4" xfId="20266" xr:uid="{454173E0-F68C-4808-9708-F62B8F913B2A}"/>
    <cellStyle name="20% - Accent5 5 4 4 2" xfId="19157" xr:uid="{83BF176E-17D1-4F5E-8341-09E5F1BC9486}"/>
    <cellStyle name="20% - Accent5 5 4 5" xfId="20263" xr:uid="{EAC7EF20-F964-4C53-ACC0-20B24E4369B3}"/>
    <cellStyle name="20% - Accent5 5 4 6" xfId="35215" xr:uid="{FE7E3263-9D4D-4F44-ABA5-FD45100F1F77}"/>
    <cellStyle name="20% - Accent5 5 5" xfId="21277" xr:uid="{0B28310A-E349-4F60-86C6-9F0C82DAF059}"/>
    <cellStyle name="20% - Accent5 5 5 2" xfId="34072" xr:uid="{A550CF7D-5C89-463E-9EBE-CEAE20E0D533}"/>
    <cellStyle name="20% - Accent5 5 5 2 2" xfId="18959" xr:uid="{32C44A4B-7594-4952-BF46-AAD61BEAA82F}"/>
    <cellStyle name="20% - Accent5 5 5 2 2 2" xfId="31632" xr:uid="{74DE4AF0-2B7B-4517-9C2F-9825D43E1018}"/>
    <cellStyle name="20% - Accent5 5 5 2 3" xfId="17875" xr:uid="{A135AD49-090D-4DE8-80E4-B5CE2AFB8829}"/>
    <cellStyle name="20% - Accent5 5 5 3" xfId="34120" xr:uid="{01B21966-3EBF-4D7F-B8C2-74805C5EE8F4}"/>
    <cellStyle name="20% - Accent5 5 5 3 2" xfId="20096" xr:uid="{2EB92ED1-D426-41CD-AA9C-36353D848A22}"/>
    <cellStyle name="20% - Accent5 5 5 4" xfId="30757" xr:uid="{212C586B-0643-441F-BA87-54C0A7EBAA92}"/>
    <cellStyle name="20% - Accent5 5 5 5" xfId="35444" xr:uid="{332151F4-7212-4C48-954D-094F5E9EBCD7}"/>
    <cellStyle name="20% - Accent5 5 6" xfId="33860" xr:uid="{7D61F344-F6D7-4B3D-BB78-CF9CFA190A26}"/>
    <cellStyle name="20% - Accent5 5 6 2" xfId="34065" xr:uid="{BBF52951-7009-4F9F-AFA6-18E618F31E23}"/>
    <cellStyle name="20% - Accent5 5 6 2 2" xfId="20258" xr:uid="{FCE2004E-F239-4AED-ACB6-E3ADC6024049}"/>
    <cellStyle name="20% - Accent5 5 6 3" xfId="34226" xr:uid="{C51DF8DB-42FE-4EEA-A1D3-151840EE9255}"/>
    <cellStyle name="20% - Accent5 5 6 4" xfId="36316" xr:uid="{505E2C77-8CEF-4A6D-8C3B-ACDA68F0AE77}"/>
    <cellStyle name="20% - Accent5 5 7" xfId="31237" xr:uid="{3E780A53-7807-4938-8AAB-54D7C08E62D3}"/>
    <cellStyle name="20% - Accent5 5 7 2" xfId="32202" xr:uid="{AD14EB4E-7E4D-4BB5-89C0-946BB1BFDB66}"/>
    <cellStyle name="20% - Accent5 5 7 3" xfId="36602" xr:uid="{F01FAE3B-EFF8-43EF-9DE2-3D43DCE3499D}"/>
    <cellStyle name="20% - Accent5 5 8" xfId="31871" xr:uid="{DE87FE5A-2DE1-4A69-AA89-39743438936C}"/>
    <cellStyle name="20% - Accent5 5 8 2" xfId="37487" xr:uid="{BA61CE05-FC30-4E98-9D2B-B14525144E22}"/>
    <cellStyle name="20% - Accent5 5 9" xfId="34584" xr:uid="{907BBDEA-C74B-487E-9E66-02C9BA4D3B8E}"/>
    <cellStyle name="20% - Accent5 6" xfId="291" xr:uid="{53E6F403-6854-42F4-ACE6-C19AF2F46132}"/>
    <cellStyle name="20% - Accent5 6 2" xfId="20252" xr:uid="{FC16BB11-AFD5-4137-862C-51F0AA9A7395}"/>
    <cellStyle name="20% - Accent5 6 2 2" xfId="26330" xr:uid="{B1F2AA96-5BB4-48B7-90EE-39B8B9831443}"/>
    <cellStyle name="20% - Accent5 6 2 2 2" xfId="20247" xr:uid="{B32E96D2-2544-449E-B402-96D8C9E9BC4A}"/>
    <cellStyle name="20% - Accent5 6 2 2 2 2" xfId="20246" xr:uid="{E14FFD3B-9C7D-4BB4-A6BD-0D4779F4B77A}"/>
    <cellStyle name="20% - Accent5 6 2 2 2 2 2" xfId="20245" xr:uid="{DEAB6525-5244-4C3C-AA23-E81E6B36838C}"/>
    <cellStyle name="20% - Accent5 6 2 2 2 2 2 2" xfId="22424" xr:uid="{66DFF1CE-13F9-4998-94B7-0FE8A91C64D2}"/>
    <cellStyle name="20% - Accent5 6 2 2 2 2 3" xfId="30597" xr:uid="{1DA7DB8E-115D-42F8-94F7-1AA6DC271DEF}"/>
    <cellStyle name="20% - Accent5 6 2 2 2 3" xfId="24201" xr:uid="{E8DF4EA7-E02B-4BD1-BC48-0CE2905FBB66}"/>
    <cellStyle name="20% - Accent5 6 2 2 2 3 2" xfId="20244" xr:uid="{9D94C70B-516E-4F9C-9C27-554E1E992FC1}"/>
    <cellStyle name="20% - Accent5 6 2 2 2 4" xfId="20243" xr:uid="{1413097B-B7C2-42A3-B60B-E18B665F06A1}"/>
    <cellStyle name="20% - Accent5 6 2 2 3" xfId="33084" xr:uid="{1D5D4B5E-8793-4549-8003-AE3AAA8CDD30}"/>
    <cellStyle name="20% - Accent5 6 2 2 3 2" xfId="20242" xr:uid="{E917FC19-F332-4D47-92A6-DA7D906D9F22}"/>
    <cellStyle name="20% - Accent5 6 2 2 3 2 2" xfId="20238" xr:uid="{CB5EE52B-D6D6-47CA-915D-33666008CF1A}"/>
    <cellStyle name="20% - Accent5 6 2 2 3 3" xfId="20235" xr:uid="{6B58705F-E106-4E08-A1D0-3EBB3DFB8713}"/>
    <cellStyle name="20% - Accent5 6 2 2 4" xfId="20232" xr:uid="{97ED4599-5F81-4FD3-996B-F4C90ED1B9E7}"/>
    <cellStyle name="20% - Accent5 6 2 2 4 2" xfId="20231" xr:uid="{CC4435FE-51FE-4424-8E89-872BB73307C6}"/>
    <cellStyle name="20% - Accent5 6 2 2 5" xfId="20229" xr:uid="{9D795103-7515-4730-841A-C55BBB35EFAE}"/>
    <cellStyle name="20% - Accent5 6 2 3" xfId="20225" xr:uid="{E588564A-40D1-435A-95A6-7DF31724BD63}"/>
    <cellStyle name="20% - Accent5 6 2 3 2" xfId="24452" xr:uid="{62E193CE-7E85-41BE-AE08-312F256AD3D5}"/>
    <cellStyle name="20% - Accent5 6 2 3 2 2" xfId="18655" xr:uid="{8AB4FB41-A164-471E-837E-6BD22DC7AFBD}"/>
    <cellStyle name="20% - Accent5 6 2 3 2 2 2" xfId="31957" xr:uid="{B44C44A4-E13B-471B-B36D-63880D80C2B1}"/>
    <cellStyle name="20% - Accent5 6 2 3 2 3" xfId="31953" xr:uid="{5FA6C528-20E8-470F-AC37-A3F8766A4AA2}"/>
    <cellStyle name="20% - Accent5 6 2 3 3" xfId="28868" xr:uid="{9B839656-1B23-46D1-82AE-27A6C5646EC2}"/>
    <cellStyle name="20% - Accent5 6 2 3 3 2" xfId="31924" xr:uid="{67749008-F6D3-4E20-84E0-23B8C3329121}"/>
    <cellStyle name="20% - Accent5 6 2 3 4" xfId="31039" xr:uid="{90E6689B-FE12-48D5-8342-2CC19DD79FD8}"/>
    <cellStyle name="20% - Accent5 6 2 4" xfId="20224" xr:uid="{FDC44DB9-0200-444F-AB69-8FBAA5B3C106}"/>
    <cellStyle name="20% - Accent5 6 2 4 2" xfId="30676" xr:uid="{63BA2AC2-D3A9-4E78-A258-BAE3E00910B6}"/>
    <cellStyle name="20% - Accent5 6 2 4 2 2" xfId="29793" xr:uid="{A77F19BD-E002-4946-855E-9E2CB7C49BFD}"/>
    <cellStyle name="20% - Accent5 6 2 4 3" xfId="31881" xr:uid="{40451B97-2B76-428D-9AB6-70A5406ECD4D}"/>
    <cellStyle name="20% - Accent5 6 2 5" xfId="20220" xr:uid="{54DE79F1-767E-432E-984C-4EE45BE87522}"/>
    <cellStyle name="20% - Accent5 6 2 5 2" xfId="34403" xr:uid="{330069B1-5456-4F21-A9A2-AC2A3B227ECC}"/>
    <cellStyle name="20% - Accent5 6 2 6" xfId="20217" xr:uid="{F9F8BD8B-D3F5-4964-9E5F-14D2CDD5CC9D}"/>
    <cellStyle name="20% - Accent5 6 2 7" xfId="34826" xr:uid="{BADC0C4A-0C80-4FE2-98AD-5A9B9A10D032}"/>
    <cellStyle name="20% - Accent5 6 3" xfId="20213" xr:uid="{74CBF272-4968-4138-A29D-26719C2F905E}"/>
    <cellStyle name="20% - Accent5 6 3 2" xfId="20207" xr:uid="{EE49E04D-4E53-4FEA-8125-E21713E6C3C5}"/>
    <cellStyle name="20% - Accent5 6 3 2 2" xfId="20206" xr:uid="{3999D898-8E4A-4C1F-AEBD-57015EC08DA7}"/>
    <cellStyle name="20% - Accent5 6 3 2 2 2" xfId="24669" xr:uid="{B793B63A-38B3-484E-BBA2-CB9929C9E2A0}"/>
    <cellStyle name="20% - Accent5 6 3 2 2 2 2" xfId="20200" xr:uid="{076EEE20-56BB-448D-9716-497F09868F94}"/>
    <cellStyle name="20% - Accent5 6 3 2 2 3" xfId="24665" xr:uid="{EC3F799E-1AC2-41D4-A4D6-C0ADDAFC079E}"/>
    <cellStyle name="20% - Accent5 6 3 2 3" xfId="15659" xr:uid="{022D32CE-0382-4A28-9127-7B8264E03A61}"/>
    <cellStyle name="20% - Accent5 6 3 2 3 2" xfId="15657" xr:uid="{304246C5-389A-41A7-9B13-2DFBD3157867}"/>
    <cellStyle name="20% - Accent5 6 3 2 4" xfId="15655" xr:uid="{A742FC90-113F-447D-BBEE-33AF84CD1163}"/>
    <cellStyle name="20% - Accent5 6 3 3" xfId="20977" xr:uid="{0D16B22F-522A-42D4-AF00-CDBFC5CC2EA5}"/>
    <cellStyle name="20% - Accent5 6 3 3 2" xfId="30665" xr:uid="{BABD4B95-0D6A-4232-B795-E2A6005BBD32}"/>
    <cellStyle name="20% - Accent5 6 3 3 2 2" xfId="31150" xr:uid="{C39DF54E-697D-431F-A9F0-92FE4FE27BA4}"/>
    <cellStyle name="20% - Accent5 6 3 3 3" xfId="30157" xr:uid="{9E1BCBC0-B8B7-4E50-BC1F-7F2505D9AF3B}"/>
    <cellStyle name="20% - Accent5 6 3 4" xfId="20199" xr:uid="{E4AF32A5-665E-4FCD-805E-B3E52CFECD19}"/>
    <cellStyle name="20% - Accent5 6 3 4 2" xfId="31708" xr:uid="{99F4D6AE-13D3-4EBB-8E0E-991BF469D169}"/>
    <cellStyle name="20% - Accent5 6 3 5" xfId="20198" xr:uid="{6DCC25E7-ED21-48A7-9AF3-EC2E0F5FC10A}"/>
    <cellStyle name="20% - Accent5 6 3 6" xfId="35028" xr:uid="{85535045-7C0F-4D2A-AD65-8AD6450AE804}"/>
    <cellStyle name="20% - Accent5 6 4" xfId="21883" xr:uid="{4C949BE6-A01E-42CD-A33C-D24B6958F812}"/>
    <cellStyle name="20% - Accent5 6 4 2" xfId="20197" xr:uid="{FFD90224-989F-40C8-B43B-B04D0EB0BF60}"/>
    <cellStyle name="20% - Accent5 6 4 2 2" xfId="6437" xr:uid="{57E4CA27-2235-4818-8B98-5929F3AEC30B}"/>
    <cellStyle name="20% - Accent5 6 4 2 2 2" xfId="24604" xr:uid="{F41FAF17-AE11-43DA-89F9-5DD01274DF39}"/>
    <cellStyle name="20% - Accent5 6 4 2 3" xfId="15647" xr:uid="{029002E9-0D98-4D65-B815-BBF00D7AE9C1}"/>
    <cellStyle name="20% - Accent5 6 4 3" xfId="20191" xr:uid="{8048976F-7482-42CD-BB32-2E66B5D184C6}"/>
    <cellStyle name="20% - Accent5 6 4 3 2" xfId="32379" xr:uid="{B5D09CFC-9E4E-4C0C-AB51-126B32CF5B79}"/>
    <cellStyle name="20% - Accent5 6 4 4" xfId="20189" xr:uid="{F1330FC2-2CD9-4595-81E7-2729392FEBC5}"/>
    <cellStyle name="20% - Accent5 6 4 5" xfId="35234" xr:uid="{F2D8F934-DDB6-4DB0-830E-FFB898113500}"/>
    <cellStyle name="20% - Accent5 6 5" xfId="32093" xr:uid="{0CF70773-5CF5-4CB5-88E2-32AD92700290}"/>
    <cellStyle name="20% - Accent5 6 5 2" xfId="34044" xr:uid="{BA65288A-C466-4DC9-9F87-C994AB1763D1}"/>
    <cellStyle name="20% - Accent5 6 5 2 2" xfId="18811" xr:uid="{997BED8F-5A77-43F5-BEA3-293EC19E7A5A}"/>
    <cellStyle name="20% - Accent5 6 5 3" xfId="28456" xr:uid="{74D5A734-2A87-461F-9AEE-9ACA2441A5A0}"/>
    <cellStyle name="20% - Accent5 6 5 4" xfId="35463" xr:uid="{EB379A6D-7C47-4527-BC65-F0508076D68A}"/>
    <cellStyle name="20% - Accent5 6 6" xfId="33742" xr:uid="{A0AA6253-6C47-41A4-B56F-974DDF8B80AC}"/>
    <cellStyle name="20% - Accent5 6 6 2" xfId="32181" xr:uid="{F1682F64-39E7-4265-A049-3429E67E0114}"/>
    <cellStyle name="20% - Accent5 6 6 3" xfId="36335" xr:uid="{59F929BA-2DE2-4233-BE8B-D4C994924B06}"/>
    <cellStyle name="20% - Accent5 6 7" xfId="31846" xr:uid="{56E60B72-9DB1-4570-AC95-1812B3B26BB4}"/>
    <cellStyle name="20% - Accent5 6 7 2" xfId="36621" xr:uid="{A23BA154-0A6D-406D-B7BA-8D3972175D3B}"/>
    <cellStyle name="20% - Accent5 6 8" xfId="34598" xr:uid="{2B9BB64D-326A-4A69-B39D-3AE848D9CF89}"/>
    <cellStyle name="20% - Accent5 6 9" xfId="20255" xr:uid="{EC598100-4396-4FEE-9DA7-95CA43074550}"/>
    <cellStyle name="20% - Accent5 7" xfId="311" xr:uid="{AD932E61-2861-4C27-BB2F-9A8D465963E1}"/>
    <cellStyle name="20% - Accent5 7 2" xfId="26311" xr:uid="{1B2C8531-D0BA-4FCC-A590-B873AE719D92}"/>
    <cellStyle name="20% - Accent5 7 2 2" xfId="23205" xr:uid="{A74DD631-DA81-4234-8652-05D6276F9B93}"/>
    <cellStyle name="20% - Accent5 7 2 2 2" xfId="13903" xr:uid="{AFE41681-DF16-4581-9C0C-3D6338C442B3}"/>
    <cellStyle name="20% - Accent5 7 2 2 2 2" xfId="28820" xr:uid="{D3715053-A914-42BD-B3F5-B29F1519C63A}"/>
    <cellStyle name="20% - Accent5 7 2 2 2 2 2" xfId="20179" xr:uid="{ED5CE9CF-5B45-4BE9-87FB-75A6C7DB46AE}"/>
    <cellStyle name="20% - Accent5 7 2 2 2 3" xfId="20300" xr:uid="{A2CC2EF3-D4D8-4E30-B568-FD3D0491CCEC}"/>
    <cellStyle name="20% - Accent5 7 2 2 3" xfId="20176" xr:uid="{7950DFE4-2FAA-449D-9341-DDCE4ED2DAB1}"/>
    <cellStyle name="20% - Accent5 7 2 2 3 2" xfId="20173" xr:uid="{DAD5BBD8-44DB-4355-916A-C7C07F32B913}"/>
    <cellStyle name="20% - Accent5 7 2 2 4" xfId="20171" xr:uid="{657C56DE-641D-442C-8CF1-D1D2B6A67F44}"/>
    <cellStyle name="20% - Accent5 7 2 3" xfId="20168" xr:uid="{0F805EFC-317E-4C2B-9B0F-E8DCCD2F222F}"/>
    <cellStyle name="20% - Accent5 7 2 3 2" xfId="19003" xr:uid="{A1D0C5AD-4132-4AE2-B2EE-06E6832D9E77}"/>
    <cellStyle name="20% - Accent5 7 2 3 2 2" xfId="31688" xr:uid="{ACA571DE-C321-42C5-9C52-08A2EA1C6776}"/>
    <cellStyle name="20% - Accent5 7 2 3 3" xfId="26289" xr:uid="{8C4F45FE-2C14-4A3C-BDD4-D112D076864A}"/>
    <cellStyle name="20% - Accent5 7 2 4" xfId="20166" xr:uid="{3C8BF896-B51A-412A-AC44-EE852B14109B}"/>
    <cellStyle name="20% - Accent5 7 2 4 2" xfId="13748" xr:uid="{DCB4C747-FF0C-4EDA-8E37-4FE4BDC78803}"/>
    <cellStyle name="20% - Accent5 7 2 5" xfId="20162" xr:uid="{AE3F6A98-08B9-4337-A797-A3B7799F02DC}"/>
    <cellStyle name="20% - Accent5 7 2 6" xfId="34845" xr:uid="{83828948-CB85-4218-B1E8-A94DD96FEA69}"/>
    <cellStyle name="20% - Accent5 7 3" xfId="20158" xr:uid="{BEBDB220-FC6F-484B-AA32-D54FD22083E7}"/>
    <cellStyle name="20% - Accent5 7 3 2" xfId="30320" xr:uid="{026972A0-47A6-4F9B-854F-DD39F7430EA8}"/>
    <cellStyle name="20% - Accent5 7 3 2 2" xfId="11943" xr:uid="{4BFC8A7C-48FC-4DC9-95C2-B1074B539C34}"/>
    <cellStyle name="20% - Accent5 7 3 2 2 2" xfId="24474" xr:uid="{25B82D00-2100-43F9-97F1-0E80014917FF}"/>
    <cellStyle name="20% - Accent5 7 3 2 3" xfId="15620" xr:uid="{75855C27-B95C-4841-8F32-949FC1FBB1E6}"/>
    <cellStyle name="20% - Accent5 7 3 3" xfId="33839" xr:uid="{B09B8F01-9C4E-4ACC-86A4-55A88B1E3E4B}"/>
    <cellStyle name="20% - Accent5 7 3 3 2" xfId="11776" xr:uid="{3613C6DD-CD36-4536-91AF-6461A9E99AE8}"/>
    <cellStyle name="20% - Accent5 7 3 4" xfId="20155" xr:uid="{078BB70D-5B4B-4402-AC91-6AE7ED603419}"/>
    <cellStyle name="20% - Accent5 7 3 5" xfId="35047" xr:uid="{393C897A-68A2-441B-AC73-75F1FFDA23B4}"/>
    <cellStyle name="20% - Accent5 7 4" xfId="20153" xr:uid="{F723B686-DFBC-43F3-99A0-8FF48F4DD3ED}"/>
    <cellStyle name="20% - Accent5 7 4 2" xfId="33641" xr:uid="{0DCC161E-575B-4831-8493-2ABF6506BFDA}"/>
    <cellStyle name="20% - Accent5 7 4 2 2" xfId="9348" xr:uid="{C1A18DCE-B8F9-4FF0-9DD7-08660B043B83}"/>
    <cellStyle name="20% - Accent5 7 4 3" xfId="20150" xr:uid="{CBD4C155-5AD8-4DF2-A3AD-B2E270DA5CDB}"/>
    <cellStyle name="20% - Accent5 7 4 4" xfId="35254" xr:uid="{DD6358E0-F65F-43E1-BB3F-0253543B3E43}"/>
    <cellStyle name="20% - Accent5 7 5" xfId="25936" xr:uid="{FE0F5906-B20B-46DA-BA04-A6AB48310694}"/>
    <cellStyle name="20% - Accent5 7 5 2" xfId="23950" xr:uid="{C4122AD5-0BD1-4590-AB3D-4E5F9A67B9B3}"/>
    <cellStyle name="20% - Accent5 7 5 3" xfId="35483" xr:uid="{5026DBCB-1925-4EA5-898E-17301BC03A74}"/>
    <cellStyle name="20% - Accent5 7 6" xfId="33717" xr:uid="{F89FEFC0-483B-4261-9ACF-9AB51ACDB6EF}"/>
    <cellStyle name="20% - Accent5 7 6 2" xfId="36355" xr:uid="{D9835687-7BBF-4112-8884-6667249D9F5E}"/>
    <cellStyle name="20% - Accent5 7 7" xfId="34612" xr:uid="{D62725EF-228F-45B9-9823-DEE1A1C791C0}"/>
    <cellStyle name="20% - Accent5 7 8" xfId="29936" xr:uid="{1CFC044A-ACEF-4D64-A542-E8D046A66F7E}"/>
    <cellStyle name="20% - Accent5 7 8 2" xfId="37513" xr:uid="{4CF5A2C5-DF7A-49D8-BA68-5AC19728AD9F}"/>
    <cellStyle name="20% - Accent5 8" xfId="331" xr:uid="{6D0DDF45-B661-4758-986A-B970EF32594E}"/>
    <cellStyle name="20% - Accent5 8 2" xfId="20143" xr:uid="{7EDE5958-F60B-44EA-9B4D-F4D57C369B9A}"/>
    <cellStyle name="20% - Accent5 8 2 2" xfId="20141" xr:uid="{3063F8E3-D424-4BDF-BEFF-ABDBE087382C}"/>
    <cellStyle name="20% - Accent5 8 2 2 2" xfId="20139" xr:uid="{A3E22F76-ED50-440B-B458-5862F84DF95C}"/>
    <cellStyle name="20% - Accent5 8 2 2 2 2" xfId="20138" xr:uid="{113242B6-5DC0-4306-9BC8-CB3A270F3E39}"/>
    <cellStyle name="20% - Accent5 8 2 2 3" xfId="20135" xr:uid="{CCF1FE72-DB61-44DC-9E5F-8825238F96F2}"/>
    <cellStyle name="20% - Accent5 8 2 3" xfId="20133" xr:uid="{7C1D10BB-AE0F-4FB8-B911-F4913C63FE90}"/>
    <cellStyle name="20% - Accent5 8 2 3 2" xfId="31574" xr:uid="{33E14D12-C7C0-47F1-B2B0-EA7E6EEB23D0}"/>
    <cellStyle name="20% - Accent5 8 2 4" xfId="27549" xr:uid="{749F785E-1434-4DCC-BF33-2CBC7AB3074C}"/>
    <cellStyle name="20% - Accent5 8 2 5" xfId="34864" xr:uid="{E16AF270-C7C6-4747-8E9F-176CAE7677C4}"/>
    <cellStyle name="20% - Accent5 8 3" xfId="18413" xr:uid="{FAAFA5A4-A245-4CD8-AE53-7101791DEBE1}"/>
    <cellStyle name="20% - Accent5 8 3 2" xfId="33897" xr:uid="{4CF27119-C994-4637-BD0B-9335B2F12E32}"/>
    <cellStyle name="20% - Accent5 8 3 2 2" xfId="20932" xr:uid="{F6D3C12E-EF74-41AB-BC10-A2FBD8DEEAED}"/>
    <cellStyle name="20% - Accent5 8 3 3" xfId="20131" xr:uid="{E2BBC8E1-0053-443C-9E31-E58DD8DB1AAF}"/>
    <cellStyle name="20% - Accent5 8 3 4" xfId="35066" xr:uid="{6FF4AC27-1D16-45E4-960A-7349292BAEB3}"/>
    <cellStyle name="20% - Accent5 8 4" xfId="26816" xr:uid="{F43625B6-A524-4F3D-95BF-A8B58B107CD2}"/>
    <cellStyle name="20% - Accent5 8 4 2" xfId="20129" xr:uid="{FC83AAD5-B587-414A-A3AB-E9EFEB6DC89B}"/>
    <cellStyle name="20% - Accent5 8 4 3" xfId="35273" xr:uid="{5EBB157B-4BAE-48D0-B307-3C339C7977B9}"/>
    <cellStyle name="20% - Accent5 8 5" xfId="28812" xr:uid="{3A4714A3-46E3-4CD7-B24E-6C793B821EF7}"/>
    <cellStyle name="20% - Accent5 8 5 2" xfId="35502" xr:uid="{BEACEF72-9C4A-4748-A4EA-0F9F6510CE52}"/>
    <cellStyle name="20% - Accent5 8 6" xfId="34626" xr:uid="{3B8A1E40-EED8-41E1-9A85-A9137CF09ECF}"/>
    <cellStyle name="20% - Accent5 8 7" xfId="20147" xr:uid="{92D0159D-8579-4A51-9B6C-1289AC29EF10}"/>
    <cellStyle name="20% - Accent5 8 7 2" xfId="36647" xr:uid="{17588047-8F0B-48FC-A85A-30EDA19A482E}"/>
    <cellStyle name="20% - Accent5 8 8" xfId="37532" xr:uid="{8E7DBF8C-223C-41EE-B472-534666793F46}"/>
    <cellStyle name="20% - Accent5 9" xfId="351" xr:uid="{27312FC4-40CB-4543-85AF-CB0DEBC46884}"/>
    <cellStyle name="20% - Accent5 9 2" xfId="20122" xr:uid="{D67C41A0-A917-4143-BD4B-9C3334A91BD2}"/>
    <cellStyle name="20% - Accent5 9 2 2" xfId="20121" xr:uid="{6C18FB20-F90F-404E-AB14-4F612826AB94}"/>
    <cellStyle name="20% - Accent5 9 2 2 2" xfId="20120" xr:uid="{99288D46-D15B-4C21-AA7F-3CFF5E680738}"/>
    <cellStyle name="20% - Accent5 9 2 3" xfId="33505" xr:uid="{71A2415B-E875-4388-A88F-5E96F50AC00E}"/>
    <cellStyle name="20% - Accent5 9 2 4" xfId="34884" xr:uid="{65BD6182-8719-42E4-A10A-EFC7901CB921}"/>
    <cellStyle name="20% - Accent5 9 3" xfId="17127" xr:uid="{F30A1E0A-1D6F-4277-A2B1-1CB9362BF820}"/>
    <cellStyle name="20% - Accent5 9 3 2" xfId="20118" xr:uid="{FF3932E7-51F6-4A8E-AF0D-9E9D20108EB7}"/>
    <cellStyle name="20% - Accent5 9 3 3" xfId="35085" xr:uid="{82A16787-E3F5-4E77-AC8E-5241186033D9}"/>
    <cellStyle name="20% - Accent5 9 4" xfId="18660" xr:uid="{A2DF8B00-D509-440B-A7B2-77AE89FEC68B}"/>
    <cellStyle name="20% - Accent5 9 4 2" xfId="35293" xr:uid="{63719292-E064-499F-A15B-91346AD41232}"/>
    <cellStyle name="20% - Accent5 9 5" xfId="34640" xr:uid="{F32A7F82-F59B-4EF7-B69D-B39D8F7760B2}"/>
    <cellStyle name="20% - Accent5 9 6" xfId="20126" xr:uid="{BD1C4772-E304-4DEA-835D-B092D465D717}"/>
    <cellStyle name="20% - Accent5 9 6 2" xfId="36381" xr:uid="{1CA8A551-F814-490B-998D-723820DBFE42}"/>
    <cellStyle name="20% - Accent5 9 7" xfId="36667" xr:uid="{7A8CB6C0-F0FF-4980-8D74-11FD0BA76A85}"/>
    <cellStyle name="20% - Accent5 9 8" xfId="37552" xr:uid="{D349A0CC-1D5A-4C4F-BC72-CAD78C2C4AF5}"/>
    <cellStyle name="20% - Accent6" xfId="42" builtinId="50" customBuiltin="1"/>
    <cellStyle name="20% - Accent6 10" xfId="192" xr:uid="{08F5E7CF-1C10-47B4-8FF5-EB5B3CA55762}"/>
    <cellStyle name="20% - Accent6 10 2" xfId="20117" xr:uid="{5223E962-4F4B-4768-A529-D954A80FB815}"/>
    <cellStyle name="20% - Accent6 10 2 2" xfId="31071" xr:uid="{6978594B-AC93-4F46-9F96-E26F32BE2467}"/>
    <cellStyle name="20% - Accent6 10 2 3" xfId="34905" xr:uid="{50D43057-5857-4C89-8127-C93A83A1532F}"/>
    <cellStyle name="20% - Accent6 10 3" xfId="20113" xr:uid="{DAADA48F-8AD1-40C2-99CA-70B2ECDF04D7}"/>
    <cellStyle name="20% - Accent6 10 3 2" xfId="35107" xr:uid="{3236F08C-55F4-42E7-BE99-4B1FC7138A1B}"/>
    <cellStyle name="20% - Accent6 10 4" xfId="34529" xr:uid="{710311FC-1078-4281-9519-78AFE4673329}"/>
    <cellStyle name="20% - Accent6 10 5" xfId="34141" xr:uid="{C53BBC51-E05B-4990-BAB0-D652F194C091}"/>
    <cellStyle name="20% - Accent6 10 5 2" xfId="35530" xr:uid="{E83038F8-10FF-4B34-8C74-872FDBC8CB39}"/>
    <cellStyle name="20% - Accent6 10 6" xfId="36403" xr:uid="{8440626B-8163-486C-A671-060BEBAE400C}"/>
    <cellStyle name="20% - Accent6 10 7" xfId="36689" xr:uid="{A8E9DD14-6D68-476E-B597-E5A61B99757E}"/>
    <cellStyle name="20% - Accent6 10 8" xfId="37574" xr:uid="{EF79A586-9960-45CB-9343-4FB1A8854F0E}"/>
    <cellStyle name="20% - Accent6 11" xfId="21731" xr:uid="{30060346-0359-4C4A-BFC9-128D95C9D4AB}"/>
    <cellStyle name="20% - Accent6 11 2" xfId="34375" xr:uid="{7AC2C0F6-638F-4E67-B00F-2EE361FC215F}"/>
    <cellStyle name="20% - Accent6 11 2 2" xfId="35126" xr:uid="{C59889B8-45F6-44AA-B7C3-C0725E072C08}"/>
    <cellStyle name="20% - Accent6 11 3" xfId="34698" xr:uid="{B8699D96-BA90-4B00-9A8A-0E81016C7471}"/>
    <cellStyle name="20% - Accent6 11 4" xfId="35550" xr:uid="{4605AFD8-BAF5-4AB3-A6A2-D04C469A1489}"/>
    <cellStyle name="20% - Accent6 11 5" xfId="36423" xr:uid="{47E684C0-7676-4E20-9D90-6B506D80CD23}"/>
    <cellStyle name="20% - Accent6 11 6" xfId="36709" xr:uid="{B086555B-80EA-4F64-8E15-6AF9871F820E}"/>
    <cellStyle name="20% - Accent6 11 7" xfId="37594" xr:uid="{2ACA65C3-6F7F-4913-911C-501462DF8242}"/>
    <cellStyle name="20% - Accent6 12" xfId="18946" xr:uid="{0578826E-C9E5-4A58-991D-99E7B65C1C8C}"/>
    <cellStyle name="20% - Accent6 12 2" xfId="34716" xr:uid="{1E9CCAF9-84CC-461C-8CF9-2FD635633ED7}"/>
    <cellStyle name="20% - Accent6 12 3" xfId="35329" xr:uid="{ABA6D196-323C-46D4-9976-9A691A7A5158}"/>
    <cellStyle name="20% - Accent6 12 4" xfId="35569" xr:uid="{CC59AC3D-53C7-446A-AF02-03B67E091425}"/>
    <cellStyle name="20% - Accent6 12 5" xfId="36442" xr:uid="{EA88369A-786C-4788-96F5-5A4F53B3363B}"/>
    <cellStyle name="20% - Accent6 12 6" xfId="36728" xr:uid="{A7CCC163-65F5-4CB2-97D2-BB18FFD50BD0}"/>
    <cellStyle name="20% - Accent6 12 7" xfId="37613" xr:uid="{C9B213DA-31B0-43D0-A785-B99330CBE5D1}"/>
    <cellStyle name="20% - Accent6 13" xfId="18941" xr:uid="{2159F6DE-1CE9-4FAD-8E63-C877CC6EF075}"/>
    <cellStyle name="20% - Accent6 13 2" xfId="34744" xr:uid="{C8C56082-8AD1-44A6-BB2A-6B2BE06A1650}"/>
    <cellStyle name="20% - Accent6 13 3" xfId="35588" xr:uid="{572AB9A2-DD10-4E58-A46E-C75C3D16DFCB}"/>
    <cellStyle name="20% - Accent6 13 4" xfId="36463" xr:uid="{25177526-2D28-405A-B944-C0770FC52716}"/>
    <cellStyle name="20% - Accent6 13 5" xfId="36749" xr:uid="{1D9D5D90-9DAE-4047-8C61-A0189B8B7E33}"/>
    <cellStyle name="20% - Accent6 13 6" xfId="37634" xr:uid="{D1BBE77D-3A52-439F-8EA6-BE8578D79DEC}"/>
    <cellStyle name="20% - Accent6 14" xfId="28535" xr:uid="{668A9152-AB06-4CDA-BB5B-14778F886123}"/>
    <cellStyle name="20% - Accent6 14 2" xfId="34934" xr:uid="{CF5FAE33-2454-449B-869C-618EC09EEB08}"/>
    <cellStyle name="20% - Accent6 14 3" xfId="36757" xr:uid="{05ECC53E-480A-464D-82DF-8C31DFA8C072}"/>
    <cellStyle name="20% - Accent6 14 4" xfId="37642" xr:uid="{E6880E6B-3CCD-4311-B078-FD1ABC1C916F}"/>
    <cellStyle name="20% - Accent6 15" xfId="34651" xr:uid="{F3BC847D-6A15-4BE4-B649-8EC0F4694291}"/>
    <cellStyle name="20% - Accent6 15 2" xfId="36488" xr:uid="{B6AB6DA8-E389-4AD5-8483-6EE2CC05B553}"/>
    <cellStyle name="20% - Accent6 15 3" xfId="36786" xr:uid="{D9FD111C-7DB4-4045-9E02-C1141CD15B46}"/>
    <cellStyle name="20% - Accent6 15 4" xfId="37674" xr:uid="{B8BBE5EC-8AF6-48E8-B984-3B03EBB0FF54}"/>
    <cellStyle name="20% - Accent6 16" xfId="35368" xr:uid="{0404252C-DF71-4EF5-AA7C-0FAFE16D7184}"/>
    <cellStyle name="20% - Accent6 16 2" xfId="36506" xr:uid="{1EAC38F2-D1CA-4520-A8B4-D8E0E8DEA9BA}"/>
    <cellStyle name="20% - Accent6 16 3" xfId="36804" xr:uid="{97E26F18-730B-4D84-972C-E5E846EF3295}"/>
    <cellStyle name="20% - Accent6 16 4" xfId="37693" xr:uid="{F8FB3078-C4F4-4EC3-BA32-86380F80ACED}"/>
    <cellStyle name="20% - Accent6 17" xfId="35655" xr:uid="{09219FA6-1C41-4F89-AD85-91CE13F8D4CC}"/>
    <cellStyle name="20% - Accent6 17 2" xfId="36823" xr:uid="{24075EB1-1E72-475E-ADFD-12C4C5ECF0B0}"/>
    <cellStyle name="20% - Accent6 17 3" xfId="37713" xr:uid="{77672829-178F-410C-8B20-BF4040BA7ADE}"/>
    <cellStyle name="20% - Accent6 18" xfId="35673" xr:uid="{962C0042-E63C-414C-BA10-C4B86841430E}"/>
    <cellStyle name="20% - Accent6 18 2" xfId="36842" xr:uid="{2BE6F5D3-F530-46DB-909C-D35E315C76D1}"/>
    <cellStyle name="20% - Accent6 18 3" xfId="37732" xr:uid="{1620EB6F-CECE-450F-A43F-FBACDABD06F6}"/>
    <cellStyle name="20% - Accent6 19" xfId="35692" xr:uid="{CEBC7F96-A35D-4813-B7F9-D69C3399B742}"/>
    <cellStyle name="20% - Accent6 19 2" xfId="36861" xr:uid="{2745126A-66D1-48CE-A02D-3A8029102A23}"/>
    <cellStyle name="20% - Accent6 19 3" xfId="37751" xr:uid="{88878C1C-7B18-4D1F-A869-FCAC7E78E35C}"/>
    <cellStyle name="20% - Accent6 2" xfId="92" xr:uid="{D4CD4B63-B59C-4054-AF6B-B6C16D86018D}"/>
    <cellStyle name="20% - Accent6 2 10" xfId="6617" xr:uid="{EBE76ABC-19C9-4325-B91C-53D10F7912C2}"/>
    <cellStyle name="20% - Accent6 2 10 2" xfId="6615" xr:uid="{93E95433-67C1-4ADF-8217-6171E2F11CB8}"/>
    <cellStyle name="20% - Accent6 2 10 3" xfId="37432" xr:uid="{E2363083-D28A-4733-89C4-3A89ADAADFD2}"/>
    <cellStyle name="20% - Accent6 2 11" xfId="6612" xr:uid="{AB6F384F-30AB-477B-9579-FA51523E38C5}"/>
    <cellStyle name="20% - Accent6 2 12" xfId="34447" xr:uid="{D6B077DF-E0AE-48F9-B1E9-5BB7010EC45B}"/>
    <cellStyle name="20% - Accent6 2 13" xfId="20468" xr:uid="{F2BE11C6-E857-44DC-AB0C-A5903D54EDE5}"/>
    <cellStyle name="20% - Accent6 2 2" xfId="153" xr:uid="{6B1537EC-28B2-419D-99E0-257713F97C19}"/>
    <cellStyle name="20% - Accent6 2 2 10" xfId="27645" xr:uid="{D3E3DF57-BF2E-4D96-ABB3-F27E68EDD3A7}"/>
    <cellStyle name="20% - Accent6 2 2 11" xfId="34502" xr:uid="{5FD20CC2-F6D5-49ED-B825-A7B7D4FC43A4}"/>
    <cellStyle name="20% - Accent6 2 2 12" xfId="19665" xr:uid="{5B62F511-923D-4223-BD78-031AA3226EA1}"/>
    <cellStyle name="20% - Accent6 2 2 2" xfId="20106" xr:uid="{32DF0978-4F77-4A33-8C81-512B04C4FC6E}"/>
    <cellStyle name="20% - Accent6 2 2 2 2" xfId="20101" xr:uid="{742C41AB-9DC3-4F4E-B94C-4BE34329C8C7}"/>
    <cellStyle name="20% - Accent6 2 2 2 2 2" xfId="20098" xr:uid="{63121E7E-6EEE-4BED-A889-E15DE6CDCD4C}"/>
    <cellStyle name="20% - Accent6 2 2 2 2 2 2" xfId="27018" xr:uid="{6C73D986-D725-4F58-A5D3-6FFE36402B9F}"/>
    <cellStyle name="20% - Accent6 2 2 2 2 2 2 2" xfId="25541" xr:uid="{65B145C1-1332-409D-8AD3-C6EEBC1E8832}"/>
    <cellStyle name="20% - Accent6 2 2 2 2 2 2 2 2" xfId="20095" xr:uid="{FA71738A-4C0E-44C7-824D-08ECF1F1838E}"/>
    <cellStyle name="20% - Accent6 2 2 2 2 2 2 2 2 2" xfId="9032" xr:uid="{A6A4B88F-9D70-4587-B1A3-B142995EBC42}"/>
    <cellStyle name="20% - Accent6 2 2 2 2 2 2 2 2 2 2" xfId="12716" xr:uid="{2F33C277-5CA0-4E27-AEBE-F3ADCE8375B0}"/>
    <cellStyle name="20% - Accent6 2 2 2 2 2 2 2 2 2 2 2" xfId="6179" xr:uid="{6911DE1E-EC7E-4209-9DBF-28600B9560E0}"/>
    <cellStyle name="20% - Accent6 2 2 2 2 2 2 2 2 2 3" xfId="20093" xr:uid="{153CD240-CD5D-4F0F-8964-1B517C01FC5F}"/>
    <cellStyle name="20% - Accent6 2 2 2 2 2 2 2 2 3" xfId="9909" xr:uid="{12E69B94-12E0-46BF-8574-C334C059838B}"/>
    <cellStyle name="20% - Accent6 2 2 2 2 2 2 2 2 3 2" xfId="20091" xr:uid="{906B24FB-E1CF-4E46-8912-3D074BDE4763}"/>
    <cellStyle name="20% - Accent6 2 2 2 2 2 2 2 2 4" xfId="16736" xr:uid="{9971386E-6282-43A7-B2C7-D109C3C20B8A}"/>
    <cellStyle name="20% - Accent6 2 2 2 2 2 2 2 3" xfId="16908" xr:uid="{C1C08FC1-177D-4859-BD6D-CDA1CDBA8FDC}"/>
    <cellStyle name="20% - Accent6 2 2 2 2 2 2 2 3 2" xfId="17627" xr:uid="{CB5D836D-B757-4A1D-9781-9F7523380DE1}"/>
    <cellStyle name="20% - Accent6 2 2 2 2 2 2 2 3 2 2" xfId="20563" xr:uid="{6144D7B6-25D3-40FB-8DAB-BAE0A5DA607E}"/>
    <cellStyle name="20% - Accent6 2 2 2 2 2 2 2 3 3" xfId="12333" xr:uid="{08970AEA-D8EB-46F4-BC89-64F60552169A}"/>
    <cellStyle name="20% - Accent6 2 2 2 2 2 2 2 4" xfId="20089" xr:uid="{E6BFA642-7ED9-4EDE-959E-46698181E772}"/>
    <cellStyle name="20% - Accent6 2 2 2 2 2 2 2 4 2" xfId="30485" xr:uid="{81560CB1-E37F-4F74-9F9E-8E86A305D816}"/>
    <cellStyle name="20% - Accent6 2 2 2 2 2 2 2 5" xfId="20081" xr:uid="{18E69F12-19CC-42C3-935A-2CF69D12435B}"/>
    <cellStyle name="20% - Accent6 2 2 2 2 2 2 3" xfId="25524" xr:uid="{F245559E-D819-4680-89D7-23A3F443C236}"/>
    <cellStyle name="20% - Accent6 2 2 2 2 2 2 3 2" xfId="20071" xr:uid="{B5B7D788-3177-40F1-B163-42151C8A23D7}"/>
    <cellStyle name="20% - Accent6 2 2 2 2 2 2 3 2 2" xfId="17539" xr:uid="{F4764351-757F-407B-9660-015295561BF1}"/>
    <cellStyle name="20% - Accent6 2 2 2 2 2 2 3 2 2 2" xfId="20065" xr:uid="{DBDCF264-97EB-4DB4-83DA-C08704CA5038}"/>
    <cellStyle name="20% - Accent6 2 2 2 2 2 2 3 2 3" xfId="24231" xr:uid="{877513B0-37F1-4A96-925D-0E7A15E6FEA2}"/>
    <cellStyle name="20% - Accent6 2 2 2 2 2 2 3 3" xfId="20062" xr:uid="{CB2F1980-62CE-4DB9-B8DB-C4B74207D68D}"/>
    <cellStyle name="20% - Accent6 2 2 2 2 2 2 3 3 2" xfId="22078" xr:uid="{16CE945F-0ED9-43E6-85B3-200382D42506}"/>
    <cellStyle name="20% - Accent6 2 2 2 2 2 2 3 4" xfId="20054" xr:uid="{C47F79F9-28B6-42C0-BFC1-638A33DB7612}"/>
    <cellStyle name="20% - Accent6 2 2 2 2 2 2 4" xfId="25521" xr:uid="{8A6C075A-DFEA-4FE1-8A5D-13641F4315C8}"/>
    <cellStyle name="20% - Accent6 2 2 2 2 2 2 4 2" xfId="28081" xr:uid="{C9476085-22DD-4803-A392-96B52A107E31}"/>
    <cellStyle name="20% - Accent6 2 2 2 2 2 2 4 2 2" xfId="27591" xr:uid="{B4D2B1A5-AB3E-423F-88CF-F1581EE58CC6}"/>
    <cellStyle name="20% - Accent6 2 2 2 2 2 2 4 3" xfId="28076" xr:uid="{0FB2257C-BA78-4E05-A0DD-E3003ABC1C78}"/>
    <cellStyle name="20% - Accent6 2 2 2 2 2 2 5" xfId="20042" xr:uid="{C7E6D9CF-7F94-405B-9A62-933066CF9909}"/>
    <cellStyle name="20% - Accent6 2 2 2 2 2 2 5 2" xfId="21275" xr:uid="{A7C9E7D8-FC32-4684-98B9-6AA91C74A3D4}"/>
    <cellStyle name="20% - Accent6 2 2 2 2 2 2 6" xfId="20041" xr:uid="{4D16724A-43D5-4D43-AE07-94BF6D9DDCE7}"/>
    <cellStyle name="20% - Accent6 2 2 2 2 2 3" xfId="20040" xr:uid="{28AB9687-F1ED-4572-B6DC-1D46F0BDE229}"/>
    <cellStyle name="20% - Accent6 2 2 2 2 2 3 2" xfId="25518" xr:uid="{E4C3B944-98A9-4275-964B-28E4B7F91B8C}"/>
    <cellStyle name="20% - Accent6 2 2 2 2 2 3 2 2" xfId="33549" xr:uid="{E9F7EA51-93B5-4FF2-9D9D-571B76CF84D4}"/>
    <cellStyle name="20% - Accent6 2 2 2 2 2 3 2 2 2" xfId="17232" xr:uid="{A9099060-FB56-41C2-9EA0-2F6F251F982E}"/>
    <cellStyle name="20% - Accent6 2 2 2 2 2 3 2 2 2 2" xfId="20039" xr:uid="{0BA468A7-1F43-4E2C-9282-0565DA919F71}"/>
    <cellStyle name="20% - Accent6 2 2 2 2 2 3 2 2 3" xfId="16708" xr:uid="{2C81EEFB-536D-4A45-83AD-C9EB88BAFC84}"/>
    <cellStyle name="20% - Accent6 2 2 2 2 2 3 2 3" xfId="28353" xr:uid="{F75B1C58-3227-4429-A19B-1794B783543D}"/>
    <cellStyle name="20% - Accent6 2 2 2 2 2 3 2 3 2" xfId="22063" xr:uid="{54CBE1DB-1565-4F78-A6C3-B536CDA29E18}"/>
    <cellStyle name="20% - Accent6 2 2 2 2 2 3 2 4" xfId="26941" xr:uid="{17F01251-9810-4484-87B5-27D8E126D69F}"/>
    <cellStyle name="20% - Accent6 2 2 2 2 2 3 3" xfId="25515" xr:uid="{8885E9F9-C9E9-42EF-9644-B2F2E379AECC}"/>
    <cellStyle name="20% - Accent6 2 2 2 2 2 3 3 2" xfId="25994" xr:uid="{17413FC6-F0E8-4AF1-9E1A-019C80050106}"/>
    <cellStyle name="20% - Accent6 2 2 2 2 2 3 3 2 2" xfId="22058" xr:uid="{B5DDCB71-F8B2-4219-A80B-C4680D3631DB}"/>
    <cellStyle name="20% - Accent6 2 2 2 2 2 3 3 3" xfId="33328" xr:uid="{7073D191-BDE1-40E1-82F2-9392AFA35C27}"/>
    <cellStyle name="20% - Accent6 2 2 2 2 2 3 4" xfId="20034" xr:uid="{4E66ED01-DA09-436F-846F-424C1769795D}"/>
    <cellStyle name="20% - Accent6 2 2 2 2 2 3 4 2" xfId="28003" xr:uid="{CCB9D836-775B-4BDE-9910-2095858C24CC}"/>
    <cellStyle name="20% - Accent6 2 2 2 2 2 3 5" xfId="20033" xr:uid="{52590A24-1988-4DDC-84A3-DA7E71CFA13C}"/>
    <cellStyle name="20% - Accent6 2 2 2 2 2 4" xfId="21239" xr:uid="{C021E73C-6268-422C-93AC-83B1AFED423B}"/>
    <cellStyle name="20% - Accent6 2 2 2 2 2 4 2" xfId="25507" xr:uid="{0BA2C0AB-DBF1-4A00-BC58-34579B997917}"/>
    <cellStyle name="20% - Accent6 2 2 2 2 2 4 2 2" xfId="23747" xr:uid="{70449CC4-1EAD-4F78-A744-9633091705D9}"/>
    <cellStyle name="20% - Accent6 2 2 2 2 2 4 2 2 2" xfId="22048" xr:uid="{B58148E5-2C12-4F76-A56D-7D9CE9DADE57}"/>
    <cellStyle name="20% - Accent6 2 2 2 2 2 4 2 3" xfId="23734" xr:uid="{24D505D8-7E3B-4F47-8DEA-86D10720FFF5}"/>
    <cellStyle name="20% - Accent6 2 2 2 2 2 4 3" xfId="20032" xr:uid="{6C749838-B8AC-4927-BA20-587D28F75ED8}"/>
    <cellStyle name="20% - Accent6 2 2 2 2 2 4 3 2" xfId="26606" xr:uid="{730BED18-A44A-4898-A4C9-0BB5480C9D7C}"/>
    <cellStyle name="20% - Accent6 2 2 2 2 2 4 4" xfId="20030" xr:uid="{45F27C17-6C2E-4E2F-A9EE-4A7A4F111823}"/>
    <cellStyle name="20% - Accent6 2 2 2 2 2 5" xfId="20028" xr:uid="{D64D5DCB-D21B-40C7-B526-06B3CE4CA486}"/>
    <cellStyle name="20% - Accent6 2 2 2 2 2 5 2" xfId="20027" xr:uid="{789A2C75-3D7B-4441-9D0C-2FC41EE50456}"/>
    <cellStyle name="20% - Accent6 2 2 2 2 2 5 2 2" xfId="29713" xr:uid="{B2B28E5C-45DA-488F-A7C1-F84D5CB03792}"/>
    <cellStyle name="20% - Accent6 2 2 2 2 2 5 3" xfId="20025" xr:uid="{1D955B4B-024F-44D2-9BC5-02E2E79A8278}"/>
    <cellStyle name="20% - Accent6 2 2 2 2 2 6" xfId="20021" xr:uid="{6B327EE0-5A20-4D28-9D6B-8606B089B7D2}"/>
    <cellStyle name="20% - Accent6 2 2 2 2 2 6 2" xfId="20019" xr:uid="{BD3E71F2-A522-4834-831B-BBAC3048DB39}"/>
    <cellStyle name="20% - Accent6 2 2 2 2 2 7" xfId="24615" xr:uid="{E91C9DEB-6289-4A8D-8C0B-590FE4F89C1A}"/>
    <cellStyle name="20% - Accent6 2 2 2 2 3" xfId="20018" xr:uid="{0E2BB1B2-4EE1-4982-B00A-F902F30A5321}"/>
    <cellStyle name="20% - Accent6 2 2 2 2 3 2" xfId="20017" xr:uid="{4DCFEF28-F860-4FBE-AC4D-3B47656F4C5C}"/>
    <cellStyle name="20% - Accent6 2 2 2 2 3 2 2" xfId="26746" xr:uid="{7E7B509C-83F8-4B8E-ABBF-2E99F837E9F5}"/>
    <cellStyle name="20% - Accent6 2 2 2 2 3 2 2 2" xfId="12037" xr:uid="{94970728-AF4A-4012-8276-CF6F78B71F05}"/>
    <cellStyle name="20% - Accent6 2 2 2 2 3 2 2 2 2" xfId="7763" xr:uid="{790ABD5A-B5E0-4B31-A1A2-EB80D245CEDF}"/>
    <cellStyle name="20% - Accent6 2 2 2 2 3 2 2 2 2 2" xfId="18106" xr:uid="{62E09792-E5BE-4862-A1AB-19FA3BA8035D}"/>
    <cellStyle name="20% - Accent6 2 2 2 2 3 2 2 2 3" xfId="23978" xr:uid="{803E07D9-8AE5-4AE6-91CF-7182520F9125}"/>
    <cellStyle name="20% - Accent6 2 2 2 2 3 2 2 3" xfId="12030" xr:uid="{EB9369F1-A3B6-46D4-86C7-1BF5710534A0}"/>
    <cellStyle name="20% - Accent6 2 2 2 2 3 2 2 3 2" xfId="22006" xr:uid="{3B773CCF-3EC0-486F-9078-D4300CF2DA3B}"/>
    <cellStyle name="20% - Accent6 2 2 2 2 3 2 2 4" xfId="12019" xr:uid="{F5D58754-16F2-4198-8DD0-28FC947C9E10}"/>
    <cellStyle name="20% - Accent6 2 2 2 2 3 2 3" xfId="26744" xr:uid="{E215C52D-AA15-4B68-A6EE-822A8C784551}"/>
    <cellStyle name="20% - Accent6 2 2 2 2 3 2 3 2" xfId="20001" xr:uid="{CAB25B13-363A-45CA-980F-F5F8E9A9D971}"/>
    <cellStyle name="20% - Accent6 2 2 2 2 3 2 3 2 2" xfId="31525" xr:uid="{4CC10F0C-B26B-4DED-AE0C-D99262E56558}"/>
    <cellStyle name="20% - Accent6 2 2 2 2 3 2 3 3" xfId="19994" xr:uid="{EE145ABD-E356-44B9-AE3D-EE4747433891}"/>
    <cellStyle name="20% - Accent6 2 2 2 2 3 2 4" xfId="19987" xr:uid="{28891128-9DAA-4104-ACF9-2B4EE0839BE2}"/>
    <cellStyle name="20% - Accent6 2 2 2 2 3 2 4 2" xfId="27905" xr:uid="{7D2DE420-D682-4233-986E-FB4C8005025D}"/>
    <cellStyle name="20% - Accent6 2 2 2 2 3 2 5" xfId="19986" xr:uid="{C32CD65C-ECAD-4D50-AAB4-4CA2A2E2B29E}"/>
    <cellStyle name="20% - Accent6 2 2 2 2 3 3" xfId="30512" xr:uid="{E62FDD59-CD77-4544-9CD6-5A297C81FF96}"/>
    <cellStyle name="20% - Accent6 2 2 2 2 3 3 2" xfId="26733" xr:uid="{16DCA15D-BA06-458F-AEF8-5CF727E90D5E}"/>
    <cellStyle name="20% - Accent6 2 2 2 2 3 3 2 2" xfId="12001" xr:uid="{82208936-A977-4EDC-8DBA-A4F518F276C4}"/>
    <cellStyle name="20% - Accent6 2 2 2 2 3 3 2 2 2" xfId="21995" xr:uid="{191D2EA4-BE31-4CBD-9627-E09978AE7253}"/>
    <cellStyle name="20% - Accent6 2 2 2 2 3 3 2 3" xfId="11994" xr:uid="{4D965572-2FB5-48A9-AF56-762D9858E9DE}"/>
    <cellStyle name="20% - Accent6 2 2 2 2 3 3 3" xfId="19985" xr:uid="{7B2DD476-F2E0-405C-8C18-5046FE091432}"/>
    <cellStyle name="20% - Accent6 2 2 2 2 3 3 3 2" xfId="26538" xr:uid="{BB906FC7-6426-46ED-9A02-2B45AC1757E8}"/>
    <cellStyle name="20% - Accent6 2 2 2 2 3 3 4" xfId="19984" xr:uid="{8B2E06EE-44AA-4E8E-B7EA-D28635D8F8E6}"/>
    <cellStyle name="20% - Accent6 2 2 2 2 3 4" xfId="19983" xr:uid="{BD3A8958-C7E8-4D16-9531-A12AB4A03E32}"/>
    <cellStyle name="20% - Accent6 2 2 2 2 3 4 2" xfId="19982" xr:uid="{BDDC5540-A97F-41B0-9410-916768070437}"/>
    <cellStyle name="20% - Accent6 2 2 2 2 3 4 2 2" xfId="15451" xr:uid="{54F7A99F-ABD2-4E94-A50A-CF13C0D74179}"/>
    <cellStyle name="20% - Accent6 2 2 2 2 3 4 3" xfId="19979" xr:uid="{35C0D47B-057E-43CD-B219-9D9E16593BD6}"/>
    <cellStyle name="20% - Accent6 2 2 2 2 3 5" xfId="22140" xr:uid="{DB62509A-8232-4B15-93DB-F12839FA64FA}"/>
    <cellStyle name="20% - Accent6 2 2 2 2 3 5 2" xfId="19976" xr:uid="{8A47CF5B-0AF4-435A-B81B-A7691914CEB3}"/>
    <cellStyle name="20% - Accent6 2 2 2 2 3 6" xfId="22138" xr:uid="{1D7F53F5-452D-4A61-871D-95AF389961EC}"/>
    <cellStyle name="20% - Accent6 2 2 2 2 4" xfId="19975" xr:uid="{92F1B81E-E5CE-4C72-9A97-12EC9190FC43}"/>
    <cellStyle name="20% - Accent6 2 2 2 2 4 2" xfId="19974" xr:uid="{C82F8A42-7350-4D72-9B91-4C14AB3A5F48}"/>
    <cellStyle name="20% - Accent6 2 2 2 2 4 2 2" xfId="26709" xr:uid="{4CDE3193-9502-495E-8140-F7016AFA7BC2}"/>
    <cellStyle name="20% - Accent6 2 2 2 2 4 2 2 2" xfId="11966" xr:uid="{07E8C32C-9AB2-417D-BDA2-D14856DB7623}"/>
    <cellStyle name="20% - Accent6 2 2 2 2 4 2 2 2 2" xfId="21971" xr:uid="{EB259AF1-B087-414C-946D-D7AE942FE7B5}"/>
    <cellStyle name="20% - Accent6 2 2 2 2 4 2 2 3" xfId="11959" xr:uid="{28F3DF6C-4513-4C17-9CEF-938B8E3E7BD4}"/>
    <cellStyle name="20% - Accent6 2 2 2 2 4 2 3" xfId="19965" xr:uid="{ED814688-25AE-478D-961E-352B00CD4D0C}"/>
    <cellStyle name="20% - Accent6 2 2 2 2 4 2 3 2" xfId="19963" xr:uid="{736C865A-B455-42CA-8559-3889D9587AE9}"/>
    <cellStyle name="20% - Accent6 2 2 2 2 4 2 4" xfId="28638" xr:uid="{844224E0-25FC-48F4-9D1E-830DC28DAFD6}"/>
    <cellStyle name="20% - Accent6 2 2 2 2 4 3" xfId="19956" xr:uid="{54D7AC8B-016B-43E1-9D43-762A8CFBE485}"/>
    <cellStyle name="20% - Accent6 2 2 2 2 4 3 2" xfId="19949" xr:uid="{E86428EB-D9A5-480B-A67D-2565CE2C40FA}"/>
    <cellStyle name="20% - Accent6 2 2 2 2 4 3 2 2" xfId="12244" xr:uid="{87BDA991-4A8C-41FE-B298-0775FAE16177}"/>
    <cellStyle name="20% - Accent6 2 2 2 2 4 3 3" xfId="19947" xr:uid="{2ED9BEED-D6B8-4C4A-AC50-E38CAAC1C4AE}"/>
    <cellStyle name="20% - Accent6 2 2 2 2 4 4" xfId="22176" xr:uid="{92462B7A-EFB6-4866-965C-B08698250D8C}"/>
    <cellStyle name="20% - Accent6 2 2 2 2 4 4 2" xfId="5997" xr:uid="{2FA4CFD2-C0DC-429E-BD66-ACF07F5FB934}"/>
    <cellStyle name="20% - Accent6 2 2 2 2 4 5" xfId="22130" xr:uid="{3180E1C5-309E-45C7-9CBE-4E52673DC91B}"/>
    <cellStyle name="20% - Accent6 2 2 2 2 5" xfId="22353" xr:uid="{EB621897-165B-4742-B035-B4A5E8804280}"/>
    <cellStyle name="20% - Accent6 2 2 2 2 5 2" xfId="22349" xr:uid="{4429D4AF-4238-4039-A69A-67CA0B9C26C2}"/>
    <cellStyle name="20% - Accent6 2 2 2 2 5 2 2" xfId="19945" xr:uid="{7F074839-31FE-49E7-BA70-651FF20DD4B2}"/>
    <cellStyle name="20% - Accent6 2 2 2 2 5 2 2 2" xfId="11951" xr:uid="{84D04ABE-FF56-4832-A782-12BDE6EA2731}"/>
    <cellStyle name="20% - Accent6 2 2 2 2 5 2 3" xfId="19943" xr:uid="{9B575D93-3085-40C0-87CB-C645FA431519}"/>
    <cellStyle name="20% - Accent6 2 2 2 2 5 3" xfId="22338" xr:uid="{4A2E7F1F-ACD3-4B3C-A5D0-1670A10D3A18}"/>
    <cellStyle name="20% - Accent6 2 2 2 2 5 3 2" xfId="19940" xr:uid="{F8F55785-C02F-48A8-982D-790939BCAB14}"/>
    <cellStyle name="20% - Accent6 2 2 2 2 5 4" xfId="33100" xr:uid="{F75E483F-4820-4358-AA3C-B3CA142B627F}"/>
    <cellStyle name="20% - Accent6 2 2 2 2 6" xfId="22330" xr:uid="{AB881618-ADF1-456D-8159-5EBC12868027}"/>
    <cellStyle name="20% - Accent6 2 2 2 2 6 2" xfId="22326" xr:uid="{39C04D28-ECFE-479E-B43F-757F8197161A}"/>
    <cellStyle name="20% - Accent6 2 2 2 2 6 2 2" xfId="19938" xr:uid="{DDFF1054-6231-4196-8460-54EAF2CCD185}"/>
    <cellStyle name="20% - Accent6 2 2 2 2 6 3" xfId="13431" xr:uid="{3D73BF35-0848-4FD5-847C-234004C84D68}"/>
    <cellStyle name="20% - Accent6 2 2 2 2 7" xfId="22323" xr:uid="{CFBF447F-2AFA-47FE-B31C-D41F3B831512}"/>
    <cellStyle name="20% - Accent6 2 2 2 2 7 2" xfId="20219" xr:uid="{AD5880E6-2ABD-4A59-B657-3D05E0D047EA}"/>
    <cellStyle name="20% - Accent6 2 2 2 2 8" xfId="19932" xr:uid="{78B9F84F-09D6-4777-938A-D796CDA104A0}"/>
    <cellStyle name="20% - Accent6 2 2 2 3" xfId="31959" xr:uid="{0FA51B13-3A1E-4E8A-BFC8-F53E2D7067ED}"/>
    <cellStyle name="20% - Accent6 2 2 2 3 2" xfId="31710" xr:uid="{BB90BAE6-0F3A-4C7E-AC72-1A9127EA8B6E}"/>
    <cellStyle name="20% - Accent6 2 2 2 3 2 2" xfId="30499" xr:uid="{EF4A6649-4A05-4078-BAAE-C5E7D076B104}"/>
    <cellStyle name="20% - Accent6 2 2 2 3 2 2 2" xfId="25229" xr:uid="{E04108B6-683A-4129-97EC-B25ADA0CD108}"/>
    <cellStyle name="20% - Accent6 2 2 2 3 2 2 2 2" xfId="19930" xr:uid="{2F2E4F50-6ADA-4E00-9AEF-4EDA7D635905}"/>
    <cellStyle name="20% - Accent6 2 2 2 3 2 2 2 2 2" xfId="21864" xr:uid="{463EB620-0BAA-4D84-B754-1AACC14940F6}"/>
    <cellStyle name="20% - Accent6 2 2 2 3 2 2 2 2 2 2" xfId="18685" xr:uid="{49001644-D96C-47CB-B01B-766A8E9F7FED}"/>
    <cellStyle name="20% - Accent6 2 2 2 3 2 2 2 2 3" xfId="23188" xr:uid="{1EB64B26-DD6B-4832-80E5-C0761C3FC527}"/>
    <cellStyle name="20% - Accent6 2 2 2 3 2 2 2 3" xfId="19928" xr:uid="{20C197BC-D1C7-4263-B184-B17C7032F198}"/>
    <cellStyle name="20% - Accent6 2 2 2 3 2 2 2 3 2" xfId="21855" xr:uid="{27B74DA2-5F25-4E7A-B22C-459B1464E4C9}"/>
    <cellStyle name="20% - Accent6 2 2 2 3 2 2 2 4" xfId="19924" xr:uid="{87D31EF6-D2A4-4574-B62B-D63DD5544061}"/>
    <cellStyle name="20% - Accent6 2 2 2 3 2 2 3" xfId="25226" xr:uid="{3B885BEF-0C6A-49A2-ACC7-58301F3DDE59}"/>
    <cellStyle name="20% - Accent6 2 2 2 3 2 2 3 2" xfId="5357" xr:uid="{97389F2D-0D7D-40B6-9D47-C4123AC9C0BF}"/>
    <cellStyle name="20% - Accent6 2 2 2 3 2 2 3 2 2" xfId="21844" xr:uid="{88D1DBF4-FAA2-4D03-AC79-D5FFDE51866C}"/>
    <cellStyle name="20% - Accent6 2 2 2 3 2 2 3 3" xfId="19919" xr:uid="{9E1A71BD-41AD-407B-8BFD-5D819B58A7E8}"/>
    <cellStyle name="20% - Accent6 2 2 2 3 2 2 4" xfId="19916" xr:uid="{8A140E7F-8031-4550-99A1-D0A8C2699F95}"/>
    <cellStyle name="20% - Accent6 2 2 2 3 2 2 4 2" xfId="25365" xr:uid="{1CDC9B24-D5B7-4A68-9031-4F1C6CB17326}"/>
    <cellStyle name="20% - Accent6 2 2 2 3 2 2 5" xfId="19907" xr:uid="{64BAA65D-4B18-4958-AD7F-9539A9F468C4}"/>
    <cellStyle name="20% - Accent6 2 2 2 3 2 3" xfId="25427" xr:uid="{3BFC0050-636D-4565-BD28-6B8CEC84B9A8}"/>
    <cellStyle name="20% - Accent6 2 2 2 3 2 3 2" xfId="28599" xr:uid="{F32B566F-1FF5-437B-8637-E9E3D86AECCB}"/>
    <cellStyle name="20% - Accent6 2 2 2 3 2 3 2 2" xfId="25765" xr:uid="{CD2B9652-DF80-4B81-8056-7F5E047796F0}"/>
    <cellStyle name="20% - Accent6 2 2 2 3 2 3 2 2 2" xfId="25855" xr:uid="{D0813F16-5A54-45FD-97BD-9CF75A734F3F}"/>
    <cellStyle name="20% - Accent6 2 2 2 3 2 3 2 3" xfId="30382" xr:uid="{8FCC77C8-1417-4299-BA43-6CE33BB40609}"/>
    <cellStyle name="20% - Accent6 2 2 2 3 2 3 3" xfId="19902" xr:uid="{6A42AA3A-324B-4AC6-B726-292BF1C5CDD5}"/>
    <cellStyle name="20% - Accent6 2 2 2 3 2 3 3 2" xfId="23071" xr:uid="{954E577C-7984-41B7-9BE4-2240CE9A283E}"/>
    <cellStyle name="20% - Accent6 2 2 2 3 2 3 4" xfId="19898" xr:uid="{019A7135-86DA-4B01-9162-90D3B35D91B9}"/>
    <cellStyle name="20% - Accent6 2 2 2 3 2 4" xfId="19891" xr:uid="{0D4ED399-E553-450A-A38A-42E23F457D85}"/>
    <cellStyle name="20% - Accent6 2 2 2 3 2 4 2" xfId="19883" xr:uid="{480AC50A-D474-42E5-951D-9B8EC9441F19}"/>
    <cellStyle name="20% - Accent6 2 2 2 3 2 4 2 2" xfId="30342" xr:uid="{5B903063-D9B1-4681-8D9D-35884702124E}"/>
    <cellStyle name="20% - Accent6 2 2 2 3 2 4 3" xfId="19879" xr:uid="{D6AFD1F7-BB82-4195-BBC2-A15E96E85158}"/>
    <cellStyle name="20% - Accent6 2 2 2 3 2 5" xfId="19874" xr:uid="{2E296DD3-0172-41EA-8882-B64204FB8A34}"/>
    <cellStyle name="20% - Accent6 2 2 2 3 2 5 2" xfId="19870" xr:uid="{2C646547-6E3B-49E4-A2DE-5752DE5A91A1}"/>
    <cellStyle name="20% - Accent6 2 2 2 3 2 6" xfId="19867" xr:uid="{5DC4EFBA-FE0E-4A38-B8EF-3E1214404CD7}"/>
    <cellStyle name="20% - Accent6 2 2 2 3 3" xfId="31948" xr:uid="{030FEA21-4EFE-4F64-B81F-3A0C144B853C}"/>
    <cellStyle name="20% - Accent6 2 2 2 3 3 2" xfId="32766" xr:uid="{A074478F-F0E8-435C-9A57-8B3E836906E8}"/>
    <cellStyle name="20% - Accent6 2 2 2 3 3 2 2" xfId="26657" xr:uid="{AE34F6C9-1DFA-4629-BE84-8379DB3EE014}"/>
    <cellStyle name="20% - Accent6 2 2 2 3 3 2 2 2" xfId="11818" xr:uid="{AA9E9B2E-CDA0-4638-A7CF-0F3F3B8E23CE}"/>
    <cellStyle name="20% - Accent6 2 2 2 3 3 2 2 2 2" xfId="22453" xr:uid="{8DEC5D55-9ACA-4919-A451-4DBE69DB3E22}"/>
    <cellStyle name="20% - Accent6 2 2 2 3 3 2 2 3" xfId="11815" xr:uid="{E199E3C1-CF65-433B-95F7-E5D7D63D54C8}"/>
    <cellStyle name="20% - Accent6 2 2 2 3 3 2 3" xfId="19241" xr:uid="{1D4BBD02-1868-4ACC-908A-8AE93F293654}"/>
    <cellStyle name="20% - Accent6 2 2 2 3 3 2 3 2" xfId="19859" xr:uid="{662DC800-C0EC-4871-859D-7DFF3C46B29B}"/>
    <cellStyle name="20% - Accent6 2 2 2 3 3 2 4" xfId="15587" xr:uid="{CDE3DF95-A493-46C6-BBBB-C53ED18AD358}"/>
    <cellStyle name="20% - Accent6 2 2 2 3 3 3" xfId="19851" xr:uid="{4575998A-0EB9-47A9-B707-6AD9109CB27D}"/>
    <cellStyle name="20% - Accent6 2 2 2 3 3 3 2" xfId="19847" xr:uid="{C44DE685-3643-42F7-A9A9-44D43E4B4519}"/>
    <cellStyle name="20% - Accent6 2 2 2 3 3 3 2 2" xfId="11804" xr:uid="{9E659E0D-7908-450A-939F-EE54895FFF8A}"/>
    <cellStyle name="20% - Accent6 2 2 2 3 3 3 3" xfId="19846" xr:uid="{84CCB424-6C16-4A3B-9C9C-DC50AB4AFF6B}"/>
    <cellStyle name="20% - Accent6 2 2 2 3 3 4" xfId="19840" xr:uid="{2DFF3507-E652-4DED-A6C6-8D31E91FF625}"/>
    <cellStyle name="20% - Accent6 2 2 2 3 3 4 2" xfId="19832" xr:uid="{80E2DFF2-B7DC-4B94-A0AE-3F7631DBD4C7}"/>
    <cellStyle name="20% - Accent6 2 2 2 3 3 5" xfId="22119" xr:uid="{E03D2DC8-6667-4644-A6DC-1E2133CB41A5}"/>
    <cellStyle name="20% - Accent6 2 2 2 3 4" xfId="31775" xr:uid="{2FE1A156-A299-4148-9065-0C694C71D148}"/>
    <cellStyle name="20% - Accent6 2 2 2 3 4 2" xfId="19829" xr:uid="{A378A503-1112-49B8-B4FA-6D1B8F5EF777}"/>
    <cellStyle name="20% - Accent6 2 2 2 3 4 2 2" xfId="19826" xr:uid="{D93C80AE-1E9C-41E1-B4D9-C7899F46F1CF}"/>
    <cellStyle name="20% - Accent6 2 2 2 3 4 2 2 2" xfId="29135" xr:uid="{A16C3B64-7FA1-4149-9D4F-3F24B5B575E1}"/>
    <cellStyle name="20% - Accent6 2 2 2 3 4 2 3" xfId="19824" xr:uid="{8F22C88C-85D0-4454-B2B7-3D39BD15D094}"/>
    <cellStyle name="20% - Accent6 2 2 2 3 4 3" xfId="19818" xr:uid="{8432C0DE-DCC6-42BD-BE73-FAECA4133882}"/>
    <cellStyle name="20% - Accent6 2 2 2 3 4 3 2" xfId="19810" xr:uid="{B2C8E0AD-F65D-46E0-8336-B6E526034C61}"/>
    <cellStyle name="20% - Accent6 2 2 2 3 4 4" xfId="21914" xr:uid="{0F1F2969-E059-419F-9709-27EF976BB671}"/>
    <cellStyle name="20% - Accent6 2 2 2 3 5" xfId="22316" xr:uid="{2F5C70EF-883F-4540-B91A-0CA47D8EFB8A}"/>
    <cellStyle name="20% - Accent6 2 2 2 3 5 2" xfId="22310" xr:uid="{59BB4ECE-C218-4DED-8CEE-6C82E6556B6B}"/>
    <cellStyle name="20% - Accent6 2 2 2 3 5 2 2" xfId="19806" xr:uid="{7280C838-9B73-44D5-8BDB-EF5BAD62F882}"/>
    <cellStyle name="20% - Accent6 2 2 2 3 5 3" xfId="19802" xr:uid="{BDCB4BAC-E802-4ABB-9423-F25B4ADB089C}"/>
    <cellStyle name="20% - Accent6 2 2 2 3 6" xfId="22301" xr:uid="{71F482B9-B537-45B7-90C7-592DAAD396BD}"/>
    <cellStyle name="20% - Accent6 2 2 2 3 6 2" xfId="19799" xr:uid="{46B27630-448A-41F5-AFD1-9BCA7F080F9F}"/>
    <cellStyle name="20% - Accent6 2 2 2 3 7" xfId="18481" xr:uid="{F35CC386-98A7-4AFB-B338-490A43559858}"/>
    <cellStyle name="20% - Accent6 2 2 2 4" xfId="31933" xr:uid="{20BCC387-5A4F-42EA-B58B-437DAF81E8B0}"/>
    <cellStyle name="20% - Accent6 2 2 2 4 2" xfId="31919" xr:uid="{D66ABEDD-A144-4F0D-95DE-DFD4FA8F0D80}"/>
    <cellStyle name="20% - Accent6 2 2 2 4 2 2" xfId="30294" xr:uid="{B3112434-86D7-4231-ACA9-E57880FAA33C}"/>
    <cellStyle name="20% - Accent6 2 2 2 4 2 2 2" xfId="25138" xr:uid="{BECA7EC6-AC90-42DB-99D3-2C8990A6D284}"/>
    <cellStyle name="20% - Accent6 2 2 2 4 2 2 2 2" xfId="19797" xr:uid="{3E348207-49AA-4DC0-A199-1F99F2454269}"/>
    <cellStyle name="20% - Accent6 2 2 2 4 2 2 2 2 2" xfId="21697" xr:uid="{081182F6-4A64-43CA-83A5-1871E7476BD7}"/>
    <cellStyle name="20% - Accent6 2 2 2 4 2 2 2 3" xfId="32289" xr:uid="{9F27222C-55A9-488F-9A58-B711A9244B5B}"/>
    <cellStyle name="20% - Accent6 2 2 2 4 2 2 3" xfId="9220" xr:uid="{15D0E3C6-673F-4A11-A023-AB7DF5238C9F}"/>
    <cellStyle name="20% - Accent6 2 2 2 4 2 2 3 2" xfId="19788" xr:uid="{9F6A0EE7-72F6-4535-A83D-942AF0DA7DD7}"/>
    <cellStyle name="20% - Accent6 2 2 2 4 2 2 4" xfId="5661" xr:uid="{819C987F-5920-4E39-8AC6-34103C89B76A}"/>
    <cellStyle name="20% - Accent6 2 2 2 4 2 3" xfId="19780" xr:uid="{F319D644-A961-4B41-B4F3-037FEB34DA92}"/>
    <cellStyle name="20% - Accent6 2 2 2 4 2 3 2" xfId="17490" xr:uid="{92316BB0-8E05-4398-89AE-9B93145EAE31}"/>
    <cellStyle name="20% - Accent6 2 2 2 4 2 3 2 2" xfId="30194" xr:uid="{AAA2BD94-7648-4A69-9A9A-965A76AB11DB}"/>
    <cellStyle name="20% - Accent6 2 2 2 4 2 3 3" xfId="10646" xr:uid="{F3D6A98D-3187-4C73-8331-14BE84723591}"/>
    <cellStyle name="20% - Accent6 2 2 2 4 2 4" xfId="21947" xr:uid="{80B93DFF-A68D-4D60-A269-9BCE5F3D7294}"/>
    <cellStyle name="20% - Accent6 2 2 2 4 2 4 2" xfId="17471" xr:uid="{E514E59B-290D-4E9C-AB37-E1AEB5ACAB8E}"/>
    <cellStyle name="20% - Accent6 2 2 2 4 2 5" xfId="19777" xr:uid="{435E4470-7783-4E28-A360-CF8B44DC8709}"/>
    <cellStyle name="20% - Accent6 2 2 2 4 3" xfId="31769" xr:uid="{5AB84745-AFA6-4143-A95E-B43552ED3158}"/>
    <cellStyle name="20% - Accent6 2 2 2 4 3 2" xfId="21250" xr:uid="{EE279269-7299-4486-AEC3-40E1387CB6E0}"/>
    <cellStyle name="20% - Accent6 2 2 2 4 3 2 2" xfId="19776" xr:uid="{B0F162C6-D29A-4994-A1E0-07261E7D9D5C}"/>
    <cellStyle name="20% - Accent6 2 2 2 4 3 2 2 2" xfId="11711" xr:uid="{138A6B02-5A93-439B-8F52-CBEC191455F3}"/>
    <cellStyle name="20% - Accent6 2 2 2 4 3 2 3" xfId="27190" xr:uid="{1D4E3639-F8E8-4313-B2F8-EF1B5EBFFBF8}"/>
    <cellStyle name="20% - Accent6 2 2 2 4 3 3" xfId="32730" xr:uid="{AB84CA5C-D92D-42D6-A9C5-7A0DD8E7CB3F}"/>
    <cellStyle name="20% - Accent6 2 2 2 4 3 3 2" xfId="19775" xr:uid="{2DAB65B3-AC43-43F8-AA5E-4BC8EB37AE93}"/>
    <cellStyle name="20% - Accent6 2 2 2 4 3 4" xfId="19768" xr:uid="{30EF71AD-E7B1-4492-B629-91207D416B40}"/>
    <cellStyle name="20% - Accent6 2 2 2 4 4" xfId="19767" xr:uid="{769EC6D1-3D5F-4550-97EA-15098FF71308}"/>
    <cellStyle name="20% - Accent6 2 2 2 4 4 2" xfId="29838" xr:uid="{38CE5590-C3D6-4779-9DC2-153291F2B7A2}"/>
    <cellStyle name="20% - Accent6 2 2 2 4 4 2 2" xfId="19766" xr:uid="{DC0FC1FE-D94E-4C8A-AD92-16AF2EDB7609}"/>
    <cellStyle name="20% - Accent6 2 2 2 4 4 3" xfId="19760" xr:uid="{9CA2459B-E0E9-4B3D-ADB8-D5CA85FB5918}"/>
    <cellStyle name="20% - Accent6 2 2 2 4 5" xfId="22296" xr:uid="{EC3D4980-7E87-4224-8186-1AD46277A28D}"/>
    <cellStyle name="20% - Accent6 2 2 2 4 5 2" xfId="19758" xr:uid="{726DAC80-3B9B-40A5-B587-7BB2AB9B64D6}"/>
    <cellStyle name="20% - Accent6 2 2 2 4 6" xfId="20524" xr:uid="{58D02DFE-FD82-4733-91E5-39CFAA30EBC3}"/>
    <cellStyle name="20% - Accent6 2 2 2 5" xfId="34300" xr:uid="{27DA0EAC-DB1E-418D-849B-FA1E36D1141A}"/>
    <cellStyle name="20% - Accent6 2 2 2 5 2" xfId="31761" xr:uid="{0A0BFBA6-A032-46B7-9137-914A573412FA}"/>
    <cellStyle name="20% - Accent6 2 2 2 5 2 2" xfId="32042" xr:uid="{681B8BE8-76F0-428C-8D6F-EFD34046FE9B}"/>
    <cellStyle name="20% - Accent6 2 2 2 5 2 2 2" xfId="19756" xr:uid="{A8916174-48F6-465E-AF17-D5E2034686AA}"/>
    <cellStyle name="20% - Accent6 2 2 2 5 2 2 2 2" xfId="19751" xr:uid="{7F0A38D3-8ADD-492B-88DA-44D1CA7CE99A}"/>
    <cellStyle name="20% - Accent6 2 2 2 5 2 2 3" xfId="15297" xr:uid="{7B2491E1-4B73-4F08-83FB-2DF0D23C277A}"/>
    <cellStyle name="20% - Accent6 2 2 2 5 2 3" xfId="19744" xr:uid="{B229643C-416E-4DCE-958D-BADDD2616FC7}"/>
    <cellStyle name="20% - Accent6 2 2 2 5 2 3 2" xfId="19742" xr:uid="{68C1F67A-1D0B-480D-90D3-6E87AFF442FA}"/>
    <cellStyle name="20% - Accent6 2 2 2 5 2 4" xfId="14760" xr:uid="{3CC02DA6-5A07-459F-BD85-D7C4C447B74D}"/>
    <cellStyle name="20% - Accent6 2 2 2 5 3" xfId="19734" xr:uid="{CA4070A4-88A2-454E-9E86-9F8FF1673E8B}"/>
    <cellStyle name="20% - Accent6 2 2 2 5 3 2" xfId="30905" xr:uid="{D89FCD5A-AFFD-4F11-85E0-7C14F1B37A7B}"/>
    <cellStyle name="20% - Accent6 2 2 2 5 3 2 2" xfId="19732" xr:uid="{41A66FCA-B737-497E-A4CE-FE50D61CFB44}"/>
    <cellStyle name="20% - Accent6 2 2 2 5 3 3" xfId="19720" xr:uid="{20176387-E412-478D-9E5A-886AFEE9BE13}"/>
    <cellStyle name="20% - Accent6 2 2 2 5 4" xfId="19408" xr:uid="{2E2601C7-BF02-46F6-93E5-D9FC862A125B}"/>
    <cellStyle name="20% - Accent6 2 2 2 5 4 2" xfId="13217" xr:uid="{3E99327C-A79B-4C40-A1E9-7BA52AFCD7EB}"/>
    <cellStyle name="20% - Accent6 2 2 2 5 5" xfId="20517" xr:uid="{8B80806F-DB1F-4643-80E2-E5FCDFE4099F}"/>
    <cellStyle name="20% - Accent6 2 2 2 6" xfId="31758" xr:uid="{9B83D98B-ECB3-41B1-AC21-9B97B1DE636E}"/>
    <cellStyle name="20% - Accent6 2 2 2 6 2" xfId="6989" xr:uid="{E6464941-21A1-4BD1-B10F-2F9BF253D886}"/>
    <cellStyle name="20% - Accent6 2 2 2 6 2 2" xfId="19714" xr:uid="{1D00F960-A993-41AC-A71A-931E39F0F3B7}"/>
    <cellStyle name="20% - Accent6 2 2 2 6 2 2 2" xfId="19710" xr:uid="{5A34402A-B5C1-496A-8A72-10B32D47436E}"/>
    <cellStyle name="20% - Accent6 2 2 2 6 2 3" xfId="27901" xr:uid="{1E187395-4E5C-4DF7-8DB0-A4B7D5E8043D}"/>
    <cellStyle name="20% - Accent6 2 2 2 6 3" xfId="19706" xr:uid="{2661501B-9667-4393-89D4-61D9336D28D3}"/>
    <cellStyle name="20% - Accent6 2 2 2 6 3 2" xfId="19703" xr:uid="{F6C0726B-7120-40B8-8AF2-0DB390647AA8}"/>
    <cellStyle name="20% - Accent6 2 2 2 6 4" xfId="29061" xr:uid="{D3525865-BA2D-4145-A55A-BAB4022AEE68}"/>
    <cellStyle name="20% - Accent6 2 2 2 7" xfId="19995" xr:uid="{F5A7BC0C-811A-4691-8EFC-EEA72B046B1C}"/>
    <cellStyle name="20% - Accent6 2 2 2 7 2" xfId="16454" xr:uid="{CE4D7D4B-D8EF-494A-B762-27A557940DFB}"/>
    <cellStyle name="20% - Accent6 2 2 2 7 2 2" xfId="19701" xr:uid="{CDD8B1C7-762E-4275-922B-A5A6D2C725C0}"/>
    <cellStyle name="20% - Accent6 2 2 2 7 3" xfId="19699" xr:uid="{D6A82D64-4676-42DA-AE32-71A4B9DBD2B4}"/>
    <cellStyle name="20% - Accent6 2 2 2 8" xfId="19695" xr:uid="{732755F0-8F2A-4FE6-828E-212CE4606F50}"/>
    <cellStyle name="20% - Accent6 2 2 2 8 2" xfId="27564" xr:uid="{6D7116B1-4354-4F6D-AC22-EA650DC27D3D}"/>
    <cellStyle name="20% - Accent6 2 2 2 9" xfId="33214" xr:uid="{6F9903ED-9472-40B6-987A-74EC9BE2010A}"/>
    <cellStyle name="20% - Accent6 2 2 3" xfId="19693" xr:uid="{C7D930BD-F428-4ED6-AD20-1297A574872F}"/>
    <cellStyle name="20% - Accent6 2 2 3 2" xfId="19690" xr:uid="{C4E00D0C-BCC1-41E8-9465-BD228520BFC6}"/>
    <cellStyle name="20% - Accent6 2 2 3 2 2" xfId="19688" xr:uid="{30A490BF-7830-43E3-A0D6-ABD10B440CF2}"/>
    <cellStyle name="20% - Accent6 2 2 3 2 2 2" xfId="19686" xr:uid="{5986F4AD-473B-47F9-81B0-EBA6464F364B}"/>
    <cellStyle name="20% - Accent6 2 2 3 2 2 2 2" xfId="18100" xr:uid="{35466E73-D871-4C9D-AED3-CF54BA8ECB03}"/>
    <cellStyle name="20% - Accent6 2 2 3 2 2 2 2 2" xfId="19684" xr:uid="{5DE86D41-3671-4103-B891-630761000E7F}"/>
    <cellStyle name="20% - Accent6 2 2 3 2 2 2 2 2 2" xfId="21509" xr:uid="{0D7D10B5-8B27-4194-9D35-3557167575ED}"/>
    <cellStyle name="20% - Accent6 2 2 3 2 2 2 2 2 2 2" xfId="23835" xr:uid="{1447B66C-6058-40E4-9DF5-66597E42EDAC}"/>
    <cellStyle name="20% - Accent6 2 2 3 2 2 2 2 2 3" xfId="16144" xr:uid="{36AE8507-4297-48F6-A67C-27D63F396CE1}"/>
    <cellStyle name="20% - Accent6 2 2 3 2 2 2 2 3" xfId="17533" xr:uid="{A7FC8BEB-AE75-452D-9CC1-BB1D8628BA7D}"/>
    <cellStyle name="20% - Accent6 2 2 3 2 2 2 2 3 2" xfId="30317" xr:uid="{159BDC54-DB54-4406-80DA-E4EDFDCED688}"/>
    <cellStyle name="20% - Accent6 2 2 3 2 2 2 2 4" xfId="17512" xr:uid="{3086166B-EC0A-47C1-B0BB-354AFF2AE8B6}"/>
    <cellStyle name="20% - Accent6 2 2 3 2 2 2 3" xfId="26441" xr:uid="{BC3C4E6D-E203-4451-8C8C-76FB1E30E2DE}"/>
    <cellStyle name="20% - Accent6 2 2 3 2 2 2 3 2" xfId="19682" xr:uid="{9277DD8A-B6C3-4584-91A8-8585405E4CC7}"/>
    <cellStyle name="20% - Accent6 2 2 3 2 2 2 3 2 2" xfId="23480" xr:uid="{A122DC78-DEBD-4744-A38C-03FB02ED7429}"/>
    <cellStyle name="20% - Accent6 2 2 3 2 2 2 3 3" xfId="19678" xr:uid="{946DA3DE-D526-40D7-BF4F-F5A0F282A5E0}"/>
    <cellStyle name="20% - Accent6 2 2 3 2 2 2 4" xfId="22717" xr:uid="{D0EB5DCA-D98A-41AB-AF6D-DF0E29EBE494}"/>
    <cellStyle name="20% - Accent6 2 2 3 2 2 2 4 2" xfId="8572" xr:uid="{F72677FA-7996-4494-B278-85BAC68D9670}"/>
    <cellStyle name="20% - Accent6 2 2 3 2 2 2 5" xfId="19674" xr:uid="{66FA207D-D3C6-4169-8F54-7805A436AF67}"/>
    <cellStyle name="20% - Accent6 2 2 3 2 2 3" xfId="19673" xr:uid="{371B3A8A-3FE2-4568-BBEF-795BFB420540}"/>
    <cellStyle name="20% - Accent6 2 2 3 2 2 3 2" xfId="32672" xr:uid="{41397F3A-FE38-4A1B-A6E7-5D99A9775D48}"/>
    <cellStyle name="20% - Accent6 2 2 3 2 2 3 2 2" xfId="20377" xr:uid="{24CE85F6-5B09-413E-9299-82C5D038281B}"/>
    <cellStyle name="20% - Accent6 2 2 3 2 2 3 2 2 2" xfId="21495" xr:uid="{7B589E65-17CF-4A10-8D44-9F9ADCC318D6}"/>
    <cellStyle name="20% - Accent6 2 2 3 2 2 3 2 3" xfId="20367" xr:uid="{2C0CCC90-45B7-46C1-9564-AE5F7C25CA04}"/>
    <cellStyle name="20% - Accent6 2 2 3 2 2 3 3" xfId="25287" xr:uid="{AE2289CB-DE19-4A2A-9176-C4B4E2586C1F}"/>
    <cellStyle name="20% - Accent6 2 2 3 2 2 3 3 2" xfId="20364" xr:uid="{0E0656AC-C19F-4E07-9D92-B1A7DB166708}"/>
    <cellStyle name="20% - Accent6 2 2 3 2 2 3 4" xfId="19670" xr:uid="{9E51D459-5CF6-437E-8585-AB6DCD1377E7}"/>
    <cellStyle name="20% - Accent6 2 2 3 2 2 4" xfId="13638" xr:uid="{D1F36866-8C30-42FC-B8BD-FA06B6BE24BC}"/>
    <cellStyle name="20% - Accent6 2 2 3 2 2 4 2" xfId="21217" xr:uid="{83B988C0-8AEB-40E9-9515-8739ABC5FEEE}"/>
    <cellStyle name="20% - Accent6 2 2 3 2 2 4 2 2" xfId="20359" xr:uid="{C2DB75DB-99B3-4C10-8188-C03384258B62}"/>
    <cellStyle name="20% - Accent6 2 2 3 2 2 4 3" xfId="5483" xr:uid="{A28016D5-673F-44EF-AB49-2C31EE616F77}"/>
    <cellStyle name="20% - Accent6 2 2 3 2 2 5" xfId="13636" xr:uid="{A11D558C-1C35-4F6D-AEDF-E6333B89B260}"/>
    <cellStyle name="20% - Accent6 2 2 3 2 2 5 2" xfId="19667" xr:uid="{ABBD859E-AF07-4318-8C64-8911F6F689E6}"/>
    <cellStyle name="20% - Accent6 2 2 3 2 2 6" xfId="19666" xr:uid="{022D21B7-C354-4915-A0DB-4E51EFC013F4}"/>
    <cellStyle name="20% - Accent6 2 2 3 2 3" xfId="19664" xr:uid="{7C8EB970-9221-4204-B78A-C734798F7300}"/>
    <cellStyle name="20% - Accent6 2 2 3 2 3 2" xfId="19661" xr:uid="{19C97C34-6849-4AE1-95C4-1A337925F6B3}"/>
    <cellStyle name="20% - Accent6 2 2 3 2 3 2 2" xfId="31286" xr:uid="{25EA8394-835C-4843-AA09-0D6C5697F8E5}"/>
    <cellStyle name="20% - Accent6 2 2 3 2 3 2 2 2" xfId="19659" xr:uid="{8CE30A64-C927-4947-99B1-8C4AC2CC9498}"/>
    <cellStyle name="20% - Accent6 2 2 3 2 3 2 2 2 2" xfId="21465" xr:uid="{5AA119ED-A4D2-4040-B008-44FCA61C6C84}"/>
    <cellStyle name="20% - Accent6 2 2 3 2 3 2 2 3" xfId="19658" xr:uid="{62336112-9C5A-40E8-AD97-58D8AF548EF8}"/>
    <cellStyle name="20% - Accent6 2 2 3 2 3 2 3" xfId="22652" xr:uid="{46F5E63F-0089-4039-B247-23AC3619EE78}"/>
    <cellStyle name="20% - Accent6 2 2 3 2 3 2 3 2" xfId="19655" xr:uid="{F0A2AD96-C0BA-4E57-885A-3BE63266F6E6}"/>
    <cellStyle name="20% - Accent6 2 2 3 2 3 2 4" xfId="19651" xr:uid="{A7E57B30-0EA8-4F9D-8BDA-7EF513DCA6F3}"/>
    <cellStyle name="20% - Accent6 2 2 3 2 3 3" xfId="19647" xr:uid="{23966DCE-F930-4B7F-9B0F-D95DEFD80AB7}"/>
    <cellStyle name="20% - Accent6 2 2 3 2 3 3 2" xfId="32787" xr:uid="{35401D86-7054-40C3-B1E1-1C6133B6CE4E}"/>
    <cellStyle name="20% - Accent6 2 2 3 2 3 3 2 2" xfId="14629" xr:uid="{2F8A803E-9416-40F4-8705-E558F17BCED0}"/>
    <cellStyle name="20% - Accent6 2 2 3 2 3 3 3" xfId="19646" xr:uid="{64841564-B78A-4867-BE99-8AE3BC5500B5}"/>
    <cellStyle name="20% - Accent6 2 2 3 2 3 4" xfId="16443" xr:uid="{DC852FAC-BA23-4C31-9F40-00CB7A2B92DD}"/>
    <cellStyle name="20% - Accent6 2 2 3 2 3 4 2" xfId="19644" xr:uid="{DD8A2FCB-4087-4D35-AD1A-12F6658FFA4A}"/>
    <cellStyle name="20% - Accent6 2 2 3 2 3 5" xfId="22114" xr:uid="{18429344-8712-4157-B785-CD4E37B5B7AA}"/>
    <cellStyle name="20% - Accent6 2 2 3 2 4" xfId="19643" xr:uid="{8C0881E4-0DC3-4C7F-B96A-BA51EE52A3FE}"/>
    <cellStyle name="20% - Accent6 2 2 3 2 4 2" xfId="19641" xr:uid="{53750D6B-6CD9-4945-99EA-28541E0CCCCF}"/>
    <cellStyle name="20% - Accent6 2 2 3 2 4 2 2" xfId="22636" xr:uid="{B2636337-F4BA-4309-A3D9-521F7D17687C}"/>
    <cellStyle name="20% - Accent6 2 2 3 2 4 2 2 2" xfId="19639" xr:uid="{B19E04F5-DE41-43F2-B737-7C2F98130DAB}"/>
    <cellStyle name="20% - Accent6 2 2 3 2 4 2 3" xfId="19633" xr:uid="{FFC7077A-5216-4B38-899C-D19E37B1748B}"/>
    <cellStyle name="20% - Accent6 2 2 3 2 4 3" xfId="19630" xr:uid="{1F0E7FEA-03DD-4051-8C1D-B0FB5C3408B7}"/>
    <cellStyle name="20% - Accent6 2 2 3 2 4 3 2" xfId="19626" xr:uid="{CAA8F6CF-4947-4B1B-A76A-5F938EA7F500}"/>
    <cellStyle name="20% - Accent6 2 2 3 2 4 4" xfId="21540" xr:uid="{6E81D76C-BC77-40B1-8BE9-3BB4567D1EA1}"/>
    <cellStyle name="20% - Accent6 2 2 3 2 5" xfId="22254" xr:uid="{164012DD-1A4A-4B24-B1EB-36048DB1EAF8}"/>
    <cellStyle name="20% - Accent6 2 2 3 2 5 2" xfId="22248" xr:uid="{1D73A14D-D364-477A-9EFF-D2D9F17F5FAD}"/>
    <cellStyle name="20% - Accent6 2 2 3 2 5 2 2" xfId="19624" xr:uid="{9B5FDB43-59F0-4493-AB88-5A01B6B6FCB5}"/>
    <cellStyle name="20% - Accent6 2 2 3 2 5 3" xfId="19622" xr:uid="{160F91A5-FFDE-4969-AD49-8907CE31EC59}"/>
    <cellStyle name="20% - Accent6 2 2 3 2 6" xfId="22246" xr:uid="{749823EA-69C3-4F8D-8441-11428CCBCE18}"/>
    <cellStyle name="20% - Accent6 2 2 3 2 6 2" xfId="19619" xr:uid="{93CD7985-BF95-46F9-879B-77F6B51D63F1}"/>
    <cellStyle name="20% - Accent6 2 2 3 2 7" xfId="10265" xr:uid="{16CB05C3-C6E9-4D55-B19C-62E609659A9A}"/>
    <cellStyle name="20% - Accent6 2 2 3 3" xfId="31889" xr:uid="{E392D137-A983-4274-83EC-0D6EB290FEBE}"/>
    <cellStyle name="20% - Accent6 2 2 3 3 2" xfId="26930" xr:uid="{712693B2-5D37-4A1C-97F2-AB141522FC6C}"/>
    <cellStyle name="20% - Accent6 2 2 3 3 2 2" xfId="30163" xr:uid="{9306BD74-8AF2-474B-ACD1-B08250C9FAA6}"/>
    <cellStyle name="20% - Accent6 2 2 3 3 2 2 2" xfId="29875" xr:uid="{F22DEE39-4C84-4006-B978-567C210F75F9}"/>
    <cellStyle name="20% - Accent6 2 2 3 3 2 2 2 2" xfId="19618" xr:uid="{F7E90C32-9109-41BA-BBD5-A9AACE8DDBCF}"/>
    <cellStyle name="20% - Accent6 2 2 3 3 2 2 2 2 2" xfId="21376" xr:uid="{D4AD67D3-07EC-4115-BE9D-2300D830855D}"/>
    <cellStyle name="20% - Accent6 2 2 3 3 2 2 2 3" xfId="33520" xr:uid="{3794B3E5-B173-4189-BF08-BA16F9111ED4}"/>
    <cellStyle name="20% - Accent6 2 2 3 3 2 2 3" xfId="22562" xr:uid="{883641B7-8D69-4B45-B2A1-80133A6E95A8}"/>
    <cellStyle name="20% - Accent6 2 2 3 3 2 2 3 2" xfId="19614" xr:uid="{F42F5EC1-013A-4C6B-802E-742C7A027B6B}"/>
    <cellStyle name="20% - Accent6 2 2 3 3 2 2 4" xfId="19611" xr:uid="{8E4F82A6-2091-4AB4-8051-11E78EA6C4C7}"/>
    <cellStyle name="20% - Accent6 2 2 3 3 2 3" xfId="30790" xr:uid="{2A47866F-1B0E-474D-BA62-9B6446DBC9D3}"/>
    <cellStyle name="20% - Accent6 2 2 3 3 2 3 2" xfId="22581" xr:uid="{C2995FC4-24A4-4D83-881C-8C81D0D034E8}"/>
    <cellStyle name="20% - Accent6 2 2 3 3 2 3 2 2" xfId="31185" xr:uid="{43DA22AC-E7BD-4188-A2BB-4CFA1622C8EF}"/>
    <cellStyle name="20% - Accent6 2 2 3 3 2 3 3" xfId="22579" xr:uid="{D81B9248-843E-4770-B88F-3AFB6C5A03A4}"/>
    <cellStyle name="20% - Accent6 2 2 3 3 2 4" xfId="13604" xr:uid="{69DB571D-F761-4576-8DA2-60D18162963D}"/>
    <cellStyle name="20% - Accent6 2 2 3 3 2 4 2" xfId="20622" xr:uid="{A58A50E1-5103-4290-8BA5-DC83A3F7C741}"/>
    <cellStyle name="20% - Accent6 2 2 3 3 2 5" xfId="25279" xr:uid="{3DB897DD-320E-4839-828C-16170AE173FB}"/>
    <cellStyle name="20% - Accent6 2 2 3 3 3" xfId="28643" xr:uid="{7C642B1A-A062-41E5-A606-41647152DB72}"/>
    <cellStyle name="20% - Accent6 2 2 3 3 3 2" xfId="19608" xr:uid="{C403F68E-56D7-47E4-8203-C90651A5C556}"/>
    <cellStyle name="20% - Accent6 2 2 3 3 3 2 2" xfId="22489" xr:uid="{AF1F67BB-EFC6-49D6-B376-1BA846909EB6}"/>
    <cellStyle name="20% - Accent6 2 2 3 3 3 2 2 2" xfId="19141" xr:uid="{A78AFF5F-2504-47ED-BA0B-6ADAF564DCFC}"/>
    <cellStyle name="20% - Accent6 2 2 3 3 3 2 3" xfId="19606" xr:uid="{C82015F0-9EC9-42E6-88A0-13BF2250BFA0}"/>
    <cellStyle name="20% - Accent6 2 2 3 3 3 3" xfId="32684" xr:uid="{F09E0741-4B9B-47BE-AFC4-49F7EB0603CB}"/>
    <cellStyle name="20% - Accent6 2 2 3 3 3 3 2" xfId="22416" xr:uid="{7F589FF9-550B-4A73-8424-7B719BA351A4}"/>
    <cellStyle name="20% - Accent6 2 2 3 3 3 4" xfId="34290" xr:uid="{2A9D682F-2632-4FC1-8928-67ECB1AC8708}"/>
    <cellStyle name="20% - Accent6 2 2 3 3 4" xfId="19601" xr:uid="{C99104C9-FBF9-4ECB-BAF0-C4AB2A14BB5E}"/>
    <cellStyle name="20% - Accent6 2 2 3 3 4 2" xfId="19600" xr:uid="{735CA70B-D281-481D-A9B9-A9345312D32F}"/>
    <cellStyle name="20% - Accent6 2 2 3 3 4 2 2" xfId="19596" xr:uid="{A7EE25C4-96ED-431C-8B00-3A7C9C5431D8}"/>
    <cellStyle name="20% - Accent6 2 2 3 3 4 3" xfId="27173" xr:uid="{336D2A81-865A-4842-A0AF-57E448A7B8DA}"/>
    <cellStyle name="20% - Accent6 2 2 3 3 5" xfId="22240" xr:uid="{AB89F27B-2E79-4556-B165-69B7772087A8}"/>
    <cellStyle name="20% - Accent6 2 2 3 3 5 2" xfId="19592" xr:uid="{07A62728-1F79-4170-A7A7-25ED7559F2AC}"/>
    <cellStyle name="20% - Accent6 2 2 3 3 6" xfId="20506" xr:uid="{FB9AD83E-6563-450A-BBFB-27BAD53CFDE2}"/>
    <cellStyle name="20% - Accent6 2 2 3 4" xfId="27631" xr:uid="{2DF728A9-1AD9-4531-9788-CFB1AA9B2491}"/>
    <cellStyle name="20% - Accent6 2 2 3 4 2" xfId="28378" xr:uid="{B4E94804-3A32-4EC9-9380-C3EE904BD52E}"/>
    <cellStyle name="20% - Accent6 2 2 3 4 2 2" xfId="19590" xr:uid="{721961F9-9EA5-4E69-A87B-4BC6CFC93845}"/>
    <cellStyle name="20% - Accent6 2 2 3 4 2 2 2" xfId="22379" xr:uid="{13253035-749C-4EE5-9466-3703E2B428DD}"/>
    <cellStyle name="20% - Accent6 2 2 3 4 2 2 2 2" xfId="19586" xr:uid="{A97789F0-FF3A-4F57-ADC2-8EE50DA1B68D}"/>
    <cellStyle name="20% - Accent6 2 2 3 4 2 2 3" xfId="19579" xr:uid="{2E3344B8-2EAC-4003-BD70-054C736396E3}"/>
    <cellStyle name="20% - Accent6 2 2 3 4 2 3" xfId="27246" xr:uid="{13D64C75-03DA-4A8D-AD98-2117218D17E5}"/>
    <cellStyle name="20% - Accent6 2 2 3 4 2 3 2" xfId="20311" xr:uid="{6161CDE9-02E5-4558-AAB4-2210B7543D2E}"/>
    <cellStyle name="20% - Accent6 2 2 3 4 2 4" xfId="8788" xr:uid="{54F0CF24-A506-49AD-A1B2-3581183193DD}"/>
    <cellStyle name="20% - Accent6 2 2 3 4 3" xfId="19578" xr:uid="{20474E12-7147-4681-8A69-0599A2FF2F6E}"/>
    <cellStyle name="20% - Accent6 2 2 3 4 3 2" xfId="27238" xr:uid="{3D1C2A76-B8A5-475F-9642-095DC7373B98}"/>
    <cellStyle name="20% - Accent6 2 2 3 4 3 2 2" xfId="19935" xr:uid="{28A122CB-7720-4F12-9AAA-9747A11D7994}"/>
    <cellStyle name="20% - Accent6 2 2 3 4 3 3" xfId="8784" xr:uid="{C6623253-C642-49A8-9490-DDD19E4E1E2A}"/>
    <cellStyle name="20% - Accent6 2 2 3 4 4" xfId="19577" xr:uid="{AA147855-BDA5-45F3-A975-363961473789}"/>
    <cellStyle name="20% - Accent6 2 2 3 4 4 2" xfId="8705" xr:uid="{F8F0AC46-6DD9-423B-AAF3-4F8CD7CC8C3D}"/>
    <cellStyle name="20% - Accent6 2 2 3 4 5" xfId="20504" xr:uid="{F66488C5-B3A9-4197-9953-5F4B89A5A6F3}"/>
    <cellStyle name="20% - Accent6 2 2 3 5" xfId="31735" xr:uid="{8E3D8265-4AD5-43AC-8E78-D41711CE5571}"/>
    <cellStyle name="20% - Accent6 2 2 3 5 2" xfId="21280" xr:uid="{44730C07-996B-4852-9C67-A92C93DE231A}"/>
    <cellStyle name="20% - Accent6 2 2 3 5 2 2" xfId="19575" xr:uid="{DF2693EE-8729-4F71-B908-9CBEDCC82BA8}"/>
    <cellStyle name="20% - Accent6 2 2 3 5 2 2 2" xfId="19570" xr:uid="{5A568479-850B-416A-9752-3C1B7B521BE0}"/>
    <cellStyle name="20% - Accent6 2 2 3 5 2 3" xfId="8731" xr:uid="{8C9B69F6-3E3E-41CC-A1A1-C473C664B617}"/>
    <cellStyle name="20% - Accent6 2 2 3 5 3" xfId="19566" xr:uid="{7E3A0DCF-14EB-415C-B509-431A2F348AC7}"/>
    <cellStyle name="20% - Accent6 2 2 3 5 3 2" xfId="19561" xr:uid="{0CEC3E1C-6FC1-4509-95DE-4E296C83A3A4}"/>
    <cellStyle name="20% - Accent6 2 2 3 5 4" xfId="19160" xr:uid="{E232E3DC-5B8C-46D5-800F-897BCF61CD37}"/>
    <cellStyle name="20% - Accent6 2 2 3 6" xfId="34326" xr:uid="{A300D20C-22CD-49BD-888E-E9875EE1591F}"/>
    <cellStyle name="20% - Accent6 2 2 3 6 2" xfId="19556" xr:uid="{43D9C6F5-8CC9-4723-9CF7-5B86C4D828AD}"/>
    <cellStyle name="20% - Accent6 2 2 3 6 2 2" xfId="11634" xr:uid="{7C5390D4-6020-465F-835A-262486E12770}"/>
    <cellStyle name="20% - Accent6 2 2 3 6 3" xfId="19552" xr:uid="{72D1309D-0565-4CD6-A235-8472EE56BB30}"/>
    <cellStyle name="20% - Accent6 2 2 3 7" xfId="19548" xr:uid="{11267512-33A0-4D5F-A742-9279E53CD7C8}"/>
    <cellStyle name="20% - Accent6 2 2 3 7 2" xfId="19546" xr:uid="{9376262A-3437-4F86-A747-D928024EFCFC}"/>
    <cellStyle name="20% - Accent6 2 2 3 8" xfId="19726" xr:uid="{4A850261-2FC9-4C99-9789-278FA7C87B65}"/>
    <cellStyle name="20% - Accent6 2 2 4" xfId="19543" xr:uid="{958DFBD1-A93E-4C7F-961A-D21D35BA7D9A}"/>
    <cellStyle name="20% - Accent6 2 2 4 2" xfId="19542" xr:uid="{9A3D7F45-2A06-40E6-8379-2D4F79755803}"/>
    <cellStyle name="20% - Accent6 2 2 4 2 2" xfId="19540" xr:uid="{538A0E66-113E-4706-B52F-0AD17E4FFB4C}"/>
    <cellStyle name="20% - Accent6 2 2 4 2 2 2" xfId="19537" xr:uid="{9249CDA9-1D8B-4CA7-B6B4-9387121156A9}"/>
    <cellStyle name="20% - Accent6 2 2 4 2 2 2 2" xfId="27152" xr:uid="{BAB3DC17-E1B8-4067-B3E3-A055FD80B1C5}"/>
    <cellStyle name="20% - Accent6 2 2 4 2 2 2 2 2" xfId="25425" xr:uid="{ED1A8A7B-4ACA-48BD-9DD0-60D4D0CEABC8}"/>
    <cellStyle name="20% - Accent6 2 2 4 2 2 2 2 2 2" xfId="21269" xr:uid="{53586B01-0399-4DB5-96C9-904464567AB2}"/>
    <cellStyle name="20% - Accent6 2 2 4 2 2 2 2 3" xfId="31975" xr:uid="{C68B892F-4C6E-4C38-AAB0-D4C81E711209}"/>
    <cellStyle name="20% - Accent6 2 2 4 2 2 2 3" xfId="30783" xr:uid="{D8514980-0381-4B00-9760-D02C47F27EBF}"/>
    <cellStyle name="20% - Accent6 2 2 4 2 2 2 3 2" xfId="30739" xr:uid="{10D1715D-43DB-4AFE-88E5-58A0423115E9}"/>
    <cellStyle name="20% - Accent6 2 2 4 2 2 2 4" xfId="25910" xr:uid="{8FE64372-FC7B-48E9-A7A9-FC7135A3872F}"/>
    <cellStyle name="20% - Accent6 2 2 4 2 2 3" xfId="24776" xr:uid="{2FE2FAF6-A81C-496E-8DCD-249F600161AD}"/>
    <cellStyle name="20% - Accent6 2 2 4 2 2 3 2" xfId="27046" xr:uid="{B20A2E3E-12E7-4880-B7E2-0BFCD1B0CCF9}"/>
    <cellStyle name="20% - Accent6 2 2 4 2 2 3 2 2" xfId="32739" xr:uid="{C160E5AA-ECAC-4B76-9EE4-4186A5AB4432}"/>
    <cellStyle name="20% - Accent6 2 2 4 2 2 3 3" xfId="31080" xr:uid="{CD1F07A2-A409-4E36-B792-13E0799B6AE6}"/>
    <cellStyle name="20% - Accent6 2 2 4 2 2 4" xfId="13566" xr:uid="{C70C8765-F3BA-432A-8357-7AF3E3CA0BAA}"/>
    <cellStyle name="20% - Accent6 2 2 4 2 2 4 2" xfId="19128" xr:uid="{4815B161-70BD-408F-9AEF-CE7C958D041C}"/>
    <cellStyle name="20% - Accent6 2 2 4 2 2 5" xfId="30989" xr:uid="{079E9457-2CF3-42F9-8DD2-502E69F8A14C}"/>
    <cellStyle name="20% - Accent6 2 2 4 2 3" xfId="9505" xr:uid="{124ADEAD-BBEE-405F-8D70-6809C0EF09F2}"/>
    <cellStyle name="20% - Accent6 2 2 4 2 3 2" xfId="30564" xr:uid="{0E43F91C-217D-462F-BAB0-BABBB3EBE4F1}"/>
    <cellStyle name="20% - Accent6 2 2 4 2 3 2 2" xfId="27031" xr:uid="{3D609B90-0B6B-4380-B452-13EFDD023F95}"/>
    <cellStyle name="20% - Accent6 2 2 4 2 3 2 2 2" xfId="31594" xr:uid="{FFD73F35-EF6F-4E46-A302-B3CB43AB3F61}"/>
    <cellStyle name="20% - Accent6 2 2 4 2 3 2 3" xfId="30694" xr:uid="{90DEA3FE-FC75-4077-9019-BEDC0918D2E1}"/>
    <cellStyle name="20% - Accent6 2 2 4 2 3 3" xfId="19531" xr:uid="{22B87286-336B-447C-B1D7-E3E29ABE3333}"/>
    <cellStyle name="20% - Accent6 2 2 4 2 3 3 2" xfId="33209" xr:uid="{71BA25C9-28A3-4363-BE24-A6D4A69F3072}"/>
    <cellStyle name="20% - Accent6 2 2 4 2 3 4" xfId="19530" xr:uid="{059B232E-55C6-4734-8544-CC8912FC6BB5}"/>
    <cellStyle name="20% - Accent6 2 2 4 2 4" xfId="19529" xr:uid="{909DEFBD-9C67-48CB-9748-63F167BC647B}"/>
    <cellStyle name="20% - Accent6 2 2 4 2 4 2" xfId="19527" xr:uid="{3212E437-7F77-4AFB-9673-A33268C317CF}"/>
    <cellStyle name="20% - Accent6 2 2 4 2 4 2 2" xfId="33996" xr:uid="{4BD390E5-BF7B-498B-9CE8-8566752B107D}"/>
    <cellStyle name="20% - Accent6 2 2 4 2 4 3" xfId="19526" xr:uid="{D845A910-A56A-4943-AED7-D6E42BEEEC40}"/>
    <cellStyle name="20% - Accent6 2 2 4 2 5" xfId="22220" xr:uid="{9DDAF92D-DD24-439E-8241-5F9F46E12384}"/>
    <cellStyle name="20% - Accent6 2 2 4 2 5 2" xfId="29181" xr:uid="{AC4CFA18-7696-4988-8560-DCB0727A5B19}"/>
    <cellStyle name="20% - Accent6 2 2 4 2 6" xfId="19520" xr:uid="{A7FAF045-974C-476E-BBBE-AE9340436389}"/>
    <cellStyle name="20% - Accent6 2 2 4 3" xfId="27598" xr:uid="{2CB4818D-6715-4320-9C60-F2BBBA6F883F}"/>
    <cellStyle name="20% - Accent6 2 2 4 3 2" xfId="32768" xr:uid="{2C9BF896-8278-493D-8459-4E684A3A94EB}"/>
    <cellStyle name="20% - Accent6 2 2 4 3 2 2" xfId="19518" xr:uid="{29BC0381-F150-4BEE-995E-5D7F81BB4C70}"/>
    <cellStyle name="20% - Accent6 2 2 4 3 2 2 2" xfId="26995" xr:uid="{EF2D630A-B580-40A2-9BF9-6A1568898504}"/>
    <cellStyle name="20% - Accent6 2 2 4 3 2 2 2 2" xfId="28557" xr:uid="{943A5835-E269-494A-A23E-FD57E7C0C2B3}"/>
    <cellStyle name="20% - Accent6 2 2 4 3 2 2 3" xfId="31043" xr:uid="{02382DDE-E143-4E18-B027-01D10C20A906}"/>
    <cellStyle name="20% - Accent6 2 2 4 3 2 3" xfId="31358" xr:uid="{C1F4B780-EE78-403E-84EC-BE5B712B4602}"/>
    <cellStyle name="20% - Accent6 2 2 4 3 2 3 2" xfId="32303" xr:uid="{B16517B0-1E72-445A-A7D0-A4B4E1BA1829}"/>
    <cellStyle name="20% - Accent6 2 2 4 3 2 4" xfId="32476" xr:uid="{7A3C8F6D-2420-4B41-8CE3-202174F0B4B5}"/>
    <cellStyle name="20% - Accent6 2 2 4 3 3" xfId="30557" xr:uid="{C316A3F0-85FB-4AA3-BEFA-B1E6615239A4}"/>
    <cellStyle name="20% - Accent6 2 2 4 3 3 2" xfId="19512" xr:uid="{BFEB72CD-3F02-4B22-945D-2BBC64F879C9}"/>
    <cellStyle name="20% - Accent6 2 2 4 3 3 2 2" xfId="28517" xr:uid="{31A5745A-F761-4C5C-98F6-DD00F0A45570}"/>
    <cellStyle name="20% - Accent6 2 2 4 3 3 3" xfId="23447" xr:uid="{5E6C51FC-D22D-4341-AE74-B190234804C3}"/>
    <cellStyle name="20% - Accent6 2 2 4 3 4" xfId="33734" xr:uid="{EE88F170-270D-43C1-9D30-E28B03F6D562}"/>
    <cellStyle name="20% - Accent6 2 2 4 3 4 2" xfId="19509" xr:uid="{6BCE177A-EFE4-4CA5-A926-F8007E765BF2}"/>
    <cellStyle name="20% - Accent6 2 2 4 3 5" xfId="20498" xr:uid="{85944138-1359-4751-9CCA-3DAD6671F751}"/>
    <cellStyle name="20% - Accent6 2 2 4 4" xfId="31729" xr:uid="{6BC044AC-DB0F-4291-B03A-D4066E4378F7}"/>
    <cellStyle name="20% - Accent6 2 2 4 4 2" xfId="19504" xr:uid="{2792828A-B661-4A67-9A84-3D838846145B}"/>
    <cellStyle name="20% - Accent6 2 2 4 4 2 2" xfId="14161" xr:uid="{E4BACCE1-7A8E-4972-8C29-AD1B4A44A652}"/>
    <cellStyle name="20% - Accent6 2 2 4 4 2 2 2" xfId="31718" xr:uid="{87D35FEB-ECF1-47EE-A77C-47869576341A}"/>
    <cellStyle name="20% - Accent6 2 2 4 4 2 3" xfId="8599" xr:uid="{EE595316-41C7-4585-BBB3-DE3523646EFC}"/>
    <cellStyle name="20% - Accent6 2 2 4 4 3" xfId="19500" xr:uid="{484132F1-7FF1-4570-B6D3-357919CA6116}"/>
    <cellStyle name="20% - Accent6 2 2 4 4 3 2" xfId="8302" xr:uid="{4E62FC73-2154-4B27-89A4-ED6EC226F57C}"/>
    <cellStyle name="20% - Accent6 2 2 4 4 4" xfId="19498" xr:uid="{0BDB9275-837C-45B8-95AC-AE2F0E414D4B}"/>
    <cellStyle name="20% - Accent6 2 2 4 5" xfId="19496" xr:uid="{88C1A843-C872-4CCC-91BB-A60D4AC24D85}"/>
    <cellStyle name="20% - Accent6 2 2 4 5 2" xfId="19495" xr:uid="{FFF5764A-16E1-4FFD-AF03-3CCB33F3F318}"/>
    <cellStyle name="20% - Accent6 2 2 4 5 2 2" xfId="8244" xr:uid="{24E21CD8-449C-49D1-8422-1B01FDE8E836}"/>
    <cellStyle name="20% - Accent6 2 2 4 5 3" xfId="24718" xr:uid="{564F6B22-262E-4BAC-8010-211CF3A8ACE3}"/>
    <cellStyle name="20% - Accent6 2 2 4 6" xfId="19492" xr:uid="{71270C98-3BF6-4998-8E3D-C6D581B8E9F3}"/>
    <cellStyle name="20% - Accent6 2 2 4 6 2" xfId="22900" xr:uid="{3934EE9A-AAAD-4146-8722-5DB7ED5BE5BF}"/>
    <cellStyle name="20% - Accent6 2 2 4 7" xfId="19491" xr:uid="{DE7932B4-B6C4-459B-90AF-287D62E00A04}"/>
    <cellStyle name="20% - Accent6 2 2 5" xfId="19486" xr:uid="{FE17B42B-C919-463D-B55A-C530CFFDD4F3}"/>
    <cellStyle name="20% - Accent6 2 2 5 2" xfId="22152" xr:uid="{5014AA4B-F223-429C-B0CA-282D40FA9857}"/>
    <cellStyle name="20% - Accent6 2 2 5 2 2" xfId="28244" xr:uid="{95CEC14C-315F-49F3-BD6D-FFB5A4BEF790}"/>
    <cellStyle name="20% - Accent6 2 2 5 2 2 2" xfId="19482" xr:uid="{813C6D1B-2D8D-4058-BD0A-BE2DE1A5866E}"/>
    <cellStyle name="20% - Accent6 2 2 5 2 2 2 2" xfId="32480" xr:uid="{65DC91B8-50A5-463C-8078-1327492D7AF0}"/>
    <cellStyle name="20% - Accent6 2 2 5 2 2 2 2 2" xfId="26129" xr:uid="{6AD101AE-CB75-4F1B-A49E-F88758604E6C}"/>
    <cellStyle name="20% - Accent6 2 2 5 2 2 2 3" xfId="30232" xr:uid="{C7233F59-9AA9-4434-B70B-FAB1D6B8B1DD}"/>
    <cellStyle name="20% - Accent6 2 2 5 2 2 3" xfId="19481" xr:uid="{FE6C3111-4FD2-4471-94E0-AF5B9BDBF56B}"/>
    <cellStyle name="20% - Accent6 2 2 5 2 2 3 2" xfId="30090" xr:uid="{238ED1EE-08CC-42DB-9B94-2FCBB695ECD4}"/>
    <cellStyle name="20% - Accent6 2 2 5 2 2 4" xfId="19480" xr:uid="{57B8D26C-6FD0-4BAB-AA62-F8952FB9618B}"/>
    <cellStyle name="20% - Accent6 2 2 5 2 3" xfId="30474" xr:uid="{55741BCD-CC79-4CC8-B335-88CD3746EDCD}"/>
    <cellStyle name="20% - Accent6 2 2 5 2 3 2" xfId="19479" xr:uid="{E0A0F67A-F5F5-4B74-898D-CD8018A3167B}"/>
    <cellStyle name="20% - Accent6 2 2 5 2 3 2 2" xfId="30061" xr:uid="{604C1E71-509E-4647-9F14-E366AF5A8BD8}"/>
    <cellStyle name="20% - Accent6 2 2 5 2 3 3" xfId="19478" xr:uid="{811837D2-FCD3-4933-90DB-4B7B9B115126}"/>
    <cellStyle name="20% - Accent6 2 2 5 2 4" xfId="19477" xr:uid="{4FE96A60-71A2-458D-883A-66D388AE9395}"/>
    <cellStyle name="20% - Accent6 2 2 5 2 4 2" xfId="19475" xr:uid="{033B6A8D-B6ED-47BB-8973-0CE15AAED34F}"/>
    <cellStyle name="20% - Accent6 2 2 5 2 5" xfId="19470" xr:uid="{A30BFECA-ED76-4D7E-B64B-EFA95C4CED7A}"/>
    <cellStyle name="20% - Accent6 2 2 5 3" xfId="33772" xr:uid="{B8D121A9-61F7-4C95-AD6E-8F322E2FCAD1}"/>
    <cellStyle name="20% - Accent6 2 2 5 3 2" xfId="19468" xr:uid="{F0C757F2-E8E1-49F8-86C5-3516DA636A9F}"/>
    <cellStyle name="20% - Accent6 2 2 5 3 2 2" xfId="18416" xr:uid="{E15B7A01-044F-4B6B-89BF-174B14A38F35}"/>
    <cellStyle name="20% - Accent6 2 2 5 3 2 2 2" xfId="28727" xr:uid="{B55F5C7A-A047-4004-816D-233D7D76F258}"/>
    <cellStyle name="20% - Accent6 2 2 5 3 2 3" xfId="18411" xr:uid="{4833E2F0-7690-4E16-A621-574406A9BFB5}"/>
    <cellStyle name="20% - Accent6 2 2 5 3 3" xfId="19467" xr:uid="{AB697414-397B-4FF3-AEE6-4B9B9073104F}"/>
    <cellStyle name="20% - Accent6 2 2 5 3 3 2" xfId="18405" xr:uid="{7B7E35E4-7393-4231-9D46-EEAE44DE00A6}"/>
    <cellStyle name="20% - Accent6 2 2 5 3 4" xfId="19466" xr:uid="{50641540-2425-4DC8-9E0B-17EE283164EA}"/>
    <cellStyle name="20% - Accent6 2 2 5 4" xfId="19464" xr:uid="{7748F296-EA15-43CD-9050-3B689C536317}"/>
    <cellStyle name="20% - Accent6 2 2 5 4 2" xfId="19463" xr:uid="{843E29C7-2F43-44BC-A8ED-B6D93788310F}"/>
    <cellStyle name="20% - Accent6 2 2 5 4 2 2" xfId="8129" xr:uid="{A2DBDA8B-AFB3-443F-8FDA-3059431C81E1}"/>
    <cellStyle name="20% - Accent6 2 2 5 4 3" xfId="20119" xr:uid="{B25167D6-4165-45C0-8E89-66A5ACCDA4BE}"/>
    <cellStyle name="20% - Accent6 2 2 5 5" xfId="21012" xr:uid="{BDD74545-BD0C-424D-8B26-BBE74363DDE1}"/>
    <cellStyle name="20% - Accent6 2 2 5 5 2" xfId="33009" xr:uid="{40818E48-9783-4435-9DF3-A8B1D568E08E}"/>
    <cellStyle name="20% - Accent6 2 2 5 6" xfId="19460" xr:uid="{CE678D2E-6371-413D-B081-9560032300C8}"/>
    <cellStyle name="20% - Accent6 2 2 6" xfId="19459" xr:uid="{2C97BCE6-8CF4-4421-8B43-D4D9BB2A968A}"/>
    <cellStyle name="20% - Accent6 2 2 6 2" xfId="19456" xr:uid="{9E1027AA-80CB-4418-89AC-54DAD1CF913A}"/>
    <cellStyle name="20% - Accent6 2 2 6 2 2" xfId="19452" xr:uid="{1084C7B2-C057-4D92-875C-1D12B90D5734}"/>
    <cellStyle name="20% - Accent6 2 2 6 2 2 2" xfId="19449" xr:uid="{737D7BEA-DBAF-4F01-8A9F-449F42C5B9BC}"/>
    <cellStyle name="20% - Accent6 2 2 6 2 2 2 2" xfId="27059" xr:uid="{4B14EE71-AF42-403F-ACB7-53C1CA5CA50F}"/>
    <cellStyle name="20% - Accent6 2 2 6 2 2 3" xfId="33123" xr:uid="{5ACED094-B6D3-49E0-BD16-D6B6ADC3EE4E}"/>
    <cellStyle name="20% - Accent6 2 2 6 2 3" xfId="19447" xr:uid="{60915CA8-64FC-4BDC-A2CB-2B018AB44868}"/>
    <cellStyle name="20% - Accent6 2 2 6 2 3 2" xfId="19446" xr:uid="{265C9F9B-85DD-4132-81A5-D506F53671A8}"/>
    <cellStyle name="20% - Accent6 2 2 6 2 4" xfId="19445" xr:uid="{FC146040-EB2C-4460-AD62-4B32A79E386A}"/>
    <cellStyle name="20% - Accent6 2 2 6 3" xfId="19443" xr:uid="{EA148B79-3792-4530-AB25-F344A818C3A8}"/>
    <cellStyle name="20% - Accent6 2 2 6 3 2" xfId="19442" xr:uid="{6AC8C673-FA02-47A8-85F0-39B21906CCAA}"/>
    <cellStyle name="20% - Accent6 2 2 6 3 2 2" xfId="18367" xr:uid="{ED9B638E-6F30-4587-B672-8B9BFE7E9A54}"/>
    <cellStyle name="20% - Accent6 2 2 6 3 3" xfId="19441" xr:uid="{285822D1-13BF-479E-B552-05FD76683BAD}"/>
    <cellStyle name="20% - Accent6 2 2 6 4" xfId="19440" xr:uid="{444A72AD-B198-4EFD-8CDB-9A5AB7008575}"/>
    <cellStyle name="20% - Accent6 2 2 6 4 2" xfId="28991" xr:uid="{ACD670A3-13F3-4BEB-9E1C-BBFDD0DBE8F0}"/>
    <cellStyle name="20% - Accent6 2 2 6 5" xfId="19439" xr:uid="{5EDA987B-2735-489D-B92B-C352DB0A0644}"/>
    <cellStyle name="20% - Accent6 2 2 7" xfId="19438" xr:uid="{9B6A9043-BA25-4C3D-8999-E74D67F11FA3}"/>
    <cellStyle name="20% - Accent6 2 2 7 2" xfId="23419" xr:uid="{0FB5C980-F14C-47FD-8617-300AFD2E00C0}"/>
    <cellStyle name="20% - Accent6 2 2 7 2 2" xfId="19437" xr:uid="{5DD7D0A6-8EB0-4B31-B28A-8374094B3620}"/>
    <cellStyle name="20% - Accent6 2 2 7 2 2 2" xfId="19435" xr:uid="{E9665E4D-3627-4C37-8969-7C0ACB7837C7}"/>
    <cellStyle name="20% - Accent6 2 2 7 2 3" xfId="19434" xr:uid="{EFF4118D-83AC-4837-8524-FB5EF46E7051}"/>
    <cellStyle name="20% - Accent6 2 2 7 3" xfId="19432" xr:uid="{351E66CA-2604-4165-9C0C-AD22786C860E}"/>
    <cellStyle name="20% - Accent6 2 2 7 3 2" xfId="19430" xr:uid="{9B794305-DE43-4043-9A21-97488038C88B}"/>
    <cellStyle name="20% - Accent6 2 2 7 4" xfId="7885" xr:uid="{89FDE708-A2FA-42CD-A5D1-CA01F38C9C0F}"/>
    <cellStyle name="20% - Accent6 2 2 8" xfId="19429" xr:uid="{099B3966-8E85-4AA5-BF10-C9A8B35A134F}"/>
    <cellStyle name="20% - Accent6 2 2 8 2" xfId="19428" xr:uid="{9B095B45-8E1C-49CF-8CEA-CED1E5159B98}"/>
    <cellStyle name="20% - Accent6 2 2 8 2 2" xfId="19426" xr:uid="{218A77AF-57D7-4C12-89C7-DF285402B59A}"/>
    <cellStyle name="20% - Accent6 2 2 8 3" xfId="19420" xr:uid="{B780DADD-A940-4598-A638-024DE827AC63}"/>
    <cellStyle name="20% - Accent6 2 2 9" xfId="19416" xr:uid="{709202F7-38B3-4A2B-9CB0-C5BB442D270E}"/>
    <cellStyle name="20% - Accent6 2 2 9 2" xfId="19414" xr:uid="{2E750B8D-466A-4E4F-B6F0-CF25EA0C2948}"/>
    <cellStyle name="20% - Accent6 2 3" xfId="214" xr:uid="{0CF14D5E-F0C0-42BD-9EE0-818B3EF76C3C}"/>
    <cellStyle name="20% - Accent6 2 3 10" xfId="34544" xr:uid="{82824DF2-2FDF-4981-96CA-AAE780D0251E}"/>
    <cellStyle name="20% - Accent6 2 3 11" xfId="19412" xr:uid="{FF2AB9AE-4371-48BA-BE04-ADAD5F0F8B66}"/>
    <cellStyle name="20% - Accent6 2 3 2" xfId="30885" xr:uid="{B809EBD4-C37E-4F95-8434-C644B83C4ED9}"/>
    <cellStyle name="20% - Accent6 2 3 2 2" xfId="19409" xr:uid="{167626F0-61FE-4756-A1C4-2B716C85B94B}"/>
    <cellStyle name="20% - Accent6 2 3 2 2 2" xfId="19407" xr:uid="{1927F5EA-EBD5-47A9-995A-F44156C6C372}"/>
    <cellStyle name="20% - Accent6 2 3 2 2 2 2" xfId="26448" xr:uid="{FFCD635C-4690-480C-941E-6C1F4E4B65F8}"/>
    <cellStyle name="20% - Accent6 2 3 2 2 2 2 2" xfId="26983" xr:uid="{45A62943-7DEE-4E0C-95CB-6D3AD812E93F}"/>
    <cellStyle name="20% - Accent6 2 3 2 2 2 2 2 2" xfId="6248" xr:uid="{39898EEA-3613-4D78-809F-8217F1D2A1F8}"/>
    <cellStyle name="20% - Accent6 2 3 2 2 2 2 2 2 2" xfId="21053" xr:uid="{46133CAC-2EA7-4C44-9569-36BCE91A1AAF}"/>
    <cellStyle name="20% - Accent6 2 3 2 2 2 2 2 2 2 2" xfId="19405" xr:uid="{3A9D5E93-791C-4217-A7CA-EB7B38F1DB12}"/>
    <cellStyle name="20% - Accent6 2 3 2 2 2 2 2 2 3" xfId="14619" xr:uid="{198A0CD7-5C68-497E-B85A-75CE85D5CB09}"/>
    <cellStyle name="20% - Accent6 2 3 2 2 2 2 2 3" xfId="14772" xr:uid="{A19A8D31-1BCC-4131-BD95-F4F97C747499}"/>
    <cellStyle name="20% - Accent6 2 3 2 2 2 2 2 3 2" xfId="21040" xr:uid="{F0FEE029-E63C-40E8-B6E1-7DDC2FE337FD}"/>
    <cellStyle name="20% - Accent6 2 3 2 2 2 2 2 4" xfId="24073" xr:uid="{6C901192-1C52-4364-80D7-6AD0EFA411F1}"/>
    <cellStyle name="20% - Accent6 2 3 2 2 2 2 3" xfId="27270" xr:uid="{4007B691-BA8F-4AE4-A569-3D1E0036AC49}"/>
    <cellStyle name="20% - Accent6 2 3 2 2 2 2 3 2" xfId="22568" xr:uid="{E842B2B9-FDC8-4B06-A522-97D3E4920FC3}"/>
    <cellStyle name="20% - Accent6 2 3 2 2 2 2 3 2 2" xfId="21031" xr:uid="{353C131C-47A2-4FA1-9830-B2109261C0FF}"/>
    <cellStyle name="20% - Accent6 2 3 2 2 2 2 3 3" xfId="25711" xr:uid="{096494AC-83D4-4C48-96A3-1DFFCB6BB1FE}"/>
    <cellStyle name="20% - Accent6 2 3 2 2 2 2 4" xfId="26632" xr:uid="{72E85F25-2551-4405-A31C-39F32ECD28C3}"/>
    <cellStyle name="20% - Accent6 2 3 2 2 2 2 4 2" xfId="22586" xr:uid="{098D87C6-511E-402F-BEB8-6F95D914967F}"/>
    <cellStyle name="20% - Accent6 2 3 2 2 2 2 5" xfId="19403" xr:uid="{77338BDF-A3C5-4AB7-9407-D65AE03D82C5}"/>
    <cellStyle name="20% - Accent6 2 3 2 2 2 3" xfId="19401" xr:uid="{A04FD361-08F9-4574-BDA5-816670403064}"/>
    <cellStyle name="20% - Accent6 2 3 2 2 2 3 2" xfId="8499" xr:uid="{36A941CE-6D9A-4426-9006-1699FE5178C8}"/>
    <cellStyle name="20% - Accent6 2 3 2 2 2 3 2 2" xfId="22539" xr:uid="{50D1B585-87B4-4AAF-942A-9F237A1C9112}"/>
    <cellStyle name="20% - Accent6 2 3 2 2 2 3 2 2 2" xfId="8379" xr:uid="{DF37F6D6-D2B5-406F-AD57-BEACCC4E0629}"/>
    <cellStyle name="20% - Accent6 2 3 2 2 2 3 2 3" xfId="24103" xr:uid="{F4AB4087-2AE3-42CE-9BA9-A5045B5E0E08}"/>
    <cellStyle name="20% - Accent6 2 3 2 2 2 3 3" xfId="17560" xr:uid="{0066B9FB-9B7E-4901-892D-F3527C483D5D}"/>
    <cellStyle name="20% - Accent6 2 3 2 2 2 3 3 2" xfId="22503" xr:uid="{97A9941E-5D54-4FEB-B4D5-E257228930F3}"/>
    <cellStyle name="20% - Accent6 2 3 2 2 2 3 4" xfId="19400" xr:uid="{29F3824A-F3D3-45A5-8061-B0361478D861}"/>
    <cellStyle name="20% - Accent6 2 3 2 2 2 4" xfId="19395" xr:uid="{B029AB58-3CEB-4E68-9695-4E984D9B7757}"/>
    <cellStyle name="20% - Accent6 2 3 2 2 2 4 2" xfId="33647" xr:uid="{F7B3DFE4-AB39-473D-BA55-8762BB4A08D9}"/>
    <cellStyle name="20% - Accent6 2 3 2 2 2 4 2 2" xfId="22469" xr:uid="{0A4CA08A-10F7-48E7-ABF5-CB21041C3140}"/>
    <cellStyle name="20% - Accent6 2 3 2 2 2 4 3" xfId="19393" xr:uid="{3563CEF2-2F49-4CA6-9533-4C2FDBD7BDE8}"/>
    <cellStyle name="20% - Accent6 2 3 2 2 2 5" xfId="19392" xr:uid="{6EB2FEA1-D38E-410C-AC38-D1CF8FDD27FD}"/>
    <cellStyle name="20% - Accent6 2 3 2 2 2 5 2" xfId="34391" xr:uid="{9DC44451-3208-4452-B239-3F8150532528}"/>
    <cellStyle name="20% - Accent6 2 3 2 2 2 6" xfId="19389" xr:uid="{17861310-E4E4-4607-BE3B-1196C218CDA2}"/>
    <cellStyle name="20% - Accent6 2 3 2 2 3" xfId="19388" xr:uid="{B9F8498F-2831-4875-BC60-20C926C3BA9D}"/>
    <cellStyle name="20% - Accent6 2 3 2 2 3 2" xfId="19387" xr:uid="{530B48A3-272F-428A-85BE-E21CAE9EFA81}"/>
    <cellStyle name="20% - Accent6 2 3 2 2 3 2 2" xfId="32464" xr:uid="{29A16253-D1A7-4E92-ADC5-10DC5B6962F2}"/>
    <cellStyle name="20% - Accent6 2 3 2 2 3 2 2 2" xfId="22403" xr:uid="{715F3B60-BEE8-4C84-8FBC-AEA15F6FB24C}"/>
    <cellStyle name="20% - Accent6 2 3 2 2 3 2 2 2 2" xfId="20976" xr:uid="{90B312BA-E9F4-4740-BC87-E1E04F4D5AA8}"/>
    <cellStyle name="20% - Accent6 2 3 2 2 3 2 2 3" xfId="25661" xr:uid="{30DB99A9-6A8B-4600-A768-90894D18A7A9}"/>
    <cellStyle name="20% - Accent6 2 3 2 2 3 2 3" xfId="31107" xr:uid="{7D9570CE-3A06-4632-92F3-CAFB57C24547}"/>
    <cellStyle name="20% - Accent6 2 3 2 2 3 2 3 2" xfId="22384" xr:uid="{F33094AA-CC0C-4BA3-94AE-5AFAF520254C}"/>
    <cellStyle name="20% - Accent6 2 3 2 2 3 2 4" xfId="19386" xr:uid="{4339CF68-F1C0-4A73-B221-4AFA1BAB8880}"/>
    <cellStyle name="20% - Accent6 2 3 2 2 3 3" xfId="19384" xr:uid="{6FE45605-2EFB-4877-B4D4-A2837B024435}"/>
    <cellStyle name="20% - Accent6 2 3 2 2 3 3 2" xfId="19417" xr:uid="{9E7C0A51-A146-4AED-8765-BA12C9C4D6FF}"/>
    <cellStyle name="20% - Accent6 2 3 2 2 3 3 2 2" xfId="13522" xr:uid="{8A0309E8-5659-4AD5-A84F-FEEAF9B3343D}"/>
    <cellStyle name="20% - Accent6 2 3 2 2 3 3 3" xfId="19383" xr:uid="{7CCD7E06-2698-42AA-86E0-099ACA773974}"/>
    <cellStyle name="20% - Accent6 2 3 2 2 3 4" xfId="19382" xr:uid="{05690F20-5041-4DC4-A40B-E839DD7207C5}"/>
    <cellStyle name="20% - Accent6 2 3 2 2 3 4 2" xfId="19381" xr:uid="{0FDD1316-10FA-4D48-9133-33791DFABF57}"/>
    <cellStyle name="20% - Accent6 2 3 2 2 3 5" xfId="22085" xr:uid="{C95E0416-0477-42C2-889D-6CE91B0D8C90}"/>
    <cellStyle name="20% - Accent6 2 3 2 2 4" xfId="19380" xr:uid="{7851D2DC-7B6D-472B-8527-B42858DA24DD}"/>
    <cellStyle name="20% - Accent6 2 3 2 2 4 2" xfId="19379" xr:uid="{3A85CAED-7C8E-48E2-9FB1-A1113BC008EC}"/>
    <cellStyle name="20% - Accent6 2 3 2 2 4 2 2" xfId="21011" xr:uid="{539706D7-160E-4078-9B7D-4FD141505DC8}"/>
    <cellStyle name="20% - Accent6 2 3 2 2 4 2 2 2" xfId="19519" xr:uid="{44003C1A-2BCD-4D94-B6D3-BCCAFB23F630}"/>
    <cellStyle name="20% - Accent6 2 3 2 2 4 2 3" xfId="21571" xr:uid="{EB15A8D1-08F5-43AA-9C3C-8B6D21E10CDC}"/>
    <cellStyle name="20% - Accent6 2 3 2 2 4 3" xfId="19373" xr:uid="{E247BEBE-E14D-4808-A642-81F00B378738}"/>
    <cellStyle name="20% - Accent6 2 3 2 2 4 3 2" xfId="21567" xr:uid="{954A7910-5E67-4E74-A272-C4444096722B}"/>
    <cellStyle name="20% - Accent6 2 3 2 2 4 4" xfId="21120" xr:uid="{EE297323-9A02-497B-85F9-5008A42F1452}"/>
    <cellStyle name="20% - Accent6 2 3 2 2 5" xfId="20196" xr:uid="{ED7A5A3E-FA8E-45A5-A705-ECD60C3951D0}"/>
    <cellStyle name="20% - Accent6 2 3 2 2 5 2" xfId="26882" xr:uid="{AB73C81C-02C1-48D4-B804-15777F7E27EF}"/>
    <cellStyle name="20% - Accent6 2 3 2 2 5 2 2" xfId="21470" xr:uid="{DC5AFDBE-DADC-4841-815F-12A29EA492DD}"/>
    <cellStyle name="20% - Accent6 2 3 2 2 5 3" xfId="20194" xr:uid="{A819A1AB-A67D-421F-B093-9F6C73597E8C}"/>
    <cellStyle name="20% - Accent6 2 3 2 2 6" xfId="20190" xr:uid="{5CF3AFB5-2CA9-4607-8178-92727DD68526}"/>
    <cellStyle name="20% - Accent6 2 3 2 2 6 2" xfId="19638" xr:uid="{F9C4AA5A-01AE-479C-8002-8FE5D12BA49C}"/>
    <cellStyle name="20% - Accent6 2 3 2 2 7" xfId="20188" xr:uid="{46992F9D-4C84-4C0C-BB87-E225A37E0AAE}"/>
    <cellStyle name="20% - Accent6 2 3 2 3" xfId="20516" xr:uid="{3B25D3C9-FDA4-4A05-9F97-3045E0D45290}"/>
    <cellStyle name="20% - Accent6 2 3 2 3 2" xfId="20102" xr:uid="{6E43DA59-5D6F-45DD-9D0B-4EBC96469CEB}"/>
    <cellStyle name="20% - Accent6 2 3 2 3 2 2" xfId="20099" xr:uid="{5FB627F6-A12D-4FEB-B17B-D512C5494A9C}"/>
    <cellStyle name="20% - Accent6 2 3 2 3 2 2 2" xfId="31899" xr:uid="{D667C211-C6A0-4E21-A619-49B2BE777006}"/>
    <cellStyle name="20% - Accent6 2 3 2 3 2 2 2 2" xfId="20297" xr:uid="{D2652183-37D1-4CDE-8D70-D9C8C3EC18B4}"/>
    <cellStyle name="20% - Accent6 2 3 2 3 2 2 2 2 2" xfId="31212" xr:uid="{3A553446-DD1B-4E17-ACDC-8DAEF4586491}"/>
    <cellStyle name="20% - Accent6 2 3 2 3 2 2 2 3" xfId="26086" xr:uid="{41071B92-492E-4AF2-8E14-08F9CF2867D5}"/>
    <cellStyle name="20% - Accent6 2 3 2 3 2 2 3" xfId="31896" xr:uid="{46A9ECFB-87E3-4C21-B615-65055030D4C1}"/>
    <cellStyle name="20% - Accent6 2 3 2 3 2 2 3 2" xfId="26133" xr:uid="{085AB07A-8591-4BE9-A331-9A0CF15FA336}"/>
    <cellStyle name="20% - Accent6 2 3 2 3 2 2 4" xfId="23867" xr:uid="{A37794C2-2845-46AA-8643-5F1D9057D6FE}"/>
    <cellStyle name="20% - Accent6 2 3 2 3 2 3" xfId="19369" xr:uid="{182E3071-8997-4AD4-88F6-82D573A49EA0}"/>
    <cellStyle name="20% - Accent6 2 3 2 3 2 3 2" xfId="31866" xr:uid="{974D8407-D3CB-4B17-A3C1-7018A25659AA}"/>
    <cellStyle name="20% - Accent6 2 3 2 3 2 3 2 2" xfId="26125" xr:uid="{B83AC52D-9416-4EBE-8C41-22BF16C494A4}"/>
    <cellStyle name="20% - Accent6 2 3 2 3 2 3 3" xfId="23832" xr:uid="{7CF0909E-3BF9-4D2F-9A61-E4CC47D12EA4}"/>
    <cellStyle name="20% - Accent6 2 3 2 3 2 4" xfId="19365" xr:uid="{CCB22261-2E79-454A-9C30-24928220B9B4}"/>
    <cellStyle name="20% - Accent6 2 3 2 3 2 4 2" xfId="23814" xr:uid="{4B4FDC90-B060-4FA9-BF1E-AD523B6AB638}"/>
    <cellStyle name="20% - Accent6 2 3 2 3 2 5" xfId="19359" xr:uid="{F9897D51-A4A8-41E8-9178-48368C5BA3DC}"/>
    <cellStyle name="20% - Accent6 2 3 2 3 3" xfId="19691" xr:uid="{659B10D9-B54B-4979-B99C-B8E437AD93B8}"/>
    <cellStyle name="20% - Accent6 2 3 2 3 3 2" xfId="19357" xr:uid="{2DB4D386-7F53-4BE0-A29D-2196AB415814}"/>
    <cellStyle name="20% - Accent6 2 3 2 3 3 2 2" xfId="32892" xr:uid="{E481F0CE-2E40-4C91-A103-A64553698AEC}"/>
    <cellStyle name="20% - Accent6 2 3 2 3 3 2 2 2" xfId="8996" xr:uid="{2D9541D8-B17D-4C58-A634-074DACC09AB2}"/>
    <cellStyle name="20% - Accent6 2 3 2 3 3 2 3" xfId="23784" xr:uid="{3E3BED60-8794-4AEB-9E93-822BEA547B7E}"/>
    <cellStyle name="20% - Accent6 2 3 2 3 3 3" xfId="19353" xr:uid="{DA57869C-EFC1-48DF-860D-47FFB7C40761}"/>
    <cellStyle name="20% - Accent6 2 3 2 3 3 3 2" xfId="23778" xr:uid="{A37B6C0D-5268-4F48-ABAF-EBCD6CF41048}"/>
    <cellStyle name="20% - Accent6 2 3 2 3 3 4" xfId="19346" xr:uid="{F7800898-0E20-4BA4-873D-24B64CA44EC8}"/>
    <cellStyle name="20% - Accent6 2 3 2 3 4" xfId="19344" xr:uid="{199CB69A-DD31-40F6-9672-D59ABDD21CA8}"/>
    <cellStyle name="20% - Accent6 2 3 2 3 4 2" xfId="19342" xr:uid="{8EFC3A89-99B9-491C-87DB-0F6A192535CD}"/>
    <cellStyle name="20% - Accent6 2 3 2 3 4 2 2" xfId="23748" xr:uid="{F817CE48-ABF1-4341-B013-A83824FB3D42}"/>
    <cellStyle name="20% - Accent6 2 3 2 3 4 3" xfId="19336" xr:uid="{33923F91-4EFD-40C4-9E36-C004DE8B608E}"/>
    <cellStyle name="20% - Accent6 2 3 2 3 5" xfId="19483" xr:uid="{391A6B69-A9C9-400F-B134-97CC2128320D}"/>
    <cellStyle name="20% - Accent6 2 3 2 3 5 2" xfId="20182" xr:uid="{CF359322-87A4-481F-8E9E-2087EAF4716E}"/>
    <cellStyle name="20% - Accent6 2 3 2 3 6" xfId="19457" xr:uid="{0D72EA6A-8CE3-42AD-A713-F0C0E798BFE1}"/>
    <cellStyle name="20% - Accent6 2 3 2 4" xfId="19410" xr:uid="{C42FC7A3-AB62-4A25-8B99-5180138B7020}"/>
    <cellStyle name="20% - Accent6 2 3 2 4 2" xfId="30883" xr:uid="{2B0AA01E-29F5-4B9F-851D-631096E5FB2D}"/>
    <cellStyle name="20% - Accent6 2 3 2 4 2 2" xfId="19332" xr:uid="{4218AB0F-C44E-49DD-B176-9E6E27EA31ED}"/>
    <cellStyle name="20% - Accent6 2 3 2 4 2 2 2" xfId="33198" xr:uid="{9C64F6FE-0F48-4312-ACEF-8514FF36E4EE}"/>
    <cellStyle name="20% - Accent6 2 3 2 4 2 2 2 2" xfId="17513" xr:uid="{99613D7D-DEFC-472F-BCAE-7AE7AA4513C8}"/>
    <cellStyle name="20% - Accent6 2 3 2 4 2 2 3" xfId="23005" xr:uid="{0C4651EF-BB60-400D-ACAB-E8D916341278}"/>
    <cellStyle name="20% - Accent6 2 3 2 4 2 3" xfId="19329" xr:uid="{67E80DCD-15C5-47E5-B94E-C3FD1175A603}"/>
    <cellStyle name="20% - Accent6 2 3 2 4 2 3 2" xfId="22988" xr:uid="{4845343C-D11E-4F12-AD18-0AF8772D6C68}"/>
    <cellStyle name="20% - Accent6 2 3 2 4 2 4" xfId="19324" xr:uid="{5FBE3017-74AB-40AA-879C-8D33C5E646AD}"/>
    <cellStyle name="20% - Accent6 2 3 2 4 3" xfId="19303" xr:uid="{1CA822EA-31F0-48D4-BBFD-061DD14F0A36}"/>
    <cellStyle name="20% - Accent6 2 3 2 4 3 2" xfId="29057" xr:uid="{ACCFD66C-4651-4A2A-8B6D-FDA16F189919}"/>
    <cellStyle name="20% - Accent6 2 3 2 4 3 2 2" xfId="22961" xr:uid="{CA9FCDA6-C2D5-4A1A-AE40-A391351CFC6B}"/>
    <cellStyle name="20% - Accent6 2 3 2 4 3 3" xfId="24425" xr:uid="{7E0AAC3A-8C84-455F-9A8D-C52053FDC410}"/>
    <cellStyle name="20% - Accent6 2 3 2 4 4" xfId="7027" xr:uid="{F1973355-0FDE-40BA-9429-9872F0E0CA0E}"/>
    <cellStyle name="20% - Accent6 2 3 2 4 4 2" xfId="25163" xr:uid="{A7D6C4F1-44FD-444E-BBF5-F05ADDD473A6}"/>
    <cellStyle name="20% - Accent6 2 3 2 4 5" xfId="7023" xr:uid="{A70C5197-B9F3-451E-9B5D-A6AEA372EF8F}"/>
    <cellStyle name="20% - Accent6 2 3 2 5" xfId="18437" xr:uid="{B4BCC24F-81EB-4F7C-B0EA-B6BEC4F763E6}"/>
    <cellStyle name="20% - Accent6 2 3 2 5 2" xfId="19162" xr:uid="{1FCB8B7B-3B19-45A5-BFAF-B60197ED994D}"/>
    <cellStyle name="20% - Accent6 2 3 2 5 2 2" xfId="19155" xr:uid="{4171E94A-22E5-44A5-A861-8795D05BE427}"/>
    <cellStyle name="20% - Accent6 2 3 2 5 2 2 2" xfId="22648" xr:uid="{FCA49290-E453-4D8D-AA3A-AFB9BE4F8FD4}"/>
    <cellStyle name="20% - Accent6 2 3 2 5 2 3" xfId="19321" xr:uid="{C7828A1B-928A-43B2-98E3-CA18F932E90D}"/>
    <cellStyle name="20% - Accent6 2 3 2 5 3" xfId="19123" xr:uid="{5762D90F-B169-47B6-906B-92C885311BBD}"/>
    <cellStyle name="20% - Accent6 2 3 2 5 3 2" xfId="19117" xr:uid="{7E4968D8-8812-47A7-AFC1-CD9670EB688A}"/>
    <cellStyle name="20% - Accent6 2 3 2 5 4" xfId="7021" xr:uid="{187FE5D0-6E35-46AC-91E3-E9D0B87C4E24}"/>
    <cellStyle name="20% - Accent6 2 3 2 6" xfId="18431" xr:uid="{14D47513-E661-4749-911F-85A324D9146A}"/>
    <cellStyle name="20% - Accent6 2 3 2 6 2" xfId="19319" xr:uid="{018CDB70-88BE-4122-B653-FC21810D2502}"/>
    <cellStyle name="20% - Accent6 2 3 2 6 2 2" xfId="19316" xr:uid="{BF3E6B50-61FE-425B-97D0-41F040F79A3C}"/>
    <cellStyle name="20% - Accent6 2 3 2 6 3" xfId="19314" xr:uid="{7CA23C31-90E1-4250-A0C5-E6B9C4F9A4D6}"/>
    <cellStyle name="20% - Accent6 2 3 2 7" xfId="19310" xr:uid="{15B09FB9-4B65-4D05-8006-59ECF1AD3C84}"/>
    <cellStyle name="20% - Accent6 2 3 2 7 2" xfId="19308" xr:uid="{EB850BB4-3224-49C5-95D5-10F620B36073}"/>
    <cellStyle name="20% - Accent6 2 3 2 8" xfId="33139" xr:uid="{29813A31-988D-437B-B5C7-C77214F5F632}"/>
    <cellStyle name="20% - Accent6 2 3 3" xfId="19305" xr:uid="{4459E84C-86E6-46CD-9DAB-7CF05ECA9F8A}"/>
    <cellStyle name="20% - Accent6 2 3 3 2" xfId="12411" xr:uid="{15F56F7A-6D95-4AB8-BB24-12C05D2EBEFA}"/>
    <cellStyle name="20% - Accent6 2 3 3 2 2" xfId="19301" xr:uid="{57C4B20B-B243-4E53-A063-E929A538A459}"/>
    <cellStyle name="20% - Accent6 2 3 3 2 2 2" xfId="23726" xr:uid="{23CC81CF-F9AA-4398-AE3B-A17176D1C339}"/>
    <cellStyle name="20% - Accent6 2 3 3 2 2 2 2" xfId="30190" xr:uid="{A2C4B855-16A6-4E03-8A3C-C396B8E8D4BC}"/>
    <cellStyle name="20% - Accent6 2 3 3 2 2 2 2 2" xfId="32300" xr:uid="{519E5361-C43B-4E22-88FF-93D83D21348E}"/>
    <cellStyle name="20% - Accent6 2 3 3 2 2 2 2 2 2" xfId="20735" xr:uid="{04677A55-E0B1-4D06-8801-A04CC218A301}"/>
    <cellStyle name="20% - Accent6 2 3 3 2 2 2 2 3" xfId="29302" xr:uid="{199A7E0B-17E2-4E1D-B488-8A655FAA0A7A}"/>
    <cellStyle name="20% - Accent6 2 3 3 2 2 2 3" xfId="25870" xr:uid="{7FCB9A1A-FB5D-42B0-B4C9-9D0A0772034F}"/>
    <cellStyle name="20% - Accent6 2 3 3 2 2 2 3 2" xfId="28408" xr:uid="{64EBC9D8-FF8D-4C5E-BF63-EF779032117F}"/>
    <cellStyle name="20% - Accent6 2 3 3 2 2 2 4" xfId="31490" xr:uid="{2122D7AD-DB60-40DF-97AC-E9C65EAC22DC}"/>
    <cellStyle name="20% - Accent6 2 3 3 2 2 3" xfId="19299" xr:uid="{A89699FF-ADA8-4377-AA98-385CDD619EC6}"/>
    <cellStyle name="20% - Accent6 2 3 3 2 2 3 2" xfId="22833" xr:uid="{79B25858-3FDF-4B72-9993-DDF05A9E713A}"/>
    <cellStyle name="20% - Accent6 2 3 3 2 2 3 2 2" xfId="32280" xr:uid="{C284847B-5DD4-4171-AF4B-62B8A800A647}"/>
    <cellStyle name="20% - Accent6 2 3 3 2 2 3 3" xfId="19296" xr:uid="{A4057E40-97D0-4E17-9F55-803EAA990C30}"/>
    <cellStyle name="20% - Accent6 2 3 3 2 2 4" xfId="13501" xr:uid="{BC8571D6-35BD-4496-8FF8-CAA34BF05A9D}"/>
    <cellStyle name="20% - Accent6 2 3 3 2 2 4 2" xfId="19294" xr:uid="{4D4DF77A-4B05-438F-ABCF-848B230DFBA2}"/>
    <cellStyle name="20% - Accent6 2 3 3 2 2 5" xfId="33392" xr:uid="{8FD1ED34-C6D7-4664-8726-FEEACBA6B5DA}"/>
    <cellStyle name="20% - Accent6 2 3 3 2 3" xfId="19292" xr:uid="{B7166445-36CD-4055-82CE-923E80872E11}"/>
    <cellStyle name="20% - Accent6 2 3 3 2 3 2" xfId="19290" xr:uid="{49DDC86E-F646-4D51-A28D-A366580DDA5F}"/>
    <cellStyle name="20% - Accent6 2 3 3 2 3 2 2" xfId="28884" xr:uid="{23BA9BC9-1A4D-470C-B5F7-6991609EE01B}"/>
    <cellStyle name="20% - Accent6 2 3 3 2 3 2 2 2" xfId="32150" xr:uid="{D7E0DA44-7221-4BBF-8453-46931B71B196}"/>
    <cellStyle name="20% - Accent6 2 3 3 2 3 2 3" xfId="19289" xr:uid="{0547D471-C2C8-47DA-85CF-2721A2EB35AD}"/>
    <cellStyle name="20% - Accent6 2 3 3 2 3 3" xfId="19286" xr:uid="{DA313506-3AB1-4DC7-95F2-85DA941B3180}"/>
    <cellStyle name="20% - Accent6 2 3 3 2 3 3 2" xfId="24132" xr:uid="{DAD4A6AE-09AC-4271-80B2-04D8F9FCE7B1}"/>
    <cellStyle name="20% - Accent6 2 3 3 2 3 4" xfId="7715" xr:uid="{D94D3A0C-5699-4F0F-B923-D54AA90A06BC}"/>
    <cellStyle name="20% - Accent6 2 3 3 2 4" xfId="19285" xr:uid="{70F14C7A-B8AE-465B-9041-11CB4B1AF103}"/>
    <cellStyle name="20% - Accent6 2 3 3 2 4 2" xfId="12417" xr:uid="{0056C2D3-480F-443E-9527-FB400E91EBDC}"/>
    <cellStyle name="20% - Accent6 2 3 3 2 4 2 2" xfId="21318" xr:uid="{9B8571C8-4274-4F51-9872-360E26F223B0}"/>
    <cellStyle name="20% - Accent6 2 3 3 2 4 3" xfId="19283" xr:uid="{07C8329E-8C0B-4C95-B8B4-2CCF0D83784D}"/>
    <cellStyle name="20% - Accent6 2 3 3 2 5" xfId="28546" xr:uid="{4715AB94-8A48-4D15-92E7-948348D8775F}"/>
    <cellStyle name="20% - Accent6 2 3 3 2 5 2" xfId="20151" xr:uid="{20BB482A-B7F8-43B8-A788-B4B2DD123738}"/>
    <cellStyle name="20% - Accent6 2 3 3 2 6" xfId="20149" xr:uid="{187B7A2A-B13E-412B-8019-B60532A7D759}"/>
    <cellStyle name="20% - Accent6 2 3 3 3" xfId="19015" xr:uid="{1EFA637E-C72E-4CD3-85AC-1714F5212BD8}"/>
    <cellStyle name="20% - Accent6 2 3 3 3 2" xfId="19012" xr:uid="{80798640-F586-4E56-BEA3-80C12D388047}"/>
    <cellStyle name="20% - Accent6 2 3 3 3 2 2" xfId="19009" xr:uid="{BBCF1491-5156-491D-8823-AA77FC41B199}"/>
    <cellStyle name="20% - Accent6 2 3 3 3 2 2 2" xfId="28633" xr:uid="{AF154EC8-0FE8-4A7F-95B1-7E13619A6D3F}"/>
    <cellStyle name="20% - Accent6 2 3 3 3 2 2 2 2" xfId="25616" xr:uid="{43CE3A44-4838-4231-90DE-3E3E98FEDC03}"/>
    <cellStyle name="20% - Accent6 2 3 3 3 2 2 3" xfId="21198" xr:uid="{73699056-4161-4D8E-9093-533C02824E63}"/>
    <cellStyle name="20% - Accent6 2 3 3 3 2 3" xfId="28138" xr:uid="{72BFB4E5-6403-42C8-859B-38B3C4063AA2}"/>
    <cellStyle name="20% - Accent6 2 3 3 3 2 3 2" xfId="20476" xr:uid="{BB68EC0D-2B95-4BA4-B149-89F6791165A9}"/>
    <cellStyle name="20% - Accent6 2 3 3 3 2 4" xfId="26016" xr:uid="{B66D6266-92A5-4596-BAA4-E2755131B957}"/>
    <cellStyle name="20% - Accent6 2 3 3 3 3" xfId="19281" xr:uid="{A1CF55E2-ED9F-48B3-9418-E229115F3CEC}"/>
    <cellStyle name="20% - Accent6 2 3 3 3 3 2" xfId="18841" xr:uid="{2521F0B8-7B88-4C28-AF68-EF0678E17FE9}"/>
    <cellStyle name="20% - Accent6 2 3 3 3 3 2 2" xfId="21154" xr:uid="{F4A5D4C5-38A3-4EDC-82EF-CE0F062A8447}"/>
    <cellStyle name="20% - Accent6 2 3 3 3 3 3" xfId="27532" xr:uid="{DB410A3B-81B0-4109-A3E7-04D65EBFE338}"/>
    <cellStyle name="20% - Accent6 2 3 3 3 4" xfId="15293" xr:uid="{6ED444B2-48FC-4D85-866D-38FDB014E04A}"/>
    <cellStyle name="20% - Accent6 2 3 3 3 4 2" xfId="19278" xr:uid="{3BA635CC-C122-4D49-BBA6-7A42FBD72D31}"/>
    <cellStyle name="20% - Accent6 2 3 3 3 5" xfId="33252" xr:uid="{B3B85C9A-183D-4710-870F-E097001A17FC}"/>
    <cellStyle name="20% - Accent6 2 3 3 4" xfId="19139" xr:uid="{AF26569B-C1D0-4852-A113-39499C0B0DCD}"/>
    <cellStyle name="20% - Accent6 2 3 3 4 2" xfId="18726" xr:uid="{3669750D-4F6D-40C5-A426-B25D34989B56}"/>
    <cellStyle name="20% - Accent6 2 3 3 4 2 2" xfId="18723" xr:uid="{491EC495-7E82-4296-9210-97F33FA36261}"/>
    <cellStyle name="20% - Accent6 2 3 3 4 2 2 2" xfId="20620" xr:uid="{C7107B5E-403F-4CE6-8745-B891DEEA902D}"/>
    <cellStyle name="20% - Accent6 2 3 3 4 2 3" xfId="24900" xr:uid="{741EFF09-2049-4858-8773-4F516F70A941}"/>
    <cellStyle name="20% - Accent6 2 3 3 4 3" xfId="19274" xr:uid="{E9AB2045-7445-412A-BAC0-3849A393BF14}"/>
    <cellStyle name="20% - Accent6 2 3 3 4 3 2" xfId="7800" xr:uid="{192DFD61-1FD5-43D4-ABF9-FF66E3E16D68}"/>
    <cellStyle name="20% - Accent6 2 3 3 4 4" xfId="7015" xr:uid="{9EE39ABE-ACD7-4136-860D-17FCEE5F9E03}"/>
    <cellStyle name="20% - Accent6 2 3 3 5" xfId="19135" xr:uid="{A10C09A7-C185-4F0C-AF0B-898A60D9133D}"/>
    <cellStyle name="20% - Accent6 2 3 3 5 2" xfId="18585" xr:uid="{B778FA7F-B121-4EB1-88C3-D34460E7A5B8}"/>
    <cellStyle name="20% - Accent6 2 3 3 5 2 2" xfId="7760" xr:uid="{DF2F9D4D-2926-4514-840B-2377508AFD3D}"/>
    <cellStyle name="20% - Accent6 2 3 3 5 3" xfId="19269" xr:uid="{6A07DE90-CD2A-4A5A-8CCF-E483F3F1F73A}"/>
    <cellStyle name="20% - Accent6 2 3 3 6" xfId="19265" xr:uid="{555886CD-CE20-4E5F-922E-192624A3883B}"/>
    <cellStyle name="20% - Accent6 2 3 3 6 2" xfId="25923" xr:uid="{FC074B63-423F-43D9-AB9A-5BCF94A0A59B}"/>
    <cellStyle name="20% - Accent6 2 3 3 7" xfId="19263" xr:uid="{7BFCA4F2-4D1F-4D42-900F-7EF3916A6A0B}"/>
    <cellStyle name="20% - Accent6 2 3 4" xfId="33542" xr:uid="{43763096-5512-4D11-B185-2207BD1604CB}"/>
    <cellStyle name="20% - Accent6 2 3 4 2" xfId="25166" xr:uid="{68EF66B8-D6EC-447B-8272-3301936D483D}"/>
    <cellStyle name="20% - Accent6 2 3 4 2 2" xfId="19260" xr:uid="{09F0030A-1A50-40C7-A82F-AA41F8ED9603}"/>
    <cellStyle name="20% - Accent6 2 3 4 2 2 2" xfId="30235" xr:uid="{08C10E72-6423-49C9-A11D-5B9C688575D5}"/>
    <cellStyle name="20% - Accent6 2 3 4 2 2 2 2" xfId="23743" xr:uid="{89047A9E-AFF7-476A-A642-F123C483B0F4}"/>
    <cellStyle name="20% - Accent6 2 3 4 2 2 2 2 2" xfId="24966" xr:uid="{2790B685-FDD2-4DA3-B9CE-74A9D2C18F74}"/>
    <cellStyle name="20% - Accent6 2 3 4 2 2 2 3" xfId="19259" xr:uid="{2C14D4E9-19AE-4990-AB3E-3875B1BC61AE}"/>
    <cellStyle name="20% - Accent6 2 3 4 2 2 3" xfId="19257" xr:uid="{FA2021BE-6385-4B26-B21C-7AEA0CF2F3C6}"/>
    <cellStyle name="20% - Accent6 2 3 4 2 2 3 2" xfId="19254" xr:uid="{C6F6AF92-E114-429E-8970-E6B1EBC4A004}"/>
    <cellStyle name="20% - Accent6 2 3 4 2 2 4" xfId="29731" xr:uid="{C66E154B-672E-492D-8518-C3568BD52C76}"/>
    <cellStyle name="20% - Accent6 2 3 4 2 3" xfId="19253" xr:uid="{06E3F759-B0D0-445E-B145-570BA6A7A328}"/>
    <cellStyle name="20% - Accent6 2 3 4 2 3 2" xfId="19251" xr:uid="{25F68D28-2B73-4271-BF3F-63D28833C688}"/>
    <cellStyle name="20% - Accent6 2 3 4 2 3 2 2" xfId="24483" xr:uid="{FFE7B01B-1EE0-457F-906C-A7807287F7F1}"/>
    <cellStyle name="20% - Accent6 2 3 4 2 3 3" xfId="19249" xr:uid="{E717A3ED-36D6-46A6-B91A-A9304876FD72}"/>
    <cellStyle name="20% - Accent6 2 3 4 2 4" xfId="19246" xr:uid="{E83ED246-38DB-418D-8084-CFB0728A8DC8}"/>
    <cellStyle name="20% - Accent6 2 3 4 2 4 2" xfId="19243" xr:uid="{5C30A9EE-BC29-4667-B1C9-34DFC801E74D}"/>
    <cellStyle name="20% - Accent6 2 3 4 2 5" xfId="20128" xr:uid="{3D8F8E04-E472-42FC-A143-AB874E02E683}"/>
    <cellStyle name="20% - Accent6 2 3 4 3" xfId="18490" xr:uid="{B20BC985-E2B0-42F5-A859-D5FFF23C42EF}"/>
    <cellStyle name="20% - Accent6 2 3 4 3 2" xfId="19237" xr:uid="{CA0D8BD7-5AF7-4878-938F-A3BD1125D816}"/>
    <cellStyle name="20% - Accent6 2 3 4 3 2 2" xfId="18487" xr:uid="{E3B31B05-DAA4-4781-933B-B85F23471948}"/>
    <cellStyle name="20% - Accent6 2 3 4 3 2 2 2" xfId="19230" xr:uid="{90D17B0B-8098-4695-8043-A79DDAC07B8D}"/>
    <cellStyle name="20% - Accent6 2 3 4 3 2 3" xfId="22769" xr:uid="{4ECE8A87-FF33-485C-85C8-00ABE1FC5C5E}"/>
    <cellStyle name="20% - Accent6 2 3 4 3 3" xfId="19226" xr:uid="{B6C486AD-684E-4FC5-8866-550968BE9A98}"/>
    <cellStyle name="20% - Accent6 2 3 4 3 3 2" xfId="19222" xr:uid="{BD3216F3-DAED-41AF-B5B2-77FB7E6DCDB2}"/>
    <cellStyle name="20% - Accent6 2 3 4 3 4" xfId="19218" xr:uid="{3FA958D1-4045-47C3-BB96-5FE3A2AF7B41}"/>
    <cellStyle name="20% - Accent6 2 3 4 4" xfId="19131" xr:uid="{FCE2594F-45EC-44C6-85CB-0189730D4580}"/>
    <cellStyle name="20% - Accent6 2 3 4 4 2" xfId="19214" xr:uid="{C409FF6D-2010-49AC-8A7D-3BB1B1B4CD0B}"/>
    <cellStyle name="20% - Accent6 2 3 4 4 2 2" xfId="20569" xr:uid="{C765E377-0535-4F6E-9609-BB2924089C3A}"/>
    <cellStyle name="20% - Accent6 2 3 4 4 3" xfId="19210" xr:uid="{276F555A-43F0-435B-9C72-676531AAE1B1}"/>
    <cellStyle name="20% - Accent6 2 3 4 5" xfId="18341" xr:uid="{6268C1CC-3BEA-495D-8768-8E2E1DBBD9F0}"/>
    <cellStyle name="20% - Accent6 2 3 4 5 2" xfId="18338" xr:uid="{06370D5A-DEF7-4B75-93A6-6DE276058B3B}"/>
    <cellStyle name="20% - Accent6 2 3 4 6" xfId="19206" xr:uid="{33150DBF-FA32-4E5F-BB74-948D839FD179}"/>
    <cellStyle name="20% - Accent6 2 3 5" xfId="25155" xr:uid="{14F5CE72-4375-4554-B65E-C90829DA59E2}"/>
    <cellStyle name="20% - Accent6 2 3 5 2" xfId="19200" xr:uid="{EAE6B1A2-B423-4080-AC66-9D8E6CA55784}"/>
    <cellStyle name="20% - Accent6 2 3 5 2 2" xfId="19194" xr:uid="{A22BCEDE-4898-4C95-91FB-353F298B85D7}"/>
    <cellStyle name="20% - Accent6 2 3 5 2 2 2" xfId="19193" xr:uid="{78FFDC04-24B4-42B9-BF3F-6F42B86F08C6}"/>
    <cellStyle name="20% - Accent6 2 3 5 2 2 2 2" xfId="16829" xr:uid="{0DFDB66F-BD8F-43F6-9966-39134F65150C}"/>
    <cellStyle name="20% - Accent6 2 3 5 2 2 3" xfId="19191" xr:uid="{63C67CA0-3947-4A78-80BF-8BAAB3A4A6BE}"/>
    <cellStyle name="20% - Accent6 2 3 5 2 3" xfId="19190" xr:uid="{A0FFD1EB-3148-4FBC-8F71-25EC2FE119FA}"/>
    <cellStyle name="20% - Accent6 2 3 5 2 3 2" xfId="19433" xr:uid="{4B5D954D-1410-4890-9659-3808ACFDB883}"/>
    <cellStyle name="20% - Accent6 2 3 5 2 4" xfId="19188" xr:uid="{69BF2832-4EEC-402E-9ABF-5D14DD640B95}"/>
    <cellStyle name="20% - Accent6 2 3 5 3" xfId="17849" xr:uid="{D855CAB2-EDB2-41FF-B0F0-7E72CB84DEA8}"/>
    <cellStyle name="20% - Accent6 2 3 5 3 2" xfId="19185" xr:uid="{287C7F0C-8076-4C8A-871C-3FD79F88182E}"/>
    <cellStyle name="20% - Accent6 2 3 5 3 2 2" xfId="18254" xr:uid="{23187F5B-B0B0-4121-A8A6-234CD886A0C1}"/>
    <cellStyle name="20% - Accent6 2 3 5 3 3" xfId="25717" xr:uid="{34F5C8BF-7031-4B76-8772-98FA5D7EC4F2}"/>
    <cellStyle name="20% - Accent6 2 3 5 4" xfId="18214" xr:uid="{8823102C-B816-45F6-B89A-0A185DD5BF8B}"/>
    <cellStyle name="20% - Accent6 2 3 5 4 2" xfId="18211" xr:uid="{0D3D63B6-A5FE-48DB-974E-A1E77ABBFC38}"/>
    <cellStyle name="20% - Accent6 2 3 5 5" xfId="18176" xr:uid="{B030B618-E4B0-47ED-8582-084823DF888E}"/>
    <cellStyle name="20% - Accent6 2 3 6" xfId="19181" xr:uid="{73EAD03F-4975-4123-B91D-5D09AC7FAD6F}"/>
    <cellStyle name="20% - Accent6 2 3 6 2" xfId="19179" xr:uid="{45567901-341D-4F89-AC34-8867B909B174}"/>
    <cellStyle name="20% - Accent6 2 3 6 2 2" xfId="19177" xr:uid="{C94BC847-C4DD-4A05-93BC-D88056F8C66F}"/>
    <cellStyle name="20% - Accent6 2 3 6 2 2 2" xfId="19176" xr:uid="{376200B5-2FAB-45F8-AE17-9370299344C2}"/>
    <cellStyle name="20% - Accent6 2 3 6 2 3" xfId="18642" xr:uid="{69613E85-60BF-4DA0-9403-88B75DCF2B06}"/>
    <cellStyle name="20% - Accent6 2 3 6 3" xfId="18125" xr:uid="{ED74A345-38BA-4A40-B8CE-894E13A36074}"/>
    <cellStyle name="20% - Accent6 2 3 6 3 2" xfId="18120" xr:uid="{9A28CAC8-AD9C-427D-862D-43AF0CBE7C56}"/>
    <cellStyle name="20% - Accent6 2 3 6 4" xfId="18108" xr:uid="{72A4BF34-5B2B-4FA8-BB61-883397ADD0E0}"/>
    <cellStyle name="20% - Accent6 2 3 7" xfId="24110" xr:uid="{7705DC97-04E8-4F72-A3B8-16BD7AA83957}"/>
    <cellStyle name="20% - Accent6 2 3 7 2" xfId="19175" xr:uid="{0235EBAF-9F5F-47F5-A0C2-7689B9684657}"/>
    <cellStyle name="20% - Accent6 2 3 7 2 2" xfId="19172" xr:uid="{872908F3-13C9-42C8-909E-00F865C3AF15}"/>
    <cellStyle name="20% - Accent6 2 3 7 3" xfId="19171" xr:uid="{E74E6F60-D8D3-4D22-9381-1C3B3F426DE6}"/>
    <cellStyle name="20% - Accent6 2 3 8" xfId="24098" xr:uid="{3706DDFD-22A2-47D7-AC17-978B7B19A763}"/>
    <cellStyle name="20% - Accent6 2 3 8 2" xfId="19168" xr:uid="{66196F08-D016-4BA3-AB4C-2B15D787DE11}"/>
    <cellStyle name="20% - Accent6 2 3 9" xfId="19166" xr:uid="{44EF1A2A-D72A-4E81-9ACF-489700EF5410}"/>
    <cellStyle name="20% - Accent6 2 4" xfId="19164" xr:uid="{6990FFD9-506B-4936-ACB3-85A84E0D054A}"/>
    <cellStyle name="20% - Accent6 2 4 2" xfId="8882" xr:uid="{9C053E24-EF6F-46D9-855A-1524E108C4FD}"/>
    <cellStyle name="20% - Accent6 2 4 2 2" xfId="19161" xr:uid="{8CD9D8E1-6CA1-42EE-B29F-20A36D1A5240}"/>
    <cellStyle name="20% - Accent6 2 4 2 2 2" xfId="23628" xr:uid="{7D081065-5F02-409C-9585-FE1D1B814442}"/>
    <cellStyle name="20% - Accent6 2 4 2 2 2 2" xfId="21076" xr:uid="{35B8EB9C-FF04-4ADD-936F-5E064DB0EF50}"/>
    <cellStyle name="20% - Accent6 2 4 2 2 2 2 2" xfId="21073" xr:uid="{54A783AA-3768-44CF-830F-26A0753C5E87}"/>
    <cellStyle name="20% - Accent6 2 4 2 2 2 2 2 2" xfId="21070" xr:uid="{57C81757-A1E7-4C1F-B2D5-F4F04A65C7E5}"/>
    <cellStyle name="20% - Accent6 2 4 2 2 2 2 2 2 2" xfId="20537" xr:uid="{B6C82F11-E3BB-4FD7-92DF-A8A31F172772}"/>
    <cellStyle name="20% - Accent6 2 4 2 2 2 2 2 3" xfId="12788" xr:uid="{9C02AE36-8694-4CFA-8DC3-C1DA591BF593}"/>
    <cellStyle name="20% - Accent6 2 4 2 2 2 2 3" xfId="21067" xr:uid="{6114FEDB-AA42-4261-9300-68A3B28BE61D}"/>
    <cellStyle name="20% - Accent6 2 4 2 2 2 2 3 2" xfId="28533" xr:uid="{D773118C-2AB9-4780-841D-BD5D19FBF303}"/>
    <cellStyle name="20% - Accent6 2 4 2 2 2 2 4" xfId="27833" xr:uid="{3CF22AFA-35DB-4BAF-8BF4-8217BBEF1D3C}"/>
    <cellStyle name="20% - Accent6 2 4 2 2 2 3" xfId="21064" xr:uid="{0BDCAC23-9660-4A39-84E1-A71B961FA0D7}"/>
    <cellStyle name="20% - Accent6 2 4 2 2 2 3 2" xfId="17621" xr:uid="{98033CD0-FDEC-476A-A95F-3964CF7BE655}"/>
    <cellStyle name="20% - Accent6 2 4 2 2 2 3 2 2" xfId="33634" xr:uid="{6646D0EB-BD01-4F07-9BCF-D5CCF6A8976E}"/>
    <cellStyle name="20% - Accent6 2 4 2 2 2 3 3" xfId="10376" xr:uid="{46CF5E35-FF7D-40A3-A0E8-5D521DE38FE7}"/>
    <cellStyle name="20% - Accent6 2 4 2 2 2 4" xfId="22964" xr:uid="{3AB22C13-2B10-41C6-AF20-507D4B069910}"/>
    <cellStyle name="20% - Accent6 2 4 2 2 2 4 2" xfId="10367" xr:uid="{1CD788E5-20D5-4529-B16F-C6636D7353C1}"/>
    <cellStyle name="20% - Accent6 2 4 2 2 2 5" xfId="22944" xr:uid="{4C400F8D-BA28-4472-8095-6B620D3BF45C}"/>
    <cellStyle name="20% - Accent6 2 4 2 2 3" xfId="23621" xr:uid="{C5D626BE-3408-4A58-BCC8-6BF2922C2DB8}"/>
    <cellStyle name="20% - Accent6 2 4 2 2 3 2" xfId="21026" xr:uid="{61E2956E-3FF2-4632-9095-0A9E34382381}"/>
    <cellStyle name="20% - Accent6 2 4 2 2 3 2 2" xfId="21022" xr:uid="{A0181A80-6FF7-4D47-9CC3-15B2353E6C02}"/>
    <cellStyle name="20% - Accent6 2 4 2 2 3 2 2 2" xfId="28145" xr:uid="{5451EDE9-2455-401D-AAB0-39DAE5A6C4AC}"/>
    <cellStyle name="20% - Accent6 2 4 2 2 3 2 3" xfId="30724" xr:uid="{5F7E102B-9A90-418F-A2C2-6C2DF63DC7BD}"/>
    <cellStyle name="20% - Accent6 2 4 2 2 3 3" xfId="21019" xr:uid="{C6E04A57-BC99-4A18-B121-9453C7228AA1}"/>
    <cellStyle name="20% - Accent6 2 4 2 2 3 3 2" xfId="12022" xr:uid="{2A826AEA-45C6-43A4-8BF0-5840D75E414B}"/>
    <cellStyle name="20% - Accent6 2 4 2 2 3 4" xfId="22643" xr:uid="{1EE3174E-6D83-42E4-B958-503E09740589}"/>
    <cellStyle name="20% - Accent6 2 4 2 2 4" xfId="23617" xr:uid="{F089E9BC-632D-4964-8D1A-796DFAF5B286}"/>
    <cellStyle name="20% - Accent6 2 4 2 2 4 2" xfId="20999" xr:uid="{64F78763-BE74-4077-88BE-E33974EBA7D4}"/>
    <cellStyle name="20% - Accent6 2 4 2 2 4 2 2" xfId="30435" xr:uid="{CC5180FE-BDDB-4B67-84E5-174C4EF61604}"/>
    <cellStyle name="20% - Accent6 2 4 2 2 4 3" xfId="22551" xr:uid="{0780256E-8937-4D5C-83C8-09A8DE46894C}"/>
    <cellStyle name="20% - Accent6 2 4 2 2 5" xfId="19154" xr:uid="{C204259D-9F80-44F3-A9F1-C9CB820970A3}"/>
    <cellStyle name="20% - Accent6 2 4 2 2 5 2" xfId="22412" xr:uid="{F46C7A4D-1BDD-4A87-AB0C-E6508A5B2ED9}"/>
    <cellStyle name="20% - Accent6 2 4 2 2 6" xfId="19149" xr:uid="{08895145-E518-404B-B0B8-75417E49D974}"/>
    <cellStyle name="20% - Accent6 2 4 2 3" xfId="25568" xr:uid="{EC0CEBF3-4DB4-4BED-A22D-D8421AB8D349}"/>
    <cellStyle name="20% - Accent6 2 4 2 3 2" xfId="25062" xr:uid="{3B493E13-1AB1-4EF4-9A3F-441D00D8D381}"/>
    <cellStyle name="20% - Accent6 2 4 2 3 2 2" xfId="17028" xr:uid="{23B3F3C5-3648-402E-8126-B3F6FF382273}"/>
    <cellStyle name="20% - Accent6 2 4 2 3 2 2 2" xfId="20978" xr:uid="{A468F558-67C7-4F69-9216-27954074A199}"/>
    <cellStyle name="20% - Accent6 2 4 2 3 2 2 2 2" xfId="22545" xr:uid="{16456E41-4752-4098-A192-B5296F1A46FD}"/>
    <cellStyle name="20% - Accent6 2 4 2 3 2 2 3" xfId="33985" xr:uid="{FB867299-9146-4B84-B836-2B362C36B5AF}"/>
    <cellStyle name="20% - Accent6 2 4 2 3 2 3" xfId="14482" xr:uid="{BF7CD76A-5F2F-410B-A0A5-F7738CB46267}"/>
    <cellStyle name="20% - Accent6 2 4 2 3 2 3 2" xfId="10315" xr:uid="{BD430ADD-2AD9-4E1D-BAAE-7A55C36338A2}"/>
    <cellStyle name="20% - Accent6 2 4 2 3 2 4" xfId="14478" xr:uid="{DE12B18C-7A27-4C95-A606-B848C2857BE1}"/>
    <cellStyle name="20% - Accent6 2 4 2 3 3" xfId="23611" xr:uid="{AFC007A2-9473-415D-BB79-B07B1AF9F85A}"/>
    <cellStyle name="20% - Accent6 2 4 2 3 3 2" xfId="20459" xr:uid="{4B0696D6-29C2-4B2F-8035-EACC99EEB6D4}"/>
    <cellStyle name="20% - Accent6 2 4 2 3 3 2 2" xfId="29954" xr:uid="{3A29D549-755E-43E2-8BBA-FA16491B59E9}"/>
    <cellStyle name="20% - Accent6 2 4 2 3 3 3" xfId="20413" xr:uid="{588ECEC9-63BA-429D-B96B-8C4093D31275}"/>
    <cellStyle name="20% - Accent6 2 4 2 3 4" xfId="14471" xr:uid="{FA1ED691-2B23-477F-ACC9-7A57A61797FB}"/>
    <cellStyle name="20% - Accent6 2 4 2 3 4 2" xfId="20305" xr:uid="{822F246F-8186-4F85-B8FA-6483B163A25C}"/>
    <cellStyle name="20% - Accent6 2 4 2 3 5" xfId="14469" xr:uid="{D949CD67-3FDF-4711-BB1B-06CDD8C8EEFA}"/>
    <cellStyle name="20% - Accent6 2 4 2 4" xfId="14467" xr:uid="{1260FB00-12E8-4601-A020-059464017D1C}"/>
    <cellStyle name="20% - Accent6 2 4 2 4 2" xfId="23601" xr:uid="{AF9B8A2C-309A-4A4C-A44D-F8CE913C1C7F}"/>
    <cellStyle name="20% - Accent6 2 4 2 4 2 2" xfId="17929" xr:uid="{0D4D314B-5254-439A-B29A-2A57A1A9604D}"/>
    <cellStyle name="20% - Accent6 2 4 2 4 2 2 2" xfId="29614" xr:uid="{4C0EAC72-0F51-4C2C-9E01-2FF302445EC6}"/>
    <cellStyle name="20% - Accent6 2 4 2 4 2 3" xfId="14464" xr:uid="{A1F576AF-8831-40BD-87E0-AE143E684081}"/>
    <cellStyle name="20% - Accent6 2 4 2 4 3" xfId="14461" xr:uid="{A597E986-7748-47A2-9154-A35FDE80C62F}"/>
    <cellStyle name="20% - Accent6 2 4 2 4 3 2" xfId="17917" xr:uid="{1A89A872-9565-4953-B440-E3A8F13F37E8}"/>
    <cellStyle name="20% - Accent6 2 4 2 4 4" xfId="6958" xr:uid="{E904E596-E343-46AD-B718-6A4E44E080B2}"/>
    <cellStyle name="20% - Accent6 2 4 2 5" xfId="14459" xr:uid="{105F46B8-F3A6-4A37-BAFC-6FFC7FACCDDA}"/>
    <cellStyle name="20% - Accent6 2 4 2 5 2" xfId="19130" xr:uid="{BD64C460-79F4-46B2-B6AA-555841953DEC}"/>
    <cellStyle name="20% - Accent6 2 4 2 5 2 2" xfId="14455" xr:uid="{3643FFCA-6ABB-4E3C-91F6-11A14C07CB85}"/>
    <cellStyle name="20% - Accent6 2 4 2 5 3" xfId="14453" xr:uid="{831B759A-2825-40E1-8145-448845648547}"/>
    <cellStyle name="20% - Accent6 2 4 2 6" xfId="14451" xr:uid="{C940E8E1-CFAB-4520-A8C1-FDEF1C0AFC06}"/>
    <cellStyle name="20% - Accent6 2 4 2 6 2" xfId="14449" xr:uid="{F5C12669-C0F0-4CAC-9727-394388EE80C0}"/>
    <cellStyle name="20% - Accent6 2 4 2 7" xfId="19126" xr:uid="{EE453C62-C68B-42AE-9A0C-5DBD68A51BBE}"/>
    <cellStyle name="20% - Accent6 2 4 3" xfId="8879" xr:uid="{CFB3725B-0F38-4372-861F-903FBF9D4B6D}"/>
    <cellStyle name="20% - Accent6 2 4 3 2" xfId="19121" xr:uid="{99F3235B-D962-43E0-B990-D270CE26ECD2}"/>
    <cellStyle name="20% - Accent6 2 4 3 2 2" xfId="29972" xr:uid="{DA344CE4-C9F5-40E5-9C77-B9F80C31E256}"/>
    <cellStyle name="20% - Accent6 2 4 3 2 2 2" xfId="19116" xr:uid="{B6630FFF-F66D-4E1E-8F68-63ACEB528E25}"/>
    <cellStyle name="20% - Accent6 2 4 3 2 2 2 2" xfId="27306" xr:uid="{A0426356-0CA0-4420-86C3-16ED04F4D1CB}"/>
    <cellStyle name="20% - Accent6 2 4 3 2 2 2 2 2" xfId="19109" xr:uid="{D2F07FCB-7A17-4A55-8512-C403D568A442}"/>
    <cellStyle name="20% - Accent6 2 4 3 2 2 2 3" xfId="23010" xr:uid="{E62F8352-5C4F-4E24-BC32-BF76F97CDB77}"/>
    <cellStyle name="20% - Accent6 2 4 3 2 2 3" xfId="19108" xr:uid="{62AE75E0-F8C1-4123-AEAF-DBC8E8B481CF}"/>
    <cellStyle name="20% - Accent6 2 4 3 2 2 3 2" xfId="26525" xr:uid="{A486E2B2-C069-4467-AB99-D14CD8443C3C}"/>
    <cellStyle name="20% - Accent6 2 4 3 2 2 4" xfId="32531" xr:uid="{ED86203D-7A28-402A-8A4F-3629FEB05258}"/>
    <cellStyle name="20% - Accent6 2 4 3 2 3" xfId="32243" xr:uid="{B6127327-77DB-43FC-AF0D-F63C3CF43ED0}"/>
    <cellStyle name="20% - Accent6 2 4 3 2 3 2" xfId="20906" xr:uid="{93B4A0D9-65B5-4C1D-B881-B7A0345713A6}"/>
    <cellStyle name="20% - Accent6 2 4 3 2 3 2 2" xfId="26515" xr:uid="{C92EC682-1AE2-4393-9C3E-53F6C364AFC0}"/>
    <cellStyle name="20% - Accent6 2 4 3 2 3 3" xfId="32452" xr:uid="{29A25AAE-7472-404B-8BAE-FC017C63809B}"/>
    <cellStyle name="20% - Accent6 2 4 3 2 4" xfId="28143" xr:uid="{FABA6F5D-2FF9-453E-8934-206030A6F10B}"/>
    <cellStyle name="20% - Accent6 2 4 3 2 4 2" xfId="33277" xr:uid="{925B9252-DB28-4E86-B7F1-97BDF0C25898}"/>
    <cellStyle name="20% - Accent6 2 4 3 2 5" xfId="19105" xr:uid="{DF095682-C9E1-42BB-809A-796D1F0D76F2}"/>
    <cellStyle name="20% - Accent6 2 4 3 3" xfId="14446" xr:uid="{84A69BA6-09AF-4F07-95FF-394131882E62}"/>
    <cellStyle name="20% - Accent6 2 4 3 3 2" xfId="23590" xr:uid="{C458AFC3-5F3D-4B3D-BCE3-D3ABC5DC4018}"/>
    <cellStyle name="20% - Accent6 2 4 3 3 2 2" xfId="14444" xr:uid="{9AB5BED2-C3D9-4741-A84C-301551327430}"/>
    <cellStyle name="20% - Accent6 2 4 3 3 2 2 2" xfId="24940" xr:uid="{D1382540-6F05-4E0A-8E2C-AD2C29C5F050}"/>
    <cellStyle name="20% - Accent6 2 4 3 3 2 3" xfId="14442" xr:uid="{DBD217AB-597E-4B5D-B15A-2CB191551CD5}"/>
    <cellStyle name="20% - Accent6 2 4 3 3 3" xfId="14440" xr:uid="{265CEE6B-1995-4346-A3E1-4BE1DA0C42CE}"/>
    <cellStyle name="20% - Accent6 2 4 3 3 3 2" xfId="27360" xr:uid="{4DDEE75C-1229-45CE-A64B-6D052CA41851}"/>
    <cellStyle name="20% - Accent6 2 4 3 3 4" xfId="19103" xr:uid="{2FA072D8-7B82-48EA-B59C-15C6953BEDFE}"/>
    <cellStyle name="20% - Accent6 2 4 3 4" xfId="14438" xr:uid="{9E5494B6-F819-4A4B-A95A-EEABEBB6E08D}"/>
    <cellStyle name="20% - Accent6 2 4 3 4 2" xfId="14436" xr:uid="{5A706CD8-1BEF-4B0B-AA07-680807574EE7}"/>
    <cellStyle name="20% - Accent6 2 4 3 4 2 2" xfId="10137" xr:uid="{FF64B6EC-0E92-438B-9A56-93925AB160D5}"/>
    <cellStyle name="20% - Accent6 2 4 3 4 3" xfId="14434" xr:uid="{8EF01E7B-1EDE-45C5-B5A3-A8B649C34A84}"/>
    <cellStyle name="20% - Accent6 2 4 3 5" xfId="14432" xr:uid="{1DC5F1FA-388C-47D6-966A-C6301345ED33}"/>
    <cellStyle name="20% - Accent6 2 4 3 5 2" xfId="14430" xr:uid="{5FB1278B-1800-499F-BE31-895AC356E188}"/>
    <cellStyle name="20% - Accent6 2 4 3 6" xfId="14428" xr:uid="{4EA20784-BB17-4671-9A05-C669DD8CB86D}"/>
    <cellStyle name="20% - Accent6 2 4 4" xfId="25152" xr:uid="{142DB5F1-5C48-4127-B903-20B776BFB7A1}"/>
    <cellStyle name="20% - Accent6 2 4 4 2" xfId="19099" xr:uid="{89B58ACE-9CB7-49B0-809C-91CEE7B09CEA}"/>
    <cellStyle name="20% - Accent6 2 4 4 2 2" xfId="23579" xr:uid="{8E31DE60-BFFB-4F2D-AF8D-AE918AD3B341}"/>
    <cellStyle name="20% - Accent6 2 4 4 2 2 2" xfId="20861" xr:uid="{7B02CA8E-8DF8-4D71-A4D2-F3B847C7738A}"/>
    <cellStyle name="20% - Accent6 2 4 4 2 2 2 2" xfId="5616" xr:uid="{92599F3C-63C6-4007-BDCB-16EE2B988270}"/>
    <cellStyle name="20% - Accent6 2 4 4 2 2 3" xfId="9397" xr:uid="{AB575BF5-AA4E-4722-83CD-BB23A20985E1}"/>
    <cellStyle name="20% - Accent6 2 4 4 2 3" xfId="19094" xr:uid="{A15AF513-AB8C-4DE0-854D-FFA25DA7923E}"/>
    <cellStyle name="20% - Accent6 2 4 4 2 3 2" xfId="33842" xr:uid="{D9EE9B6A-792D-4EA0-9BC7-C0CB6A157442}"/>
    <cellStyle name="20% - Accent6 2 4 4 2 4" xfId="19093" xr:uid="{744F7483-21F7-4A83-827A-4F83DA99F101}"/>
    <cellStyle name="20% - Accent6 2 4 4 3" xfId="14426" xr:uid="{941F0311-40E5-4A00-AF3C-52D57E865DAA}"/>
    <cellStyle name="20% - Accent6 2 4 4 3 2" xfId="14424" xr:uid="{D83C86B9-FD86-4AB5-8A4C-86A7F74F9A20}"/>
    <cellStyle name="20% - Accent6 2 4 4 3 2 2" xfId="14422" xr:uid="{609C9E32-EF5D-463B-8BB9-68E2F7EA3643}"/>
    <cellStyle name="20% - Accent6 2 4 4 3 3" xfId="14420" xr:uid="{B562BC9D-7EB4-4ACA-9C30-AB9BA09E84F0}"/>
    <cellStyle name="20% - Accent6 2 4 4 4" xfId="14418" xr:uid="{2832E31B-5F26-4292-9491-F8429624F861}"/>
    <cellStyle name="20% - Accent6 2 4 4 4 2" xfId="14415" xr:uid="{C8578340-144E-413A-A1D8-B6922D4F3D7E}"/>
    <cellStyle name="20% - Accent6 2 4 4 5" xfId="14413" xr:uid="{0C1E45C0-A9B7-4649-8190-F3841539B189}"/>
    <cellStyle name="20% - Accent6 2 4 5" xfId="19086" xr:uid="{A3AAB8D8-2656-406C-9AC2-E9E55D969CFD}"/>
    <cellStyle name="20% - Accent6 2 4 5 2" xfId="19084" xr:uid="{FD7B78F0-7832-4918-BB7F-83A0EE1CC6A0}"/>
    <cellStyle name="20% - Accent6 2 4 5 2 2" xfId="19082" xr:uid="{72BEBC0A-31E6-41A5-B662-0104D72EA323}"/>
    <cellStyle name="20% - Accent6 2 4 5 2 2 2" xfId="21789" xr:uid="{5EEA8702-8DDF-4DC7-A3BD-C24D07E9AE1A}"/>
    <cellStyle name="20% - Accent6 2 4 5 2 3" xfId="19078" xr:uid="{A7A1CFB0-79BE-4362-BD82-18E38BF9DBE3}"/>
    <cellStyle name="20% - Accent6 2 4 5 3" xfId="19077" xr:uid="{C1E8D1AC-B5C0-4A1B-B557-AED7AFEEB4AA}"/>
    <cellStyle name="20% - Accent6 2 4 5 3 2" xfId="14409" xr:uid="{07BFA0BD-F97E-4C41-AA55-244F3B82D0AA}"/>
    <cellStyle name="20% - Accent6 2 4 5 4" xfId="14406" xr:uid="{600DFA39-3592-4627-9AAD-8F92F41BF33E}"/>
    <cellStyle name="20% - Accent6 2 4 6" xfId="19072" xr:uid="{200AD7A0-4E09-4D47-84FD-97DA69996ABC}"/>
    <cellStyle name="20% - Accent6 2 4 6 2" xfId="19069" xr:uid="{EB0514BD-2C2C-4035-B049-D9663428C329}"/>
    <cellStyle name="20% - Accent6 2 4 6 2 2" xfId="19068" xr:uid="{068674BA-2159-4496-887F-8FEFEFF27D04}"/>
    <cellStyle name="20% - Accent6 2 4 6 3" xfId="19067" xr:uid="{21D85F41-26D3-4A2B-95AE-CB57F201ACEA}"/>
    <cellStyle name="20% - Accent6 2 4 7" xfId="24094" xr:uid="{4D85F135-19E7-4770-912D-26A8BEB1D6B9}"/>
    <cellStyle name="20% - Accent6 2 4 7 2" xfId="19063" xr:uid="{B9681D28-1BF0-4F10-9D1D-15FB40549284}"/>
    <cellStyle name="20% - Accent6 2 4 8" xfId="19061" xr:uid="{8B32055C-A802-4A53-B8EA-AE07D065E2C3}"/>
    <cellStyle name="20% - Accent6 2 4 9" xfId="34765" xr:uid="{82793E30-2BE0-4325-B21A-32EA6E854DD5}"/>
    <cellStyle name="20% - Accent6 2 5" xfId="34092" xr:uid="{7216196E-BF08-42BA-A96E-ABCE0616C8A3}"/>
    <cellStyle name="20% - Accent6 2 5 2" xfId="28325" xr:uid="{EE534E8B-2D22-4F99-8B47-78EF5925B3C7}"/>
    <cellStyle name="20% - Accent6 2 5 2 2" xfId="32929" xr:uid="{CC4C6C65-5C3D-439A-817C-E467F67DD73F}"/>
    <cellStyle name="20% - Accent6 2 5 2 2 2" xfId="23542" xr:uid="{E87FBBE5-1F1A-45BC-BC95-FD74A8CF0AD1}"/>
    <cellStyle name="20% - Accent6 2 5 2 2 2 2" xfId="20914" xr:uid="{F6B9814E-4E15-4994-968B-745A9CADE130}"/>
    <cellStyle name="20% - Accent6 2 5 2 2 2 2 2" xfId="16574" xr:uid="{197F9899-BED1-4C37-85F2-D29400D2D72F}"/>
    <cellStyle name="20% - Accent6 2 5 2 2 2 2 2 2" xfId="29443" xr:uid="{40D76ECE-54C7-4FB6-86D4-1D637075DFD8}"/>
    <cellStyle name="20% - Accent6 2 5 2 2 2 2 3" xfId="32344" xr:uid="{C9194EC9-8758-4C12-A754-7340FF90C71F}"/>
    <cellStyle name="20% - Accent6 2 5 2 2 2 3" xfId="21003" xr:uid="{9D6E9C87-AFCA-4658-9A2C-DC3EF491E3E9}"/>
    <cellStyle name="20% - Accent6 2 5 2 2 2 3 2" xfId="27243" xr:uid="{CC6E4CE3-91DE-4CAA-9B65-574CECC8BBA9}"/>
    <cellStyle name="20% - Accent6 2 5 2 2 2 4" xfId="20905" xr:uid="{57C78C92-AEF4-4336-A3A4-9F31C75E7027}"/>
    <cellStyle name="20% - Accent6 2 5 2 2 3" xfId="23537" xr:uid="{D11E7FD9-3E4E-4824-94BE-6425D02CAB34}"/>
    <cellStyle name="20% - Accent6 2 5 2 2 3 2" xfId="20726" xr:uid="{F7A70DC3-EFA3-41D1-9F5D-BE2C5FDE033C}"/>
    <cellStyle name="20% - Accent6 2 5 2 2 3 2 2" xfId="27193" xr:uid="{D0FA7567-433E-4624-A4EE-E0229C9474FA}"/>
    <cellStyle name="20% - Accent6 2 5 2 2 3 3" xfId="20092" xr:uid="{463F9AD6-FAE9-4864-95F4-DA1F3556B1F6}"/>
    <cellStyle name="20% - Accent6 2 5 2 2 4" xfId="20899" xr:uid="{BE0330F0-D693-4876-B48D-EB81883EA277}"/>
    <cellStyle name="20% - Accent6 2 5 2 2 4 2" xfId="20090" xr:uid="{C35CC717-B075-4949-B005-FBAF88C5839A}"/>
    <cellStyle name="20% - Accent6 2 5 2 2 5" xfId="20894" xr:uid="{D648B865-0D2A-483A-8725-631BEDAC5A9B}"/>
    <cellStyle name="20% - Accent6 2 5 2 3" xfId="29947" xr:uid="{BBFB7F61-33E3-48A4-8CE3-60435A4CA583}"/>
    <cellStyle name="20% - Accent6 2 5 2 3 2" xfId="28901" xr:uid="{48EF77DD-1A0E-4F89-B11A-A4AF57E12DA5}"/>
    <cellStyle name="20% - Accent6 2 5 2 3 2 2" xfId="16097" xr:uid="{F0134121-70C9-40CF-AD6F-773C74E17CF2}"/>
    <cellStyle name="20% - Accent6 2 5 2 3 2 2 2" xfId="31555" xr:uid="{77071CEC-9E68-40DC-9D23-9D19586F5496}"/>
    <cellStyle name="20% - Accent6 2 5 2 3 2 3" xfId="14367" xr:uid="{E985AD28-BCC6-4E52-BA78-178EE2A44ED1}"/>
    <cellStyle name="20% - Accent6 2 5 2 3 3" xfId="14365" xr:uid="{39ABE1FD-70BA-4407-81BD-E3771740BD27}"/>
    <cellStyle name="20% - Accent6 2 5 2 3 3 2" xfId="20562" xr:uid="{2286A2C3-059E-4CFC-9E2A-047048CABC5B}"/>
    <cellStyle name="20% - Accent6 2 5 2 3 4" xfId="14363" xr:uid="{FFA46697-D9C0-43AD-A7FD-96E37100AECA}"/>
    <cellStyle name="20% - Accent6 2 5 2 4" xfId="14361" xr:uid="{8E5D7E2B-3B11-46B8-8B39-71D25E1EDA1D}"/>
    <cellStyle name="20% - Accent6 2 5 2 4 2" xfId="14358" xr:uid="{32035856-6E0B-4506-8A53-32AF07C29556}"/>
    <cellStyle name="20% - Accent6 2 5 2 4 2 2" xfId="16712" xr:uid="{5A3E6F6C-79D7-4D63-9A89-17E30E9E7300}"/>
    <cellStyle name="20% - Accent6 2 5 2 4 3" xfId="14356" xr:uid="{C6A9E17C-E250-4A7C-9C63-6E22123CF554}"/>
    <cellStyle name="20% - Accent6 2 5 2 5" xfId="14354" xr:uid="{A25BEF75-5E7B-4689-953C-F4AB77890597}"/>
    <cellStyle name="20% - Accent6 2 5 2 5 2" xfId="14349" xr:uid="{8023BFEB-DB50-4F6F-890D-233433E1C87B}"/>
    <cellStyle name="20% - Accent6 2 5 2 6" xfId="9896" xr:uid="{C7DDDCAD-459D-496B-86E9-2787DB31337B}"/>
    <cellStyle name="20% - Accent6 2 5 3" xfId="33918" xr:uid="{9E44F78E-8CBC-4466-9E7E-998F1E105651}"/>
    <cellStyle name="20% - Accent6 2 5 3 2" xfId="29612" xr:uid="{E0F4F1B6-F827-495A-837C-6308511F607D}"/>
    <cellStyle name="20% - Accent6 2 5 3 2 2" xfId="23530" xr:uid="{413B34EE-A280-4745-902F-794CC8F08C6A}"/>
    <cellStyle name="20% - Accent6 2 5 3 2 2 2" xfId="20857" xr:uid="{0CA99030-F200-4058-A9C9-38C5C8189B8C}"/>
    <cellStyle name="20% - Accent6 2 5 3 2 2 2 2" xfId="26170" xr:uid="{49DCA4FB-7D34-445D-B48B-EA1C06EFB228}"/>
    <cellStyle name="20% - Accent6 2 5 3 2 2 3" xfId="20851" xr:uid="{7D82E57E-C7F4-44E8-B97B-8C7F9EAD4E82}"/>
    <cellStyle name="20% - Accent6 2 5 3 2 3" xfId="20846" xr:uid="{FFD46B67-6B94-4119-B0FC-DE625EAD3EFF}"/>
    <cellStyle name="20% - Accent6 2 5 3 2 3 2" xfId="20064" xr:uid="{46B463D8-A8EB-4466-9FF7-2F036D8A1236}"/>
    <cellStyle name="20% - Accent6 2 5 3 2 4" xfId="20838" xr:uid="{6EE9F850-A02A-48A6-87C0-82E9E64649B4}"/>
    <cellStyle name="20% - Accent6 2 5 3 3" xfId="14346" xr:uid="{73D1179B-770C-47AE-9B3D-DA3BA1D07A24}"/>
    <cellStyle name="20% - Accent6 2 5 3 3 2" xfId="14343" xr:uid="{39B1F066-F126-40E6-B97B-507C2396556E}"/>
    <cellStyle name="20% - Accent6 2 5 3 3 2 2" xfId="14341" xr:uid="{9520D540-3AEE-4EAD-A678-85F0DBC499C6}"/>
    <cellStyle name="20% - Accent6 2 5 3 3 3" xfId="14338" xr:uid="{292B5906-44EA-426D-8B0D-632BB0AFDBE7}"/>
    <cellStyle name="20% - Accent6 2 5 3 4" xfId="14336" xr:uid="{9926FCBA-9417-424D-ABDE-0775150CC8FD}"/>
    <cellStyle name="20% - Accent6 2 5 3 4 2" xfId="14334" xr:uid="{B08DA727-CD7E-480D-8974-F4EE837454C0}"/>
    <cellStyle name="20% - Accent6 2 5 3 5" xfId="20985" xr:uid="{1DE3E64E-4B65-406A-A73E-6A5B48613900}"/>
    <cellStyle name="20% - Accent6 2 5 4" xfId="32388" xr:uid="{557B9042-5F03-49D8-83A9-BE0C082BB73C}"/>
    <cellStyle name="20% - Accent6 2 5 4 2" xfId="19059" xr:uid="{54A12ABF-C7C4-4939-B088-26F46107AF78}"/>
    <cellStyle name="20% - Accent6 2 5 4 2 2" xfId="20810" xr:uid="{4303EB96-4A24-40BD-8791-98323E56388F}"/>
    <cellStyle name="20% - Accent6 2 5 4 2 2 2" xfId="21461" xr:uid="{BE861F62-2B2A-4A1D-B017-088AF39D1824}"/>
    <cellStyle name="20% - Accent6 2 5 4 2 3" xfId="20805" xr:uid="{DE39660B-DCF7-4308-B819-0CFA3D24DA93}"/>
    <cellStyle name="20% - Accent6 2 5 4 3" xfId="14332" xr:uid="{EA748E55-4EED-4209-A4AF-58859887941A}"/>
    <cellStyle name="20% - Accent6 2 5 4 3 2" xfId="14329" xr:uid="{DC556427-6A41-4D83-B5B1-9EDE9ECE8118}"/>
    <cellStyle name="20% - Accent6 2 5 4 4" xfId="14327" xr:uid="{8E670444-8607-419D-B773-4364F6E68454}"/>
    <cellStyle name="20% - Accent6 2 5 5" xfId="34018" xr:uid="{5FB7529C-F325-4555-B8D6-E58B783D2E22}"/>
    <cellStyle name="20% - Accent6 2 5 5 2" xfId="19053" xr:uid="{DE924371-4F66-4475-89FA-11B84E3FAA8B}"/>
    <cellStyle name="20% - Accent6 2 5 5 2 2" xfId="20787" xr:uid="{7075DFF8-A8B7-45B1-87EF-178B183A3DC3}"/>
    <cellStyle name="20% - Accent6 2 5 5 3" xfId="14323" xr:uid="{20588ACB-D179-4FB5-8117-E348AAF1408C}"/>
    <cellStyle name="20% - Accent6 2 5 6" xfId="32802" xr:uid="{7BDC514E-F3A3-41B2-A7B9-643269A9AA4C}"/>
    <cellStyle name="20% - Accent6 2 5 6 2" xfId="19043" xr:uid="{C7B61409-5CBC-4EA1-BBA3-C3C9E88CEE67}"/>
    <cellStyle name="20% - Accent6 2 5 7" xfId="19037" xr:uid="{D3D8684B-C475-4488-9299-C26E5E018ECD}"/>
    <cellStyle name="20% - Accent6 2 5 8" xfId="34955" xr:uid="{3A17A257-B334-40B7-893B-1DCF94E86D07}"/>
    <cellStyle name="20% - Accent6 2 6" xfId="27907" xr:uid="{14E409D6-E8B8-4701-981E-BB67AFEAD132}"/>
    <cellStyle name="20% - Accent6 2 6 2" xfId="33784" xr:uid="{ECC7F2D4-9A9E-42D4-B37F-9536C9BCF7D3}"/>
    <cellStyle name="20% - Accent6 2 6 2 2" xfId="32443" xr:uid="{DF468A31-1441-4A69-8CDE-FB0C8736940A}"/>
    <cellStyle name="20% - Accent6 2 6 2 2 2" xfId="26988" xr:uid="{1B07E218-5598-42BD-87F0-06A385B71F4A}"/>
    <cellStyle name="20% - Accent6 2 6 2 2 2 2" xfId="21830" xr:uid="{D207F296-99C8-48DB-AA2D-BA171867A704}"/>
    <cellStyle name="20% - Accent6 2 6 2 2 2 2 2" xfId="7013" xr:uid="{B14B0F5A-1F5F-4C32-8B05-9945FA6647C1}"/>
    <cellStyle name="20% - Accent6 2 6 2 2 2 3" xfId="21822" xr:uid="{3F01D817-36A8-43D0-97D8-3C047F507D5E}"/>
    <cellStyle name="20% - Accent6 2 6 2 2 3" xfId="25392" xr:uid="{BD7169F5-382B-4C4D-A70C-CE021A221D3F}"/>
    <cellStyle name="20% - Accent6 2 6 2 2 3 2" xfId="20037" xr:uid="{5A80C03A-9112-434A-8D62-C01C6BE6591A}"/>
    <cellStyle name="20% - Accent6 2 6 2 2 4" xfId="25378" xr:uid="{6AED7E86-8D41-4401-A4F2-0B0E4AE0C9FB}"/>
    <cellStyle name="20% - Accent6 2 6 2 3" xfId="14299" xr:uid="{6442942E-E64D-4316-9E38-BAC55F10FEFE}"/>
    <cellStyle name="20% - Accent6 2 6 2 3 2" xfId="14550" xr:uid="{4FE62460-4130-4D60-8927-EABE8E12A8EE}"/>
    <cellStyle name="20% - Accent6 2 6 2 3 2 2" xfId="14292" xr:uid="{409D26F9-E21F-4487-8667-C404C9A578E2}"/>
    <cellStyle name="20% - Accent6 2 6 2 3 3" xfId="14544" xr:uid="{DC3DA36C-C3F8-423E-89BF-16BED816F2D4}"/>
    <cellStyle name="20% - Accent6 2 6 2 4" xfId="14289" xr:uid="{E21AF57D-031A-4C33-BD13-7C25C2A67599}"/>
    <cellStyle name="20% - Accent6 2 6 2 4 2" xfId="14531" xr:uid="{017B2E6E-8604-43F9-B54A-577E4BF997BB}"/>
    <cellStyle name="20% - Accent6 2 6 2 5" xfId="9885" xr:uid="{F846B8E8-09D5-4947-B896-A0AB8970961C}"/>
    <cellStyle name="20% - Accent6 2 6 3" xfId="20022" xr:uid="{BBECE173-8F6A-469F-901E-630423D57FC7}"/>
    <cellStyle name="20% - Accent6 2 6 3 2" xfId="19035" xr:uid="{0BD93966-EAB1-406F-B699-99CE72CEC123}"/>
    <cellStyle name="20% - Accent6 2 6 3 2 2" xfId="9225" xr:uid="{D907FF30-CBA0-43D6-8D4A-26F9BBB672B8}"/>
    <cellStyle name="20% - Accent6 2 6 3 2 2 2" xfId="26937" xr:uid="{522F809C-28AE-4CA2-BD8F-6C223F7F737C}"/>
    <cellStyle name="20% - Accent6 2 6 3 2 3" xfId="5459" xr:uid="{F92E8DED-FAED-4725-85D3-DA6958AD7909}"/>
    <cellStyle name="20% - Accent6 2 6 3 3" xfId="9217" xr:uid="{A7FB55A4-8918-4FDE-B334-40B199C18743}"/>
    <cellStyle name="20% - Accent6 2 6 3 3 2" xfId="5683" xr:uid="{FF8816EC-E68F-46D1-BB43-8D2FD7ADED21}"/>
    <cellStyle name="20% - Accent6 2 6 3 4" xfId="5657" xr:uid="{8FD9428C-8FEC-4612-B5E6-912167F2522C}"/>
    <cellStyle name="20% - Accent6 2 6 4" xfId="10656" xr:uid="{E7FAE5B4-FDC5-4DF1-BA38-E87746570EBC}"/>
    <cellStyle name="20% - Accent6 2 6 4 2" xfId="10650" xr:uid="{CA2FBA81-1EE3-4BED-BB33-3928429DA08D}"/>
    <cellStyle name="20% - Accent6 2 6 4 2 2" xfId="6177" xr:uid="{F33B8C10-A8CA-47F5-BDD8-044CF5DF9570}"/>
    <cellStyle name="20% - Accent6 2 6 4 3" xfId="10644" xr:uid="{BEC581E7-CE31-4EAA-8E8D-56B08ED118C5}"/>
    <cellStyle name="20% - Accent6 2 6 5" xfId="10637" xr:uid="{49BE345D-5070-4988-8A39-B575048E1ECF}"/>
    <cellStyle name="20% - Accent6 2 6 5 2" xfId="10634" xr:uid="{A366B1B8-3DFD-4908-BE7E-505E26E762C6}"/>
    <cellStyle name="20% - Accent6 2 6 6" xfId="10630" xr:uid="{6EDAA704-B43C-421D-99AF-724019C48494}"/>
    <cellStyle name="20% - Accent6 2 6 7" xfId="35160" xr:uid="{2595078E-422B-4E00-AEA7-65C0F105DB8B}"/>
    <cellStyle name="20% - Accent6 2 7" xfId="33247" xr:uid="{DF547040-70ED-47F2-8C07-726377B0F3A3}"/>
    <cellStyle name="20% - Accent6 2 7 2" xfId="29602" xr:uid="{F116F718-76D2-4D1A-921A-64458EF220B0}"/>
    <cellStyle name="20% - Accent6 2 7 2 2" xfId="19030" xr:uid="{AE233859-A62F-44FB-8C8D-C604FC2B39A6}"/>
    <cellStyle name="20% - Accent6 2 7 2 2 2" xfId="26118" xr:uid="{DC476441-2DCF-4AAA-9FC7-A8F7638314D0}"/>
    <cellStyle name="20% - Accent6 2 7 2 2 2 2" xfId="20900" xr:uid="{02A61E25-6A7A-45A7-AF16-5684411E93C5}"/>
    <cellStyle name="20% - Accent6 2 7 2 2 3" xfId="25265" xr:uid="{2EEFEDB0-96E3-46F6-BA90-BF970577F681}"/>
    <cellStyle name="20% - Accent6 2 7 2 3" xfId="14260" xr:uid="{A8DBECE8-99B3-41E7-A483-F5AA4C8B12E6}"/>
    <cellStyle name="20% - Accent6 2 7 2 3 2" xfId="14476" xr:uid="{22102579-D1B5-4919-BC94-97581487714D}"/>
    <cellStyle name="20% - Accent6 2 7 2 4" xfId="14255" xr:uid="{72103D5A-25F6-46EA-9D51-B8651808BE60}"/>
    <cellStyle name="20% - Accent6 2 7 3" xfId="14557" xr:uid="{E1CFC759-D36A-4DB3-9CA0-17572DA8854C}"/>
    <cellStyle name="20% - Accent6 2 7 3 2" xfId="9214" xr:uid="{5B6735EF-4BCE-41E2-9E2B-788C1399320E}"/>
    <cellStyle name="20% - Accent6 2 7 3 2 2" xfId="5456" xr:uid="{8D7EDA21-D0AA-4682-A001-A54750594697}"/>
    <cellStyle name="20% - Accent6 2 7 3 3" xfId="5453" xr:uid="{8E62D5BA-5BCB-4685-A80A-293C9D7E6F5F}"/>
    <cellStyle name="20% - Accent6 2 7 4" xfId="10623" xr:uid="{E5223A06-1914-48C1-972F-0A6D7CF7E503}"/>
    <cellStyle name="20% - Accent6 2 7 4 2" xfId="10619" xr:uid="{B4319B38-1A2B-46DA-A5E6-70E6C21176D7}"/>
    <cellStyle name="20% - Accent6 2 7 5" xfId="10615" xr:uid="{421E5D93-1401-42CC-B733-F327E8E989DB}"/>
    <cellStyle name="20% - Accent6 2 7 6" xfId="35389" xr:uid="{9C17EA2A-D102-4A48-9976-FC0E04724335}"/>
    <cellStyle name="20% - Accent6 2 8" xfId="34236" xr:uid="{9EF0A7CA-C8D4-4F26-8638-8C6948768E22}"/>
    <cellStyle name="20% - Accent6 2 8 2" xfId="30712" xr:uid="{E30F70B2-10CB-478C-A184-19ED858C5DE3}"/>
    <cellStyle name="20% - Accent6 2 8 2 2" xfId="19027" xr:uid="{BB69A97A-4F48-4EB8-B2B6-366579A27DE0}"/>
    <cellStyle name="20% - Accent6 2 8 2 2 2" xfId="15758" xr:uid="{50DAA9C3-383D-4C7D-B10C-3DA1305C920E}"/>
    <cellStyle name="20% - Accent6 2 8 2 3" xfId="19026" xr:uid="{7AF97645-602B-4C4D-AB1C-4A79A59FDD2E}"/>
    <cellStyle name="20% - Accent6 2 8 3" xfId="9210" xr:uid="{3C8F7E10-7752-48A9-844A-E0567B359249}"/>
    <cellStyle name="20% - Accent6 2 8 3 2" xfId="6744" xr:uid="{BF91933C-73BE-4C5E-BD26-B8360B840EBF}"/>
    <cellStyle name="20% - Accent6 2 8 4" xfId="10611" xr:uid="{3BE70044-DE9A-4A4A-8416-8C62E70FAA7F}"/>
    <cellStyle name="20% - Accent6 2 8 5" xfId="36261" xr:uid="{941155B3-62D4-4393-9419-0D8B77ED1621}"/>
    <cellStyle name="20% - Accent6 2 9" xfId="31181" xr:uid="{4943BA3F-7589-4851-A524-7328ECCAA72A}"/>
    <cellStyle name="20% - Accent6 2 9 2" xfId="7082" xr:uid="{2BB26071-4C34-4453-BF75-66FF46B8D029}"/>
    <cellStyle name="20% - Accent6 2 9 2 2" xfId="19022" xr:uid="{7C8175D2-75F5-41A2-A0AE-6EBD597C97DE}"/>
    <cellStyle name="20% - Accent6 2 9 3" xfId="5450" xr:uid="{DF93BAD2-5DCC-411D-B1D1-348AECE4A61A}"/>
    <cellStyle name="20% - Accent6 2 9 4" xfId="36547" xr:uid="{C8B20D0A-668A-4FD3-BEDF-702E38B5FD29}"/>
    <cellStyle name="20% - Accent6 20" xfId="35711" xr:uid="{EDFC749A-B314-495B-B559-C747F8AFCF94}"/>
    <cellStyle name="20% - Accent6 20 2" xfId="36880" xr:uid="{3F200AA6-7AD1-417D-A84A-49CF77B6D74B}"/>
    <cellStyle name="20% - Accent6 20 3" xfId="37771" xr:uid="{4A171AC3-F1BE-49B0-90E6-07CE284C03FC}"/>
    <cellStyle name="20% - Accent6 21" xfId="35730" xr:uid="{7C90FBB2-5AA8-4A13-94DB-9BBBD7C74F1D}"/>
    <cellStyle name="20% - Accent6 21 2" xfId="36900" xr:uid="{49B15E03-FE6D-466A-859E-048D9CFF3B85}"/>
    <cellStyle name="20% - Accent6 21 3" xfId="37791" xr:uid="{ADF798DA-DED8-4309-9195-FB792C6BAED5}"/>
    <cellStyle name="20% - Accent6 22" xfId="35749" xr:uid="{C0F16B9A-9494-448B-BB50-A36AC569047D}"/>
    <cellStyle name="20% - Accent6 22 2" xfId="36920" xr:uid="{00FF3E4A-5850-4E0E-A65C-7DE4C5014A7F}"/>
    <cellStyle name="20% - Accent6 22 3" xfId="37811" xr:uid="{413B23E6-0FF4-4AB4-99D1-BC80B3EC5EFE}"/>
    <cellStyle name="20% - Accent6 23" xfId="35769" xr:uid="{D7938781-6CEC-403C-8EA4-2665C3845142}"/>
    <cellStyle name="20% - Accent6 23 2" xfId="36939" xr:uid="{7895D117-8175-4FB6-9118-0F77D1CCE27C}"/>
    <cellStyle name="20% - Accent6 23 3" xfId="37831" xr:uid="{4B4C8C7A-CBE4-482E-96DA-01615D3CAE72}"/>
    <cellStyle name="20% - Accent6 24" xfId="35789" xr:uid="{05C00EE2-32E8-4A1C-8149-3A688994AC2A}"/>
    <cellStyle name="20% - Accent6 24 2" xfId="36958" xr:uid="{2496B609-0146-4B86-94F3-0990F9D8E47F}"/>
    <cellStyle name="20% - Accent6 24 3" xfId="37851" xr:uid="{535D62F7-8935-44F3-87B6-A2BE61204554}"/>
    <cellStyle name="20% - Accent6 25" xfId="35808" xr:uid="{27A3C8C0-0054-495A-A0CE-60150D295E89}"/>
    <cellStyle name="20% - Accent6 25 2" xfId="36978" xr:uid="{7E409D0A-8BCA-40DA-AC37-CC98F516115B}"/>
    <cellStyle name="20% - Accent6 25 3" xfId="37871" xr:uid="{617A1821-5418-4C86-BCD1-4EBAD3CF74D3}"/>
    <cellStyle name="20% - Accent6 26" xfId="35827" xr:uid="{2456F3F8-5F95-49BD-B2BF-ABB9DF785708}"/>
    <cellStyle name="20% - Accent6 26 2" xfId="36998" xr:uid="{894A08E2-682D-493D-9845-AFCA68C9C68B}"/>
    <cellStyle name="20% - Accent6 26 3" xfId="37891" xr:uid="{EA7040B5-39A5-4092-8A8C-8409B2BA0857}"/>
    <cellStyle name="20% - Accent6 27" xfId="35846" xr:uid="{933E613A-CBFE-40BC-9C7A-DF0AA8E0C137}"/>
    <cellStyle name="20% - Accent6 27 2" xfId="37018" xr:uid="{3B428AC0-8666-4F60-9B53-AFE49498616D}"/>
    <cellStyle name="20% - Accent6 27 3" xfId="37911" xr:uid="{EC8A1FED-15BD-43E6-AC94-D9AEC728028F}"/>
    <cellStyle name="20% - Accent6 28" xfId="35865" xr:uid="{3861FB5F-8C88-4527-AFA6-C00AD062FF4B}"/>
    <cellStyle name="20% - Accent6 28 2" xfId="37038" xr:uid="{1083E614-4FF5-49E4-8684-EFEA230BA48C}"/>
    <cellStyle name="20% - Accent6 28 3" xfId="37931" xr:uid="{7991F8FB-8C42-4A44-8AEE-C76FF40E29C6}"/>
    <cellStyle name="20% - Accent6 29" xfId="35874" xr:uid="{1A0C583F-2038-4A97-9AD7-0E84A42B8752}"/>
    <cellStyle name="20% - Accent6 29 2" xfId="37046" xr:uid="{3627465C-B4C7-4544-A5C0-9FD34724A459}"/>
    <cellStyle name="20% - Accent6 29 3" xfId="37940" xr:uid="{CDF81425-656D-48E9-B282-42358AFE505D}"/>
    <cellStyle name="20% - Accent6 3" xfId="112" xr:uid="{F432B212-81A9-4C60-8400-CF01E6C8E0E8}"/>
    <cellStyle name="20% - Accent6 3 10" xfId="19018" xr:uid="{2A7AF795-3821-4C89-9DD2-E95C4DFD657B}"/>
    <cellStyle name="20% - Accent6 3 10 2" xfId="37451" xr:uid="{92B224C0-E6B2-41B5-9848-39C8B07365AA}"/>
    <cellStyle name="20% - Accent6 3 11" xfId="34466" xr:uid="{F74BB9CD-EA5E-4DAD-8558-B346C8022326}"/>
    <cellStyle name="20% - Accent6 3 12" xfId="20463" xr:uid="{EB24D6E5-2B06-412C-99D1-5CCA85F1CF75}"/>
    <cellStyle name="20% - Accent6 3 2" xfId="173" xr:uid="{8834591F-1C55-407E-B4A5-BFAE6C8A5475}"/>
    <cellStyle name="20% - Accent6 3 2 10" xfId="34516" xr:uid="{DCDBE92A-FFD4-464F-926E-F3A08BA3B6C4}"/>
    <cellStyle name="20% - Accent6 3 2 11" xfId="19017" xr:uid="{5EB5C19F-2FF0-4279-83FA-2F6584B0FDD4}"/>
    <cellStyle name="20% - Accent6 3 2 2" xfId="19014" xr:uid="{50445811-718A-445B-ACDB-8FB6034B4444}"/>
    <cellStyle name="20% - Accent6 3 2 2 2" xfId="19011" xr:uid="{886C1AEB-4E29-4302-B7F8-65D3EE9A0300}"/>
    <cellStyle name="20% - Accent6 3 2 2 2 2" xfId="19008" xr:uid="{9DFE08DE-61A4-4428-BA10-0BBD0A412BBB}"/>
    <cellStyle name="20% - Accent6 3 2 2 2 2 2" xfId="20492" xr:uid="{FCE0756B-59A6-40E7-9D7B-427BD62B0458}"/>
    <cellStyle name="20% - Accent6 3 2 2 2 2 2 2" xfId="30715" xr:uid="{829C659C-22A9-446F-B574-3D0F53745054}"/>
    <cellStyle name="20% - Accent6 3 2 2 2 2 2 2 2" xfId="22295" xr:uid="{6E48598C-675D-45B6-80FB-40C6E9D40CBB}"/>
    <cellStyle name="20% - Accent6 3 2 2 2 2 2 2 2 2" xfId="20016" xr:uid="{E433695E-7B0E-455A-9833-57555E720BD0}"/>
    <cellStyle name="20% - Accent6 3 2 2 2 2 2 2 2 2 2" xfId="19978" xr:uid="{2930D057-BE48-4416-81EC-64B02B270C30}"/>
    <cellStyle name="20% - Accent6 3 2 2 2 2 2 2 2 3" xfId="20011" xr:uid="{EFC34C47-91C3-4699-9E41-2D9B5350052D}"/>
    <cellStyle name="20% - Accent6 3 2 2 2 2 2 2 3" xfId="20523" xr:uid="{01D8A5BF-1AB0-4F6E-B6D6-9AA23D43A22F}"/>
    <cellStyle name="20% - Accent6 3 2 2 2 2 2 2 3 2" xfId="19996" xr:uid="{527B07DB-DEAD-4A84-8FC0-F093B2EAD45C}"/>
    <cellStyle name="20% - Accent6 3 2 2 2 2 2 2 4" xfId="19006" xr:uid="{1F6FC74A-DB5E-4347-A0D9-78E47A5E3F29}"/>
    <cellStyle name="20% - Accent6 3 2 2 2 2 2 3" xfId="17742" xr:uid="{3646C493-60FF-48DA-832C-4532B4226F4E}"/>
    <cellStyle name="20% - Accent6 3 2 2 2 2 2 3 2" xfId="20514" xr:uid="{6A989525-2355-4CF0-A2F2-06F7EEF4D2CF}"/>
    <cellStyle name="20% - Accent6 3 2 2 2 2 2 3 2 2" xfId="24101" xr:uid="{00F5B653-48C1-48FC-94A3-39F2162D8991}"/>
    <cellStyle name="20% - Accent6 3 2 2 2 2 2 3 3" xfId="19002" xr:uid="{3CB563E9-5B2E-4791-BB27-B7472FEAD025}"/>
    <cellStyle name="20% - Accent6 3 2 2 2 2 2 4" xfId="18999" xr:uid="{CFFA8BE4-7B4F-452D-9B65-D3DB9743AA1D}"/>
    <cellStyle name="20% - Accent6 3 2 2 2 2 2 4 2" xfId="27329" xr:uid="{A0C2D513-2375-4671-83EA-B443F6CADDBC}"/>
    <cellStyle name="20% - Accent6 3 2 2 2 2 2 5" xfId="18997" xr:uid="{665F006E-4037-4EC2-8478-CA4E0FF3D208}"/>
    <cellStyle name="20% - Accent6 3 2 2 2 2 3" xfId="18996" xr:uid="{72012F99-A180-47ED-92E1-B2EC160B1D7B}"/>
    <cellStyle name="20% - Accent6 3 2 2 2 2 3 2" xfId="17738" xr:uid="{7839C63F-69DB-4EE8-9B6D-211B854009AF}"/>
    <cellStyle name="20% - Accent6 3 2 2 2 2 3 2 2" xfId="20503" xr:uid="{97AB4AE6-8A8C-49DF-975C-08299536CFC6}"/>
    <cellStyle name="20% - Accent6 3 2 2 2 2 3 2 2 2" xfId="18496" xr:uid="{7FAD16F5-E54F-4E0C-9BF5-4F3A870A3D06}"/>
    <cellStyle name="20% - Accent6 3 2 2 2 2 3 2 3" xfId="18994" xr:uid="{FD86F357-2B15-4306-97D0-C451AEF8B8FA}"/>
    <cellStyle name="20% - Accent6 3 2 2 2 2 3 3" xfId="18991" xr:uid="{EC2EF8D2-73B1-47AF-98AF-E36B4D348B21}"/>
    <cellStyle name="20% - Accent6 3 2 2 2 2 3 3 2" xfId="18989" xr:uid="{0EC2C3F3-511E-4825-A31D-3943C5C6710A}"/>
    <cellStyle name="20% - Accent6 3 2 2 2 2 3 4" xfId="18986" xr:uid="{0B504FDF-7DD5-4FE5-82FA-3DCC18BAB3C9}"/>
    <cellStyle name="20% - Accent6 3 2 2 2 2 4" xfId="18985" xr:uid="{44EE523E-37DA-4BD6-A9A2-F670E84301BA}"/>
    <cellStyle name="20% - Accent6 3 2 2 2 2 4 2" xfId="18984" xr:uid="{50F4CAED-373E-42A9-A128-0299285DAEDB}"/>
    <cellStyle name="20% - Accent6 3 2 2 2 2 4 2 2" xfId="18980" xr:uid="{01655AF7-0D08-403B-BA33-7AE90F22C173}"/>
    <cellStyle name="20% - Accent6 3 2 2 2 2 4 3" xfId="33889" xr:uid="{72CA0DA6-6987-4AEE-8881-D225C479C1D1}"/>
    <cellStyle name="20% - Accent6 3 2 2 2 2 5" xfId="15687" xr:uid="{B3FF838F-C853-4E70-B06D-63BD0607ACEF}"/>
    <cellStyle name="20% - Accent6 3 2 2 2 2 5 2" xfId="18978" xr:uid="{9BBA2A5D-62B2-47E4-9387-B2E4FEC4C415}"/>
    <cellStyle name="20% - Accent6 3 2 2 2 2 6" xfId="15684" xr:uid="{D0CF2362-3B03-4137-B2DA-62A0DC0FD68F}"/>
    <cellStyle name="20% - Accent6 3 2 2 2 3" xfId="23181" xr:uid="{6095FE96-B5DB-4C54-B55B-99A740E46C00}"/>
    <cellStyle name="20% - Accent6 3 2 2 2 3 2" xfId="18973" xr:uid="{CBBD5BCA-7496-4B8F-A5E0-D66EEFA13F24}"/>
    <cellStyle name="20% - Accent6 3 2 2 2 3 2 2" xfId="17715" xr:uid="{5B3E0C6F-ED8A-4440-B736-838BDFB0E3AE}"/>
    <cellStyle name="20% - Accent6 3 2 2 2 3 2 2 2" xfId="32180" xr:uid="{B33CD29F-7F40-402B-B490-AE0BC2E83C49}"/>
    <cellStyle name="20% - Accent6 3 2 2 2 3 2 2 2 2" xfId="7309" xr:uid="{2FE1E8BA-2665-4D91-A0F0-A30884DEB400}"/>
    <cellStyle name="20% - Accent6 3 2 2 2 3 2 2 3" xfId="18971" xr:uid="{7D9777A9-83C6-44CA-A7A1-CF9F37B1CF4C}"/>
    <cellStyle name="20% - Accent6 3 2 2 2 3 2 3" xfId="14917" xr:uid="{43E03083-9042-4059-8619-A13073454996}"/>
    <cellStyle name="20% - Accent6 3 2 2 2 3 2 3 2" xfId="18969" xr:uid="{E1D6F9F1-0CD4-4064-BEB3-B9937CCAF6E5}"/>
    <cellStyle name="20% - Accent6 3 2 2 2 3 2 4" xfId="14911" xr:uid="{599D522D-8567-4137-9D3C-699705A0C09F}"/>
    <cellStyle name="20% - Accent6 3 2 2 2 3 3" xfId="18967" xr:uid="{574FE619-F661-43F3-9C79-247673F955A8}"/>
    <cellStyle name="20% - Accent6 3 2 2 2 3 3 2" xfId="18966" xr:uid="{6B3E7B09-3AD6-4406-BCBD-75CECA1FD264}"/>
    <cellStyle name="20% - Accent6 3 2 2 2 3 3 2 2" xfId="18962" xr:uid="{0D406F05-C0A3-4F8D-9759-9CEC82A05E4B}"/>
    <cellStyle name="20% - Accent6 3 2 2 2 3 3 3" xfId="25059" xr:uid="{435D3406-DD90-417E-B7B4-124942921A9B}"/>
    <cellStyle name="20% - Accent6 3 2 2 2 3 4" xfId="18960" xr:uid="{45BB9CA1-CAA3-4326-B264-D6831AC15101}"/>
    <cellStyle name="20% - Accent6 3 2 2 2 3 4 2" xfId="18958" xr:uid="{C1197536-8367-440C-AC4A-EE2231C20D99}"/>
    <cellStyle name="20% - Accent6 3 2 2 2 3 5" xfId="17874" xr:uid="{37F046F0-D101-4243-9622-736AC3EE3CA0}"/>
    <cellStyle name="20% - Accent6 3 2 2 2 4" xfId="23179" xr:uid="{B5E0B462-481B-43AF-97A3-215F6803E9BC}"/>
    <cellStyle name="20% - Accent6 3 2 2 2 4 2" xfId="18952" xr:uid="{FE12A419-B12E-494D-8F25-8BC2DE7B7898}"/>
    <cellStyle name="20% - Accent6 3 2 2 2 4 2 2" xfId="18947" xr:uid="{D9E16D7D-16B8-4AFF-B5AE-B4CD2E7B3214}"/>
    <cellStyle name="20% - Accent6 3 2 2 2 4 2 2 2" xfId="18945" xr:uid="{C805A3F3-EBEC-4F44-8EFC-97A623DBDE4C}"/>
    <cellStyle name="20% - Accent6 3 2 2 2 4 2 3" xfId="14880" xr:uid="{8F668E73-A705-4B5B-8328-05A5130750B8}"/>
    <cellStyle name="20% - Accent6 3 2 2 2 4 3" xfId="18939" xr:uid="{4804E477-8166-4A90-ACA8-1BFD88B71030}"/>
    <cellStyle name="20% - Accent6 3 2 2 2 4 3 2" xfId="18937" xr:uid="{0C71403F-840E-43BE-9C1E-EB45EE79FFD9}"/>
    <cellStyle name="20% - Accent6 3 2 2 2 4 4" xfId="20097" xr:uid="{7DB002D1-BCD0-45B4-96BA-902097D898F4}"/>
    <cellStyle name="20% - Accent6 3 2 2 2 5" xfId="32138" xr:uid="{492B75E3-DAE6-4B1F-ADCE-CB95658DF711}"/>
    <cellStyle name="20% - Accent6 3 2 2 2 5 2" xfId="19493" xr:uid="{54A5957F-10BE-4AFF-A3DE-837E200A6A14}"/>
    <cellStyle name="20% - Accent6 3 2 2 2 5 2 2" xfId="18936" xr:uid="{405B7E08-023E-40A4-B465-BE64FEDFA21E}"/>
    <cellStyle name="20% - Accent6 3 2 2 2 5 3" xfId="20597" xr:uid="{FE2E1E02-CAD4-45F8-9EF8-A3C54C3C39E0}"/>
    <cellStyle name="20% - Accent6 3 2 2 2 6" xfId="33853" xr:uid="{CA08BE3C-9115-437D-B74D-B5ECCFFF53EE}"/>
    <cellStyle name="20% - Accent6 3 2 2 2 6 2" xfId="20592" xr:uid="{3BFDB730-7864-4342-9651-FA7D91464F88}"/>
    <cellStyle name="20% - Accent6 3 2 2 2 7" xfId="18933" xr:uid="{EBE38A01-E5F3-43AB-A258-D9C295F55305}"/>
    <cellStyle name="20% - Accent6 3 2 2 3" xfId="31699" xr:uid="{6479CB80-C498-48D9-88E8-86FD5FF02AF4}"/>
    <cellStyle name="20% - Accent6 3 2 2 3 2" xfId="31693" xr:uid="{FEDA953D-FC85-42F4-B33C-DC2FC85A32BB}"/>
    <cellStyle name="20% - Accent6 3 2 2 3 2 2" xfId="27446" xr:uid="{AEA60F1D-3779-40A2-BC7E-27F2B0D29CA4}"/>
    <cellStyle name="20% - Accent6 3 2 2 3 2 2 2" xfId="17669" xr:uid="{14BEE707-8A84-4284-8409-DB900BAADD71}"/>
    <cellStyle name="20% - Accent6 3 2 2 3 2 2 2 2" xfId="20437" xr:uid="{223AE101-002F-4277-8E59-9E5C125253A8}"/>
    <cellStyle name="20% - Accent6 3 2 2 3 2 2 2 2 2" xfId="7594" xr:uid="{8B2D243D-1DAA-4BF6-B19C-AA3F8CD2F8D6}"/>
    <cellStyle name="20% - Accent6 3 2 2 3 2 2 2 3" xfId="18930" xr:uid="{044BCA3D-0C93-4710-ABEA-07DB58D6AF4B}"/>
    <cellStyle name="20% - Accent6 3 2 2 3 2 2 3" xfId="18928" xr:uid="{AE484476-1EC7-4A45-B790-FEB540175A5C}"/>
    <cellStyle name="20% - Accent6 3 2 2 3 2 2 3 2" xfId="18922" xr:uid="{DE1D64DE-057F-4124-9965-0222BA90A455}"/>
    <cellStyle name="20% - Accent6 3 2 2 3 2 2 4" xfId="18920" xr:uid="{31B2A251-6F6E-4F55-8261-AA1DCB61AF2E}"/>
    <cellStyle name="20% - Accent6 3 2 2 3 2 3" xfId="30432" xr:uid="{3771CD77-4FB3-4EE5-ADE1-17B907A96B05}"/>
    <cellStyle name="20% - Accent6 3 2 2 3 2 3 2" xfId="18932" xr:uid="{50F3F2E9-B65A-467A-8632-E8ACE40FC447}"/>
    <cellStyle name="20% - Accent6 3 2 2 3 2 3 2 2" xfId="22890" xr:uid="{BF5296C3-9EDB-41F1-9026-0A8B1C2F1E3E}"/>
    <cellStyle name="20% - Accent6 3 2 2 3 2 3 3" xfId="18912" xr:uid="{2154CBF0-5EF2-454E-851B-A7064D0E96DD}"/>
    <cellStyle name="20% - Accent6 3 2 2 3 2 4" xfId="22747" xr:uid="{43D6658C-C519-4C54-99AA-68D6100668CA}"/>
    <cellStyle name="20% - Accent6 3 2 2 3 2 4 2" xfId="9496" xr:uid="{F408C364-F42C-4F0E-BD44-5C6FB755EE9E}"/>
    <cellStyle name="20% - Accent6 3 2 2 3 2 5" xfId="27430" xr:uid="{DF5BF527-3D6A-4768-8CDD-B1F85B140DDB}"/>
    <cellStyle name="20% - Accent6 3 2 2 3 3" xfId="31679" xr:uid="{429F7965-8771-4918-BFEB-DC7BD315BCF0}"/>
    <cellStyle name="20% - Accent6 3 2 2 3 3 2" xfId="18907" xr:uid="{712EE962-3993-471C-B1B6-F9A01087E4F7}"/>
    <cellStyle name="20% - Accent6 3 2 2 3 3 2 2" xfId="18904" xr:uid="{430A5376-DF7E-445E-9122-62D4D556B6E7}"/>
    <cellStyle name="20% - Accent6 3 2 2 3 3 2 2 2" xfId="24375" xr:uid="{828F4B01-58A1-4998-A422-87CFF5E3600F}"/>
    <cellStyle name="20% - Accent6 3 2 2 3 3 2 3" xfId="14800" xr:uid="{49B6DB0B-2521-4F3D-A771-ADA20A92A3EC}"/>
    <cellStyle name="20% - Accent6 3 2 2 3 3 3" xfId="29706" xr:uid="{C8E90AD1-5727-4AAD-8CCC-3A8EC942A2AC}"/>
    <cellStyle name="20% - Accent6 3 2 2 3 3 3 2" xfId="18898" xr:uid="{C64EA7CE-0A89-46C8-B967-063FEAC43F26}"/>
    <cellStyle name="20% - Accent6 3 2 2 3 3 4" xfId="20257" xr:uid="{47F306CC-AD6A-4B56-B75F-E6E06879F081}"/>
    <cellStyle name="20% - Accent6 3 2 2 3 4" xfId="18897" xr:uid="{471C5F62-4C8E-4787-B45F-8BE9B4B9C5A4}"/>
    <cellStyle name="20% - Accent6 3 2 2 3 4 2" xfId="18896" xr:uid="{F0EF0553-A414-4DF9-8D99-B0EB13CA5316}"/>
    <cellStyle name="20% - Accent6 3 2 2 3 4 2 2" xfId="18891" xr:uid="{B8CB00C9-3664-4232-9816-71CB1320C685}"/>
    <cellStyle name="20% - Accent6 3 2 2 3 4 3" xfId="26141" xr:uid="{900E696F-62B8-4341-90FF-C82DE02B23B2}"/>
    <cellStyle name="20% - Accent6 3 2 2 3 5" xfId="33664" xr:uid="{264B2193-6B2D-4215-B823-BA007F8DD3BE}"/>
    <cellStyle name="20% - Accent6 3 2 2 3 5 2" xfId="20579" xr:uid="{4EA126DB-6A71-450A-9B6F-0A4A43F40FA0}"/>
    <cellStyle name="20% - Accent6 3 2 2 3 6" xfId="20444" xr:uid="{4F0FB161-5BCB-4AB7-B033-5FC0E9C23BDD}"/>
    <cellStyle name="20% - Accent6 3 2 2 4" xfId="31672" xr:uid="{6F9D60AB-3D86-47E4-B6D7-844AAB3904A2}"/>
    <cellStyle name="20% - Accent6 3 2 2 4 2" xfId="31661" xr:uid="{9422B0D9-21A4-4154-87D3-84EB07E70D07}"/>
    <cellStyle name="20% - Accent6 3 2 2 4 2 2" xfId="18890" xr:uid="{54D6A984-6D74-4BC8-99EA-5BE35A1239EC}"/>
    <cellStyle name="20% - Accent6 3 2 2 4 2 2 2" xfId="18887" xr:uid="{8BCD4BC3-E67B-4612-8DC1-536BDC522A60}"/>
    <cellStyle name="20% - Accent6 3 2 2 4 2 2 2 2" xfId="18886" xr:uid="{3F373CAD-075A-4D50-93F5-FF2D1E3098F5}"/>
    <cellStyle name="20% - Accent6 3 2 2 4 2 2 3" xfId="18882" xr:uid="{469E7EDA-0927-45FE-A8A0-24E10242877A}"/>
    <cellStyle name="20% - Accent6 3 2 2 4 2 3" xfId="27224" xr:uid="{C0F2604F-2634-47BE-AA83-D8AC56D785F4}"/>
    <cellStyle name="20% - Accent6 3 2 2 4 2 3 2" xfId="24382" xr:uid="{113707D1-E65E-497C-A0DF-F808E834A2B1}"/>
    <cellStyle name="20% - Accent6 3 2 2 4 2 4" xfId="27408" xr:uid="{398381C3-8AEE-454C-8450-47D5E4B46BF4}"/>
    <cellStyle name="20% - Accent6 3 2 2 4 3" xfId="31484" xr:uid="{8AA63C1B-34A4-4F2B-BA70-5F3E118DDDCA}"/>
    <cellStyle name="20% - Accent6 3 2 2 4 3 2" xfId="29662" xr:uid="{E34ADE2A-C702-4517-81EA-6AFD76CE50CA}"/>
    <cellStyle name="20% - Accent6 3 2 2 4 3 2 2" xfId="18877" xr:uid="{1E09E1D9-2774-405B-9EA9-86617BA51C3F}"/>
    <cellStyle name="20% - Accent6 3 2 2 4 3 3" xfId="27402" xr:uid="{59FABF1C-F0E0-4347-86A8-CF9954B1F81B}"/>
    <cellStyle name="20% - Accent6 3 2 2 4 4" xfId="18876" xr:uid="{6DFBF060-36C6-4375-8D4C-A96035E29099}"/>
    <cellStyle name="20% - Accent6 3 2 2 4 4 2" xfId="18875" xr:uid="{57B91F48-89DA-497C-9F93-DC835FD67F57}"/>
    <cellStyle name="20% - Accent6 3 2 2 4 5" xfId="20435" xr:uid="{D7C752A6-C4FE-4742-8869-55D4633F39DE}"/>
    <cellStyle name="20% - Accent6 3 2 2 5" xfId="31657" xr:uid="{0557CDDD-97C7-4639-B680-9711C0954D64}"/>
    <cellStyle name="20% - Accent6 3 2 2 5 2" xfId="18873" xr:uid="{E44F3674-9710-499D-BCB8-404C54A40C7A}"/>
    <cellStyle name="20% - Accent6 3 2 2 5 2 2" xfId="18871" xr:uid="{7F878CD6-166E-4D9D-8A64-C533935DBC72}"/>
    <cellStyle name="20% - Accent6 3 2 2 5 2 2 2" xfId="18868" xr:uid="{FA5E23B9-3883-480F-BC41-AB6F378A10DB}"/>
    <cellStyle name="20% - Accent6 3 2 2 5 2 3" xfId="27396" xr:uid="{2D540638-B9C2-431D-867F-459F6BD5745E}"/>
    <cellStyle name="20% - Accent6 3 2 2 5 3" xfId="18865" xr:uid="{CD3A0789-92A5-4753-860F-2D8183DC011A}"/>
    <cellStyle name="20% - Accent6 3 2 2 5 3 2" xfId="18864" xr:uid="{5A6A426B-1316-44CA-86BE-89F69D0A1937}"/>
    <cellStyle name="20% - Accent6 3 2 2 5 4" xfId="18862" xr:uid="{3B961B39-B5A0-4D4F-A9FE-781B4A7321C5}"/>
    <cellStyle name="20% - Accent6 3 2 2 6" xfId="18858" xr:uid="{8B57088A-DB58-436D-82AD-9069917F00DA}"/>
    <cellStyle name="20% - Accent6 3 2 2 6 2" xfId="18857" xr:uid="{AB753934-19C4-4D4E-8F7A-5345F951262E}"/>
    <cellStyle name="20% - Accent6 3 2 2 6 2 2" xfId="18855" xr:uid="{63955895-2456-4EDA-A5F1-9F3146B70CE4}"/>
    <cellStyle name="20% - Accent6 3 2 2 6 3" xfId="18853" xr:uid="{73C7471C-49D7-4EF1-896E-2888B3CDBDF6}"/>
    <cellStyle name="20% - Accent6 3 2 2 7" xfId="18851" xr:uid="{91ABED01-F3BC-45F4-8635-27C46F672A4A}"/>
    <cellStyle name="20% - Accent6 3 2 2 7 2" xfId="18850" xr:uid="{F6B05346-6F61-4350-A346-6640D33743B0}"/>
    <cellStyle name="20% - Accent6 3 2 2 8" xfId="18848" xr:uid="{63D86EDC-0C36-4E01-8829-25433AA0A491}"/>
    <cellStyle name="20% - Accent6 3 2 3" xfId="27160" xr:uid="{84B9592E-D94D-44FB-9580-94119049E250}"/>
    <cellStyle name="20% - Accent6 3 2 3 2" xfId="18844" xr:uid="{9CDA6344-009D-4FC0-B1DF-B0E11BD3560C}"/>
    <cellStyle name="20% - Accent6 3 2 3 2 2" xfId="18840" xr:uid="{24508209-0D13-40EB-9D61-A3FC75BD8EA0}"/>
    <cellStyle name="20% - Accent6 3 2 3 2 2 2" xfId="18836" xr:uid="{AB6596BD-FDEB-40AF-B1C9-0884791E7F5D}"/>
    <cellStyle name="20% - Accent6 3 2 3 2 2 2 2" xfId="17603" xr:uid="{744F787A-A687-4E6C-908E-74BDF777E30D}"/>
    <cellStyle name="20% - Accent6 3 2 3 2 2 2 2 2" xfId="20341" xr:uid="{0604808E-C3E1-4966-B93E-D2FB48AE9748}"/>
    <cellStyle name="20% - Accent6 3 2 3 2 2 2 2 2 2" xfId="22402" xr:uid="{D27C7ECD-6D1F-4EA6-A653-9111CF5AFD79}"/>
    <cellStyle name="20% - Accent6 3 2 3 2 2 2 2 3" xfId="18833" xr:uid="{77C191D2-9DE7-4C87-B15B-A942EEEF07D5}"/>
    <cellStyle name="20% - Accent6 3 2 3 2 2 2 3" xfId="32170" xr:uid="{2674743E-B632-4C1C-912E-16C7302C9D05}"/>
    <cellStyle name="20% - Accent6 3 2 3 2 2 2 3 2" xfId="18827" xr:uid="{91FA7596-C0D5-4EEA-8DEB-A5748BA70C7D}"/>
    <cellStyle name="20% - Accent6 3 2 3 2 2 2 4" xfId="18818" xr:uid="{9C8F085C-E01F-427A-9233-3E3295DC3A4B}"/>
    <cellStyle name="20% - Accent6 3 2 3 2 2 3" xfId="20532" xr:uid="{7407C906-3A53-465F-B783-82F505625CFF}"/>
    <cellStyle name="20% - Accent6 3 2 3 2 2 3 2" xfId="32751" xr:uid="{7579A037-2378-496E-AFA7-9D4FF771FB22}"/>
    <cellStyle name="20% - Accent6 3 2 3 2 2 3 2 2" xfId="34082" xr:uid="{AE55916F-CC9F-43CB-9091-02B5042AC25F}"/>
    <cellStyle name="20% - Accent6 3 2 3 2 2 3 3" xfId="21341" xr:uid="{8E78EF43-7BA1-4801-B680-1ECC1DB971AF}"/>
    <cellStyle name="20% - Accent6 3 2 3 2 2 4" xfId="6431" xr:uid="{350B9E13-F0D0-4E83-BB7E-6DDCCA4AFE6E}"/>
    <cellStyle name="20% - Accent6 3 2 3 2 2 4 2" xfId="21334" xr:uid="{255EC144-BBF7-4C16-AFEB-5E67AF4DE23E}"/>
    <cellStyle name="20% - Accent6 3 2 3 2 2 5" xfId="15642" xr:uid="{F6243BF6-2199-4169-BDC3-70501EDEAF05}"/>
    <cellStyle name="20% - Accent6 3 2 3 2 3" xfId="23173" xr:uid="{62C6E3CE-A45C-4CFB-B53E-4A61D717D8B0}"/>
    <cellStyle name="20% - Accent6 3 2 3 2 3 2" xfId="18817" xr:uid="{5D217063-F31D-41A3-9AC8-D1DA02ECBEE1}"/>
    <cellStyle name="20% - Accent6 3 2 3 2 3 2 2" xfId="32734" xr:uid="{D5388A80-D430-4807-BEF1-BC084579B311}"/>
    <cellStyle name="20% - Accent6 3 2 3 2 3 2 2 2" xfId="18816" xr:uid="{8CED9C85-879C-4E06-A0B8-6C17536A9C97}"/>
    <cellStyle name="20% - Accent6 3 2 3 2 3 2 3" xfId="14383" xr:uid="{25C5B518-5909-41EF-B279-46D5A37C19AC}"/>
    <cellStyle name="20% - Accent6 3 2 3 2 3 3" xfId="18813" xr:uid="{2AEF711F-DDF6-4759-8097-DEA65ACCC08C}"/>
    <cellStyle name="20% - Accent6 3 2 3 2 3 3 2" xfId="21316" xr:uid="{0708CF28-2B99-4CEE-811A-A2C05036A986}"/>
    <cellStyle name="20% - Accent6 3 2 3 2 3 4" xfId="18812" xr:uid="{9979CAA8-95C0-42CC-92CF-845DA5146E51}"/>
    <cellStyle name="20% - Accent6 3 2 3 2 4" xfId="18810" xr:uid="{AB5924E3-C9D9-431E-A939-C20789015225}"/>
    <cellStyle name="20% - Accent6 3 2 3 2 4 2" xfId="18809" xr:uid="{BC3F2DD9-E15A-4CC3-8980-88404AAA761B}"/>
    <cellStyle name="20% - Accent6 3 2 3 2 4 2 2" xfId="18808" xr:uid="{20D72127-3D32-421D-8E54-A1B074D7BB36}"/>
    <cellStyle name="20% - Accent6 3 2 3 2 4 3" xfId="18807" xr:uid="{0FF8A263-C2C7-4B9E-800E-FCE62EA3BB3D}"/>
    <cellStyle name="20% - Accent6 3 2 3 2 5" xfId="32011" xr:uid="{8A92275D-75A0-4823-9787-46B257BFCBC7}"/>
    <cellStyle name="20% - Accent6 3 2 3 2 5 2" xfId="18493" xr:uid="{7E5E6A00-B371-420F-B46E-C292C7784AE3}"/>
    <cellStyle name="20% - Accent6 3 2 3 2 6" xfId="18805" xr:uid="{990A313A-2042-4C0B-816A-F8FA93577A2F}"/>
    <cellStyle name="20% - Accent6 3 2 3 3" xfId="27534" xr:uid="{5921BFFC-D02D-4504-8F1D-7FA73C774E1C}"/>
    <cellStyle name="20% - Accent6 3 2 3 3 2" xfId="21510" xr:uid="{57A73009-EA0F-44D7-BE10-C0EEB1E83D16}"/>
    <cellStyle name="20% - Accent6 3 2 3 3 2 2" xfId="18804" xr:uid="{92892B33-5951-4FA6-B0FB-8ADEFC7E1B04}"/>
    <cellStyle name="20% - Accent6 3 2 3 3 2 2 2" xfId="27539" xr:uid="{BEEAF1B0-225A-4FB8-87A9-834A0CCDF352}"/>
    <cellStyle name="20% - Accent6 3 2 3 3 2 2 2 2" xfId="18802" xr:uid="{62EE317B-0A85-4557-9429-D96FB8396BBD}"/>
    <cellStyle name="20% - Accent6 3 2 3 3 2 2 3" xfId="18800" xr:uid="{CA64C661-6A1D-4E3C-9C99-F0C743291F34}"/>
    <cellStyle name="20% - Accent6 3 2 3 3 2 3" xfId="26286" xr:uid="{749991AA-200C-4B73-9041-E48187DA9419}"/>
    <cellStyle name="20% - Accent6 3 2 3 3 2 3 2" xfId="21181" xr:uid="{B44083CE-DF43-49E7-BEE4-2CB577E73DEB}"/>
    <cellStyle name="20% - Accent6 3 2 3 3 2 4" xfId="27358" xr:uid="{DDA09D6E-6FCE-49B2-A327-9FF40DC174B8}"/>
    <cellStyle name="20% - Accent6 3 2 3 3 3" xfId="18795" xr:uid="{4E7C72FF-FB4D-4E5C-8844-8502742E45C6}"/>
    <cellStyle name="20% - Accent6 3 2 3 3 3 2" xfId="18793" xr:uid="{174B6481-C0DA-40E1-90FD-0CBB1C471DE5}"/>
    <cellStyle name="20% - Accent6 3 2 3 3 3 2 2" xfId="18790" xr:uid="{CFDDCC65-C6C3-4C10-B9C6-2DAE7F16FA8A}"/>
    <cellStyle name="20% - Accent6 3 2 3 3 3 3" xfId="32595" xr:uid="{257D6CB7-3C6D-46C3-A029-E7F3D44BFBEA}"/>
    <cellStyle name="20% - Accent6 3 2 3 3 4" xfId="20755" xr:uid="{4083E286-4955-4376-9701-24105B1DDCCF}"/>
    <cellStyle name="20% - Accent6 3 2 3 3 4 2" xfId="18787" xr:uid="{3C3B4836-E813-476B-A8F9-E5A16F2DF509}"/>
    <cellStyle name="20% - Accent6 3 2 3 3 5" xfId="20746" xr:uid="{22573EE4-C14B-42A0-9BE5-AE0905474729}"/>
    <cellStyle name="20% - Accent6 3 2 3 4" xfId="31628" xr:uid="{3CD936E0-787F-4058-8587-C9E77067D786}"/>
    <cellStyle name="20% - Accent6 3 2 3 4 2" xfId="18785" xr:uid="{BE197EAF-8DAF-4AAF-877F-7A2896838648}"/>
    <cellStyle name="20% - Accent6 3 2 3 4 2 2" xfId="18784" xr:uid="{18686211-C20F-4FF4-B1B7-C22571A25FD3}"/>
    <cellStyle name="20% - Accent6 3 2 3 4 2 2 2" xfId="22210" xr:uid="{1A29AA1F-CFFC-42A5-83FD-48FFCA2DA33B}"/>
    <cellStyle name="20% - Accent6 3 2 3 4 2 3" xfId="26580" xr:uid="{5ED871B8-421A-478D-BD53-0CB38780E55C}"/>
    <cellStyle name="20% - Accent6 3 2 3 4 3" xfId="18780" xr:uid="{FEF8C5C5-9811-41B5-A35C-38627485AE36}"/>
    <cellStyle name="20% - Accent6 3 2 3 4 3 2" xfId="6916" xr:uid="{0A3A1238-2397-4C50-A447-CEE47CD1DE38}"/>
    <cellStyle name="20% - Accent6 3 2 3 4 4" xfId="27116" xr:uid="{683F7715-23ED-4096-AB82-2BEA6C94DDDD}"/>
    <cellStyle name="20% - Accent6 3 2 3 5" xfId="18779" xr:uid="{81F1D25D-C6FA-43BD-BB15-32CC25B72051}"/>
    <cellStyle name="20% - Accent6 3 2 3 5 2" xfId="28421" xr:uid="{CFB6FB07-3C69-4998-A349-F905E4B6B061}"/>
    <cellStyle name="20% - Accent6 3 2 3 5 2 2" xfId="6807" xr:uid="{A748EEF6-E3B0-4B15-B700-B6F3BDB11F03}"/>
    <cellStyle name="20% - Accent6 3 2 3 5 3" xfId="32680" xr:uid="{A76AB4BC-2032-4181-8A73-FD00C671ABB9}"/>
    <cellStyle name="20% - Accent6 3 2 3 6" xfId="18775" xr:uid="{E213ED45-C34C-46E6-8397-95FD689101D5}"/>
    <cellStyle name="20% - Accent6 3 2 3 6 2" xfId="28404" xr:uid="{C55E4AE1-56F1-47AC-AC58-D89F649D7F10}"/>
    <cellStyle name="20% - Accent6 3 2 3 7" xfId="18774" xr:uid="{B7A33B9F-4495-41CD-9726-7DBF7AF540C8}"/>
    <cellStyle name="20% - Accent6 3 2 4" xfId="27149" xr:uid="{C10DEC9F-7741-4327-9A89-26E4B94BB957}"/>
    <cellStyle name="20% - Accent6 3 2 4 2" xfId="19866" xr:uid="{BE0181C2-A090-4BF0-8543-505C6A64CDCF}"/>
    <cellStyle name="20% - Accent6 3 2 4 2 2" xfId="18773" xr:uid="{BAAB3FB6-25FB-4457-86A9-73E4F3EA5FFE}"/>
    <cellStyle name="20% - Accent6 3 2 4 2 2 2" xfId="7631" xr:uid="{0F2C9688-52CC-4270-8990-915C9C92845C}"/>
    <cellStyle name="20% - Accent6 3 2 4 2 2 2 2" xfId="26633" xr:uid="{311C7350-BE3F-45D8-9368-797704743DEC}"/>
    <cellStyle name="20% - Accent6 3 2 4 2 2 2 2 2" xfId="17977" xr:uid="{657FD3C7-0D86-4F58-8741-1BAC9797E0DF}"/>
    <cellStyle name="20% - Accent6 3 2 4 2 2 2 3" xfId="19402" xr:uid="{AAFA916F-90D1-4BD0-B379-1D0A7C4DE570}"/>
    <cellStyle name="20% - Accent6 3 2 4 2 2 3" xfId="7616" xr:uid="{839EEE50-8DC8-41DC-9BBC-5387C68A5780}"/>
    <cellStyle name="20% - Accent6 3 2 4 2 2 3 2" xfId="19399" xr:uid="{BD9BF76D-0783-4212-920B-0CE60B3FBE8E}"/>
    <cellStyle name="20% - Accent6 3 2 4 2 2 4" xfId="7602" xr:uid="{912BACBF-A2D1-47DB-97E5-6B47DEE79AD1}"/>
    <cellStyle name="20% - Accent6 3 2 4 2 3" xfId="18769" xr:uid="{DB5B698B-7366-4F65-A9EF-28673BF6028B}"/>
    <cellStyle name="20% - Accent6 3 2 4 2 3 2" xfId="7413" xr:uid="{C999E009-A18A-4F4F-88F2-3F05477D1EB7}"/>
    <cellStyle name="20% - Accent6 3 2 4 2 3 2 2" xfId="19385" xr:uid="{D49F5391-6A30-4333-A021-4BE60EA19152}"/>
    <cellStyle name="20% - Accent6 3 2 4 2 3 3" xfId="7393" xr:uid="{0BFEC31D-54F6-49A2-A9C8-4F4E45D84B79}"/>
    <cellStyle name="20% - Accent6 3 2 4 2 4" xfId="18766" xr:uid="{6350BC54-B110-4FB8-AF30-2FA70E1752AB}"/>
    <cellStyle name="20% - Accent6 3 2 4 2 4 2" xfId="7253" xr:uid="{B852639E-2AE9-43E0-A6DB-1F97B970BDE7}"/>
    <cellStyle name="20% - Accent6 3 2 4 2 5" xfId="18764" xr:uid="{1579BA6E-FB8D-4AF4-BDC1-97869B8FDEA8}"/>
    <cellStyle name="20% - Accent6 3 2 4 3" xfId="31618" xr:uid="{8A19A525-BDD5-4C66-A4B4-170D4BCF0513}"/>
    <cellStyle name="20% - Accent6 3 2 4 3 2" xfId="18763" xr:uid="{8E21999D-5175-4CA4-B97D-69ECE32D7E0F}"/>
    <cellStyle name="20% - Accent6 3 2 4 3 2 2" xfId="7919" xr:uid="{D792B0FA-97DE-4494-9C87-65E9331B76BD}"/>
    <cellStyle name="20% - Accent6 3 2 4 3 2 2 2" xfId="23866" xr:uid="{23B3D19F-A125-4AB1-9541-B76DC59641BD}"/>
    <cellStyle name="20% - Accent6 3 2 4 3 2 3" xfId="6096" xr:uid="{B38B1A4B-C500-4951-B663-6427C4B43811}"/>
    <cellStyle name="20% - Accent6 3 2 4 3 3" xfId="18760" xr:uid="{1E23FD47-EF8E-4D73-A2A2-ADF95C1948E5}"/>
    <cellStyle name="20% - Accent6 3 2 4 3 3 2" xfId="5986" xr:uid="{D4FC7180-05C0-44DC-94EE-ED4E6EE6445B}"/>
    <cellStyle name="20% - Accent6 3 2 4 3 4" xfId="20741" xr:uid="{0E656052-35C0-4B29-AD4B-E5F378DDE742}"/>
    <cellStyle name="20% - Accent6 3 2 4 4" xfId="18759" xr:uid="{D0D57633-5A70-44CC-8353-27DD1FC1A114}"/>
    <cellStyle name="20% - Accent6 3 2 4 4 2" xfId="18758" xr:uid="{64F1457A-2ADA-4151-B357-4345C37D4B24}"/>
    <cellStyle name="20% - Accent6 3 2 4 4 2 2" xfId="6619" xr:uid="{9AAAA57E-0C81-426A-88B2-C1E1179E1682}"/>
    <cellStyle name="20% - Accent6 3 2 4 4 3" xfId="18757" xr:uid="{D566F71B-0785-4799-8E6A-FBD30D0483D2}"/>
    <cellStyle name="20% - Accent6 3 2 4 5" xfId="18756" xr:uid="{F243E371-463F-4D4E-8475-2A9D5A1EF842}"/>
    <cellStyle name="20% - Accent6 3 2 4 5 2" xfId="32644" xr:uid="{50FEC00C-2093-4D4E-B7B0-2DE4DE1D0767}"/>
    <cellStyle name="20% - Accent6 3 2 4 6" xfId="18755" xr:uid="{7A434A16-A5CA-403B-8379-77A93EEB4315}"/>
    <cellStyle name="20% - Accent6 3 2 5" xfId="33255" xr:uid="{BF79B260-3490-452F-83B4-6111D13EA151}"/>
    <cellStyle name="20% - Accent6 3 2 5 2" xfId="18754" xr:uid="{08479B94-0C87-41D1-A830-CBBC07E29C19}"/>
    <cellStyle name="20% - Accent6 3 2 5 2 2" xfId="13359" xr:uid="{6DA2A687-5F30-404C-8CA7-190043D28602}"/>
    <cellStyle name="20% - Accent6 3 2 5 2 2 2" xfId="19367" xr:uid="{513C93F7-291C-4A52-882A-199208595837}"/>
    <cellStyle name="20% - Accent6 3 2 5 2 2 2 2" xfId="31489" xr:uid="{7E672CAE-2A02-475D-9ACE-06753A14325B}"/>
    <cellStyle name="20% - Accent6 3 2 5 2 2 3" xfId="19362" xr:uid="{AF366CA0-F7D9-4F2D-8B22-0C06A82D63FF}"/>
    <cellStyle name="20% - Accent6 3 2 5 2 3" xfId="18746" xr:uid="{AE01D649-A426-4D1D-864B-2BAB77300958}"/>
    <cellStyle name="20% - Accent6 3 2 5 2 3 2" xfId="19348" xr:uid="{470A4B16-3760-41CB-BA92-CCA2664480F9}"/>
    <cellStyle name="20% - Accent6 3 2 5 2 4" xfId="18744" xr:uid="{07B5F844-2F9F-494A-83AF-1D7059E9E375}"/>
    <cellStyle name="20% - Accent6 3 2 5 3" xfId="18741" xr:uid="{3FB3D389-2806-4F87-99E0-A88FC9FBFF3E}"/>
    <cellStyle name="20% - Accent6 3 2 5 3 2" xfId="19970" xr:uid="{3928A2BA-9BBC-4FFB-9363-BC24E4606D25}"/>
    <cellStyle name="20% - Accent6 3 2 5 3 2 2" xfId="19326" xr:uid="{16850FFD-73C5-4617-A2A3-9479C6D242BB}"/>
    <cellStyle name="20% - Accent6 3 2 5 3 3" xfId="19967" xr:uid="{DFDE0BE2-2CDD-473D-8C78-D563DF834F48}"/>
    <cellStyle name="20% - Accent6 3 2 5 4" xfId="18737" xr:uid="{53C369B7-5FD9-4B57-9A5F-A2DB2AC60837}"/>
    <cellStyle name="20% - Accent6 3 2 5 4 2" xfId="19958" xr:uid="{AA55712F-F2BE-4433-93BE-1AAF7E726894}"/>
    <cellStyle name="20% - Accent6 3 2 5 5" xfId="18734" xr:uid="{9F3C9686-6613-45F4-BA5B-232CFB140E2D}"/>
    <cellStyle name="20% - Accent6 3 2 6" xfId="33241" xr:uid="{21A71FA8-C064-4E11-9034-F0D19A82BAB7}"/>
    <cellStyle name="20% - Accent6 3 2 6 2" xfId="21835" xr:uid="{52B97E72-DEE5-4CFC-A553-DE9E53098114}"/>
    <cellStyle name="20% - Accent6 3 2 6 2 2" xfId="33544" xr:uid="{34B31D77-49A7-4064-B2AB-EF5A5FFE1AA8}"/>
    <cellStyle name="20% - Accent6 3 2 6 2 2 2" xfId="31650" xr:uid="{B3B63D2B-2B84-4924-BCC7-F2485A0C5589}"/>
    <cellStyle name="20% - Accent6 3 2 6 2 3" xfId="33539" xr:uid="{11BC9909-35EA-4D45-AF0F-40B6AB9264F2}"/>
    <cellStyle name="20% - Accent6 3 2 6 3" xfId="21829" xr:uid="{414EE75C-075A-4DED-B9D0-9CB9674ABC74}"/>
    <cellStyle name="20% - Accent6 3 2 6 3 2" xfId="33531" xr:uid="{A01D9EC6-F446-422E-850F-A84FBF0FBECF}"/>
    <cellStyle name="20% - Accent6 3 2 6 4" xfId="21821" xr:uid="{8000A7F4-697A-40D8-8E5F-6A77BB7009AE}"/>
    <cellStyle name="20% - Accent6 3 2 7" xfId="27260" xr:uid="{FFB0D54A-3205-44BB-A753-AF6F725DEAD5}"/>
    <cellStyle name="20% - Accent6 3 2 7 2" xfId="7070" xr:uid="{F8758B2E-0529-468D-8267-B102C1409D16}"/>
    <cellStyle name="20% - Accent6 3 2 7 2 2" xfId="31861" xr:uid="{59FE0023-6E11-4453-BB7B-2773D03C4066}"/>
    <cellStyle name="20% - Accent6 3 2 7 3" xfId="7784" xr:uid="{A2F3C8EC-8209-40FE-B6A4-2E1D19596F5C}"/>
    <cellStyle name="20% - Accent6 3 2 8" xfId="26066" xr:uid="{ECDAFF71-668B-4F03-B3E9-5BF45BD9A79F}"/>
    <cellStyle name="20% - Accent6 3 2 8 2" xfId="7780" xr:uid="{B404120C-A205-4FD3-A991-A4934122F67B}"/>
    <cellStyle name="20% - Accent6 3 2 9" xfId="18730" xr:uid="{94430F71-33FE-49C7-B88F-0E23F555ED79}"/>
    <cellStyle name="20% - Accent6 3 3" xfId="234" xr:uid="{301B1D18-1AFE-407B-A75C-56F8607327BB}"/>
    <cellStyle name="20% - Accent6 3 3 10" xfId="19142" xr:uid="{6802E679-DBB6-42F2-9849-BDE3411F7865}"/>
    <cellStyle name="20% - Accent6 3 3 2" xfId="18728" xr:uid="{0B5BB6D8-5E22-4AE9-B285-AE9511780AAB}"/>
    <cellStyle name="20% - Accent6 3 3 2 2" xfId="18725" xr:uid="{98269461-F084-436D-B8EB-929BDCB5D730}"/>
    <cellStyle name="20% - Accent6 3 3 2 2 2" xfId="18720" xr:uid="{07E9F656-1F47-497B-8AC9-3E168D0E843D}"/>
    <cellStyle name="20% - Accent6 3 3 2 2 2 2" xfId="18717" xr:uid="{B6ECA996-7F45-4A69-A75D-D64BC9F2C416}"/>
    <cellStyle name="20% - Accent6 3 3 2 2 2 2 2" xfId="18715" xr:uid="{0ED9E266-FD35-40C3-B340-AA268E8CD80B}"/>
    <cellStyle name="20% - Accent6 3 3 2 2 2 2 2 2" xfId="18712" xr:uid="{4D93BEF6-99FA-4B4D-988B-CC9677809EB4}"/>
    <cellStyle name="20% - Accent6 3 3 2 2 2 2 2 2 2" xfId="26626" xr:uid="{2E3336BD-6F40-4B28-A8F4-4AAA3EFAA20E}"/>
    <cellStyle name="20% - Accent6 3 3 2 2 2 2 2 3" xfId="27048" xr:uid="{81FE25C8-ED48-4ED4-A9D9-58225E8A10F7}"/>
    <cellStyle name="20% - Accent6 3 3 2 2 2 2 3" xfId="24470" xr:uid="{2DC68109-61C5-4387-9E2D-0F0DC658532A}"/>
    <cellStyle name="20% - Accent6 3 3 2 2 2 2 3 2" xfId="18707" xr:uid="{62D5783D-BB77-4F41-A673-F98F64EB542E}"/>
    <cellStyle name="20% - Accent6 3 3 2 2 2 2 4" xfId="18702" xr:uid="{CB28EE59-0B41-419F-8989-431BD46EF2A1}"/>
    <cellStyle name="20% - Accent6 3 3 2 2 2 3" xfId="32920" xr:uid="{44380B7F-3D8D-4078-A291-FACF241955BA}"/>
    <cellStyle name="20% - Accent6 3 3 2 2 2 3 2" xfId="30520" xr:uid="{0F9F2FC3-64B6-4304-8607-C63CCC272A04}"/>
    <cellStyle name="20% - Accent6 3 3 2 2 2 3 2 2" xfId="18696" xr:uid="{9EF15D27-5C83-49CF-A144-46C4979F8E2A}"/>
    <cellStyle name="20% - Accent6 3 3 2 2 2 3 3" xfId="18692" xr:uid="{8A22C03D-51E0-49BB-8024-CFDD3650093E}"/>
    <cellStyle name="20% - Accent6 3 3 2 2 2 4" xfId="21620" xr:uid="{AC0DFBE9-A039-481B-8100-28710DFC52FE}"/>
    <cellStyle name="20% - Accent6 3 3 2 2 2 4 2" xfId="18690" xr:uid="{2A339E55-AB29-4E05-9077-40F6E78EBD25}"/>
    <cellStyle name="20% - Accent6 3 3 2 2 2 5" xfId="13758" xr:uid="{40411DA0-3E26-4E00-BFBA-4F4072FC3CF1}"/>
    <cellStyle name="20% - Accent6 3 3 2 2 3" xfId="23163" xr:uid="{293ECD27-CAB3-400A-AE2F-01DAC19267A7}"/>
    <cellStyle name="20% - Accent6 3 3 2 2 3 2" xfId="18688" xr:uid="{D00E36AD-1AEB-482F-889B-A937A7A25BAC}"/>
    <cellStyle name="20% - Accent6 3 3 2 2 3 2 2" xfId="18687" xr:uid="{C9DCDBF5-5E11-4EA1-AC05-E2E2A484818A}"/>
    <cellStyle name="20% - Accent6 3 3 2 2 3 2 2 2" xfId="30816" xr:uid="{B7D47BB4-8B91-4508-8FC9-BB1FB5FE496A}"/>
    <cellStyle name="20% - Accent6 3 3 2 2 3 2 3" xfId="9021" xr:uid="{09481488-9B01-441F-8707-5052E5AB1147}"/>
    <cellStyle name="20% - Accent6 3 3 2 2 3 3" xfId="32865" xr:uid="{4077DEEF-7A1A-4773-8984-F750944F0CC8}"/>
    <cellStyle name="20% - Accent6 3 3 2 2 3 3 2" xfId="18686" xr:uid="{AB904C66-F954-4659-BE64-91768E49F338}"/>
    <cellStyle name="20% - Accent6 3 3 2 2 3 4" xfId="18157" xr:uid="{5A27A1AE-999A-428E-9924-8FFDEBC5C327}"/>
    <cellStyle name="20% - Accent6 3 3 2 2 4" xfId="18684" xr:uid="{0F1A4E3E-C3E8-4313-85E2-9055C427722A}"/>
    <cellStyle name="20% - Accent6 3 3 2 2 4 2" xfId="29015" xr:uid="{1F6F2866-77C6-4F05-B6A4-051C05ECB695}"/>
    <cellStyle name="20% - Accent6 3 3 2 2 4 2 2" xfId="19448" xr:uid="{B87E4C40-1678-46EF-8EEE-8BE423E527BC}"/>
    <cellStyle name="20% - Accent6 3 3 2 2 4 3" xfId="18683" xr:uid="{356B5E47-037A-4825-977A-D4D6E8C6628D}"/>
    <cellStyle name="20% - Accent6 3 3 2 2 5" xfId="33513" xr:uid="{45D47373-0C77-4B81-8AA2-6141278622BB}"/>
    <cellStyle name="20% - Accent6 3 3 2 2 5 2" xfId="24401" xr:uid="{4048501E-A184-42F9-8C14-9784036A820D}"/>
    <cellStyle name="20% - Accent6 3 3 2 2 6" xfId="24389" xr:uid="{DA5C2F02-784D-4190-B2D8-0733A0949B70}"/>
    <cellStyle name="20% - Accent6 3 3 2 3" xfId="14170" xr:uid="{9B7B5FE2-A081-4509-AAED-F08394616E37}"/>
    <cellStyle name="20% - Accent6 3 3 2 3 2" xfId="14168" xr:uid="{6D3A506F-8CF7-4E58-B429-488D47341858}"/>
    <cellStyle name="20% - Accent6 3 3 2 3 2 2" xfId="14166" xr:uid="{4C2AB772-0CFC-46C2-AA09-5497B5B8A88E}"/>
    <cellStyle name="20% - Accent6 3 3 2 3 2 2 2" xfId="19051" xr:uid="{97C26613-53CA-4A35-AFC4-CA339307CD2D}"/>
    <cellStyle name="20% - Accent6 3 3 2 3 2 2 2 2" xfId="18680" xr:uid="{482B47E7-9037-43F4-98CF-4EAB7637F03D}"/>
    <cellStyle name="20% - Accent6 3 3 2 3 2 2 3" xfId="19047" xr:uid="{C51C5AD1-4139-40F3-AB31-21B51ED10378}"/>
    <cellStyle name="20% - Accent6 3 3 2 3 2 3" xfId="14163" xr:uid="{9B1FA6AF-16C6-49AB-ACA2-A2553577E19E}"/>
    <cellStyle name="20% - Accent6 3 3 2 3 2 3 2" xfId="19038" xr:uid="{421A8A44-39F4-4AB4-8E2C-3B68798DAF42}"/>
    <cellStyle name="20% - Accent6 3 3 2 3 2 4" xfId="14155" xr:uid="{D5E1684A-C863-470D-B7F4-A1D2234BBE1D}"/>
    <cellStyle name="20% - Accent6 3 3 2 3 3" xfId="14146" xr:uid="{44576AB3-3EBD-4781-B135-EB78E673F705}"/>
    <cellStyle name="20% - Accent6 3 3 2 3 3 2" xfId="18675" xr:uid="{A31F9566-20B7-4E9D-84D9-7A240A693198}"/>
    <cellStyle name="20% - Accent6 3 3 2 3 3 2 2" xfId="19031" xr:uid="{8C0DF0C4-9D4D-455C-B8F6-822F9743A9A1}"/>
    <cellStyle name="20% - Accent6 3 3 2 3 3 3" xfId="26210" xr:uid="{BA51888B-6C7D-47A9-8A55-67411AB698B7}"/>
    <cellStyle name="20% - Accent6 3 3 2 3 4" xfId="14144" xr:uid="{AB1AF868-246E-42A8-B8BE-5EA5E30C815B}"/>
    <cellStyle name="20% - Accent6 3 3 2 3 4 2" xfId="18669" xr:uid="{764A815A-F0A2-4871-8815-3CBA27C0ECA7}"/>
    <cellStyle name="20% - Accent6 3 3 2 3 5" xfId="14142" xr:uid="{11FF7588-0BA6-47A2-8A54-72810B80B57D}"/>
    <cellStyle name="20% - Accent6 3 3 2 4" xfId="14140" xr:uid="{39286808-FC27-4264-834F-5BF04CA0E840}"/>
    <cellStyle name="20% - Accent6 3 3 2 4 2" xfId="14138" xr:uid="{8CD4C8A5-A89D-483C-BF8C-7E9D23CF1135}"/>
    <cellStyle name="20% - Accent6 3 3 2 4 2 2" xfId="14136" xr:uid="{C88D5032-40DE-46FC-87AF-31124A320281}"/>
    <cellStyle name="20% - Accent6 3 3 2 4 2 2 2" xfId="18664" xr:uid="{69672B74-33C9-40B5-A3D1-992B5159FC55}"/>
    <cellStyle name="20% - Accent6 3 3 2 4 2 3" xfId="14134" xr:uid="{3357FB5B-4893-4AF1-B768-1A167B57A54A}"/>
    <cellStyle name="20% - Accent6 3 3 2 4 3" xfId="14131" xr:uid="{4ACEB13A-02AE-4C17-85F1-859B46656D15}"/>
    <cellStyle name="20% - Accent6 3 3 2 4 3 2" xfId="26195" xr:uid="{FCBC542B-CA24-4C15-9AA7-0CA38FAC962C}"/>
    <cellStyle name="20% - Accent6 3 3 2 4 4" xfId="6855" xr:uid="{0385EE45-1C1E-42A8-9C7B-1AF5C914BC80}"/>
    <cellStyle name="20% - Accent6 3 3 2 5" xfId="14129" xr:uid="{203D7B3F-EB4F-4FA8-8D67-6A091398248B}"/>
    <cellStyle name="20% - Accent6 3 3 2 5 2" xfId="15576" xr:uid="{CA58F009-37F8-4F12-85FA-33C7EC60F558}"/>
    <cellStyle name="20% - Accent6 3 3 2 5 2 2" xfId="14127" xr:uid="{A4CC6D0E-9214-4C38-BE6A-21C868BAF428}"/>
    <cellStyle name="20% - Accent6 3 3 2 5 3" xfId="14125" xr:uid="{A00219D1-CDD2-401A-BD7E-9883FF8DD641}"/>
    <cellStyle name="20% - Accent6 3 3 2 6" xfId="14123" xr:uid="{B8B5C633-061C-481E-BF95-D5BF76A089CD}"/>
    <cellStyle name="20% - Accent6 3 3 2 6 2" xfId="14121" xr:uid="{B4AC12DB-2870-4EF4-9BCD-B73ACD89663F}"/>
    <cellStyle name="20% - Accent6 3 3 2 7" xfId="18649" xr:uid="{3AE4D3C6-4B65-4476-B5C6-57AF3A8D60E8}"/>
    <cellStyle name="20% - Accent6 3 3 3" xfId="28562" xr:uid="{8CDF5FC1-7D05-41F8-80DA-724570C59EC1}"/>
    <cellStyle name="20% - Accent6 3 3 3 2" xfId="18647" xr:uid="{48D85164-EAA9-441F-B23F-CF0D6D283E0B}"/>
    <cellStyle name="20% - Accent6 3 3 3 2 2" xfId="12878" xr:uid="{F695646D-74AD-403C-9B63-C2C3C916CA0F}"/>
    <cellStyle name="20% - Accent6 3 3 3 2 2 2" xfId="18645" xr:uid="{CFC9CF28-321D-4CE5-9F7A-0D194CD06B56}"/>
    <cellStyle name="20% - Accent6 3 3 3 2 2 2 2" xfId="18644" xr:uid="{CFC4239F-0856-4E7F-AE49-45974A9E6039}"/>
    <cellStyle name="20% - Accent6 3 3 3 2 2 2 2 2" xfId="18643" xr:uid="{599D4F49-806C-4E1D-AED2-F6197C14E4B9}"/>
    <cellStyle name="20% - Accent6 3 3 3 2 2 2 3" xfId="18640" xr:uid="{E253889E-7286-447F-B894-FC500659C953}"/>
    <cellStyle name="20% - Accent6 3 3 3 2 2 3" xfId="27370" xr:uid="{597ED821-6EA7-4A3D-B420-3800273FB4F3}"/>
    <cellStyle name="20% - Accent6 3 3 3 2 2 3 2" xfId="19189" xr:uid="{6D0A0E02-B7CF-4CC2-83F7-6AE9F7469E1A}"/>
    <cellStyle name="20% - Accent6 3 3 3 2 2 4" xfId="33221" xr:uid="{29491E1A-BFAE-4399-AB80-B39DAEC943EF}"/>
    <cellStyle name="20% - Accent6 3 3 3 2 3" xfId="18638" xr:uid="{AA0C47FA-53E4-4841-88CF-7BE6168203D8}"/>
    <cellStyle name="20% - Accent6 3 3 3 2 3 2" xfId="18637" xr:uid="{02400DC8-81B0-446E-9A86-723EAB788592}"/>
    <cellStyle name="20% - Accent6 3 3 3 2 3 2 2" xfId="18636" xr:uid="{88DE0880-F4FA-4B5D-80E9-EE607AD4FCB8}"/>
    <cellStyle name="20% - Accent6 3 3 3 2 3 3" xfId="18634" xr:uid="{73B7ED86-77AC-4541-B9A6-C0250B349271}"/>
    <cellStyle name="20% - Accent6 3 3 3 2 4" xfId="18633" xr:uid="{CB44DC0C-BF91-4958-90CC-6921517F1CF4}"/>
    <cellStyle name="20% - Accent6 3 3 3 2 4 2" xfId="20107" xr:uid="{86ACF54F-799B-4A89-A9B6-02A4018F8A5A}"/>
    <cellStyle name="20% - Accent6 3 3 3 2 5" xfId="24371" xr:uid="{5B0B261F-2760-452F-9233-0BDDEB8588FE}"/>
    <cellStyle name="20% - Accent6 3 3 3 3" xfId="7442" xr:uid="{08382D19-2BF2-4A02-8378-B70CAFE12DA7}"/>
    <cellStyle name="20% - Accent6 3 3 3 3 2" xfId="14117" xr:uid="{1DB61A40-05C5-499B-BEC1-45F5B0CACD6F}"/>
    <cellStyle name="20% - Accent6 3 3 3 3 2 2" xfId="14115" xr:uid="{1822A2EC-27D8-49B4-86C4-C2B1566280B8}"/>
    <cellStyle name="20% - Accent6 3 3 3 3 2 2 2" xfId="18629" xr:uid="{A551A14F-BAD5-461C-8C0B-D8F546BC993E}"/>
    <cellStyle name="20% - Accent6 3 3 3 3 2 3" xfId="14112" xr:uid="{E3DEAF9B-332B-4B5B-9F7B-A432612A1D0A}"/>
    <cellStyle name="20% - Accent6 3 3 3 3 3" xfId="14110" xr:uid="{14A4C691-5DA8-4639-983E-A31FD67C00C0}"/>
    <cellStyle name="20% - Accent6 3 3 3 3 3 2" xfId="18625" xr:uid="{C23AF8B1-E6B2-48B9-B077-D6DFB0C1125F}"/>
    <cellStyle name="20% - Accent6 3 3 3 3 4" xfId="20733" xr:uid="{11734306-9021-4E05-BCCB-FB74DEF2B117}"/>
    <cellStyle name="20% - Accent6 3 3 3 4" xfId="14108" xr:uid="{6799FBF3-9D70-45E7-8C98-D2786D7929A5}"/>
    <cellStyle name="20% - Accent6 3 3 3 4 2" xfId="15140" xr:uid="{B4422863-DD87-4385-B386-2D7C05467458}"/>
    <cellStyle name="20% - Accent6 3 3 3 4 2 2" xfId="15635" xr:uid="{D8948E0D-41D9-4B1C-A647-D755504AEA09}"/>
    <cellStyle name="20% - Accent6 3 3 3 4 3" xfId="14106" xr:uid="{2CEDCE74-D3EA-4EF7-8168-800E08760D66}"/>
    <cellStyle name="20% - Accent6 3 3 3 5" xfId="14103" xr:uid="{A04A04F7-E97C-4A83-B445-2D0EC6410548}"/>
    <cellStyle name="20% - Accent6 3 3 3 5 2" xfId="14101" xr:uid="{E378078D-7C18-4E85-A090-5756284B5AD9}"/>
    <cellStyle name="20% - Accent6 3 3 3 6" xfId="14098" xr:uid="{70DF27C5-0B70-4CE4-8ED8-C7B3AB23B192}"/>
    <cellStyle name="20% - Accent6 3 3 4" xfId="25757" xr:uid="{B59A8A48-4C36-4192-AFFD-2DC740F62C5C}"/>
    <cellStyle name="20% - Accent6 3 3 4 2" xfId="18623" xr:uid="{B1CC1BD2-6BB4-4E71-A40A-EBA84E338482}"/>
    <cellStyle name="20% - Accent6 3 3 4 2 2" xfId="22446" xr:uid="{08AB2807-10B7-4570-8208-6F56D1852245}"/>
    <cellStyle name="20% - Accent6 3 3 4 2 2 2" xfId="18622" xr:uid="{77EA0A10-24DD-4D86-BE62-71E0445EF5E0}"/>
    <cellStyle name="20% - Accent6 3 3 4 2 2 2 2" xfId="27835" xr:uid="{FB0BBE88-5EE7-40BC-A47A-C8E26C34BF43}"/>
    <cellStyle name="20% - Accent6 3 3 4 2 2 3" xfId="18620" xr:uid="{BCF198A9-B770-44E9-BFAB-874076584F7D}"/>
    <cellStyle name="20% - Accent6 3 3 4 2 3" xfId="27938" xr:uid="{60FF3BAA-E69D-40F2-9F3B-8779C4AD2EE3}"/>
    <cellStyle name="20% - Accent6 3 3 4 2 3 2" xfId="18618" xr:uid="{AC2EA49F-4CD7-4498-BCB3-A48C92E20EFA}"/>
    <cellStyle name="20% - Accent6 3 3 4 2 4" xfId="18616" xr:uid="{6BBD89F1-5C35-4CD8-9B58-B337078A4D8F}"/>
    <cellStyle name="20% - Accent6 3 3 4 3" xfId="14095" xr:uid="{C78EE377-E96F-45DE-935E-C5E1F33726C9}"/>
    <cellStyle name="20% - Accent6 3 3 4 3 2" xfId="14093" xr:uid="{C22C8725-FD99-4374-84F0-EA17ABCA0E17}"/>
    <cellStyle name="20% - Accent6 3 3 4 3 2 2" xfId="14090" xr:uid="{F22BC0A0-7C05-410A-9817-B365E158622F}"/>
    <cellStyle name="20% - Accent6 3 3 4 3 3" xfId="14087" xr:uid="{37758CCC-39AD-4C63-B5C4-45C15E83A737}"/>
    <cellStyle name="20% - Accent6 3 3 4 4" xfId="14083" xr:uid="{A18986E5-826C-4E9F-9F53-319B034CBEC2}"/>
    <cellStyle name="20% - Accent6 3 3 4 4 2" xfId="14081" xr:uid="{46A4DE99-88C9-4153-9E02-E7E57545D97A}"/>
    <cellStyle name="20% - Accent6 3 3 4 5" xfId="14078" xr:uid="{B1035D44-D2E5-4E94-A660-03C407649B01}"/>
    <cellStyle name="20% - Accent6 3 3 5" xfId="33238" xr:uid="{EADE38E5-A3C6-4694-AE54-22C9707E1319}"/>
    <cellStyle name="20% - Accent6 3 3 5 2" xfId="18612" xr:uid="{22FC943B-12CB-4DCF-8B3D-94E47524782D}"/>
    <cellStyle name="20% - Accent6 3 3 5 2 2" xfId="18606" xr:uid="{4E44C4A3-4270-4BE2-B830-90FE8DFB064E}"/>
    <cellStyle name="20% - Accent6 3 3 5 2 2 2" xfId="17677" xr:uid="{1F87E556-619E-45ED-8B0D-C68A942B5EA8}"/>
    <cellStyle name="20% - Accent6 3 3 5 2 3" xfId="18604" xr:uid="{281C55B2-7FDB-45F9-A21D-FCC7B09BCE05}"/>
    <cellStyle name="20% - Accent6 3 3 5 3" xfId="18602" xr:uid="{55A3083F-6FF0-4A39-98A2-935BB88984DB}"/>
    <cellStyle name="20% - Accent6 3 3 5 3 2" xfId="22351" xr:uid="{FCCD5078-C108-46F8-8CA4-5897409C6660}"/>
    <cellStyle name="20% - Accent6 3 3 5 4" xfId="14075" xr:uid="{0CCA59F7-3AE2-49FC-B7A1-AE481F2F3A7E}"/>
    <cellStyle name="20% - Accent6 3 3 6" xfId="18594" xr:uid="{96AC615A-9211-4E7A-955E-FB4F0B5D4612}"/>
    <cellStyle name="20% - Accent6 3 3 6 2" xfId="21689" xr:uid="{7901A6DD-6672-4FBC-970A-21892F32EEC6}"/>
    <cellStyle name="20% - Accent6 3 3 6 2 2" xfId="24741" xr:uid="{642D3B27-C895-423E-8DEB-46E4A52E63C5}"/>
    <cellStyle name="20% - Accent6 3 3 6 3" xfId="21686" xr:uid="{C02DC973-689D-4374-ACD5-984F0B99A1C9}"/>
    <cellStyle name="20% - Accent6 3 3 7" xfId="26063" xr:uid="{7300C9F0-0F37-4A69-9293-13E9F75125E7}"/>
    <cellStyle name="20% - Accent6 3 3 7 2" xfId="30530" xr:uid="{1BA422DD-708A-4E3E-A0B0-9F3802CFFC0D}"/>
    <cellStyle name="20% - Accent6 3 3 8" xfId="18590" xr:uid="{7EF16E6A-9E3D-47CB-AE3C-0BD1A251548A}"/>
    <cellStyle name="20% - Accent6 3 3 9" xfId="34558" xr:uid="{5BDDF343-D131-43AD-B562-42CD2E065E02}"/>
    <cellStyle name="20% - Accent6 3 4" xfId="19138" xr:uid="{6C7FE32A-67AE-40B0-800E-8ED4C73FCC4F}"/>
    <cellStyle name="20% - Accent6 3 4 2" xfId="18589" xr:uid="{6478DE9A-CD7F-4AC8-9400-B898C7F432B6}"/>
    <cellStyle name="20% - Accent6 3 4 2 2" xfId="18584" xr:uid="{43D6B151-A437-4A7A-A726-475537350A6D}"/>
    <cellStyle name="20% - Accent6 3 4 2 2 2" xfId="23418" xr:uid="{6BF46F7B-4A23-4D5E-AA44-989ECD47BC6C}"/>
    <cellStyle name="20% - Accent6 3 4 2 2 2 2" xfId="18582" xr:uid="{3EBA5AC6-51C8-433C-807E-9E838AF95B3F}"/>
    <cellStyle name="20% - Accent6 3 4 2 2 2 2 2" xfId="20546" xr:uid="{53A0B7D7-09A6-4D84-8F1D-44F24E2FE159}"/>
    <cellStyle name="20% - Accent6 3 4 2 2 2 2 2 2" xfId="16244" xr:uid="{AD20B7B9-AC9B-47F2-9599-6F44E94AC6FC}"/>
    <cellStyle name="20% - Accent6 3 4 2 2 2 2 3" xfId="18579" xr:uid="{FFB63B69-5FDF-43DE-8EBD-586374D9BEDB}"/>
    <cellStyle name="20% - Accent6 3 4 2 2 2 3" xfId="20543" xr:uid="{2F5E5949-773B-4984-BF37-EA5B261315EF}"/>
    <cellStyle name="20% - Accent6 3 4 2 2 2 3 2" xfId="18576" xr:uid="{4EEDEF6D-B9C4-478D-A3FA-5E657B377A53}"/>
    <cellStyle name="20% - Accent6 3 4 2 2 2 4" xfId="18572" xr:uid="{28062083-BDB9-40AF-BA5B-D5CD14C5997C}"/>
    <cellStyle name="20% - Accent6 3 4 2 2 3" xfId="23414" xr:uid="{BE19D526-1105-4CA4-9413-712334467599}"/>
    <cellStyle name="20% - Accent6 3 4 2 2 3 2" xfId="18571" xr:uid="{161C4CDB-E0CC-49AC-8F57-9BB13AF23B9A}"/>
    <cellStyle name="20% - Accent6 3 4 2 2 3 2 2" xfId="13660" xr:uid="{07A0D811-E9E3-4844-9521-578754840BE6}"/>
    <cellStyle name="20% - Accent6 3 4 2 2 3 3" xfId="18568" xr:uid="{24300C8D-0724-4791-9803-EACFF6836BAE}"/>
    <cellStyle name="20% - Accent6 3 4 2 2 4" xfId="18567" xr:uid="{3F385729-B426-4615-9ABE-5534E14F9A88}"/>
    <cellStyle name="20% - Accent6 3 4 2 2 4 2" xfId="18565" xr:uid="{68B7ACCD-70A3-4870-9759-BE37B8E70D13}"/>
    <cellStyle name="20% - Accent6 3 4 2 2 5" xfId="24057" xr:uid="{3811AB66-799A-4AB0-99D3-13B4919DD429}"/>
    <cellStyle name="20% - Accent6 3 4 2 3" xfId="14036" xr:uid="{EEBBB431-2F6B-4DF1-9142-CBF673AE726B}"/>
    <cellStyle name="20% - Accent6 3 4 2 3 2" xfId="22126" xr:uid="{3EA78811-CE00-479E-9A2B-54C59A3A51FB}"/>
    <cellStyle name="20% - Accent6 3 4 2 3 2 2" xfId="14033" xr:uid="{5DABEAD9-A962-4A7A-BA55-97F28928D84F}"/>
    <cellStyle name="20% - Accent6 3 4 2 3 2 2 2" xfId="24228" xr:uid="{4F8B0E83-0064-49F4-87EC-90FA20072457}"/>
    <cellStyle name="20% - Accent6 3 4 2 3 2 3" xfId="14031" xr:uid="{9AD39CC6-C284-45E4-AA5C-023515482673}"/>
    <cellStyle name="20% - Accent6 3 4 2 3 3" xfId="14027" xr:uid="{7AE0F524-6F01-4380-9BAB-7AACA45B66FC}"/>
    <cellStyle name="20% - Accent6 3 4 2 3 3 2" xfId="18556" xr:uid="{A67BFFD9-65BF-4117-BA98-997A4FA4FF55}"/>
    <cellStyle name="20% - Accent6 3 4 2 3 4" xfId="14025" xr:uid="{B5B12983-CFAC-4BC0-ADE2-1FF4C32F878F}"/>
    <cellStyle name="20% - Accent6 3 4 2 4" xfId="14023" xr:uid="{11BD9477-2055-40AF-9EA9-A2EF5959C1BE}"/>
    <cellStyle name="20% - Accent6 3 4 2 4 2" xfId="14021" xr:uid="{F47C7275-B27E-4A17-BF62-AD61310F93B6}"/>
    <cellStyle name="20% - Accent6 3 4 2 4 2 2" xfId="14019" xr:uid="{6D64D383-5E7C-41B3-9974-A0C5F6668573}"/>
    <cellStyle name="20% - Accent6 3 4 2 4 3" xfId="14016" xr:uid="{340C5EDB-154F-495C-96D6-77434D60AE17}"/>
    <cellStyle name="20% - Accent6 3 4 2 5" xfId="14014" xr:uid="{F40F9FB1-9D94-42F9-8855-D95E42719B7E}"/>
    <cellStyle name="20% - Accent6 3 4 2 5 2" xfId="14012" xr:uid="{C962BC4E-1893-446E-B737-67240CB8E92E}"/>
    <cellStyle name="20% - Accent6 3 4 2 6" xfId="14010" xr:uid="{B206CD5C-C3D4-4B80-88B3-A3EFB009BA56}"/>
    <cellStyle name="20% - Accent6 3 4 3" xfId="25750" xr:uid="{54538D50-EA33-42F9-B61B-470CCEEF5B96}"/>
    <cellStyle name="20% - Accent6 3 4 3 2" xfId="18547" xr:uid="{1BB11FB3-DEAE-4F95-A4A0-32AA01EAA1F9}"/>
    <cellStyle name="20% - Accent6 3 4 3 2 2" xfId="23384" xr:uid="{1F2378AC-BACE-46B5-A3AA-821910D58740}"/>
    <cellStyle name="20% - Accent6 3 4 3 2 2 2" xfId="18545" xr:uid="{F7B5E499-7B8E-484B-B3CC-108670AA58B1}"/>
    <cellStyle name="20% - Accent6 3 4 3 2 2 2 2" xfId="18512" xr:uid="{1C0F1BA5-25D6-42E7-9D53-28963D65BFF2}"/>
    <cellStyle name="20% - Accent6 3 4 3 2 2 3" xfId="18542" xr:uid="{5D8044D4-14C4-481F-BFF1-1B46E26DD159}"/>
    <cellStyle name="20% - Accent6 3 4 3 2 3" xfId="7627" xr:uid="{3496C19C-9C8F-49C9-AF4E-0E96AD23E294}"/>
    <cellStyle name="20% - Accent6 3 4 3 2 3 2" xfId="13672" xr:uid="{A92431C2-2527-439E-B165-9BBEA5494950}"/>
    <cellStyle name="20% - Accent6 3 4 3 2 4" xfId="13670" xr:uid="{0BEA9C3D-BC51-4E71-9E3D-56813C696186}"/>
    <cellStyle name="20% - Accent6 3 4 3 3" xfId="14005" xr:uid="{9BD44782-83FA-4593-A02B-E8DE9225AC62}"/>
    <cellStyle name="20% - Accent6 3 4 3 3 2" xfId="14003" xr:uid="{6EAAAF8B-DFD8-4060-86F8-E7F04A4B5D95}"/>
    <cellStyle name="20% - Accent6 3 4 3 3 2 2" xfId="14001" xr:uid="{9FEFC777-EC1E-485D-A948-1D2B5F187CD0}"/>
    <cellStyle name="20% - Accent6 3 4 3 3 3" xfId="13999" xr:uid="{15A8F242-FACA-4734-960B-AD7ED51419E8}"/>
    <cellStyle name="20% - Accent6 3 4 3 4" xfId="13997" xr:uid="{1863F6FD-8545-41FE-9BDA-BC540374D005}"/>
    <cellStyle name="20% - Accent6 3 4 3 4 2" xfId="13995" xr:uid="{4C4641B4-347C-476F-B1D7-164D06CB9D4F}"/>
    <cellStyle name="20% - Accent6 3 4 3 5" xfId="13993" xr:uid="{7583816C-386C-4B2A-A46F-F360F483027C}"/>
    <cellStyle name="20% - Accent6 3 4 4" xfId="25744" xr:uid="{8F148E82-9884-4C17-B83A-3C866473DAB4}"/>
    <cellStyle name="20% - Accent6 3 4 4 2" xfId="18537" xr:uid="{350C9D21-B790-4D85-9435-34EB1D7CB801}"/>
    <cellStyle name="20% - Accent6 3 4 4 2 2" xfId="18535" xr:uid="{0A5D0F63-A73F-4929-9380-5EAA4E341ED4}"/>
    <cellStyle name="20% - Accent6 3 4 4 2 2 2" xfId="20067" xr:uid="{4C0C0BA2-ABCA-40F3-9224-60A2015857DF}"/>
    <cellStyle name="20% - Accent6 3 4 4 2 3" xfId="18532" xr:uid="{B999F665-2122-4E72-A326-D24D92D3456D}"/>
    <cellStyle name="20% - Accent6 3 4 4 3" xfId="13991" xr:uid="{AA97BCFB-8263-4881-B010-119AF0A68D50}"/>
    <cellStyle name="20% - Accent6 3 4 4 3 2" xfId="13989" xr:uid="{F9AAB397-8956-47FA-B603-BFF4FE7CCCB9}"/>
    <cellStyle name="20% - Accent6 3 4 4 4" xfId="13986" xr:uid="{DC7EB71A-1FFB-41DC-B132-55F92588EDEE}"/>
    <cellStyle name="20% - Accent6 3 4 5" xfId="18525" xr:uid="{E8F88A6F-3295-4CF5-8256-696F20BA521B}"/>
    <cellStyle name="20% - Accent6 3 4 5 2" xfId="18523" xr:uid="{6FE9A38C-F3A1-46AA-B339-00594DC254C6}"/>
    <cellStyle name="20% - Accent6 3 4 5 2 2" xfId="18518" xr:uid="{98FF61E0-D6AE-4CE5-AAAA-517781966518}"/>
    <cellStyle name="20% - Accent6 3 4 5 3" xfId="13983" xr:uid="{EED902F8-4D08-499C-927F-BFFE8F67C54F}"/>
    <cellStyle name="20% - Accent6 3 4 6" xfId="13256" xr:uid="{C98C1F94-D2A5-41B5-B59B-95641188AECC}"/>
    <cellStyle name="20% - Accent6 3 4 6 2" xfId="21603" xr:uid="{428301C1-6B97-4B29-B890-8D1A674BD3A3}"/>
    <cellStyle name="20% - Accent6 3 4 7" xfId="13253" xr:uid="{B687C7C5-DFDC-45FB-A723-1D7EE08A56DE}"/>
    <cellStyle name="20% - Accent6 3 4 8" xfId="34779" xr:uid="{FD6B13FB-8F42-4833-A048-0EA724842F70}"/>
    <cellStyle name="20% - Accent6 3 5" xfId="25934" xr:uid="{0C497919-8F83-4547-8266-CB3860ABB82F}"/>
    <cellStyle name="20% - Accent6 3 5 2" xfId="33979" xr:uid="{D7437025-861C-4549-9BB0-EDC8AB44D6D5}"/>
    <cellStyle name="20% - Accent6 3 5 2 2" xfId="18135" xr:uid="{DB44BD1D-111F-4B5A-A132-06142F2DDB7D}"/>
    <cellStyle name="20% - Accent6 3 5 2 2 2" xfId="18127" xr:uid="{0ACD160E-8F93-4013-822B-34B3759E0C7B}"/>
    <cellStyle name="20% - Accent6 3 5 2 2 2 2" xfId="18122" xr:uid="{D559998D-1733-4B84-9487-E74B2D661E64}"/>
    <cellStyle name="20% - Accent6 3 5 2 2 2 2 2" xfId="21331" xr:uid="{FD5C422C-D412-45CA-A0D8-413B01093862}"/>
    <cellStyle name="20% - Accent6 3 5 2 2 2 3" xfId="32259" xr:uid="{9EB9BCA9-D7AE-416B-8CDA-59F1A737E919}"/>
    <cellStyle name="20% - Accent6 3 5 2 2 3" xfId="18110" xr:uid="{6D6A5858-8786-4CCA-BF6B-B39A8A558213}"/>
    <cellStyle name="20% - Accent6 3 5 2 2 3 2" xfId="18105" xr:uid="{46E7188E-DB97-4F17-9754-A1449221963F}"/>
    <cellStyle name="20% - Accent6 3 5 2 2 4" xfId="18097" xr:uid="{FC548EA6-B4AC-45D8-A73D-7DE9024ED122}"/>
    <cellStyle name="20% - Accent6 3 5 2 3" xfId="13963" xr:uid="{19700141-67F1-4E1C-9EA1-3FA800E99848}"/>
    <cellStyle name="20% - Accent6 3 5 2 3 2" xfId="13960" xr:uid="{E51A55F2-F125-4EAB-AD7E-3B86989D9DD7}"/>
    <cellStyle name="20% - Accent6 3 5 2 3 2 2" xfId="18087" xr:uid="{D1303B28-4DB2-4B9C-8EFB-0AFF5F884DD6}"/>
    <cellStyle name="20% - Accent6 3 5 2 3 3" xfId="13958" xr:uid="{AD5AD895-88E0-4D45-8D56-163E16443311}"/>
    <cellStyle name="20% - Accent6 3 5 2 4" xfId="13956" xr:uid="{F48DB225-E990-4D0D-A8D5-8302439869A7}"/>
    <cellStyle name="20% - Accent6 3 5 2 4 2" xfId="13954" xr:uid="{DEA51D61-A7C2-4AB6-B904-BCF3F6284B96}"/>
    <cellStyle name="20% - Accent6 3 5 2 5" xfId="9851" xr:uid="{70F810E3-4C17-4615-8372-6633A460B1E7}"/>
    <cellStyle name="20% - Accent6 3 5 3" xfId="25740" xr:uid="{1E333087-A64A-4C6D-9A39-7406F3326A67}"/>
    <cellStyle name="20% - Accent6 3 5 3 2" xfId="18028" xr:uid="{FFB0845F-5CA9-4114-8384-7943083850C6}"/>
    <cellStyle name="20% - Accent6 3 5 3 2 2" xfId="27483" xr:uid="{5D476FA0-ED7C-4ABC-B175-5E637C4EB197}"/>
    <cellStyle name="20% - Accent6 3 5 3 2 2 2" xfId="33913" xr:uid="{839BB1D8-F1C2-444C-BF0F-ACF21D2D9785}"/>
    <cellStyle name="20% - Accent6 3 5 3 2 3" xfId="33676" xr:uid="{FEBF1422-40A4-4C8D-82C2-38FE5AAD4DD4}"/>
    <cellStyle name="20% - Accent6 3 5 3 3" xfId="13952" xr:uid="{15646AE1-2457-4F49-977F-657BC734D73B}"/>
    <cellStyle name="20% - Accent6 3 5 3 3 2" xfId="16819" xr:uid="{930F7D9D-DA98-4F58-934A-F9352B843639}"/>
    <cellStyle name="20% - Accent6 3 5 3 4" xfId="13950" xr:uid="{672F7B22-86F6-4FCE-A7A9-2E12E279ED53}"/>
    <cellStyle name="20% - Accent6 3 5 4" xfId="34052" xr:uid="{3196B300-B62E-43AD-A67B-A9AB5441AC26}"/>
    <cellStyle name="20% - Accent6 3 5 4 2" xfId="18508" xr:uid="{162B1373-672E-49F4-B6D3-04F9F7540DCB}"/>
    <cellStyle name="20% - Accent6 3 5 4 2 2" xfId="33645" xr:uid="{D43B953D-CD7A-40ED-9A54-1285EB13EC8D}"/>
    <cellStyle name="20% - Accent6 3 5 4 3" xfId="13948" xr:uid="{4A3750C1-99CE-452F-8857-EF65B1678647}"/>
    <cellStyle name="20% - Accent6 3 5 5" xfId="33983" xr:uid="{91DD2DCD-26E5-4F64-A91A-B5A11FBE3129}"/>
    <cellStyle name="20% - Accent6 3 5 5 2" xfId="18662" xr:uid="{1D9367EB-5F13-4594-9E97-84823340316E}"/>
    <cellStyle name="20% - Accent6 3 5 6" xfId="13228" xr:uid="{175F473F-9FA7-4126-9790-BA68FFFC951B}"/>
    <cellStyle name="20% - Accent6 3 5 7" xfId="34974" xr:uid="{AC96D937-243E-4F3B-9D6C-41DB5FCB8AF1}"/>
    <cellStyle name="20% - Accent6 3 6" xfId="32654" xr:uid="{F516084E-5253-41FC-A6A8-777EC172EFDD}"/>
    <cellStyle name="20% - Accent6 3 6 2" xfId="21524" xr:uid="{0B6B9970-0E9F-4F70-98DD-34281BE3F10A}"/>
    <cellStyle name="20% - Accent6 3 6 2 2" xfId="18504" xr:uid="{CFF3FE7C-01B7-4666-B851-4062A618FE35}"/>
    <cellStyle name="20% - Accent6 3 6 2 2 2" xfId="27506" xr:uid="{508146A6-7848-4293-A978-E980808A67E2}"/>
    <cellStyle name="20% - Accent6 3 6 2 2 2 2" xfId="22253" xr:uid="{A10BD682-4518-42A2-8896-5453E6D6D924}"/>
    <cellStyle name="20% - Accent6 3 6 2 2 3" xfId="32904" xr:uid="{D87A0EF8-29CB-4900-A81A-9132F1BC717B}"/>
    <cellStyle name="20% - Accent6 3 6 2 3" xfId="13927" xr:uid="{73784A66-19CE-4666-9791-078707D74A81}"/>
    <cellStyle name="20% - Accent6 3 6 2 3 2" xfId="14394" xr:uid="{7047814C-FC26-4C99-9C12-829D1C6B63F9}"/>
    <cellStyle name="20% - Accent6 3 6 2 4" xfId="13925" xr:uid="{0676E5BE-7ACF-4F2D-8541-D7F91CF62946}"/>
    <cellStyle name="20% - Accent6 3 6 3" xfId="9205" xr:uid="{F5C95200-02CB-488C-B697-683A4D8E01DE}"/>
    <cellStyle name="20% - Accent6 3 6 3 2" xfId="18501" xr:uid="{743CAB75-C8AB-42F8-BF78-1B0C3CBB15B3}"/>
    <cellStyle name="20% - Accent6 3 6 3 2 2" xfId="5447" xr:uid="{ABE5AF97-0E2F-4ECC-A25D-55BF34BEDE3E}"/>
    <cellStyle name="20% - Accent6 3 6 3 3" xfId="5444" xr:uid="{DB9D8A98-7A68-4E16-8576-4F964E84DB5D}"/>
    <cellStyle name="20% - Accent6 3 6 4" xfId="7573" xr:uid="{50540E73-066E-4E16-8CA9-02F75813A240}"/>
    <cellStyle name="20% - Accent6 3 6 4 2" xfId="10593" xr:uid="{36B30243-B025-4E39-9E14-6382C8CC07F2}"/>
    <cellStyle name="20% - Accent6 3 6 5" xfId="6141" xr:uid="{0DF751A1-E328-415B-B9C1-3B4FDC54E78A}"/>
    <cellStyle name="20% - Accent6 3 6 6" xfId="35179" xr:uid="{0134E5D2-D748-4B04-8EE4-DB2D47928C23}"/>
    <cellStyle name="20% - Accent6 3 7" xfId="31790" xr:uid="{F1C81887-60B3-4450-8098-AABFCC632E8C}"/>
    <cellStyle name="20% - Accent6 3 7 2" xfId="26254" xr:uid="{BBA7C90F-20AD-41A9-BA53-985E3A564151}"/>
    <cellStyle name="20% - Accent6 3 7 2 2" xfId="25125" xr:uid="{D5A78D5B-819C-4583-B93B-302DC910C6E4}"/>
    <cellStyle name="20% - Accent6 3 7 2 2 2" xfId="25577" xr:uid="{E78ABE1C-E8D6-403C-8DD0-61D310FA9E08}"/>
    <cellStyle name="20% - Accent6 3 7 2 3" xfId="14153" xr:uid="{7BC75B8F-3200-4944-9961-BE0EC59586E0}"/>
    <cellStyle name="20% - Accent6 3 7 3" xfId="7567" xr:uid="{3310F410-DD76-483F-ABC0-6F552BAC0AC6}"/>
    <cellStyle name="20% - Accent6 3 7 3 2" xfId="5442" xr:uid="{43B2608D-7F5B-48B8-BA9C-2F62789FF675}"/>
    <cellStyle name="20% - Accent6 3 7 4" xfId="6135" xr:uid="{E707661C-747C-403D-A008-4A8CCDB7A28C}"/>
    <cellStyle name="20% - Accent6 3 7 5" xfId="35408" xr:uid="{64771D65-5C43-46B3-94F7-65048E5B194F}"/>
    <cellStyle name="20% - Accent6 3 8" xfId="31754" xr:uid="{C53C5324-1D15-42BF-BF06-AC4DD8E9A5FD}"/>
    <cellStyle name="20% - Accent6 3 8 2" xfId="26231" xr:uid="{D47356FB-325B-4120-936F-D1EB82A57E1A}"/>
    <cellStyle name="20% - Accent6 3 8 2 2" xfId="26369" xr:uid="{DA71F9F6-5EE1-43CF-8517-87FBC1AF7EB7}"/>
    <cellStyle name="20% - Accent6 3 8 3" xfId="5439" xr:uid="{01DB4DBA-DF28-4596-A9BA-E57AE46FAC2C}"/>
    <cellStyle name="20% - Accent6 3 8 4" xfId="36280" xr:uid="{C0EE01B0-8994-45FE-865F-785CE140FB4D}"/>
    <cellStyle name="20% - Accent6 3 9" xfId="31058" xr:uid="{E203F3A9-7F14-4FF5-B06E-DCA58443BF8E}"/>
    <cellStyle name="20% - Accent6 3 9 2" xfId="6622" xr:uid="{A53F23C3-E503-4B2A-ACBF-C304FD5A7CAA}"/>
    <cellStyle name="20% - Accent6 3 9 3" xfId="36566" xr:uid="{4878BB1C-929B-455E-844B-6B9089F7D5E8}"/>
    <cellStyle name="20% - Accent6 30" xfId="35905" xr:uid="{E5927B71-136F-4CB6-9F3D-A97532DC76B5}"/>
    <cellStyle name="20% - Accent6 30 2" xfId="37077" xr:uid="{CB2EB9C3-86C8-42A6-8703-9EDE67D27A4B}"/>
    <cellStyle name="20% - Accent6 30 3" xfId="37972" xr:uid="{8DD2C95C-CA1A-47F4-BD1C-BCEF77EAD9F8}"/>
    <cellStyle name="20% - Accent6 31" xfId="35925" xr:uid="{C22723B3-84D0-4BC8-B7B4-C470130A8D0B}"/>
    <cellStyle name="20% - Accent6 31 2" xfId="37096" xr:uid="{C1F8E82B-450B-4EC0-BC7E-90EF1E037E7E}"/>
    <cellStyle name="20% - Accent6 31 3" xfId="37992" xr:uid="{5D87839C-8A1A-45DE-8F00-E62B830A402F}"/>
    <cellStyle name="20% - Accent6 32" xfId="35945" xr:uid="{0853259B-E5BD-4039-8DDA-6D62D6A55035}"/>
    <cellStyle name="20% - Accent6 32 2" xfId="37115" xr:uid="{B2B6B734-6D8D-4EA5-9D13-CA92EEADCB88}"/>
    <cellStyle name="20% - Accent6 32 3" xfId="38012" xr:uid="{F3BD2DE0-887A-42CB-8A1C-F8F27BCE8BA3}"/>
    <cellStyle name="20% - Accent6 33" xfId="35965" xr:uid="{03AAB893-1138-46E1-BEF6-CD58878C3A48}"/>
    <cellStyle name="20% - Accent6 33 2" xfId="37134" xr:uid="{E0AF7EE3-C522-4E40-85EE-AD5A6B25CF5F}"/>
    <cellStyle name="20% - Accent6 33 3" xfId="38032" xr:uid="{B635A2E4-944F-41B6-976E-7A1A5A1283C6}"/>
    <cellStyle name="20% - Accent6 34" xfId="35985" xr:uid="{538CD1FD-E5AB-4ADD-99B9-9489613B2C93}"/>
    <cellStyle name="20% - Accent6 34 2" xfId="37154" xr:uid="{E74D56D5-A805-428A-80E6-8D40C171DEA0}"/>
    <cellStyle name="20% - Accent6 34 3" xfId="38052" xr:uid="{7E6388ED-8440-4ED7-895B-5DFADB240143}"/>
    <cellStyle name="20% - Accent6 35" xfId="36005" xr:uid="{C0C4A570-88C7-4288-889E-7A5698635AFC}"/>
    <cellStyle name="20% - Accent6 35 2" xfId="37174" xr:uid="{7055B6BF-7D52-4EFE-9E59-911ED951BAEC}"/>
    <cellStyle name="20% - Accent6 35 3" xfId="38072" xr:uid="{E34DD691-0302-43A0-9DCC-960F681B75E0}"/>
    <cellStyle name="20% - Accent6 36" xfId="36025" xr:uid="{58211FB5-3D38-4E98-ADD7-A1B1F068CC15}"/>
    <cellStyle name="20% - Accent6 36 2" xfId="37194" xr:uid="{27FC208F-367E-4E41-A776-F135ADD7C89B}"/>
    <cellStyle name="20% - Accent6 36 3" xfId="38092" xr:uid="{ADE63E08-3AEE-404D-97C6-EFD7C846DAF1}"/>
    <cellStyle name="20% - Accent6 37" xfId="36045" xr:uid="{0C0A8216-F45B-4E25-929F-386B2FFB3241}"/>
    <cellStyle name="20% - Accent6 37 2" xfId="37214" xr:uid="{DB61851B-1C34-4A88-B56D-CFCD28E70B59}"/>
    <cellStyle name="20% - Accent6 37 3" xfId="38112" xr:uid="{BDDEF6D8-BF92-4508-BB85-B4A4190AED84}"/>
    <cellStyle name="20% - Accent6 38" xfId="36065" xr:uid="{380BCD94-5923-4119-AD77-CB23516F12BA}"/>
    <cellStyle name="20% - Accent6 38 2" xfId="37234" xr:uid="{AEA45B96-175E-4BE0-B942-4B0B66DE02F6}"/>
    <cellStyle name="20% - Accent6 38 3" xfId="38132" xr:uid="{FBCECEFB-9F42-4E07-BA9D-01C85830A060}"/>
    <cellStyle name="20% - Accent6 39" xfId="36085" xr:uid="{CEAA221A-DCBD-4F14-B043-349A732BAF83}"/>
    <cellStyle name="20% - Accent6 39 2" xfId="37254" xr:uid="{909E157E-6CD5-42C5-AFFB-660DE42C0D02}"/>
    <cellStyle name="20% - Accent6 39 3" xfId="38152" xr:uid="{ADFB169C-26D1-4E32-B296-665259CEDA57}"/>
    <cellStyle name="20% - Accent6 4" xfId="131" xr:uid="{F3195DAE-56B2-4C75-B73B-81ECF4A77603}"/>
    <cellStyle name="20% - Accent6 4 10" xfId="34485" xr:uid="{9A6E5B12-35F7-48F7-8AA7-EC0D00BF5ED8}"/>
    <cellStyle name="20% - Accent6 4 11" xfId="18495" xr:uid="{A8F20663-26E2-4320-B6BA-130B6DB53DED}"/>
    <cellStyle name="20% - Accent6 4 2" xfId="254" xr:uid="{0FF10496-6D2F-440D-802F-2EC8D2E77936}"/>
    <cellStyle name="20% - Accent6 4 2 10" xfId="18492" xr:uid="{09679A26-A0AF-4D9C-AFC9-0D180548F956}"/>
    <cellStyle name="20% - Accent6 4 2 2" xfId="24527" xr:uid="{BD879FBC-A509-4B94-A3CD-F5704B028408}"/>
    <cellStyle name="20% - Accent6 4 2 2 2" xfId="18489" xr:uid="{1AF7E132-E89F-4206-AA08-70405F45A766}"/>
    <cellStyle name="20% - Accent6 4 2 2 2 2" xfId="18485" xr:uid="{18E4F7BA-B676-4CD5-AFFC-4A41C0ECD8E2}"/>
    <cellStyle name="20% - Accent6 4 2 2 2 2 2" xfId="18483" xr:uid="{D849A857-5C2E-462D-946A-1E609CB5FD24}"/>
    <cellStyle name="20% - Accent6 4 2 2 2 2 2 2" xfId="17496" xr:uid="{521571D5-5F85-4D96-9E75-83483797DCC4}"/>
    <cellStyle name="20% - Accent6 4 2 2 2 2 2 2 2" xfId="18474" xr:uid="{4F05294F-053E-4749-B099-1BC3E26DD958}"/>
    <cellStyle name="20% - Accent6 4 2 2 2 2 2 2 2 2" xfId="31327" xr:uid="{DB0D16AC-5D39-4B13-ABCA-01988D6C7B49}"/>
    <cellStyle name="20% - Accent6 4 2 2 2 2 2 2 3" xfId="24534" xr:uid="{483D8FA8-7060-480F-8748-056C21157027}"/>
    <cellStyle name="20% - Accent6 4 2 2 2 2 2 3" xfId="18470" xr:uid="{4241C9A9-BB4A-40E5-AD1C-65BAB0183D67}"/>
    <cellStyle name="20% - Accent6 4 2 2 2 2 2 3 2" xfId="18468" xr:uid="{D3A5F66B-3333-4940-B011-E22195477906}"/>
    <cellStyle name="20% - Accent6 4 2 2 2 2 2 4" xfId="18463" xr:uid="{384AD123-CC1F-4FB6-9C0A-7F889EE2A54B}"/>
    <cellStyle name="20% - Accent6 4 2 2 2 2 3" xfId="18462" xr:uid="{87180CB7-A69F-45EF-B5C5-8FA77521B16B}"/>
    <cellStyle name="20% - Accent6 4 2 2 2 2 3 2" xfId="18461" xr:uid="{3F83B9F7-6BE1-4173-857F-5D71E4E35D96}"/>
    <cellStyle name="20% - Accent6 4 2 2 2 2 3 2 2" xfId="18458" xr:uid="{02FC2452-3C6E-4021-8692-42A73B5CA397}"/>
    <cellStyle name="20% - Accent6 4 2 2 2 2 3 3" xfId="18454" xr:uid="{0CEE5D25-EFB3-4471-8335-B9287DFDE30A}"/>
    <cellStyle name="20% - Accent6 4 2 2 2 2 4" xfId="18453" xr:uid="{634F3370-88D0-4479-B68A-5A969CF1091A}"/>
    <cellStyle name="20% - Accent6 4 2 2 2 2 4 2" xfId="18452" xr:uid="{3A88ED6B-A08F-4800-B7AF-11C600EB3C79}"/>
    <cellStyle name="20% - Accent6 4 2 2 2 2 5" xfId="18449" xr:uid="{8A47809E-2F63-41DA-BC0D-38EBED83D756}"/>
    <cellStyle name="20% - Accent6 4 2 2 2 3" xfId="23130" xr:uid="{A30D5013-DD80-4692-8374-0EA92F3A05C2}"/>
    <cellStyle name="20% - Accent6 4 2 2 2 3 2" xfId="18448" xr:uid="{20D05D76-D771-4888-8D2B-688534C5EC66}"/>
    <cellStyle name="20% - Accent6 4 2 2 2 3 2 2" xfId="18447" xr:uid="{7EB59E39-79AD-4767-97DF-50B867777FFB}"/>
    <cellStyle name="20% - Accent6 4 2 2 2 3 2 2 2" xfId="13236" xr:uid="{3D592A99-E0E2-418D-966A-DF1D36EBFB05}"/>
    <cellStyle name="20% - Accent6 4 2 2 2 3 2 3" xfId="18443" xr:uid="{C191EB93-9F9A-43C6-A1BA-B92F79649F30}"/>
    <cellStyle name="20% - Accent6 4 2 2 2 3 3" xfId="34177" xr:uid="{31EEF509-06B2-41A7-AD4C-B282F5239BF9}"/>
    <cellStyle name="20% - Accent6 4 2 2 2 3 3 2" xfId="18441" xr:uid="{85ECE98E-77B6-41D4-A9C6-E0DB9429F537}"/>
    <cellStyle name="20% - Accent6 4 2 2 2 3 4" xfId="18440" xr:uid="{8439B08A-C567-4C57-80F2-DEC5B25C02D3}"/>
    <cellStyle name="20% - Accent6 4 2 2 2 4" xfId="18439" xr:uid="{6324C5BF-CFBA-4B49-B95D-C9880EEB9B3A}"/>
    <cellStyle name="20% - Accent6 4 2 2 2 4 2" xfId="18438" xr:uid="{7E1B3BB2-9599-4B9F-B673-4EC52D9AA0A7}"/>
    <cellStyle name="20% - Accent6 4 2 2 2 4 2 2" xfId="18549" xr:uid="{6F938288-838B-4E03-A96D-5212DD2437D2}"/>
    <cellStyle name="20% - Accent6 4 2 2 2 4 3" xfId="18433" xr:uid="{A6312820-D739-472F-B437-267859B6B7C9}"/>
    <cellStyle name="20% - Accent6 4 2 2 2 5" xfId="28526" xr:uid="{15A254CC-BC4E-485A-A765-B1D251A4C4B3}"/>
    <cellStyle name="20% - Accent6 4 2 2 2 5 2" xfId="19272" xr:uid="{556E6388-E51F-4842-B76A-D5136534C389}"/>
    <cellStyle name="20% - Accent6 4 2 2 2 6" xfId="28518" xr:uid="{74F5BF68-FE42-43C0-AAB1-1A1C51159E6A}"/>
    <cellStyle name="20% - Accent6 4 2 2 3" xfId="31581" xr:uid="{5F201836-993F-4C80-AE35-9EFD1BC67F4C}"/>
    <cellStyle name="20% - Accent6 4 2 2 3 2" xfId="22731" xr:uid="{B2B3E01D-AFF6-43BF-B15D-8A0C29A720CA}"/>
    <cellStyle name="20% - Accent6 4 2 2 3 2 2" xfId="18428" xr:uid="{2BE641E7-E029-4676-AD5C-6CDC59128517}"/>
    <cellStyle name="20% - Accent6 4 2 2 3 2 2 2" xfId="18426" xr:uid="{2ABC028E-485A-4F28-B922-00F589956C85}"/>
    <cellStyle name="20% - Accent6 4 2 2 3 2 2 2 2" xfId="19425" xr:uid="{7093412C-9886-48BE-926B-C7D979241BA9}"/>
    <cellStyle name="20% - Accent6 4 2 2 3 2 2 3" xfId="18422" xr:uid="{3244A38A-2A6B-47D5-B7FE-153BDA533A75}"/>
    <cellStyle name="20% - Accent6 4 2 2 3 2 3" xfId="27151" xr:uid="{E65BA6BB-1B1F-402E-BFFA-1FDDDBD1360E}"/>
    <cellStyle name="20% - Accent6 4 2 2 3 2 3 2" xfId="22204" xr:uid="{8CEF42F0-D778-43D3-A36C-44FF4BBA1CB2}"/>
    <cellStyle name="20% - Accent6 4 2 2 3 2 4" xfId="30784" xr:uid="{E8CDF65C-181C-431A-8D84-4C222DF45919}"/>
    <cellStyle name="20% - Accent6 4 2 2 3 3" xfId="18417" xr:uid="{9006D08E-7E17-491A-8D0F-242B5EB3D06A}"/>
    <cellStyle name="20% - Accent6 4 2 2 3 3 2" xfId="18710" xr:uid="{DB058793-AC0B-4318-A4D1-DF408778CF35}"/>
    <cellStyle name="20% - Accent6 4 2 2 3 3 2 2" xfId="18414" xr:uid="{BAB0FE56-097D-4584-9F89-EE7B7B7A8D66}"/>
    <cellStyle name="20% - Accent6 4 2 2 3 3 3" xfId="27047" xr:uid="{DBC621D5-98B4-4A51-BCC3-65C7FD2BEADC}"/>
    <cellStyle name="20% - Accent6 4 2 2 3 4" xfId="18412" xr:uid="{CC5C0CCD-6903-4F62-AC2D-5160BDCB6798}"/>
    <cellStyle name="20% - Accent6 4 2 2 3 4 2" xfId="18705" xr:uid="{B24FAD27-071A-4CD7-9D37-6F763BDDBE52}"/>
    <cellStyle name="20% - Accent6 4 2 2 3 5" xfId="20381" xr:uid="{3E085FB2-F090-4740-B8CF-11B97492CC64}"/>
    <cellStyle name="20% - Accent6 4 2 2 4" xfId="31384" xr:uid="{9790ADA0-7790-4D76-B88B-CBAAAED468E3}"/>
    <cellStyle name="20% - Accent6 4 2 2 4 2" xfId="8034" xr:uid="{0D2B6F38-7F5E-4E26-B939-76C762989AD6}"/>
    <cellStyle name="20% - Accent6 4 2 2 4 2 2" xfId="8032" xr:uid="{3112D92A-37F4-46CC-A1CC-09A5614B9E7E}"/>
    <cellStyle name="20% - Accent6 4 2 2 4 2 2 2" xfId="18406" xr:uid="{DF54C5CB-2CD7-4870-BD6B-E0DB80ED4B33}"/>
    <cellStyle name="20% - Accent6 4 2 2 4 2 3" xfId="27033" xr:uid="{8E7B9861-C6B3-4F8B-9699-7DEF17FFC183}"/>
    <cellStyle name="20% - Accent6 4 2 2 4 3" xfId="8030" xr:uid="{C30E3182-2728-4DD6-A376-0703D014E7BA}"/>
    <cellStyle name="20% - Accent6 4 2 2 4 3 2" xfId="18693" xr:uid="{8B017446-D248-4138-AC5E-3A4A88B52A17}"/>
    <cellStyle name="20% - Accent6 4 2 2 4 4" xfId="18404" xr:uid="{785DD762-FBCE-44E8-90BC-D26109C5F90B}"/>
    <cellStyle name="20% - Accent6 4 2 2 5" xfId="18400" xr:uid="{A7EBDC4B-C818-4130-A61B-A3F667CD5C0F}"/>
    <cellStyle name="20% - Accent6 4 2 2 5 2" xfId="8026" xr:uid="{4FBD6F19-B2E3-43D9-92E3-26DF448841EC}"/>
    <cellStyle name="20% - Accent6 4 2 2 5 2 2" xfId="18395" xr:uid="{A0BD47C4-8A5E-440C-BFAD-F48E52137E62}"/>
    <cellStyle name="20% - Accent6 4 2 2 5 3" xfId="18479" xr:uid="{52DE6D85-A4DE-4630-92D0-8738D476930B}"/>
    <cellStyle name="20% - Accent6 4 2 2 6" xfId="18394" xr:uid="{B7ED0BC3-CE9B-4B8B-AD70-E12E50395CCC}"/>
    <cellStyle name="20% - Accent6 4 2 2 6 2" xfId="18391" xr:uid="{7A670957-3174-4B2D-802E-E44EF7D8D61C}"/>
    <cellStyle name="20% - Accent6 4 2 2 7" xfId="18385" xr:uid="{7E6D0DCC-7CD8-4D86-8750-6F20951A93E3}"/>
    <cellStyle name="20% - Accent6 4 2 3" xfId="27128" xr:uid="{BBB7B83C-27B7-4A94-AF33-9D1BF89650B6}"/>
    <cellStyle name="20% - Accent6 4 2 3 2" xfId="24260" xr:uid="{13C194FE-AD75-41FE-B244-4FE796752A04}"/>
    <cellStyle name="20% - Accent6 4 2 3 2 2" xfId="26201" xr:uid="{D92C80C2-BD29-403E-88DF-6E06A01B5C79}"/>
    <cellStyle name="20% - Accent6 4 2 3 2 2 2" xfId="30859" xr:uid="{22ADB09B-23CE-44A6-9931-24ADD1C313A3}"/>
    <cellStyle name="20% - Accent6 4 2 3 2 2 2 2" xfId="18626" xr:uid="{F33B2178-9641-4998-9D99-068EC6AA9EDC}"/>
    <cellStyle name="20% - Accent6 4 2 3 2 2 2 2 2" xfId="28488" xr:uid="{518F725B-E059-4376-AC31-441B8C042355}"/>
    <cellStyle name="20% - Accent6 4 2 3 2 2 2 3" xfId="34262" xr:uid="{F33EFC86-423B-4D16-92D0-CBA92C43D408}"/>
    <cellStyle name="20% - Accent6 4 2 3 2 2 3" xfId="30116" xr:uid="{3ABE8C4D-B04F-433D-BDC5-CCC8436387BC}"/>
    <cellStyle name="20% - Accent6 4 2 3 2 2 3 2" xfId="30847" xr:uid="{4606E976-60E5-4CAD-BB8D-0BF6C10E04B4}"/>
    <cellStyle name="20% - Accent6 4 2 3 2 2 4" xfId="31345" xr:uid="{D6A0DC34-F9B3-411C-A77B-57F0DFB5CC58}"/>
    <cellStyle name="20% - Accent6 4 2 3 2 3" xfId="28369" xr:uid="{41ED823A-1543-4259-9415-1CBF66A3213A}"/>
    <cellStyle name="20% - Accent6 4 2 3 2 3 2" xfId="30841" xr:uid="{73EDFEB8-E649-447E-9D67-6BED87D79D63}"/>
    <cellStyle name="20% - Accent6 4 2 3 2 3 2 2" xfId="30839" xr:uid="{393A55E0-3564-4C06-9663-91105616D844}"/>
    <cellStyle name="20% - Accent6 4 2 3 2 3 3" xfId="31332" xr:uid="{F3135EDC-0690-41CE-854A-3B2CC2127364}"/>
    <cellStyle name="20% - Accent6 4 2 3 2 4" xfId="29390" xr:uid="{F222595C-50BF-4D35-8CF4-D1DFFBF08596}"/>
    <cellStyle name="20% - Accent6 4 2 3 2 4 2" xfId="18654" xr:uid="{46A47A1B-F60A-4CD4-9FE9-2B92144171F3}"/>
    <cellStyle name="20% - Accent6 4 2 3 2 5" xfId="26218" xr:uid="{1F588AC0-418B-42F5-9A2D-C62D810919F9}"/>
    <cellStyle name="20% - Accent6 4 2 3 3" xfId="6909" xr:uid="{A5A2845A-2307-424F-BBD0-9080F3FF6476}"/>
    <cellStyle name="20% - Accent6 4 2 3 3 2" xfId="21468" xr:uid="{2F344EFC-E392-4032-93C5-9648E0960BEF}"/>
    <cellStyle name="20% - Accent6 4 2 3 3 2 2" xfId="26923" xr:uid="{0DD9E55F-C45F-44F1-999E-80AE5B6C4B7C}"/>
    <cellStyle name="20% - Accent6 4 2 3 3 2 2 2" xfId="20772" xr:uid="{083EA1B6-A1B1-4DAC-B442-46B505F19400}"/>
    <cellStyle name="20% - Accent6 4 2 3 3 2 3" xfId="26997" xr:uid="{55F5A695-DEC5-4AC9-93F0-C54E7C09E7B8}"/>
    <cellStyle name="20% - Accent6 4 2 3 3 3" xfId="19462" xr:uid="{8FE29746-0192-4E02-A11E-F6B1DE81C834}"/>
    <cellStyle name="20% - Accent6 4 2 3 3 3 2" xfId="30815" xr:uid="{FE4945DF-C146-4B52-829A-19071FE6339D}"/>
    <cellStyle name="20% - Accent6 4 2 3 3 4" xfId="30346" xr:uid="{002404C4-ED43-4D58-8836-DADE33E197F2}"/>
    <cellStyle name="20% - Accent6 4 2 3 4" xfId="26190" xr:uid="{0833EAAA-EC38-464C-82AE-F7D7927609E0}"/>
    <cellStyle name="20% - Accent6 4 2 3 4 2" xfId="8019" xr:uid="{06C0E115-E34D-4F2A-A504-BAAA5C4C9000}"/>
    <cellStyle name="20% - Accent6 4 2 3 4 2 2" xfId="22214" xr:uid="{4E858E9E-B472-4A3D-BA16-4BEE40541715}"/>
    <cellStyle name="20% - Accent6 4 2 3 4 3" xfId="28511" xr:uid="{3051D4AE-242E-4FCF-A36A-F157DCF779C5}"/>
    <cellStyle name="20% - Accent6 4 2 3 5" xfId="27207" xr:uid="{846044FF-B2B3-487F-A0B2-FFD031B8C729}"/>
    <cellStyle name="20% - Accent6 4 2 3 5 2" xfId="28461" xr:uid="{89E3B35B-6C97-400A-85AF-A023F9520501}"/>
    <cellStyle name="20% - Accent6 4 2 3 6" xfId="30800" xr:uid="{D1612052-2865-42EB-A527-9741C9935C7B}"/>
    <cellStyle name="20% - Accent6 4 2 4" xfId="30956" xr:uid="{49EE6260-5ACC-477C-AA50-3D0CFAEE352A}"/>
    <cellStyle name="20% - Accent6 4 2 4 2" xfId="7430" xr:uid="{BA4EB3F3-8BD3-47DF-B6D2-5D257022E61F}"/>
    <cellStyle name="20% - Accent6 4 2 4 2 2" xfId="26166" xr:uid="{B3405598-4D55-4D8B-AE3D-44CF6AA9E850}"/>
    <cellStyle name="20% - Accent6 4 2 4 2 2 2" xfId="31743" xr:uid="{20113BBD-A7C8-4BC4-A758-AF501644FC1F}"/>
    <cellStyle name="20% - Accent6 4 2 4 2 2 2 2" xfId="18700" xr:uid="{1E2A13CF-4C4F-4BAB-97E6-AA5720E727EA}"/>
    <cellStyle name="20% - Accent6 4 2 4 2 2 3" xfId="23632" xr:uid="{E411BB1C-FAE8-4BC9-AA0F-26F52E487690}"/>
    <cellStyle name="20% - Accent6 4 2 4 2 3" xfId="30644" xr:uid="{914C8DF8-B29F-478A-9EB0-BE0ED9E63112}"/>
    <cellStyle name="20% - Accent6 4 2 4 2 3 2" xfId="30640" xr:uid="{A2F24101-BA55-4CC0-9D8D-8B5645DCC30C}"/>
    <cellStyle name="20% - Accent6 4 2 4 2 4" xfId="19637" xr:uid="{AFD0180D-D83E-4F42-8DAB-E078DE66B8F0}"/>
    <cellStyle name="20% - Accent6 4 2 4 3" xfId="26161" xr:uid="{64BF7FCA-1E29-4FD3-A9FF-B41341C0CA13}"/>
    <cellStyle name="20% - Accent6 4 2 4 3 2" xfId="30629" xr:uid="{3D0717C1-2D3A-4C90-8845-84AA0A2A9C59}"/>
    <cellStyle name="20% - Accent6 4 2 4 3 2 2" xfId="30627" xr:uid="{E72DF522-727B-4020-B91B-62604B76AF9C}"/>
    <cellStyle name="20% - Accent6 4 2 4 3 3" xfId="30624" xr:uid="{93C68C6E-72A1-4C70-935D-3107B77B0621}"/>
    <cellStyle name="20% - Accent6 4 2 4 4" xfId="30618" xr:uid="{9D7FDC79-A9FC-4130-98EC-E6DECE7A7B11}"/>
    <cellStyle name="20% - Accent6 4 2 4 4 2" xfId="24695" xr:uid="{66D10384-E20A-49F8-8A43-D27E3CE25116}"/>
    <cellStyle name="20% - Accent6 4 2 4 5" xfId="30613" xr:uid="{F69E2C94-31C7-4A8E-9321-D6D03834AA01}"/>
    <cellStyle name="20% - Accent6 4 2 5" xfId="21343" xr:uid="{678D7A90-FDE5-4531-B071-CA4BC44097C0}"/>
    <cellStyle name="20% - Accent6 4 2 5 2" xfId="26149" xr:uid="{709DF646-0CA2-4CFA-B8F5-3F5D757D3B51}"/>
    <cellStyle name="20% - Accent6 4 2 5 2 2" xfId="30510" xr:uid="{1A194029-8653-47A4-BA81-0D57E90514F2}"/>
    <cellStyle name="20% - Accent6 4 2 5 2 2 2" xfId="24592" xr:uid="{8382E1BD-C901-4FB6-A4BC-B6BD74213E45}"/>
    <cellStyle name="20% - Accent6 4 2 5 2 3" xfId="30506" xr:uid="{CE429B35-13EB-4D02-A51B-B559BCF1509A}"/>
    <cellStyle name="20% - Accent6 4 2 5 3" xfId="30497" xr:uid="{03CE35CA-1B79-4272-BD5A-E432F12A7C55}"/>
    <cellStyle name="20% - Accent6 4 2 5 3 2" xfId="30494" xr:uid="{23DCE611-DE32-4A8F-A29A-58C8221E51C3}"/>
    <cellStyle name="20% - Accent6 4 2 5 4" xfId="30489" xr:uid="{290B7CD3-E0D6-4BD4-9FB5-C0AEB78B3C2C}"/>
    <cellStyle name="20% - Accent6 4 2 6" xfId="18382" xr:uid="{2E919C50-C9BA-4EBA-987F-A5FE239BE93B}"/>
    <cellStyle name="20% - Accent6 4 2 6 2" xfId="31033" xr:uid="{C274F39F-927B-4BC1-B539-589C2D0961E1}"/>
    <cellStyle name="20% - Accent6 4 2 6 2 2" xfId="30458" xr:uid="{11223BBA-339A-4565-949A-A0C453F58F4E}"/>
    <cellStyle name="20% - Accent6 4 2 6 3" xfId="30455" xr:uid="{DFF2EC41-BE32-4969-ACE8-5A36F29838B9}"/>
    <cellStyle name="20% - Accent6 4 2 7" xfId="26056" xr:uid="{A6F62F9B-9487-4AB6-AB84-990A4B5C903A}"/>
    <cellStyle name="20% - Accent6 4 2 7 2" xfId="23475" xr:uid="{66D3B327-2F24-4F70-AA3E-9D809EB638CF}"/>
    <cellStyle name="20% - Accent6 4 2 8" xfId="18381" xr:uid="{892E2BEA-10F1-4274-9925-887D801BA00D}"/>
    <cellStyle name="20% - Accent6 4 2 9" xfId="34572" xr:uid="{84DA81ED-D6A5-4D84-9363-0179CC784E75}"/>
    <cellStyle name="20% - Accent6 4 3" xfId="19133" xr:uid="{0EA3840C-72D1-4FE2-A25C-AF15E7A1E85D}"/>
    <cellStyle name="20% - Accent6 4 3 2" xfId="24511" xr:uid="{25091A5E-E333-4B8B-B97D-BE2785BB8016}"/>
    <cellStyle name="20% - Accent6 4 3 2 2" xfId="26390" xr:uid="{A02D7080-5EB6-4DE2-9ECD-A0EDCD71FB4A}"/>
    <cellStyle name="20% - Accent6 4 3 2 2 2" xfId="18379" xr:uid="{F21CAD2E-3BF2-4BA6-BDB0-1B9992674395}"/>
    <cellStyle name="20% - Accent6 4 3 2 2 2 2" xfId="18069" xr:uid="{12534790-892F-4BEF-A8B6-22287B593381}"/>
    <cellStyle name="20% - Accent6 4 3 2 2 2 2 2" xfId="26800" xr:uid="{46FA488B-EF41-4AC1-AD8A-A08AF68E6FEA}"/>
    <cellStyle name="20% - Accent6 4 3 2 2 2 2 2 2" xfId="26569" xr:uid="{D7065277-C81E-4D16-AC21-23C3AD4ABC27}"/>
    <cellStyle name="20% - Accent6 4 3 2 2 2 2 3" xfId="31090" xr:uid="{417F1A60-4FB6-47EC-9462-EE3F58AF8C2E}"/>
    <cellStyle name="20% - Accent6 4 3 2 2 2 3" xfId="28894" xr:uid="{76AB17E5-AC8A-4A73-B6F0-B628DAB5DCEE}"/>
    <cellStyle name="20% - Accent6 4 3 2 2 2 3 2" xfId="31023" xr:uid="{1F5DF4A1-D95C-45C2-A0DD-5B76EC97C58D}"/>
    <cellStyle name="20% - Accent6 4 3 2 2 2 4" xfId="18063" xr:uid="{C336FF1A-9A98-4CB6-952A-5371E7418FCA}"/>
    <cellStyle name="20% - Accent6 4 3 2 2 3" xfId="18378" xr:uid="{95CE8084-8CC7-4182-A665-D2A94710A145}"/>
    <cellStyle name="20% - Accent6 4 3 2 2 3 2" xfId="18377" xr:uid="{AF506259-82D9-46EC-BEB4-D3FE9BE3EF49}"/>
    <cellStyle name="20% - Accent6 4 3 2 2 3 2 2" xfId="31002" xr:uid="{08A4BC3C-BA2C-4C05-B88C-EFB469621C0E}"/>
    <cellStyle name="20% - Accent6 4 3 2 2 3 3" xfId="18375" xr:uid="{7EF9C018-81FE-4E33-8AA4-3D97163AF85A}"/>
    <cellStyle name="20% - Accent6 4 3 2 2 4" xfId="18373" xr:uid="{44D72A96-32D1-40FB-91CF-C80BE2A7D565}"/>
    <cellStyle name="20% - Accent6 4 3 2 2 4 2" xfId="18372" xr:uid="{8330A69E-7585-4484-9A13-CCB062ADE932}"/>
    <cellStyle name="20% - Accent6 4 3 2 2 5" xfId="33109" xr:uid="{CE74F2CC-B421-4801-B915-434FB765DC1F}"/>
    <cellStyle name="20% - Accent6 4 3 2 3" xfId="30490" xr:uid="{D89F0FC3-4A94-46B6-878C-C55CDB3E86EF}"/>
    <cellStyle name="20% - Accent6 4 3 2 3 2" xfId="13866" xr:uid="{4974AF2F-F810-4D89-91E6-8C5791A000B9}"/>
    <cellStyle name="20% - Accent6 4 3 2 3 2 2" xfId="18370" xr:uid="{BFF8C827-168C-45BE-9E8F-782E765136FD}"/>
    <cellStyle name="20% - Accent6 4 3 2 3 2 2 2" xfId="27807" xr:uid="{E09DB6D8-C8DB-4899-A7B3-CB5E143CAC5D}"/>
    <cellStyle name="20% - Accent6 4 3 2 3 2 3" xfId="17186" xr:uid="{1157F3B6-B0B9-4825-9968-8E0A6CB13EA3}"/>
    <cellStyle name="20% - Accent6 4 3 2 3 3" xfId="13863" xr:uid="{39AB2CCD-32D3-4586-A562-40C9D93BDACA}"/>
    <cellStyle name="20% - Accent6 4 3 2 3 3 2" xfId="18677" xr:uid="{B7FF6038-D197-46C3-A653-A87C3189FBC2}"/>
    <cellStyle name="20% - Accent6 4 3 2 3 4" xfId="13860" xr:uid="{7075E32F-F5D1-4928-B199-5FAB0960CAAC}"/>
    <cellStyle name="20% - Accent6 4 3 2 4" xfId="18366" xr:uid="{2A785A7C-32F5-491E-8025-C98AE519985E}"/>
    <cellStyle name="20% - Accent6 4 3 2 4 2" xfId="13858" xr:uid="{6276D796-4174-4E27-90E4-2ABFC2965215}"/>
    <cellStyle name="20% - Accent6 4 3 2 4 2 2" xfId="17180" xr:uid="{7EBD189E-4C3A-43E2-A30E-38848D5C67D5}"/>
    <cellStyle name="20% - Accent6 4 3 2 4 3" xfId="13853" xr:uid="{94CCA5A7-7462-454E-A27C-879A2D2C0ACD}"/>
    <cellStyle name="20% - Accent6 4 3 2 5" xfId="18364" xr:uid="{6FD199B2-333A-4F2E-9DAB-6AE8AEC74849}"/>
    <cellStyle name="20% - Accent6 4 3 2 5 2" xfId="13851" xr:uid="{CCA3A17F-148D-4B33-8BFC-B835571AA327}"/>
    <cellStyle name="20% - Accent6 4 3 2 6" xfId="18356" xr:uid="{D02D448E-FA52-452D-971E-35884BAFC9CE}"/>
    <cellStyle name="20% - Accent6 4 3 3" xfId="25732" xr:uid="{C7437DA5-F2D1-4FE3-9310-66CB196917B8}"/>
    <cellStyle name="20% - Accent6 4 3 3 2" xfId="24197" xr:uid="{8B084DBB-6E10-4BFF-8E6E-BA0A51E58BDA}"/>
    <cellStyle name="20% - Accent6 4 3 3 2 2" xfId="26136" xr:uid="{349055F0-4544-49FD-9A37-D613D67FA485}"/>
    <cellStyle name="20% - Accent6 4 3 3 2 2 2" xfId="30259" xr:uid="{8CEB3599-8914-4D71-BB67-FE7F984C37AF}"/>
    <cellStyle name="20% - Accent6 4 3 3 2 2 2 2" xfId="11350" xr:uid="{FFD846C4-2B44-4027-9F6D-3A4D6D5BB661}"/>
    <cellStyle name="20% - Accent6 4 3 3 2 2 3" xfId="30255" xr:uid="{7AE12572-9846-4593-BBA1-132D88E83C98}"/>
    <cellStyle name="20% - Accent6 4 3 3 2 3" xfId="30248" xr:uid="{924D4814-777E-4137-B64A-5792DE737A43}"/>
    <cellStyle name="20% - Accent6 4 3 3 2 3 2" xfId="17573" xr:uid="{A5EFAF1A-72C1-4D54-8CDC-2430713A6057}"/>
    <cellStyle name="20% - Accent6 4 3 3 2 4" xfId="33151" xr:uid="{7141F191-7AFC-4CB5-9A1B-7DA7A5CE5AC7}"/>
    <cellStyle name="20% - Accent6 4 3 3 3" xfId="23650" xr:uid="{ACA55B72-0D1A-4E2A-8FB1-EF55338D1231}"/>
    <cellStyle name="20% - Accent6 4 3 3 3 2" xfId="13849" xr:uid="{5825DD23-F995-45D5-8E57-CE12BD57BE5E}"/>
    <cellStyle name="20% - Accent6 4 3 3 3 2 2" xfId="30239" xr:uid="{2FB037E8-A3AE-4665-A149-F06667568974}"/>
    <cellStyle name="20% - Accent6 4 3 3 3 3" xfId="13845" xr:uid="{3307B4CC-FC51-40AE-8F0A-886A4366169C}"/>
    <cellStyle name="20% - Accent6 4 3 3 4" xfId="30230" xr:uid="{8D3334EF-506F-4771-A775-A2DA628C10AF}"/>
    <cellStyle name="20% - Accent6 4 3 3 4 2" xfId="13842" xr:uid="{C9D4AE21-3D91-4FA7-B035-EACCED2CA1E2}"/>
    <cellStyle name="20% - Accent6 4 3 3 5" xfId="28624" xr:uid="{D7385A51-829D-482F-AEAB-4F5760513617}"/>
    <cellStyle name="20% - Accent6 4 3 4" xfId="25730" xr:uid="{55EA617B-A3A3-46D7-B0B6-DE9B348735E7}"/>
    <cellStyle name="20% - Accent6 4 3 4 2" xfId="30098" xr:uid="{A25183B3-7A0B-475E-8D00-A0777A7BACD7}"/>
    <cellStyle name="20% - Accent6 4 3 4 2 2" xfId="30593" xr:uid="{CEE4B2FE-A289-41AE-8280-275340148C6E}"/>
    <cellStyle name="20% - Accent6 4 3 4 2 2 2" xfId="30095" xr:uid="{4F1B9B3B-DE48-4597-BB95-996AE89191DE}"/>
    <cellStyle name="20% - Accent6 4 3 4 2 3" xfId="30771" xr:uid="{168CAE5D-EDB0-496D-AF01-160D5FE979A5}"/>
    <cellStyle name="20% - Accent6 4 3 4 3" xfId="30088" xr:uid="{73ABFC6F-D97B-4C76-951A-8CA56E9ED4A0}"/>
    <cellStyle name="20% - Accent6 4 3 4 3 2" xfId="13839" xr:uid="{7884C4A5-A724-415C-8572-665EC12877E2}"/>
    <cellStyle name="20% - Accent6 4 3 4 4" xfId="30082" xr:uid="{AF29B850-F111-4DCC-89B6-83C0D46F152D}"/>
    <cellStyle name="20% - Accent6 4 3 5" xfId="18349" xr:uid="{56524785-DD16-4677-B3BE-52698A04A1AF}"/>
    <cellStyle name="20% - Accent6 4 3 5 2" xfId="29998" xr:uid="{9383B40F-3280-4D6C-82D4-F369AE67204C}"/>
    <cellStyle name="20% - Accent6 4 3 5 2 2" xfId="30577" xr:uid="{C311E8CE-7B7B-4821-B243-A3A7734C5431}"/>
    <cellStyle name="20% - Accent6 4 3 5 3" xfId="29984" xr:uid="{152BD9D8-0B49-4EA2-A364-CCF1D693A64B}"/>
    <cellStyle name="20% - Accent6 4 3 6" xfId="18344" xr:uid="{165C5EA4-CF43-4333-8D80-1E43523CEDCC}"/>
    <cellStyle name="20% - Accent6 4 3 6 2" xfId="29953" xr:uid="{68D1EC6A-88A3-48C5-B96A-12B85FE95710}"/>
    <cellStyle name="20% - Accent6 4 3 7" xfId="18343" xr:uid="{F0F154D1-B2D7-4295-A6BD-CEF4C8592B5D}"/>
    <cellStyle name="20% - Accent6 4 3 8" xfId="34792" xr:uid="{7B515C4D-2FC1-4559-B0FA-BFA8861473E2}"/>
    <cellStyle name="20% - Accent6 4 4" xfId="15781" xr:uid="{D23287C7-DB9B-4E61-963E-A0900BD5BF23}"/>
    <cellStyle name="20% - Accent6 4 4 2" xfId="18340" xr:uid="{A92A10F0-EC87-4140-B8A3-E0217BC6EB6B}"/>
    <cellStyle name="20% - Accent6 4 4 2 2" xfId="18337" xr:uid="{9B5B5BE9-BB7B-4D1E-AB5D-8D983CC5BB99}"/>
    <cellStyle name="20% - Accent6 4 4 2 2 2" xfId="23294" xr:uid="{F4CF00AC-15E1-49DE-83F7-BC7AF015A626}"/>
    <cellStyle name="20% - Accent6 4 4 2 2 2 2" xfId="18336" xr:uid="{083C85F6-D231-4038-9AAD-993A0DE44A77}"/>
    <cellStyle name="20% - Accent6 4 4 2 2 2 2 2" xfId="30340" xr:uid="{54BE2E5A-C734-4C59-A07F-E55F97B40E44}"/>
    <cellStyle name="20% - Accent6 4 4 2 2 2 3" xfId="18332" xr:uid="{ABF98475-95F3-4E0D-95B3-531894629770}"/>
    <cellStyle name="20% - Accent6 4 4 2 2 3" xfId="18330" xr:uid="{8B9F00AE-705E-4095-BB1B-A901ED594F1B}"/>
    <cellStyle name="20% - Accent6 4 4 2 2 3 2" xfId="18327" xr:uid="{38254BE1-0C7E-4A26-8325-B9E973A9AED3}"/>
    <cellStyle name="20% - Accent6 4 4 2 2 4" xfId="22843" xr:uid="{9AB4FD61-BC5C-4A4C-BAC9-188554DDD189}"/>
    <cellStyle name="20% - Accent6 4 4 2 3" xfId="18325" xr:uid="{6208E419-C7E9-4E54-AFCF-CCE2C1825A42}"/>
    <cellStyle name="20% - Accent6 4 4 2 3 2" xfId="13823" xr:uid="{17536EFB-C522-4441-9A62-3C6B0D4B913A}"/>
    <cellStyle name="20% - Accent6 4 4 2 3 2 2" xfId="16390" xr:uid="{E5DE2A50-159E-4407-A88C-18045F3B8DD6}"/>
    <cellStyle name="20% - Accent6 4 4 2 3 3" xfId="13821" xr:uid="{58AEFB01-BDF6-4A77-8A00-7B85FFA9CDAA}"/>
    <cellStyle name="20% - Accent6 4 4 2 4" xfId="18316" xr:uid="{44A7A380-FABF-4294-95C0-E12D04A070B9}"/>
    <cellStyle name="20% - Accent6 4 4 2 4 2" xfId="13819" xr:uid="{8AAA2AFC-5EF7-4F03-A203-96C04C13D1CB}"/>
    <cellStyle name="20% - Accent6 4 4 2 5" xfId="18312" xr:uid="{CA5E5D38-4D12-4F5B-AA0C-6EB015BA3499}"/>
    <cellStyle name="20% - Accent6 4 4 3" xfId="25724" xr:uid="{FABC147F-87E1-4773-91CC-7EDA980C4DDE}"/>
    <cellStyle name="20% - Accent6 4 4 3 2" xfId="30070" xr:uid="{1AEB24EE-4EEB-441D-BEAE-60F5C4FF4A1B}"/>
    <cellStyle name="20% - Accent6 4 4 3 2 2" xfId="29758" xr:uid="{AB8EDEC8-5DEE-437F-9899-1848E5D67C9B}"/>
    <cellStyle name="20% - Accent6 4 4 3 2 2 2" xfId="25049" xr:uid="{7DEB8F92-8D1E-4999-A4B7-916F7B038CB2}"/>
    <cellStyle name="20% - Accent6 4 4 3 2 3" xfId="29749" xr:uid="{905D7F70-33F0-4C89-834D-51760BC9E9A2}"/>
    <cellStyle name="20% - Accent6 4 4 3 3" xfId="30058" xr:uid="{F9E73E75-5BF5-43F8-8BE2-0F18E2C7D1BB}"/>
    <cellStyle name="20% - Accent6 4 4 3 3 2" xfId="13817" xr:uid="{E99D3B90-0733-48D0-805D-90A42C3B6E04}"/>
    <cellStyle name="20% - Accent6 4 4 3 4" xfId="29740" xr:uid="{EDABD349-887A-4BAA-AC4D-BF102E65C1A3}"/>
    <cellStyle name="20% - Accent6 4 4 4" xfId="18307" xr:uid="{F0801A0D-1BF3-4FC5-9C1F-9F3F3C325101}"/>
    <cellStyle name="20% - Accent6 4 4 4 2" xfId="30045" xr:uid="{EFB2517D-112F-4F3E-90E2-D6D24EB33358}"/>
    <cellStyle name="20% - Accent6 4 4 4 2 2" xfId="30535" xr:uid="{03F789B4-3BCB-4B43-A869-185E4F12E994}"/>
    <cellStyle name="20% - Accent6 4 4 4 3" xfId="29648" xr:uid="{E58758A6-F2C3-4EBB-B68C-C1E60C1742C4}"/>
    <cellStyle name="20% - Accent6 4 4 5" xfId="18305" xr:uid="{2F6C9E4F-0F4A-4888-963D-233B0BFE5803}"/>
    <cellStyle name="20% - Accent6 4 4 5 2" xfId="32169" xr:uid="{5732B03F-0CF5-4268-8F2F-74FCE4A8D959}"/>
    <cellStyle name="20% - Accent6 4 4 6" xfId="13168" xr:uid="{75D3355C-53C2-4F45-A84F-5B2584C46E0E}"/>
    <cellStyle name="20% - Accent6 4 4 7" xfId="34993" xr:uid="{1D422D48-6C71-49D1-A587-D1E36E5FE7A2}"/>
    <cellStyle name="20% - Accent6 4 5" xfId="33850" xr:uid="{4FD23EB5-097D-4FD5-9B69-1BCF20738D6B}"/>
    <cellStyle name="20% - Accent6 4 5 2" xfId="31144" xr:uid="{38507D10-4B8B-4202-83D8-D81EBBF8E23C}"/>
    <cellStyle name="20% - Accent6 4 5 2 2" xfId="18304" xr:uid="{A7D49533-7F2F-4714-A715-63F8CAFF0A34}"/>
    <cellStyle name="20% - Accent6 4 5 2 2 2" xfId="27488" xr:uid="{F7A8406B-DEB2-4F17-8C15-5A4FDEBC6EEB}"/>
    <cellStyle name="20% - Accent6 4 5 2 2 2 2" xfId="32591" xr:uid="{21C66348-85DB-4DA3-AFBF-8B535A2697A2}"/>
    <cellStyle name="20% - Accent6 4 5 2 2 3" xfId="31531" xr:uid="{B642B711-5FA9-46E5-A35E-380BE9EF89CA}"/>
    <cellStyle name="20% - Accent6 4 5 2 3" xfId="24370" xr:uid="{ADCD2C75-4A3F-43F5-9181-E047030E4217}"/>
    <cellStyle name="20% - Accent6 4 5 2 3 2" xfId="13808" xr:uid="{D13C157E-8B16-4195-8F04-0D01ECB8D682}"/>
    <cellStyle name="20% - Accent6 4 5 2 4" xfId="18301" xr:uid="{E464C63B-0076-4B09-B76D-E767705041AE}"/>
    <cellStyle name="20% - Accent6 4 5 3" xfId="33079" xr:uid="{8B8C3DD8-15C8-4B08-BFA0-605E2CC3BAE7}"/>
    <cellStyle name="20% - Accent6 4 5 3 2" xfId="30022" xr:uid="{F44B2D15-B571-4E81-A083-8ED91DF2DCCE}"/>
    <cellStyle name="20% - Accent6 4 5 3 2 2" xfId="29482" xr:uid="{9F1A3D67-1132-454A-BD4B-3A645E7409EE}"/>
    <cellStyle name="20% - Accent6 4 5 3 3" xfId="29472" xr:uid="{4EE7C2FE-BBAF-4E03-A0DC-4D36242F26E5}"/>
    <cellStyle name="20% - Accent6 4 5 4" xfId="32748" xr:uid="{23E49560-5CE5-43EC-8683-BFBE0216FD35}"/>
    <cellStyle name="20% - Accent6 4 5 4 2" xfId="29416" xr:uid="{2874714E-AFF0-4555-976E-49420D9AB979}"/>
    <cellStyle name="20% - Accent6 4 5 5" xfId="32396" xr:uid="{BD92ACE4-AD7C-4E5B-9016-CFA0DB388E92}"/>
    <cellStyle name="20% - Accent6 4 5 6" xfId="35198" xr:uid="{BE497908-B530-41F1-A403-FDD90CE34DC7}"/>
    <cellStyle name="20% - Accent6 4 6" xfId="30797" xr:uid="{9BA37E04-A11C-45C1-8C79-D399E63ACFF8}"/>
    <cellStyle name="20% - Accent6 4 6 2" xfId="30788" xr:uid="{7046AC1D-BF7E-47CA-9D13-8012DA31535A}"/>
    <cellStyle name="20% - Accent6 4 6 2 2" xfId="14245" xr:uid="{7C20A464-5F42-4976-B6CB-A1E8664BFAAA}"/>
    <cellStyle name="20% - Accent6 4 6 2 2 2" xfId="24909" xr:uid="{26CC6B87-5CCC-4217-B95F-FC79DD5D0CA5}"/>
    <cellStyle name="20% - Accent6 4 6 2 3" xfId="18295" xr:uid="{05F554BE-8A14-4D7D-8935-D5B92F785D4D}"/>
    <cellStyle name="20% - Accent6 4 6 3" xfId="9196" xr:uid="{6551E826-02A8-4EC3-BF5E-B511C40A907B}"/>
    <cellStyle name="20% - Accent6 4 6 3 2" xfId="23107" xr:uid="{FACFECD0-AA16-493A-9C46-B710F947C720}"/>
    <cellStyle name="20% - Accent6 4 6 4" xfId="10575" xr:uid="{AD7030E8-2686-45FF-9462-92ED3A674E1D}"/>
    <cellStyle name="20% - Accent6 4 6 5" xfId="35427" xr:uid="{663D9F9C-1390-42EE-9F47-247C9055CBD4}"/>
    <cellStyle name="20% - Accent6 4 7" xfId="32254" xr:uid="{72FC1418-079B-4892-9967-5587582D6556}"/>
    <cellStyle name="20% - Accent6 4 7 2" xfId="26172" xr:uid="{DF3EB485-6BED-4DD1-9063-60BE21CD569F}"/>
    <cellStyle name="20% - Accent6 4 7 2 2" xfId="23097" xr:uid="{11300C22-2A7C-4262-BD53-C97CF14B5248}"/>
    <cellStyle name="20% - Accent6 4 7 3" xfId="5432" xr:uid="{B48B96F8-1DC1-4AE2-A820-6815E4D904C1}"/>
    <cellStyle name="20% - Accent6 4 7 4" xfId="36299" xr:uid="{CD2D1E92-2573-437F-A1A5-E53E4C1139B9}"/>
    <cellStyle name="20% - Accent6 4 8" xfId="32895" xr:uid="{106DBC56-3302-439F-B97F-9955CE8F73CE}"/>
    <cellStyle name="20% - Accent6 4 8 2" xfId="27215" xr:uid="{14295077-3295-4898-9445-907CC7E0CC82}"/>
    <cellStyle name="20% - Accent6 4 8 3" xfId="36585" xr:uid="{11DB91C2-5E47-4CF0-9DDA-B8276CC62F49}"/>
    <cellStyle name="20% - Accent6 4 9" xfId="18286" xr:uid="{53BAB8DA-8295-4569-B456-9371FF3C1CCF}"/>
    <cellStyle name="20% - Accent6 4 9 2" xfId="37470" xr:uid="{3E9B82D8-7625-41C7-BCB9-3340DDB166DC}"/>
    <cellStyle name="20% - Accent6 40" xfId="36105" xr:uid="{FACEFAB2-633B-4C62-B24D-26F4D82670EB}"/>
    <cellStyle name="20% - Accent6 40 2" xfId="37274" xr:uid="{2544022B-ED0C-40FC-B9DE-F5181ABB1B4F}"/>
    <cellStyle name="20% - Accent6 40 3" xfId="38172" xr:uid="{8FC221A9-1D19-44AB-A9AE-D68E41868362}"/>
    <cellStyle name="20% - Accent6 41" xfId="36125" xr:uid="{A299E1F6-C023-4C45-848F-E11ACA9DED93}"/>
    <cellStyle name="20% - Accent6 41 2" xfId="37294" xr:uid="{8DEE26FC-EA61-4B5E-907F-4DC4A20175A1}"/>
    <cellStyle name="20% - Accent6 41 3" xfId="38192" xr:uid="{F8C36BF7-22EE-4F05-A6CA-92461EEE1024}"/>
    <cellStyle name="20% - Accent6 42" xfId="36145" xr:uid="{56688197-8A75-4C3A-9D8D-381EADCB70A2}"/>
    <cellStyle name="20% - Accent6 42 2" xfId="37314" xr:uid="{93C64826-E411-468C-BCB3-BE1B3D40702D}"/>
    <cellStyle name="20% - Accent6 42 3" xfId="38212" xr:uid="{9347E5BA-AC9C-40C2-ACC8-E2181801C7BD}"/>
    <cellStyle name="20% - Accent6 43" xfId="36165" xr:uid="{E76918D4-4B96-4C1D-B6A1-A7C45FD7FF2C}"/>
    <cellStyle name="20% - Accent6 43 2" xfId="37334" xr:uid="{7A3E3476-836C-4657-ABA1-8FDCC0F3EAA9}"/>
    <cellStyle name="20% - Accent6 43 3" xfId="38232" xr:uid="{CF448988-E11F-417A-BC17-9856278401A5}"/>
    <cellStyle name="20% - Accent6 44" xfId="36185" xr:uid="{770D9CBE-4BB1-47AF-8244-9D8D13B68825}"/>
    <cellStyle name="20% - Accent6 44 2" xfId="37354" xr:uid="{778A9B23-8DAE-49DB-95FA-3DDE0DCE71A4}"/>
    <cellStyle name="20% - Accent6 44 3" xfId="38252" xr:uid="{8A139AA3-46EB-40D6-9590-1A8459A3FB8A}"/>
    <cellStyle name="20% - Accent6 45" xfId="36205" xr:uid="{4E853F04-2941-42EB-8CC3-EA0D1D31A89D}"/>
    <cellStyle name="20% - Accent6 45 2" xfId="37374" xr:uid="{D890D49D-9CC5-41FC-B1B2-733886CF3780}"/>
    <cellStyle name="20% - Accent6 45 3" xfId="38272" xr:uid="{0FF47B8E-F6B2-4BEA-BF6B-4DB008B2E073}"/>
    <cellStyle name="20% - Accent6 46" xfId="36225" xr:uid="{E83F0300-E989-4A53-B78F-2B2C645B47EA}"/>
    <cellStyle name="20% - Accent6 46 2" xfId="37392" xr:uid="{1AF61195-FF26-46BF-8026-FF107A624D66}"/>
    <cellStyle name="20% - Accent6 46 3" xfId="38292" xr:uid="{68B0536B-1A26-4735-B189-107C50B9B377}"/>
    <cellStyle name="20% - Accent6 47" xfId="36526" xr:uid="{3261A47F-8BDB-4D80-AB95-89B163F445E0}"/>
    <cellStyle name="20% - Accent6 48" xfId="37411" xr:uid="{E5D85442-0C01-4811-B531-EFBF43F17DF4}"/>
    <cellStyle name="20% - Accent6 5" xfId="274" xr:uid="{0D0F1DD7-DC2F-4B6A-BDCA-4482A2E97CE2}"/>
    <cellStyle name="20% - Accent6 5 10" xfId="18285" xr:uid="{6CEEF30A-3511-4887-B23B-4DBBF11616C3}"/>
    <cellStyle name="20% - Accent6 5 2" xfId="24323" xr:uid="{4CD89D5C-6BB5-4A96-9E1C-2CC52C92D720}"/>
    <cellStyle name="20% - Accent6 5 2 2" xfId="24487" xr:uid="{7D67202F-F07F-41BA-9D4C-4A149801CABC}"/>
    <cellStyle name="20% - Accent6 5 2 2 2" xfId="18282" xr:uid="{79982C09-2EAE-49E3-A865-83B5D24C63A4}"/>
    <cellStyle name="20% - Accent6 5 2 2 2 2" xfId="18281" xr:uid="{60C73BAB-5C33-4CF7-B4DE-DF4A38AD8E70}"/>
    <cellStyle name="20% - Accent6 5 2 2 2 2 2" xfId="18280" xr:uid="{BE00102C-476C-4AB2-80FA-23D5211FFFDD}"/>
    <cellStyle name="20% - Accent6 5 2 2 2 2 2 2" xfId="34081" xr:uid="{CD2A34DF-0353-4126-B102-AB3286052D34}"/>
    <cellStyle name="20% - Accent6 5 2 2 2 2 2 2 2" xfId="18278" xr:uid="{AE0E1F6A-E38C-45E3-A4C5-16375051AF2F}"/>
    <cellStyle name="20% - Accent6 5 2 2 2 2 2 3" xfId="33688" xr:uid="{CF608622-3DF4-43F8-887C-7E0D77B6AB86}"/>
    <cellStyle name="20% - Accent6 5 2 2 2 2 3" xfId="32377" xr:uid="{13544B56-123C-4EBF-989B-A16B311BC532}"/>
    <cellStyle name="20% - Accent6 5 2 2 2 2 3 2" xfId="13282" xr:uid="{446347D2-5806-4E25-B155-1301E125845E}"/>
    <cellStyle name="20% - Accent6 5 2 2 2 2 4" xfId="18277" xr:uid="{218E6DD5-FF50-4AE3-87F4-D7D7DD3F984A}"/>
    <cellStyle name="20% - Accent6 5 2 2 2 3" xfId="18275" xr:uid="{64C131F0-CA17-4EE4-8B7E-E6A2E87EE79A}"/>
    <cellStyle name="20% - Accent6 5 2 2 2 3 2" xfId="18274" xr:uid="{6FC9BE6E-DD65-44D9-BFD5-54472FD649B1}"/>
    <cellStyle name="20% - Accent6 5 2 2 2 3 2 2" xfId="27826" xr:uid="{740AED79-9FD0-4D0F-86CB-38673A95671E}"/>
    <cellStyle name="20% - Accent6 5 2 2 2 3 3" xfId="18271" xr:uid="{DB166ECA-B0CA-4574-A973-0E0681D1AD34}"/>
    <cellStyle name="20% - Accent6 5 2 2 2 4" xfId="18267" xr:uid="{08D19ACE-97DC-44B0-8E8E-BA12CB4B19B8}"/>
    <cellStyle name="20% - Accent6 5 2 2 2 4 2" xfId="27119" xr:uid="{C3E4B829-882D-4F18-BBF3-387DC3EC1FEA}"/>
    <cellStyle name="20% - Accent6 5 2 2 2 5" xfId="26840" xr:uid="{59706425-406B-428A-B6D4-6CB2A4DB67F2}"/>
    <cellStyle name="20% - Accent6 5 2 2 3" xfId="5681" xr:uid="{F335BC52-A211-4637-9FF9-ADACC9495EDF}"/>
    <cellStyle name="20% - Accent6 5 2 2 3 2" xfId="5679" xr:uid="{D846F775-5213-407F-86C6-C1BD3A3DB208}"/>
    <cellStyle name="20% - Accent6 5 2 2 3 2 2" xfId="18263" xr:uid="{27B5FD8F-4DCA-4B3F-956C-42D6F814D3F6}"/>
    <cellStyle name="20% - Accent6 5 2 2 3 2 2 2" xfId="18260" xr:uid="{0E789FE2-0D28-403B-A22C-AD4DA1104CCB}"/>
    <cellStyle name="20% - Accent6 5 2 2 3 2 3" xfId="23742" xr:uid="{46BCC4DB-37E9-44D6-9D82-7E11FB7A3D3D}"/>
    <cellStyle name="20% - Accent6 5 2 2 3 3" xfId="18255" xr:uid="{6D098B02-DA3F-4343-AFA3-509DA89A6755}"/>
    <cellStyle name="20% - Accent6 5 2 2 3 3 2" xfId="18641" xr:uid="{1C8E5C46-DF3F-46C4-9FD2-22F22E7A8EA5}"/>
    <cellStyle name="20% - Accent6 5 2 2 3 4" xfId="18250" xr:uid="{71D84B50-027A-4B74-9491-B99BF0B124B5}"/>
    <cellStyle name="20% - Accent6 5 2 2 4" xfId="18245" xr:uid="{0B7A483F-EFD0-49C5-9F87-A2A30AE1AE39}"/>
    <cellStyle name="20% - Accent6 5 2 2 4 2" xfId="18243" xr:uid="{53F9011A-FEDE-4F41-AB58-73EEF48F06EE}"/>
    <cellStyle name="20% - Accent6 5 2 2 4 2 2" xfId="22076" xr:uid="{ABE96C0C-6C85-46C6-9881-F481ED90CD3A}"/>
    <cellStyle name="20% - Accent6 5 2 2 4 3" xfId="18239" xr:uid="{01D02785-46E3-424F-9BE2-09D61FF74A57}"/>
    <cellStyle name="20% - Accent6 5 2 2 5" xfId="18237" xr:uid="{E21D7027-AB70-4D17-AF41-0B1183A022BD}"/>
    <cellStyle name="20% - Accent6 5 2 2 5 2" xfId="18233" xr:uid="{2D6BC51A-9C61-4459-BB5C-5E88A98D8BAF}"/>
    <cellStyle name="20% - Accent6 5 2 2 6" xfId="18228" xr:uid="{26D4A254-6C63-4191-B91D-0A239BB05DF4}"/>
    <cellStyle name="20% - Accent6 5 2 3" xfId="25719" xr:uid="{D8612277-B2BE-44E0-8FB9-8F86592F6AD6}"/>
    <cellStyle name="20% - Accent6 5 2 3 2" xfId="24118" xr:uid="{F75E23E0-E920-4199-92B5-EC670A60B0D0}"/>
    <cellStyle name="20% - Accent6 5 2 3 2 2" xfId="25987" xr:uid="{AB3F0807-15B6-4C24-AC65-C810B07D760A}"/>
    <cellStyle name="20% - Accent6 5 2 3 2 2 2" xfId="29103" xr:uid="{32A40EF0-E8DC-4782-AC05-CDE5A988C628}"/>
    <cellStyle name="20% - Accent6 5 2 3 2 2 2 2" xfId="26887" xr:uid="{65FA8998-C24A-48D6-BE33-52426151DBE5}"/>
    <cellStyle name="20% - Accent6 5 2 3 2 2 3" xfId="29097" xr:uid="{8D1FC5B1-F576-41FE-A254-4649561FC563}"/>
    <cellStyle name="20% - Accent6 5 2 3 2 3" xfId="29093" xr:uid="{04AC990C-443B-4531-B00C-A6747B3CA78C}"/>
    <cellStyle name="20% - Accent6 5 2 3 2 3 2" xfId="29089" xr:uid="{C8106238-A401-4CB3-B6EF-EA64F8775B6D}"/>
    <cellStyle name="20% - Accent6 5 2 3 2 4" xfId="29086" xr:uid="{7E605EEE-9FF9-4ECD-B982-264B3CBD317B}"/>
    <cellStyle name="20% - Accent6 5 2 3 3" xfId="30777" xr:uid="{4CB90022-694A-4058-AFAB-455C8E73E4EF}"/>
    <cellStyle name="20% - Accent6 5 2 3 3 2" xfId="29075" xr:uid="{318AFABD-7083-4703-9194-DB35AF58FD28}"/>
    <cellStyle name="20% - Accent6 5 2 3 3 2 2" xfId="24292" xr:uid="{610543FB-BD35-4620-9673-4003C7294ED1}"/>
    <cellStyle name="20% - Accent6 5 2 3 3 3" xfId="11131" xr:uid="{AFEE3456-1A72-462C-A075-B6170B769847}"/>
    <cellStyle name="20% - Accent6 5 2 3 4" xfId="31025" xr:uid="{74BEAB35-0E49-4FCF-8F03-1BDE5D2CF9DB}"/>
    <cellStyle name="20% - Accent6 5 2 3 4 2" xfId="26051" xr:uid="{64FADA4E-8D24-4705-AD31-9AF0E855DED8}"/>
    <cellStyle name="20% - Accent6 5 2 3 5" xfId="29048" xr:uid="{FB3BFDCF-5106-4CD5-A7CC-56BF91543BB9}"/>
    <cellStyle name="20% - Accent6 5 2 4" xfId="25713" xr:uid="{1FAD35E3-10EE-4772-8BA4-D94916CA498B}"/>
    <cellStyle name="20% - Accent6 5 2 4 2" xfId="28972" xr:uid="{8C415CBF-5406-4055-AD90-5E6F66544EAF}"/>
    <cellStyle name="20% - Accent6 5 2 4 2 2" xfId="17981" xr:uid="{4D98863C-6788-4DE0-9754-A9A0B358354C}"/>
    <cellStyle name="20% - Accent6 5 2 4 2 2 2" xfId="20558" xr:uid="{1A68F004-F9CF-46B2-9297-D6E64034E147}"/>
    <cellStyle name="20% - Accent6 5 2 4 2 3" xfId="28962" xr:uid="{EC3EB8CE-F7EB-48CA-835F-CC034CF18D03}"/>
    <cellStyle name="20% - Accent6 5 2 4 3" xfId="28956" xr:uid="{CC2FD7B7-DD70-4D01-A17A-589F502211AD}"/>
    <cellStyle name="20% - Accent6 5 2 4 3 2" xfId="28942" xr:uid="{05850CF1-B79E-42D7-A078-8792A2011F9D}"/>
    <cellStyle name="20% - Accent6 5 2 4 4" xfId="28934" xr:uid="{E043B501-927F-4E27-B9B6-ADCD8DC852CE}"/>
    <cellStyle name="20% - Accent6 5 2 5" xfId="18224" xr:uid="{1B36EAB3-7F0F-4645-A949-402FA787AA17}"/>
    <cellStyle name="20% - Accent6 5 2 5 2" xfId="28891" xr:uid="{128090EB-B622-4DF2-BFC9-555FCD2BC08B}"/>
    <cellStyle name="20% - Accent6 5 2 5 2 2" xfId="29431" xr:uid="{7DF7D8E6-C251-4CA3-A02F-F54926AB70B5}"/>
    <cellStyle name="20% - Accent6 5 2 5 3" xfId="28885" xr:uid="{C918F1EE-02DE-4ADE-B660-44D841ABCD32}"/>
    <cellStyle name="20% - Accent6 5 2 6" xfId="18222" xr:uid="{DF367870-7AFC-4679-9E7F-6F995B822519}"/>
    <cellStyle name="20% - Accent6 5 2 6 2" xfId="28859" xr:uid="{95E8600F-1968-4B4A-8AF7-FDE41B1F20AB}"/>
    <cellStyle name="20% - Accent6 5 2 7" xfId="18220" xr:uid="{589C3856-F05F-4CFB-B844-59610FE4EEAA}"/>
    <cellStyle name="20% - Accent6 5 2 8" xfId="34810" xr:uid="{7F7520FF-9D8C-4F55-91CE-9DBAC3F9B0AD}"/>
    <cellStyle name="20% - Accent6 5 3" xfId="18217" xr:uid="{281B10FA-C2BD-4F76-A30E-DE23515F3453}"/>
    <cellStyle name="20% - Accent6 5 3 2" xfId="18213" xr:uid="{9649E87C-18A6-4158-B0EA-900D5CC003E3}"/>
    <cellStyle name="20% - Accent6 5 3 2 2" xfId="19330" xr:uid="{AD2AB86E-0E52-4F87-B5E4-7B9840A22D47}"/>
    <cellStyle name="20% - Accent6 5 3 2 2 2" xfId="24303" xr:uid="{A9F96008-9D60-4405-BB48-31E1096D4A37}"/>
    <cellStyle name="20% - Accent6 5 3 2 2 2 2" xfId="18210" xr:uid="{6FDEF62C-5367-4918-9849-E224117BAC83}"/>
    <cellStyle name="20% - Accent6 5 3 2 2 2 2 2" xfId="29183" xr:uid="{C993E1BE-6C04-40C3-8DEC-287E7D36E7EC}"/>
    <cellStyle name="20% - Accent6 5 3 2 2 2 3" xfId="27715" xr:uid="{08267D1D-50AD-48F4-8F34-9AAE9514D027}"/>
    <cellStyle name="20% - Accent6 5 3 2 2 3" xfId="24299" xr:uid="{8BF86ACB-A0F8-4632-A3F4-A7698A98735F}"/>
    <cellStyle name="20% - Accent6 5 3 2 2 3 2" xfId="18206" xr:uid="{A81488E8-D1DD-4D77-8AC0-EA312EA6FC7C}"/>
    <cellStyle name="20% - Accent6 5 3 2 2 4" xfId="18201" xr:uid="{96D93706-8AC4-438C-91DC-1A00459835A2}"/>
    <cellStyle name="20% - Accent6 5 3 2 3" xfId="5672" xr:uid="{4AE14187-0A83-46F9-BC4F-71737A81AA1D}"/>
    <cellStyle name="20% - Accent6 5 3 2 3 2" xfId="13783" xr:uid="{31519B7C-2700-45B1-9348-503E40C2A3F9}"/>
    <cellStyle name="20% - Accent6 5 3 2 3 2 2" xfId="14984" xr:uid="{ECB1D60A-FDCD-4DFD-9744-A82EF1D352B0}"/>
    <cellStyle name="20% - Accent6 5 3 2 3 3" xfId="13778" xr:uid="{563D5B44-CC2D-45D4-8ED8-A61E15EA503F}"/>
    <cellStyle name="20% - Accent6 5 3 2 4" xfId="18198" xr:uid="{75A48013-90F4-4CBC-9E35-9B9B05853F9F}"/>
    <cellStyle name="20% - Accent6 5 3 2 4 2" xfId="13776" xr:uid="{86BB0DD3-C6DD-422A-AD34-2E2C7E698EBB}"/>
    <cellStyle name="20% - Accent6 5 3 2 5" xfId="18191" xr:uid="{7D94080E-FE05-4BF4-9150-C2F7DDA5D753}"/>
    <cellStyle name="20% - Accent6 5 3 3" xfId="25708" xr:uid="{711016FD-7563-42EB-A2F5-A7297A02F891}"/>
    <cellStyle name="20% - Accent6 5 3 3 2" xfId="23185" xr:uid="{5D5C414F-1106-427F-8ED9-B842050D68DE}"/>
    <cellStyle name="20% - Accent6 5 3 3 2 2" xfId="28743" xr:uid="{262BE302-247D-416B-832B-7168EB7BB655}"/>
    <cellStyle name="20% - Accent6 5 3 3 2 2 2" xfId="28740" xr:uid="{3DCD5748-3B4C-4E58-9885-74FDE5260335}"/>
    <cellStyle name="20% - Accent6 5 3 3 2 3" xfId="28734" xr:uid="{9D03E866-AAC5-4672-A7A8-AAB929E990FB}"/>
    <cellStyle name="20% - Accent6 5 3 3 3" xfId="25251" xr:uid="{33979D36-98ED-4457-AE2C-66CD2B856654}"/>
    <cellStyle name="20% - Accent6 5 3 3 3 2" xfId="28715" xr:uid="{51B7519B-B860-4604-AB70-C2740BA8B5B7}"/>
    <cellStyle name="20% - Accent6 5 3 3 4" xfId="28490" xr:uid="{0848FB0B-2858-4BE9-8880-800B70548AF3}"/>
    <cellStyle name="20% - Accent6 5 3 4" xfId="18185" xr:uid="{E63771D5-1D02-4B6A-B8CC-F8744C1A33AD}"/>
    <cellStyle name="20% - Accent6 5 3 4 2" xfId="25230" xr:uid="{E2AD9DF7-B35E-48E9-A666-7356F9971016}"/>
    <cellStyle name="20% - Accent6 5 3 4 2 2" xfId="23660" xr:uid="{7BB7997B-A9D5-4F54-830C-8BE56BB65749}"/>
    <cellStyle name="20% - Accent6 5 3 4 3" xfId="28481" xr:uid="{839588BA-677C-4858-80FA-A494EF28CEB9}"/>
    <cellStyle name="20% - Accent6 5 3 5" xfId="18182" xr:uid="{FF0A2A2F-F04D-4A9B-92FA-A380C86AFD88}"/>
    <cellStyle name="20% - Accent6 5 3 5 2" xfId="32121" xr:uid="{07572650-9682-4582-BAD4-B9B6B3FC50AE}"/>
    <cellStyle name="20% - Accent6 5 3 6" xfId="18180" xr:uid="{CA747652-A7D7-46A8-9C08-FE3111FE799A}"/>
    <cellStyle name="20% - Accent6 5 3 7" xfId="35012" xr:uid="{A8137251-6FBC-464B-8A41-FB6AD33378A3}"/>
    <cellStyle name="20% - Accent6 5 4" xfId="18178" xr:uid="{2B382040-71A2-404E-B65F-6C040B608589}"/>
    <cellStyle name="20% - Accent6 5 4 2" xfId="23648" xr:uid="{9C6B8F5B-010D-4581-9AFD-8E935046883A}"/>
    <cellStyle name="20% - Accent6 5 4 2 2" xfId="11640" xr:uid="{0D79DE72-36D0-4D78-830C-92AA61F8E4C5}"/>
    <cellStyle name="20% - Accent6 5 4 2 2 2" xfId="24241" xr:uid="{5468F2A7-BD4D-43EF-9206-DBEFC1B05D7E}"/>
    <cellStyle name="20% - Accent6 5 4 2 2 2 2" xfId="18175" xr:uid="{988BAD98-2326-4AEF-8DD7-979569563578}"/>
    <cellStyle name="20% - Accent6 5 4 2 2 3" xfId="21115" xr:uid="{977A473B-1A38-4003-BE7A-37EE3EEC3C36}"/>
    <cellStyle name="20% - Accent6 5 4 2 3" xfId="18172" xr:uid="{DCE6BB3C-18DF-4884-876C-8002A9F1AB83}"/>
    <cellStyle name="20% - Accent6 5 4 2 3 2" xfId="13764" xr:uid="{B8144439-283A-4C58-A776-188445F88D07}"/>
    <cellStyle name="20% - Accent6 5 4 2 4" xfId="15198" xr:uid="{D4FE72CF-B999-41C0-82D7-2A0C39095837}"/>
    <cellStyle name="20% - Accent6 5 4 3" xfId="18163" xr:uid="{8923F185-B528-45C0-AE3E-E1B4752044AA}"/>
    <cellStyle name="20% - Accent6 5 4 3 2" xfId="13376" xr:uid="{9E6D8C82-BD3A-492B-A9BA-1F9103A47FD9}"/>
    <cellStyle name="20% - Accent6 5 4 3 2 2" xfId="28578" xr:uid="{89B397B7-4414-45B4-B672-44A77E8FAF42}"/>
    <cellStyle name="20% - Accent6 5 4 3 3" xfId="7891" xr:uid="{D79D2207-2A30-4ECC-859E-4CA2538D8865}"/>
    <cellStyle name="20% - Accent6 5 4 4" xfId="18162" xr:uid="{20C75CB7-E0AC-4707-B8F0-8ACBA1088C42}"/>
    <cellStyle name="20% - Accent6 5 4 4 2" xfId="8003" xr:uid="{5C6BB7E9-9195-4272-872D-B99847FEA85F}"/>
    <cellStyle name="20% - Accent6 5 4 5" xfId="18160" xr:uid="{710B169A-4122-4FDB-B5B4-0E1B87471D86}"/>
    <cellStyle name="20% - Accent6 5 4 6" xfId="35218" xr:uid="{A6C43784-3DA6-4CDA-895C-8248D4B6F1DB}"/>
    <cellStyle name="20% - Accent6 5 5" xfId="33545" xr:uid="{CB2616AE-05FB-4236-9B69-614ABFFBFF1D}"/>
    <cellStyle name="20% - Accent6 5 5 2" xfId="32998" xr:uid="{AB142232-2C40-45E8-BDFE-EBDB7CCEA94E}"/>
    <cellStyle name="20% - Accent6 5 5 2 2" xfId="18158" xr:uid="{3194C006-3820-4EA1-B9BC-D7C6B6F0FD09}"/>
    <cellStyle name="20% - Accent6 5 5 2 2 2" xfId="30393" xr:uid="{342BD787-DEBE-479B-94E4-7703290C75A9}"/>
    <cellStyle name="20% - Accent6 5 5 2 3" xfId="21905" xr:uid="{B3174DE8-4BF9-4256-A6DE-F0CC19C942CA}"/>
    <cellStyle name="20% - Accent6 5 5 3" xfId="29377" xr:uid="{916136A7-AC26-48A8-83DA-D8729528F5CB}"/>
    <cellStyle name="20% - Accent6 5 5 3 2" xfId="29364" xr:uid="{7AF2E342-5C61-4BAD-8DD0-889C4828F2CD}"/>
    <cellStyle name="20% - Accent6 5 5 4" xfId="31258" xr:uid="{058DC5A0-8CF6-4F1D-B89F-5565359D1596}"/>
    <cellStyle name="20% - Accent6 5 5 5" xfId="35447" xr:uid="{62F1BC99-68A7-4C21-8182-3BA5FB237029}"/>
    <cellStyle name="20% - Accent6 5 6" xfId="24790" xr:uid="{CE501435-F243-484C-A1FE-E95C71B30A62}"/>
    <cellStyle name="20% - Accent6 5 6 2" xfId="32331" xr:uid="{2B6E098F-C3A7-49BC-A582-4931A5891D1B}"/>
    <cellStyle name="20% - Accent6 5 6 2 2" xfId="18151" xr:uid="{7B8BA890-F58C-4F2F-AAA1-A6C9A7AFA122}"/>
    <cellStyle name="20% - Accent6 5 6 3" xfId="5429" xr:uid="{1D95A4A2-03D2-4E27-94D9-8A10B841ED2C}"/>
    <cellStyle name="20% - Accent6 5 6 4" xfId="36319" xr:uid="{2A93B3F4-8F92-4FB2-A85A-2D62FFB1E252}"/>
    <cellStyle name="20% - Accent6 5 7" xfId="32230" xr:uid="{574C8907-EB25-4662-928B-B049A4623D39}"/>
    <cellStyle name="20% - Accent6 5 7 2" xfId="18142" xr:uid="{AD1B1B6E-7287-48DC-B7B2-09C4A43E2A56}"/>
    <cellStyle name="20% - Accent6 5 7 3" xfId="36605" xr:uid="{F5910564-E746-465E-A13D-E17A3C490962}"/>
    <cellStyle name="20% - Accent6 5 8" xfId="18139" xr:uid="{88947C2C-1366-4498-8A6D-95117128F97E}"/>
    <cellStyle name="20% - Accent6 5 8 2" xfId="37490" xr:uid="{893198CD-2CB4-42F1-A78A-A3342874D886}"/>
    <cellStyle name="20% - Accent6 5 9" xfId="34586" xr:uid="{6DD8A729-8B3D-4B83-B221-4F240B85F422}"/>
    <cellStyle name="20% - Accent6 6" xfId="294" xr:uid="{3DEC9033-5712-4FD8-AD8D-16135E0252D5}"/>
    <cellStyle name="20% - Accent6 6 2" xfId="18131" xr:uid="{C1801D11-C64E-4E5A-AA65-CDA8BA223197}"/>
    <cellStyle name="20% - Accent6 6 2 2" xfId="18124" xr:uid="{DF9DB6B2-ADE7-4732-B7F7-2868F8B3D426}"/>
    <cellStyle name="20% - Accent6 6 2 2 2" xfId="32989" xr:uid="{BADA86E2-D8F3-408F-B298-D88068622399}"/>
    <cellStyle name="20% - Accent6 6 2 2 2 2" xfId="31129" xr:uid="{E445B305-178C-4F82-BD10-3E9C41F48B7D}"/>
    <cellStyle name="20% - Accent6 6 2 2 2 2 2" xfId="27886" xr:uid="{F0254194-FB4B-4D79-8A8E-E813A35AC7D6}"/>
    <cellStyle name="20% - Accent6 6 2 2 2 2 2 2" xfId="22778" xr:uid="{CAC0AFD9-CF9F-4DC6-AA73-920FE1C0481D}"/>
    <cellStyle name="20% - Accent6 6 2 2 2 2 3" xfId="27874" xr:uid="{C6BB00B3-BFFE-4F31-B03E-86EF7B69B66D}"/>
    <cellStyle name="20% - Accent6 6 2 2 2 3" xfId="27865" xr:uid="{748A671E-CA72-40B3-A67F-49648CD35BDE}"/>
    <cellStyle name="20% - Accent6 6 2 2 2 3 2" xfId="27862" xr:uid="{ADC1E171-CB4E-4668-B7B6-AF1FF4C0C53E}"/>
    <cellStyle name="20% - Accent6 6 2 2 2 4" xfId="31397" xr:uid="{186AC7EF-3650-4D05-841A-3F44D403BEF8}"/>
    <cellStyle name="20% - Accent6 6 2 2 3" xfId="15537" xr:uid="{682C425B-C094-4DBE-83ED-E510EA4AE716}"/>
    <cellStyle name="20% - Accent6 6 2 2 3 2" xfId="13894" xr:uid="{6DC517F6-B637-463A-88CD-103F5A2F5BAD}"/>
    <cellStyle name="20% - Accent6 6 2 2 3 2 2" xfId="23037" xr:uid="{1C153133-4CA4-4B3D-86CA-FE3C943D4F84}"/>
    <cellStyle name="20% - Accent6 6 2 2 3 3" xfId="22449" xr:uid="{A437A831-C1AB-498E-B94E-AE5DF9F4ED95}"/>
    <cellStyle name="20% - Accent6 6 2 2 4" xfId="26365" xr:uid="{1AA2D5D2-8B10-4A15-B152-0F5E137546D6}"/>
    <cellStyle name="20% - Accent6 6 2 2 4 2" xfId="22112" xr:uid="{8EBFDF0A-E6B0-41DB-A6E1-A36FF452A369}"/>
    <cellStyle name="20% - Accent6 6 2 2 5" xfId="27825" xr:uid="{339B753B-BD90-4B63-B457-9339F6EC8301}"/>
    <cellStyle name="20% - Accent6 6 2 3" xfId="32260" xr:uid="{4912B358-8E90-4030-8992-0A5B3FE1C7A9}"/>
    <cellStyle name="20% - Accent6 6 2 3 2" xfId="23190" xr:uid="{2552DE37-D873-42F8-BCEF-7704F26F5A47}"/>
    <cellStyle name="20% - Accent6 6 2 3 2 2" xfId="27792" xr:uid="{768DB1AE-1FE8-4CD9-92D4-38CB5634E578}"/>
    <cellStyle name="20% - Accent6 6 2 3 2 2 2" xfId="28352" xr:uid="{CCCEB354-C383-4FE2-8C01-61A4AB608ED0}"/>
    <cellStyle name="20% - Accent6 6 2 3 2 3" xfId="27787" xr:uid="{B79B4FF1-A695-44CF-B3B8-1EFA269A2612}"/>
    <cellStyle name="20% - Accent6 6 2 3 3" xfId="15532" xr:uid="{D183C543-0FCB-4645-A768-F336AA3B9093}"/>
    <cellStyle name="20% - Accent6 6 2 3 3 2" xfId="27762" xr:uid="{B000C414-DE94-4A4F-8E19-DE3BD3420BAA}"/>
    <cellStyle name="20% - Accent6 6 2 3 4" xfId="23369" xr:uid="{4E285910-6E6A-4A9B-934B-43BEAFB86F9F}"/>
    <cellStyle name="20% - Accent6 6 2 4" xfId="18119" xr:uid="{235BFE8C-0678-4B3F-A7C9-26262D2BD7F3}"/>
    <cellStyle name="20% - Accent6 6 2 4 2" xfId="27735" xr:uid="{FEDC8F59-4697-4888-89AA-60BF3210F0EF}"/>
    <cellStyle name="20% - Accent6 6 2 4 2 2" xfId="33053" xr:uid="{83557D7C-A484-4D8A-9D14-AAA82CE07BB6}"/>
    <cellStyle name="20% - Accent6 6 2 4 3" xfId="21054" xr:uid="{C77F59E5-DF9E-4BBE-B472-15E5D38B6201}"/>
    <cellStyle name="20% - Accent6 6 2 5" xfId="33695" xr:uid="{F0BA4CEF-339A-42DF-BDC6-6232943A2E8A}"/>
    <cellStyle name="20% - Accent6 6 2 5 2" xfId="7843" xr:uid="{0428A98F-3966-4F69-9DDC-3274B4E8333F}"/>
    <cellStyle name="20% - Accent6 6 2 6" xfId="18117" xr:uid="{C486A1E9-F116-46A8-96EE-65C718DD2B0A}"/>
    <cellStyle name="20% - Accent6 6 2 7" xfId="34829" xr:uid="{686574A7-4C21-420E-B9B0-15D1C3298E0E}"/>
    <cellStyle name="20% - Accent6 6 3" xfId="18112" xr:uid="{2773ADEF-E8AF-49F5-A477-CFD56BFBE08E}"/>
    <cellStyle name="20% - Accent6 6 3 2" xfId="18107" xr:uid="{7F8EF405-F4CF-4C77-80EE-EDDD4C3FDC79}"/>
    <cellStyle name="20% - Accent6 6 3 2 2" xfId="30302" xr:uid="{4767D76C-7335-4814-8686-197AB8081CD2}"/>
    <cellStyle name="20% - Accent6 6 3 2 2 2" xfId="33303" xr:uid="{89497A04-D06D-4964-A1AD-598184AC03FB}"/>
    <cellStyle name="20% - Accent6 6 3 2 2 2 2" xfId="33608" xr:uid="{9C888FC3-8934-4CAE-9D21-A755317FAAAD}"/>
    <cellStyle name="20% - Accent6 6 3 2 2 3" xfId="27336" xr:uid="{23FB4CE0-0648-4D0E-90CD-BD192E93AFB4}"/>
    <cellStyle name="20% - Accent6 6 3 2 3" xfId="15510" xr:uid="{7A74941C-3EC4-4C0C-8337-92C1C843EB3C}"/>
    <cellStyle name="20% - Accent6 6 3 2 3 2" xfId="13731" xr:uid="{CBCAE76A-B448-4AA8-A80B-B0CC005DA700}"/>
    <cellStyle name="20% - Accent6 6 3 2 4" xfId="28248" xr:uid="{4DC07862-8B93-4BC5-94A0-DB8166F2D874}"/>
    <cellStyle name="20% - Accent6 6 3 3" xfId="18104" xr:uid="{0AEA83E2-7274-4C70-BE84-515D03933300}"/>
    <cellStyle name="20% - Accent6 6 3 3 2" xfId="23168" xr:uid="{CAC6F7BF-F533-4225-B7E5-E9BE857AD510}"/>
    <cellStyle name="20% - Accent6 6 3 3 2 2" xfId="27314" xr:uid="{46F8FA91-0583-4A30-9B51-51AB591AC95D}"/>
    <cellStyle name="20% - Accent6 6 3 3 3" xfId="21422" xr:uid="{8FAF7B86-BBA0-4140-B68A-765F66419EF9}"/>
    <cellStyle name="20% - Accent6 6 3 4" xfId="18103" xr:uid="{E68035EA-70F2-49C9-8F9F-5A057860D281}"/>
    <cellStyle name="20% - Accent6 6 3 4 2" xfId="7838" xr:uid="{B2AC7677-EF6E-4437-9310-1EE761CEFDFD}"/>
    <cellStyle name="20% - Accent6 6 3 5" xfId="18102" xr:uid="{5093A076-6BCA-4349-83DF-1982949781A3}"/>
    <cellStyle name="20% - Accent6 6 3 6" xfId="35031" xr:uid="{917E241C-069D-44CC-9772-DC1B37571830}"/>
    <cellStyle name="20% - Accent6 6 4" xfId="18098" xr:uid="{48A4574E-5DAA-4A27-85F8-8FF5F656E8DB}"/>
    <cellStyle name="20% - Accent6 6 4 2" xfId="19150" xr:uid="{B2BFB3A9-AE05-43D1-A2F8-BCE3A6572988}"/>
    <cellStyle name="20% - Accent6 6 4 2 2" xfId="22411" xr:uid="{173D15A6-E61E-4257-9112-6E69DB72873A}"/>
    <cellStyle name="20% - Accent6 6 4 2 2 2" xfId="22406" xr:uid="{65E6243C-AE05-4742-9F35-C60DA330DE0C}"/>
    <cellStyle name="20% - Accent6 6 4 2 3" xfId="22360" xr:uid="{E91CE02A-4B7C-4AC6-8198-79BD991D5B8F}"/>
    <cellStyle name="20% - Accent6 6 4 3" xfId="19147" xr:uid="{5EABBDBA-8356-4EF6-98CB-59D0A5CC3CBF}"/>
    <cellStyle name="20% - Accent6 6 4 3 2" xfId="7836" xr:uid="{1F37EBF6-3970-4091-A12B-01372B5649DD}"/>
    <cellStyle name="20% - Accent6 6 4 4" xfId="18096" xr:uid="{513253CC-138F-4B66-B530-EA28C2181CF9}"/>
    <cellStyle name="20% - Accent6 6 4 5" xfId="35237" xr:uid="{8D3D73A4-25F2-4416-90F7-85F86B109F9C}"/>
    <cellStyle name="20% - Accent6 6 5" xfId="29898" xr:uid="{C88BAA8A-3E2F-4D50-85D3-6EEFC364AB41}"/>
    <cellStyle name="20% - Accent6 6 5 2" xfId="32301" xr:uid="{FB2B733F-83A6-485C-85AE-0C83B862BE86}"/>
    <cellStyle name="20% - Accent6 6 5 2 2" xfId="7677" xr:uid="{3D843480-24AE-44F0-A455-7D966E04AA85}"/>
    <cellStyle name="20% - Accent6 6 5 3" xfId="6072" xr:uid="{3A1B7FC7-BF41-482B-A5B2-97156B21D50F}"/>
    <cellStyle name="20% - Accent6 6 5 4" xfId="35466" xr:uid="{54E23EF2-2860-4144-A7C3-C9644FC0A681}"/>
    <cellStyle name="20% - Accent6 6 6" xfId="32010" xr:uid="{CC664AB4-1F7C-46F3-80D5-B13805186072}"/>
    <cellStyle name="20% - Accent6 6 6 2" xfId="18943" xr:uid="{2CD86827-2709-422E-8DCE-579C9BD7CCBC}"/>
    <cellStyle name="20% - Accent6 6 6 3" xfId="36338" xr:uid="{8771F411-CADA-4A6F-91DA-0FC6F64E451B}"/>
    <cellStyle name="20% - Accent6 6 7" xfId="18092" xr:uid="{AA953377-28A5-4ECA-BC55-0EA13286DD1A}"/>
    <cellStyle name="20% - Accent6 6 7 2" xfId="36624" xr:uid="{97C588F8-10C1-403A-A452-CA777AB1BB40}"/>
    <cellStyle name="20% - Accent6 6 8" xfId="34600" xr:uid="{EC2DABA2-0371-4599-894C-7B7239CF83F2}"/>
    <cellStyle name="20% - Accent6 6 9" xfId="18137" xr:uid="{5A2B21A2-CBFA-4660-9D4D-F630F295E85E}"/>
    <cellStyle name="20% - Accent6 7" xfId="314" xr:uid="{05B15A7F-0BE7-40B0-8BA6-41D00F2A85D9}"/>
    <cellStyle name="20% - Accent6 7 2" xfId="9718" xr:uid="{A48CF12B-5CD0-443A-9E77-40729C174F79}"/>
    <cellStyle name="20% - Accent6 7 2 2" xfId="18090" xr:uid="{579C6D7B-A1A6-4208-B90B-CCCFB315F009}"/>
    <cellStyle name="20% - Accent6 7 2 2 2" xfId="20058" xr:uid="{1930581D-6A1C-4961-858C-0E1605860031}"/>
    <cellStyle name="20% - Accent6 7 2 2 2 2" xfId="34194" xr:uid="{44CD9CE9-6253-43C0-BE8F-E1A79A8AC5DA}"/>
    <cellStyle name="20% - Accent6 7 2 2 2 2 2" xfId="27544" xr:uid="{E0C86F3A-EA5F-42F3-9EDB-8A06E1BFEBB3}"/>
    <cellStyle name="20% - Accent6 7 2 2 2 3" xfId="18085" xr:uid="{E0263C95-8D6F-4227-AB0F-2333E6A90FC3}"/>
    <cellStyle name="20% - Accent6 7 2 2 3" xfId="15499" xr:uid="{C3816812-2F2F-4CA2-8483-7C52349FA86D}"/>
    <cellStyle name="20% - Accent6 7 2 2 3 2" xfId="18084" xr:uid="{967293AC-B3F0-41F2-BCFD-AC3210B46848}"/>
    <cellStyle name="20% - Accent6 7 2 2 4" xfId="18081" xr:uid="{8A9C80B6-ABD8-49C1-9B25-41008C9A49A2}"/>
    <cellStyle name="20% - Accent6 7 2 3" xfId="18074" xr:uid="{4558E621-126A-4B33-AB56-C35F1E46869B}"/>
    <cellStyle name="20% - Accent6 7 2 3 2" xfId="28074" xr:uid="{D88184FB-01F7-477C-934F-55A4EB20697A}"/>
    <cellStyle name="20% - Accent6 7 2 3 2 2" xfId="28069" xr:uid="{10C3D373-423D-4A4A-A1A0-C65FEC5DA678}"/>
    <cellStyle name="20% - Accent6 7 2 3 3" xfId="28062" xr:uid="{E2D84FD0-AD64-4551-8632-F4F6A9A7AD5D}"/>
    <cellStyle name="20% - Accent6 7 2 4" xfId="8915" xr:uid="{FCB91E30-98E2-4092-ACA7-A5F9608DDC4F}"/>
    <cellStyle name="20% - Accent6 7 2 4 2" xfId="13117" xr:uid="{340C127C-7F12-4867-9333-BB4F7D30CC25}"/>
    <cellStyle name="20% - Accent6 7 2 5" xfId="14576" xr:uid="{21DB2979-297D-42D5-AFEE-59B29A8C8FB7}"/>
    <cellStyle name="20% - Accent6 7 2 6" xfId="34848" xr:uid="{A312C676-4F8F-4FE0-BEEA-8BC2467B9EB5}"/>
    <cellStyle name="20% - Accent6 7 3" xfId="9714" xr:uid="{79E30B9E-83F1-446C-BD26-76AA08768AAA}"/>
    <cellStyle name="20% - Accent6 7 3 2" xfId="31863" xr:uid="{A3134DB1-64D2-4DAB-9EEA-2DEF51F1423A}"/>
    <cellStyle name="20% - Accent6 7 3 2 2" xfId="30285" xr:uid="{E158A4A3-A9BE-4D05-9A75-9DC86D1C3409}"/>
    <cellStyle name="20% - Accent6 7 3 2 2 2" xfId="33107" xr:uid="{BAB6845A-C455-447E-8B59-7A0BA40E2557}"/>
    <cellStyle name="20% - Accent6 7 3 2 3" xfId="22188" xr:uid="{3A6D4CB8-1C3B-4DF6-BC1A-2613471575F8}"/>
    <cellStyle name="20% - Accent6 7 3 3" xfId="18071" xr:uid="{A26B0DCB-E023-41E0-ACBA-1141AF90D0B0}"/>
    <cellStyle name="20% - Accent6 7 3 3 2" xfId="7815" xr:uid="{4CA57597-7A0F-4F6F-8634-84CE04BE5939}"/>
    <cellStyle name="20% - Accent6 7 3 4" xfId="14569" xr:uid="{ADA0D06D-C295-4F95-9758-88E863591643}"/>
    <cellStyle name="20% - Accent6 7 3 5" xfId="35050" xr:uid="{DE218146-BD01-464B-AF53-5B2BD1647696}"/>
    <cellStyle name="20% - Accent6 7 4" xfId="18070" xr:uid="{8BE26AFC-11C8-4D8A-9319-EB2AA45F8ECE}"/>
    <cellStyle name="20% - Accent6 7 4 2" xfId="19104" xr:uid="{8C75F0B3-BF8C-46D2-AD13-8CDC3E8D6398}"/>
    <cellStyle name="20% - Accent6 7 4 2 2" xfId="18830" xr:uid="{B54B3180-E076-45D0-9815-5D2EB93E9591}"/>
    <cellStyle name="20% - Accent6 7 4 3" xfId="18066" xr:uid="{E52C224A-A95D-4C88-B600-69436395C73B}"/>
    <cellStyle name="20% - Accent6 7 4 4" xfId="35257" xr:uid="{E3AF0F6B-2245-4D0B-AAAE-AF8459876423}"/>
    <cellStyle name="20% - Accent6 7 5" xfId="28893" xr:uid="{AA08FE33-C746-466E-9983-9F2DC860A19E}"/>
    <cellStyle name="20% - Accent6 7 5 2" xfId="18065" xr:uid="{1FC63889-54CA-4ED9-A1B0-E26B09F39861}"/>
    <cellStyle name="20% - Accent6 7 5 3" xfId="35486" xr:uid="{929765A9-3AA7-4902-9621-1AB58964FBD9}"/>
    <cellStyle name="20% - Accent6 7 6" xfId="18064" xr:uid="{840B331F-5A65-4256-A617-995FAAD86502}"/>
    <cellStyle name="20% - Accent6 7 6 2" xfId="36358" xr:uid="{DF20363D-796D-42E0-B1F8-7DA8E04D973C}"/>
    <cellStyle name="20% - Accent6 7 7" xfId="34614" xr:uid="{1E6991EE-2B49-4856-A642-9A769BFD894A}"/>
    <cellStyle name="20% - Accent6 7 8" xfId="9721" xr:uid="{51314458-CB4D-48EB-B571-C913736D7A56}"/>
    <cellStyle name="20% - Accent6 7 8 2" xfId="37516" xr:uid="{A1BA6A98-D5C8-476A-BB45-CEE507D4427E}"/>
    <cellStyle name="20% - Accent6 8" xfId="334" xr:uid="{4744010E-38F0-4605-8332-1AE77A88CDAD}"/>
    <cellStyle name="20% - Accent6 8 2" xfId="9706" xr:uid="{27ADD52D-13CA-42DE-9940-2A1F573E1286}"/>
    <cellStyle name="20% - Accent6 8 2 2" xfId="18061" xr:uid="{56EEE828-0834-43E5-830E-53E8426FFB2D}"/>
    <cellStyle name="20% - Accent6 8 2 2 2" xfId="19991" xr:uid="{99EA2951-FF0C-4E1E-BB1E-25BF8E7CA542}"/>
    <cellStyle name="20% - Accent6 8 2 2 2 2" xfId="19716" xr:uid="{AADBA069-117C-44A2-BB18-1DCCE8FD3C89}"/>
    <cellStyle name="20% - Accent6 8 2 2 3" xfId="18059" xr:uid="{35EA8F1F-FD7E-43FA-A119-989336BC0C8F}"/>
    <cellStyle name="20% - Accent6 8 2 3" xfId="18047" xr:uid="{2B17BFF6-548E-4A18-B6B6-AE3664FEE99E}"/>
    <cellStyle name="20% - Accent6 8 2 3 2" xfId="7809" xr:uid="{41E2BCF0-5496-405F-BA43-65587D61537D}"/>
    <cellStyle name="20% - Accent6 8 2 4" xfId="14561" xr:uid="{2D7F90D8-5313-4CC9-9903-4EA9FD8AD386}"/>
    <cellStyle name="20% - Accent6 8 2 5" xfId="34867" xr:uid="{54F6A8F7-20AE-4B3E-97F5-EE54226E416C}"/>
    <cellStyle name="20% - Accent6 8 3" xfId="28786" xr:uid="{7FBF7DC3-5F2F-4A63-9323-0BC9609B6606}"/>
    <cellStyle name="20% - Accent6 8 3 2" xfId="18045" xr:uid="{32E572FD-21D1-4DD8-9E8C-E158C97C417E}"/>
    <cellStyle name="20% - Accent6 8 3 2 2" xfId="32915" xr:uid="{C2AEC957-999C-4A70-9F4E-EB697C8338E8}"/>
    <cellStyle name="20% - Accent6 8 3 3" xfId="18044" xr:uid="{3EC7255C-F941-40C3-A8BE-FE0F6DD24F0A}"/>
    <cellStyle name="20% - Accent6 8 3 4" xfId="35069" xr:uid="{BB3D790A-70D6-4E5D-B354-E24F0E5B1365}"/>
    <cellStyle name="20% - Accent6 8 4" xfId="18376" xr:uid="{E2F93D10-5292-4DA3-A64D-3C0C56535F16}"/>
    <cellStyle name="20% - Accent6 8 4 2" xfId="18043" xr:uid="{27BE999F-F626-41F8-A45E-6277A4C11CC6}"/>
    <cellStyle name="20% - Accent6 8 4 3" xfId="35276" xr:uid="{B47DE004-17F4-42E3-A910-F4C3961385F5}"/>
    <cellStyle name="20% - Accent6 8 5" xfId="18374" xr:uid="{F5C129E4-9F42-46A4-AE9F-F2616D4E5731}"/>
    <cellStyle name="20% - Accent6 8 5 2" xfId="35505" xr:uid="{B4817EED-CDD9-48B5-BFD1-9FD75AC8A5F2}"/>
    <cellStyle name="20% - Accent6 8 6" xfId="34628" xr:uid="{79920D50-2CE5-4C2F-8E69-A612AF57B42E}"/>
    <cellStyle name="20% - Accent6 8 7" xfId="9711" xr:uid="{8143357F-E3FF-4DE8-91BB-2C281D4317BC}"/>
    <cellStyle name="20% - Accent6 8 7 2" xfId="36650" xr:uid="{0B98E81D-B5E0-454A-B7E8-2F6A11A48755}"/>
    <cellStyle name="20% - Accent6 8 8" xfId="37535" xr:uid="{34EF7370-41E5-40D7-8F27-D7FDC982AC30}"/>
    <cellStyle name="20% - Accent6 9" xfId="354" xr:uid="{F8787E82-9BBC-4F60-B4F3-F9A95379FFAF}"/>
    <cellStyle name="20% - Accent6 9 2" xfId="18042" xr:uid="{78B6EC71-006C-4C4F-B070-8C8CC187963E}"/>
    <cellStyle name="20% - Accent6 9 2 2" xfId="18040" xr:uid="{3DCA08BB-0AAA-464B-8355-E06AE0B555DD}"/>
    <cellStyle name="20% - Accent6 9 2 2 2" xfId="18039" xr:uid="{CF2F5C59-A0A3-4CB2-B298-403451433D24}"/>
    <cellStyle name="20% - Accent6 9 2 3" xfId="18034" xr:uid="{1A977AC0-4FA5-4915-9E4F-7CF129F96465}"/>
    <cellStyle name="20% - Accent6 9 2 4" xfId="34887" xr:uid="{F4047E97-2400-4029-8B00-DE4E46170386}"/>
    <cellStyle name="20% - Accent6 9 3" xfId="13519" xr:uid="{EF08ABDA-D970-4904-9435-6292039E8C07}"/>
    <cellStyle name="20% - Accent6 9 3 2" xfId="18033" xr:uid="{09091B5E-3272-445E-9848-B0A65D62556B}"/>
    <cellStyle name="20% - Accent6 9 3 3" xfId="35088" xr:uid="{1B1E879F-59D7-48BF-9E73-E5C6B43B6FE8}"/>
    <cellStyle name="20% - Accent6 9 4" xfId="18371" xr:uid="{431F5EB7-6846-488D-A7E8-0CA95F982B73}"/>
    <cellStyle name="20% - Accent6 9 4 2" xfId="35296" xr:uid="{3B4F678B-2266-4D8D-8257-BE48EA79D26B}"/>
    <cellStyle name="20% - Accent6 9 5" xfId="34642" xr:uid="{35359935-9076-45E3-BD0C-2316634A1864}"/>
    <cellStyle name="20% - Accent6 9 6" xfId="17886" xr:uid="{C3C82FDF-DB86-47B1-AA80-A16104798EF8}"/>
    <cellStyle name="20% - Accent6 9 6 2" xfId="36384" xr:uid="{3F84EE16-7EEE-418D-9866-04863745B3F6}"/>
    <cellStyle name="20% - Accent6 9 7" xfId="36670" xr:uid="{2C728177-4094-4E49-B797-4109111FF590}"/>
    <cellStyle name="20% - Accent6 9 8" xfId="37555" xr:uid="{9B8BB29A-B552-4D99-8386-C1A75FC539F9}"/>
    <cellStyle name="40% - Accent1" xfId="23" builtinId="31" customBuiltin="1"/>
    <cellStyle name="40% - Accent1 10" xfId="178" xr:uid="{68A8DA34-5C34-41F6-86C5-22ECCF41AC51}"/>
    <cellStyle name="40% - Accent1 10 2" xfId="18026" xr:uid="{97102EBF-A0A9-4BAA-9122-A8CCFFB66392}"/>
    <cellStyle name="40% - Accent1 10 2 2" xfId="18021" xr:uid="{F3250C2F-04A3-4553-95A2-0CC9658E5315}"/>
    <cellStyle name="40% - Accent1 10 2 3" xfId="34891" xr:uid="{C16067F0-98AF-42A3-A78C-61AA92DF1E4F}"/>
    <cellStyle name="40% - Accent1 10 3" xfId="18017" xr:uid="{3AC942B4-D755-46EC-9A6F-1318977DFC86}"/>
    <cellStyle name="40% - Accent1 10 3 2" xfId="35093" xr:uid="{67EE93FD-DC99-4A27-B0A2-6E48A8DC7CDC}"/>
    <cellStyle name="40% - Accent1 10 4" xfId="34520" xr:uid="{21055CEC-12E9-4830-84A5-F1CA6E13266A}"/>
    <cellStyle name="40% - Accent1 10 5" xfId="18032" xr:uid="{3806BCA1-8375-45BC-955F-99A12A8B038D}"/>
    <cellStyle name="40% - Accent1 10 5 2" xfId="35516" xr:uid="{FA46239F-DB58-4541-849E-0F4C3E128748}"/>
    <cellStyle name="40% - Accent1 10 6" xfId="36389" xr:uid="{7112FE6D-2AC8-4055-A29F-48FE8D652BB7}"/>
    <cellStyle name="40% - Accent1 10 7" xfId="36675" xr:uid="{D27423E1-8547-48CE-8381-9650B38A66A7}"/>
    <cellStyle name="40% - Accent1 10 8" xfId="37560" xr:uid="{8B31A612-67DE-4E63-B92B-1BB60352497C}"/>
    <cellStyle name="40% - Accent1 11" xfId="18010" xr:uid="{E69CF35A-4EC5-4350-B288-BB89713D64B1}"/>
    <cellStyle name="40% - Accent1 11 2" xfId="18007" xr:uid="{AE83C563-0F57-45BF-873D-185A377A4953}"/>
    <cellStyle name="40% - Accent1 11 2 2" xfId="35112" xr:uid="{BF594078-A482-44B3-B886-C4071B5207F7}"/>
    <cellStyle name="40% - Accent1 11 3" xfId="34689" xr:uid="{5779A0CA-447D-43CD-BA11-957AFDE5CD8D}"/>
    <cellStyle name="40% - Accent1 11 4" xfId="35536" xr:uid="{92A54B7F-7E72-4981-A85C-53BAF770619F}"/>
    <cellStyle name="40% - Accent1 11 5" xfId="36409" xr:uid="{81FBD7F4-1220-453C-9509-E9ACD94C5783}"/>
    <cellStyle name="40% - Accent1 11 6" xfId="36695" xr:uid="{CAE9BB64-B852-4BF9-911A-93B9BAD1FAFE}"/>
    <cellStyle name="40% - Accent1 11 7" xfId="37580" xr:uid="{4DB95660-D949-4A87-BFD1-27A01759CC88}"/>
    <cellStyle name="40% - Accent1 12" xfId="26588" xr:uid="{B96ADCE5-4245-4F0D-B3B8-EB1A42886895}"/>
    <cellStyle name="40% - Accent1 12 2" xfId="34702" xr:uid="{0978DA9D-D993-452D-9A07-51225FEA8BF7}"/>
    <cellStyle name="40% - Accent1 12 3" xfId="35315" xr:uid="{D1418022-46BE-468A-9170-AC5F49E4356F}"/>
    <cellStyle name="40% - Accent1 12 4" xfId="35555" xr:uid="{9B825BF6-691C-484F-99E9-1FA41FB9ED8E}"/>
    <cellStyle name="40% - Accent1 12 5" xfId="36428" xr:uid="{F6F014DE-4EB8-47FB-BEA7-E3D9805D0959}"/>
    <cellStyle name="40% - Accent1 12 6" xfId="36714" xr:uid="{3921B993-7B14-4F20-825E-F5F256701F87}"/>
    <cellStyle name="40% - Accent1 12 7" xfId="37599" xr:uid="{19987C29-5F61-4DA6-BBB7-E1FCBE5AE27C}"/>
    <cellStyle name="40% - Accent1 13" xfId="23038" xr:uid="{CFF99E63-B211-499D-A5BD-10F9E279AF7F}"/>
    <cellStyle name="40% - Accent1 13 2" xfId="34730" xr:uid="{FF98A307-6168-47AB-9966-ED334A2D241E}"/>
    <cellStyle name="40% - Accent1 13 3" xfId="35574" xr:uid="{25AE80A3-9EAC-4237-A24B-8A706DBA7F59}"/>
    <cellStyle name="40% - Accent1 13 4" xfId="36449" xr:uid="{DEDB5A94-571F-4940-943B-178A3BAFA0F6}"/>
    <cellStyle name="40% - Accent1 13 5" xfId="36735" xr:uid="{8C17776B-223A-45CA-9A44-0F6BB21F5C34}"/>
    <cellStyle name="40% - Accent1 13 6" xfId="37620" xr:uid="{5C75EAFE-2E76-4032-AD1E-1ABE53D275AF}"/>
    <cellStyle name="40% - Accent1 14" xfId="19110" xr:uid="{60B30940-8D29-4192-9443-E275C460D24D}"/>
    <cellStyle name="40% - Accent1 14 2" xfId="34920" xr:uid="{BDDFD9A3-5EFC-4E02-8E65-FF0E114236B8}"/>
    <cellStyle name="40% - Accent1 14 3" xfId="36758" xr:uid="{3A1CCBF8-427B-490B-9B33-1DFD53C0D7FD}"/>
    <cellStyle name="40% - Accent1 14 4" xfId="37643" xr:uid="{BB8DE049-40D6-4C79-98BE-17954BB1A7E4}"/>
    <cellStyle name="40% - Accent1 15" xfId="34652" xr:uid="{E12FEACD-BDBD-4860-8F47-A5B30D0DF2E2}"/>
    <cellStyle name="40% - Accent1 15 2" xfId="36474" xr:uid="{AA63D836-7E50-4685-96CA-8F781A02D61E}"/>
    <cellStyle name="40% - Accent1 15 3" xfId="36772" xr:uid="{0FE37E11-143C-4196-B28C-B9E9FF1775E4}"/>
    <cellStyle name="40% - Accent1 15 4" xfId="37660" xr:uid="{7836BDB3-F170-4A08-B32C-396C5C471942}"/>
    <cellStyle name="40% - Accent1 16" xfId="35354" xr:uid="{A03D118A-FF09-40CD-8D11-6758C145B371}"/>
    <cellStyle name="40% - Accent1 16 2" xfId="36492" xr:uid="{7FCF3628-67C4-42BB-AC5F-B78BF49FC673}"/>
    <cellStyle name="40% - Accent1 16 3" xfId="36790" xr:uid="{1314AED8-D0FF-422D-AA6D-E46690137FC7}"/>
    <cellStyle name="40% - Accent1 16 4" xfId="37679" xr:uid="{4C8D2E31-3044-4298-822D-972002D5677C}"/>
    <cellStyle name="40% - Accent1 17" xfId="35641" xr:uid="{8A4F9E36-F43E-4CF2-8215-0C6924B55811}"/>
    <cellStyle name="40% - Accent1 17 2" xfId="36809" xr:uid="{812B2DA9-5E38-476B-AB67-4618326C84AB}"/>
    <cellStyle name="40% - Accent1 17 3" xfId="37699" xr:uid="{A0DC34FC-4562-4ADE-93E3-6D5915B5D96F}"/>
    <cellStyle name="40% - Accent1 18" xfId="35659" xr:uid="{29F471F5-96B2-46BB-8CA8-627EB231F7EB}"/>
    <cellStyle name="40% - Accent1 18 2" xfId="36828" xr:uid="{6AFCDBD3-D151-42BA-9AAF-03C62E5704BC}"/>
    <cellStyle name="40% - Accent1 18 3" xfId="37718" xr:uid="{9749A45A-8636-454C-8D85-A32FBD685709}"/>
    <cellStyle name="40% - Accent1 19" xfId="35678" xr:uid="{842B81FD-5BBC-46AB-B280-9A4CAE4F60F8}"/>
    <cellStyle name="40% - Accent1 19 2" xfId="36847" xr:uid="{2A3A982C-A693-4E3C-BF12-9ABCDF737DDC}"/>
    <cellStyle name="40% - Accent1 19 3" xfId="37737" xr:uid="{BEC32D63-C955-4D33-9692-BEEF55C98028}"/>
    <cellStyle name="40% - Accent1 2" xfId="78" xr:uid="{3606E66B-7D99-4DC0-BFFF-21BCE7FC7E3E}"/>
    <cellStyle name="40% - Accent1 2 10" xfId="18002" xr:uid="{B5E05499-7115-4645-92C4-15BAD38454FC}"/>
    <cellStyle name="40% - Accent1 2 10 2" xfId="7656" xr:uid="{A5DDF07F-2D9C-4B01-9806-68258859E953}"/>
    <cellStyle name="40% - Accent1 2 10 3" xfId="37418" xr:uid="{AE75D891-14F8-48D8-996F-48FBD4D8986E}"/>
    <cellStyle name="40% - Accent1 2 11" xfId="18000" xr:uid="{235FEF61-6776-4360-8F85-43609D799E60}"/>
    <cellStyle name="40% - Accent1 2 12" xfId="34438" xr:uid="{7ABEA03C-9184-4D7F-9163-E8682EE7C92F}"/>
    <cellStyle name="40% - Accent1 2 13" xfId="21645" xr:uid="{36437983-7CEF-4026-8331-0F3586A6B5C4}"/>
    <cellStyle name="40% - Accent1 2 2" xfId="139" xr:uid="{97C052C1-5787-4CC9-B1A9-C7E849DCE3E2}"/>
    <cellStyle name="40% - Accent1 2 2 10" xfId="18528" xr:uid="{251B9FF1-59ED-401D-AC31-289E45995D77}"/>
    <cellStyle name="40% - Accent1 2 2 11" xfId="34493" xr:uid="{7737C36B-B3EE-466D-86EF-7FDC538B594B}"/>
    <cellStyle name="40% - Accent1 2 2 12" xfId="18227" xr:uid="{7584C06D-0B95-4B98-8B9B-C4660DE52BC6}"/>
    <cellStyle name="40% - Accent1 2 2 2" xfId="17997" xr:uid="{2BE59A1F-92EA-47AB-9976-66C0CAF99B01}"/>
    <cellStyle name="40% - Accent1 2 2 2 2" xfId="29189" xr:uid="{2A9C8453-B4F3-46F2-82CE-3C8CB5B3FCEA}"/>
    <cellStyle name="40% - Accent1 2 2 2 2 2" xfId="32737" xr:uid="{09F9C712-1AA8-4826-9630-EB5D1FFE9E17}"/>
    <cellStyle name="40% - Accent1 2 2 2 2 2 2" xfId="32393" xr:uid="{2986BA5A-D0E7-4982-A4E2-558A990503C6}"/>
    <cellStyle name="40% - Accent1 2 2 2 2 2 2 2" xfId="18976" xr:uid="{76274E13-F582-431D-BB74-C9F97E589284}"/>
    <cellStyle name="40% - Accent1 2 2 2 2 2 2 2 2" xfId="17995" xr:uid="{BAC9CB42-19DB-4589-8155-44067D0A6FAA}"/>
    <cellStyle name="40% - Accent1 2 2 2 2 2 2 2 2 2" xfId="18926" xr:uid="{5E391514-9B9C-4892-B808-B6EECEF96480}"/>
    <cellStyle name="40% - Accent1 2 2 2 2 2 2 2 2 2 2" xfId="18351" xr:uid="{D137AD85-651F-41B9-AF99-ED021CB8B295}"/>
    <cellStyle name="40% - Accent1 2 2 2 2 2 2 2 2 2 2 2" xfId="17991" xr:uid="{5F8190F6-F5EF-428A-A3F3-2D186A01AAA2}"/>
    <cellStyle name="40% - Accent1 2 2 2 2 2 2 2 2 2 3" xfId="26169" xr:uid="{7F01C3EE-3459-4C6C-8E2E-71D1B4100626}"/>
    <cellStyle name="40% - Accent1 2 2 2 2 2 2 2 2 3" xfId="18918" xr:uid="{A1125D5C-9944-46C9-B12A-619A8EF47223}"/>
    <cellStyle name="40% - Accent1 2 2 2 2 2 2 2 2 3 2" xfId="28699" xr:uid="{A2529A26-236D-429D-9DF9-9C727B148411}"/>
    <cellStyle name="40% - Accent1 2 2 2 2 2 2 2 2 4" xfId="17984" xr:uid="{D9C46603-A59F-4F72-A1EF-D6F87102BDE4}"/>
    <cellStyle name="40% - Accent1 2 2 2 2 2 2 2 3" xfId="27200" xr:uid="{72075193-6447-4AFD-98AA-3E690485BABC}"/>
    <cellStyle name="40% - Accent1 2 2 2 2 2 2 2 3 2" xfId="13552" xr:uid="{16074096-8147-4560-A6DF-90386D816689}"/>
    <cellStyle name="40% - Accent1 2 2 2 2 2 2 2 3 2 2" xfId="29329" xr:uid="{0E5F10A5-6484-493F-842D-7FCF04597141}"/>
    <cellStyle name="40% - Accent1 2 2 2 2 2 2 2 3 3" xfId="13547" xr:uid="{25506E72-A375-4242-8EDF-080A6BDAB440}"/>
    <cellStyle name="40% - Accent1 2 2 2 2 2 2 2 4" xfId="30969" xr:uid="{EF6A6233-5738-45A9-A1DB-3CC980493085}"/>
    <cellStyle name="40% - Accent1 2 2 2 2 2 2 2 4 2" xfId="13532" xr:uid="{FE1E552B-BAF1-4FC2-96E4-64C7A93A33C3}"/>
    <cellStyle name="40% - Accent1 2 2 2 2 2 2 2 5" xfId="17969" xr:uid="{55EDD005-FCAD-4E90-AC12-502D0F42A437}"/>
    <cellStyle name="40% - Accent1 2 2 2 2 2 2 3" xfId="17967" xr:uid="{689C0843-5761-4460-8D73-C29EBF7A2F6E}"/>
    <cellStyle name="40% - Accent1 2 2 2 2 2 2 3 2" xfId="33606" xr:uid="{0ACE1021-F372-449A-8391-A14C2A1FCD83}"/>
    <cellStyle name="40% - Accent1 2 2 2 2 2 2 3 2 2" xfId="18902" xr:uid="{0686FD4F-469E-4223-8E97-2003C27DF481}"/>
    <cellStyle name="40% - Accent1 2 2 2 2 2 2 3 2 2 2" xfId="27368" xr:uid="{B6EA6AB1-908C-4B04-B3DC-70C8E2C6E816}"/>
    <cellStyle name="40% - Accent1 2 2 2 2 2 2 3 2 3" xfId="17964" xr:uid="{095A2AA5-B80E-4DED-9311-1FE1330BDA6D}"/>
    <cellStyle name="40% - Accent1 2 2 2 2 2 2 3 3" xfId="30298" xr:uid="{190DE1DE-F1C0-4D8C-83F1-FDE4A9B6D660}"/>
    <cellStyle name="40% - Accent1 2 2 2 2 2 2 3 3 2" xfId="13452" xr:uid="{4D49E2FC-B992-4ED8-9860-EF2F873DC99C}"/>
    <cellStyle name="40% - Accent1 2 2 2 2 2 2 3 4" xfId="27141" xr:uid="{5E57153E-6246-4385-94B0-24691ECE2FFB}"/>
    <cellStyle name="40% - Accent1 2 2 2 2 2 2 4" xfId="17955" xr:uid="{6C0B414A-390E-4A0A-988E-76BE663ACE6B}"/>
    <cellStyle name="40% - Accent1 2 2 2 2 2 2 4 2" xfId="25143" xr:uid="{60193078-5AE0-4F22-AD25-E2CBD16FDF99}"/>
    <cellStyle name="40% - Accent1 2 2 2 2 2 2 4 2 2" xfId="17954" xr:uid="{38391533-D4E3-40F4-93DA-59799B8C8FBE}"/>
    <cellStyle name="40% - Accent1 2 2 2 2 2 2 4 3" xfId="9280" xr:uid="{AC893BF3-5BBF-40ED-B6AD-6C948CBA4992}"/>
    <cellStyle name="40% - Accent1 2 2 2 2 2 2 5" xfId="17949" xr:uid="{109CDD2F-0F89-4463-BAF9-47EF2F200910}"/>
    <cellStyle name="40% - Accent1 2 2 2 2 2 2 5 2" xfId="25133" xr:uid="{E873B5D2-6789-407D-A120-E828DB4A5C63}"/>
    <cellStyle name="40% - Accent1 2 2 2 2 2 2 6" xfId="33007" xr:uid="{004C815D-48EA-4AAC-9D04-B2860338CD26}"/>
    <cellStyle name="40% - Accent1 2 2 2 2 2 3" xfId="17948" xr:uid="{1B3120EC-12F6-411D-AFB3-8421E4B25D20}"/>
    <cellStyle name="40% - Accent1 2 2 2 2 2 3 2" xfId="17947" xr:uid="{8F56707A-5F28-4061-B133-D1F457918599}"/>
    <cellStyle name="40% - Accent1 2 2 2 2 2 3 2 2" xfId="17946" xr:uid="{383B3741-E936-4684-B5FD-E8AE5DF37284}"/>
    <cellStyle name="40% - Accent1 2 2 2 2 2 3 2 2 2" xfId="18880" xr:uid="{93E4B8CA-9FAA-4CAC-AD38-7FFE67D609D6}"/>
    <cellStyle name="40% - Accent1 2 2 2 2 2 3 2 2 2 2" xfId="31427" xr:uid="{EFC39027-3AE9-49F3-8411-1A2DC3FC8756}"/>
    <cellStyle name="40% - Accent1 2 2 2 2 2 3 2 2 3" xfId="17941" xr:uid="{85886F07-7F95-4943-B88B-D7F4D7E8881E}"/>
    <cellStyle name="40% - Accent1 2 2 2 2 2 3 2 3" xfId="33787" xr:uid="{D0019184-BB00-47D9-AC6F-1D809AE4F3E3}"/>
    <cellStyle name="40% - Accent1 2 2 2 2 2 3 2 3 2" xfId="17937" xr:uid="{1C549112-7560-4E06-9531-81E1EDC5FA3F}"/>
    <cellStyle name="40% - Accent1 2 2 2 2 2 3 2 4" xfId="17933" xr:uid="{8BB10F95-2F74-4AAA-8E48-A0893D825BAD}"/>
    <cellStyle name="40% - Accent1 2 2 2 2 2 3 3" xfId="23994" xr:uid="{517BF31C-844E-4BCF-8DC7-7A865CA899EF}"/>
    <cellStyle name="40% - Accent1 2 2 2 2 2 3 3 2" xfId="25122" xr:uid="{55B53938-8755-4142-8878-7A812B0AB104}"/>
    <cellStyle name="40% - Accent1 2 2 2 2 2 3 3 2 2" xfId="31452" xr:uid="{630A0189-1681-4685-8DC4-AE14C7FE429B}"/>
    <cellStyle name="40% - Accent1 2 2 2 2 2 3 3 3" xfId="25115" xr:uid="{E569F6FF-6ACB-4CAD-AEB2-00C6136C1726}"/>
    <cellStyle name="40% - Accent1 2 2 2 2 2 3 4" xfId="23991" xr:uid="{A3D2B634-BACA-4836-A2B7-B0EC7FCFE30C}"/>
    <cellStyle name="40% - Accent1 2 2 2 2 2 3 4 2" xfId="26614" xr:uid="{0E3749D1-F03F-4BAD-8A00-AA34C4A67886}"/>
    <cellStyle name="40% - Accent1 2 2 2 2 2 3 5" xfId="17932" xr:uid="{D617A3C3-277E-4BF3-9975-F61881CD65A8}"/>
    <cellStyle name="40% - Accent1 2 2 2 2 2 4" xfId="20351" xr:uid="{FF027DDA-CEF0-4FCC-943B-12973DA5FB89}"/>
    <cellStyle name="40% - Accent1 2 2 2 2 2 4 2" xfId="17931" xr:uid="{D1A45A3C-5147-4A51-BFCC-84A28E0A3FD1}"/>
    <cellStyle name="40% - Accent1 2 2 2 2 2 4 2 2" xfId="24847" xr:uid="{6EE7C35B-A4FB-4EB5-B13E-4589A77FA655}"/>
    <cellStyle name="40% - Accent1 2 2 2 2 2 4 2 2 2" xfId="17928" xr:uid="{9CD1AEF3-D3DD-4281-8E46-B1BCC1233541}"/>
    <cellStyle name="40% - Accent1 2 2 2 2 2 4 2 3" xfId="17923" xr:uid="{90419CD8-B001-4F60-B319-64BD106D25EA}"/>
    <cellStyle name="40% - Accent1 2 2 2 2 2 4 3" xfId="14463" xr:uid="{567E2808-2BEA-4114-8C30-0F5047B6409A}"/>
    <cellStyle name="40% - Accent1 2 2 2 2 2 4 3 2" xfId="25113" xr:uid="{534DEBD5-1C9C-462B-86EE-5BDD5FAA6E81}"/>
    <cellStyle name="40% - Accent1 2 2 2 2 2 4 4" xfId="17922" xr:uid="{AB58B2F7-99F2-4CEB-862F-A3AF4F372C8A}"/>
    <cellStyle name="40% - Accent1 2 2 2 2 2 5" xfId="20347" xr:uid="{5F569D2B-DAB1-41D6-85F2-E2AFADD702D4}"/>
    <cellStyle name="40% - Accent1 2 2 2 2 2 5 2" xfId="17918" xr:uid="{E0E9F821-E601-4DB9-9142-C13BC1E36086}"/>
    <cellStyle name="40% - Accent1 2 2 2 2 2 5 2 2" xfId="33066" xr:uid="{96C919BE-549B-4A46-B074-A58F7E87A001}"/>
    <cellStyle name="40% - Accent1 2 2 2 2 2 5 3" xfId="17915" xr:uid="{052C7C8F-9F8D-42D8-86D2-2A617CDAFC5E}"/>
    <cellStyle name="40% - Accent1 2 2 2 2 2 6" xfId="17913" xr:uid="{44F41B76-E626-45D7-A16E-45DAB817D79F}"/>
    <cellStyle name="40% - Accent1 2 2 2 2 2 6 2" xfId="17910" xr:uid="{E5DCAC40-3AAE-439A-92B9-B9A16DA012A4}"/>
    <cellStyle name="40% - Accent1 2 2 2 2 2 7" xfId="17906" xr:uid="{6195929C-EE43-4DE4-A235-D6E40DA94D6C}"/>
    <cellStyle name="40% - Accent1 2 2 2 2 3" xfId="32116" xr:uid="{FC50B815-5A59-4344-903A-460D25658BC2}"/>
    <cellStyle name="40% - Accent1 2 2 2 2 3 2" xfId="17905" xr:uid="{0A6A7C32-C747-4DA0-A57A-798CB82BB47B}"/>
    <cellStyle name="40% - Accent1 2 2 2 2 3 2 2" xfId="17903" xr:uid="{B5925E52-A08D-4D84-BA41-7F53175347D6}"/>
    <cellStyle name="40% - Accent1 2 2 2 2 3 2 2 2" xfId="17902" xr:uid="{B7D99047-E602-4ADD-97DF-6B7DCF1BCA74}"/>
    <cellStyle name="40% - Accent1 2 2 2 2 3 2 2 2 2" xfId="18796" xr:uid="{7AA6FC00-433D-4381-A6F8-D2062BE75379}"/>
    <cellStyle name="40% - Accent1 2 2 2 2 3 2 2 2 2 2" xfId="14105" xr:uid="{F9FAEB68-4C29-4C54-8F60-2DFF10466257}"/>
    <cellStyle name="40% - Accent1 2 2 2 2 3 2 2 2 3" xfId="17899" xr:uid="{21ED1119-F6C5-45CA-953E-5E6759E48EAB}"/>
    <cellStyle name="40% - Accent1 2 2 2 2 3 2 2 3" xfId="30284" xr:uid="{3E0FF3BE-98D8-4F6B-9E7D-C4ADD92F0AFF}"/>
    <cellStyle name="40% - Accent1 2 2 2 2 3 2 2 3 2" xfId="13066" xr:uid="{FBD9B246-0982-4146-9A93-678066E5F567}"/>
    <cellStyle name="40% - Accent1 2 2 2 2 3 2 2 4" xfId="17897" xr:uid="{9AEA3F50-2401-4540-A2E2-B8D9830A8901}"/>
    <cellStyle name="40% - Accent1 2 2 2 2 3 2 3" xfId="28838" xr:uid="{74839C50-49CE-44B7-BD0B-FA88DE94CDA2}"/>
    <cellStyle name="40% - Accent1 2 2 2 2 3 2 3 2" xfId="32402" xr:uid="{2E52248D-ECA5-424E-87C1-0861EE0D7287}"/>
    <cellStyle name="40% - Accent1 2 2 2 2 3 2 3 2 2" xfId="17896" xr:uid="{86FAB5F0-AD68-43E5-8AF9-8E55BF8DFA9D}"/>
    <cellStyle name="40% - Accent1 2 2 2 2 3 2 3 3" xfId="33034" xr:uid="{B88EB76E-C0C4-4166-B074-C1F0014B61C9}"/>
    <cellStyle name="40% - Accent1 2 2 2 2 3 2 4" xfId="18516" xr:uid="{6EA3BAF6-A90A-4F0A-BE47-8EFA8A994662}"/>
    <cellStyle name="40% - Accent1 2 2 2 2 3 2 4 2" xfId="34010" xr:uid="{B679C4CA-386F-488F-8D0B-7249DA8B2749}"/>
    <cellStyle name="40% - Accent1 2 2 2 2 3 2 5" xfId="26034" xr:uid="{32AA9F87-555B-41CE-B5A3-4008CF7C46DC}"/>
    <cellStyle name="40% - Accent1 2 2 2 2 3 3" xfId="17895" xr:uid="{57134110-BFCE-4085-A6B0-6C56217D8356}"/>
    <cellStyle name="40% - Accent1 2 2 2 2 3 3 2" xfId="17893" xr:uid="{D155999D-E79D-4951-8234-C85A0F145EDD}"/>
    <cellStyle name="40% - Accent1 2 2 2 2 3 3 2 2" xfId="17892" xr:uid="{246F381E-7F17-4D37-988F-21B75D826EB0}"/>
    <cellStyle name="40% - Accent1 2 2 2 2 3 3 2 2 2" xfId="22203" xr:uid="{8E1E1410-D3B3-44C5-9C95-EA2E23FB127A}"/>
    <cellStyle name="40% - Accent1 2 2 2 2 3 3 2 3" xfId="17890" xr:uid="{D96F554D-0C74-41B2-BB0F-8943191E273F}"/>
    <cellStyle name="40% - Accent1 2 2 2 2 3 3 3" xfId="33072" xr:uid="{62C8FF0E-CC24-446C-8961-314903A12AE9}"/>
    <cellStyle name="40% - Accent1 2 2 2 2 3 3 3 2" xfId="34274" xr:uid="{D7A4077D-855B-495B-A0F1-F575857C8661}"/>
    <cellStyle name="40% - Accent1 2 2 2 2 3 3 4" xfId="14392" xr:uid="{10926E58-2920-4BD3-9305-A469A3660B6A}"/>
    <cellStyle name="40% - Accent1 2 2 2 2 3 4" xfId="20340" xr:uid="{BB4E73F3-55DA-4FC1-802E-8AFEC183DAF1}"/>
    <cellStyle name="40% - Accent1 2 2 2 2 3 4 2" xfId="14456" xr:uid="{4EE92E22-69BD-4253-B2EC-042B430DC75F}"/>
    <cellStyle name="40% - Accent1 2 2 2 2 3 4 2 2" xfId="17889" xr:uid="{4E4B5AE3-A8BC-46E6-85A7-D5E2103D9CB7}"/>
    <cellStyle name="40% - Accent1 2 2 2 2 3 4 3" xfId="30848" xr:uid="{591B180E-08EF-4039-9CA6-5E4547BD71AC}"/>
    <cellStyle name="40% - Accent1 2 2 2 2 3 5" xfId="18831" xr:uid="{60FD635F-5055-4FA5-AFF1-676C2E560A09}"/>
    <cellStyle name="40% - Accent1 2 2 2 2 3 5 2" xfId="17888" xr:uid="{5A75CFF3-B7AE-4385-BC2B-EB4F88105EFD}"/>
    <cellStyle name="40% - Accent1 2 2 2 2 3 6" xfId="17884" xr:uid="{6B0F1B82-5DD7-4EEF-9768-DCC9382A7CA2}"/>
    <cellStyle name="40% - Accent1 2 2 2 2 4" xfId="27522" xr:uid="{3E771B84-3D08-479D-866B-0500A49BA648}"/>
    <cellStyle name="40% - Accent1 2 2 2 2 4 2" xfId="17883" xr:uid="{11B5AEFA-AD87-4487-A0B4-7250BA2D4F56}"/>
    <cellStyle name="40% - Accent1 2 2 2 2 4 2 2" xfId="17878" xr:uid="{755908C3-7FEC-4FD0-B3E4-F5E1EDAAF0B4}"/>
    <cellStyle name="40% - Accent1 2 2 2 2 4 2 2 2" xfId="31368" xr:uid="{4D1D083E-90AC-4A4D-8DF5-0F03FF3BE8D2}"/>
    <cellStyle name="40% - Accent1 2 2 2 2 4 2 2 2 2" xfId="17877" xr:uid="{FDCEB7BC-24DF-4EA9-B22A-881C5BE233ED}"/>
    <cellStyle name="40% - Accent1 2 2 2 2 4 2 2 3" xfId="30970" xr:uid="{B098BC3C-FA91-4B4D-A465-E155E871AFF4}"/>
    <cellStyle name="40% - Accent1 2 2 2 2 4 2 3" xfId="26007" xr:uid="{558FF1AA-95E3-4F1B-A1A8-BC5FAD960D16}"/>
    <cellStyle name="40% - Accent1 2 2 2 2 4 2 3 2" xfId="31341" xr:uid="{88D4FEF6-4C2A-4334-B79B-067F4F209456}"/>
    <cellStyle name="40% - Accent1 2 2 2 2 4 2 4" xfId="26002" xr:uid="{23AA302E-B7FA-4689-A25B-73D40B0D3BB5}"/>
    <cellStyle name="40% - Accent1 2 2 2 2 4 3" xfId="17873" xr:uid="{662183CB-E748-40BB-A86F-3304B1B99828}"/>
    <cellStyle name="40% - Accent1 2 2 2 2 4 3 2" xfId="17871" xr:uid="{3EC65ECA-349D-4F36-80D7-8D4B4EDECE08}"/>
    <cellStyle name="40% - Accent1 2 2 2 2 4 3 2 2" xfId="31195" xr:uid="{394C4527-2C9C-4B8E-AE82-90B6BF50B0D5}"/>
    <cellStyle name="40% - Accent1 2 2 2 2 4 3 3" xfId="28513" xr:uid="{F1A67DC2-0D06-4AFC-978D-455B65846CB2}"/>
    <cellStyle name="40% - Accent1 2 2 2 2 4 4" xfId="18825" xr:uid="{AB30F537-3F3C-43D1-B625-844E2F3C05BB}"/>
    <cellStyle name="40% - Accent1 2 2 2 2 4 4 2" xfId="17870" xr:uid="{987E5AD3-139F-4791-9461-3762552CA351}"/>
    <cellStyle name="40% - Accent1 2 2 2 2 4 5" xfId="17869" xr:uid="{8B3DAFD7-4AEB-4CB7-A55E-668BAFBA23E7}"/>
    <cellStyle name="40% - Accent1 2 2 2 2 5" xfId="27514" xr:uid="{297F4F40-750F-4113-96AE-CD732BD0ED3E}"/>
    <cellStyle name="40% - Accent1 2 2 2 2 5 2" xfId="17866" xr:uid="{66D62195-F571-482F-98BA-C567BACDF84B}"/>
    <cellStyle name="40% - Accent1 2 2 2 2 5 2 2" xfId="31780" xr:uid="{84141D60-F053-45BC-A2C4-00B16B15C863}"/>
    <cellStyle name="40% - Accent1 2 2 2 2 5 2 2 2" xfId="30669" xr:uid="{5E9EBF68-A239-4063-B9EA-974652D2AB90}"/>
    <cellStyle name="40% - Accent1 2 2 2 2 5 2 3" xfId="25975" xr:uid="{14449187-44A0-4A1C-9326-0F80198D4263}"/>
    <cellStyle name="40% - Accent1 2 2 2 2 5 3" xfId="26240" xr:uid="{CE5844FA-139A-45BD-A0EC-E3D93ECFB821}"/>
    <cellStyle name="40% - Accent1 2 2 2 2 5 3 2" xfId="23593" xr:uid="{34F1C33F-7317-4F4E-88DD-B77005D41E43}"/>
    <cellStyle name="40% - Accent1 2 2 2 2 5 4" xfId="26233" xr:uid="{A85AF2A7-F54C-41F0-8EE2-17351E0445A2}"/>
    <cellStyle name="40% - Accent1 2 2 2 2 6" xfId="17864" xr:uid="{E35B972A-F942-49EB-867F-ABC171194C4E}"/>
    <cellStyle name="40% - Accent1 2 2 2 2 6 2" xfId="17863" xr:uid="{FE9BBEA7-BEFC-4187-81BD-D0C85F8B2EEB}"/>
    <cellStyle name="40% - Accent1 2 2 2 2 6 2 2" xfId="20236" xr:uid="{B96EBAFA-F365-40DD-BDCD-F95701EE9AAB}"/>
    <cellStyle name="40% - Accent1 2 2 2 2 6 3" xfId="26226" xr:uid="{7CF33647-A048-49DF-8746-0538FD516CD3}"/>
    <cellStyle name="40% - Accent1 2 2 2 2 7" xfId="17860" xr:uid="{7C36B82C-46D0-4F16-8326-9F00F42B3AAE}"/>
    <cellStyle name="40% - Accent1 2 2 2 2 7 2" xfId="23571" xr:uid="{0B36DA3A-7AE7-4826-B6E6-90484FD58E93}"/>
    <cellStyle name="40% - Accent1 2 2 2 2 8" xfId="20814" xr:uid="{4876A71E-76A5-4ED6-A2AA-F15A6A402359}"/>
    <cellStyle name="40% - Accent1 2 2 2 3" xfId="31241" xr:uid="{85EFA57F-0CCD-479E-B1CA-53C3EE789EB4}"/>
    <cellStyle name="40% - Accent1 2 2 2 3 2" xfId="32728" xr:uid="{EE2857F3-1064-4719-ACFE-CA90A4033042}"/>
    <cellStyle name="40% - Accent1 2 2 2 3 2 2" xfId="31388" xr:uid="{2CC028A6-1F3F-4047-B5F1-6C24795DBBDE}"/>
    <cellStyle name="40% - Accent1 2 2 2 3 2 2 2" xfId="10167" xr:uid="{5DF86A86-2D46-476E-8362-2957ABF4EC94}"/>
    <cellStyle name="40% - Accent1 2 2 2 3 2 2 2 2" xfId="17853" xr:uid="{B2A9D08F-9977-4BE4-AED4-590FCE314EA4}"/>
    <cellStyle name="40% - Accent1 2 2 2 3 2 2 2 2 2" xfId="19044" xr:uid="{76C066F9-E03B-494C-AF3F-B7226AC6C5C6}"/>
    <cellStyle name="40% - Accent1 2 2 2 3 2 2 2 2 2 2" xfId="17850" xr:uid="{14A68DE0-FF9D-4602-9D3E-7B3DB6C0DBC7}"/>
    <cellStyle name="40% - Accent1 2 2 2 3 2 2 2 2 3" xfId="17846" xr:uid="{44E07BD5-9CAE-4611-9253-5E5EDEEA7498}"/>
    <cellStyle name="40% - Accent1 2 2 2 3 2 2 2 3" xfId="30131" xr:uid="{E70413AE-DE12-4E1F-8A2E-760E99E9D0B3}"/>
    <cellStyle name="40% - Accent1 2 2 2 3 2 2 2 3 2" xfId="17844" xr:uid="{6D3E2681-491F-4F5A-91D4-2622D5B78FF6}"/>
    <cellStyle name="40% - Accent1 2 2 2 3 2 2 2 4" xfId="17843" xr:uid="{182280AF-1D0D-494A-813B-F13D650E6F54}"/>
    <cellStyle name="40% - Accent1 2 2 2 3 2 2 3" xfId="17836" xr:uid="{7F71D71B-77B2-4A93-BFD8-F6A3F5BE97AC}"/>
    <cellStyle name="40% - Accent1 2 2 2 3 2 2 3 2" xfId="22396" xr:uid="{17477DB0-A272-4C2D-A78E-75365A36A3A7}"/>
    <cellStyle name="40% - Accent1 2 2 2 3 2 2 3 2 2" xfId="34233" xr:uid="{3E24D16B-508E-4BEC-8028-1D667E504A00}"/>
    <cellStyle name="40% - Accent1 2 2 2 3 2 2 3 3" xfId="33817" xr:uid="{3C08C7F2-9934-4D6F-98D6-8B0F1DFB2CC9}"/>
    <cellStyle name="40% - Accent1 2 2 2 3 2 2 4" xfId="17833" xr:uid="{FCF9B813-7F67-454F-BC9C-A51EACECB108}"/>
    <cellStyle name="40% - Accent1 2 2 2 3 2 2 4 2" xfId="22383" xr:uid="{B1C7E26D-44D3-40BD-8A5F-55FCC122E55A}"/>
    <cellStyle name="40% - Accent1 2 2 2 3 2 2 5" xfId="12422" xr:uid="{FFA7C204-2E99-464E-9087-BBF084B6FD09}"/>
    <cellStyle name="40% - Accent1 2 2 2 3 2 3" xfId="18621" xr:uid="{DE6C7769-6CFC-4F8C-A856-C5F226096DCE}"/>
    <cellStyle name="40% - Accent1 2 2 2 3 2 3 2" xfId="10148" xr:uid="{CC5B2515-50A4-4FE6-9D1E-C0A0BD508DBD}"/>
    <cellStyle name="40% - Accent1 2 2 2 3 2 3 2 2" xfId="19973" xr:uid="{93E98475-F17B-4382-891C-C6EF52F86D3F}"/>
    <cellStyle name="40% - Accent1 2 2 2 3 2 3 2 2 2" xfId="17829" xr:uid="{BD53B782-90AF-428D-8FFB-31F0010663EA}"/>
    <cellStyle name="40% - Accent1 2 2 2 3 2 3 2 3" xfId="19952" xr:uid="{9FD255E5-0CA5-4098-B0E0-108D9B7B37F5}"/>
    <cellStyle name="40% - Accent1 2 2 2 3 2 3 3" xfId="31170" xr:uid="{426AB892-D3FE-40DC-B287-907C0802C681}"/>
    <cellStyle name="40% - Accent1 2 2 2 3 2 3 3 2" xfId="22348" xr:uid="{0C5C0897-7597-4ECA-9E0B-5EF5CF6E98F6}"/>
    <cellStyle name="40% - Accent1 2 2 2 3 2 3 4" xfId="31167" xr:uid="{0974B3FC-9BD3-47B3-9278-F7220EC1D7B7}"/>
    <cellStyle name="40% - Accent1 2 2 2 3 2 4" xfId="18619" xr:uid="{5CFC2F53-ABAF-4C31-990D-F003A626457A}"/>
    <cellStyle name="40% - Accent1 2 2 2 3 2 4 2" xfId="10136" xr:uid="{E54A4297-EF9C-424C-80D2-5E59C46A02EC}"/>
    <cellStyle name="40% - Accent1 2 2 2 3 2 4 2 2" xfId="19827" xr:uid="{28E8A999-A161-4189-BD6F-E92C538742B1}"/>
    <cellStyle name="40% - Accent1 2 2 2 3 2 4 3" xfId="31162" xr:uid="{7F549A09-B3C6-43CD-856E-F39859B20AE1}"/>
    <cellStyle name="40% - Accent1 2 2 2 3 2 5" xfId="22938" xr:uid="{F8BD08B2-C438-48DC-930D-7EF6A576363D}"/>
    <cellStyle name="40% - Accent1 2 2 2 3 2 5 2" xfId="30384" xr:uid="{430FE755-933A-4890-B394-F70A0F4E3FF2}"/>
    <cellStyle name="40% - Accent1 2 2 2 3 2 6" xfId="33858" xr:uid="{4CDC7BD8-D632-4003-A357-341190DC7632}"/>
    <cellStyle name="40% - Accent1 2 2 2 3 3" xfId="27896" xr:uid="{2F50A2B3-6E8F-4ECF-9BA8-F963041AC008}"/>
    <cellStyle name="40% - Accent1 2 2 2 3 3 2" xfId="28951" xr:uid="{9072DBEF-AFD6-4D5B-AD17-80C731812E38}"/>
    <cellStyle name="40% - Accent1 2 2 2 3 3 2 2" xfId="10117" xr:uid="{C3F7C65C-7FF3-4513-8071-588417BCF860}"/>
    <cellStyle name="40% - Accent1 2 2 2 3 3 2 2 2" xfId="17828" xr:uid="{8EB9EFDB-FFCD-4340-B37E-479660C292DD}"/>
    <cellStyle name="40% - Accent1 2 2 2 3 3 2 2 2 2" xfId="17826" xr:uid="{3E46EF54-75C6-49D6-9090-68D363D444A4}"/>
    <cellStyle name="40% - Accent1 2 2 2 3 3 2 2 3" xfId="17825" xr:uid="{C45931EE-1D1F-46CB-B24A-517AA145F5E9}"/>
    <cellStyle name="40% - Accent1 2 2 2 3 3 2 3" xfId="25896" xr:uid="{DB68EB84-DA6E-4D6C-B8F2-8F1DEEEF59A4}"/>
    <cellStyle name="40% - Accent1 2 2 2 3 3 2 3 2" xfId="22265" xr:uid="{DC66F734-7AFC-445F-A329-F5A00A753A8D}"/>
    <cellStyle name="40% - Accent1 2 2 2 3 3 2 4" xfId="25884" xr:uid="{98C9BB6B-1BB4-4299-8BC3-16BB8E95AA9A}"/>
    <cellStyle name="40% - Accent1 2 2 2 3 3 3" xfId="18617" xr:uid="{553F7E16-7F1E-425B-A992-0451F075D844}"/>
    <cellStyle name="40% - Accent1 2 2 2 3 3 3 2" xfId="15134" xr:uid="{1A11490B-FDEF-4429-85BE-9BB2775B723B}"/>
    <cellStyle name="40% - Accent1 2 2 2 3 3 3 2 2" xfId="19640" xr:uid="{FE29D7E1-C49A-404D-B210-81F9A67C9F93}"/>
    <cellStyle name="40% - Accent1 2 2 2 3 3 3 3" xfId="31857" xr:uid="{55C690CE-5636-45CE-8D47-93684FAB1941}"/>
    <cellStyle name="40% - Accent1 2 2 2 3 3 4" xfId="22935" xr:uid="{D060F57E-3EEE-4C58-A4E8-788455D37912}"/>
    <cellStyle name="40% - Accent1 2 2 2 3 3 4 2" xfId="31841" xr:uid="{FA2FDF98-A325-4225-B68C-C068CA395CE8}"/>
    <cellStyle name="40% - Accent1 2 2 2 3 3 5" xfId="33687" xr:uid="{0C3D7AC0-0884-463D-9DB0-912AAF7E437B}"/>
    <cellStyle name="40% - Accent1 2 2 2 3 4" xfId="30923" xr:uid="{3C967EB8-8F97-4B2B-ADD0-C414ACFE0868}"/>
    <cellStyle name="40% - Accent1 2 2 2 3 4 2" xfId="29561" xr:uid="{D5C235B3-FF7F-4C6B-8B68-29366FCA6685}"/>
    <cellStyle name="40% - Accent1 2 2 2 3 4 2 2" xfId="10095" xr:uid="{67415E54-0B8C-443C-877F-EC18D9671A32}"/>
    <cellStyle name="40% - Accent1 2 2 2 3 4 2 2 2" xfId="30582" xr:uid="{2F655623-4E8F-414B-B4C9-D06387210E2C}"/>
    <cellStyle name="40% - Accent1 2 2 2 3 4 2 3" xfId="25872" xr:uid="{BBD4FA3E-EEEF-4537-A95F-273EA8548B5D}"/>
    <cellStyle name="40% - Accent1 2 2 2 3 4 3" xfId="30898" xr:uid="{E96A403E-2389-4584-A93D-F4B02A0F19BB}"/>
    <cellStyle name="40% - Accent1 2 2 2 3 4 3 2" xfId="32227" xr:uid="{1C6121CA-D730-416E-B273-22B93934AB97}"/>
    <cellStyle name="40% - Accent1 2 2 2 3 4 4" xfId="32937" xr:uid="{FDBD8892-D093-4AFC-A08E-8223A7CB89BB}"/>
    <cellStyle name="40% - Accent1 2 2 2 3 5" xfId="30315" xr:uid="{79202B63-7700-436C-B85D-AD35D86F9F93}"/>
    <cellStyle name="40% - Accent1 2 2 2 3 5 2" xfId="31816" xr:uid="{43034CF9-84CC-4F9D-89A4-C5B062A824FF}"/>
    <cellStyle name="40% - Accent1 2 2 2 3 5 2 2" xfId="23426" xr:uid="{3A895444-B8FE-4DEB-A2DA-5B77415BDEC2}"/>
    <cellStyle name="40% - Accent1 2 2 2 3 5 3" xfId="33450" xr:uid="{F7B8B1C2-B970-4038-87EB-26F3E50BCF05}"/>
    <cellStyle name="40% - Accent1 2 2 2 3 6" xfId="17821" xr:uid="{EA98F8D5-BAC9-4CED-9A74-E40BB5A5B116}"/>
    <cellStyle name="40% - Accent1 2 2 2 3 6 2" xfId="28923" xr:uid="{42DDA4ED-BA3A-49E7-8EFE-33B6AE20016D}"/>
    <cellStyle name="40% - Accent1 2 2 2 3 7" xfId="17818" xr:uid="{C4880E5D-306E-4E7C-9498-4733A919FD1A}"/>
    <cellStyle name="40% - Accent1 2 2 2 4" xfId="23856" xr:uid="{DAD577EC-2359-4AE7-AB27-2C670E77B8E4}"/>
    <cellStyle name="40% - Accent1 2 2 2 4 2" xfId="27698" xr:uid="{C367FB9D-79DA-4FB9-9BBD-3A5719820DEB}"/>
    <cellStyle name="40% - Accent1 2 2 2 4 2 2" xfId="22386" xr:uid="{0DADB9FF-1230-4C92-BEC8-392520AD139A}"/>
    <cellStyle name="40% - Accent1 2 2 2 4 2 2 2" xfId="10028" xr:uid="{C846B5BC-76D3-4830-928B-7F43A8399EFF}"/>
    <cellStyle name="40% - Accent1 2 2 2 4 2 2 2 2" xfId="17817" xr:uid="{3AE4AF63-7FAE-460B-8B91-A1A376FBB5F1}"/>
    <cellStyle name="40% - Accent1 2 2 2 4 2 2 2 2 2" xfId="17814" xr:uid="{38039B23-DD75-4F2E-A4B1-3252C4633DC4}"/>
    <cellStyle name="40% - Accent1 2 2 2 4 2 2 2 3" xfId="17813" xr:uid="{E37A778E-8C20-400D-BF67-6E5A7ED3DB34}"/>
    <cellStyle name="40% - Accent1 2 2 2 4 2 2 3" xfId="26915" xr:uid="{15C24424-7DBE-4333-A809-9B73DAA70500}"/>
    <cellStyle name="40% - Accent1 2 2 2 4 2 2 3 2" xfId="20203" xr:uid="{D672AA36-5A93-4956-A986-3A389C624BCC}"/>
    <cellStyle name="40% - Accent1 2 2 2 4 2 2 4" xfId="28379" xr:uid="{0FD306C4-CA1E-45DE-AD7F-CE15053764A7}"/>
    <cellStyle name="40% - Accent1 2 2 2 4 2 3" xfId="14089" xr:uid="{09CB8D5E-CFE9-4F91-9907-775E8D1457CA}"/>
    <cellStyle name="40% - Accent1 2 2 2 4 2 3 2" xfId="10016" xr:uid="{BCC4911B-E090-4AEE-8794-A506F9834852}"/>
    <cellStyle name="40% - Accent1 2 2 2 4 2 3 2 2" xfId="19377" xr:uid="{A7C0F432-3BD2-43A8-AD50-659D690D734E}"/>
    <cellStyle name="40% - Accent1 2 2 2 4 2 3 3" xfId="23487" xr:uid="{FF0FD3B1-2638-467C-B4FC-0B956C9078F5}"/>
    <cellStyle name="40% - Accent1 2 2 2 4 2 4" xfId="27944" xr:uid="{E60A0AE0-E0C7-402B-A6A8-BE1854907634}"/>
    <cellStyle name="40% - Accent1 2 2 2 4 2 4 2" xfId="27790" xr:uid="{FF65DD87-A8D0-41A6-A19B-9415CCD04D8D}"/>
    <cellStyle name="40% - Accent1 2 2 2 4 2 5" xfId="25966" xr:uid="{FD84ACCE-A2B7-47A5-94F8-978CCF4882BE}"/>
    <cellStyle name="40% - Accent1 2 2 2 4 3" xfId="27694" xr:uid="{AB035143-1219-49E5-970E-09953E9A88A7}"/>
    <cellStyle name="40% - Accent1 2 2 2 4 3 2" xfId="22333" xr:uid="{BA515A98-EA96-4A72-BAE3-C7971770041F}"/>
    <cellStyle name="40% - Accent1 2 2 2 4 3 2 2" xfId="9996" xr:uid="{5FB7BEC9-57F6-4B88-A71E-4518D7B63F99}"/>
    <cellStyle name="40% - Accent1 2 2 2 4 3 2 2 2" xfId="17809" xr:uid="{4CB81B7A-655F-41EE-AB6D-FD424D75DFB5}"/>
    <cellStyle name="40% - Accent1 2 2 2 4 3 2 3" xfId="28295" xr:uid="{93785086-276D-490C-B999-D451FAC16E9E}"/>
    <cellStyle name="40% - Accent1 2 2 2 4 3 3" xfId="27841" xr:uid="{8B4FF942-FCAD-4A80-825F-1900E0F01045}"/>
    <cellStyle name="40% - Accent1 2 2 2 4 3 3 2" xfId="27748" xr:uid="{C6610B6D-209C-435B-9D38-1B964300C187}"/>
    <cellStyle name="40% - Accent1 2 2 2 4 3 4" xfId="27824" xr:uid="{504F4813-135D-4D51-BE11-D32095E5D27B}"/>
    <cellStyle name="40% - Accent1 2 2 2 4 4" xfId="30303" xr:uid="{A4CD240C-2962-4B11-9FF6-3E2B0C8A7099}"/>
    <cellStyle name="40% - Accent1 2 2 2 4 4 2" xfId="27776" xr:uid="{29238297-8FEF-4E30-8A4B-F259664F6018}"/>
    <cellStyle name="40% - Accent1 2 2 2 4 4 2 2" xfId="28272" xr:uid="{F9EA8326-CDBF-44A4-AA1F-54B7F9F5716C}"/>
    <cellStyle name="40% - Accent1 2 2 2 4 4 3" xfId="28346" xr:uid="{F04BE70E-0823-4001-9286-8B288B98C7A8}"/>
    <cellStyle name="40% - Accent1 2 2 2 4 5" xfId="27482" xr:uid="{0969C726-A5CF-4FA2-AFE0-D0F680D4F664}"/>
    <cellStyle name="40% - Accent1 2 2 2 4 5 2" xfId="27727" xr:uid="{8A67E609-0395-4AEB-9780-78ACD0A0B730}"/>
    <cellStyle name="40% - Accent1 2 2 2 4 6" xfId="33774" xr:uid="{915972C7-87E8-4C27-9320-1EFA0910604E}"/>
    <cellStyle name="40% - Accent1 2 2 2 5" xfId="23852" xr:uid="{64C7349D-F719-4646-B794-2D59260071B5}"/>
    <cellStyle name="40% - Accent1 2 2 2 5 2" xfId="6171" xr:uid="{499065AE-A2C8-492B-9B7E-D0CA05DCAB6F}"/>
    <cellStyle name="40% - Accent1 2 2 2 5 2 2" xfId="17000" xr:uid="{5BE95758-67A2-4F32-9E9C-8F2188FEAC3A}"/>
    <cellStyle name="40% - Accent1 2 2 2 5 2 2 2" xfId="9955" xr:uid="{BE49CA3B-B95C-4D01-A16E-125DD23BD7FA}"/>
    <cellStyle name="40% - Accent1 2 2 2 5 2 2 2 2" xfId="33341" xr:uid="{B6D820C4-86E7-46F7-B6A8-DE27872712A1}"/>
    <cellStyle name="40% - Accent1 2 2 2 5 2 2 3" xfId="28224" xr:uid="{BF17B066-653F-4646-808F-24663AC7779A}"/>
    <cellStyle name="40% - Accent1 2 2 2 5 2 3" xfId="16996" xr:uid="{F9F9BAA7-82D3-4D4A-8368-F5E9ADCEA8AA}"/>
    <cellStyle name="40% - Accent1 2 2 2 5 2 3 2" xfId="27324" xr:uid="{ED038ADA-8137-4122-B719-35E63959C3E6}"/>
    <cellStyle name="40% - Accent1 2 2 2 5 2 4" xfId="27384" xr:uid="{FD8FD709-81E5-4018-BBB8-496E6755F673}"/>
    <cellStyle name="40% - Accent1 2 2 2 5 3" xfId="6169" xr:uid="{3A712178-7133-404F-875A-05A9B0D396F8}"/>
    <cellStyle name="40% - Accent1 2 2 2 5 3 2" xfId="16983" xr:uid="{FED280C9-D76F-4F14-89DB-01B335C85518}"/>
    <cellStyle name="40% - Accent1 2 2 2 5 3 2 2" xfId="22436" xr:uid="{0D024730-30D5-4112-99C4-586CE9009586}"/>
    <cellStyle name="40% - Accent1 2 2 2 5 3 3" xfId="26252" xr:uid="{69AB9746-DD15-4760-AC19-CAF4F717E1A4}"/>
    <cellStyle name="40% - Accent1 2 2 2 5 4" xfId="6167" xr:uid="{38A4E6FC-FC54-402E-9205-1CCBEE7B0032}"/>
    <cellStyle name="40% - Accent1 2 2 2 5 4 2" xfId="28202" xr:uid="{F60BAB9F-C71E-4D8C-B779-8D447914E0B4}"/>
    <cellStyle name="40% - Accent1 2 2 2 5 5" xfId="17803" xr:uid="{8BD62FF1-D1F5-42D9-8694-99D4D45900CC}"/>
    <cellStyle name="40% - Accent1 2 2 2 6" xfId="17802" xr:uid="{A7C05F46-0542-424F-9FDE-D558A3FEC73E}"/>
    <cellStyle name="40% - Accent1 2 2 2 6 2" xfId="17797" xr:uid="{2D68F887-8303-4F4C-A397-57787A7D2CEB}"/>
    <cellStyle name="40% - Accent1 2 2 2 6 2 2" xfId="17861" xr:uid="{7CBB4FC2-3211-4A22-9F63-8C0C4E0F9990}"/>
    <cellStyle name="40% - Accent1 2 2 2 6 2 2 2" xfId="20918" xr:uid="{4E4F0085-61E5-441E-99D8-1ECCA6971EF8}"/>
    <cellStyle name="40% - Accent1 2 2 2 6 2 3" xfId="22474" xr:uid="{6777F7D7-615A-4074-B766-A68B228FD547}"/>
    <cellStyle name="40% - Accent1 2 2 2 6 3" xfId="17858" xr:uid="{9AC66271-37B9-4EFC-8D15-212DAEB391B9}"/>
    <cellStyle name="40% - Accent1 2 2 2 6 3 2" xfId="22357" xr:uid="{57F8FB5A-0FC3-4BB8-A9C8-76F83719707B}"/>
    <cellStyle name="40% - Accent1 2 2 2 6 4" xfId="23274" xr:uid="{FF428A63-E2EF-4ADF-8851-664219881B9B}"/>
    <cellStyle name="40% - Accent1 2 2 2 7" xfId="17794" xr:uid="{B85D6AF8-916A-4CEE-B273-C5A981EA4D5C}"/>
    <cellStyle name="40% - Accent1 2 2 2 7 2" xfId="17789" xr:uid="{7C9AE6A7-1AAD-41A2-B43C-93513F7E593D}"/>
    <cellStyle name="40% - Accent1 2 2 2 7 2 2" xfId="20272" xr:uid="{8D2D4B2E-3E32-4451-9040-296D97FDDC52}"/>
    <cellStyle name="40% - Accent1 2 2 2 7 3" xfId="23268" xr:uid="{AB7C406A-46C4-4872-B937-E4DA0554AFD2}"/>
    <cellStyle name="40% - Accent1 2 2 2 8" xfId="17786" xr:uid="{D0CD3FAD-EC95-4AE2-84BC-EB7AB57F10EA}"/>
    <cellStyle name="40% - Accent1 2 2 2 8 2" xfId="23265" xr:uid="{4A79E531-141C-44BB-BA8A-3EB07C414CFE}"/>
    <cellStyle name="40% - Accent1 2 2 2 9" xfId="23493" xr:uid="{1ECB7343-F849-4AB6-9F27-C135A29E023F}"/>
    <cellStyle name="40% - Accent1 2 2 3" xfId="21293" xr:uid="{71262315-CC8B-4793-9E00-36493497C7E8}"/>
    <cellStyle name="40% - Accent1 2 2 3 2" xfId="20646" xr:uid="{86AF40A8-97D3-4EAE-8FE4-2CA3E952B5CD}"/>
    <cellStyle name="40% - Accent1 2 2 3 2 2" xfId="32724" xr:uid="{4046B75B-9BB0-4297-AAF4-D1CBA1E02C46}"/>
    <cellStyle name="40% - Accent1 2 2 3 2 2 2" xfId="17780" xr:uid="{E7EDAD5E-67D9-48A6-9889-FD1913884A7D}"/>
    <cellStyle name="40% - Accent1 2 2 3 2 2 2 2" xfId="17777" xr:uid="{DB5CDB7C-5F5E-4375-BBD8-179E92FEB116}"/>
    <cellStyle name="40% - Accent1 2 2 3 2 2 2 2 2" xfId="17775" xr:uid="{8C11FD23-D24C-493F-BF21-8550784338CA}"/>
    <cellStyle name="40% - Accent1 2 2 3 2 2 2 2 2 2" xfId="18419" xr:uid="{F4C02805-17C5-46B6-A144-CA34CD88525C}"/>
    <cellStyle name="40% - Accent1 2 2 3 2 2 2 2 2 2 2" xfId="17770" xr:uid="{9B6B94ED-CECC-4DC4-A0C6-E163C200B278}"/>
    <cellStyle name="40% - Accent1 2 2 3 2 2 2 2 2 3" xfId="17769" xr:uid="{D9102468-88FE-4429-A88D-8C908CE0CE62}"/>
    <cellStyle name="40% - Accent1 2 2 3 2 2 2 2 3" xfId="25128" xr:uid="{5F24F6B2-E0D7-4E86-A453-E4901D4A4630}"/>
    <cellStyle name="40% - Accent1 2 2 3 2 2 2 2 3 2" xfId="17767" xr:uid="{BBD555CB-B664-4FE5-803F-128A2AC0D27F}"/>
    <cellStyle name="40% - Accent1 2 2 3 2 2 2 2 4" xfId="25119" xr:uid="{578045CA-97DA-4B9E-9A46-8065713CD75F}"/>
    <cellStyle name="40% - Accent1 2 2 3 2 2 2 3" xfId="17766" xr:uid="{D5737179-AA86-45AB-9DA7-CA983FD0BD91}"/>
    <cellStyle name="40% - Accent1 2 2 3 2 2 2 3 2" xfId="31248" xr:uid="{57E45E84-3DE6-4630-98A3-E47D71612ED1}"/>
    <cellStyle name="40% - Accent1 2 2 3 2 2 2 3 2 2" xfId="17765" xr:uid="{9DDE0A83-0260-41E3-995C-8EE29085427D}"/>
    <cellStyle name="40% - Accent1 2 2 3 2 2 2 3 3" xfId="26617" xr:uid="{286867E1-510A-4D4D-9919-FF6AD75FDC01}"/>
    <cellStyle name="40% - Accent1 2 2 3 2 2 2 4" xfId="17763" xr:uid="{B7E22BF6-86A3-4A03-A77F-526401DE9F63}"/>
    <cellStyle name="40% - Accent1 2 2 3 2 2 2 4 2" xfId="31499" xr:uid="{E0751C11-3AED-4A4A-A737-EFEF24DD1EF5}"/>
    <cellStyle name="40% - Accent1 2 2 3 2 2 2 5" xfId="17762" xr:uid="{47DB889F-8C87-4014-9866-C31F54F262BD}"/>
    <cellStyle name="40% - Accent1 2 2 3 2 2 3" xfId="17761" xr:uid="{A09891A2-F605-432A-9072-29B4A2923854}"/>
    <cellStyle name="40% - Accent1 2 2 3 2 2 3 2" xfId="17760" xr:uid="{D0835B4A-358C-4166-A9EB-492F750BA6A6}"/>
    <cellStyle name="40% - Accent1 2 2 3 2 2 3 2 2" xfId="17759" xr:uid="{94C45138-C874-4884-AA93-2EC67CA23BBD}"/>
    <cellStyle name="40% - Accent1 2 2 3 2 2 3 2 2 2" xfId="17755" xr:uid="{171A90E4-6035-4DA5-8BEB-27DDB5224A20}"/>
    <cellStyle name="40% - Accent1 2 2 3 2 2 3 2 3" xfId="17754" xr:uid="{870D20F8-2D15-4202-BFEA-63CA52786F67}"/>
    <cellStyle name="40% - Accent1 2 2 3 2 2 3 3" xfId="23889" xr:uid="{5EDA1E57-8464-4C11-B97D-1287CD1E2163}"/>
    <cellStyle name="40% - Accent1 2 2 3 2 2 3 3 2" xfId="28395" xr:uid="{5641817A-7E3E-4347-93A9-1C1291C5530C}"/>
    <cellStyle name="40% - Accent1 2 2 3 2 2 3 4" xfId="17751" xr:uid="{12B83013-5F6E-4484-8C1C-659B9DD38342}"/>
    <cellStyle name="40% - Accent1 2 2 3 2 2 4" xfId="22637" xr:uid="{8AAB78C8-D835-413D-A47D-2DF336DC866E}"/>
    <cellStyle name="40% - Accent1 2 2 3 2 2 4 2" xfId="16711" xr:uid="{B14518A9-A12F-4E62-9E05-AF72A80F0B5D}"/>
    <cellStyle name="40% - Accent1 2 2 3 2 2 4 2 2" xfId="17749" xr:uid="{885F4B95-85AC-4291-9544-5010F912643C}"/>
    <cellStyle name="40% - Accent1 2 2 3 2 2 4 3" xfId="17744" xr:uid="{A4E64219-E169-41AA-B947-233E4A639A98}"/>
    <cellStyle name="40% - Accent1 2 2 3 2 2 5" xfId="17741" xr:uid="{F33602B0-10C6-41DA-8D7D-C06B448EC64E}"/>
    <cellStyle name="40% - Accent1 2 2 3 2 2 5 2" xfId="17739" xr:uid="{C537C5AD-FEB8-4641-B6BE-D04B5E61FA02}"/>
    <cellStyle name="40% - Accent1 2 2 3 2 2 6" xfId="30445" xr:uid="{868A5028-0081-4AA6-BCB1-17FD6F5FCEA8}"/>
    <cellStyle name="40% - Accent1 2 2 3 2 3" xfId="27479" xr:uid="{3D65EF20-205C-4F0E-8480-89B337F8A548}"/>
    <cellStyle name="40% - Accent1 2 2 3 2 3 2" xfId="27593" xr:uid="{F706A7FE-2493-4161-A143-F00A8092C2BC}"/>
    <cellStyle name="40% - Accent1 2 2 3 2 3 2 2" xfId="17735" xr:uid="{182C5FAE-6FC3-44BE-9308-BCA0ECCE9788}"/>
    <cellStyle name="40% - Accent1 2 2 3 2 3 2 2 2" xfId="17733" xr:uid="{C90C524A-6CCA-4C96-AED7-181C5C9618CD}"/>
    <cellStyle name="40% - Accent1 2 2 3 2 3 2 2 2 2" xfId="17730" xr:uid="{2520D0E9-5361-4424-B6B9-25E85C68FBD3}"/>
    <cellStyle name="40% - Accent1 2 2 3 2 3 2 2 3" xfId="17729" xr:uid="{4D257910-5119-4967-9FC0-4A86FAC857B0}"/>
    <cellStyle name="40% - Accent1 2 2 3 2 3 2 3" xfId="26078" xr:uid="{ADC3F61B-124A-417B-B0F6-F3BB7539B7C4}"/>
    <cellStyle name="40% - Accent1 2 2 3 2 3 2 3 2" xfId="27917" xr:uid="{4348E624-40B2-45C2-961D-FE1C4482A75E}"/>
    <cellStyle name="40% - Accent1 2 2 3 2 3 2 4" xfId="25564" xr:uid="{F2E8DB18-99BE-4F75-A56B-1714CEECF253}"/>
    <cellStyle name="40% - Accent1 2 2 3 2 3 3" xfId="17725" xr:uid="{98399A6D-D338-42CF-AC66-717D496F7EAB}"/>
    <cellStyle name="40% - Accent1 2 2 3 2 3 3 2" xfId="17720" xr:uid="{D31FF512-707E-472F-B1EB-8E357869C688}"/>
    <cellStyle name="40% - Accent1 2 2 3 2 3 3 2 2" xfId="17719" xr:uid="{98D627A0-6AA2-4396-ADEF-69FB72765C86}"/>
    <cellStyle name="40% - Accent1 2 2 3 2 3 3 3" xfId="30013" xr:uid="{C6F2E366-2C21-4F45-95D0-E538DB211F2F}"/>
    <cellStyle name="40% - Accent1 2 2 3 2 3 4" xfId="18815" xr:uid="{B1FA1F50-5DDF-43C5-A0B1-83353DDAD4D5}"/>
    <cellStyle name="40% - Accent1 2 2 3 2 3 4 2" xfId="17716" xr:uid="{94B711D3-361F-45BB-9F45-5692263CF476}"/>
    <cellStyle name="40% - Accent1 2 2 3 2 3 5" xfId="17713" xr:uid="{D4ADB6D9-A2A8-4681-8AE2-010A8D4C4BC4}"/>
    <cellStyle name="40% - Accent1 2 2 3 2 4" xfId="21859" xr:uid="{FD4DF1B1-7818-47A7-B156-9CD1E13A03FA}"/>
    <cellStyle name="40% - Accent1 2 2 3 2 4 2" xfId="17712" xr:uid="{9FED71E5-750A-49DC-BFB8-AD7F4851C0A0}"/>
    <cellStyle name="40% - Accent1 2 2 3 2 4 2 2" xfId="17706" xr:uid="{51E1F14A-ED0C-423D-B213-D0C82BE955CB}"/>
    <cellStyle name="40% - Accent1 2 2 3 2 4 2 2 2" xfId="22803" xr:uid="{A5CD3B22-62E9-4881-B3E3-2529CA895AD3}"/>
    <cellStyle name="40% - Accent1 2 2 3 2 4 2 3" xfId="25537" xr:uid="{E7627179-9E3A-458A-A65B-749637CFECA6}"/>
    <cellStyle name="40% - Accent1 2 2 3 2 4 3" xfId="17705" xr:uid="{79418F20-4241-49CC-9CFF-6747C7713F84}"/>
    <cellStyle name="40% - Accent1 2 2 3 2 4 3 2" xfId="17704" xr:uid="{62F7CC0F-574D-4298-B335-0DBB9B623ABE}"/>
    <cellStyle name="40% - Accent1 2 2 3 2 4 4" xfId="17703" xr:uid="{9B4B02C0-340C-47D8-BAE8-CA057A2B2154}"/>
    <cellStyle name="40% - Accent1 2 2 3 2 5" xfId="17702" xr:uid="{4537C639-3B04-4237-9251-57033EC039AB}"/>
    <cellStyle name="40% - Accent1 2 2 3 2 5 2" xfId="17701" xr:uid="{4614DC1D-CA5A-43C7-844B-9683C9AAEE7F}"/>
    <cellStyle name="40% - Accent1 2 2 3 2 5 2 2" xfId="23216" xr:uid="{4293E1D0-606A-4877-BEA5-1563B0644584}"/>
    <cellStyle name="40% - Accent1 2 2 3 2 5 3" xfId="8560" xr:uid="{A2FDCF01-60E4-42CB-BC83-7D7EDF4669F5}"/>
    <cellStyle name="40% - Accent1 2 2 3 2 6" xfId="17697" xr:uid="{81C9E975-80E7-42D0-A7A7-F6D261AFEDCD}"/>
    <cellStyle name="40% - Accent1 2 2 3 2 6 2" xfId="6900" xr:uid="{451719C7-7C79-4EF9-A133-E1DFDBCE5C7B}"/>
    <cellStyle name="40% - Accent1 2 2 3 2 7" xfId="17696" xr:uid="{11FC8153-2375-43E9-97B2-26F91FFA6834}"/>
    <cellStyle name="40% - Accent1 2 2 3 3" xfId="20373" xr:uid="{A16ECC18-4FE0-49C3-92AB-A272A92F97E8}"/>
    <cellStyle name="40% - Accent1 2 2 3 3 2" xfId="27808" xr:uid="{9DA50E11-8CBB-401F-AAF0-C45129E9D5F6}"/>
    <cellStyle name="40% - Accent1 2 2 3 3 2 2" xfId="17695" xr:uid="{2FA24732-842B-4F0F-984A-A795D6DA2ADF}"/>
    <cellStyle name="40% - Accent1 2 2 3 3 2 2 2" xfId="9857" xr:uid="{8BF35E2F-EF61-4B5B-92DB-B29AE31A87E6}"/>
    <cellStyle name="40% - Accent1 2 2 3 3 2 2 2 2" xfId="17693" xr:uid="{70FC884F-216A-415F-B509-28AD84BCD85A}"/>
    <cellStyle name="40% - Accent1 2 2 3 3 2 2 2 2 2" xfId="17726" xr:uid="{A8DDBA94-8488-4305-B0AD-98892DFF7D2B}"/>
    <cellStyle name="40% - Accent1 2 2 3 3 2 2 2 3" xfId="17690" xr:uid="{E9048D77-FA9F-4C78-B12B-CCCBD636B84D}"/>
    <cellStyle name="40% - Accent1 2 2 3 3 2 2 3" xfId="17686" xr:uid="{E94BCC8D-B9BB-42E5-A1E0-1BC30F9C588F}"/>
    <cellStyle name="40% - Accent1 2 2 3 3 2 2 3 2" xfId="32149" xr:uid="{A286707B-2F60-4595-A0E8-65AA4B573A31}"/>
    <cellStyle name="40% - Accent1 2 2 3 3 2 2 4" xfId="17682" xr:uid="{2B0DA33D-E2E8-4AC1-8BDA-C80C6599349C}"/>
    <cellStyle name="40% - Accent1 2 2 3 3 2 3" xfId="17678" xr:uid="{4DDDEDE7-5848-478C-AB27-5BEA75B4385E}"/>
    <cellStyle name="40% - Accent1 2 2 3 3 2 3 2" xfId="9834" xr:uid="{BB6101E4-A9DC-47A6-A773-564A1E9631D8}"/>
    <cellStyle name="40% - Accent1 2 2 3 3 2 3 2 2" xfId="18950" xr:uid="{632007E3-26D7-4682-8C21-555FCBE154B5}"/>
    <cellStyle name="40% - Accent1 2 2 3 3 2 3 3" xfId="17675" xr:uid="{25E96BBC-8E7D-4659-AD2F-CD25CA27B2EA}"/>
    <cellStyle name="40% - Accent1 2 2 3 3 2 4" xfId="17673" xr:uid="{B34976CA-CD70-4A3C-9EF6-E07C1BC7C8BF}"/>
    <cellStyle name="40% - Accent1 2 2 3 3 2 4 2" xfId="17671" xr:uid="{69E31E3D-B9DB-4AC9-8C88-93A8A8F24949}"/>
    <cellStyle name="40% - Accent1 2 2 3 3 2 5" xfId="17668" xr:uid="{983E0CCE-62C9-41EE-BD4E-B7853E94FB56}"/>
    <cellStyle name="40% - Accent1 2 2 3 3 3" xfId="27798" xr:uid="{EEDF5462-94E4-4C5B-9462-4522A3DF2B08}"/>
    <cellStyle name="40% - Accent1 2 2 3 3 3 2" xfId="17664" xr:uid="{292D2DE3-65F1-4EA8-AB4C-311E96A350CE}"/>
    <cellStyle name="40% - Accent1 2 2 3 3 3 2 2" xfId="9808" xr:uid="{CF42864E-6747-4008-B4A2-C78BC58362AE}"/>
    <cellStyle name="40% - Accent1 2 2 3 3 3 2 2 2" xfId="17660" xr:uid="{26FA87BE-BE8D-48C1-9926-3CFBFA85E054}"/>
    <cellStyle name="40% - Accent1 2 2 3 3 3 2 3" xfId="27610" xr:uid="{DC0C550D-142B-4373-9829-C20D8F5443E5}"/>
    <cellStyle name="40% - Accent1 2 2 3 3 3 3" xfId="17656" xr:uid="{88B13E7E-A7D6-4170-B274-C0539FF2555F}"/>
    <cellStyle name="40% - Accent1 2 2 3 3 3 3 2" xfId="34309" xr:uid="{2FDEA978-EFA6-4E90-BD99-6171429EA925}"/>
    <cellStyle name="40% - Accent1 2 2 3 3 3 4" xfId="18258" xr:uid="{BA6E04EE-C25A-42F7-AC4D-C558CB22966D}"/>
    <cellStyle name="40% - Accent1 2 2 3 3 4" xfId="22835" xr:uid="{F51CCA58-E356-4529-85C2-03576483B5AA}"/>
    <cellStyle name="40% - Accent1 2 2 3 3 4 2" xfId="17654" xr:uid="{E87715B7-76BE-4433-ADCF-D029C3176B1A}"/>
    <cellStyle name="40% - Accent1 2 2 3 3 4 2 2" xfId="21534" xr:uid="{B4D0EF5A-F130-47F9-A4CF-E973BF9FE5A2}"/>
    <cellStyle name="40% - Accent1 2 2 3 3 4 3" xfId="29043" xr:uid="{D0AD3B65-527F-40EC-9A3C-1948110128F3}"/>
    <cellStyle name="40% - Accent1 2 2 3 3 5" xfId="17652" xr:uid="{D0765869-F18A-425F-938C-E4A89C650148}"/>
    <cellStyle name="40% - Accent1 2 2 3 3 5 2" xfId="17651" xr:uid="{1D6BC7C4-FA7F-4BB6-8077-EAB2616B6862}"/>
    <cellStyle name="40% - Accent1 2 2 3 3 6" xfId="13946" xr:uid="{3BC57770-E6AB-4B7F-B8A7-F1F58AE87DBB}"/>
    <cellStyle name="40% - Accent1 2 2 3 4" xfId="23846" xr:uid="{7159A47A-5686-4080-B8AF-E5EB39F1602F}"/>
    <cellStyle name="40% - Accent1 2 2 3 4 2" xfId="27784" xr:uid="{DD38261B-94D3-49B5-853F-85B9A64A88BF}"/>
    <cellStyle name="40% - Accent1 2 2 3 4 2 2" xfId="20084" xr:uid="{8FB1BF5B-210E-4DB5-B914-6B21AEE0BE2B}"/>
    <cellStyle name="40% - Accent1 2 2 3 4 2 2 2" xfId="9751" xr:uid="{10C7CB41-B641-4213-AB4F-352BE8D5A0BA}"/>
    <cellStyle name="40% - Accent1 2 2 3 4 2 2 2 2" xfId="17646" xr:uid="{0944B051-171D-46C2-8BB5-6D1940644CFE}"/>
    <cellStyle name="40% - Accent1 2 2 3 4 2 2 3" xfId="28310" xr:uid="{CE1B7396-9F24-4312-ADBD-A30F81096CF2}"/>
    <cellStyle name="40% - Accent1 2 2 3 4 2 3" xfId="20075" xr:uid="{6263526E-7F68-496C-9105-CEBAA89D62D1}"/>
    <cellStyle name="40% - Accent1 2 2 3 4 2 3 2" xfId="28078" xr:uid="{9A4FAC11-AB77-4C47-838F-A66D24DE8750}"/>
    <cellStyle name="40% - Accent1 2 2 3 4 2 4" xfId="17640" xr:uid="{C5675ADB-84C9-437A-84F1-D7A213EDB6B6}"/>
    <cellStyle name="40% - Accent1 2 2 3 4 3" xfId="17635" xr:uid="{48DD9534-F3CD-4348-B9A0-DD89D7B5A36B}"/>
    <cellStyle name="40% - Accent1 2 2 3 4 3 2" xfId="20043" xr:uid="{22687D82-4179-469B-A0B6-333C0705E270}"/>
    <cellStyle name="40% - Accent1 2 2 3 4 3 2 2" xfId="28031" xr:uid="{3BC6D023-9EF0-4AE9-81A5-5245B8F7EE14}"/>
    <cellStyle name="40% - Accent1 2 2 3 4 3 3" xfId="18076" xr:uid="{E48F8E53-B040-4974-BFEB-268A83DB49DB}"/>
    <cellStyle name="40% - Accent1 2 2 3 4 4" xfId="13614" xr:uid="{78FBE6BE-92D4-43AB-BC2F-FC337E43634C}"/>
    <cellStyle name="40% - Accent1 2 2 3 4 4 2" xfId="28059" xr:uid="{E65047E2-B18F-484C-8468-F0BA91F42E85}"/>
    <cellStyle name="40% - Accent1 2 2 3 4 5" xfId="17624" xr:uid="{F7821D76-A5E3-4F45-B4E2-BE722DCA573E}"/>
    <cellStyle name="40% - Accent1 2 2 3 5" xfId="34351" xr:uid="{9A231916-CEE1-4D8C-AB83-6AE115071AD2}"/>
    <cellStyle name="40% - Accent1 2 2 3 5 2" xfId="6125" xr:uid="{2093BD67-4B7C-4C19-8A86-96A4D26A8016}"/>
    <cellStyle name="40% - Accent1 2 2 3 5 2 2" xfId="5424" xr:uid="{4CEB469F-3902-4A36-BA22-D1FE79224DF8}"/>
    <cellStyle name="40% - Accent1 2 2 3 5 2 2 2" xfId="28011" xr:uid="{4005ECCC-392A-4B47-B4BE-2286266D7C49}"/>
    <cellStyle name="40% - Accent1 2 2 3 5 2 3" xfId="25905" xr:uid="{9680DC41-7C3B-49E3-8B69-D0468E6F6283}"/>
    <cellStyle name="40% - Accent1 2 2 3 5 3" xfId="16439" xr:uid="{E5BDC5AC-DD44-4E97-96FC-0E578C08F0BC}"/>
    <cellStyle name="40% - Accent1 2 2 3 5 3 2" xfId="33089" xr:uid="{BE2A3B2D-ABA8-4714-BADA-225E8AFFD716}"/>
    <cellStyle name="40% - Accent1 2 2 3 5 4" xfId="17620" xr:uid="{372DA156-024D-4C8D-A405-9EB800EECE61}"/>
    <cellStyle name="40% - Accent1 2 2 3 6" xfId="21636" xr:uid="{8338A26D-FC0D-4792-BADB-67FD70B4008A}"/>
    <cellStyle name="40% - Accent1 2 2 3 6 2" xfId="5372" xr:uid="{93D5E324-97F0-46DC-BE50-3461EBB737A0}"/>
    <cellStyle name="40% - Accent1 2 2 3 6 2 2" xfId="24124" xr:uid="{47BD8BDF-ED40-4484-B549-A65B4EBBC454}"/>
    <cellStyle name="40% - Accent1 2 2 3 6 3" xfId="16742" xr:uid="{997710EB-318F-40ED-8720-3274940770C0}"/>
    <cellStyle name="40% - Accent1 2 2 3 7" xfId="17618" xr:uid="{80DF66E0-398A-462C-8E3D-248A53550A32}"/>
    <cellStyle name="40% - Accent1 2 2 3 7 2" xfId="16737" xr:uid="{155B91C4-C8B7-4AE6-BDCC-B2ACDA4E660A}"/>
    <cellStyle name="40% - Accent1 2 2 3 8" xfId="22575" xr:uid="{C91C8C64-ECC7-42DA-BE30-B1DAD53D8E49}"/>
    <cellStyle name="40% - Accent1 2 2 4" xfId="18423" xr:uid="{0238EAEA-CFAB-4038-9BD9-9774D7D6905D}"/>
    <cellStyle name="40% - Accent1 2 2 4 2" xfId="20645" xr:uid="{54AD1148-937E-4C0A-9996-2925DE0F8E0F}"/>
    <cellStyle name="40% - Accent1 2 2 4 2 2" xfId="27468" xr:uid="{94CF0F93-2DF0-4D03-BEFC-EDAEAE2E459E}"/>
    <cellStyle name="40% - Accent1 2 2 4 2 2 2" xfId="16945" xr:uid="{3D528F91-A74E-4A85-A6E9-E1740B1BCFE1}"/>
    <cellStyle name="40% - Accent1 2 2 4 2 2 2 2" xfId="8983" xr:uid="{10E5C49D-3872-4F29-B3AE-C957FE411399}"/>
    <cellStyle name="40% - Accent1 2 2 4 2 2 2 2 2" xfId="10449" xr:uid="{75E9D879-7B7C-4429-BFAA-AA6AD6DE53F6}"/>
    <cellStyle name="40% - Accent1 2 2 4 2 2 2 2 2 2" xfId="17612" xr:uid="{F17BED39-2893-45C6-9AE7-202910F52100}"/>
    <cellStyle name="40% - Accent1 2 2 4 2 2 2 2 3" xfId="12758" xr:uid="{E8A1A298-99AF-4B8F-8C18-A6D5C6D0E3F0}"/>
    <cellStyle name="40% - Accent1 2 2 4 2 2 2 3" xfId="27505" xr:uid="{DB598AFC-9C0D-44E3-B2D7-C46CE9C72CA8}"/>
    <cellStyle name="40% - Accent1 2 2 4 2 2 2 3 2" xfId="29641" xr:uid="{B6E22153-D293-43A6-865B-9C429D20A750}"/>
    <cellStyle name="40% - Accent1 2 2 4 2 2 2 4" xfId="27501" xr:uid="{202AD152-7F8E-4AD0-9F8A-DECBC3465C78}"/>
    <cellStyle name="40% - Accent1 2 2 4 2 2 3" xfId="17881" xr:uid="{3372BD2B-FB67-4024-ADE1-AEC6217B032A}"/>
    <cellStyle name="40% - Accent1 2 2 4 2 2 3 2" xfId="17611" xr:uid="{99C4944C-05AE-4FCE-B983-142EE10B5489}"/>
    <cellStyle name="40% - Accent1 2 2 4 2 2 3 2 2" xfId="17610" xr:uid="{43684D2B-AA88-4062-9679-36EDF8FA91FE}"/>
    <cellStyle name="40% - Accent1 2 2 4 2 2 3 3" xfId="27498" xr:uid="{A7824A9B-F630-4D41-BF83-E0CAFC750CD3}"/>
    <cellStyle name="40% - Accent1 2 2 4 2 2 4" xfId="17608" xr:uid="{EFBD164E-F2C3-4C26-A4E7-D83981060409}"/>
    <cellStyle name="40% - Accent1 2 2 4 2 2 4 2" xfId="17604" xr:uid="{C90B79CC-8BEB-49F6-8D17-009B9D2EBB71}"/>
    <cellStyle name="40% - Accent1 2 2 4 2 2 5" xfId="18822" xr:uid="{14DF9101-4656-490F-A947-59EDE70E4E5C}"/>
    <cellStyle name="40% - Accent1 2 2 4 2 3" xfId="20841" xr:uid="{1DE15D64-84D7-460B-B58F-75D400395986}"/>
    <cellStyle name="40% - Accent1 2 2 4 2 3 2" xfId="16902" xr:uid="{7CB64038-96CD-40CF-8214-FE66E9B8D347}"/>
    <cellStyle name="40% - Accent1 2 2 4 2 3 2 2" xfId="17599" xr:uid="{7405247C-ED6B-43C5-9B8F-1CCA6532F900}"/>
    <cellStyle name="40% - Accent1 2 2 4 2 3 2 2 2" xfId="17598" xr:uid="{E1A22DD3-A18C-4029-B940-C71560382589}"/>
    <cellStyle name="40% - Accent1 2 2 4 2 3 2 3" xfId="25260" xr:uid="{684AE217-2207-455F-8404-240B75F16B36}"/>
    <cellStyle name="40% - Accent1 2 2 4 2 3 3" xfId="17596" xr:uid="{7A953AD2-D716-419D-9658-9473FF952611}"/>
    <cellStyle name="40% - Accent1 2 2 4 2 3 3 2" xfId="17592" xr:uid="{C10EFCEB-5070-4CAA-B86D-8F5A70629D40}"/>
    <cellStyle name="40% - Accent1 2 2 4 2 3 4" xfId="17590" xr:uid="{CC54B51E-AC54-407B-A677-8A10520B748F}"/>
    <cellStyle name="40% - Accent1 2 2 4 2 4" xfId="17587" xr:uid="{71C9EB65-B59A-4070-82A6-EDFD3A2652F8}"/>
    <cellStyle name="40% - Accent1 2 2 4 2 4 2" xfId="16885" xr:uid="{CC6400BB-64EC-45DE-9B77-7625EB3B6D02}"/>
    <cellStyle name="40% - Accent1 2 2 4 2 4 2 2" xfId="17580" xr:uid="{0822E73C-B547-4F4D-A69D-B537EAC9A16D}"/>
    <cellStyle name="40% - Accent1 2 2 4 2 4 3" xfId="17579" xr:uid="{913211A8-DFE3-465B-ADA9-C967A1221788}"/>
    <cellStyle name="40% - Accent1 2 2 4 2 5" xfId="31872" xr:uid="{76EBC8E9-A549-41F8-9261-2B1E21CC0BBC}"/>
    <cellStyle name="40% - Accent1 2 2 4 2 5 2" xfId="29263" xr:uid="{54A48632-ECFE-4838-8C2C-EC4AF08F274A}"/>
    <cellStyle name="40% - Accent1 2 2 4 2 6" xfId="33350" xr:uid="{69A0362D-FC6E-4237-8214-539BE2144195}"/>
    <cellStyle name="40% - Accent1 2 2 4 3" xfId="19683" xr:uid="{087B0A59-6D86-4EF6-8843-640EA45C789E}"/>
    <cellStyle name="40% - Accent1 2 2 4 3 2" xfId="27745" xr:uid="{6829BD02-E278-475D-BF85-87F18C9DC142}"/>
    <cellStyle name="40% - Accent1 2 2 4 3 2 2" xfId="17577" xr:uid="{6BF3E885-21BA-4B86-BA16-292E741F6A09}"/>
    <cellStyle name="40% - Accent1 2 2 4 3 2 2 2" xfId="9655" xr:uid="{CD2EAADE-0744-4B0A-A832-6FC52C8C3149}"/>
    <cellStyle name="40% - Accent1 2 2 4 3 2 2 2 2" xfId="17921" xr:uid="{84AFBFF4-1B6B-42C9-85E9-CD3C90BF41AB}"/>
    <cellStyle name="40% - Accent1 2 2 4 3 2 2 3" xfId="12651" xr:uid="{0ADD5575-E323-4E05-9303-7E5E2520537C}"/>
    <cellStyle name="40% - Accent1 2 2 4 3 2 3" xfId="17570" xr:uid="{852B0419-6E7F-4D11-AC7A-EDB2041E124D}"/>
    <cellStyle name="40% - Accent1 2 2 4 3 2 3 2" xfId="17567" xr:uid="{94C27388-3931-4B92-8A9C-201CBB0CF862}"/>
    <cellStyle name="40% - Accent1 2 2 4 3 2 4" xfId="17564" xr:uid="{658EA1FE-A310-43AA-AF33-2D24E37A6C1F}"/>
    <cellStyle name="40% - Accent1 2 2 4 3 3" xfId="17558" xr:uid="{DAC72DFF-5F8E-4270-B8E0-437969E47194}"/>
    <cellStyle name="40% - Accent1 2 2 4 3 3 2" xfId="17552" xr:uid="{CAF7BC00-CCEB-43A2-B294-099774AD6218}"/>
    <cellStyle name="40% - Accent1 2 2 4 3 3 2 2" xfId="12594" xr:uid="{C4943451-C40F-4C42-BCCD-298C20E46FFC}"/>
    <cellStyle name="40% - Accent1 2 2 4 3 3 3" xfId="17545" xr:uid="{0088DE83-77AF-448D-9DFB-F7E24522561F}"/>
    <cellStyle name="40% - Accent1 2 2 4 3 4" xfId="17542" xr:uid="{BEAB67E0-563A-4DF2-B554-CAF5260569F1}"/>
    <cellStyle name="40% - Accent1 2 2 4 3 4 2" xfId="17537" xr:uid="{BC1E5E23-3B70-4234-B91F-1CC87B17E202}"/>
    <cellStyle name="40% - Accent1 2 2 4 3 5" xfId="30930" xr:uid="{A17C4D6D-88AE-4496-8865-2C0492538558}"/>
    <cellStyle name="40% - Accent1 2 2 4 4" xfId="17534" xr:uid="{69F78A36-A312-41C2-AA3C-FC1DA9641AE5}"/>
    <cellStyle name="40% - Accent1 2 2 4 4 2" xfId="17530" xr:uid="{AA14F6C4-8966-4675-8DCC-0960A1623FE8}"/>
    <cellStyle name="40% - Accent1 2 2 4 4 2 2" xfId="20006" xr:uid="{438C5AE8-7D70-4269-A582-AFA35AD33915}"/>
    <cellStyle name="40% - Accent1 2 2 4 4 2 2 2" xfId="26381" xr:uid="{D9EC73D5-4F42-4897-A905-0DEFBB0808CC}"/>
    <cellStyle name="40% - Accent1 2 2 4 4 2 3" xfId="17528" xr:uid="{8FC52D67-53AA-4C0B-AB5A-B488C6CE3211}"/>
    <cellStyle name="40% - Accent1 2 2 4 4 3" xfId="17523" xr:uid="{69F50FD0-329B-493D-9B41-AA8CF2E49CE2}"/>
    <cellStyle name="40% - Accent1 2 2 4 4 3 2" xfId="18052" xr:uid="{00AF53A6-7182-43E4-A6E4-EC5E1D020219}"/>
    <cellStyle name="40% - Accent1 2 2 4 4 4" xfId="17519" xr:uid="{389E36A2-57BD-43C3-906A-5E4893DE2C6B}"/>
    <cellStyle name="40% - Accent1 2 2 4 5" xfId="17514" xr:uid="{1FA0A35A-D5F0-4A6F-AEB2-34868AC37A4D}"/>
    <cellStyle name="40% - Accent1 2 2 4 5 2" xfId="6099" xr:uid="{25B3BDF8-04F5-4AF5-ACF3-2EBA4A5FDB68}"/>
    <cellStyle name="40% - Accent1 2 2 4 5 2 2" xfId="32015" xr:uid="{4E3A5151-650D-4D5C-8CAE-EC8C8BA63742}"/>
    <cellStyle name="40% - Accent1 2 2 4 5 3" xfId="27992" xr:uid="{9008585D-764B-420C-9725-5CD4828C16E3}"/>
    <cellStyle name="40% - Accent1 2 2 4 6" xfId="7805" xr:uid="{3466DDD3-49E6-444B-B16B-A8B3CBDD8311}"/>
    <cellStyle name="40% - Accent1 2 2 4 6 2" xfId="17505" xr:uid="{1AE61A30-2645-4324-A85F-964C19CA669A}"/>
    <cellStyle name="40% - Accent1 2 2 4 7" xfId="17502" xr:uid="{8D9889FA-6865-47EB-8127-1F4B58B924C6}"/>
    <cellStyle name="40% - Accent1 2 2 5" xfId="21281" xr:uid="{EE38A46E-CEB0-4D68-BD1E-2183ED105AFC}"/>
    <cellStyle name="40% - Accent1 2 2 5 2" xfId="19572" xr:uid="{624597A8-117E-45CF-87BD-4652C9DC5AEC}"/>
    <cellStyle name="40% - Accent1 2 2 5 2 2" xfId="27450" xr:uid="{24CA6585-239F-4CB9-8035-123FEF5ACFCE}"/>
    <cellStyle name="40% - Accent1 2 2 5 2 2 2" xfId="16266" xr:uid="{BA8C2A64-4A65-480B-8202-680995DC8904}"/>
    <cellStyle name="40% - Accent1 2 2 5 2 2 2 2" xfId="17498" xr:uid="{D5474EB3-1A9B-473C-9E3D-CE240C3F322B}"/>
    <cellStyle name="40% - Accent1 2 2 5 2 2 2 2 2" xfId="17497" xr:uid="{FE028EAB-76A0-4EB7-B511-71CD9ADCF861}"/>
    <cellStyle name="40% - Accent1 2 2 5 2 2 2 3" xfId="27339" xr:uid="{40C670D1-3639-4F05-B875-4548E8D35BCA}"/>
    <cellStyle name="40% - Accent1 2 2 5 2 2 3" xfId="17710" xr:uid="{81969627-9B9F-47F8-BD68-1A7379C84675}"/>
    <cellStyle name="40% - Accent1 2 2 5 2 2 3 2" xfId="18778" xr:uid="{355B5E18-24B1-41B0-9962-9CF5AAB2C151}"/>
    <cellStyle name="40% - Accent1 2 2 5 2 2 4" xfId="17494" xr:uid="{01B2F300-A2BE-47B9-B5EA-283D08ADF951}"/>
    <cellStyle name="40% - Accent1 2 2 5 2 3" xfId="17491" xr:uid="{AAAB16D7-2FE7-4AFD-B6A3-97AA457ECCEF}"/>
    <cellStyle name="40% - Accent1 2 2 5 2 3 2" xfId="16250" xr:uid="{BF0D1977-D708-42C7-BEEA-A2A86C9ECA4D}"/>
    <cellStyle name="40% - Accent1 2 2 5 2 3 2 2" xfId="17486" xr:uid="{8D804FE4-CFC0-4C74-BAD7-B16E39F60385}"/>
    <cellStyle name="40% - Accent1 2 2 5 2 3 3" xfId="17698" xr:uid="{DB12BEFB-A68C-4169-9C17-95916B7A32E3}"/>
    <cellStyle name="40% - Accent1 2 2 5 2 4" xfId="17485" xr:uid="{4B42645D-5827-4659-923E-8B05AD65F4AD}"/>
    <cellStyle name="40% - Accent1 2 2 5 2 4 2" xfId="16236" xr:uid="{C49A5BBD-86EB-4A51-9AF1-709DA2B2F02E}"/>
    <cellStyle name="40% - Accent1 2 2 5 2 5" xfId="28744" xr:uid="{711BB391-F54E-474A-944F-ADE1D061D66E}"/>
    <cellStyle name="40% - Accent1 2 2 5 3" xfId="19679" xr:uid="{B8DDDA7F-4C10-4C48-AC2D-D4579B8997DB}"/>
    <cellStyle name="40% - Accent1 2 2 5 3 2" xfId="17480" xr:uid="{37815789-2C52-4AB5-80B5-CAD570A7BBA7}"/>
    <cellStyle name="40% - Accent1 2 2 5 3 2 2" xfId="20738" xr:uid="{91250A54-1400-47C8-A05A-AA7DD331A7B9}"/>
    <cellStyle name="40% - Accent1 2 2 5 3 2 2 2" xfId="17478" xr:uid="{CBF2CD34-FCB4-40CB-B1C2-7617F6959A81}"/>
    <cellStyle name="40% - Accent1 2 2 5 3 2 3" xfId="17475" xr:uid="{506E446D-4AC1-49BD-A9E0-638309D1D9E6}"/>
    <cellStyle name="40% - Accent1 2 2 5 3 3" xfId="17472" xr:uid="{A1B2F351-D7D5-4301-8311-43A72FC14C8E}"/>
    <cellStyle name="40% - Accent1 2 2 5 3 3 2" xfId="21135" xr:uid="{95096A59-B250-4E23-B08E-BF863B40C692}"/>
    <cellStyle name="40% - Accent1 2 2 5 3 4" xfId="19794" xr:uid="{924D7AF2-2B43-4E37-9B74-CDE876640894}"/>
    <cellStyle name="40% - Accent1 2 2 5 4" xfId="19676" xr:uid="{7C744121-58F3-4B73-AA22-0FC7E0D7BAD6}"/>
    <cellStyle name="40% - Accent1 2 2 5 4 2" xfId="17466" xr:uid="{5FE72387-F941-4141-8B49-6424E379AAD1}"/>
    <cellStyle name="40% - Accent1 2 2 5 4 2 2" xfId="17465" xr:uid="{69CDA526-1AE4-45A3-8D28-5EE42B1DAC4A}"/>
    <cellStyle name="40% - Accent1 2 2 5 4 3" xfId="17462" xr:uid="{BA0846CA-AFC9-4600-BD0C-71157619743D}"/>
    <cellStyle name="40% - Accent1 2 2 5 5" xfId="24141" xr:uid="{40C66727-E53B-45F6-9CBE-36C94697BD26}"/>
    <cellStyle name="40% - Accent1 2 2 5 5 2" xfId="22608" xr:uid="{5DA9A74D-8B27-4312-875E-61EF09DEC16C}"/>
    <cellStyle name="40% - Accent1 2 2 5 6" xfId="24130" xr:uid="{E462C134-171F-441D-A2EC-C5FD92D97C59}"/>
    <cellStyle name="40% - Accent1 2 2 6" xfId="19564" xr:uid="{5E06AFEA-1D37-4029-B17E-5204E33D6D5D}"/>
    <cellStyle name="40% - Accent1 2 2 6 2" xfId="19558" xr:uid="{FB571369-4677-4A6E-BFB9-74D0AF32F51B}"/>
    <cellStyle name="40% - Accent1 2 2 6 2 2" xfId="17460" xr:uid="{44D7F26C-C458-4F10-A22F-B35BECECF7D5}"/>
    <cellStyle name="40% - Accent1 2 2 6 2 2 2" xfId="15910" xr:uid="{C8459F15-FB1C-49F6-A7A9-F0B4DDDC0F09}"/>
    <cellStyle name="40% - Accent1 2 2 6 2 2 2 2" xfId="17459" xr:uid="{D4ADF66C-DB8C-4C12-9DE2-8D7E9D88BC40}"/>
    <cellStyle name="40% - Accent1 2 2 6 2 2 3" xfId="17583" xr:uid="{5BD8E18B-BAF3-4EC6-9EAC-1E869279AA73}"/>
    <cellStyle name="40% - Accent1 2 2 6 2 3" xfId="19774" xr:uid="{C06B79F9-D46A-4764-9C8E-AC7B22976C79}"/>
    <cellStyle name="40% - Accent1 2 2 6 2 3 2" xfId="15899" xr:uid="{8B7CA64B-D5FE-4011-A38F-10E33A59324C}"/>
    <cellStyle name="40% - Accent1 2 2 6 2 4" xfId="21482" xr:uid="{9A9AF69B-3DBB-4417-9667-7C72E5DE8B00}"/>
    <cellStyle name="40% - Accent1 2 2 6 3" xfId="24348" xr:uid="{D54F80A0-782C-4877-AB03-E9D43F2DFD45}"/>
    <cellStyle name="40% - Accent1 2 2 6 3 2" xfId="17458" xr:uid="{C22E8AB4-A767-4761-878D-6CF0CFF8E15C}"/>
    <cellStyle name="40% - Accent1 2 2 6 3 2 2" xfId="17456" xr:uid="{6AC3DD63-B295-438C-972B-A29090137AD6}"/>
    <cellStyle name="40% - Accent1 2 2 6 3 3" xfId="19454" xr:uid="{5DF3AF3E-63E2-4CDA-AECA-C83703E4729B}"/>
    <cellStyle name="40% - Accent1 2 2 6 4" xfId="22190" xr:uid="{AE222C61-24E5-46AC-B007-88128229745D}"/>
    <cellStyle name="40% - Accent1 2 2 6 4 2" xfId="17781" xr:uid="{E904D9DB-DA07-43BB-83F4-312EED0C318A}"/>
    <cellStyle name="40% - Accent1 2 2 6 5" xfId="17454" xr:uid="{F1B79054-59F5-4CB2-9891-34F0F1821E3E}"/>
    <cellStyle name="40% - Accent1 2 2 7" xfId="19158" xr:uid="{AF38665C-9AD6-4A1F-BEBA-8B6A45F5AE04}"/>
    <cellStyle name="40% - Accent1 2 2 7 2" xfId="23627" xr:uid="{B1D31A5E-7711-497D-92C0-3B582E9E45B7}"/>
    <cellStyle name="40% - Accent1 2 2 7 2 2" xfId="21075" xr:uid="{ABA1D6F5-078F-4F45-ABBA-024B4D31CB3B}"/>
    <cellStyle name="40% - Accent1 2 2 7 2 2 2" xfId="15767" xr:uid="{1E606C6D-6359-4C86-BA79-F83CF2ED1018}"/>
    <cellStyle name="40% - Accent1 2 2 7 2 3" xfId="19198" xr:uid="{F082B8FA-7682-4C4F-9DB2-11EC9700CAAA}"/>
    <cellStyle name="40% - Accent1 2 2 7 3" xfId="23620" xr:uid="{C830E90A-B269-4F40-A7B3-B3A831766D0A}"/>
    <cellStyle name="40% - Accent1 2 2 7 3 2" xfId="21025" xr:uid="{DBFC01E9-2EC9-4EDB-97E7-D9F200442868}"/>
    <cellStyle name="40% - Accent1 2 2 7 4" xfId="23616" xr:uid="{743960EC-6CFE-4D6A-818F-97D32446BA70}"/>
    <cellStyle name="40% - Accent1 2 2 8" xfId="32383" xr:uid="{31E6D598-BC5F-43B6-B3F2-6558FA7BC27B}"/>
    <cellStyle name="40% - Accent1 2 2 8 2" xfId="32059" xr:uid="{7CC19C09-753F-4758-8C4B-7CFA6A29B586}"/>
    <cellStyle name="40% - Accent1 2 2 8 2 2" xfId="20763" xr:uid="{D2F11FFC-7173-4458-8B31-8B6EF7C6EAA1}"/>
    <cellStyle name="40% - Accent1 2 2 8 3" xfId="23609" xr:uid="{B3249AC7-BB30-4D54-9F69-D18BB0391FFB}"/>
    <cellStyle name="40% - Accent1 2 2 9" xfId="29268" xr:uid="{3DA761D7-B8BD-4C3E-8E6F-CB8689CA9BE7}"/>
    <cellStyle name="40% - Accent1 2 2 9 2" xfId="23599" xr:uid="{5B754730-D57C-4159-8FFF-1939FD1BBCE9}"/>
    <cellStyle name="40% - Accent1 2 3" xfId="200" xr:uid="{481A1151-FBC1-4AE5-BBAD-FCFDB9C3A61D}"/>
    <cellStyle name="40% - Accent1 2 3 10" xfId="34535" xr:uid="{29C23080-8ACB-418F-83AD-29D5136CA8BB}"/>
    <cellStyle name="40% - Accent1 2 3 11" xfId="17451" xr:uid="{B5EC2FC4-69B6-4ADE-A40B-AC6AD01F7EC2}"/>
    <cellStyle name="40% - Accent1 2 3 2" xfId="17450" xr:uid="{1B15C106-B366-458B-AB52-5D82B2116988}"/>
    <cellStyle name="40% - Accent1 2 3 2 2" xfId="17445" xr:uid="{67DD3FD0-772D-4E40-B656-E439FB21D933}"/>
    <cellStyle name="40% - Accent1 2 3 2 2 2" xfId="17444" xr:uid="{BCAE29FD-BF2B-4447-A96C-7158D3305C74}"/>
    <cellStyle name="40% - Accent1 2 3 2 2 2 2" xfId="17443" xr:uid="{BCBEC4AD-47CC-44F5-8CE7-965E83689247}"/>
    <cellStyle name="40% - Accent1 2 3 2 2 2 2 2" xfId="17442" xr:uid="{D9BAE478-C9D2-48E2-A9F9-35DFDAF81794}"/>
    <cellStyle name="40% - Accent1 2 3 2 2 2 2 2 2" xfId="29008" xr:uid="{864220E9-6640-443B-BBED-218BBEE9E7AD}"/>
    <cellStyle name="40% - Accent1 2 3 2 2 2 2 2 2 2" xfId="25683" xr:uid="{249A6583-7CD1-466A-994A-031AD7025EF4}"/>
    <cellStyle name="40% - Accent1 2 3 2 2 2 2 2 2 2 2" xfId="24051" xr:uid="{632826AC-CCAF-4675-AA62-D77D50E540E8}"/>
    <cellStyle name="40% - Accent1 2 3 2 2 2 2 2 2 3" xfId="17441" xr:uid="{F9473914-1EFA-44A5-A759-C743C6622060}"/>
    <cellStyle name="40% - Accent1 2 3 2 2 2 2 2 3" xfId="17438" xr:uid="{C102D467-45FB-4C9B-B777-4C4223C250F7}"/>
    <cellStyle name="40% - Accent1 2 3 2 2 2 2 2 3 2" xfId="27487" xr:uid="{64768F25-DDA3-4712-89D1-29BAB24454A3}"/>
    <cellStyle name="40% - Accent1 2 3 2 2 2 2 2 4" xfId="17437" xr:uid="{7C443375-8263-4BA7-8849-95DEA59EFD41}"/>
    <cellStyle name="40% - Accent1 2 3 2 2 2 2 3" xfId="17435" xr:uid="{AB85DDB9-205D-40E4-9D37-4DA9873979C2}"/>
    <cellStyle name="40% - Accent1 2 3 2 2 2 2 3 2" xfId="17434" xr:uid="{AC0961C1-57E6-4293-A060-3EEDB6AB6035}"/>
    <cellStyle name="40% - Accent1 2 3 2 2 2 2 3 2 2" xfId="17433" xr:uid="{0B1EA666-6C5A-4A54-8139-EEB45AF9C6A1}"/>
    <cellStyle name="40% - Accent1 2 3 2 2 2 2 3 3" xfId="17429" xr:uid="{76916015-614C-453B-BA9C-BB0C38A1FE7F}"/>
    <cellStyle name="40% - Accent1 2 3 2 2 2 2 4" xfId="17428" xr:uid="{3EB85D56-6D94-4297-95A2-1B60B4F2D9B2}"/>
    <cellStyle name="40% - Accent1 2 3 2 2 2 2 4 2" xfId="17424" xr:uid="{50F21AB5-AA0C-4A74-B346-7893FB29B20B}"/>
    <cellStyle name="40% - Accent1 2 3 2 2 2 2 5" xfId="17422" xr:uid="{F900B33C-B36B-42F9-ACCC-FB3A376518C3}"/>
    <cellStyle name="40% - Accent1 2 3 2 2 2 3" xfId="17419" xr:uid="{1A96CC58-458D-4BC9-AE0B-91D90A894AF8}"/>
    <cellStyle name="40% - Accent1 2 3 2 2 2 3 2" xfId="17418" xr:uid="{2B5F98C0-C23E-440E-9BD2-8E063672FB3A}"/>
    <cellStyle name="40% - Accent1 2 3 2 2 2 3 2 2" xfId="17417" xr:uid="{60FCD1CD-E0BE-414A-81A0-0DF347C42475}"/>
    <cellStyle name="40% - Accent1 2 3 2 2 2 3 2 2 2" xfId="17416" xr:uid="{BAA7260C-E156-455C-95B2-5F271CC1EC4C}"/>
    <cellStyle name="40% - Accent1 2 3 2 2 2 3 2 3" xfId="17415" xr:uid="{D4BF23C8-48D0-438F-97BE-BC885F34BFE5}"/>
    <cellStyle name="40% - Accent1 2 3 2 2 2 3 3" xfId="17414" xr:uid="{24B01C38-CD86-4956-AC9F-5C71AD6C6F92}"/>
    <cellStyle name="40% - Accent1 2 3 2 2 2 3 3 2" xfId="17413" xr:uid="{F4B35E9A-25C3-47FB-B766-F47A512AB01C}"/>
    <cellStyle name="40% - Accent1 2 3 2 2 2 3 4" xfId="17412" xr:uid="{9602A334-8881-4F22-8E01-5F4FF7D38F51}"/>
    <cellStyle name="40% - Accent1 2 3 2 2 2 4" xfId="20545" xr:uid="{5DAA29BC-CDCE-4B57-B795-95A34E74613D}"/>
    <cellStyle name="40% - Accent1 2 3 2 2 2 4 2" xfId="14018" xr:uid="{5C7A7AEE-CD12-4225-AF66-41A36730F105}"/>
    <cellStyle name="40% - Accent1 2 3 2 2 2 4 2 2" xfId="17410" xr:uid="{E3C557B8-D8D6-4350-8892-1B6C20012637}"/>
    <cellStyle name="40% - Accent1 2 3 2 2 2 4 3" xfId="23254" xr:uid="{F987DCDD-F78F-4218-82A4-9AAE747DE8F3}"/>
    <cellStyle name="40% - Accent1 2 3 2 2 2 5" xfId="18577" xr:uid="{DC71C380-E558-44A9-898A-71970D301E5D}"/>
    <cellStyle name="40% - Accent1 2 3 2 2 2 5 2" xfId="23086" xr:uid="{A817C02A-AB28-42D8-8BD9-A9289897736E}"/>
    <cellStyle name="40% - Accent1 2 3 2 2 2 6" xfId="20586" xr:uid="{35ABE8E1-71CE-4B3B-B03B-2FC9ECD4DB9E}"/>
    <cellStyle name="40% - Accent1 2 3 2 2 3" xfId="17409" xr:uid="{5D794679-B2A6-4CD0-8F8B-044A3D0F6625}"/>
    <cellStyle name="40% - Accent1 2 3 2 2 3 2" xfId="17405" xr:uid="{21570E1E-49B3-448E-8634-696B6C2FD1DB}"/>
    <cellStyle name="40% - Accent1 2 3 2 2 3 2 2" xfId="17403" xr:uid="{D3966DFF-90BD-4C39-8568-E808CBCF3E7E}"/>
    <cellStyle name="40% - Accent1 2 3 2 2 3 2 2 2" xfId="17402" xr:uid="{D69B52E5-F15F-455E-84E8-1364CCB5F71B}"/>
    <cellStyle name="40% - Accent1 2 3 2 2 3 2 2 2 2" xfId="17401" xr:uid="{C22713BD-D1A6-4213-B945-C4FBFD1A34AA}"/>
    <cellStyle name="40% - Accent1 2 3 2 2 3 2 2 3" xfId="17398" xr:uid="{62B063CA-49A6-4A34-A37D-EF6CA8AA026C}"/>
    <cellStyle name="40% - Accent1 2 3 2 2 3 2 3" xfId="17397" xr:uid="{0D48E7AA-9093-4A48-BA30-539D7F0936AB}"/>
    <cellStyle name="40% - Accent1 2 3 2 2 3 2 3 2" xfId="17396" xr:uid="{6D084A56-004C-4114-ACAE-09E6B106716E}"/>
    <cellStyle name="40% - Accent1 2 3 2 2 3 2 4" xfId="17395" xr:uid="{2588D343-6C25-40A9-B21F-8A196B84F6E1}"/>
    <cellStyle name="40% - Accent1 2 3 2 2 3 3" xfId="17391" xr:uid="{56BCE012-990E-44FA-B76F-B363BE5BC2C9}"/>
    <cellStyle name="40% - Accent1 2 3 2 2 3 3 2" xfId="17389" xr:uid="{4CD4518E-ED9C-4966-A900-53D633ADEDBF}"/>
    <cellStyle name="40% - Accent1 2 3 2 2 3 3 2 2" xfId="17388" xr:uid="{82E2584D-2C2B-4DF0-A28E-F9073E545247}"/>
    <cellStyle name="40% - Accent1 2 3 2 2 3 3 3" xfId="17387" xr:uid="{962F32A6-1927-4A52-BDE4-082E007602F3}"/>
    <cellStyle name="40% - Accent1 2 3 2 2 3 4" xfId="18574" xr:uid="{B7BEC52B-3E5D-496C-8916-261C2D5936C8}"/>
    <cellStyle name="40% - Accent1 2 3 2 2 3 4 2" xfId="22773" xr:uid="{4D85A2F0-95B4-4DD1-9026-76283CF7A345}"/>
    <cellStyle name="40% - Accent1 2 3 2 2 3 5" xfId="20584" xr:uid="{869F4C68-55D9-487F-9426-82944FCBC86A}"/>
    <cellStyle name="40% - Accent1 2 3 2 2 4" xfId="17386" xr:uid="{997A69D9-F620-44A3-934E-C1CBD4797744}"/>
    <cellStyle name="40% - Accent1 2 3 2 2 4 2" xfId="17380" xr:uid="{59245697-1556-423B-A72C-9F82E5A4592D}"/>
    <cellStyle name="40% - Accent1 2 3 2 2 4 2 2" xfId="17377" xr:uid="{BE6F6AE7-DD15-45C9-9DD1-EE1F7F299B8B}"/>
    <cellStyle name="40% - Accent1 2 3 2 2 4 2 2 2" xfId="17374" xr:uid="{1CF22019-2DDE-451E-94B3-13F537D3D952}"/>
    <cellStyle name="40% - Accent1 2 3 2 2 4 2 3" xfId="23293" xr:uid="{3F6FBA74-F2BE-4242-AC22-662896FFB855}"/>
    <cellStyle name="40% - Accent1 2 3 2 2 4 3" xfId="17373" xr:uid="{27E6F8D7-4B43-4114-A7BF-47BE4A4395B0}"/>
    <cellStyle name="40% - Accent1 2 3 2 2 4 3 2" xfId="17365" xr:uid="{D93C3495-9F1F-49CA-8FB1-BC6D777B12CF}"/>
    <cellStyle name="40% - Accent1 2 3 2 2 4 4" xfId="20582" xr:uid="{E9EA113E-B98B-4A05-9B85-A7AE7FB622D2}"/>
    <cellStyle name="40% - Accent1 2 3 2 2 5" xfId="17364" xr:uid="{BC37C6A2-22E1-4CFE-8168-A0FE31E452D7}"/>
    <cellStyle name="40% - Accent1 2 3 2 2 5 2" xfId="17359" xr:uid="{044993DA-2AAE-455F-8EB8-D2901FFF35A0}"/>
    <cellStyle name="40% - Accent1 2 3 2 2 5 2 2" xfId="17356" xr:uid="{722C8899-0C7E-4E37-95EB-60FCBF934C0F}"/>
    <cellStyle name="40% - Accent1 2 3 2 2 5 3" xfId="17355" xr:uid="{5FA2A991-CBD4-431D-A82D-A6B9853A5DF4}"/>
    <cellStyle name="40% - Accent1 2 3 2 2 6" xfId="17351" xr:uid="{70CAECA8-0050-46AA-BE5C-26F7F3A72388}"/>
    <cellStyle name="40% - Accent1 2 3 2 2 6 2" xfId="17346" xr:uid="{88517574-3337-4D00-A099-205CFB79F775}"/>
    <cellStyle name="40% - Accent1 2 3 2 2 7" xfId="17344" xr:uid="{58BE604F-EBAE-40A1-AA0B-83FC8ACA82DD}"/>
    <cellStyle name="40% - Accent1 2 3 2 3" xfId="17343" xr:uid="{0CC7A468-2F6F-4D59-B960-4015D9F2DF8C}"/>
    <cellStyle name="40% - Accent1 2 3 2 3 2" xfId="17341" xr:uid="{68F77C3A-186C-45BB-B8DB-98E3A4CFA1EB}"/>
    <cellStyle name="40% - Accent1 2 3 2 3 2 2" xfId="17340" xr:uid="{01281652-8BB5-4915-BB75-60D8FC22D8E3}"/>
    <cellStyle name="40% - Accent1 2 3 2 3 2 2 2" xfId="17339" xr:uid="{52E037C4-8A7C-4426-ACF3-83CFDCA04F63}"/>
    <cellStyle name="40% - Accent1 2 3 2 3 2 2 2 2" xfId="27850" xr:uid="{4DFCE5A7-A294-44C3-8195-DA5ABCCA0C20}"/>
    <cellStyle name="40% - Accent1 2 3 2 3 2 2 2 2 2" xfId="22796" xr:uid="{76F9A04F-AEBE-488F-8B76-C0A70817103C}"/>
    <cellStyle name="40% - Accent1 2 3 2 3 2 2 2 3" xfId="10399" xr:uid="{DCE6FB32-118C-40C7-9AAC-6BC76C63B6F4}"/>
    <cellStyle name="40% - Accent1 2 3 2 3 2 2 3" xfId="17336" xr:uid="{1CD76941-0A16-469D-A340-3D0E26D43151}"/>
    <cellStyle name="40% - Accent1 2 3 2 3 2 2 3 2" xfId="31588" xr:uid="{A7D378B2-8CBD-432C-B306-B09952113CB8}"/>
    <cellStyle name="40% - Accent1 2 3 2 3 2 2 4" xfId="17334" xr:uid="{E1004447-334B-48CF-8548-728F648B6D22}"/>
    <cellStyle name="40% - Accent1 2 3 2 3 2 3" xfId="20066" xr:uid="{16483449-DB86-44C4-B1CE-116D730B6256}"/>
    <cellStyle name="40% - Accent1 2 3 2 3 2 3 2" xfId="9479" xr:uid="{0936A797-BB0E-448F-AC02-A1B0506BCD2A}"/>
    <cellStyle name="40% - Accent1 2 3 2 3 2 3 2 2" xfId="31104" xr:uid="{31E36AB4-56B5-4DD7-B4DC-39605DCC0FF2}"/>
    <cellStyle name="40% - Accent1 2 3 2 3 2 3 3" xfId="17332" xr:uid="{1EEE7503-EA73-472E-8EFC-9FFC86718FF4}"/>
    <cellStyle name="40% - Accent1 2 3 2 3 2 4" xfId="19297" xr:uid="{CACDB66F-751E-4472-B439-C169FA429B7E}"/>
    <cellStyle name="40% - Accent1 2 3 2 3 2 4 2" xfId="6051" xr:uid="{89E63836-DC1B-44F1-A44F-ED45EA22D19A}"/>
    <cellStyle name="40% - Accent1 2 3 2 3 2 5" xfId="20576" xr:uid="{57DD7162-1CE5-4CA9-8513-14DA58EF079C}"/>
    <cellStyle name="40% - Accent1 2 3 2 3 3" xfId="24284" xr:uid="{C617A007-7DE9-4AB8-945D-A7A5054946E4}"/>
    <cellStyle name="40% - Accent1 2 3 2 3 3 2" xfId="23638" xr:uid="{C0002785-4DE3-4AA6-8D73-A03E3D60E782}"/>
    <cellStyle name="40% - Accent1 2 3 2 3 3 2 2" xfId="25726" xr:uid="{E51B9901-527C-4BCB-8C3A-133D5CE68087}"/>
    <cellStyle name="40% - Accent1 2 3 2 3 3 2 2 2" xfId="30422" xr:uid="{01A12765-CEF2-4B8C-8E9F-2F4CE2145950}"/>
    <cellStyle name="40% - Accent1 2 3 2 3 3 2 3" xfId="21145" xr:uid="{98E4B71E-1F33-4DE5-88EC-405F6876A994}"/>
    <cellStyle name="40% - Accent1 2 3 2 3 3 3" xfId="30655" xr:uid="{900BAD62-0F73-4481-BDD4-83108D37088A}"/>
    <cellStyle name="40% - Accent1 2 3 2 3 3 3 2" xfId="13057" xr:uid="{AE759CAD-55A0-434A-84A3-653F4CC57A99}"/>
    <cellStyle name="40% - Accent1 2 3 2 3 3 4" xfId="20574" xr:uid="{33313A9B-96EF-4EA8-BE1E-CD7DDC370C6F}"/>
    <cellStyle name="40% - Accent1 2 3 2 3 4" xfId="17330" xr:uid="{C784C3BE-FB44-4E22-AA8F-B2855064B427}"/>
    <cellStyle name="40% - Accent1 2 3 2 3 4 2" xfId="17326" xr:uid="{5DA2A796-5925-461A-BF27-8271AAB5DB59}"/>
    <cellStyle name="40% - Accent1 2 3 2 3 4 2 2" xfId="25075" xr:uid="{A0E9AC40-BB2E-4023-A1CB-96CADDD85BE2}"/>
    <cellStyle name="40% - Accent1 2 3 2 3 4 3" xfId="17323" xr:uid="{0F898195-94FD-47E1-A42F-B47B2B8310BF}"/>
    <cellStyle name="40% - Accent1 2 3 2 3 5" xfId="32871" xr:uid="{B5139E4A-3824-4610-AC80-A2CF4A8B466E}"/>
    <cellStyle name="40% - Accent1 2 3 2 3 5 2" xfId="17320" xr:uid="{FB41F975-D832-4D95-BFD1-B3AC8E9D4922}"/>
    <cellStyle name="40% - Accent1 2 3 2 3 6" xfId="17315" xr:uid="{B6A71B61-1BE4-4C8B-9854-7169EF197702}"/>
    <cellStyle name="40% - Accent1 2 3 2 4" xfId="17314" xr:uid="{8954196A-267D-45C9-ABC7-FAF10B217BD4}"/>
    <cellStyle name="40% - Accent1 2 3 2 4 2" xfId="17313" xr:uid="{8AE36FA7-8831-4615-A920-AEF665D2D06C}"/>
    <cellStyle name="40% - Accent1 2 3 2 4 2 2" xfId="32647" xr:uid="{65D45FCE-5FE6-45D3-AA52-E8A722F52D4C}"/>
    <cellStyle name="40% - Accent1 2 3 2 4 2 2 2" xfId="14895" xr:uid="{0C71CCC0-27B2-4961-B5DC-050921CB414C}"/>
    <cellStyle name="40% - Accent1 2 3 2 4 2 2 2 2" xfId="25117" xr:uid="{91579EAC-001C-41E3-AE18-E90C3282A850}"/>
    <cellStyle name="40% - Accent1 2 3 2 4 2 2 3" xfId="17312" xr:uid="{24060555-B3E7-4458-949A-73A638BB2F5C}"/>
    <cellStyle name="40% - Accent1 2 3 2 4 2 3" xfId="30399" xr:uid="{65C18B30-2331-468E-B67B-1F61CAC66AB1}"/>
    <cellStyle name="40% - Accent1 2 3 2 4 2 3 2" xfId="14869" xr:uid="{DE2BD3FC-5136-4E5C-A092-AA1EE8DD89EF}"/>
    <cellStyle name="40% - Accent1 2 3 2 4 2 4" xfId="27365" xr:uid="{7E071927-DFD4-4263-9523-07657C629DBF}"/>
    <cellStyle name="40% - Accent1 2 3 2 4 3" xfId="17310" xr:uid="{722DFB36-90F6-43F1-8344-0F75B4065458}"/>
    <cellStyle name="40% - Accent1 2 3 2 4 3 2" xfId="34112" xr:uid="{A4C5AB6C-96A2-45A9-997C-AB8E71E98134}"/>
    <cellStyle name="40% - Accent1 2 3 2 4 3 2 2" xfId="17366" xr:uid="{06649BBD-1627-45C6-80AE-454C9DD712BD}"/>
    <cellStyle name="40% - Accent1 2 3 2 4 3 3" xfId="32607" xr:uid="{B42583ED-E35A-4E6B-B528-D94A275958E3}"/>
    <cellStyle name="40% - Accent1 2 3 2 4 4" xfId="17308" xr:uid="{0D1E13A4-A5D0-42B1-A414-B175D0EDA672}"/>
    <cellStyle name="40% - Accent1 2 3 2 4 4 2" xfId="32588" xr:uid="{3903AF64-10EA-4C67-908F-0E04EC04F11F}"/>
    <cellStyle name="40% - Accent1 2 3 2 4 5" xfId="17306" xr:uid="{4BF9797B-EB48-4A44-9665-32B9E5401C82}"/>
    <cellStyle name="40% - Accent1 2 3 2 5" xfId="17305" xr:uid="{26A2C79B-8D17-490A-9216-A23B19C31B05}"/>
    <cellStyle name="40% - Accent1 2 3 2 5 2" xfId="11395" xr:uid="{78CB5445-0C16-4CD3-B32B-68FB00BF45D4}"/>
    <cellStyle name="40% - Accent1 2 3 2 5 2 2" xfId="14851" xr:uid="{08AEB122-E4B6-4437-9283-02A8869D5F23}"/>
    <cellStyle name="40% - Accent1 2 3 2 5 2 2 2" xfId="14372" xr:uid="{CA2F1F52-06D8-4648-8C90-D68BC94672C4}"/>
    <cellStyle name="40% - Accent1 2 3 2 5 2 3" xfId="26919" xr:uid="{040768FB-A808-4799-AE72-A59EB70DD34C}"/>
    <cellStyle name="40% - Accent1 2 3 2 5 3" xfId="11388" xr:uid="{B5AA4F9E-6B56-4E00-8C1D-E1913B664182}"/>
    <cellStyle name="40% - Accent1 2 3 2 5 3 2" xfId="29498" xr:uid="{36CDD6B3-763B-4685-BA90-FEE992E4393F}"/>
    <cellStyle name="40% - Accent1 2 3 2 5 4" xfId="17302" xr:uid="{D0E41D73-56B0-4C6E-BFC3-58FDBBA3C134}"/>
    <cellStyle name="40% - Accent1 2 3 2 6" xfId="24253" xr:uid="{BD0B3267-40B7-4014-80D3-0601A2F4861F}"/>
    <cellStyle name="40% - Accent1 2 3 2 6 2" xfId="17347" xr:uid="{F54E3597-2DDA-472A-8D24-67B71D655B95}"/>
    <cellStyle name="40% - Accent1 2 3 2 6 2 2" xfId="23967" xr:uid="{19A8E38B-7244-4473-8B87-BF3FDEE3B065}"/>
    <cellStyle name="40% - Accent1 2 3 2 6 3" xfId="30219" xr:uid="{611E8D34-6FC8-43FB-8AE7-7984FB859E56}"/>
    <cellStyle name="40% - Accent1 2 3 2 7" xfId="24247" xr:uid="{F4E04CB0-21D3-480C-AAC1-11D12065D4CF}"/>
    <cellStyle name="40% - Accent1 2 3 2 7 2" xfId="23099" xr:uid="{7A440208-F9E7-41C3-8E79-24A1936E3771}"/>
    <cellStyle name="40% - Accent1 2 3 2 8" xfId="23094" xr:uid="{5C1734AA-3813-477A-9B32-BE589D65B384}"/>
    <cellStyle name="40% - Accent1 2 3 3" xfId="27459" xr:uid="{CD1318D3-74EF-4B9D-8AEA-118A6D600A71}"/>
    <cellStyle name="40% - Accent1 2 3 3 2" xfId="17301" xr:uid="{744711C5-4B2E-422B-939C-FAF628DE4274}"/>
    <cellStyle name="40% - Accent1 2 3 3 2 2" xfId="17300" xr:uid="{FB018E75-F3FD-44BD-B1A9-1F2A8CE4CF8A}"/>
    <cellStyle name="40% - Accent1 2 3 3 2 2 2" xfId="17299" xr:uid="{A4FBDC00-2D70-4506-B8EB-8E4E038BAB6E}"/>
    <cellStyle name="40% - Accent1 2 3 3 2 2 2 2" xfId="8799" xr:uid="{913F5D15-36D5-4420-AC8D-72A158A983D5}"/>
    <cellStyle name="40% - Accent1 2 3 3 2 2 2 2 2" xfId="30525" xr:uid="{6F6BC0EF-6B5D-4017-8B03-131877F2B215}"/>
    <cellStyle name="40% - Accent1 2 3 3 2 2 2 2 2 2" xfId="24635" xr:uid="{7C9E3016-344B-4118-A272-ABB5C5D33E0B}"/>
    <cellStyle name="40% - Accent1 2 3 3 2 2 2 2 3" xfId="20002" xr:uid="{89A80A1A-F800-438F-BCF6-A0A833935C43}"/>
    <cellStyle name="40% - Accent1 2 3 3 2 2 2 3" xfId="17298" xr:uid="{3A33A17A-85B9-47EB-A885-A47D2D051F07}"/>
    <cellStyle name="40% - Accent1 2 3 3 2 2 2 3 2" xfId="17297" xr:uid="{CB7FFEF5-47B9-4E84-AD4A-F7710411FEDD}"/>
    <cellStyle name="40% - Accent1 2 3 3 2 2 2 4" xfId="17292" xr:uid="{0ADAF63F-169E-4598-B8D1-86782F793FF1}"/>
    <cellStyle name="40% - Accent1 2 3 3 2 2 3" xfId="17290" xr:uid="{1CD4AB8D-4EEB-4832-A3D2-ABFED33A8A27}"/>
    <cellStyle name="40% - Accent1 2 3 3 2 2 3 2" xfId="17289" xr:uid="{45FAEB1D-D932-45CB-8E24-0CF9FFAB3B95}"/>
    <cellStyle name="40% - Accent1 2 3 3 2 2 3 2 2" xfId="17288" xr:uid="{366D9A29-E7F7-49C0-8035-8DD3C413821F}"/>
    <cellStyle name="40% - Accent1 2 3 3 2 2 3 3" xfId="17284" xr:uid="{A8A67C44-100C-4A55-B3B4-3336F69F02CD}"/>
    <cellStyle name="40% - Accent1 2 3 3 2 2 4" xfId="24225" xr:uid="{094A0D34-3393-45AE-AD64-299F4FBE96E7}"/>
    <cellStyle name="40% - Accent1 2 3 3 2 2 4 2" xfId="18713" xr:uid="{C4AE7164-6BBD-48EA-8099-704A9A8FA139}"/>
    <cellStyle name="40% - Accent1 2 3 3 2 2 5" xfId="22314" xr:uid="{38B4D6C0-670A-4929-B64B-DFB541425432}"/>
    <cellStyle name="40% - Accent1 2 3 3 2 3" xfId="17283" xr:uid="{F5D9ED32-FD7C-4CA4-B6F2-B75D84D744DD}"/>
    <cellStyle name="40% - Accent1 2 3 3 2 3 2" xfId="17278" xr:uid="{EDEAB1B7-AB4F-4D88-919F-49015BCF8F57}"/>
    <cellStyle name="40% - Accent1 2 3 3 2 3 2 2" xfId="17275" xr:uid="{EF6CDBF6-4763-43CA-A46A-F38CFE1A6720}"/>
    <cellStyle name="40% - Accent1 2 3 3 2 3 2 2 2" xfId="17274" xr:uid="{77F6AB28-42F5-48C2-B7DA-424D416B8C22}"/>
    <cellStyle name="40% - Accent1 2 3 3 2 3 2 3" xfId="17271" xr:uid="{337B8EFA-F9D5-49ED-AE0B-3C977956D3FF}"/>
    <cellStyle name="40% - Accent1 2 3 3 2 3 3" xfId="17270" xr:uid="{3D36FA96-2C28-461A-955A-46C766D4E9FF}"/>
    <cellStyle name="40% - Accent1 2 3 3 2 3 3 2" xfId="17267" xr:uid="{C5EE8250-C5F3-4FDA-8FBE-9B82DBF84F3E}"/>
    <cellStyle name="40% - Accent1 2 3 3 2 3 4" xfId="30850" xr:uid="{E7B0763B-AB15-49DA-940C-7F473A930823}"/>
    <cellStyle name="40% - Accent1 2 3 3 2 4" xfId="17266" xr:uid="{96D6FD79-82C9-45F3-840E-4FEA97BC7A64}"/>
    <cellStyle name="40% - Accent1 2 3 3 2 4 2" xfId="9319" xr:uid="{7F5E6E19-AF1E-4831-95AD-A9C1AD8D3BF9}"/>
    <cellStyle name="40% - Accent1 2 3 3 2 4 2 2" xfId="17256" xr:uid="{1DD5B66E-FFC0-4604-9E49-9094A330B65E}"/>
    <cellStyle name="40% - Accent1 2 3 3 2 4 3" xfId="9314" xr:uid="{F5BB2BA5-317C-47B3-AF85-EB5082D540F8}"/>
    <cellStyle name="40% - Accent1 2 3 3 2 5" xfId="17255" xr:uid="{87779EA4-FA1A-4CD4-8414-90F9F10D0175}"/>
    <cellStyle name="40% - Accent1 2 3 3 2 5 2" xfId="10861" xr:uid="{862CE78F-08FD-4C42-BBBA-865761E3276D}"/>
    <cellStyle name="40% - Accent1 2 3 3 2 6" xfId="17251" xr:uid="{1787F49D-589C-44C9-852E-EB2E139FF8C1}"/>
    <cellStyle name="40% - Accent1 2 3 3 3" xfId="17250" xr:uid="{C0DD9D5A-9FC4-4B7B-B04A-D14B72D57B70}"/>
    <cellStyle name="40% - Accent1 2 3 3 3 2" xfId="34143" xr:uid="{F533F841-9346-4D4E-9A14-6A80C7EA7531}"/>
    <cellStyle name="40% - Accent1 2 3 3 3 2 2" xfId="26452" xr:uid="{3E8E1C8B-0499-416D-BC5A-09D25DE2827A}"/>
    <cellStyle name="40% - Accent1 2 3 3 3 2 2 2" xfId="16874" xr:uid="{D9BF36E8-683D-40A0-B046-29955F681809}"/>
    <cellStyle name="40% - Accent1 2 3 3 3 2 2 2 2" xfId="17249" xr:uid="{9C7D4DAC-7CD5-434D-A8AE-3693376E82A4}"/>
    <cellStyle name="40% - Accent1 2 3 3 3 2 2 3" xfId="17242" xr:uid="{2CF1D033-EC4D-46D2-8B37-E62FB8F2E690}"/>
    <cellStyle name="40% - Accent1 2 3 3 3 2 3" xfId="31122" xr:uid="{6B7A07BA-6D1C-4039-AE61-C44B458659C0}"/>
    <cellStyle name="40% - Accent1 2 3 3 3 2 3 2" xfId="16841" xr:uid="{772A8DC5-724E-4412-9B4F-FD071131CAC9}"/>
    <cellStyle name="40% - Accent1 2 3 3 3 2 4" xfId="32908" xr:uid="{52ED216E-6070-4BDF-92FC-619A230D7A4F}"/>
    <cellStyle name="40% - Accent1 2 3 3 3 3" xfId="22596" xr:uid="{37BF4530-6610-4521-B01C-2CA8C613756A}"/>
    <cellStyle name="40% - Accent1 2 3 3 3 3 2" xfId="17240" xr:uid="{47CF294D-4139-4BFA-B467-B4E9F680846A}"/>
    <cellStyle name="40% - Accent1 2 3 3 3 3 2 2" xfId="16226" xr:uid="{32FA5814-D8C5-4FBC-BD27-4CDEA3868FEA}"/>
    <cellStyle name="40% - Accent1 2 3 3 3 3 3" xfId="17236" xr:uid="{4F5615D4-637D-4333-B2F7-29C67AE5CC82}"/>
    <cellStyle name="40% - Accent1 2 3 3 3 4" xfId="17235" xr:uid="{3D56A1E3-496E-40EB-AA53-9C3009CC87D3}"/>
    <cellStyle name="40% - Accent1 2 3 3 3 4 2" xfId="9282" xr:uid="{0E66142C-365D-46BE-9FDD-70CFE14A127A}"/>
    <cellStyle name="40% - Accent1 2 3 3 3 5" xfId="17229" xr:uid="{31D4E18B-82DE-46AE-9A79-3A8E118EB3ED}"/>
    <cellStyle name="40% - Accent1 2 3 3 4" xfId="25348" xr:uid="{202A13B9-5017-45B0-9D34-7A61E9FEF4D3}"/>
    <cellStyle name="40% - Accent1 2 3 3 4 2" xfId="22590" xr:uid="{3B281792-A787-4451-9A84-01A986679CD8}"/>
    <cellStyle name="40% - Accent1 2 3 3 4 2 2" xfId="32371" xr:uid="{6944CCA8-990B-43D8-A75B-5BE658895505}"/>
    <cellStyle name="40% - Accent1 2 3 3 4 2 2 2" xfId="14719" xr:uid="{FD50AAE8-2C9B-40E6-B324-2B723284A062}"/>
    <cellStyle name="40% - Accent1 2 3 3 4 2 3" xfId="28393" xr:uid="{6E851930-C070-4AE3-ACE3-B64FBF38BC68}"/>
    <cellStyle name="40% - Accent1 2 3 3 4 3" xfId="32705" xr:uid="{D727F794-3856-404A-9BE9-4868F8C49EB1}"/>
    <cellStyle name="40% - Accent1 2 3 3 4 3 2" xfId="24927" xr:uid="{444087A1-682D-41BC-B61D-9040D2186B2F}"/>
    <cellStyle name="40% - Accent1 2 3 3 4 4" xfId="17227" xr:uid="{988C7D17-3945-475F-B6D4-DDBBCE0B8BA2}"/>
    <cellStyle name="40% - Accent1 2 3 3 5" xfId="17225" xr:uid="{9F60F5B9-DC34-4707-BC42-D63CC93FC3CA}"/>
    <cellStyle name="40% - Accent1 2 3 3 5 2" xfId="11356" xr:uid="{439C4627-0FD5-4244-96A6-1D684B40DF75}"/>
    <cellStyle name="40% - Accent1 2 3 3 5 2 2" xfId="29338" xr:uid="{EC0104D0-6383-451C-A44C-5AA53AA8D448}"/>
    <cellStyle name="40% - Accent1 2 3 3 5 3" xfId="17224" xr:uid="{444BC8D8-C9AD-4301-91C1-9FA371D093AD}"/>
    <cellStyle name="40% - Accent1 2 3 3 6" xfId="18038" xr:uid="{1E3B0F75-8D17-4EEC-81D4-CCE7E2ABA99C}"/>
    <cellStyle name="40% - Accent1 2 3 3 6 2" xfId="20353" xr:uid="{CA679EF7-E05A-46C4-948C-987057526C88}"/>
    <cellStyle name="40% - Accent1 2 3 3 7" xfId="23088" xr:uid="{1D0241ED-2AA9-45A4-B5DC-E3F792C7162E}"/>
    <cellStyle name="40% - Accent1 2 3 4" xfId="17223" xr:uid="{C0397743-A38F-4251-84E7-F0ED47538E0E}"/>
    <cellStyle name="40% - Accent1 2 3 4 2" xfId="17221" xr:uid="{C952D4B0-EC2E-4F47-BB16-D63FDFC42EA5}"/>
    <cellStyle name="40% - Accent1 2 3 4 2 2" xfId="31519" xr:uid="{360B9761-FA01-4751-B3B5-D19B95E38EC3}"/>
    <cellStyle name="40% - Accent1 2 3 4 2 2 2" xfId="14803" xr:uid="{E68F793A-2905-4987-AFED-5FEDED57A507}"/>
    <cellStyle name="40% - Accent1 2 3 4 2 2 2 2" xfId="17220" xr:uid="{510B0952-078C-44FC-A715-FA3C1A884C6E}"/>
    <cellStyle name="40% - Accent1 2 3 4 2 2 2 2 2" xfId="17217" xr:uid="{086AB876-32B6-4616-81BB-8CAF940DA599}"/>
    <cellStyle name="40% - Accent1 2 3 4 2 2 2 3" xfId="17213" xr:uid="{50A29F4C-441E-49A3-B76D-A0CC6D4A0C38}"/>
    <cellStyle name="40% - Accent1 2 3 4 2 2 3" xfId="17210" xr:uid="{7E46CE7F-E250-4C49-B07E-37870A713F55}"/>
    <cellStyle name="40% - Accent1 2 3 4 2 2 3 2" xfId="17207" xr:uid="{FD4A7092-F043-451D-BBBD-9C88AB5F0E61}"/>
    <cellStyle name="40% - Accent1 2 3 4 2 2 4" xfId="17370" xr:uid="{49BA41A7-864F-4B8F-9001-B2EA0AFF28B6}"/>
    <cellStyle name="40% - Accent1 2 3 4 2 3" xfId="29201" xr:uid="{D75483AE-5FD4-4E67-A3F6-C77EA413E87B}"/>
    <cellStyle name="40% - Accent1 2 3 4 2 3 2" xfId="14766" xr:uid="{D7E08F7C-F8D7-4D43-A973-585EEE5F6576}"/>
    <cellStyle name="40% - Accent1 2 3 4 2 3 2 2" xfId="17201" xr:uid="{F8878570-7750-42A6-8B94-E67B70AAB8B3}"/>
    <cellStyle name="40% - Accent1 2 3 4 2 3 3" xfId="17198" xr:uid="{FA6C5860-5F9F-4AA5-B388-895B85B9442E}"/>
    <cellStyle name="40% - Accent1 2 3 4 2 4" xfId="33529" xr:uid="{8D803A05-1C39-451B-90D9-F3A2E2E6AA48}"/>
    <cellStyle name="40% - Accent1 2 3 4 2 4 2" xfId="9250" xr:uid="{D80B7458-AB20-4336-91BE-B24D34A80DAE}"/>
    <cellStyle name="40% - Accent1 2 3 4 2 5" xfId="17196" xr:uid="{5856C648-FEF9-4DBA-83CA-D633D68F5AFC}"/>
    <cellStyle name="40% - Accent1 2 3 4 3" xfId="20376" xr:uid="{71BCB635-3C10-4661-96C8-856A12325154}"/>
    <cellStyle name="40% - Accent1 2 3 4 3 2" xfId="22572" xr:uid="{930EACAD-BEFF-4C5A-BFA3-C83943BEB694}"/>
    <cellStyle name="40% - Accent1 2 3 4 3 2 2" xfId="17195" xr:uid="{1224DEEA-021F-4B62-AD2E-5A2273C8FE5D}"/>
    <cellStyle name="40% - Accent1 2 3 4 3 2 2 2" xfId="6299" xr:uid="{8582EBF4-C512-4D67-837F-7D3E42AF2BCF}"/>
    <cellStyle name="40% - Accent1 2 3 4 3 2 3" xfId="17192" xr:uid="{F7359A6A-A2D0-462A-BBB2-FEB8CFB2CCE0}"/>
    <cellStyle name="40% - Accent1 2 3 4 3 3" xfId="33760" xr:uid="{2FCA33B8-62AD-4948-B1D7-C41491CE5938}"/>
    <cellStyle name="40% - Accent1 2 3 4 3 3 2" xfId="14701" xr:uid="{F63BEA98-1406-4BC4-B8E4-914E3CA246B3}"/>
    <cellStyle name="40% - Accent1 2 3 4 3 4" xfId="17188" xr:uid="{C1C6D596-814C-4F19-82D9-9A0291126030}"/>
    <cellStyle name="40% - Accent1 2 3 4 4" xfId="20366" xr:uid="{91B79838-59DD-452B-884B-F25078A96367}"/>
    <cellStyle name="40% - Accent1 2 3 4 4 2" xfId="26888" xr:uid="{9026C0F9-7F8D-4A13-A590-2EE1AAEECE1F}"/>
    <cellStyle name="40% - Accent1 2 3 4 4 2 2" xfId="32334" xr:uid="{63523466-253E-4B28-B621-1C31DFF4C0A3}"/>
    <cellStyle name="40% - Accent1 2 3 4 4 3" xfId="26886" xr:uid="{20BD3082-EBDB-41CA-B09E-FAADE6068CDA}"/>
    <cellStyle name="40% - Accent1 2 3 4 5" xfId="17185" xr:uid="{972C5509-B502-47D4-8820-8F6C5E15A242}"/>
    <cellStyle name="40% - Accent1 2 3 4 5 2" xfId="26881" xr:uid="{4068F1C6-8EAE-4B7A-9A7F-A17550297759}"/>
    <cellStyle name="40% - Accent1 2 3 4 6" xfId="23083" xr:uid="{C4E07EFD-A009-4227-A155-B2E244034CC5}"/>
    <cellStyle name="40% - Accent1 2 3 5" xfId="19554" xr:uid="{0667030C-324D-4221-BC5C-8DEB161686CA}"/>
    <cellStyle name="40% - Accent1 2 3 5 2" xfId="19553" xr:uid="{09DA6FD9-049C-4E6F-99F6-44B470C41432}"/>
    <cellStyle name="40% - Accent1 2 3 5 2 2" xfId="22828" xr:uid="{A880BBF9-744E-4353-9666-1DAB91640A78}"/>
    <cellStyle name="40% - Accent1 2 3 5 2 2 2" xfId="14307" xr:uid="{2E096072-91E8-4D22-A8E8-C27B5FB56666}"/>
    <cellStyle name="40% - Accent1 2 3 5 2 2 2 2" xfId="21096" xr:uid="{0C9B5A28-C43D-4FA2-871D-1205EADE4303}"/>
    <cellStyle name="40% - Accent1 2 3 5 2 2 3" xfId="17259" xr:uid="{D6EEEA2C-8DB8-4000-95FC-7457A48FDDF0}"/>
    <cellStyle name="40% - Accent1 2 3 5 2 3" xfId="19741" xr:uid="{A78BB35C-B4C3-4512-A675-7DC7D30DA0A9}"/>
    <cellStyle name="40% - Accent1 2 3 5 2 3 2" xfId="14290" xr:uid="{3A4A103C-5542-49D2-BFA7-747B1241B228}"/>
    <cellStyle name="40% - Accent1 2 3 5 2 4" xfId="17184" xr:uid="{D13DF8C9-7E3B-4571-987C-C031E727A93B}"/>
    <cellStyle name="40% - Accent1 2 3 5 3" xfId="20362" xr:uid="{4A886C88-5C91-489D-A1F8-2347154761F0}"/>
    <cellStyle name="40% - Accent1 2 3 5 3 2" xfId="26399" xr:uid="{7B144A7A-BFAA-43A1-91CB-A0601EC608F8}"/>
    <cellStyle name="40% - Accent1 2 3 5 3 2 2" xfId="14268" xr:uid="{E8AEA1A4-865D-4C96-B70B-4E80EF0D574A}"/>
    <cellStyle name="40% - Accent1 2 3 5 3 3" xfId="17183" xr:uid="{55ED3FAC-C4D3-4AE2-BBFF-A7308BB78244}"/>
    <cellStyle name="40% - Accent1 2 3 5 4" xfId="10477" xr:uid="{9330B9CC-B266-436B-94E2-CF19AB3F8493}"/>
    <cellStyle name="40% - Accent1 2 3 5 4 2" xfId="24832" xr:uid="{72F8A1BD-99BB-4488-8EA8-92A0D3AAB73D}"/>
    <cellStyle name="40% - Accent1 2 3 5 5" xfId="8386" xr:uid="{D2B17282-F283-469C-8B71-08C1D4A2D8E1}"/>
    <cellStyle name="40% - Accent1 2 3 6" xfId="19549" xr:uid="{73B51ED1-2652-44F1-8DF7-1E8B3B5E5E2B}"/>
    <cellStyle name="40% - Accent1 2 3 6 2" xfId="17179" xr:uid="{AA9757DE-5AB9-426D-8B2A-79962346E850}"/>
    <cellStyle name="40% - Accent1 2 3 6 2 2" xfId="23048" xr:uid="{2B025945-7C74-4B31-8DAB-D26DD62D8802}"/>
    <cellStyle name="40% - Accent1 2 3 6 2 2 2" xfId="13934" xr:uid="{9B0923F0-E680-412D-9208-330B66676049}"/>
    <cellStyle name="40% - Accent1 2 3 6 2 3" xfId="17178" xr:uid="{47A30578-E312-4D72-BB3E-C690C340DBD4}"/>
    <cellStyle name="40% - Accent1 2 3 6 3" xfId="17175" xr:uid="{641F8559-6131-405C-8FC2-58B82041B0D3}"/>
    <cellStyle name="40% - Accent1 2 3 6 3 2" xfId="17174" xr:uid="{3F94D045-D324-4C92-AE55-6CBB944A4FFC}"/>
    <cellStyle name="40% - Accent1 2 3 6 4" xfId="8358" xr:uid="{DF6F9DC0-1166-4A77-9473-50E47B1F7627}"/>
    <cellStyle name="40% - Accent1 2 3 7" xfId="19119" xr:uid="{02C4B819-24EE-44B2-8924-FF388FF9249B}"/>
    <cellStyle name="40% - Accent1 2 3 7 2" xfId="29971" xr:uid="{56C90093-DACD-45D3-A196-2DA4D57BE0C3}"/>
    <cellStyle name="40% - Accent1 2 3 7 2 2" xfId="19111" xr:uid="{D99B5856-4CD1-4A75-B431-BC728A6D1A91}"/>
    <cellStyle name="40% - Accent1 2 3 7 3" xfId="32242" xr:uid="{8AC19C55-A0D7-4D1F-A532-5A3C0A02454F}"/>
    <cellStyle name="40% - Accent1 2 3 8" xfId="21469" xr:uid="{B68FDC1C-638C-4AD0-8CB8-EA7D3E7BF0AE}"/>
    <cellStyle name="40% - Accent1 2 3 8 2" xfId="23588" xr:uid="{9E769098-1663-48D8-B547-B71C6B871F9E}"/>
    <cellStyle name="40% - Accent1 2 3 9" xfId="19227" xr:uid="{E2B0F37B-CA29-4293-B6CE-955B1AC04A23}"/>
    <cellStyle name="40% - Accent1 2 4" xfId="18870" xr:uid="{874C99F4-374B-47C3-810E-AD4DA5905797}"/>
    <cellStyle name="40% - Accent1 2 4 2" xfId="17172" xr:uid="{A2ADDC18-5980-4E1B-81CD-BC807D163F5B}"/>
    <cellStyle name="40% - Accent1 2 4 2 2" xfId="17169" xr:uid="{9A864DB9-C2AA-4B54-A876-EBE6948EF3FB}"/>
    <cellStyle name="40% - Accent1 2 4 2 2 2" xfId="19204" xr:uid="{ACFA4328-B89A-4B54-8E9B-27B924C60DB2}"/>
    <cellStyle name="40% - Accent1 2 4 2 2 2 2" xfId="25263" xr:uid="{F9B934C9-F22F-45A6-83A5-6D9F6580C4F1}"/>
    <cellStyle name="40% - Accent1 2 4 2 2 2 2 2" xfId="17168" xr:uid="{57238D2A-03FF-4FAD-B88E-A862249A8BF6}"/>
    <cellStyle name="40% - Accent1 2 4 2 2 2 2 2 2" xfId="17167" xr:uid="{6C40A9D6-4DAC-45BF-AE58-906602D9E6B1}"/>
    <cellStyle name="40% - Accent1 2 4 2 2 2 2 2 2 2" xfId="23339" xr:uid="{2CD6958E-F908-4814-BA3A-D05CD8CC2B72}"/>
    <cellStyle name="40% - Accent1 2 4 2 2 2 2 2 3" xfId="17166" xr:uid="{1365EECD-ED26-4F04-A425-5A3BC55A7B79}"/>
    <cellStyle name="40% - Accent1 2 4 2 2 2 2 3" xfId="17165" xr:uid="{07AB9A1A-8AD7-48DD-AA90-CEA2A575B28C}"/>
    <cellStyle name="40% - Accent1 2 4 2 2 2 2 3 2" xfId="17164" xr:uid="{19A2E59D-2848-4FD8-81CA-667A4A0BB0BB}"/>
    <cellStyle name="40% - Accent1 2 4 2 2 2 2 4" xfId="17163" xr:uid="{01502515-A225-4F0B-A7FD-3EDC12EA43E5}"/>
    <cellStyle name="40% - Accent1 2 4 2 2 2 3" xfId="17161" xr:uid="{AA1CE48A-A936-4922-AC96-54A06E9169DB}"/>
    <cellStyle name="40% - Accent1 2 4 2 2 2 3 2" xfId="28399" xr:uid="{58834134-1FA4-40BF-A15A-ACCA29FD84D3}"/>
    <cellStyle name="40% - Accent1 2 4 2 2 2 3 2 2" xfId="28952" xr:uid="{80A7A494-C86B-4E2A-ACAD-44F018339FED}"/>
    <cellStyle name="40% - Accent1 2 4 2 2 2 3 3" xfId="18455" xr:uid="{FFEADAC4-7147-4E2C-BD22-85FB274E3853}"/>
    <cellStyle name="40% - Accent1 2 4 2 2 2 4" xfId="18511" xr:uid="{C246AA66-710B-420A-900C-50584219C7B6}"/>
    <cellStyle name="40% - Accent1 2 4 2 2 2 4 2" xfId="20350" xr:uid="{A9007EA4-6B0E-49A2-873B-066BC9CF1018}"/>
    <cellStyle name="40% - Accent1 2 4 2 2 2 5" xfId="24387" xr:uid="{E27263A9-7174-45A4-AE60-5396A164ED56}"/>
    <cellStyle name="40% - Accent1 2 4 2 2 3" xfId="17158" xr:uid="{B2F55AA3-6D25-4390-A70D-9AE77D3F2920}"/>
    <cellStyle name="40% - Accent1 2 4 2 2 3 2" xfId="17154" xr:uid="{01A341A7-1587-4020-99B3-87AF16B37454}"/>
    <cellStyle name="40% - Accent1 2 4 2 2 3 2 2" xfId="17149" xr:uid="{B8C6A653-3CAB-4281-8EBF-3814FD5CDFC5}"/>
    <cellStyle name="40% - Accent1 2 4 2 2 3 2 2 2" xfId="17148" xr:uid="{C016009E-2F9E-4906-BA8A-86484DFC58BD}"/>
    <cellStyle name="40% - Accent1 2 4 2 2 3 2 3" xfId="31426" xr:uid="{10837A1A-C83F-43DF-AE45-F3BC35BFEF96}"/>
    <cellStyle name="40% - Accent1 2 4 2 2 3 3" xfId="17147" xr:uid="{B7B523E5-2887-421F-867F-C9883A5EE2CA}"/>
    <cellStyle name="40% - Accent1 2 4 2 2 3 3 2" xfId="15060" xr:uid="{3DB0B49E-D61B-4FBE-8DF4-704A6ABBC40D}"/>
    <cellStyle name="40% - Accent1 2 4 2 2 3 4" xfId="18507" xr:uid="{4EE7F8A0-F9C3-4395-B19C-C3758C603B5F}"/>
    <cellStyle name="40% - Accent1 2 4 2 2 4" xfId="17141" xr:uid="{7C2A200D-271A-4479-8C57-3FF40461CABB}"/>
    <cellStyle name="40% - Accent1 2 4 2 2 4 2" xfId="17136" xr:uid="{A05E31F3-8A85-431F-A4EF-14CB3052084B}"/>
    <cellStyle name="40% - Accent1 2 4 2 2 4 2 2" xfId="17132" xr:uid="{2B7EECAE-26E7-42D4-BBCA-E07C12BCA758}"/>
    <cellStyle name="40% - Accent1 2 4 2 2 4 3" xfId="17131" xr:uid="{566E9E3E-70E3-4B95-98A9-E0ED6E4F90BA}"/>
    <cellStyle name="40% - Accent1 2 4 2 2 5" xfId="17124" xr:uid="{8D079C0A-6D48-421C-9DC0-237AB65733B3}"/>
    <cellStyle name="40% - Accent1 2 4 2 2 5 2" xfId="17119" xr:uid="{B489DF5A-2075-4301-ABD1-932D414DD11A}"/>
    <cellStyle name="40% - Accent1 2 4 2 2 6" xfId="18977" xr:uid="{33DFBABE-D5FB-4225-9C71-9F0C5F23AECE}"/>
    <cellStyle name="40% - Accent1 2 4 2 3" xfId="17115" xr:uid="{02A4A4B4-8798-4D5E-8076-D4C0486DE31F}"/>
    <cellStyle name="40% - Accent1 2 4 2 3 2" xfId="17113" xr:uid="{3DAB6EC0-CC14-4A4D-8614-D087BCFE2552}"/>
    <cellStyle name="40% - Accent1 2 4 2 3 2 2" xfId="17112" xr:uid="{F8DD0D83-488E-4D5C-8DD8-207123C93471}"/>
    <cellStyle name="40% - Accent1 2 4 2 3 2 2 2" xfId="17110" xr:uid="{28BF7239-EC7E-4162-9E9D-A7FA7A32C3DE}"/>
    <cellStyle name="40% - Accent1 2 4 2 3 2 2 2 2" xfId="17108" xr:uid="{D632F2BC-CF34-4AEB-B70F-4AFB3752FA9F}"/>
    <cellStyle name="40% - Accent1 2 4 2 3 2 2 3" xfId="17105" xr:uid="{A468FF2A-8A15-4A10-AB17-1565F25A001D}"/>
    <cellStyle name="40% - Accent1 2 4 2 3 2 3" xfId="30523" xr:uid="{77F8974D-C16C-4CF7-B55B-6EB579D44FEA}"/>
    <cellStyle name="40% - Accent1 2 4 2 3 2 3 2" xfId="28230" xr:uid="{40AEE9C9-8A8D-4C9F-BD96-E9618A896F60}"/>
    <cellStyle name="40% - Accent1 2 4 2 3 2 4" xfId="18499" xr:uid="{8A3FF31C-30E5-4D6E-84E2-FC2EEDF4AC5E}"/>
    <cellStyle name="40% - Accent1 2 4 2 3 3" xfId="17103" xr:uid="{5E5D2F91-C316-453C-826B-8CE4C301AE5F}"/>
    <cellStyle name="40% - Accent1 2 4 2 3 3 2" xfId="17101" xr:uid="{6524BAB5-F86B-4B8B-9290-F5449961A0C7}"/>
    <cellStyle name="40% - Accent1 2 4 2 3 3 2 2" xfId="6485" xr:uid="{C133E3B6-42C3-4C53-88D6-B6620A79514B}"/>
    <cellStyle name="40% - Accent1 2 4 2 3 3 3" xfId="17096" xr:uid="{1155CC51-9FDA-457B-9B4C-FEBC6B38DA79}"/>
    <cellStyle name="40% - Accent1 2 4 2 3 4" xfId="17093" xr:uid="{BEA025A4-C3CB-4E2B-A84F-C70928E8B432}"/>
    <cellStyle name="40% - Accent1 2 4 2 3 4 2" xfId="17090" xr:uid="{122FC14F-4AA3-42DC-8B0C-930A2A9C0F60}"/>
    <cellStyle name="40% - Accent1 2 4 2 3 5" xfId="33499" xr:uid="{C3C07421-20D8-4722-80AC-C3DBA1984573}"/>
    <cellStyle name="40% - Accent1 2 4 2 4" xfId="17087" xr:uid="{4D2743A4-5A4F-41E5-9278-9B6338638942}"/>
    <cellStyle name="40% - Accent1 2 4 2 4 2" xfId="23183" xr:uid="{DBFFFC78-FA31-423E-B569-1CCD1A1057FF}"/>
    <cellStyle name="40% - Accent1 2 4 2 4 2 2" xfId="34266" xr:uid="{D6926517-BFB7-4501-A6D9-C767ABEE1335}"/>
    <cellStyle name="40% - Accent1 2 4 2 4 2 2 2" xfId="17085" xr:uid="{B2C5F083-F459-4A35-A7D0-E841D38B721B}"/>
    <cellStyle name="40% - Accent1 2 4 2 4 2 3" xfId="28336" xr:uid="{C881AFA7-029E-449B-99FD-91520A7D2A2C}"/>
    <cellStyle name="40% - Accent1 2 4 2 4 3" xfId="17083" xr:uid="{FBFEA7D7-C7A1-4609-9895-EFE3F4B9B1DE}"/>
    <cellStyle name="40% - Accent1 2 4 2 4 3 2" xfId="31965" xr:uid="{9DB0679C-E8A3-43C5-BB09-32F5392EB3AE}"/>
    <cellStyle name="40% - Accent1 2 4 2 4 4" xfId="17080" xr:uid="{13C74057-0DDA-4F18-AD0D-F9373D59BAA3}"/>
    <cellStyle name="40% - Accent1 2 4 2 5" xfId="17078" xr:uid="{5ABA857C-FFE0-4A21-A068-B3BFAF1AFF23}"/>
    <cellStyle name="40% - Accent1 2 4 2 5 2" xfId="17076" xr:uid="{DD310666-A649-4FE1-A7CD-FE10BFC1B667}"/>
    <cellStyle name="40% - Accent1 2 4 2 5 2 2" xfId="29493" xr:uid="{0B4F0009-AE15-49BE-A918-90A2DFE86CB0}"/>
    <cellStyle name="40% - Accent1 2 4 2 5 3" xfId="17069" xr:uid="{A950A018-1723-4D78-B4F3-2FFCD2919292}"/>
    <cellStyle name="40% - Accent1 2 4 2 6" xfId="28585" xr:uid="{489FC2FC-CE52-4246-9E7E-803FB2417EA4}"/>
    <cellStyle name="40% - Accent1 2 4 2 6 2" xfId="22982" xr:uid="{BBE63065-F476-48E7-A499-3814E488FEAB}"/>
    <cellStyle name="40% - Accent1 2 4 2 7" xfId="22976" xr:uid="{6838C766-8260-4AFA-803F-54032F0E1684}"/>
    <cellStyle name="40% - Accent1 2 4 3" xfId="17067" xr:uid="{9298D2C8-52B1-4BF0-A8FE-3969E12BDC90}"/>
    <cellStyle name="40% - Accent1 2 4 3 2" xfId="17065" xr:uid="{32753988-2584-4A6F-BCFC-7F050B698B2B}"/>
    <cellStyle name="40% - Accent1 2 4 3 2 2" xfId="17064" xr:uid="{70C00057-E065-4E69-8E44-530D750BB905}"/>
    <cellStyle name="40% - Accent1 2 4 3 2 2 2" xfId="11650" xr:uid="{533606F0-9B4D-4B11-944D-D9416BEEBA43}"/>
    <cellStyle name="40% - Accent1 2 4 3 2 2 2 2" xfId="27668" xr:uid="{1C7C7613-7199-4E07-B56F-E74CAFBBA014}"/>
    <cellStyle name="40% - Accent1 2 4 3 2 2 2 2 2" xfId="17061" xr:uid="{28F2ED93-E903-480E-B544-BF69069B3378}"/>
    <cellStyle name="40% - Accent1 2 4 3 2 2 2 3" xfId="26144" xr:uid="{D5A13E93-26C8-4C72-AB16-98016D0EC68C}"/>
    <cellStyle name="40% - Accent1 2 4 3 2 2 3" xfId="17060" xr:uid="{C8859DE5-DC79-4843-A013-090F1D7184B3}"/>
    <cellStyle name="40% - Accent1 2 4 3 2 2 3 2" xfId="20551" xr:uid="{0EC88786-3CF8-4254-95FF-63DF9ADF6794}"/>
    <cellStyle name="40% - Accent1 2 4 3 2 2 4" xfId="30021" xr:uid="{F9A0B6A0-F5D7-47C7-9C0D-C8C54DBB5C07}"/>
    <cellStyle name="40% - Accent1 2 4 3 2 3" xfId="17056" xr:uid="{061E0B9C-3BB1-475A-B6C1-97821F322746}"/>
    <cellStyle name="40% - Accent1 2 4 3 2 3 2" xfId="17053" xr:uid="{46D30C19-AA50-4C83-9DD5-C88543FEEF3F}"/>
    <cellStyle name="40% - Accent1 2 4 3 2 3 2 2" xfId="5322" xr:uid="{543BCCD4-98C7-4EE7-928E-9250CCDAF33C}"/>
    <cellStyle name="40% - Accent1 2 4 3 2 3 3" xfId="17047" xr:uid="{34A1F913-D0C5-44FD-A79A-A1FE498155C9}"/>
    <cellStyle name="40% - Accent1 2 4 3 2 4" xfId="17043" xr:uid="{94072F50-BA22-419B-A668-1833589FBD97}"/>
    <cellStyle name="40% - Accent1 2 4 3 2 4 2" xfId="9156" xr:uid="{249F81B4-5BAC-45C9-B864-79A1D34BDF9E}"/>
    <cellStyle name="40% - Accent1 2 4 3 2 5" xfId="17039" xr:uid="{BD29510A-27B0-4BEC-9FF6-C7073642F609}"/>
    <cellStyle name="40% - Accent1 2 4 3 3" xfId="17038" xr:uid="{39991A7B-418E-47DC-8DE8-0B72BAE2ABAF}"/>
    <cellStyle name="40% - Accent1 2 4 3 3 2" xfId="23699" xr:uid="{8C316C42-0292-4D8B-ABCB-5FB943354EA8}"/>
    <cellStyle name="40% - Accent1 2 4 3 3 2 2" xfId="17036" xr:uid="{A95112CA-9D07-483D-93EA-F1630073B5C1}"/>
    <cellStyle name="40% - Accent1 2 4 3 3 2 2 2" xfId="23583" xr:uid="{C5DE3694-23C8-4566-9DB1-D49A547C36E8}"/>
    <cellStyle name="40% - Accent1 2 4 3 3 2 3" xfId="22869" xr:uid="{A3D0A05A-8263-41F6-B14D-374EFE927EF7}"/>
    <cellStyle name="40% - Accent1 2 4 3 3 3" xfId="17033" xr:uid="{72A71581-9677-493A-8832-755EEC834B2C}"/>
    <cellStyle name="40% - Accent1 2 4 3 3 3 2" xfId="17030" xr:uid="{39A1E346-F27B-4129-ACB3-7B74F4AB60E1}"/>
    <cellStyle name="40% - Accent1 2 4 3 3 4" xfId="17024" xr:uid="{1EE0AA0A-943B-420F-8CDB-6811F2674DD8}"/>
    <cellStyle name="40% - Accent1 2 4 3 4" xfId="17023" xr:uid="{0357629F-BFA5-4199-9A22-24FBB15E376E}"/>
    <cellStyle name="40% - Accent1 2 4 3 4 2" xfId="34377" xr:uid="{5E4C9964-B0CA-4989-A05F-C62A0AC99558}"/>
    <cellStyle name="40% - Accent1 2 4 3 4 2 2" xfId="31739" xr:uid="{0A2113DB-D8EB-445B-BCAF-93BFF829D89F}"/>
    <cellStyle name="40% - Accent1 2 4 3 4 3" xfId="17021" xr:uid="{9C334087-5896-428A-853C-FA1EBDD97434}"/>
    <cellStyle name="40% - Accent1 2 4 3 5" xfId="17018" xr:uid="{37BC3CAE-074E-4B69-B21A-BFAFA6B235E0}"/>
    <cellStyle name="40% - Accent1 2 4 3 5 2" xfId="17016" xr:uid="{D1EF347E-434E-49ED-B6A6-C21E24ECA000}"/>
    <cellStyle name="40% - Accent1 2 4 3 6" xfId="22972" xr:uid="{50894F79-BAD7-478B-A54F-A809CCE752B2}"/>
    <cellStyle name="40% - Accent1 2 4 4" xfId="17014" xr:uid="{F4CF34A6-E41F-43CF-B528-52681D052212}"/>
    <cellStyle name="40% - Accent1 2 4 4 2" xfId="17013" xr:uid="{C20BFEC6-0996-499A-A501-451464F6E3CC}"/>
    <cellStyle name="40% - Accent1 2 4 4 2 2" xfId="29156" xr:uid="{A3633F91-66A3-45FB-AEDC-3500CE7A9CFD}"/>
    <cellStyle name="40% - Accent1 2 4 4 2 2 2" xfId="14282" xr:uid="{E03FC2A9-C5FD-4546-84A7-9F6E1205D8DA}"/>
    <cellStyle name="40% - Accent1 2 4 4 2 2 2 2" xfId="20253" xr:uid="{3E147745-EDB9-4D08-82AF-F1B81738911A}"/>
    <cellStyle name="40% - Accent1 2 4 4 2 2 3" xfId="17011" xr:uid="{F3ABE284-D9BD-4340-9B9B-A86DFA59FD2C}"/>
    <cellStyle name="40% - Accent1 2 4 4 2 3" xfId="29152" xr:uid="{23289EB5-4009-4027-985D-1B8CF1EA2C44}"/>
    <cellStyle name="40% - Accent1 2 4 4 2 3 2" xfId="14247" xr:uid="{D4C803EF-63FE-4C76-B98C-A9AE3330D696}"/>
    <cellStyle name="40% - Accent1 2 4 4 2 4" xfId="33733" xr:uid="{2D730011-94E1-4B99-9663-8A394D19D890}"/>
    <cellStyle name="40% - Accent1 2 4 4 3" xfId="20358" xr:uid="{B98D1466-0548-40F1-9227-6DF303605B26}"/>
    <cellStyle name="40% - Accent1 2 4 4 3 2" xfId="29143" xr:uid="{7FB0F8F3-229D-4669-A015-EFEB9797C37F}"/>
    <cellStyle name="40% - Accent1 2 4 4 3 2 2" xfId="13920" xr:uid="{63325408-AB28-4C89-A536-BC9B3B810C95}"/>
    <cellStyle name="40% - Accent1 2 4 4 3 3" xfId="33871" xr:uid="{7F7360FE-5868-4EC8-B412-52624FAE3DC2}"/>
    <cellStyle name="40% - Accent1 2 4 4 4" xfId="17002" xr:uid="{44849DD9-E897-4878-91D7-567463D323B5}"/>
    <cellStyle name="40% - Accent1 2 4 4 4 2" xfId="30611" xr:uid="{26FA05A4-C228-444F-9DB2-2855AA3C61D3}"/>
    <cellStyle name="40% - Accent1 2 4 4 5" xfId="16999" xr:uid="{44873426-A1B7-462F-9CB8-CE70B80439DA}"/>
    <cellStyle name="40% - Accent1 2 4 5" xfId="19544" xr:uid="{5413C4E2-A825-4DD6-9F62-855EAF18BD55}"/>
    <cellStyle name="40% - Accent1 2 4 5 2" xfId="16995" xr:uid="{26DF1318-AF02-4BBA-8897-ACB08E44FAC9}"/>
    <cellStyle name="40% - Accent1 2 4 5 2 2" xfId="22739" xr:uid="{5F41BED9-560A-488E-A32F-341506EF66DF}"/>
    <cellStyle name="40% - Accent1 2 4 5 2 2 2" xfId="12274" xr:uid="{536BC740-867B-4269-9B3A-7B45B726893A}"/>
    <cellStyle name="40% - Accent1 2 4 5 2 3" xfId="16990" xr:uid="{89FFD82B-273B-4045-947B-AC27F85BD9CF}"/>
    <cellStyle name="40% - Accent1 2 4 5 3" xfId="16989" xr:uid="{B205802C-FD4B-4EDF-A22D-015889E6E7A2}"/>
    <cellStyle name="40% - Accent1 2 4 5 3 2" xfId="16985" xr:uid="{8131AD26-8FAC-4A9E-BE38-B902CE5C1D64}"/>
    <cellStyle name="40% - Accent1 2 4 5 4" xfId="8295" xr:uid="{FF24D5D9-0000-420E-B3C2-0575A36FE822}"/>
    <cellStyle name="40% - Accent1 2 4 6" xfId="27558" xr:uid="{B6105983-522A-41D5-B58E-D171FD5D750F}"/>
    <cellStyle name="40% - Accent1 2 4 6 2" xfId="16981" xr:uid="{88FB01F3-A41A-4B55-BDAF-833AA2EEC4B9}"/>
    <cellStyle name="40% - Accent1 2 4 6 2 2" xfId="18826" xr:uid="{139C02C5-9B11-4703-8E8F-FC47127498CE}"/>
    <cellStyle name="40% - Accent1 2 4 6 3" xfId="16979" xr:uid="{5D5AE18F-437E-40C3-AC0F-2BADA69901D0}"/>
    <cellStyle name="40% - Accent1 2 4 7" xfId="19098" xr:uid="{28A238D3-A736-462B-976F-89151FA5BE15}"/>
    <cellStyle name="40% - Accent1 2 4 7 2" xfId="23578" xr:uid="{F784707B-2108-4DF4-8DDE-CFD18053EC21}"/>
    <cellStyle name="40% - Accent1 2 4 8" xfId="19090" xr:uid="{51000137-23B9-43A2-9A37-49D137EE0BC1}"/>
    <cellStyle name="40% - Accent1 2 4 9" xfId="34751" xr:uid="{B53A78A2-9C4D-4F5A-9EDF-397F9E55CD3B}"/>
    <cellStyle name="40% - Accent1 2 5" xfId="27394" xr:uid="{83BD9C27-063A-4A43-883D-9E23AF62276D}"/>
    <cellStyle name="40% - Accent1 2 5 2" xfId="16977" xr:uid="{5BAC8C4D-59C7-463B-A5AF-E6BD3A6DC764}"/>
    <cellStyle name="40% - Accent1 2 5 2 2" xfId="16976" xr:uid="{9D192A91-1D0C-440F-BE9F-CB1A0333FFD9}"/>
    <cellStyle name="40% - Accent1 2 5 2 2 2" xfId="16974" xr:uid="{E4627A0C-236D-4BE6-BE98-E944B49E4AF1}"/>
    <cellStyle name="40% - Accent1 2 5 2 2 2 2" xfId="29625" xr:uid="{9DB4A8C6-37DC-4FE2-AC02-5F84EC82B241}"/>
    <cellStyle name="40% - Accent1 2 5 2 2 2 2 2" xfId="16972" xr:uid="{81D4855B-5385-4C28-82AB-3C72915D6333}"/>
    <cellStyle name="40% - Accent1 2 5 2 2 2 2 2 2" xfId="16969" xr:uid="{8C37C68C-AB7A-4057-862E-B588200105E3}"/>
    <cellStyle name="40% - Accent1 2 5 2 2 2 2 3" xfId="16964" xr:uid="{02A88726-4B7D-4C85-9AF1-0A5CF2CCA516}"/>
    <cellStyle name="40% - Accent1 2 5 2 2 2 3" xfId="32342" xr:uid="{3A2ECD10-183A-4310-947B-1F738D132E80}"/>
    <cellStyle name="40% - Accent1 2 5 2 2 2 3 2" xfId="16962" xr:uid="{0026CCF3-8E80-4961-A843-A8FFD3101152}"/>
    <cellStyle name="40% - Accent1 2 5 2 2 2 4" xfId="16961" xr:uid="{038B9025-6617-465B-8052-984C7C610009}"/>
    <cellStyle name="40% - Accent1 2 5 2 2 3" xfId="16959" xr:uid="{96A424E0-0B10-4710-A8C2-F803CB834832}"/>
    <cellStyle name="40% - Accent1 2 5 2 2 3 2" xfId="27241" xr:uid="{0B5DAA5B-13F7-406E-9A6D-12EB6AE702D6}"/>
    <cellStyle name="40% - Accent1 2 5 2 2 3 2 2" xfId="16958" xr:uid="{D38D977F-8748-442E-99B5-2969A96B282D}"/>
    <cellStyle name="40% - Accent1 2 5 2 2 3 3" xfId="24160" xr:uid="{36C74264-E745-4A08-B4C0-DDF01AE25F9F}"/>
    <cellStyle name="40% - Accent1 2 5 2 2 4" xfId="16957" xr:uid="{A5BE3935-CB45-4440-8F15-149DACE59DEC}"/>
    <cellStyle name="40% - Accent1 2 5 2 2 4 2" xfId="16952" xr:uid="{2A2358B7-A4EC-4FC0-BC1D-E593BDC6BFE0}"/>
    <cellStyle name="40% - Accent1 2 5 2 2 5" xfId="16948" xr:uid="{2CA1D9C5-7A3D-4E47-AF2F-5C618BD6E0F3}"/>
    <cellStyle name="40% - Accent1 2 5 2 3" xfId="16946" xr:uid="{80FEB139-4A90-4B80-B35F-B435AB72903E}"/>
    <cellStyle name="40% - Accent1 2 5 2 3 2" xfId="16943" xr:uid="{120E4607-0B0D-4F95-9C48-15DE362103F5}"/>
    <cellStyle name="40% - Accent1 2 5 2 3 2 2" xfId="27192" xr:uid="{678F31D9-4C92-4413-BE8B-46BDD1CF647E}"/>
    <cellStyle name="40% - Accent1 2 5 2 3 2 2 2" xfId="10612" xr:uid="{310BF25E-B057-46B4-8180-BF8B1ACB1399}"/>
    <cellStyle name="40% - Accent1 2 5 2 3 2 3" xfId="16941" xr:uid="{E21446C0-DACC-475B-A7AA-AD0945D754B9}"/>
    <cellStyle name="40% - Accent1 2 5 2 3 3" xfId="16939" xr:uid="{99F908CD-42C0-4880-BE8E-CA7DE1D1F743}"/>
    <cellStyle name="40% - Accent1 2 5 2 3 3 2" xfId="16937" xr:uid="{51E831E7-9973-40B6-8B08-67C4E4CE1DF6}"/>
    <cellStyle name="40% - Accent1 2 5 2 3 4" xfId="16936" xr:uid="{9FC3D506-E9FC-4797-984A-7F1F59587A57}"/>
    <cellStyle name="40% - Accent1 2 5 2 4" xfId="17882" xr:uid="{258752D7-1671-44C9-AFCD-CF262621C187}"/>
    <cellStyle name="40% - Accent1 2 5 2 4 2" xfId="16935" xr:uid="{3EC4EF28-AF24-405A-A1DD-AFF04E8D6DFD}"/>
    <cellStyle name="40% - Accent1 2 5 2 4 2 2" xfId="34311" xr:uid="{F1B52B05-5FED-4FB2-9B91-C53EF14D0A0A}"/>
    <cellStyle name="40% - Accent1 2 5 2 4 3" xfId="16932" xr:uid="{DAA0EF8D-7C7A-4235-9C4B-49A5625E8269}"/>
    <cellStyle name="40% - Accent1 2 5 2 5" xfId="17607" xr:uid="{7F22F33B-A187-4712-B87B-AC3D0B42688B}"/>
    <cellStyle name="40% - Accent1 2 5 2 5 2" xfId="12144" xr:uid="{3F5687A7-965C-4CEE-8429-5F9539BA7CB5}"/>
    <cellStyle name="40% - Accent1 2 5 2 6" xfId="18823" xr:uid="{F9381059-8734-4E02-9339-810C73634CA0}"/>
    <cellStyle name="40% - Accent1 2 5 3" xfId="16929" xr:uid="{6156A92D-5978-4DE0-A3E1-D702DC7472D0}"/>
    <cellStyle name="40% - Accent1 2 5 3 2" xfId="16928" xr:uid="{ECC54505-76FC-4084-AE7E-E768AEAB427D}"/>
    <cellStyle name="40% - Accent1 2 5 3 2 2" xfId="16925" xr:uid="{E933203D-7182-445C-873D-DCC355DCF408}"/>
    <cellStyle name="40% - Accent1 2 5 3 2 2 2" xfId="31554" xr:uid="{3D61A865-D372-40E3-9EE0-593E667FFE3A}"/>
    <cellStyle name="40% - Accent1 2 5 3 2 2 2 2" xfId="31430" xr:uid="{BE2B0C47-4F94-4CC8-9955-6B460C5BFA17}"/>
    <cellStyle name="40% - Accent1 2 5 3 2 2 3" xfId="16919" xr:uid="{A11353E3-E123-4DD8-9927-657D40302A33}"/>
    <cellStyle name="40% - Accent1 2 5 3 2 3" xfId="16913" xr:uid="{CE4DC1C3-83A5-4FA0-8387-0098E8BE09BA}"/>
    <cellStyle name="40% - Accent1 2 5 3 2 3 2" xfId="16909" xr:uid="{7E19272F-EE87-46F3-9AC4-DD987C4CCEEE}"/>
    <cellStyle name="40% - Accent1 2 5 3 2 4" xfId="16906" xr:uid="{CA6893DB-F32C-4B58-AF24-A9D5C7F9ACEE}"/>
    <cellStyle name="40% - Accent1 2 5 3 3" xfId="16903" xr:uid="{9413D97E-7F18-4ABB-A8A6-8F12877A7CA6}"/>
    <cellStyle name="40% - Accent1 2 5 3 3 2" xfId="16901" xr:uid="{D0A1C56C-D53E-41F3-9790-F53995868AAF}"/>
    <cellStyle name="40% - Accent1 2 5 3 3 2 2" xfId="16898" xr:uid="{F5F9A9DC-D1FA-4C94-B9D6-BAEBA60491E2}"/>
    <cellStyle name="40% - Accent1 2 5 3 3 3" xfId="16897" xr:uid="{B588DDA8-E8D0-45B4-9ACB-CFF8C271B31D}"/>
    <cellStyle name="40% - Accent1 2 5 3 4" xfId="17595" xr:uid="{F44A1D62-C690-4664-B63F-02628255A8C3}"/>
    <cellStyle name="40% - Accent1 2 5 3 4 2" xfId="16894" xr:uid="{E4244D5B-43D0-4C32-AE58-E0058DC46ACC}"/>
    <cellStyle name="40% - Accent1 2 5 3 5" xfId="17589" xr:uid="{37FBE634-142B-466A-951A-C4E9D6722A6D}"/>
    <cellStyle name="40% - Accent1 2 5 4" xfId="16891" xr:uid="{A5D43BF9-9B9D-41D4-A8F9-A4480DD8BC82}"/>
    <cellStyle name="40% - Accent1 2 5 4 2" xfId="16890" xr:uid="{80E167F3-01DB-4AC8-A308-59DAAC9D7AEB}"/>
    <cellStyle name="40% - Accent1 2 5 4 2 2" xfId="22269" xr:uid="{8AAE469A-564C-4EE2-8209-893E852AF3C2}"/>
    <cellStyle name="40% - Accent1 2 5 4 2 2 2" xfId="10385" xr:uid="{D2DA65E8-9C9A-458A-8101-55B95CCF3C9D}"/>
    <cellStyle name="40% - Accent1 2 5 4 2 3" xfId="16889" xr:uid="{1D3FD26B-3CD9-4C93-8DD6-0C36F579C0F2}"/>
    <cellStyle name="40% - Accent1 2 5 4 3" xfId="16886" xr:uid="{259FEDFF-D320-4B27-AC33-F021235301B1}"/>
    <cellStyle name="40% - Accent1 2 5 4 3 2" xfId="16884" xr:uid="{346703B4-D337-4CB9-B59F-72589B913E0C}"/>
    <cellStyle name="40% - Accent1 2 5 4 4" xfId="17578" xr:uid="{50F7EAE2-E1FF-4851-81CB-EBE3F15B82AF}"/>
    <cellStyle name="40% - Accent1 2 5 5" xfId="27556" xr:uid="{E0ABF922-99F3-4516-806E-FFC70A1927B2}"/>
    <cellStyle name="40% - Accent1 2 5 5 2" xfId="34026" xr:uid="{7BC1FD6E-A178-41E9-98B3-F6EDD7DF8120}"/>
    <cellStyle name="40% - Accent1 2 5 5 2 2" xfId="12405" xr:uid="{BB9D0AA5-308A-4ECA-B6D0-DE25278845E0}"/>
    <cellStyle name="40% - Accent1 2 5 5 3" xfId="29264" xr:uid="{A9B756C2-1103-4964-91F3-E9FA89B759D5}"/>
    <cellStyle name="40% - Accent1 2 5 6" xfId="16880" xr:uid="{C5F36876-1D6C-4002-AE32-82FA01CA2E4B}"/>
    <cellStyle name="40% - Accent1 2 5 6 2" xfId="29357" xr:uid="{28EE04FE-D845-4D5B-AD62-D02A48008CF5}"/>
    <cellStyle name="40% - Accent1 2 5 7" xfId="6440" xr:uid="{6A6A1507-5666-4EF0-9972-C92A2E7E6420}"/>
    <cellStyle name="40% - Accent1 2 5 8" xfId="34941" xr:uid="{788F91F9-5898-41A1-8659-0650222A9F84}"/>
    <cellStyle name="40% - Accent1 2 6" xfId="10571" xr:uid="{D51B47A0-7893-4379-A373-246062D18E24}"/>
    <cellStyle name="40% - Accent1 2 6 2" xfId="16873" xr:uid="{14E85F0E-601F-49CB-BCDE-C780157FD602}"/>
    <cellStyle name="40% - Accent1 2 6 2 2" xfId="16872" xr:uid="{1D53107E-A9E2-422F-806E-12FD3601708F}"/>
    <cellStyle name="40% - Accent1 2 6 2 2 2" xfId="16869" xr:uid="{09F386C2-A1AE-4962-A696-90F8C170E198}"/>
    <cellStyle name="40% - Accent1 2 6 2 2 2 2" xfId="26168" xr:uid="{9F08EED0-DB8F-4459-AEA7-F04F94B6BEB0}"/>
    <cellStyle name="40% - Accent1 2 6 2 2 2 2 2" xfId="24775" xr:uid="{AA0B8563-0AAD-461D-B720-B17A9C483A4B}"/>
    <cellStyle name="40% - Accent1 2 6 2 2 2 3" xfId="26094" xr:uid="{BDBEF1A7-C85E-4400-BE47-7F47F414160E}"/>
    <cellStyle name="40% - Accent1 2 6 2 2 3" xfId="16868" xr:uid="{D52B951B-710D-4820-9CCE-756E14941937}"/>
    <cellStyle name="40% - Accent1 2 6 2 2 3 2" xfId="16863" xr:uid="{4BC47D93-B102-4BA7-9C43-DB0E06E3C9EF}"/>
    <cellStyle name="40% - Accent1 2 6 2 2 4" xfId="16861" xr:uid="{EDCE1684-9313-4C1B-ABCA-B60975BF2765}"/>
    <cellStyle name="40% - Accent1 2 6 2 3" xfId="17576" xr:uid="{965E5499-602A-4B3D-8E61-2A259C5DA5F0}"/>
    <cellStyle name="40% - Accent1 2 6 2 3 2" xfId="24086" xr:uid="{22A7442B-6F88-471E-B902-E7911E9AC771}"/>
    <cellStyle name="40% - Accent1 2 6 2 3 2 2" xfId="27218" xr:uid="{6D2356E4-D4F5-412F-BCEA-E16543989678}"/>
    <cellStyle name="40% - Accent1 2 6 2 3 3" xfId="33941" xr:uid="{B3100C54-B70A-4706-98F6-A1BCF2485557}"/>
    <cellStyle name="40% - Accent1 2 6 2 4" xfId="17569" xr:uid="{F3194B43-AD4A-45F0-B5B6-CEBB467E88E5}"/>
    <cellStyle name="40% - Accent1 2 6 2 4 2" xfId="30795" xr:uid="{CFD267BB-B70D-458D-9AC7-0BDEF2C2DCEB}"/>
    <cellStyle name="40% - Accent1 2 6 2 5" xfId="17562" xr:uid="{69FF32E9-1E21-4FDC-8145-C3B978FCE057}"/>
    <cellStyle name="40% - Accent1 2 6 3" xfId="31636" xr:uid="{509C3187-CE95-4970-A7CD-D4133EDFDA89}"/>
    <cellStyle name="40% - Accent1 2 6 3 2" xfId="31198" xr:uid="{10499B83-82F3-4F73-BFFB-6AD0D6EFB57B}"/>
    <cellStyle name="40% - Accent1 2 6 3 2 2" xfId="16859" xr:uid="{9B37C222-9181-402B-8B3B-DC96581049E4}"/>
    <cellStyle name="40% - Accent1 2 6 3 2 2 2" xfId="16857" xr:uid="{6E0FBCE0-8F5F-4093-99F8-ED1E36E98180}"/>
    <cellStyle name="40% - Accent1 2 6 3 2 3" xfId="16856" xr:uid="{9EAFA4F9-7917-4816-ADE4-A70CA9CFB748}"/>
    <cellStyle name="40% - Accent1 2 6 3 3" xfId="17551" xr:uid="{FD5DAF86-D63B-4C4D-87AC-AA3B214D534D}"/>
    <cellStyle name="40% - Accent1 2 6 3 3 2" xfId="33170" xr:uid="{2A8E98AC-DA9E-438C-B69B-F4BD3C819DA7}"/>
    <cellStyle name="40% - Accent1 2 6 3 4" xfId="17543" xr:uid="{EC6893A5-0392-425C-AB37-D7CB3C16D5A7}"/>
    <cellStyle name="40% - Accent1 2 6 4" xfId="16852" xr:uid="{EE14903C-1985-4B1A-BDB9-CF5A35555B71}"/>
    <cellStyle name="40% - Accent1 2 6 4 2" xfId="34062" xr:uid="{6925BD6C-9F1D-4027-B336-EB51D00EF8E7}"/>
    <cellStyle name="40% - Accent1 2 6 4 2 2" xfId="16851" xr:uid="{0F240B5B-D75D-4451-89C5-5054FA18DFAC}"/>
    <cellStyle name="40% - Accent1 2 6 4 3" xfId="17536" xr:uid="{C9719F35-1476-47D0-B475-75F037405297}"/>
    <cellStyle name="40% - Accent1 2 6 5" xfId="16847" xr:uid="{758063D3-63AA-4A4E-8724-0FE47A4D085E}"/>
    <cellStyle name="40% - Accent1 2 6 5 2" xfId="30430" xr:uid="{F52DAACB-A3C4-4714-A26F-8DF34E424976}"/>
    <cellStyle name="40% - Accent1 2 6 6" xfId="16843" xr:uid="{4AEF7D60-3EA3-4ABB-A17D-3335605D139F}"/>
    <cellStyle name="40% - Accent1 2 6 7" xfId="35146" xr:uid="{CFE66693-EDA3-44CF-9326-506C25B1DE7F}"/>
    <cellStyle name="40% - Accent1 2 7" xfId="16840" xr:uid="{E3A39319-A482-4F2B-8714-8B4483F10DA1}"/>
    <cellStyle name="40% - Accent1 2 7 2" xfId="33483" xr:uid="{6B8E2A2C-81A0-49B7-91C5-37C3DC3CBBFB}"/>
    <cellStyle name="40% - Accent1 2 7 2 2" xfId="33690" xr:uid="{79932644-211F-4BF2-9AAD-D8409A4D3C17}"/>
    <cellStyle name="40% - Accent1 2 7 2 2 2" xfId="34074" xr:uid="{F18F5AFF-FC4C-47DA-8690-C66D0975DC47}"/>
    <cellStyle name="40% - Accent1 2 7 2 2 2 2" xfId="6799" xr:uid="{80384100-68DA-460A-AD37-BB398A4D8792}"/>
    <cellStyle name="40% - Accent1 2 7 2 2 3" xfId="34123" xr:uid="{EA27DBFE-D4B9-4711-8CCB-936BBF6025F0}"/>
    <cellStyle name="40% - Accent1 2 7 2 3" xfId="20005" xr:uid="{11245884-E779-49CD-8F92-FB7DABFA4CF4}"/>
    <cellStyle name="40% - Accent1 2 7 2 3 2" xfId="30545" xr:uid="{2DAEEBBF-0D6D-4A68-88CA-743A419EEF21}"/>
    <cellStyle name="40% - Accent1 2 7 2 4" xfId="17527" xr:uid="{4043C70E-FE80-43B0-B352-579E367B462A}"/>
    <cellStyle name="40% - Accent1 2 7 3" xfId="32415" xr:uid="{3D8E6004-955B-4D8B-8A16-BFCCC3F2712A}"/>
    <cellStyle name="40% - Accent1 2 7 3 2" xfId="32097" xr:uid="{1EC85B8E-5B26-4999-95DE-A0A9C1355D1C}"/>
    <cellStyle name="40% - Accent1 2 7 3 2 2" xfId="34045" xr:uid="{11BA96F0-653C-4FC1-8E95-D2454F0D4615}"/>
    <cellStyle name="40% - Accent1 2 7 3 3" xfId="18050" xr:uid="{551B78AF-57E6-4EE7-9CD0-C8DBA363AAD2}"/>
    <cellStyle name="40% - Accent1 2 7 4" xfId="25558" xr:uid="{F0936B04-48FA-48CF-A1A2-78574DCE2F49}"/>
    <cellStyle name="40% - Accent1 2 7 4 2" xfId="33738" xr:uid="{525EE863-8145-4330-AF2C-A2F594A394DD}"/>
    <cellStyle name="40% - Accent1 2 7 5" xfId="29218" xr:uid="{51A8F8DE-3E79-47B0-A9B2-08D6B407BDFB}"/>
    <cellStyle name="40% - Accent1 2 7 6" xfId="35375" xr:uid="{504BAD4F-87F4-4998-94CB-4B18E2C59D75}"/>
    <cellStyle name="40% - Accent1 2 8" xfId="16839" xr:uid="{7CDFC3F3-506B-42FD-B696-B8B87E507158}"/>
    <cellStyle name="40% - Accent1 2 8 2" xfId="25416" xr:uid="{57A0848E-2028-49F2-A44E-B32CA249B1BF}"/>
    <cellStyle name="40% - Accent1 2 8 2 2" xfId="33546" xr:uid="{2F549481-ED53-4B86-818E-445BF324DD77}"/>
    <cellStyle name="40% - Accent1 2 8 2 2 2" xfId="6046" xr:uid="{9841A3BC-E6EB-45E7-B6B1-0A205CB03E76}"/>
    <cellStyle name="40% - Accent1 2 8 2 3" xfId="32016" xr:uid="{AF60A057-02C9-4DB6-B3F4-102D334D98A2}"/>
    <cellStyle name="40% - Accent1 2 8 3" xfId="29904" xr:uid="{88E0148B-A7A0-4368-B8F8-C5ACC6297924}"/>
    <cellStyle name="40% - Accent1 2 8 3 2" xfId="29899" xr:uid="{5D869879-4105-474E-A06E-4C0948571260}"/>
    <cellStyle name="40% - Accent1 2 8 4" xfId="29575" xr:uid="{34460FD4-974D-4188-ABA9-AA6C85BF2F78}"/>
    <cellStyle name="40% - Accent1 2 8 5" xfId="36247" xr:uid="{784024B2-E893-4363-97F2-62A07727D27A}"/>
    <cellStyle name="40% - Accent1 2 9" xfId="27054" xr:uid="{B3BD719B-503B-445F-8DB0-3472FABBAFE2}"/>
    <cellStyle name="40% - Accent1 2 9 2" xfId="25403" xr:uid="{1FCD7129-73A3-40D1-BF8C-58C24E7FFA96}"/>
    <cellStyle name="40% - Accent1 2 9 2 2" xfId="25066" xr:uid="{385F4DC5-036F-4148-BCBB-A789112A81BB}"/>
    <cellStyle name="40% - Accent1 2 9 3" xfId="33023" xr:uid="{B66CD9B3-7585-4355-9F98-323EF9C79A67}"/>
    <cellStyle name="40% - Accent1 2 9 4" xfId="36533" xr:uid="{FC83464D-5239-49C4-842B-976195738AEE}"/>
    <cellStyle name="40% - Accent1 20" xfId="35697" xr:uid="{909BEB90-08D8-45D6-A256-1779B7359FAE}"/>
    <cellStyle name="40% - Accent1 20 2" xfId="36866" xr:uid="{DF727917-1492-4156-9E2B-824D20CABF32}"/>
    <cellStyle name="40% - Accent1 20 3" xfId="37757" xr:uid="{2A6501A0-8CA3-413D-9862-BB6B8475CDC5}"/>
    <cellStyle name="40% - Accent1 21" xfId="35716" xr:uid="{03CE1DBF-5D94-425B-B04E-16F785BDE68B}"/>
    <cellStyle name="40% - Accent1 21 2" xfId="36886" xr:uid="{02A9BE38-3FC4-4152-AE98-97E80618A92B}"/>
    <cellStyle name="40% - Accent1 21 3" xfId="37777" xr:uid="{41845DE8-2D48-4E98-87AD-31FE223AE0A5}"/>
    <cellStyle name="40% - Accent1 22" xfId="35735" xr:uid="{82782B1F-183A-4858-BCB6-8AE664F4C40E}"/>
    <cellStyle name="40% - Accent1 22 2" xfId="36906" xr:uid="{13FF5105-DB3B-4034-86F6-84DCE261E712}"/>
    <cellStyle name="40% - Accent1 22 3" xfId="37797" xr:uid="{F14B537E-B0EF-4F47-80E6-22B8F4960DDF}"/>
    <cellStyle name="40% - Accent1 23" xfId="35755" xr:uid="{D9FBA2F1-CA25-463B-86B6-5C669D1B66E4}"/>
    <cellStyle name="40% - Accent1 23 2" xfId="36925" xr:uid="{0B85050E-E628-4EA4-BC78-0211EDB71855}"/>
    <cellStyle name="40% - Accent1 23 3" xfId="37817" xr:uid="{D60D01E9-1DA1-424E-AF53-5935C8CA0BBA}"/>
    <cellStyle name="40% - Accent1 24" xfId="35775" xr:uid="{E8CFE3DB-3724-459F-A79D-DCB523A398EF}"/>
    <cellStyle name="40% - Accent1 24 2" xfId="36944" xr:uid="{A7EFDEC7-1406-48ED-A15D-3F77BD21BB0C}"/>
    <cellStyle name="40% - Accent1 24 3" xfId="37837" xr:uid="{31241678-9754-4879-8505-5D34D4CCA12E}"/>
    <cellStyle name="40% - Accent1 25" xfId="35794" xr:uid="{A80528C1-5B23-419B-B47F-62D7815D1FF4}"/>
    <cellStyle name="40% - Accent1 25 2" xfId="36964" xr:uid="{ECB7D719-8D68-4990-B465-D4F70F8C3BE7}"/>
    <cellStyle name="40% - Accent1 25 3" xfId="37857" xr:uid="{6D663B46-41FE-418E-B736-93C42977F9E9}"/>
    <cellStyle name="40% - Accent1 26" xfId="35813" xr:uid="{18982D53-67BB-47F9-AD6D-8F06582806E5}"/>
    <cellStyle name="40% - Accent1 26 2" xfId="36984" xr:uid="{0922AA8E-0DAC-442B-A19C-ED355991BDDD}"/>
    <cellStyle name="40% - Accent1 26 3" xfId="37877" xr:uid="{3A3AB958-06DE-4D75-9410-F1506504E7E4}"/>
    <cellStyle name="40% - Accent1 27" xfId="35832" xr:uid="{4D4E86C9-A3F4-47F8-B9CA-AB666973289B}"/>
    <cellStyle name="40% - Accent1 27 2" xfId="37004" xr:uid="{C095DFF1-E776-4ADD-BCE3-87A7FCEB39D8}"/>
    <cellStyle name="40% - Accent1 27 3" xfId="37897" xr:uid="{BDCA34FF-6348-4E16-9FB3-8D9E1DA9D531}"/>
    <cellStyle name="40% - Accent1 28" xfId="35851" xr:uid="{BCDAFDC9-6C8B-4770-8EDD-1DE55DABB30F}"/>
    <cellStyle name="40% - Accent1 28 2" xfId="37024" xr:uid="{94726F56-BCDE-4AA1-AF28-451FB8C63B24}"/>
    <cellStyle name="40% - Accent1 28 3" xfId="37917" xr:uid="{BD0AE935-E69B-466C-8EE6-6DCFC3F6D181}"/>
    <cellStyle name="40% - Accent1 29" xfId="35875" xr:uid="{BFA9A21B-3EB2-495C-97C9-C9CFCD2084A4}"/>
    <cellStyle name="40% - Accent1 29 2" xfId="37047" xr:uid="{6A30C647-BB40-4EA4-AC18-CABB0A564E1D}"/>
    <cellStyle name="40% - Accent1 29 3" xfId="37941" xr:uid="{BC7C37D6-E994-40ED-8D63-1DD07578DC38}"/>
    <cellStyle name="40% - Accent1 3" xfId="98" xr:uid="{56ABEFCE-6C65-461A-B0A2-BF47A6398DAB}"/>
    <cellStyle name="40% - Accent1 3 10" xfId="16837" xr:uid="{161B8ED6-1A01-47A1-BB42-04438D644241}"/>
    <cellStyle name="40% - Accent1 3 10 2" xfId="37437" xr:uid="{E6EACC83-9B72-43CF-8575-563CEDDE82BC}"/>
    <cellStyle name="40% - Accent1 3 11" xfId="34452" xr:uid="{8AB39F55-2E2C-4CC9-8084-8F36C43B7841}"/>
    <cellStyle name="40% - Accent1 3 12" xfId="30318" xr:uid="{138E49FC-BED3-4912-84A2-A2DB6B1E3AEE}"/>
    <cellStyle name="40% - Accent1 3 2" xfId="159" xr:uid="{EA2AC5BD-B6D8-4CB5-8A42-958FBBE38E09}"/>
    <cellStyle name="40% - Accent1 3 2 10" xfId="34507" xr:uid="{72B8C9E4-13C3-4C32-8919-D1D77A19900B}"/>
    <cellStyle name="40% - Accent1 3 2 11" xfId="16836" xr:uid="{D3DAAB4B-CB3B-4574-96E1-9E929DDBDD04}"/>
    <cellStyle name="40% - Accent1 3 2 2" xfId="27318" xr:uid="{6D7CE6A7-F202-4C48-9177-444654989102}"/>
    <cellStyle name="40% - Accent1 3 2 2 2" xfId="16835" xr:uid="{1A8E96F8-3664-406B-9BE7-C346D6570620}"/>
    <cellStyle name="40% - Accent1 3 2 2 2 2" xfId="16834" xr:uid="{5035898D-1F12-4234-B086-6C618CAED354}"/>
    <cellStyle name="40% - Accent1 3 2 2 2 2 2" xfId="16833" xr:uid="{248958F6-C76F-438D-908B-167B8336C583}"/>
    <cellStyle name="40% - Accent1 3 2 2 2 2 2 2" xfId="6447" xr:uid="{6BEC6522-96DA-4D8A-A2E2-94A2E1FDD8E6}"/>
    <cellStyle name="40% - Accent1 3 2 2 2 2 2 2 2" xfId="16832" xr:uid="{CA2ACFEC-2C97-481E-9F02-027BAD982583}"/>
    <cellStyle name="40% - Accent1 3 2 2 2 2 2 2 2 2" xfId="16830" xr:uid="{556EDA9E-46DD-4BB4-B29C-84EA08E57DCA}"/>
    <cellStyle name="40% - Accent1 3 2 2 2 2 2 2 2 2 2" xfId="16828" xr:uid="{4F945CE4-DD07-4548-B3E9-4F14033F6C5C}"/>
    <cellStyle name="40% - Accent1 3 2 2 2 2 2 2 2 3" xfId="16826" xr:uid="{D5FC0CB1-CDDA-48F3-B6AD-39551FE700F7}"/>
    <cellStyle name="40% - Accent1 3 2 2 2 2 2 2 3" xfId="24762" xr:uid="{98DACB5C-B82C-47CA-A298-163ECC9947E4}"/>
    <cellStyle name="40% - Accent1 3 2 2 2 2 2 2 3 2" xfId="29771" xr:uid="{D6FD1303-125A-4DA2-8438-0CE654B4D890}"/>
    <cellStyle name="40% - Accent1 3 2 2 2 2 2 2 4" xfId="8206" xr:uid="{B91E24B0-6DBE-4983-A062-DE0A5DF51E1B}"/>
    <cellStyle name="40% - Accent1 3 2 2 2 2 2 3" xfId="6443" xr:uid="{E98B7157-CEF5-4F5B-AF89-1DEB085B16D4}"/>
    <cellStyle name="40% - Accent1 3 2 2 2 2 2 3 2" xfId="16824" xr:uid="{91DDE203-0AB2-466E-9392-FEF3641CAFDE}"/>
    <cellStyle name="40% - Accent1 3 2 2 2 2 2 3 2 2" xfId="16823" xr:uid="{DB070FC5-F47A-498F-A07F-BB89DA4569BD}"/>
    <cellStyle name="40% - Accent1 3 2 2 2 2 2 3 3" xfId="8200" xr:uid="{D686632E-31AD-4C7E-968C-C0B18DDF9E79}"/>
    <cellStyle name="40% - Accent1 3 2 2 2 2 2 4" xfId="16505" xr:uid="{298B20CB-6238-46D4-9D6F-AEC0A348A277}"/>
    <cellStyle name="40% - Accent1 3 2 2 2 2 2 4 2" xfId="16818" xr:uid="{245FE17B-7A11-4678-A724-4EAF376C65D5}"/>
    <cellStyle name="40% - Accent1 3 2 2 2 2 2 5" xfId="16817" xr:uid="{A9647A2F-4BCB-4BEA-8215-167FCCDEB228}"/>
    <cellStyle name="40% - Accent1 3 2 2 2 2 3" xfId="16816" xr:uid="{F3D74D9E-C745-4FA6-B144-15BE908C80CF}"/>
    <cellStyle name="40% - Accent1 3 2 2 2 2 3 2" xfId="16815" xr:uid="{A23A158B-6309-4AD6-8359-5F472A8BE463}"/>
    <cellStyle name="40% - Accent1 3 2 2 2 2 3 2 2" xfId="16813" xr:uid="{4992E91C-63E8-4C5D-B977-4A29FB9CB75B}"/>
    <cellStyle name="40% - Accent1 3 2 2 2 2 3 2 2 2" xfId="16810" xr:uid="{A9C4D6F0-CA16-4FBC-96EC-0EB735E1692D}"/>
    <cellStyle name="40% - Accent1 3 2 2 2 2 3 2 3" xfId="16809" xr:uid="{FC00E64D-AF0A-43D9-AEE1-6C09A50710F9}"/>
    <cellStyle name="40% - Accent1 3 2 2 2 2 3 3" xfId="10563" xr:uid="{D92CD710-54AA-4A96-937C-556C39B77DA1}"/>
    <cellStyle name="40% - Accent1 3 2 2 2 2 3 3 2" xfId="16804" xr:uid="{6FA16BEC-5E1C-4A48-BFF1-EC084C0726D7}"/>
    <cellStyle name="40% - Accent1 3 2 2 2 2 3 4" xfId="16803" xr:uid="{16F594FC-E9E0-4215-81C4-2A4D255389F5}"/>
    <cellStyle name="40% - Accent1 3 2 2 2 2 4" xfId="16802" xr:uid="{64D3ABBB-BE80-4B64-95B0-F92AEC975F0F}"/>
    <cellStyle name="40% - Accent1 3 2 2 2 2 4 2" xfId="10545" xr:uid="{A43BBAC6-B377-4C8F-8391-48177759ADAF}"/>
    <cellStyle name="40% - Accent1 3 2 2 2 2 4 2 2" xfId="16795" xr:uid="{50D4689F-BDBA-42BB-8E00-063E84E75252}"/>
    <cellStyle name="40% - Accent1 3 2 2 2 2 4 3" xfId="16794" xr:uid="{E448ED4B-E32E-44DF-BD87-7F9AAE23728D}"/>
    <cellStyle name="40% - Accent1 3 2 2 2 2 5" xfId="16790" xr:uid="{4B9F4B2E-AF76-4E75-BCAB-60D3635ADD14}"/>
    <cellStyle name="40% - Accent1 3 2 2 2 2 5 2" xfId="12360" xr:uid="{2A1A9A8D-958D-4E50-9E5C-29870B5633AC}"/>
    <cellStyle name="40% - Accent1 3 2 2 2 2 6" xfId="16786" xr:uid="{C35DA249-77B8-415D-8999-2ECE481146CF}"/>
    <cellStyle name="40% - Accent1 3 2 2 2 3" xfId="16781" xr:uid="{5A0D23C8-CDCE-4CE0-B0F5-FD76C98DA801}"/>
    <cellStyle name="40% - Accent1 3 2 2 2 3 2" xfId="16780" xr:uid="{37951400-08DE-43F7-8FA1-85F1FED1BFAC}"/>
    <cellStyle name="40% - Accent1 3 2 2 2 3 2 2" xfId="6396" xr:uid="{A183B613-5D08-415E-85BF-68576E554966}"/>
    <cellStyle name="40% - Accent1 3 2 2 2 3 2 2 2" xfId="16777" xr:uid="{2F59927C-EFA1-45D8-BF5D-AC97762B2F4B}"/>
    <cellStyle name="40% - Accent1 3 2 2 2 3 2 2 2 2" xfId="32971" xr:uid="{000DE3DA-A2C1-4AED-BDA9-71A9F24A6490}"/>
    <cellStyle name="40% - Accent1 3 2 2 2 3 2 2 3" xfId="8187" xr:uid="{5CF66E40-6069-4F49-BD29-DF47C5AFB42A}"/>
    <cellStyle name="40% - Accent1 3 2 2 2 3 2 3" xfId="6393" xr:uid="{53FFA6F0-74F3-4B94-A655-3131E40BF851}"/>
    <cellStyle name="40% - Accent1 3 2 2 2 3 2 3 2" xfId="16776" xr:uid="{B6E11663-4A2B-4063-8111-50AEDD60C5E9}"/>
    <cellStyle name="40% - Accent1 3 2 2 2 3 2 4" xfId="16774" xr:uid="{97207B3B-D780-424B-B39E-4052E298E38D}"/>
    <cellStyle name="40% - Accent1 3 2 2 2 3 3" xfId="20056" xr:uid="{B0091660-DC38-4E74-9F94-85F670DDF997}"/>
    <cellStyle name="40% - Accent1 3 2 2 2 3 3 2" xfId="10480" xr:uid="{1EC79055-C869-4CA1-9E87-D7A516578DF4}"/>
    <cellStyle name="40% - Accent1 3 2 2 2 3 3 2 2" xfId="16772" xr:uid="{694ADEF0-A06A-4B37-9CAE-1597792A5F83}"/>
    <cellStyle name="40% - Accent1 3 2 2 2 3 3 3" xfId="16771" xr:uid="{8203BA5B-F5F0-4F52-AFD2-7F818FF59E59}"/>
    <cellStyle name="40% - Accent1 3 2 2 2 3 4" xfId="20049" xr:uid="{6F5861DA-5021-4F00-9215-468B84758283}"/>
    <cellStyle name="40% - Accent1 3 2 2 2 3 4 2" xfId="12354" xr:uid="{6478BE61-452C-4F1B-B930-72395748944C}"/>
    <cellStyle name="40% - Accent1 3 2 2 2 3 5" xfId="18080" xr:uid="{E68CAB5E-1F05-4052-BE98-F75C6D222BDE}"/>
    <cellStyle name="40% - Accent1 3 2 2 2 4" xfId="16769" xr:uid="{B3C944E6-AE25-4B89-9763-6BB9094C37BC}"/>
    <cellStyle name="40% - Accent1 3 2 2 2 4 2" xfId="16768" xr:uid="{219CD15D-AD48-4A19-A6A8-DDADBD303A06}"/>
    <cellStyle name="40% - Accent1 3 2 2 2 4 2 2" xfId="19894" xr:uid="{7CE461FA-3693-4E42-A089-861586B8A47C}"/>
    <cellStyle name="40% - Accent1 3 2 2 2 4 2 2 2" xfId="6062" xr:uid="{242F0B6A-D2C0-476C-8ECB-E3853362A08E}"/>
    <cellStyle name="40% - Accent1 3 2 2 2 4 2 3" xfId="23614" xr:uid="{6BAE1AD8-7551-4C3D-8F3B-A0C7AFF95CA4}"/>
    <cellStyle name="40% - Accent1 3 2 2 2 4 3" xfId="28072" xr:uid="{D70688DC-DA76-427D-86FA-7400A840D0D8}"/>
    <cellStyle name="40% - Accent1 3 2 2 2 4 3 2" xfId="23608" xr:uid="{600A1648-3B64-4B7D-8B20-551E9ED9483D}"/>
    <cellStyle name="40% - Accent1 3 2 2 2 4 4" xfId="23909" xr:uid="{AC503C54-1413-4F94-8BA2-28B6DEE2E635}"/>
    <cellStyle name="40% - Accent1 3 2 2 2 5" xfId="16764" xr:uid="{804E7E2E-4C65-410F-B323-28D844E946C8}"/>
    <cellStyle name="40% - Accent1 3 2 2 2 5 2" xfId="16763" xr:uid="{D2CA85F3-B0DC-49BE-9065-F4DB1D809085}"/>
    <cellStyle name="40% - Accent1 3 2 2 2 5 2 2" xfId="32241" xr:uid="{95D955AC-BB64-4956-B9B4-432A10C9CD0B}"/>
    <cellStyle name="40% - Accent1 3 2 2 2 5 3" xfId="28030" xr:uid="{0DE6BADB-0FE6-4AE4-A8F9-476C7C1BD352}"/>
    <cellStyle name="40% - Accent1 3 2 2 2 6" xfId="16760" xr:uid="{EE133AC6-2720-4DCA-84AD-175C4EF8BB83}"/>
    <cellStyle name="40% - Accent1 3 2 2 2 6 2" xfId="16759" xr:uid="{A5F561E3-8514-46AE-B786-89131B937BFE}"/>
    <cellStyle name="40% - Accent1 3 2 2 2 7" xfId="16754" xr:uid="{82C83C0F-E115-48B3-A470-8D85CFC665AC}"/>
    <cellStyle name="40% - Accent1 3 2 2 3" xfId="12629" xr:uid="{C60829E7-910F-4451-9C02-6444909C81B1}"/>
    <cellStyle name="40% - Accent1 3 2 2 3 2" xfId="11332" xr:uid="{6EEF55F0-E455-4AEB-BD97-9972633CEBFA}"/>
    <cellStyle name="40% - Accent1 3 2 2 3 2 2" xfId="16751" xr:uid="{48485B32-7E4B-49B5-9ABA-B074BF4862C6}"/>
    <cellStyle name="40% - Accent1 3 2 2 3 2 2 2" xfId="9077" xr:uid="{F6D20258-EBD7-4F7D-9592-6E920E9DCA0D}"/>
    <cellStyle name="40% - Accent1 3 2 2 3 2 2 2 2" xfId="16746" xr:uid="{B21DDFF5-5A49-4490-A815-3A2D560FDE0C}"/>
    <cellStyle name="40% - Accent1 3 2 2 3 2 2 2 2 2" xfId="16745" xr:uid="{9625F03E-C6E4-43FA-8151-E17C5F994F40}"/>
    <cellStyle name="40% - Accent1 3 2 2 3 2 2 2 3" xfId="8080" xr:uid="{348C65B6-03CC-40B9-B835-AFAAF0B5017F}"/>
    <cellStyle name="40% - Accent1 3 2 2 3 2 2 3" xfId="5374" xr:uid="{3C7502EE-9400-4E67-9F3E-544C12E21A19}"/>
    <cellStyle name="40% - Accent1 3 2 2 3 2 2 3 2" xfId="17342" xr:uid="{64215611-28BE-4DB5-B34F-E6A703A3ECF7}"/>
    <cellStyle name="40% - Accent1 3 2 2 3 2 2 4" xfId="16743" xr:uid="{2BA18755-797A-4124-BD62-020A497890E9}"/>
    <cellStyle name="40% - Accent1 3 2 2 3 2 3" xfId="30094" xr:uid="{7888A4DD-FABF-4338-838E-6555FA0032E7}"/>
    <cellStyle name="40% - Accent1 3 2 2 3 2 3 2" xfId="9911" xr:uid="{E0026075-86A0-4257-95C1-0390253DAE64}"/>
    <cellStyle name="40% - Accent1 3 2 2 3 2 3 2 2" xfId="16739" xr:uid="{05995EDF-ACF5-4792-9F72-B6622D9EC4F1}"/>
    <cellStyle name="40% - Accent1 3 2 2 3 2 3 3" xfId="16738" xr:uid="{F6C39828-630F-4871-85C3-3BD7D81B68A7}"/>
    <cellStyle name="40% - Accent1 3 2 2 3 2 4" xfId="23424" xr:uid="{D32699CF-F44B-4B68-892B-ECEE0CAE9118}"/>
    <cellStyle name="40% - Accent1 3 2 2 3 2 4 2" xfId="12334" xr:uid="{99457454-4ABE-4D0F-86FE-A1EB2C94E6A1}"/>
    <cellStyle name="40% - Accent1 3 2 2 3 2 5" xfId="16734" xr:uid="{E2912C02-719A-46E9-BCF6-14ECFC60B22D}"/>
    <cellStyle name="40% - Accent1 3 2 2 3 3" xfId="30096" xr:uid="{3C05572F-BD5C-4B64-A66E-CC6CF08B1686}"/>
    <cellStyle name="40% - Accent1 3 2 2 3 3 2" xfId="16731" xr:uid="{E5A3824F-AB2E-4B9C-8A3A-5D19BE9B1F8C}"/>
    <cellStyle name="40% - Accent1 3 2 2 3 3 2 2" xfId="27664" xr:uid="{6CE76A01-D77B-4CEA-9F61-AFDFCCA1EECD}"/>
    <cellStyle name="40% - Accent1 3 2 2 3 3 2 2 2" xfId="16728" xr:uid="{222590CD-B089-4904-96DD-0756374440E6}"/>
    <cellStyle name="40% - Accent1 3 2 2 3 3 2 3" xfId="17504" xr:uid="{6AA2E34F-5CFF-4910-BE89-2993579BCAA5}"/>
    <cellStyle name="40% - Accent1 3 2 2 3 3 3" xfId="27912" xr:uid="{78149A1D-DE3D-4224-9CFE-97B99A52ABB6}"/>
    <cellStyle name="40% - Accent1 3 2 2 3 3 3 2" xfId="24230" xr:uid="{39114C57-C646-45D1-8FC9-5921760E1B30}"/>
    <cellStyle name="40% - Accent1 3 2 2 3 3 4" xfId="23409" xr:uid="{988A1445-B32E-4CB1-BEDD-056CC74F9B63}"/>
    <cellStyle name="40% - Accent1 3 2 2 3 4" xfId="16726" xr:uid="{47CBEDE6-7FA7-4A67-9610-BC7E2AD211AC}"/>
    <cellStyle name="40% - Accent1 3 2 2 3 4 2" xfId="16725" xr:uid="{1F75AA7B-02AF-48A5-BA19-2D9361F6AE6F}"/>
    <cellStyle name="40% - Accent1 3 2 2 3 4 2 2" xfId="23534" xr:uid="{741D5871-3D33-44BF-B807-C05C2B230C9D}"/>
    <cellStyle name="40% - Accent1 3 2 2 3 4 3" xfId="27999" xr:uid="{4709BB73-DDDA-4983-88D8-DBD5379CD86D}"/>
    <cellStyle name="40% - Accent1 3 2 2 3 5" xfId="16722" xr:uid="{CB4566E5-038E-469B-BF44-A0AA37C09A7F}"/>
    <cellStyle name="40% - Accent1 3 2 2 3 5 2" xfId="16721" xr:uid="{ED8279D0-42BD-4A2E-959F-3C275862D9A3}"/>
    <cellStyle name="40% - Accent1 3 2 2 3 6" xfId="16718" xr:uid="{4BD97766-CE4E-43DA-BD5A-229ED429C9DD}"/>
    <cellStyle name="40% - Accent1 3 2 2 4" xfId="12622" xr:uid="{66C7F107-15C0-4657-AD07-A1E5F473E0A4}"/>
    <cellStyle name="40% - Accent1 3 2 2 4 2" xfId="16717" xr:uid="{FE40AF4F-B486-49CF-B2C7-6C958880DC59}"/>
    <cellStyle name="40% - Accent1 3 2 2 4 2 2" xfId="20891" xr:uid="{4086551B-CF82-4746-B2C0-FD5C8FAE0F60}"/>
    <cellStyle name="40% - Accent1 3 2 2 4 2 2 2" xfId="16716" xr:uid="{C5A30E3E-D105-4A73-9C99-DE7BA6B7F934}"/>
    <cellStyle name="40% - Accent1 3 2 2 4 2 2 2 2" xfId="16710" xr:uid="{78D6255B-A589-4295-8B9E-09D6554964A6}"/>
    <cellStyle name="40% - Accent1 3 2 2 4 2 2 3" xfId="20354" xr:uid="{60DBA9D7-7466-4A39-972F-4C7EF03347FA}"/>
    <cellStyle name="40% - Accent1 3 2 2 4 2 3" xfId="29442" xr:uid="{4BC11FDC-27BD-424E-82BD-173CEB3E492E}"/>
    <cellStyle name="40% - Accent1 3 2 2 4 2 3 2" xfId="16709" xr:uid="{246B2D23-D6CF-40F4-B243-FC33534BFCA9}"/>
    <cellStyle name="40% - Accent1 3 2 2 4 2 4" xfId="23394" xr:uid="{18D31B44-3C09-412F-B11A-DB9669EA7B29}"/>
    <cellStyle name="40% - Accent1 3 2 2 4 3" xfId="16706" xr:uid="{C1626CAC-9B71-462A-B8A4-B28F92776CCC}"/>
    <cellStyle name="40% - Accent1 3 2 2 4 3 2" xfId="29403" xr:uid="{0018B686-FEA8-42E6-A6ED-32662825E8EF}"/>
    <cellStyle name="40% - Accent1 3 2 2 4 3 2 2" xfId="27075" xr:uid="{F14F4722-0E77-4191-BA3C-1510F9547E2B}"/>
    <cellStyle name="40% - Accent1 3 2 2 4 3 3" xfId="30270" xr:uid="{92366081-FDB0-4DA5-9FA2-CF2FFCC42491}"/>
    <cellStyle name="40% - Accent1 3 2 2 4 4" xfId="16705" xr:uid="{E274037C-AE5F-4DB5-978E-D34AA29857AD}"/>
    <cellStyle name="40% - Accent1 3 2 2 4 4 2" xfId="29393" xr:uid="{EBAD5263-A043-4FD3-AADD-B91CF8A5E1F6}"/>
    <cellStyle name="40% - Accent1 3 2 2 4 5" xfId="16704" xr:uid="{00ABFED8-71AE-4100-B211-7AFE399C1763}"/>
    <cellStyle name="40% - Accent1 3 2 2 5" xfId="16703" xr:uid="{B9AC9065-32B7-4725-8A71-A0B39BB7686E}"/>
    <cellStyle name="40% - Accent1 3 2 2 5 2" xfId="16702" xr:uid="{DC277237-6148-46FA-BEFB-308A8F608212}"/>
    <cellStyle name="40% - Accent1 3 2 2 5 2 2" xfId="30211" xr:uid="{89889917-62C7-4976-8204-28452E158AC5}"/>
    <cellStyle name="40% - Accent1 3 2 2 5 2 2 2" xfId="16701" xr:uid="{05A59515-33AB-444B-A63A-B51CCD6A5CF6}"/>
    <cellStyle name="40% - Accent1 3 2 2 5 2 3" xfId="23432" xr:uid="{438BC90E-2CE2-4078-A6F0-95DA76FC2400}"/>
    <cellStyle name="40% - Accent1 3 2 2 5 3" xfId="16700" xr:uid="{7702871D-916C-4529-B91A-245EE144C109}"/>
    <cellStyle name="40% - Accent1 3 2 2 5 3 2" xfId="30178" xr:uid="{317BFC0F-F303-47C1-BC99-4A4087038951}"/>
    <cellStyle name="40% - Accent1 3 2 2 5 4" xfId="16699" xr:uid="{AF88AB0F-3710-4462-BF98-44E9164D6F03}"/>
    <cellStyle name="40% - Accent1 3 2 2 6" xfId="24214" xr:uid="{ED870053-3070-4A56-A5A6-ADC175878565}"/>
    <cellStyle name="40% - Accent1 3 2 2 6 2" xfId="31021" xr:uid="{FF8CCDCF-2EDF-4D14-8D55-60670E2A61C1}"/>
    <cellStyle name="40% - Accent1 3 2 2 6 2 2" xfId="30749" xr:uid="{AE59D56E-00B0-43F5-8060-D74A7DD19AC3}"/>
    <cellStyle name="40% - Accent1 3 2 2 6 3" xfId="25510" xr:uid="{3891CE3A-DD9E-48E2-837E-B401454DD68F}"/>
    <cellStyle name="40% - Accent1 3 2 2 7" xfId="24208" xr:uid="{741E795F-3FB5-4DDB-89DF-E8F5401F241C}"/>
    <cellStyle name="40% - Accent1 3 2 2 7 2" xfId="25500" xr:uid="{D954417B-23E0-434C-A20D-EBF8933D6835}"/>
    <cellStyle name="40% - Accent1 3 2 2 8" xfId="23156" xr:uid="{D93B43B4-FBF6-4873-BEB4-AA9D166E1B9A}"/>
    <cellStyle name="40% - Accent1 3 2 3" xfId="11111" xr:uid="{C99184E9-6445-4E24-A81C-CECA594FDDD8}"/>
    <cellStyle name="40% - Accent1 3 2 3 2" xfId="16698" xr:uid="{B4F05F96-C1C5-423F-B359-E291E09E4B01}"/>
    <cellStyle name="40% - Accent1 3 2 3 2 2" xfId="18154" xr:uid="{5968EC47-E442-4E91-AE9D-5EBBB3D50FFF}"/>
    <cellStyle name="40% - Accent1 3 2 3 2 2 2" xfId="16696" xr:uid="{002408AD-ADF0-4316-9099-6A91100C3ED6}"/>
    <cellStyle name="40% - Accent1 3 2 3 2 2 2 2" xfId="16694" xr:uid="{EEAFB1DB-E720-4BE5-B239-E00DDF9F0590}"/>
    <cellStyle name="40% - Accent1 3 2 3 2 2 2 2 2" xfId="16691" xr:uid="{9EA7C5DC-5079-412B-924A-7FFA9AE81B5F}"/>
    <cellStyle name="40% - Accent1 3 2 3 2 2 2 2 2 2" xfId="34361" xr:uid="{15B86912-5E85-4879-97F1-AA2C7E55403D}"/>
    <cellStyle name="40% - Accent1 3 2 3 2 2 2 2 3" xfId="16689" xr:uid="{D6223597-4BCF-4BE3-8531-6E990725FF0D}"/>
    <cellStyle name="40% - Accent1 3 2 3 2 2 2 3" xfId="6772" xr:uid="{A170B54A-D2E9-4C81-AD2B-AE975D5F9767}"/>
    <cellStyle name="40% - Accent1 3 2 3 2 2 2 3 2" xfId="16684" xr:uid="{E41312D2-20F6-48EC-9EBF-4E51B9201BA0}"/>
    <cellStyle name="40% - Accent1 3 2 3 2 2 2 4" xfId="16681" xr:uid="{F39D3A1F-90EF-4AC8-89C1-38E207101571}"/>
    <cellStyle name="40% - Accent1 3 2 3 2 2 3" xfId="16678" xr:uid="{161346CA-1B0F-4908-BBC6-2F6F945915AD}"/>
    <cellStyle name="40% - Accent1 3 2 3 2 2 3 2" xfId="16676" xr:uid="{C5524569-D6FB-4865-B028-02F3736659A4}"/>
    <cellStyle name="40% - Accent1 3 2 3 2 2 3 2 2" xfId="16673" xr:uid="{6BE70ACB-918B-448E-BDFF-8126FC06B922}"/>
    <cellStyle name="40% - Accent1 3 2 3 2 2 3 3" xfId="16671" xr:uid="{F5535BDC-57AB-4023-BAC4-C3F44D753F17}"/>
    <cellStyle name="40% - Accent1 3 2 3 2 2 4" xfId="16669" xr:uid="{0324F05E-EAF9-4E36-873A-6A59FC898B67}"/>
    <cellStyle name="40% - Accent1 3 2 3 2 2 4 2" xfId="16126" xr:uid="{56CBCA83-0709-4503-A451-E0144BB53B2C}"/>
    <cellStyle name="40% - Accent1 3 2 3 2 2 5" xfId="16665" xr:uid="{0B89C668-AA0E-4459-8B00-7B43F314F073}"/>
    <cellStyle name="40% - Accent1 3 2 3 2 3" xfId="21902" xr:uid="{4A0A4412-EB20-490A-A2EE-B34E7E85B99A}"/>
    <cellStyle name="40% - Accent1 3 2 3 2 3 2" xfId="16661" xr:uid="{69AC868B-83A2-4CC9-B3AF-8C5DE6B009D3}"/>
    <cellStyle name="40% - Accent1 3 2 3 2 3 2 2" xfId="6732" xr:uid="{61646A8A-1E92-49B5-9766-24416E533A18}"/>
    <cellStyle name="40% - Accent1 3 2 3 2 3 2 2 2" xfId="16657" xr:uid="{2864495F-6D10-44C0-904F-FD5CD0A17B01}"/>
    <cellStyle name="40% - Accent1 3 2 3 2 3 2 3" xfId="16654" xr:uid="{E2D6CC5D-1B11-4526-A3C2-B8138371C53F}"/>
    <cellStyle name="40% - Accent1 3 2 3 2 3 3" xfId="19990" xr:uid="{B6A2910B-DECA-46D2-9B1D-DEEE3AED4FE0}"/>
    <cellStyle name="40% - Accent1 3 2 3 2 3 3 2" xfId="16652" xr:uid="{843EEDC2-31DF-4FF4-BCC3-7247F549E927}"/>
    <cellStyle name="40% - Accent1 3 2 3 2 3 4" xfId="18058" xr:uid="{1BFE2245-5ED3-4D57-A65D-EB9530725C58}"/>
    <cellStyle name="40% - Accent1 3 2 3 2 4" xfId="16651" xr:uid="{422887F0-883F-471E-9BBA-C1A066091241}"/>
    <cellStyle name="40% - Accent1 3 2 3 2 4 2" xfId="16649" xr:uid="{22B7C904-86CB-4472-A00F-AB3C9A90A90C}"/>
    <cellStyle name="40% - Accent1 3 2 3 2 4 2 2" xfId="23413" xr:uid="{EEF000D6-EA3F-4138-A29F-81F9ECDF35A4}"/>
    <cellStyle name="40% - Accent1 3 2 3 2 4 3" xfId="21456" xr:uid="{99CB9B34-6CAA-4AD1-8A3A-5E091E7A84D1}"/>
    <cellStyle name="40% - Accent1 3 2 3 2 5" xfId="16646" xr:uid="{D7073806-FA25-4522-9FAC-B8DECEAADBA8}"/>
    <cellStyle name="40% - Accent1 3 2 3 2 5 2" xfId="16644" xr:uid="{6435C36D-F0D7-4A7A-9250-3B858C016162}"/>
    <cellStyle name="40% - Accent1 3 2 3 2 6" xfId="16641" xr:uid="{23707431-F973-4A28-850A-8B5BEE7F734D}"/>
    <cellStyle name="40% - Accent1 3 2 3 3" xfId="13940" xr:uid="{5FEB6A4A-121F-4F73-BB45-A3A64F80D208}"/>
    <cellStyle name="40% - Accent1 3 2 3 3 2" xfId="22036" xr:uid="{7642DA61-3282-4CA3-9CE0-72820454C705}"/>
    <cellStyle name="40% - Accent1 3 2 3 3 2 2" xfId="22218" xr:uid="{D6BEFB23-ECC4-43CA-BAD7-619619D00BA8}"/>
    <cellStyle name="40% - Accent1 3 2 3 3 2 2 2" xfId="6547" xr:uid="{629236D5-6E2D-4359-8BA4-3B3A6B1B909A}"/>
    <cellStyle name="40% - Accent1 3 2 3 3 2 2 2 2" xfId="16639" xr:uid="{4FE00B03-9D6B-4891-8DF2-D4A1CEC26C1A}"/>
    <cellStyle name="40% - Accent1 3 2 3 3 2 2 3" xfId="21401" xr:uid="{248567FB-9354-4AAA-B180-96C3445BF864}"/>
    <cellStyle name="40% - Accent1 3 2 3 3 2 3" xfId="20495" xr:uid="{626C717A-DA2D-43DD-8F43-339194F009DF}"/>
    <cellStyle name="40% - Accent1 3 2 3 3 2 3 2" xfId="23977" xr:uid="{44715EAC-12CF-4EFE-B3EF-C688D24274C3}"/>
    <cellStyle name="40% - Accent1 3 2 3 3 2 4" xfId="16636" xr:uid="{BFD0C85D-F838-4861-B940-3449B3097878}"/>
    <cellStyle name="40% - Accent1 3 2 3 3 3" xfId="20487" xr:uid="{6D9018D9-4C80-4BD8-B16C-8387D5D2D895}"/>
    <cellStyle name="40% - Accent1 3 2 3 3 3 2" xfId="20483" xr:uid="{9176E5AC-A0CD-46A6-9D36-B336B304DF35}"/>
    <cellStyle name="40% - Accent1 3 2 3 3 3 2 2" xfId="20211" xr:uid="{ADDCA661-9161-4596-9B1E-B8F8A37FEE70}"/>
    <cellStyle name="40% - Accent1 3 2 3 3 3 3" xfId="21431" xr:uid="{1C6F6EF6-03EB-4294-BD94-98CC60406AA9}"/>
    <cellStyle name="40% - Accent1 3 2 3 3 4" xfId="20479" xr:uid="{0C83B067-B2FB-4610-AAB7-FD80CE5455BD}"/>
    <cellStyle name="40% - Accent1 3 2 3 3 4 2" xfId="16632" xr:uid="{2BC6643E-A7BD-4BFB-B310-C33FCAA00E8F}"/>
    <cellStyle name="40% - Accent1 3 2 3 3 5" xfId="16629" xr:uid="{4385ADA9-0312-464E-BBA9-34E9D6378632}"/>
    <cellStyle name="40% - Accent1 3 2 3 4" xfId="16626" xr:uid="{5259EC28-8C88-4D5C-A2EE-E28BDDCC6019}"/>
    <cellStyle name="40% - Accent1 3 2 3 4 2" xfId="29213" xr:uid="{FECFF786-729D-4ED1-88BA-4FB638655F37}"/>
    <cellStyle name="40% - Accent1 3 2 3 4 2 2" xfId="28814" xr:uid="{A6BF2DC4-5867-42E5-9B02-73FBFF13F848}"/>
    <cellStyle name="40% - Accent1 3 2 3 4 2 2 2" xfId="16624" xr:uid="{A132C4CD-0CFF-4620-A784-7B232CD27B73}"/>
    <cellStyle name="40% - Accent1 3 2 3 4 2 3" xfId="21425" xr:uid="{F74FF531-B371-412B-BFDF-A97C03C81AC8}"/>
    <cellStyle name="40% - Accent1 3 2 3 4 3" xfId="21419" xr:uid="{3A33A5D3-7433-4D29-8EEF-9C184713F414}"/>
    <cellStyle name="40% - Accent1 3 2 3 4 3 2" xfId="21415" xr:uid="{A7454085-883B-48FB-BC34-7904E323BC9C}"/>
    <cellStyle name="40% - Accent1 3 2 3 4 4" xfId="16623" xr:uid="{39BBEA8C-78A7-4218-A465-0CF0E891E9F0}"/>
    <cellStyle name="40% - Accent1 3 2 3 5" xfId="16621" xr:uid="{3BDB2EBE-3834-4818-9260-E60ABB389940}"/>
    <cellStyle name="40% - Accent1 3 2 3 5 2" xfId="21409" xr:uid="{46D90F42-8FE1-48DE-BD01-51B7B0EAD3D5}"/>
    <cellStyle name="40% - Accent1 3 2 3 5 2 2" xfId="21406" xr:uid="{110A27F9-1CD2-4F8B-A9B8-1770430717C3}"/>
    <cellStyle name="40% - Accent1 3 2 3 5 3" xfId="16619" xr:uid="{DC46D15D-20CE-4846-B789-6BCB47830241}"/>
    <cellStyle name="40% - Accent1 3 2 3 6" xfId="21403" xr:uid="{A74C4BD5-4E65-4371-B1AF-B50BCD946811}"/>
    <cellStyle name="40% - Accent1 3 2 3 6 2" xfId="21400" xr:uid="{CE774257-B5A4-4CD5-80D1-6993F4C7F213}"/>
    <cellStyle name="40% - Accent1 3 2 3 7" xfId="26717" xr:uid="{E5529AA7-F031-4F81-8CB8-555E2544D75D}"/>
    <cellStyle name="40% - Accent1 3 2 4" xfId="16616" xr:uid="{DCFB3A0F-3634-4B67-A42D-C201F0A6C8EF}"/>
    <cellStyle name="40% - Accent1 3 2 4 2" xfId="16615" xr:uid="{A3594BCE-7543-4ECC-9F88-CD31CC7D043A}"/>
    <cellStyle name="40% - Accent1 3 2 4 2 2" xfId="18148" xr:uid="{2B86D495-B241-4668-A745-59CB1CC9714A}"/>
    <cellStyle name="40% - Accent1 3 2 4 2 2 2" xfId="16613" xr:uid="{3C839285-D954-4159-9615-8B1B2DB813CC}"/>
    <cellStyle name="40% - Accent1 3 2 4 2 2 2 2" xfId="17427" xr:uid="{446EFCD7-2458-46B5-A0FB-A9351740D857}"/>
    <cellStyle name="40% - Accent1 3 2 4 2 2 2 2 2" xfId="10821" xr:uid="{35690605-AAD4-45DE-A166-96E437D19C67}"/>
    <cellStyle name="40% - Accent1 3 2 4 2 2 2 3" xfId="17421" xr:uid="{3525D513-F0ED-4319-BA25-F49303CBCE42}"/>
    <cellStyle name="40% - Accent1 3 2 4 2 2 3" xfId="16607" xr:uid="{807A0A92-6FE8-4BEF-BCC9-ABE416C41758}"/>
    <cellStyle name="40% - Accent1 3 2 4 2 2 3 2" xfId="17411" xr:uid="{61C6AB63-C76A-4234-9752-525CAE74B7E9}"/>
    <cellStyle name="40% - Accent1 3 2 4 2 2 4" xfId="16605" xr:uid="{BD5105E7-4B0F-4301-8EE9-A0C08FE6AC21}"/>
    <cellStyle name="40% - Accent1 3 2 4 2 3" xfId="16600" xr:uid="{6AFC97BD-49F8-4502-8009-72BEC9CD6D5D}"/>
    <cellStyle name="40% - Accent1 3 2 4 2 3 2" xfId="16598" xr:uid="{4CB9F81E-A309-4D0B-A3E9-5AA7EFEB7DDF}"/>
    <cellStyle name="40% - Accent1 3 2 4 2 3 2 2" xfId="17393" xr:uid="{94D847C6-0C9B-4CDB-91B2-6F4E3BF6DADF}"/>
    <cellStyle name="40% - Accent1 3 2 4 2 3 3" xfId="18037" xr:uid="{1DDCD946-4E2F-4285-8368-02B3530832D2}"/>
    <cellStyle name="40% - Accent1 3 2 4 2 4" xfId="16595" xr:uid="{9904700A-E211-49C2-99DD-8F4C1E481DE7}"/>
    <cellStyle name="40% - Accent1 3 2 4 2 4 2" xfId="16589" xr:uid="{879DC69B-EB39-4CBE-A07B-3FFB9C6FBE95}"/>
    <cellStyle name="40% - Accent1 3 2 4 2 5" xfId="16585" xr:uid="{71E55021-CAD1-4200-AD26-8BE6C226296F}"/>
    <cellStyle name="40% - Accent1 3 2 4 3" xfId="18144" xr:uid="{0729E8EC-ECCB-438D-A010-BAEA51FBF74A}"/>
    <cellStyle name="40% - Accent1 3 2 4 3 2" xfId="20426" xr:uid="{1944FB7F-36E9-485A-8051-3B4154AD6E2B}"/>
    <cellStyle name="40% - Accent1 3 2 4 3 2 2" xfId="30139" xr:uid="{A548089F-8F49-4414-A4C6-1D7753962F23}"/>
    <cellStyle name="40% - Accent1 3 2 4 3 2 2 2" xfId="10204" xr:uid="{8813A8EF-5676-4C11-A5E3-B0B8A0B4314B}"/>
    <cellStyle name="40% - Accent1 3 2 4 3 2 3" xfId="16582" xr:uid="{F42F3D52-6F31-4B2A-A477-E0F1854AB2B8}"/>
    <cellStyle name="40% - Accent1 3 2 4 3 3" xfId="20421" xr:uid="{23E824CF-6DC4-4B95-84B8-618DCE8C50E8}"/>
    <cellStyle name="40% - Accent1 3 2 4 3 3 2" xfId="16580" xr:uid="{F3739872-41CE-4D23-82F3-DC93B92B3B98}"/>
    <cellStyle name="40% - Accent1 3 2 4 3 4" xfId="16577" xr:uid="{1BAF2C7F-C9DC-47CC-BC79-2C9F77EC6EBF}"/>
    <cellStyle name="40% - Accent1 3 2 4 4" xfId="19657" xr:uid="{3427E5DA-4DDA-49E1-90F8-B19DFA29D279}"/>
    <cellStyle name="40% - Accent1 3 2 4 4 2" xfId="25912" xr:uid="{59DE0363-6124-4786-B21B-9FB32254C61C}"/>
    <cellStyle name="40% - Accent1 3 2 4 4 2 2" xfId="21372" xr:uid="{2E1EB1B3-CAFC-4E00-B8EE-C1C75B10F2F3}"/>
    <cellStyle name="40% - Accent1 3 2 4 4 3" xfId="16572" xr:uid="{9A83D16C-5C6C-4BA9-8FB0-D71EF91E5D68}"/>
    <cellStyle name="40% - Accent1 3 2 4 5" xfId="16568" xr:uid="{FA38D2E8-0899-4F7E-8B64-193322A538CF}"/>
    <cellStyle name="40% - Accent1 3 2 4 5 2" xfId="26877" xr:uid="{0AADAF19-E152-4A31-9BDA-9A87D3A1A199}"/>
    <cellStyle name="40% - Accent1 3 2 4 6" xfId="21370" xr:uid="{DF95B631-379C-4174-9CD8-BAC805B57818}"/>
    <cellStyle name="40% - Accent1 3 2 5" xfId="19494" xr:uid="{1B31EF8D-234E-49EB-BF0A-329365DB7E0D}"/>
    <cellStyle name="40% - Accent1 3 2 5 2" xfId="18140" xr:uid="{96E21257-0181-4366-AE0B-2BD37BEC0272}"/>
    <cellStyle name="40% - Accent1 3 2 5 2 2" xfId="16565" xr:uid="{9E9D7432-BC64-4FAF-9A7F-BC2645CEF0B1}"/>
    <cellStyle name="40% - Accent1 3 2 5 2 2 2" xfId="16563" xr:uid="{04788E03-0ACE-4015-BB4F-15471393912C}"/>
    <cellStyle name="40% - Accent1 3 2 5 2 2 2 2" xfId="17291" xr:uid="{7F9E0FB9-7221-4B38-998C-EB56F7E60E55}"/>
    <cellStyle name="40% - Accent1 3 2 5 2 2 3" xfId="16561" xr:uid="{CE0A97E4-A043-459B-A21B-07CF78A9DAA0}"/>
    <cellStyle name="40% - Accent1 3 2 5 2 3" xfId="20310" xr:uid="{161AD0D8-1D17-4841-8CBC-F405B5FB0396}"/>
    <cellStyle name="40% - Accent1 3 2 5 2 3 2" xfId="16559" xr:uid="{64A53E9F-3AA8-42F6-88E1-2AD0DDD85822}"/>
    <cellStyle name="40% - Accent1 3 2 5 2 4" xfId="16556" xr:uid="{75FAE4B1-3251-4EB2-BD4D-076637A912EB}"/>
    <cellStyle name="40% - Accent1 3 2 5 3" xfId="10997" xr:uid="{D9D6E6BA-7A67-4550-93E5-FB7A36F21FD3}"/>
    <cellStyle name="40% - Accent1 3 2 5 3 2" xfId="20406" xr:uid="{780B70E9-BE71-456C-8BEC-09BBCAA7C3FA}"/>
    <cellStyle name="40% - Accent1 3 2 5 3 2 2" xfId="15182" xr:uid="{D7BE3631-545B-4211-974D-07E7D85230FD}"/>
    <cellStyle name="40% - Accent1 3 2 5 3 3" xfId="16553" xr:uid="{3646208B-75EA-4CF6-8CA1-9059D9CF6C08}"/>
    <cellStyle name="40% - Accent1 3 2 5 4" xfId="16550" xr:uid="{361959D8-5309-4D99-A7B2-F470A975536D}"/>
    <cellStyle name="40% - Accent1 3 2 5 4 2" xfId="16548" xr:uid="{B634E46C-4040-4973-A50F-04B644E0FD68}"/>
    <cellStyle name="40% - Accent1 3 2 5 5" xfId="16546" xr:uid="{BA6987A2-574F-40D3-83A4-AEA9858E1005}"/>
    <cellStyle name="40% - Accent1 3 2 6" xfId="20596" xr:uid="{56A213C3-A6D7-4A95-A33F-0847C95DBC72}"/>
    <cellStyle name="40% - Accent1 3 2 6 2" xfId="24974" xr:uid="{4E7E3045-27A6-4CBA-BF99-7CB0CFE014B0}"/>
    <cellStyle name="40% - Accent1 3 2 6 2 2" xfId="33281" xr:uid="{9C47B486-A9F4-4158-912D-F8A3AD791026}"/>
    <cellStyle name="40% - Accent1 3 2 6 2 2 2" xfId="16542" xr:uid="{528D77CE-3E41-454A-9E86-2D56E908853D}"/>
    <cellStyle name="40% - Accent1 3 2 6 2 3" xfId="21337" xr:uid="{A92A65CF-D4EB-4EF3-8F9E-1930EC865126}"/>
    <cellStyle name="40% - Accent1 3 2 6 3" xfId="21332" xr:uid="{15D7EB8B-6D70-4780-A4A3-C54A0E3D45D6}"/>
    <cellStyle name="40% - Accent1 3 2 6 3 2" xfId="21327" xr:uid="{2F39EF19-BDE9-40C7-B662-1CE5967A3B30}"/>
    <cellStyle name="40% - Accent1 3 2 6 4" xfId="21324" xr:uid="{43EAF92E-97D1-4436-85BC-3CE30AD83643}"/>
    <cellStyle name="40% - Accent1 3 2 7" xfId="33657" xr:uid="{16DEB865-D3C9-444E-9FCF-9CF44049C885}"/>
    <cellStyle name="40% - Accent1 3 2 7 2" xfId="21314" xr:uid="{2A66225A-C5F1-49DF-9DEA-EFFF685C83EA}"/>
    <cellStyle name="40% - Accent1 3 2 7 2 2" xfId="20910" xr:uid="{1EE99525-97AC-4139-BEC3-3F7FF011CF9B}"/>
    <cellStyle name="40% - Accent1 3 2 7 3" xfId="21311" xr:uid="{356F29B1-1B42-4FBF-8814-10C0B82271C3}"/>
    <cellStyle name="40% - Accent1 3 2 8" xfId="33766" xr:uid="{DD1DE9E8-9EF2-4996-AAF7-4076317640C3}"/>
    <cellStyle name="40% - Accent1 3 2 8 2" xfId="21306" xr:uid="{4CBF967F-D9B0-45B4-92B5-4BCC5EAE5DB3}"/>
    <cellStyle name="40% - Accent1 3 2 9" xfId="24423" xr:uid="{BE6369E3-E14D-413B-A376-6940C728BA72}"/>
    <cellStyle name="40% - Accent1 3 3" xfId="220" xr:uid="{13A8C1CE-AD49-416D-8EC6-6DD83A6F6011}"/>
    <cellStyle name="40% - Accent1 3 3 10" xfId="16540" xr:uid="{CBFB7EBE-9864-4D86-AA5A-E247B020DD0A}"/>
    <cellStyle name="40% - Accent1 3 3 2" xfId="16539" xr:uid="{A26C4824-CC2A-4F61-90B6-8A53E35F43B3}"/>
    <cellStyle name="40% - Accent1 3 3 2 2" xfId="16538" xr:uid="{A7197551-FCE5-49D5-8DF8-F11E119B2EEA}"/>
    <cellStyle name="40% - Accent1 3 3 2 2 2" xfId="16537" xr:uid="{C1968AAC-E5B0-4089-8908-5841A468165E}"/>
    <cellStyle name="40% - Accent1 3 3 2 2 2 2" xfId="16535" xr:uid="{4B04F09E-5686-42E6-9977-31D25D5950ED}"/>
    <cellStyle name="40% - Accent1 3 3 2 2 2 2 2" xfId="16534" xr:uid="{D2A9A5DB-33DE-4912-8D55-919DC282806B}"/>
    <cellStyle name="40% - Accent1 3 3 2 2 2 2 2 2" xfId="24137" xr:uid="{B06CC979-CC65-4CF7-ADB3-1AEDAA64F391}"/>
    <cellStyle name="40% - Accent1 3 3 2 2 2 2 2 2 2" xfId="16531" xr:uid="{3C496B9C-0C76-400D-91E2-8E4FB6B2855D}"/>
    <cellStyle name="40% - Accent1 3 3 2 2 2 2 2 3" xfId="6531" xr:uid="{0D2E58D8-81A1-420C-896C-673775730F96}"/>
    <cellStyle name="40% - Accent1 3 3 2 2 2 2 3" xfId="16530" xr:uid="{EE221594-8331-4AEB-BA6B-4B19BCC69CC3}"/>
    <cellStyle name="40% - Accent1 3 3 2 2 2 2 3 2" xfId="20784" xr:uid="{1BCABAFA-3405-47BC-9084-971FDF4FA78F}"/>
    <cellStyle name="40% - Accent1 3 3 2 2 2 2 4" xfId="16528" xr:uid="{25EFBD55-15F7-4178-902F-650CA6EDB0F1}"/>
    <cellStyle name="40% - Accent1 3 3 2 2 2 3" xfId="16525" xr:uid="{E6DACCA9-E986-4647-819E-29C655BDBBC5}"/>
    <cellStyle name="40% - Accent1 3 3 2 2 2 3 2" xfId="30017" xr:uid="{E82F1531-B7CC-47F8-8E99-8D52AA2386B1}"/>
    <cellStyle name="40% - Accent1 3 3 2 2 2 3 2 2" xfId="20675" xr:uid="{37CEAD50-1E9A-4745-B7CD-B180238BD57E}"/>
    <cellStyle name="40% - Accent1 3 3 2 2 2 3 3" xfId="29464" xr:uid="{A4EABA3B-9DB5-4D2A-9718-801B9459C685}"/>
    <cellStyle name="40% - Accent1 3 3 2 2 2 4" xfId="23316" xr:uid="{BFE68E22-2C8B-4D35-AF26-A38E4A9BE700}"/>
    <cellStyle name="40% - Accent1 3 3 2 2 2 4 2" xfId="29412" xr:uid="{F944B041-CBB6-4F37-8E42-4B0741F0FE20}"/>
    <cellStyle name="40% - Accent1 3 3 2 2 2 5" xfId="16524" xr:uid="{10731810-00ED-448A-AE59-C7015FB43F74}"/>
    <cellStyle name="40% - Accent1 3 3 2 2 3" xfId="23678" xr:uid="{636D9B6D-40F3-4472-A0CA-3CA93E0ED54D}"/>
    <cellStyle name="40% - Accent1 3 3 2 2 3 2" xfId="16520" xr:uid="{E4B9BC4B-61FB-413F-A62D-107DE84D8C98}"/>
    <cellStyle name="40% - Accent1 3 3 2 2 3 2 2" xfId="16518" xr:uid="{220A02FE-6502-4D76-9D0A-94356375687C}"/>
    <cellStyle name="40% - Accent1 3 3 2 2 3 2 2 2" xfId="33022" xr:uid="{85F6620B-1A46-4679-A8F9-5E0601ADC0D9}"/>
    <cellStyle name="40% - Accent1 3 3 2 2 3 2 3" xfId="16516" xr:uid="{90ED38D0-9B85-4309-96C4-72A25592054D}"/>
    <cellStyle name="40% - Accent1 3 3 2 2 3 3" xfId="16515" xr:uid="{05810780-07B7-4DA9-AFDE-234675BB83B3}"/>
    <cellStyle name="40% - Accent1 3 3 2 2 3 3 2" xfId="29308" xr:uid="{B29276D8-D5E3-46A1-9E4E-C43A18576771}"/>
    <cellStyle name="40% - Accent1 3 3 2 2 3 4" xfId="16514" xr:uid="{8771F506-97F9-47AC-90A5-0160EBB1F6EF}"/>
    <cellStyle name="40% - Accent1 3 3 2 2 4" xfId="16511" xr:uid="{F3FC97BA-BE7B-4D68-8DA5-CF74EDCB2446}"/>
    <cellStyle name="40% - Accent1 3 3 2 2 4 2" xfId="16507" xr:uid="{7B6189B9-E9B3-4736-A23C-2BCC531B3A83}"/>
    <cellStyle name="40% - Accent1 3 3 2 2 4 2 2" xfId="16503" xr:uid="{0FC388BF-896A-446C-8B04-2749C9BB863F}"/>
    <cellStyle name="40% - Accent1 3 3 2 2 4 3" xfId="16501" xr:uid="{17754A99-ECBE-4866-9761-75EE4255CDA6}"/>
    <cellStyle name="40% - Accent1 3 3 2 2 5" xfId="16500" xr:uid="{639F5AE2-2404-442E-8D45-963052242ADB}"/>
    <cellStyle name="40% - Accent1 3 3 2 2 5 2" xfId="16495" xr:uid="{F754ED4A-95D7-40A7-A6A5-DEA6839957BE}"/>
    <cellStyle name="40% - Accent1 3 3 2 2 6" xfId="16493" xr:uid="{40935B56-710D-4A16-A0E4-4470384E1E90}"/>
    <cellStyle name="40% - Accent1 3 3 2 3" xfId="12618" xr:uid="{CABF9BEF-D4B2-4B89-8E44-70E1B2D6CBC0}"/>
    <cellStyle name="40% - Accent1 3 3 2 3 2" xfId="16492" xr:uid="{7ABBA0EF-9F80-4F67-AED8-C8A968216BB2}"/>
    <cellStyle name="40% - Accent1 3 3 2 3 2 2" xfId="16491" xr:uid="{927A1E59-54B9-4F3E-8203-818D48F5BDFF}"/>
    <cellStyle name="40% - Accent1 3 3 2 3 2 2 2" xfId="16489" xr:uid="{288B2C8A-F6C8-4F74-AEDE-092169750ED3}"/>
    <cellStyle name="40% - Accent1 3 3 2 3 2 2 2 2" xfId="14832" xr:uid="{C4D512F8-751C-47B7-AD77-60A60B47C1DA}"/>
    <cellStyle name="40% - Accent1 3 3 2 3 2 2 3" xfId="16485" xr:uid="{F8985AE3-5A02-4C6A-8A4D-C5C7ACC1A646}"/>
    <cellStyle name="40% - Accent1 3 3 2 3 2 3" xfId="30106" xr:uid="{388EE653-D089-468B-820E-924C911A04A1}"/>
    <cellStyle name="40% - Accent1 3 3 2 3 2 3 2" xfId="23187" xr:uid="{E865B8F0-6771-41F2-808D-18CCC4980746}"/>
    <cellStyle name="40% - Accent1 3 3 2 3 2 4" xfId="16483" xr:uid="{0B0558D2-F949-4169-9D85-296062217F16}"/>
    <cellStyle name="40% - Accent1 3 3 2 3 3" xfId="16480" xr:uid="{E90EBF24-3E5B-40D0-8AB8-0D23DF820E57}"/>
    <cellStyle name="40% - Accent1 3 3 2 3 3 2" xfId="5664" xr:uid="{7818B627-77D1-45CA-B734-4682E91314A7}"/>
    <cellStyle name="40% - Accent1 3 3 2 3 3 2 2" xfId="29913" xr:uid="{60C37FEB-9FF3-421C-BFE6-CAA7337CFAED}"/>
    <cellStyle name="40% - Accent1 3 3 2 3 3 3" xfId="16478" xr:uid="{A5D9CAE7-57EA-40C8-AC3A-D66A7307EB66}"/>
    <cellStyle name="40% - Accent1 3 3 2 3 4" xfId="16477" xr:uid="{B773EF59-46F9-4E94-9721-80774872471B}"/>
    <cellStyle name="40% - Accent1 3 3 2 3 4 2" xfId="16474" xr:uid="{3521C1DA-8679-4C24-B824-CF7C814923F9}"/>
    <cellStyle name="40% - Accent1 3 3 2 3 5" xfId="16473" xr:uid="{36367A89-D490-49A7-BFBD-2D60BD4D7EE8}"/>
    <cellStyle name="40% - Accent1 3 3 2 4" xfId="16472" xr:uid="{61E659F0-EF62-47A5-9CEC-5FFFDBCA81C8}"/>
    <cellStyle name="40% - Accent1 3 3 2 4 2" xfId="16471" xr:uid="{9C3BD3BB-FCC9-48EC-945A-9693398D5290}"/>
    <cellStyle name="40% - Accent1 3 3 2 4 2 2" xfId="29140" xr:uid="{62120E8D-5D03-4CA3-9C0A-4EE1CABF8217}"/>
    <cellStyle name="40% - Accent1 3 3 2 4 2 2 2" xfId="16470" xr:uid="{34B2EA78-D519-4F68-8411-16696A8B7DE5}"/>
    <cellStyle name="40% - Accent1 3 3 2 4 2 3" xfId="28253" xr:uid="{BCCBFB65-301D-4656-9012-2880F604B440}"/>
    <cellStyle name="40% - Accent1 3 3 2 4 3" xfId="16469" xr:uid="{26CC1B93-3CFE-488C-B689-9016BBC86948}"/>
    <cellStyle name="40% - Accent1 3 3 2 4 3 2" xfId="29109" xr:uid="{392DD604-FC55-455D-A8A1-119809574039}"/>
    <cellStyle name="40% - Accent1 3 3 2 4 4" xfId="16468" xr:uid="{D8A529A2-9D1B-4AA2-BB3B-881A0E66FB60}"/>
    <cellStyle name="40% - Accent1 3 3 2 5" xfId="16467" xr:uid="{91887A78-9C12-450F-99A9-684497208356}"/>
    <cellStyle name="40% - Accent1 3 3 2 5 2" xfId="16465" xr:uid="{8978731D-56E7-4B3F-884D-A510BEE242BB}"/>
    <cellStyle name="40% - Accent1 3 3 2 5 2 2" xfId="25417" xr:uid="{72C218F1-D6F4-4978-AF97-C900D6F1DBC3}"/>
    <cellStyle name="40% - Accent1 3 3 2 5 3" xfId="16464" xr:uid="{08F5FC4A-CFE8-4426-A34C-3BFD07EB1197}"/>
    <cellStyle name="40% - Accent1 3 3 2 6" xfId="32458" xr:uid="{9EF2DCAB-9B24-479A-A7C5-2E71060A4165}"/>
    <cellStyle name="40% - Accent1 3 3 2 6 2" xfId="25215" xr:uid="{540FE0A2-A74B-41BD-A57A-21BDE4348DC8}"/>
    <cellStyle name="40% - Accent1 3 3 2 7" xfId="33315" xr:uid="{7415FEF6-DCC5-4B96-8716-C11B9877EEC0}"/>
    <cellStyle name="40% - Accent1 3 3 3" xfId="16463" xr:uid="{7C324070-0E69-4C29-B2F4-3D63A67FD040}"/>
    <cellStyle name="40% - Accent1 3 3 3 2" xfId="16461" xr:uid="{F32A2F32-0789-4DA1-85F2-3B1D98B0B567}"/>
    <cellStyle name="40% - Accent1 3 3 3 2 2" xfId="20209" xr:uid="{BBC00BF6-B90E-49F8-9F87-63CA30BD1EE3}"/>
    <cellStyle name="40% - Accent1 3 3 3 2 2 2" xfId="16459" xr:uid="{C0BEA623-F21F-474E-ACB1-69E324597BCA}"/>
    <cellStyle name="40% - Accent1 3 3 3 2 2 2 2" xfId="6975" xr:uid="{6E429551-0EBF-409B-AAF7-0F9E2CF23CEB}"/>
    <cellStyle name="40% - Accent1 3 3 3 2 2 2 2 2" xfId="16457" xr:uid="{0B999C4F-E2BE-48F8-B27F-2DB3B57B534E}"/>
    <cellStyle name="40% - Accent1 3 3 3 2 2 2 3" xfId="16455" xr:uid="{9686DA7B-7E20-4E46-9EB2-98B5C3942084}"/>
    <cellStyle name="40% - Accent1 3 3 3 2 2 3" xfId="16453" xr:uid="{C20EE184-8751-4AC1-9999-60FE72961B46}"/>
    <cellStyle name="40% - Accent1 3 3 3 2 2 3 2" xfId="28790" xr:uid="{ABCFE673-80DB-4556-A81E-07506D55767B}"/>
    <cellStyle name="40% - Accent1 3 3 3 2 2 4" xfId="16451" xr:uid="{86407887-0E3C-48A1-8204-E61222C17D5B}"/>
    <cellStyle name="40% - Accent1 3 3 3 2 3" xfId="16446" xr:uid="{AE30A20B-1CC7-492E-A0B0-8A862D81661F}"/>
    <cellStyle name="40% - Accent1 3 3 3 2 3 2" xfId="16442" xr:uid="{5627804E-770E-4E11-B997-8190498E10F2}"/>
    <cellStyle name="40% - Accent1 3 3 3 2 3 2 2" xfId="31756" xr:uid="{3BBFAFC4-CA0E-48FB-8B4B-60A7F836AFD6}"/>
    <cellStyle name="40% - Accent1 3 3 3 2 3 3" xfId="16437" xr:uid="{799F212C-A78A-4F82-950C-9D40F2D595C3}"/>
    <cellStyle name="40% - Accent1 3 3 3 2 4" xfId="16435" xr:uid="{079049B5-D3C0-416E-B65E-847945C8EC86}"/>
    <cellStyle name="40% - Accent1 3 3 3 2 4 2" xfId="6334" xr:uid="{23C774D6-1CC7-4C33-822A-27A78ACF6396}"/>
    <cellStyle name="40% - Accent1 3 3 3 2 5" xfId="16429" xr:uid="{0AD3C10E-B728-4225-853D-69DD8DAB2987}"/>
    <cellStyle name="40% - Accent1 3 3 3 3" xfId="16427" xr:uid="{BC802B78-7ED9-4B95-9986-9AE28383C455}"/>
    <cellStyle name="40% - Accent1 3 3 3 3 2" xfId="20332" xr:uid="{A0280AEF-E694-4458-96FB-0B31D50D19E7}"/>
    <cellStyle name="40% - Accent1 3 3 3 3 2 2" xfId="20328" xr:uid="{09359E22-38EA-4516-8D61-A85277D32225}"/>
    <cellStyle name="40% - Accent1 3 3 3 3 2 2 2" xfId="16425" xr:uid="{2820582E-96E8-41D2-852C-EBD3DB9C2934}"/>
    <cellStyle name="40% - Accent1 3 3 3 3 2 3" xfId="16424" xr:uid="{1C2C2AC0-184F-41CC-A042-D096E05E4BAF}"/>
    <cellStyle name="40% - Accent1 3 3 3 3 3" xfId="20321" xr:uid="{D33311E3-BE84-4A20-A476-30C68A38BFE4}"/>
    <cellStyle name="40% - Accent1 3 3 3 3 3 2" xfId="16420" xr:uid="{81F3DDFD-75FA-450F-9023-D8CF44828401}"/>
    <cellStyle name="40% - Accent1 3 3 3 3 4" xfId="16416" xr:uid="{A51946D1-37F8-4DA6-BC25-E737A0080006}"/>
    <cellStyle name="40% - Accent1 3 3 3 4" xfId="16414" xr:uid="{57C5026D-8E5A-4EC1-A316-8DA882E322D9}"/>
    <cellStyle name="40% - Accent1 3 3 3 4 2" xfId="21219" xr:uid="{EEB1FFA4-0078-43F1-9F52-7099E9F5C6D7}"/>
    <cellStyle name="40% - Accent1 3 3 3 4 2 2" xfId="24390" xr:uid="{EAE61E2D-8C00-470B-8A15-08813695509C}"/>
    <cellStyle name="40% - Accent1 3 3 3 4 3" xfId="16412" xr:uid="{5762A6BF-A947-43FA-AA96-BDB943A1BFC4}"/>
    <cellStyle name="40% - Accent1 3 3 3 5" xfId="16410" xr:uid="{3470EA54-C19A-427F-AF7E-CC985C80861C}"/>
    <cellStyle name="40% - Accent1 3 3 3 5 2" xfId="16408" xr:uid="{59531B00-1483-4539-923F-742CD97E60EB}"/>
    <cellStyle name="40% - Accent1 3 3 3 6" xfId="19668" xr:uid="{2FE68432-D9EE-47CE-BC8E-46627516FD2A}"/>
    <cellStyle name="40% - Accent1 3 3 4" xfId="16406" xr:uid="{5142C154-8566-49CE-931B-DCDB2AED4BCF}"/>
    <cellStyle name="40% - Accent1 3 3 4 2" xfId="16405" xr:uid="{9A54843C-488A-4E13-8273-8AA0F8BD0DA8}"/>
    <cellStyle name="40% - Accent1 3 3 4 2 2" xfId="29034" xr:uid="{EAA25991-E663-4A9C-9C4C-3321ED9E3C78}"/>
    <cellStyle name="40% - Accent1 3 3 4 2 2 2" xfId="15158" xr:uid="{B93B9761-B9CD-49CA-B0A4-003C01084920}"/>
    <cellStyle name="40% - Accent1 3 3 4 2 2 2 2" xfId="17162" xr:uid="{7D233D97-B0AC-46AB-8141-0D15AB534FE6}"/>
    <cellStyle name="40% - Accent1 3 3 4 2 2 3" xfId="16403" xr:uid="{E21AC9E9-EB2D-4EB3-B715-9B0B1A3F5810}"/>
    <cellStyle name="40% - Accent1 3 3 4 2 3" xfId="28851" xr:uid="{F476CE5A-F993-4893-901F-91B597B705FD}"/>
    <cellStyle name="40% - Accent1 3 3 4 2 3 2" xfId="16401" xr:uid="{61ADB6FC-0A44-4F0A-B861-D1D71562CD65}"/>
    <cellStyle name="40% - Accent1 3 3 4 2 4" xfId="16399" xr:uid="{4F9108E7-AC50-4ED9-AF17-5B6D7247F662}"/>
    <cellStyle name="40% - Accent1 3 3 4 3" xfId="20994" xr:uid="{A3DFD37D-EAA1-449E-9E80-CC4A851FDB9E}"/>
    <cellStyle name="40% - Accent1 3 3 4 3 2" xfId="20286" xr:uid="{6993E29F-DD75-42B9-B3B6-B501E24948DF}"/>
    <cellStyle name="40% - Accent1 3 3 4 3 2 2" xfId="16396" xr:uid="{C02F96E5-BEDE-4AB6-AB04-83A7E45FC2CA}"/>
    <cellStyle name="40% - Accent1 3 3 4 3 3" xfId="16393" xr:uid="{E006F056-63D2-4996-B014-41C883DE82E2}"/>
    <cellStyle name="40% - Accent1 3 3 4 4" xfId="16389" xr:uid="{06255DF1-BAEA-486C-A9CA-718FCE1D47E4}"/>
    <cellStyle name="40% - Accent1 3 3 4 4 2" xfId="21194" xr:uid="{0DA713BD-DA2A-4BEB-AEFD-64655472BD83}"/>
    <cellStyle name="40% - Accent1 3 3 4 5" xfId="16387" xr:uid="{12D7A36D-C233-4576-B32B-A0DE17BC5A91}"/>
    <cellStyle name="40% - Accent1 3 3 5" xfId="20591" xr:uid="{B191EF78-EF0F-4BF1-B12B-2B1DCD16A280}"/>
    <cellStyle name="40% - Accent1 3 3 5 2" xfId="16384" xr:uid="{CE92A0D3-89C7-41E6-B837-0F6584E439A7}"/>
    <cellStyle name="40% - Accent1 3 3 5 2 2" xfId="25689" xr:uid="{7C0F92A1-062F-4652-8986-5E261DB27860}"/>
    <cellStyle name="40% - Accent1 3 3 5 2 2 2" xfId="23861" xr:uid="{4DF81F15-5263-40D9-8719-88B27EA7BFD9}"/>
    <cellStyle name="40% - Accent1 3 3 5 2 3" xfId="16382" xr:uid="{554CD509-57CD-4AB1-A081-D7392AC780C8}"/>
    <cellStyle name="40% - Accent1 3 3 5 3" xfId="16380" xr:uid="{5D125745-043C-4531-BDB5-97DA00644EE3}"/>
    <cellStyle name="40% - Accent1 3 3 5 3 2" xfId="16378" xr:uid="{0A618566-BC6A-44E1-BF9C-4E04DDA0E761}"/>
    <cellStyle name="40% - Accent1 3 3 5 4" xfId="8166" xr:uid="{77E856B6-EF10-43FF-AA52-AF43E84F3349}"/>
    <cellStyle name="40% - Accent1 3 3 6" xfId="25375" xr:uid="{4BA005BD-BC03-4326-9F74-2DE801D50F8F}"/>
    <cellStyle name="40% - Accent1 3 3 6 2" xfId="21177" xr:uid="{B1C2B267-03EF-41BF-8752-5511CAFA321C}"/>
    <cellStyle name="40% - Accent1 3 3 6 2 2" xfId="21172" xr:uid="{CB5E9859-4A0F-421A-91A1-9E75A2E26034}"/>
    <cellStyle name="40% - Accent1 3 3 6 3" xfId="21169" xr:uid="{5419D8AE-19B1-48B2-AE1B-D5908498C7A2}"/>
    <cellStyle name="40% - Accent1 3 3 7" xfId="34106" xr:uid="{7534EA4B-C9A4-4311-A1C0-F8E5F510E29C}"/>
    <cellStyle name="40% - Accent1 3 3 7 2" xfId="21160" xr:uid="{D64C3581-887C-47E7-B109-913EF83B741A}"/>
    <cellStyle name="40% - Accent1 3 3 8" xfId="24418" xr:uid="{7D36173F-8A76-4E9E-A7CD-769A874478AE}"/>
    <cellStyle name="40% - Accent1 3 3 9" xfId="34549" xr:uid="{ADB7B281-0D22-48D0-A8DE-52049D758395}"/>
    <cellStyle name="40% - Accent1 3 4" xfId="18863" xr:uid="{ADA5751B-86C6-4012-B103-F8DCE735FC09}"/>
    <cellStyle name="40% - Accent1 3 4 2" xfId="16376" xr:uid="{052A811F-CBE1-4515-93E7-222C3E7BF623}"/>
    <cellStyle name="40% - Accent1 3 4 2 2" xfId="16375" xr:uid="{9B35D57A-B8D8-45DA-A1E4-4FC012C681EA}"/>
    <cellStyle name="40% - Accent1 3 4 2 2 2" xfId="16374" xr:uid="{503E8AB9-3CFF-4C56-9C5B-A437B5A4B873}"/>
    <cellStyle name="40% - Accent1 3 4 2 2 2 2" xfId="24543" xr:uid="{6D15666D-A3F5-4AAA-8C5D-D93241B8F226}"/>
    <cellStyle name="40% - Accent1 3 4 2 2 2 2 2" xfId="18548" xr:uid="{A88C4DC3-F75C-411C-9657-16B83D830FBC}"/>
    <cellStyle name="40% - Accent1 3 4 2 2 2 2 2 2" xfId="5490" xr:uid="{0440C5DE-E2AB-4359-B7E2-4A792D25E47D}"/>
    <cellStyle name="40% - Accent1 3 4 2 2 2 2 3" xfId="16373" xr:uid="{236155E3-F2A7-483C-BDFB-89D24A99B73D}"/>
    <cellStyle name="40% - Accent1 3 4 2 2 2 3" xfId="16370" xr:uid="{CD2DCF15-5198-4289-AE71-5BF0AF0E8C8B}"/>
    <cellStyle name="40% - Accent1 3 4 2 2 2 3 2" xfId="16368" xr:uid="{B3BA9709-FE56-4E9D-8264-6BD01C699525}"/>
    <cellStyle name="40% - Accent1 3 4 2 2 2 4" xfId="16367" xr:uid="{61532BA4-A0E2-4D8C-A479-AC86B4560FA8}"/>
    <cellStyle name="40% - Accent1 3 4 2 2 3" xfId="16364" xr:uid="{A9BB4952-A35F-4ACC-B73B-FA42C3087440}"/>
    <cellStyle name="40% - Accent1 3 4 2 2 3 2" xfId="16363" xr:uid="{374AEC66-4550-4385-A2E5-F3F354C65A67}"/>
    <cellStyle name="40% - Accent1 3 4 2 2 3 2 2" xfId="16359" xr:uid="{1AE6D930-37EE-4FB2-A492-99663E6D8BBC}"/>
    <cellStyle name="40% - Accent1 3 4 2 2 3 3" xfId="16358" xr:uid="{DC433B84-CF24-42BB-A91F-6151D5345AB8}"/>
    <cellStyle name="40% - Accent1 3 4 2 2 4" xfId="16357" xr:uid="{6C9ABC35-F92F-471D-BCFD-E9A32FBFC3B2}"/>
    <cellStyle name="40% - Accent1 3 4 2 2 4 2" xfId="16354" xr:uid="{73D4D544-D3A8-4B9E-B417-731BB7EBC279}"/>
    <cellStyle name="40% - Accent1 3 4 2 2 5" xfId="16353" xr:uid="{011D8591-8098-48D2-BDC5-ADF04D81BC23}"/>
    <cellStyle name="40% - Accent1 3 4 2 3" xfId="16352" xr:uid="{F811D0A6-3A51-4CBD-9DA8-A7EFBE857734}"/>
    <cellStyle name="40% - Accent1 3 4 2 3 2" xfId="16350" xr:uid="{B124AF26-78DC-4C5D-A98E-B99B641050E3}"/>
    <cellStyle name="40% - Accent1 3 4 2 3 2 2" xfId="17855" xr:uid="{4FC56E1D-CEE1-4E3C-98CD-D41C9D38291F}"/>
    <cellStyle name="40% - Accent1 3 4 2 3 2 2 2" xfId="16348" xr:uid="{2D5B7924-F0E4-47D9-945E-3B8C01961DD2}"/>
    <cellStyle name="40% - Accent1 3 4 2 3 2 3" xfId="17834" xr:uid="{DA80C7B5-DDAE-42FD-A994-4F95E18D0FB8}"/>
    <cellStyle name="40% - Accent1 3 4 2 3 3" xfId="16346" xr:uid="{CFD92765-F0D0-42B0-9717-EED1D17FBDED}"/>
    <cellStyle name="40% - Accent1 3 4 2 3 3 2" xfId="31177" xr:uid="{38804C5A-CD14-4CC2-9CD7-A6804DFE09D3}"/>
    <cellStyle name="40% - Accent1 3 4 2 3 4" xfId="16344" xr:uid="{7D1259DB-263D-48E8-AD07-462A6C234B11}"/>
    <cellStyle name="40% - Accent1 3 4 2 4" xfId="16343" xr:uid="{E8B073A8-FF8C-4FE1-A1BC-E03724D2CE2B}"/>
    <cellStyle name="40% - Accent1 3 4 2 4 2" xfId="16342" xr:uid="{FD486B4B-FE88-41DB-8753-3982B9C1F94E}"/>
    <cellStyle name="40% - Accent1 3 4 2 4 2 2" xfId="28380" xr:uid="{2B6A826B-6725-496C-8BE0-21331F4B39C1}"/>
    <cellStyle name="40% - Accent1 3 4 2 4 3" xfId="16339" xr:uid="{3F22D58C-593F-4DD4-80BC-253297DFD196}"/>
    <cellStyle name="40% - Accent1 3 4 2 5" xfId="16338" xr:uid="{967A2E0E-9153-47BB-B7CC-92654C71A6A3}"/>
    <cellStyle name="40% - Accent1 3 4 2 5 2" xfId="16337" xr:uid="{2D070CFB-FD06-41B9-8367-CCAA4109212B}"/>
    <cellStyle name="40% - Accent1 3 4 2 6" xfId="33112" xr:uid="{0A83F156-92BC-4E32-8EBC-6F6D3E75D019}"/>
    <cellStyle name="40% - Accent1 3 4 3" xfId="16336" xr:uid="{016A459E-B749-4EE8-8FB6-B0FD395A65BC}"/>
    <cellStyle name="40% - Accent1 3 4 3 2" xfId="16335" xr:uid="{664A2F4A-E875-4CFA-8901-AD83B6A5DBCB}"/>
    <cellStyle name="40% - Accent1 3 4 3 2 2" xfId="16333" xr:uid="{AC20F651-CCD4-49B0-899C-7D08290EE131}"/>
    <cellStyle name="40% - Accent1 3 4 3 2 2 2" xfId="16331" xr:uid="{CC0A3BC0-9D1C-4A96-B489-2355F1319874}"/>
    <cellStyle name="40% - Accent1 3 4 3 2 2 2 2" xfId="20378" xr:uid="{A09CEEF1-C193-4065-ACA4-02DAD6506D54}"/>
    <cellStyle name="40% - Accent1 3 4 3 2 2 3" xfId="16329" xr:uid="{E9C828C0-B5AC-400C-8DBE-4E95E22F6111}"/>
    <cellStyle name="40% - Accent1 3 4 3 2 3" xfId="16327" xr:uid="{0E6E698A-84EE-4070-A095-C503A80D1DFC}"/>
    <cellStyle name="40% - Accent1 3 4 3 2 3 2" xfId="16325" xr:uid="{90BB4EC2-E1AB-486C-BC21-AEBA86192F8E}"/>
    <cellStyle name="40% - Accent1 3 4 3 2 4" xfId="16323" xr:uid="{64C1008A-C578-4BDF-A36A-4155D234C557}"/>
    <cellStyle name="40% - Accent1 3 4 3 3" xfId="16321" xr:uid="{E78663E3-49A8-4717-85B5-D672D423FAD0}"/>
    <cellStyle name="40% - Accent1 3 4 3 3 2" xfId="20228" xr:uid="{11BCECA9-92C2-4C64-8D4A-C3428E94F5AD}"/>
    <cellStyle name="40% - Accent1 3 4 3 3 2 2" xfId="23332" xr:uid="{FF4B0FF4-94C6-4B1D-9A17-1A9671FF9BE1}"/>
    <cellStyle name="40% - Accent1 3 4 3 3 3" xfId="16318" xr:uid="{E61426F6-F4EE-41EF-9E6D-60D375F3DC8F}"/>
    <cellStyle name="40% - Accent1 3 4 3 4" xfId="16316" xr:uid="{37C03861-868F-4A53-AB8D-B156F583BC3D}"/>
    <cellStyle name="40% - Accent1 3 4 3 4 2" xfId="16314" xr:uid="{1D0D3922-F86C-43DD-8107-CE9F30C9B6B1}"/>
    <cellStyle name="40% - Accent1 3 4 3 5" xfId="16311" xr:uid="{D289E3C2-3882-42C7-8F81-B1E33348523B}"/>
    <cellStyle name="40% - Accent1 3 4 4" xfId="16309" xr:uid="{128C8F8D-D69E-44A0-BC9B-0067DD3F1624}"/>
    <cellStyle name="40% - Accent1 3 4 4 2" xfId="16307" xr:uid="{B7256140-C21A-44BA-9BC9-B5CD85AA9EB1}"/>
    <cellStyle name="40% - Accent1 3 4 4 2 2" xfId="28994" xr:uid="{E57ABCF5-7772-4399-8C94-0CE7E9A4EA05}"/>
    <cellStyle name="40% - Accent1 3 4 4 2 2 2" xfId="16305" xr:uid="{D799077A-6F3E-4E01-9812-BD0579E9D44F}"/>
    <cellStyle name="40% - Accent1 3 4 4 2 3" xfId="16302" xr:uid="{7A31E3B7-4BE2-41AF-A7DA-AD09AA24B8F0}"/>
    <cellStyle name="40% - Accent1 3 4 4 3" xfId="16299" xr:uid="{68CA4707-009A-440B-BCC9-06A901730EC3}"/>
    <cellStyle name="40% - Accent1 3 4 4 3 2" xfId="16296" xr:uid="{A1340873-FC8B-4523-AC16-E444E9C138E0}"/>
    <cellStyle name="40% - Accent1 3 4 4 4" xfId="16293" xr:uid="{0648266C-BCD2-433A-9BFD-B2E6D3FA80AA}"/>
    <cellStyle name="40% - Accent1 3 4 5" xfId="28428" xr:uid="{423A7459-24F5-4E8B-B88A-9D34783A8040}"/>
    <cellStyle name="40% - Accent1 3 4 5 2" xfId="16291" xr:uid="{AF7BBB6C-BE5A-4E7D-8170-7E64405A63DB}"/>
    <cellStyle name="40% - Accent1 3 4 5 2 2" xfId="16288" xr:uid="{62B0FACB-FBAC-4644-B45C-CFB3E86CB7C3}"/>
    <cellStyle name="40% - Accent1 3 4 5 3" xfId="16284" xr:uid="{2468919E-CAB0-4DFE-9BE2-ADC06E35065C}"/>
    <cellStyle name="40% - Accent1 3 4 6" xfId="16280" xr:uid="{DAEA1218-93C0-43AF-883D-5B30763FF0C3}"/>
    <cellStyle name="40% - Accent1 3 4 6 2" xfId="21143" xr:uid="{CD8EFCB7-8D7D-4D31-98ED-BB180649B678}"/>
    <cellStyle name="40% - Accent1 3 4 7" xfId="19056" xr:uid="{D91A2B43-14A7-438D-8A9D-61F3A9350653}"/>
    <cellStyle name="40% - Accent1 3 4 8" xfId="34770" xr:uid="{06C8377A-37F6-4885-9E61-BD1D11ED5D8B}"/>
    <cellStyle name="40% - Accent1 3 5" xfId="16278" xr:uid="{394B106B-AE1D-490A-BC21-C6619C9F5157}"/>
    <cellStyle name="40% - Accent1 3 5 2" xfId="16277" xr:uid="{1948F1EF-4F98-4862-8157-107A00601CCB}"/>
    <cellStyle name="40% - Accent1 3 5 2 2" xfId="24271" xr:uid="{0D09C566-5D7D-456E-B9BD-6087C2637D69}"/>
    <cellStyle name="40% - Accent1 3 5 2 2 2" xfId="16276" xr:uid="{A7AB6D0C-4EFA-4501-8E15-E2A06E9F27BD}"/>
    <cellStyle name="40% - Accent1 3 5 2 2 2 2" xfId="33418" xr:uid="{D8BC69D8-5280-4D66-95EA-285679722334}"/>
    <cellStyle name="40% - Accent1 3 5 2 2 2 2 2" xfId="16275" xr:uid="{E8469AFE-8EB4-4D52-9DBA-FCC24D7D037B}"/>
    <cellStyle name="40% - Accent1 3 5 2 2 2 3" xfId="16272" xr:uid="{132CF3A4-CE4C-4C1E-960C-5EFBA0020751}"/>
    <cellStyle name="40% - Accent1 3 5 2 2 3" xfId="16270" xr:uid="{169CC85C-677A-428F-A3B4-8670471D642D}"/>
    <cellStyle name="40% - Accent1 3 5 2 2 3 2" xfId="16269" xr:uid="{3E11C8C3-841E-4B76-A844-258AE5E985B6}"/>
    <cellStyle name="40% - Accent1 3 5 2 2 4" xfId="16268" xr:uid="{340CF8D7-38D7-4BDF-8151-4E3A6A3779C8}"/>
    <cellStyle name="40% - Accent1 3 5 2 3" xfId="16267" xr:uid="{B3DE9E10-BC94-45F8-94DD-F7C57A6BAA3D}"/>
    <cellStyle name="40% - Accent1 3 5 2 3 2" xfId="16265" xr:uid="{0BC70FD4-20D4-4FCB-B05B-246ABAA9839F}"/>
    <cellStyle name="40% - Accent1 3 5 2 3 2 2" xfId="20094" xr:uid="{D05D667C-2169-4DAF-966C-FC7523D6BD1C}"/>
    <cellStyle name="40% - Accent1 3 5 2 3 3" xfId="16261" xr:uid="{8F583978-606E-4C42-B0BA-F99BEADE6D57}"/>
    <cellStyle name="40% - Accent1 3 5 2 4" xfId="17711" xr:uid="{B4696711-EE01-4E0C-A425-49646E26C3A0}"/>
    <cellStyle name="40% - Accent1 3 5 2 4 2" xfId="16260" xr:uid="{F6AD17C2-F5FC-496F-B796-4D556C0CBD6B}"/>
    <cellStyle name="40% - Accent1 3 5 2 5" xfId="17493" xr:uid="{36147149-39CB-4203-B35D-C387497C0B9C}"/>
    <cellStyle name="40% - Accent1 3 5 3" xfId="16259" xr:uid="{AF4552E2-FB8D-45E5-A4CB-A457701F5B2F}"/>
    <cellStyle name="40% - Accent1 3 5 3 2" xfId="16258" xr:uid="{42AAFB15-336F-4952-A8A2-E9A12E23A048}"/>
    <cellStyle name="40% - Accent1 3 5 3 2 2" xfId="30339" xr:uid="{71ABC12D-788D-4DA0-9BDC-0943D29299CE}"/>
    <cellStyle name="40% - Accent1 3 5 3 2 2 2" xfId="16256" xr:uid="{84A630E4-1377-45EF-B92B-68219527D597}"/>
    <cellStyle name="40% - Accent1 3 5 3 2 3" xfId="13212" xr:uid="{E4C11FEB-90A1-4516-906C-9D43BEBB8667}"/>
    <cellStyle name="40% - Accent1 3 5 3 3" xfId="16252" xr:uid="{66794D02-1241-45DB-B0E5-9BCA1151CE53}"/>
    <cellStyle name="40% - Accent1 3 5 3 3 2" xfId="16249" xr:uid="{C033DD8C-AC78-4D70-9CAF-2B814C2C2324}"/>
    <cellStyle name="40% - Accent1 3 5 3 4" xfId="17700" xr:uid="{C9BCC220-AA8F-402D-B8C7-A8ADB636D50D}"/>
    <cellStyle name="40% - Accent1 3 5 4" xfId="16246" xr:uid="{221FB26A-4021-4AD9-9EC6-35467D0A9932}"/>
    <cellStyle name="40% - Accent1 3 5 4 2" xfId="16245" xr:uid="{1DA5D40A-B515-4A9C-9ECC-134572F5BADD}"/>
    <cellStyle name="40% - Accent1 3 5 4 2 2" xfId="16242" xr:uid="{177E5102-F0C8-4A59-B6FE-A42A3925E655}"/>
    <cellStyle name="40% - Accent1 3 5 4 3" xfId="16238" xr:uid="{FD3B3F6B-6DF2-4879-A8A7-7DB05659B556}"/>
    <cellStyle name="40% - Accent1 3 5 5" xfId="16235" xr:uid="{F3590D39-CA3F-43C4-BD56-78874F62A39C}"/>
    <cellStyle name="40% - Accent1 3 5 5 2" xfId="32297" xr:uid="{BF8FF2AF-7B1B-42DC-BAED-C70F79EA1160}"/>
    <cellStyle name="40% - Accent1 3 5 6" xfId="16230" xr:uid="{65E8F636-05B0-4BDF-9461-FE5B3C568362}"/>
    <cellStyle name="40% - Accent1 3 5 7" xfId="34960" xr:uid="{40C21AC3-B5A8-40FB-BE13-F89844402627}"/>
    <cellStyle name="40% - Accent1 3 6" xfId="16225" xr:uid="{E201CC4B-EA72-42EE-BDE5-0C0AA89AFB8D}"/>
    <cellStyle name="40% - Accent1 3 6 2" xfId="16224" xr:uid="{F701D340-6575-45F9-B3AF-56CA1244FE73}"/>
    <cellStyle name="40% - Accent1 3 6 2 2" xfId="27814" xr:uid="{23B0C6A2-E221-4149-B26B-80D9FC869CAB}"/>
    <cellStyle name="40% - Accent1 3 6 2 2 2" xfId="16223" xr:uid="{A278419D-C642-47C3-8DD3-7CD210FC8890}"/>
    <cellStyle name="40% - Accent1 3 6 2 2 2 2" xfId="31447" xr:uid="{864868A8-91DC-4622-A8EF-9BE7F2899A0D}"/>
    <cellStyle name="40% - Accent1 3 6 2 2 3" xfId="16222" xr:uid="{8EEE0184-36F8-42ED-8215-E667523E6C7C}"/>
    <cellStyle name="40% - Accent1 3 6 2 3" xfId="20737" xr:uid="{7A6026A1-F85B-4F2C-85C7-F15C100B4049}"/>
    <cellStyle name="40% - Accent1 3 6 2 3 2" xfId="33461" xr:uid="{33C3E342-2768-4021-830E-DF5C6E97BE67}"/>
    <cellStyle name="40% - Accent1 3 6 2 4" xfId="17474" xr:uid="{93F50E14-13FA-44CE-9096-456B0C486BC8}"/>
    <cellStyle name="40% - Accent1 3 6 3" xfId="16220" xr:uid="{1DCAF448-E9BD-449E-8297-8F2B540B945C}"/>
    <cellStyle name="40% - Accent1 3 6 3 2" xfId="21140" xr:uid="{0DEDD2E7-7044-47E6-A21E-3AC0F5BEC974}"/>
    <cellStyle name="40% - Accent1 3 6 3 2 2" xfId="16217" xr:uid="{54DC8B88-81AF-4246-8087-BAD2279AC34B}"/>
    <cellStyle name="40% - Accent1 3 6 3 3" xfId="21134" xr:uid="{0BD9ABC6-294A-4670-B372-C0E732975434}"/>
    <cellStyle name="40% - Accent1 3 6 4" xfId="16214" xr:uid="{72B440C8-E82F-4FAD-9831-2FECF434BD1D}"/>
    <cellStyle name="40% - Accent1 3 6 4 2" xfId="16213" xr:uid="{3FC50567-E628-4BF4-983F-C1F30C7A82FA}"/>
    <cellStyle name="40% - Accent1 3 6 5" xfId="16211" xr:uid="{1383E7F3-2EB8-416B-A181-FB28AC2A8F54}"/>
    <cellStyle name="40% - Accent1 3 6 6" xfId="35165" xr:uid="{B6DCE1F3-32ED-4F3B-8156-C0E685C911D6}"/>
    <cellStyle name="40% - Accent1 3 7" xfId="16209" xr:uid="{F1D203CC-1D38-4BCC-AE6B-650A9705D1B5}"/>
    <cellStyle name="40% - Accent1 3 7 2" xfId="26664" xr:uid="{E7B1A770-3CB1-493C-8CF3-803AAC8B531E}"/>
    <cellStyle name="40% - Accent1 3 7 2 2" xfId="25110" xr:uid="{1A3F8E9A-3AB2-4222-8278-C14DBD3E7591}"/>
    <cellStyle name="40% - Accent1 3 7 2 2 2" xfId="33587" xr:uid="{871A5DC4-C6D1-4DFF-A0B5-A6F91AE869A3}"/>
    <cellStyle name="40% - Accent1 3 7 2 3" xfId="17464" xr:uid="{3D71EA9B-5C87-4E12-9F4C-40F64C5957F8}"/>
    <cellStyle name="40% - Accent1 3 7 3" xfId="31137" xr:uid="{24DF21EE-216C-4C09-BAFB-6B182AA20FED}"/>
    <cellStyle name="40% - Accent1 3 7 3 2" xfId="21129" xr:uid="{7D2AC182-96FC-408F-A605-A27A17F9ACC2}"/>
    <cellStyle name="40% - Accent1 3 7 4" xfId="31087" xr:uid="{A21F343F-FC29-463C-9E3B-C881786EA6B6}"/>
    <cellStyle name="40% - Accent1 3 7 5" xfId="35394" xr:uid="{676C9D4D-5930-4930-8AB7-90B5C75E4939}"/>
    <cellStyle name="40% - Accent1 3 8" xfId="32126" xr:uid="{6419E9D1-8D0F-4998-BB32-019B61E0E34C}"/>
    <cellStyle name="40% - Accent1 3 8 2" xfId="25383" xr:uid="{FD48F7D0-241E-4E99-8B69-82783D1CA4D2}"/>
    <cellStyle name="40% - Accent1 3 8 2 2" xfId="22292" xr:uid="{E6051D43-CD7F-4A34-AF01-74BE057169F7}"/>
    <cellStyle name="40% - Accent1 3 8 3" xfId="32520" xr:uid="{80ACA745-80ED-49D2-855D-6CC12179462F}"/>
    <cellStyle name="40% - Accent1 3 8 4" xfId="36266" xr:uid="{D31C05D0-679A-4FA5-9427-4E1A585DAE73}"/>
    <cellStyle name="40% - Accent1 3 9" xfId="28769" xr:uid="{F122BAF4-9CD9-4F12-9802-CA081235B44B}"/>
    <cellStyle name="40% - Accent1 3 9 2" xfId="9223" xr:uid="{F91BB796-260F-4F5F-B322-BEC872C8ED4E}"/>
    <cellStyle name="40% - Accent1 3 9 3" xfId="36552" xr:uid="{AB8A2192-87F0-4699-8209-52DBA1F7F982}"/>
    <cellStyle name="40% - Accent1 30" xfId="35891" xr:uid="{13D7B8DB-8CC6-49B8-A1B4-59D87F1FDEDE}"/>
    <cellStyle name="40% - Accent1 30 2" xfId="37063" xr:uid="{E062B732-DA7A-434F-937F-F93A9B1B458C}"/>
    <cellStyle name="40% - Accent1 30 3" xfId="37958" xr:uid="{99DB242A-9E2D-4C65-A631-A00D8C296AB1}"/>
    <cellStyle name="40% - Accent1 31" xfId="35911" xr:uid="{019E4519-8F8F-4353-86C1-2ACB814DE452}"/>
    <cellStyle name="40% - Accent1 31 2" xfId="37082" xr:uid="{7742FEF8-1476-4FF3-9D48-23346C43D8E0}"/>
    <cellStyle name="40% - Accent1 31 3" xfId="37978" xr:uid="{B21BAC76-6A9A-4029-BD79-58F4819E6F88}"/>
    <cellStyle name="40% - Accent1 32" xfId="35931" xr:uid="{453DA169-BF6A-4AB2-9349-EC73CA460C0F}"/>
    <cellStyle name="40% - Accent1 32 2" xfId="37101" xr:uid="{78CC7B9B-FD48-4A56-9736-3256D4A20FA3}"/>
    <cellStyle name="40% - Accent1 32 3" xfId="37998" xr:uid="{50155794-020F-4750-8E07-735915524FA0}"/>
    <cellStyle name="40% - Accent1 33" xfId="35951" xr:uid="{59124E61-3087-4C04-9F25-F507B4DBA029}"/>
    <cellStyle name="40% - Accent1 33 2" xfId="37120" xr:uid="{4208D982-836A-44AE-B122-7D17EDBD05D9}"/>
    <cellStyle name="40% - Accent1 33 3" xfId="38018" xr:uid="{407E2E95-3E3A-4F7B-B9F3-B494670657EA}"/>
    <cellStyle name="40% - Accent1 34" xfId="35971" xr:uid="{D8346FA8-8DA9-470E-9DE0-055B143C095F}"/>
    <cellStyle name="40% - Accent1 34 2" xfId="37140" xr:uid="{3F716EC1-31F4-4004-8F9B-8F5581E9603D}"/>
    <cellStyle name="40% - Accent1 34 3" xfId="38038" xr:uid="{6B59CAE7-35D3-446E-BAEA-9C365FCA4D05}"/>
    <cellStyle name="40% - Accent1 35" xfId="35991" xr:uid="{C835FB8B-2AFB-405F-9F6F-45B0E0EC0486}"/>
    <cellStyle name="40% - Accent1 35 2" xfId="37160" xr:uid="{6A5F4673-8AFA-4EF5-BE4A-BDF0444FBA92}"/>
    <cellStyle name="40% - Accent1 35 3" xfId="38058" xr:uid="{6ADE740A-9784-48E6-BB7E-566330B41068}"/>
    <cellStyle name="40% - Accent1 36" xfId="36011" xr:uid="{E29F0A07-56F9-4BAF-8B0C-88E7D96F8D22}"/>
    <cellStyle name="40% - Accent1 36 2" xfId="37180" xr:uid="{566A4DEF-1AA3-40C1-97E7-9E3E95FC452D}"/>
    <cellStyle name="40% - Accent1 36 3" xfId="38078" xr:uid="{917FB199-3FFF-4980-9D93-5F62993A3B73}"/>
    <cellStyle name="40% - Accent1 37" xfId="36031" xr:uid="{D38D0D9A-6780-4496-8ECC-7B7E1B4F52BA}"/>
    <cellStyle name="40% - Accent1 37 2" xfId="37200" xr:uid="{C8E8F1A9-E585-421A-B2B9-099A2666C449}"/>
    <cellStyle name="40% - Accent1 37 3" xfId="38098" xr:uid="{ADAE54EF-CEF0-42CA-8D2A-62855CF3F60B}"/>
    <cellStyle name="40% - Accent1 38" xfId="36051" xr:uid="{4108C807-B116-4824-BF1A-840A7FAD536A}"/>
    <cellStyle name="40% - Accent1 38 2" xfId="37220" xr:uid="{63C5A2E4-4FE8-428B-9E47-83EC624F09DC}"/>
    <cellStyle name="40% - Accent1 38 3" xfId="38118" xr:uid="{07E61F09-1C41-4713-AEBB-95E90074672F}"/>
    <cellStyle name="40% - Accent1 39" xfId="36071" xr:uid="{394FA675-99E6-4BE3-A419-0736490E9552}"/>
    <cellStyle name="40% - Accent1 39 2" xfId="37240" xr:uid="{2170CC13-E520-4B3D-9BA0-6786A1D5DB0A}"/>
    <cellStyle name="40% - Accent1 39 3" xfId="38138" xr:uid="{D89D790F-578C-421A-87B8-8422659FF384}"/>
    <cellStyle name="40% - Accent1 4" xfId="117" xr:uid="{EDAC2138-D220-4B3B-97CF-3DFE0835DA66}"/>
    <cellStyle name="40% - Accent1 4 10" xfId="34471" xr:uid="{36F81B8D-DCDB-492C-87CB-BE97D41F9D6F}"/>
    <cellStyle name="40% - Accent1 4 11" xfId="30307" xr:uid="{1CD57F30-30DC-4B36-814D-E4834A663CF1}"/>
    <cellStyle name="40% - Accent1 4 2" xfId="240" xr:uid="{6C0D7CDC-2EC5-44C0-B731-336FC381A870}"/>
    <cellStyle name="40% - Accent1 4 2 10" xfId="16206" xr:uid="{45373D9D-985C-450C-8495-48A3316F9B70}"/>
    <cellStyle name="40% - Accent1 4 2 2" xfId="16205" xr:uid="{EFB042B3-A7BF-4EC1-8373-D0D52ACF45CF}"/>
    <cellStyle name="40% - Accent1 4 2 2 2" xfId="16203" xr:uid="{72014E59-0C77-435B-A842-7D5CAD94CFD6}"/>
    <cellStyle name="40% - Accent1 4 2 2 2 2" xfId="16201" xr:uid="{2F7D5CED-7FDA-4D61-BFC6-874E50965907}"/>
    <cellStyle name="40% - Accent1 4 2 2 2 2 2" xfId="16200" xr:uid="{9DF751BC-484D-486D-905A-1DBDF6CF8A7B}"/>
    <cellStyle name="40% - Accent1 4 2 2 2 2 2 2" xfId="32072" xr:uid="{7D33E40A-7160-47B6-BBFD-9EA464CA4B48}"/>
    <cellStyle name="40% - Accent1 4 2 2 2 2 2 2 2" xfId="16195" xr:uid="{E0E0A95A-97A0-47BC-BD28-666865AD9A93}"/>
    <cellStyle name="40% - Accent1 4 2 2 2 2 2 2 2 2" xfId="16194" xr:uid="{00312BBD-7DC0-4CA9-B715-994EA3D2DC26}"/>
    <cellStyle name="40% - Accent1 4 2 2 2 2 2 2 3" xfId="21592" xr:uid="{6BF6520D-FA81-4E3E-8364-50DC25F4D693}"/>
    <cellStyle name="40% - Accent1 4 2 2 2 2 2 3" xfId="31219" xr:uid="{D4AECB97-95B4-427C-9A5E-C22B06004D4A}"/>
    <cellStyle name="40% - Accent1 4 2 2 2 2 2 3 2" xfId="16192" xr:uid="{210E01A2-BDB5-4AFE-90CD-A14E863E7DC3}"/>
    <cellStyle name="40% - Accent1 4 2 2 2 2 2 4" xfId="16191" xr:uid="{E3D218B2-E9A9-4E8E-9835-DD1FBCDBB3CA}"/>
    <cellStyle name="40% - Accent1 4 2 2 2 2 3" xfId="17448" xr:uid="{9BDC6B99-27ED-4469-B8C6-5681B014A491}"/>
    <cellStyle name="40% - Accent1 4 2 2 2 2 3 2" xfId="34215" xr:uid="{7D290DAF-3F50-45EF-8740-86DE8687AA16}"/>
    <cellStyle name="40% - Accent1 4 2 2 2 2 3 2 2" xfId="28181" xr:uid="{3799CFCD-692D-4661-91E9-385796209A7F}"/>
    <cellStyle name="40% - Accent1 4 2 2 2 2 3 3" xfId="16188" xr:uid="{308AF8B9-E75C-4025-B1B3-933C884CC9D4}"/>
    <cellStyle name="40% - Accent1 4 2 2 2 2 4" xfId="19524" xr:uid="{FBC6F3D5-58E4-44F1-90A5-BEF59993510E}"/>
    <cellStyle name="40% - Accent1 4 2 2 2 2 4 2" xfId="9760" xr:uid="{D9E51717-E23D-4793-867E-F206F24E62C9}"/>
    <cellStyle name="40% - Accent1 4 2 2 2 2 5" xfId="16184" xr:uid="{E2B978A0-50C9-407E-9233-730E9720D60F}"/>
    <cellStyle name="40% - Accent1 4 2 2 2 3" xfId="30389" xr:uid="{0E82D53A-252E-4148-9EA2-45EF951A23E1}"/>
    <cellStyle name="40% - Accent1 4 2 2 2 3 2" xfId="16180" xr:uid="{6CD03731-1CC5-41DC-A8D2-474751C890BC}"/>
    <cellStyle name="40% - Accent1 4 2 2 2 3 2 2" xfId="32495" xr:uid="{89350BF3-6148-4C26-A212-B63C6F7BF473}"/>
    <cellStyle name="40% - Accent1 4 2 2 2 3 2 2 2" xfId="16178" xr:uid="{3EA2B0C9-A880-4270-8BAF-DE90267E26F0}"/>
    <cellStyle name="40% - Accent1 4 2 2 2 3 2 3" xfId="16177" xr:uid="{21B5DF2E-7EA7-4398-AD35-D7221F7FEF6E}"/>
    <cellStyle name="40% - Accent1 4 2 2 2 3 3" xfId="29083" xr:uid="{80AE1C24-EB2F-487E-AD10-7C4E634DEA24}"/>
    <cellStyle name="40% - Accent1 4 2 2 2 3 3 2" xfId="16174" xr:uid="{7D4DE255-2D98-4D4E-B2F2-7EA4747E7624}"/>
    <cellStyle name="40% - Accent1 4 2 2 2 3 4" xfId="16171" xr:uid="{77A1255F-8F7D-4287-87B8-A7E9890FF5FB}"/>
    <cellStyle name="40% - Accent1 4 2 2 2 4" xfId="16166" xr:uid="{3D15410A-AB69-42E4-BDC5-8EA73100DF99}"/>
    <cellStyle name="40% - Accent1 4 2 2 2 4 2" xfId="16165" xr:uid="{209BDBB7-FF62-441A-B8CE-A06687FCB22A}"/>
    <cellStyle name="40% - Accent1 4 2 2 2 4 2 2" xfId="16164" xr:uid="{44A7309D-E1D3-416B-8CEB-5F733572A6AD}"/>
    <cellStyle name="40% - Accent1 4 2 2 2 4 3" xfId="16163" xr:uid="{092FAC87-356C-477F-88AC-6FB2C0F2556F}"/>
    <cellStyle name="40% - Accent1 4 2 2 2 5" xfId="26396" xr:uid="{A4B90E0D-C13A-46A4-BD2A-8D2A4C1F904D}"/>
    <cellStyle name="40% - Accent1 4 2 2 2 5 2" xfId="16161" xr:uid="{0BB1CAB9-416B-47F8-9180-DD573B258897}"/>
    <cellStyle name="40% - Accent1 4 2 2 2 6" xfId="26391" xr:uid="{76C0D9B1-3C2A-43A7-B68C-A9A8C57138F4}"/>
    <cellStyle name="40% - Accent1 4 2 2 3" xfId="12598" xr:uid="{4AF89482-415D-49D8-8C31-601E7C9C14D0}"/>
    <cellStyle name="40% - Accent1 4 2 2 3 2" xfId="16160" xr:uid="{8E37602F-BBFE-4A9E-9609-F53E5F4700BC}"/>
    <cellStyle name="40% - Accent1 4 2 2 3 2 2" xfId="16159" xr:uid="{0FE3B885-C416-422E-9434-8A327556E781}"/>
    <cellStyle name="40% - Accent1 4 2 2 3 2 2 2" xfId="24897" xr:uid="{A862FF24-5767-4B9A-95BC-FC65BD99FEB7}"/>
    <cellStyle name="40% - Accent1 4 2 2 3 2 2 2 2" xfId="16154" xr:uid="{1D5DD05C-7321-48A3-B797-93D9090D5E77}"/>
    <cellStyle name="40% - Accent1 4 2 2 3 2 2 3" xfId="16152" xr:uid="{D44A9DF6-49C5-420A-BB1E-EB4850338560}"/>
    <cellStyle name="40% - Accent1 4 2 2 3 2 3" xfId="19507" xr:uid="{2BF2685B-6EA1-4A10-85EA-E688A05DDE75}"/>
    <cellStyle name="40% - Accent1 4 2 2 3 2 3 2" xfId="16145" xr:uid="{F3EA1CD4-1A81-4174-9A31-B7943D2A12D3}"/>
    <cellStyle name="40% - Accent1 4 2 2 3 2 4" xfId="16750" xr:uid="{9DE25BC2-3531-4C51-8FF2-145655674CF9}"/>
    <cellStyle name="40% - Accent1 4 2 2 3 3" xfId="16141" xr:uid="{451C317F-E1E5-4213-84B2-EC9A1D06439C}"/>
    <cellStyle name="40% - Accent1 4 2 2 3 3 2" xfId="16140" xr:uid="{3183DEF7-F370-4FA8-9AD3-A21EBE7E918D}"/>
    <cellStyle name="40% - Accent1 4 2 2 3 3 2 2" xfId="33697" xr:uid="{4CBB0E3F-A0CD-4443-A2CC-99B396AAD8EA}"/>
    <cellStyle name="40% - Accent1 4 2 2 3 3 3" xfId="16139" xr:uid="{ABF14452-AC51-44C3-8738-F6A257123CBD}"/>
    <cellStyle name="40% - Accent1 4 2 2 3 4" xfId="16137" xr:uid="{0ED8C854-6B6A-40B3-B391-6CF00002365A}"/>
    <cellStyle name="40% - Accent1 4 2 2 3 4 2" xfId="16134" xr:uid="{73DA4494-382A-4C7C-8459-FF394B4EB491}"/>
    <cellStyle name="40% - Accent1 4 2 2 3 5" xfId="26388" xr:uid="{513FCD0B-DFD0-4BAF-A806-851794EC0C01}"/>
    <cellStyle name="40% - Accent1 4 2 2 4" xfId="16132" xr:uid="{D0E8FD81-9555-4425-8388-EEB342A1291E}"/>
    <cellStyle name="40% - Accent1 4 2 2 4 2" xfId="16131" xr:uid="{87076131-A826-450D-9786-E7B4C9E20F4F}"/>
    <cellStyle name="40% - Accent1 4 2 2 4 2 2" xfId="32987" xr:uid="{64DFD48A-D363-4987-AAC8-9C6969EBD969}"/>
    <cellStyle name="40% - Accent1 4 2 2 4 2 2 2" xfId="16130" xr:uid="{8154A0E9-5580-4001-8ECA-4A1B374DCDFE}"/>
    <cellStyle name="40% - Accent1 4 2 2 4 2 3" xfId="26426" xr:uid="{29C96C4C-D843-4652-909B-04ACDD2DEC0D}"/>
    <cellStyle name="40% - Accent1 4 2 2 4 3" xfId="16125" xr:uid="{63AA25EF-D43F-4A84-B35F-9D9E7636F151}"/>
    <cellStyle name="40% - Accent1 4 2 2 4 3 2" xfId="29517" xr:uid="{72BDA401-2974-4272-B97C-701F43A92343}"/>
    <cellStyle name="40% - Accent1 4 2 2 4 4" xfId="16124" xr:uid="{95C37CB6-92FE-45FC-A4DC-60CB3304C15F}"/>
    <cellStyle name="40% - Accent1 4 2 2 5" xfId="16123" xr:uid="{65A3A3F8-53C3-4B96-A660-59D369227F2E}"/>
    <cellStyle name="40% - Accent1 4 2 2 5 2" xfId="16122" xr:uid="{80F5D837-F904-43EB-96ED-0E342BAC788A}"/>
    <cellStyle name="40% - Accent1 4 2 2 5 2 2" xfId="24935" xr:uid="{55A41D59-6E6C-4439-B414-F9818E3D0276}"/>
    <cellStyle name="40% - Accent1 4 2 2 5 3" xfId="16121" xr:uid="{D421026B-346E-497A-AEF7-CDCD7A6B1E00}"/>
    <cellStyle name="40% - Accent1 4 2 2 6" xfId="22701" xr:uid="{E89EC870-A3F9-448A-A751-ABACEF3BADF9}"/>
    <cellStyle name="40% - Accent1 4 2 2 6 2" xfId="32876" xr:uid="{38111DC5-099D-4ECD-A744-A7CF32367B3C}"/>
    <cellStyle name="40% - Accent1 4 2 2 7" xfId="22695" xr:uid="{7FDD6679-281C-4375-9B89-74143B8CF11F}"/>
    <cellStyle name="40% - Accent1 4 2 3" xfId="16120" xr:uid="{9DC207A5-0BB4-4511-B431-60B7361DEDA9}"/>
    <cellStyle name="40% - Accent1 4 2 3 2" xfId="16118" xr:uid="{F54BAEDB-DC56-4977-826E-D81C1DEF1C12}"/>
    <cellStyle name="40% - Accent1 4 2 3 2 2" xfId="32161" xr:uid="{80A6FD61-2981-43CC-A861-655625A5F6A1}"/>
    <cellStyle name="40% - Accent1 4 2 3 2 2 2" xfId="16115" xr:uid="{468AB39D-C4B8-48A7-96FF-DECB4E322CED}"/>
    <cellStyle name="40% - Accent1 4 2 3 2 2 2 2" xfId="31928" xr:uid="{25F231D2-1C4D-439E-8D93-E5AF244BBC25}"/>
    <cellStyle name="40% - Accent1 4 2 3 2 2 2 2 2" xfId="16112" xr:uid="{4D0B2E7D-1160-4FE7-8B19-010A1DCCA7CE}"/>
    <cellStyle name="40% - Accent1 4 2 3 2 2 2 3" xfId="16110" xr:uid="{F0983F46-AD5B-4B5F-BEB8-8F3848A5ED35}"/>
    <cellStyle name="40% - Accent1 4 2 3 2 2 3" xfId="19474" xr:uid="{EBDBCC54-CB4C-403E-AC0D-8E6554F3F49D}"/>
    <cellStyle name="40% - Accent1 4 2 3 2 2 3 2" xfId="16106" xr:uid="{AC9A7124-FAA8-45CB-B474-953ED64EC99C}"/>
    <cellStyle name="40% - Accent1 4 2 3 2 2 4" xfId="16102" xr:uid="{B8B24265-5836-4EB8-A8EC-0E86A86FD46B}"/>
    <cellStyle name="40% - Accent1 4 2 3 2 3" xfId="16096" xr:uid="{3EAFDA31-39D5-4F44-A88D-820EF0A730D9}"/>
    <cellStyle name="40% - Accent1 4 2 3 2 3 2" xfId="20949" xr:uid="{1A24C736-393D-44F2-B32B-9E3E6CFA42A1}"/>
    <cellStyle name="40% - Accent1 4 2 3 2 3 2 2" xfId="16094" xr:uid="{6D97BC68-1715-4620-806C-9C17A2B86179}"/>
    <cellStyle name="40% - Accent1 4 2 3 2 3 3" xfId="20713" xr:uid="{3155796F-DF81-4184-9E84-799957C6A83E}"/>
    <cellStyle name="40% - Accent1 4 2 3 2 4" xfId="16091" xr:uid="{C534F442-794A-4342-8E68-100DF4701B43}"/>
    <cellStyle name="40% - Accent1 4 2 3 2 4 2" xfId="20710" xr:uid="{79BDA7B4-675B-447D-81E5-E7A312268703}"/>
    <cellStyle name="40% - Accent1 4 2 3 2 5" xfId="26385" xr:uid="{C9F79DF5-1202-458A-8D49-982234B45F23}"/>
    <cellStyle name="40% - Accent1 4 2 3 3" xfId="16089" xr:uid="{6EFF30BA-D357-4F24-8A08-9FD98CD9D4E2}"/>
    <cellStyle name="40% - Accent1 4 2 3 3 2" xfId="18399" xr:uid="{0E7367AF-F334-428A-A6C4-23119B4B02A0}"/>
    <cellStyle name="40% - Accent1 4 2 3 3 2 2" xfId="18397" xr:uid="{993B4AE4-9386-4FD9-A5F8-525C4FA1F180}"/>
    <cellStyle name="40% - Accent1 4 2 3 3 2 2 2" xfId="16087" xr:uid="{C21B11EF-CA1F-49D2-AB7E-C7A4EE541BD4}"/>
    <cellStyle name="40% - Accent1 4 2 3 3 2 3" xfId="18478" xr:uid="{A2BD5F03-646E-4252-A4ED-55F21F5E3778}"/>
    <cellStyle name="40% - Accent1 4 2 3 3 3" xfId="18393" xr:uid="{6868E6D6-5B38-4813-9BF7-39D4EB1527EA}"/>
    <cellStyle name="40% - Accent1 4 2 3 3 3 2" xfId="18387" xr:uid="{4B0D903B-EA15-4195-BC54-4225D1A62ED8}"/>
    <cellStyle name="40% - Accent1 4 2 3 3 4" xfId="18384" xr:uid="{0610A7A0-F762-45C7-BE68-4F089828DBE4}"/>
    <cellStyle name="40% - Accent1 4 2 3 4" xfId="16082" xr:uid="{CDFFD70D-5E5C-4BFE-9B94-7395C3BBE5E8}"/>
    <cellStyle name="40% - Accent1 4 2 3 4 2" xfId="20704" xr:uid="{2B5E01BF-8BC1-49B9-B486-5D9AE9E4D324}"/>
    <cellStyle name="40% - Accent1 4 2 3 4 2 2" xfId="20701" xr:uid="{2250879D-C018-4F6D-8C1E-A00FB6403BFF}"/>
    <cellStyle name="40% - Accent1 4 2 3 4 3" xfId="20698" xr:uid="{8D7D3D81-DF56-4382-833E-12B485DC6E4C}"/>
    <cellStyle name="40% - Accent1 4 2 3 5" xfId="16080" xr:uid="{79051470-304B-4F07-81DA-549BEDD962FD}"/>
    <cellStyle name="40% - Accent1 4 2 3 5 2" xfId="20694" xr:uid="{4F34AFE3-F6C8-4D07-9030-DB9F551F3D02}"/>
    <cellStyle name="40% - Accent1 4 2 3 6" xfId="20691" xr:uid="{5D4F84B7-169E-4057-9B78-57FC7F4D98CF}"/>
    <cellStyle name="40% - Accent1 4 2 4" xfId="16078" xr:uid="{656CB708-2C6F-4074-8F0C-4A7079DEE24D}"/>
    <cellStyle name="40% - Accent1 4 2 4 2" xfId="30642" xr:uid="{3C98CBFF-B7C0-4D07-B2C9-69344651A2F8}"/>
    <cellStyle name="40% - Accent1 4 2 4 2 2" xfId="22953" xr:uid="{B4F34334-BCB5-4E8E-8C4B-0938F5C11855}"/>
    <cellStyle name="40% - Accent1 4 2 4 2 2 2" xfId="16076" xr:uid="{5347224A-1021-4F76-9C01-992E3B175C9F}"/>
    <cellStyle name="40% - Accent1 4 2 4 2 2 2 2" xfId="16527" xr:uid="{D4DA097F-9863-433B-B3C7-F6825C3A3BD6}"/>
    <cellStyle name="40% - Accent1 4 2 4 2 2 3" xfId="16073" xr:uid="{6717E2C9-655A-46AE-8676-8C46434A80A8}"/>
    <cellStyle name="40% - Accent1 4 2 4 2 3" xfId="16070" xr:uid="{9C91EC89-AD4A-4E72-9858-F169CF9DF876}"/>
    <cellStyle name="40% - Accent1 4 2 4 2 3 2" xfId="27265" xr:uid="{0AD10D26-B98F-4BCA-8E3B-D0AB748A59B1}"/>
    <cellStyle name="40% - Accent1 4 2 4 2 4" xfId="16068" xr:uid="{9DE5E6C7-EE80-4258-856B-54E60720C3B1}"/>
    <cellStyle name="40% - Accent1 4 2 4 3" xfId="19635" xr:uid="{6B217A1C-E9A1-4C92-AE79-7943E94C22E5}"/>
    <cellStyle name="40% - Accent1 4 2 4 3 2" xfId="18361" xr:uid="{5FA4E056-4CC5-466F-BF88-486588A0CCF3}"/>
    <cellStyle name="40% - Accent1 4 2 4 3 2 2" xfId="18358" xr:uid="{1AC4238A-1922-469B-83C1-88F5ACD776D9}"/>
    <cellStyle name="40% - Accent1 4 2 4 3 3" xfId="18353" xr:uid="{711475E7-C475-4C38-9BEC-FEF60E7A6FD4}"/>
    <cellStyle name="40% - Accent1 4 2 4 4" xfId="16065" xr:uid="{F207996D-4CBB-4FA4-AABA-5985A6493CB5}"/>
    <cellStyle name="40% - Accent1 4 2 4 4 2" xfId="29022" xr:uid="{4ED8D01E-E685-4FC6-92AD-3A5B78BF9ED4}"/>
    <cellStyle name="40% - Accent1 4 2 4 5" xfId="16063" xr:uid="{CAA9D110-D0E5-4B3C-8BC9-B03471BC702A}"/>
    <cellStyle name="40% - Accent1 4 2 5" xfId="20578" xr:uid="{5BBE9580-B39D-405B-9DE2-B3CAF3EFD224}"/>
    <cellStyle name="40% - Accent1 4 2 5 2" xfId="30622" xr:uid="{0434FBC1-47F7-4958-981A-E8BC21D86876}"/>
    <cellStyle name="40% - Accent1 4 2 5 2 2" xfId="16060" xr:uid="{CED8EC04-5D6D-41F2-A9B1-83213F877CC6}"/>
    <cellStyle name="40% - Accent1 4 2 5 2 2 2" xfId="16058" xr:uid="{03881CEF-7108-460C-8DD5-16381CBE32B6}"/>
    <cellStyle name="40% - Accent1 4 2 5 2 3" xfId="16056" xr:uid="{53C4E0AE-5704-430E-AF0F-8FE9C81F3941}"/>
    <cellStyle name="40% - Accent1 4 2 5 3" xfId="16054" xr:uid="{B3C1E648-D0ED-45D5-B128-8B36F5F41F75}"/>
    <cellStyle name="40% - Accent1 4 2 5 3 2" xfId="18309" xr:uid="{76D02778-6E74-4D4C-86EE-79E1E7AEE13A}"/>
    <cellStyle name="40% - Accent1 4 2 5 4" xfId="20683" xr:uid="{376DB837-F154-4FC0-A5F6-2DF6DF529343}"/>
    <cellStyle name="40% - Accent1 4 2 6" xfId="16052" xr:uid="{037A5CE8-EED6-4781-832E-1602D30065E1}"/>
    <cellStyle name="40% - Accent1 4 2 6 2" xfId="20676" xr:uid="{855E407C-9DC3-49F8-8FC1-14E1CB1A5EC9}"/>
    <cellStyle name="40% - Accent1 4 2 6 2 2" xfId="22052" xr:uid="{C9C358E6-4D36-418E-B709-D5C6C0483EF6}"/>
    <cellStyle name="40% - Accent1 4 2 6 3" xfId="20669" xr:uid="{3333C123-9C13-4F45-8003-D41A7168FB1A}"/>
    <cellStyle name="40% - Accent1 4 2 7" xfId="34077" xr:uid="{1DEB6910-1FA5-4B14-91FD-A63EC287E9FA}"/>
    <cellStyle name="40% - Accent1 4 2 7 2" xfId="20659" xr:uid="{603D8D85-6EF7-4028-8A8F-753506B9977D}"/>
    <cellStyle name="40% - Accent1 4 2 8" xfId="24407" xr:uid="{DB8AE7A3-1BEB-473D-BEBE-06FACDF3F43E}"/>
    <cellStyle name="40% - Accent1 4 2 9" xfId="34563" xr:uid="{6AC40447-5B90-4A78-9082-2429EC1E5319}"/>
    <cellStyle name="40% - Accent1 4 3" xfId="16051" xr:uid="{FDD2D8BB-A96D-45CC-80FA-66046D4031D6}"/>
    <cellStyle name="40% - Accent1 4 3 2" xfId="16050" xr:uid="{1FF92C8F-08AC-45E6-A00B-7938BA990DA0}"/>
    <cellStyle name="40% - Accent1 4 3 2 2" xfId="16049" xr:uid="{BF4D539B-626D-4A81-B174-C71D9B353333}"/>
    <cellStyle name="40% - Accent1 4 3 2 2 2" xfId="16048" xr:uid="{98E8028F-D570-463F-926F-4F35D098FEEF}"/>
    <cellStyle name="40% - Accent1 4 3 2 2 2 2" xfId="16046" xr:uid="{EB5ABB9D-B408-4F90-98BA-CD96661F2F25}"/>
    <cellStyle name="40% - Accent1 4 3 2 2 2 2 2" xfId="29078" xr:uid="{5B4F4C5B-BBE2-4906-BDFA-392221C87A86}"/>
    <cellStyle name="40% - Accent1 4 3 2 2 2 2 2 2" xfId="25327" xr:uid="{46A94F84-6446-4883-B6A0-335046A90C80}"/>
    <cellStyle name="40% - Accent1 4 3 2 2 2 2 3" xfId="29068" xr:uid="{3956E513-0C68-4075-A20A-DEC17DBC9974}"/>
    <cellStyle name="40% - Accent1 4 3 2 2 2 3" xfId="19239" xr:uid="{787C72B6-CA29-406F-9F4A-3F51E0913C4E}"/>
    <cellStyle name="40% - Accent1 4 3 2 2 2 3 2" xfId="29055" xr:uid="{946CF589-0785-4791-8FAF-3A46A548E507}"/>
    <cellStyle name="40% - Accent1 4 3 2 2 2 4" xfId="23117" xr:uid="{B342152A-BA8B-44E4-8772-D154CE77B499}"/>
    <cellStyle name="40% - Accent1 4 3 2 2 3" xfId="16044" xr:uid="{0C03ECC5-0A3F-4466-825E-1F31C9F1BDDB}"/>
    <cellStyle name="40% - Accent1 4 3 2 2 3 2" xfId="16041" xr:uid="{08DB578A-9C3A-481D-82AB-74D6CF438FE1}"/>
    <cellStyle name="40% - Accent1 4 3 2 2 3 2 2" xfId="28946" xr:uid="{9B9CDD2A-1FB4-4D13-BEF7-BE5A24DAED13}"/>
    <cellStyle name="40% - Accent1 4 3 2 2 3 3" xfId="23773" xr:uid="{9351F911-0998-40A5-A83E-C0CE8A47BF30}"/>
    <cellStyle name="40% - Accent1 4 3 2 2 4" xfId="16039" xr:uid="{A1DD8C79-67C4-4ADB-8092-808D7CF3785C}"/>
    <cellStyle name="40% - Accent1 4 3 2 2 4 2" xfId="16035" xr:uid="{29397D1B-459C-4FD5-A48A-AB54A377A39F}"/>
    <cellStyle name="40% - Accent1 4 3 2 2 5" xfId="26379" xr:uid="{602193FD-1B54-4EC0-9D55-4ED033C39BE9}"/>
    <cellStyle name="40% - Accent1 4 3 2 3" xfId="16034" xr:uid="{7BA298E0-8C29-4B47-BEA5-D0FB77E2B1E2}"/>
    <cellStyle name="40% - Accent1 4 3 2 3 2" xfId="16033" xr:uid="{A8B4CF36-7F94-4F30-ABA0-DADED5E55490}"/>
    <cellStyle name="40% - Accent1 4 3 2 3 2 2" xfId="5399" xr:uid="{E31AEDE8-75EB-4B06-9D6A-939053CACC93}"/>
    <cellStyle name="40% - Accent1 4 3 2 3 2 2 2" xfId="28721" xr:uid="{96B3F87E-B3C3-4BAD-9D2C-35B49C336F51}"/>
    <cellStyle name="40% - Accent1 4 3 2 3 2 3" xfId="7991" xr:uid="{BCF69FCD-5847-41F1-AB85-5BD1484C605D}"/>
    <cellStyle name="40% - Accent1 4 3 2 3 3" xfId="31937" xr:uid="{42CCB9BD-B988-443C-B07D-A2DFDE9EB65C}"/>
    <cellStyle name="40% - Accent1 4 3 2 3 3 2" xfId="16030" xr:uid="{F138ED7F-E5DD-4A23-8C57-16F66058E4E1}"/>
    <cellStyle name="40% - Accent1 4 3 2 3 4" xfId="16029" xr:uid="{62E2E764-D6BC-4B54-AC4D-F4FB58697F44}"/>
    <cellStyle name="40% - Accent1 4 3 2 4" xfId="16028" xr:uid="{4F9EDEF7-F96F-4781-ACEC-BC39439E2840}"/>
    <cellStyle name="40% - Accent1 4 3 2 4 2" xfId="16026" xr:uid="{60D04B8A-1484-4A4E-AD9D-730399B1510B}"/>
    <cellStyle name="40% - Accent1 4 3 2 4 2 2" xfId="26336" xr:uid="{58DC2959-6380-406C-99AC-5CD463FF18B5}"/>
    <cellStyle name="40% - Accent1 4 3 2 4 3" xfId="16024" xr:uid="{B19D709C-15F3-4683-BA23-D5CA90CA069B}"/>
    <cellStyle name="40% - Accent1 4 3 2 5" xfId="16023" xr:uid="{851E9790-DBE4-48B2-B9C3-DF259880F538}"/>
    <cellStyle name="40% - Accent1 4 3 2 5 2" xfId="16022" xr:uid="{7F8C6AE4-718F-4AB5-BE27-6A8967547474}"/>
    <cellStyle name="40% - Accent1 4 3 2 6" xfId="22557" xr:uid="{F45D1D3C-ED86-4377-A016-AE4FB2491764}"/>
    <cellStyle name="40% - Accent1 4 3 3" xfId="16021" xr:uid="{55EC7E6B-2C87-41D8-968B-B1E1CB633C1D}"/>
    <cellStyle name="40% - Accent1 4 3 3 2" xfId="16020" xr:uid="{CDE8F216-8089-4831-87DC-7C500F2E13C3}"/>
    <cellStyle name="40% - Accent1 4 3 3 2 2" xfId="16016" xr:uid="{77B425A8-A038-4099-BD3F-4DA9FE61F64A}"/>
    <cellStyle name="40% - Accent1 4 3 3 2 2 2" xfId="16012" xr:uid="{888FA53B-5DB2-440E-A430-8B6F20A945FA}"/>
    <cellStyle name="40% - Accent1 4 3 3 2 2 2 2" xfId="27767" xr:uid="{4A33BEFE-A474-4BE1-84FF-76686026A7E1}"/>
    <cellStyle name="40% - Accent1 4 3 3 2 2 3" xfId="16010" xr:uid="{79F44A59-61CB-416C-A950-A0C7F86970DF}"/>
    <cellStyle name="40% - Accent1 4 3 3 2 3" xfId="16006" xr:uid="{51A87411-7E19-48B3-963D-126D7BE6BCC6}"/>
    <cellStyle name="40% - Accent1 4 3 3 2 3 2" xfId="20632" xr:uid="{0A6F5CD3-80AC-4D3F-A004-E9D820653B50}"/>
    <cellStyle name="40% - Accent1 4 3 3 2 4" xfId="16004" xr:uid="{664CEF06-6C8B-4C06-8792-5B3F34707648}"/>
    <cellStyle name="40% - Accent1 4 3 3 3" xfId="16002" xr:uid="{AC11106C-5F43-4E1F-AC1D-99F5624C1122}"/>
    <cellStyle name="40% - Accent1 4 3 3 3 2" xfId="18236" xr:uid="{6A1E3F6D-CC10-4E3E-B7D7-850584141452}"/>
    <cellStyle name="40% - Accent1 4 3 3 3 2 2" xfId="18231" xr:uid="{39E9D575-3AD0-4EE1-A44E-3605317D45C0}"/>
    <cellStyle name="40% - Accent1 4 3 3 3 3" xfId="18226" xr:uid="{D3182B6F-06F3-434F-9F5C-17574D40301F}"/>
    <cellStyle name="40% - Accent1 4 3 3 4" xfId="15998" xr:uid="{7145A0E9-1BC9-4D37-9E17-F6F1047FBD71}"/>
    <cellStyle name="40% - Accent1 4 3 3 4 2" xfId="20623" xr:uid="{5AFB79B2-F0C8-4A02-BA4D-4E675C993A51}"/>
    <cellStyle name="40% - Accent1 4 3 3 5" xfId="15996" xr:uid="{0A834B5D-3EC9-493B-AACE-DA0F063C90ED}"/>
    <cellStyle name="40% - Accent1 4 3 4" xfId="15994" xr:uid="{7F1926F2-5834-4AD9-91F8-17F3F4B0D375}"/>
    <cellStyle name="40% - Accent1 4 3 4 2" xfId="30504" xr:uid="{24FEAAE9-664F-4EAA-917E-50E171EA73B5}"/>
    <cellStyle name="40% - Accent1 4 3 4 2 2" xfId="26101" xr:uid="{6CE697ED-0917-4815-AACF-6EF1F5C70D42}"/>
    <cellStyle name="40% - Accent1 4 3 4 2 2 2" xfId="15991" xr:uid="{E91FFE1B-61AA-41CA-8A47-6454EFFA55C8}"/>
    <cellStyle name="40% - Accent1 4 3 4 2 3" xfId="7876" xr:uid="{019715D8-88B5-4FEF-AF1E-41952316AA9D}"/>
    <cellStyle name="40% - Accent1 4 3 4 3" xfId="15989" xr:uid="{56E900EC-CC31-442B-833A-418FD3E26709}"/>
    <cellStyle name="40% - Accent1 4 3 4 3 2" xfId="18188" xr:uid="{2017CA32-E462-4297-AFEA-47D86ABEB300}"/>
    <cellStyle name="40% - Accent1 4 3 4 4" xfId="15987" xr:uid="{6C0299F4-3DD0-45F7-88D1-FEA876E52847}"/>
    <cellStyle name="40% - Accent1 4 3 5" xfId="25324" xr:uid="{01C071DA-7A0B-43E7-B540-B552AC1B0934}"/>
    <cellStyle name="40% - Accent1 4 3 5 2" xfId="15985" xr:uid="{F7092656-0DC9-484E-A478-ABA1F829E243}"/>
    <cellStyle name="40% - Accent1 4 3 5 2 2" xfId="15983" xr:uid="{CDE0482E-593F-4A00-8F6D-273F7D7796F3}"/>
    <cellStyle name="40% - Accent1 4 3 5 3" xfId="15981" xr:uid="{E2BA3A74-7F6A-492D-B6BF-6F0D00E2F4B7}"/>
    <cellStyle name="40% - Accent1 4 3 6" xfId="30560" xr:uid="{E79B4560-52A7-4E30-8248-A15571DDC344}"/>
    <cellStyle name="40% - Accent1 4 3 6 2" xfId="20608" xr:uid="{AE0D1D1A-6B09-4F7F-9088-8B699E421197}"/>
    <cellStyle name="40% - Accent1 4 3 7" xfId="19032" xr:uid="{9DE07800-956A-4640-9972-E682C6935AA7}"/>
    <cellStyle name="40% - Accent1 4 3 8" xfId="34783" xr:uid="{8046A886-9003-46B4-9E4B-52F268C8258A}"/>
    <cellStyle name="40% - Accent1 4 4" xfId="6727" xr:uid="{DCA331F5-A0FD-4621-90CB-317607391FB1}"/>
    <cellStyle name="40% - Accent1 4 4 2" xfId="15979" xr:uid="{0D5720C8-3A31-4BAC-A6B8-73A155AB783C}"/>
    <cellStyle name="40% - Accent1 4 4 2 2" xfId="11579" xr:uid="{B0A014B7-B418-4E31-9E63-4E8F3A35109C}"/>
    <cellStyle name="40% - Accent1 4 4 2 2 2" xfId="15976" xr:uid="{7964F72A-1705-482E-8410-F0938F4D3304}"/>
    <cellStyle name="40% - Accent1 4 4 2 2 2 2" xfId="15974" xr:uid="{233539A7-6C34-461E-B3C3-3EBDD9B5DC2A}"/>
    <cellStyle name="40% - Accent1 4 4 2 2 2 2 2" xfId="30130" xr:uid="{5C886100-FB86-47A5-95C6-1D7C0B8E7A72}"/>
    <cellStyle name="40% - Accent1 4 4 2 2 2 3" xfId="15973" xr:uid="{C2A88279-0FF6-431B-B3A2-F5C99A60C219}"/>
    <cellStyle name="40% - Accent1 4 4 2 2 3" xfId="8709" xr:uid="{91226AAD-8775-4470-875B-C1993A53E68F}"/>
    <cellStyle name="40% - Accent1 4 4 2 2 3 2" xfId="15971" xr:uid="{E2F9E68B-5FA9-4B22-A4EE-E029B823DF37}"/>
    <cellStyle name="40% - Accent1 4 4 2 2 4" xfId="34389" xr:uid="{AD5553BD-4804-4F66-812E-C7696515FEB9}"/>
    <cellStyle name="40% - Accent1 4 4 2 3" xfId="15970" xr:uid="{2AAFD848-667E-49A5-A802-3BD7F5A56229}"/>
    <cellStyle name="40% - Accent1 4 4 2 3 2" xfId="15968" xr:uid="{FD50259D-1136-4994-87EC-C0420DCAD3F7}"/>
    <cellStyle name="40% - Accent1 4 4 2 3 2 2" xfId="17337" xr:uid="{26807AB2-C780-42FB-AC11-DEBE607004DF}"/>
    <cellStyle name="40% - Accent1 4 4 2 3 3" xfId="15965" xr:uid="{6C9F98BF-EA45-4FAC-9CF7-D1A59AA3C181}"/>
    <cellStyle name="40% - Accent1 4 4 2 4" xfId="15964" xr:uid="{49AC5B92-F4CD-4847-8340-416A3C1934D5}"/>
    <cellStyle name="40% - Accent1 4 4 2 4 2" xfId="15961" xr:uid="{8F40610C-86C2-4D35-96B5-3FD6831A60CF}"/>
    <cellStyle name="40% - Accent1 4 4 2 5" xfId="15957" xr:uid="{76C00EBF-1442-4792-9749-87A4630DE6E9}"/>
    <cellStyle name="40% - Accent1 4 4 3" xfId="15954" xr:uid="{20664061-9806-420E-85EF-53219A3C4A0E}"/>
    <cellStyle name="40% - Accent1 4 4 3 2" xfId="15953" xr:uid="{B5CCC92A-05F6-44AB-A82E-07EA523A673F}"/>
    <cellStyle name="40% - Accent1 4 4 3 2 2" xfId="15948" xr:uid="{91DA0D10-C145-4ACF-BB3A-51477BDF09E8}"/>
    <cellStyle name="40% - Accent1 4 4 3 2 2 2" xfId="22786" xr:uid="{013FB18A-FA3D-44EC-838B-676E4CA39C25}"/>
    <cellStyle name="40% - Accent1 4 4 3 2 3" xfId="15946" xr:uid="{C4E4546F-6A2E-4DDD-BE03-57748AD9D1AE}"/>
    <cellStyle name="40% - Accent1 4 4 3 3" xfId="15944" xr:uid="{85509A3C-6D93-456F-A8CF-E7B9A885C9A1}"/>
    <cellStyle name="40% - Accent1 4 4 3 3 2" xfId="22779" xr:uid="{B90B5CF3-3067-405F-994D-58CA6785C67B}"/>
    <cellStyle name="40% - Accent1 4 4 3 4" xfId="15942" xr:uid="{FE04925A-7A14-49D9-972C-A4986E2FACD9}"/>
    <cellStyle name="40% - Accent1 4 4 4" xfId="15938" xr:uid="{540BE4DF-8C65-46C5-8CB3-7AF64BE85DDB}"/>
    <cellStyle name="40% - Accent1 4 4 4 2" xfId="15935" xr:uid="{FA02DE26-72F5-470D-BA82-C1E5B9ADC2D7}"/>
    <cellStyle name="40% - Accent1 4 4 4 2 2" xfId="15933" xr:uid="{DB2ABCF8-3242-466E-A3F2-926CD31872E9}"/>
    <cellStyle name="40% - Accent1 4 4 4 3" xfId="15929" xr:uid="{222D1894-9CEB-4120-BB28-6B5192C64AE7}"/>
    <cellStyle name="40% - Accent1 4 4 5" xfId="15927" xr:uid="{99B62B0E-AA9E-4698-88CC-75EBD47FC1E7}"/>
    <cellStyle name="40% - Accent1 4 4 5 2" xfId="15925" xr:uid="{B68C6B19-BEDD-486F-B999-904A67ACF934}"/>
    <cellStyle name="40% - Accent1 4 4 6" xfId="30541" xr:uid="{EF354435-8DA6-4B30-9281-E104B87D53A2}"/>
    <cellStyle name="40% - Accent1 4 4 7" xfId="34979" xr:uid="{322ACC91-D9DF-4088-9548-6EEAD3488BDA}"/>
    <cellStyle name="40% - Accent1 4 5" xfId="15922" xr:uid="{592F0DCC-437A-496C-B4B7-FFD4AA0BF649}"/>
    <cellStyle name="40% - Accent1 4 5 2" xfId="15921" xr:uid="{0D370A5D-F23E-48BB-AECC-5EDEC793CA13}"/>
    <cellStyle name="40% - Accent1 4 5 2 2" xfId="15920" xr:uid="{B2483ACE-A007-4C1E-97CA-B406F4DACD6E}"/>
    <cellStyle name="40% - Accent1 4 5 2 2 2" xfId="15915" xr:uid="{4E43921D-0893-4BA5-9CD8-D6BD0E9D95F3}"/>
    <cellStyle name="40% - Accent1 4 5 2 2 2 2" xfId="15914" xr:uid="{6FE77FAF-21F6-435D-B83A-70C2C9851B35}"/>
    <cellStyle name="40% - Accent1 4 5 2 2 3" xfId="15913" xr:uid="{BF79FE44-170E-4373-A727-FF7BD253A7EC}"/>
    <cellStyle name="40% - Accent1 4 5 2 3" xfId="15911" xr:uid="{A8E3EBC9-6411-4A79-9947-718DCE04B581}"/>
    <cellStyle name="40% - Accent1 4 5 2 3 2" xfId="15907" xr:uid="{8AFD4FAE-E81C-4862-967B-ED5DD794AE36}"/>
    <cellStyle name="40% - Accent1 4 5 2 4" xfId="17584" xr:uid="{B1A23A9C-2EFC-4277-8992-5D2943C26954}"/>
    <cellStyle name="40% - Accent1 4 5 3" xfId="15906" xr:uid="{8F9A3F3C-4786-47B4-BF3D-9ED8ECF085AD}"/>
    <cellStyle name="40% - Accent1 4 5 3 2" xfId="15905" xr:uid="{88ABCF32-C7F7-4138-A8C3-8F4E52768A37}"/>
    <cellStyle name="40% - Accent1 4 5 3 2 2" xfId="16784" xr:uid="{3C9F3589-8A8B-499F-9439-C4FDA41F16D5}"/>
    <cellStyle name="40% - Accent1 4 5 3 3" xfId="15901" xr:uid="{9EB51774-0CEC-4865-9A5A-1DD9F1872B58}"/>
    <cellStyle name="40% - Accent1 4 5 4" xfId="15897" xr:uid="{4E5E1DEF-7463-4779-BACB-CDD1A23EBB3D}"/>
    <cellStyle name="40% - Accent1 4 5 4 2" xfId="15896" xr:uid="{06389E88-D62D-4C25-933E-1E2CA2B0713F}"/>
    <cellStyle name="40% - Accent1 4 5 5" xfId="15894" xr:uid="{5C8B47A7-7283-4518-B54C-7CC0315F770E}"/>
    <cellStyle name="40% - Accent1 4 5 6" xfId="35184" xr:uid="{608ACAC8-5A06-4CD6-8469-A45BD96D256F}"/>
    <cellStyle name="40% - Accent1 4 6" xfId="15892" xr:uid="{DB5E3DE2-0D8E-4FD0-9822-20EC5B9BCAC3}"/>
    <cellStyle name="40% - Accent1 4 6 2" xfId="10919" xr:uid="{51ACE1A3-49A5-4217-874B-396E5F7B2AF8}"/>
    <cellStyle name="40% - Accent1 4 6 2 2" xfId="15891" xr:uid="{B9A42F50-5469-4950-A8CB-F644C5BF813D}"/>
    <cellStyle name="40% - Accent1 4 6 2 2 2" xfId="8947" xr:uid="{0D4DB729-E283-4D47-BD96-34FF90782CC0}"/>
    <cellStyle name="40% - Accent1 4 6 2 3" xfId="17455" xr:uid="{DCFF4892-B5A7-4DBA-A7E7-CC741513959A}"/>
    <cellStyle name="40% - Accent1 4 6 3" xfId="33018" xr:uid="{47D1331E-365A-429B-BEFD-30F9D7886FA0}"/>
    <cellStyle name="40% - Accent1 4 6 3 2" xfId="15888" xr:uid="{CD4079D1-619F-4021-9C3E-107DAD84FF88}"/>
    <cellStyle name="40% - Accent1 4 6 4" xfId="15886" xr:uid="{81119767-6B8A-4DD3-B8C8-45484E0C9B0C}"/>
    <cellStyle name="40% - Accent1 4 6 5" xfId="35413" xr:uid="{ACC3B91D-F664-413D-BCD3-609667991C8C}"/>
    <cellStyle name="40% - Accent1 4 7" xfId="15884" xr:uid="{F404EB1B-F53F-472C-A6DD-3A3A89029E28}"/>
    <cellStyle name="40% - Accent1 4 7 2" xfId="32693" xr:uid="{93F70FD1-6687-4D07-88EB-B399B150DCEE}"/>
    <cellStyle name="40% - Accent1 4 7 2 2" xfId="33314" xr:uid="{7E094260-6ED0-4944-8AFE-A0418EE87590}"/>
    <cellStyle name="40% - Accent1 4 7 3" xfId="29288" xr:uid="{D2EFAD51-132F-494D-9828-1F3F5F4FD815}"/>
    <cellStyle name="40% - Accent1 4 7 4" xfId="36285" xr:uid="{B93E7054-F22E-4486-A6FF-25B401C4B408}"/>
    <cellStyle name="40% - Accent1 4 8" xfId="32413" xr:uid="{32209B19-422F-4014-BAC5-81F3859B060F}"/>
    <cellStyle name="40% - Accent1 4 8 2" xfId="32100" xr:uid="{F02EA486-4593-4D6D-8DF3-87EF2AA5EB39}"/>
    <cellStyle name="40% - Accent1 4 8 3" xfId="36571" xr:uid="{8E2BD32B-6801-4A8C-890A-D1D973C6FE4A}"/>
    <cellStyle name="40% - Accent1 4 9" xfId="32090" xr:uid="{B9B4A8F0-3615-4A07-A5AE-AEBAE1F9160F}"/>
    <cellStyle name="40% - Accent1 4 9 2" xfId="37456" xr:uid="{C1A37718-A95B-4A6A-A87A-A9F498B09B22}"/>
    <cellStyle name="40% - Accent1 40" xfId="36091" xr:uid="{80D91A19-3ED5-464C-86AD-1575DDC94920}"/>
    <cellStyle name="40% - Accent1 40 2" xfId="37260" xr:uid="{D3829888-9022-4CCA-9DEE-DE8335C1AE85}"/>
    <cellStyle name="40% - Accent1 40 3" xfId="38158" xr:uid="{7335ED87-89B8-4481-9485-A97C281EE32F}"/>
    <cellStyle name="40% - Accent1 41" xfId="36111" xr:uid="{63CF4E57-42C3-4DF0-8C95-691C790589C9}"/>
    <cellStyle name="40% - Accent1 41 2" xfId="37280" xr:uid="{8A1564E1-5585-40B9-B0A8-4BB86F4DA2A5}"/>
    <cellStyle name="40% - Accent1 41 3" xfId="38178" xr:uid="{4779F50B-C8C8-4C22-B2D4-5A4BBFE55740}"/>
    <cellStyle name="40% - Accent1 42" xfId="36131" xr:uid="{C9724C10-5DA1-4DCE-A65F-76BB9FE728CB}"/>
    <cellStyle name="40% - Accent1 42 2" xfId="37300" xr:uid="{93C43403-A307-4EE9-B810-A5CBA1E7F8F8}"/>
    <cellStyle name="40% - Accent1 42 3" xfId="38198" xr:uid="{95D1E5E2-BDA3-465D-B1E1-806698A1B0C4}"/>
    <cellStyle name="40% - Accent1 43" xfId="36151" xr:uid="{D8C5662A-8699-47D5-ACC6-162E59E4575A}"/>
    <cellStyle name="40% - Accent1 43 2" xfId="37320" xr:uid="{85654136-182C-41C9-80B5-547620851BF1}"/>
    <cellStyle name="40% - Accent1 43 3" xfId="38218" xr:uid="{9165689E-AE8D-43F9-BA18-3B3696A71708}"/>
    <cellStyle name="40% - Accent1 44" xfId="36171" xr:uid="{D7CEEE25-2E40-48E2-A215-67E62ED3EE14}"/>
    <cellStyle name="40% - Accent1 44 2" xfId="37340" xr:uid="{87416FB6-4549-4AE0-B228-0485D72EBD0D}"/>
    <cellStyle name="40% - Accent1 44 3" xfId="38238" xr:uid="{4BF5F1A0-8C0A-4AFF-B069-7E3AAD97CD09}"/>
    <cellStyle name="40% - Accent1 45" xfId="36191" xr:uid="{78AE253A-5030-451A-9139-DD058A6C74CB}"/>
    <cellStyle name="40% - Accent1 45 2" xfId="37360" xr:uid="{2CC40D9E-7ED7-4592-A90D-A8CB5AB32474}"/>
    <cellStyle name="40% - Accent1 45 3" xfId="38258" xr:uid="{980EF48F-F905-4E7A-93A7-3193065CB3BC}"/>
    <cellStyle name="40% - Accent1 46" xfId="36211" xr:uid="{28DF3C84-7BA3-4558-995B-64611197EB3B}"/>
    <cellStyle name="40% - Accent1 46 2" xfId="37378" xr:uid="{0804AA96-CBA5-4D14-86AB-07EEE8F78235}"/>
    <cellStyle name="40% - Accent1 46 3" xfId="38278" xr:uid="{EABE8AED-0810-4966-B061-39DEB963C2E9}"/>
    <cellStyle name="40% - Accent1 47" xfId="36512" xr:uid="{BA3CBF60-47A3-44BA-901A-931A52014F47}"/>
    <cellStyle name="40% - Accent1 48" xfId="37397" xr:uid="{AE315A7F-51C8-4803-9547-6B1AD40A351F}"/>
    <cellStyle name="40% - Accent1 5" xfId="260" xr:uid="{C55F427F-2D93-40AC-8D6F-8677AEBDE7A6}"/>
    <cellStyle name="40% - Accent1 5 10" xfId="28906" xr:uid="{0E77DE90-BA93-48A5-A7CC-CEAB414316C5}"/>
    <cellStyle name="40% - Accent1 5 2" xfId="15883" xr:uid="{17EEF24E-12A8-45C2-A42A-97CA6D17A13F}"/>
    <cellStyle name="40% - Accent1 5 2 2" xfId="15881" xr:uid="{9EF84B03-BD8F-45DC-8145-7C59FE571B2F}"/>
    <cellStyle name="40% - Accent1 5 2 2 2" xfId="29573" xr:uid="{3447129A-D5A1-424D-9774-33D765A8A6E5}"/>
    <cellStyle name="40% - Accent1 5 2 2 2 2" xfId="29571" xr:uid="{3BA6FCAC-C240-4E7E-A32E-0C17361D4F8C}"/>
    <cellStyle name="40% - Accent1 5 2 2 2 2 2" xfId="15879" xr:uid="{E0E21DA0-83B7-44CD-BC3E-6D5CD244EE25}"/>
    <cellStyle name="40% - Accent1 5 2 2 2 2 2 2" xfId="14826" xr:uid="{07EA8583-A72D-4FF1-83E9-C2EAB74B5436}"/>
    <cellStyle name="40% - Accent1 5 2 2 2 2 2 2 2" xfId="30236" xr:uid="{BD36656D-B5D9-4143-8ECF-8C507AAFD0D3}"/>
    <cellStyle name="40% - Accent1 5 2 2 2 2 2 3" xfId="15877" xr:uid="{A065D87C-EE5A-4660-A50C-F228B468E9F4}"/>
    <cellStyle name="40% - Accent1 5 2 2 2 2 3" xfId="18765" xr:uid="{C74EF321-3384-4971-827A-9585C2D9A4BE}"/>
    <cellStyle name="40% - Accent1 5 2 2 2 2 3 2" xfId="15874" xr:uid="{4580462A-C788-40A1-ACE1-6EEE2EA08A4B}"/>
    <cellStyle name="40% - Accent1 5 2 2 2 2 4" xfId="15873" xr:uid="{149EC07D-2F31-4011-92E3-A4B64DDD2D44}"/>
    <cellStyle name="40% - Accent1 5 2 2 2 3" xfId="32268" xr:uid="{7FF84C95-6624-4E10-B1A8-2FC413F1EB59}"/>
    <cellStyle name="40% - Accent1 5 2 2 2 3 2" xfId="32261" xr:uid="{E1A152AF-8C4E-4E5C-8F82-5B2E5072652A}"/>
    <cellStyle name="40% - Accent1 5 2 2 2 3 2 2" xfId="15870" xr:uid="{82950636-AD51-48CB-95B4-857538C3096E}"/>
    <cellStyle name="40% - Accent1 5 2 2 2 3 3" xfId="28170" xr:uid="{E6C4AF0F-EEC8-48AD-B852-E350B28671E6}"/>
    <cellStyle name="40% - Accent1 5 2 2 2 4" xfId="33699" xr:uid="{1F210D1F-0DB1-4994-941E-23103CD15D77}"/>
    <cellStyle name="40% - Accent1 5 2 2 2 4 2" xfId="28149" xr:uid="{DC5300C9-EFC6-49D4-8665-881B34EC222C}"/>
    <cellStyle name="40% - Accent1 5 2 2 2 5" xfId="28128" xr:uid="{E460595F-9A26-499C-9975-BEDC7331EF73}"/>
    <cellStyle name="40% - Accent1 5 2 2 3" xfId="31111" xr:uid="{3A87914F-1078-44D0-BC20-C65CFB2498D8}"/>
    <cellStyle name="40% - Accent1 5 2 2 3 2" xfId="10326" xr:uid="{2F804F46-163B-4C3A-9964-6CF2EDE100E5}"/>
    <cellStyle name="40% - Accent1 5 2 2 3 2 2" xfId="10324" xr:uid="{2D489B0F-AE6D-49E1-A80D-4F9BDE6F6FE4}"/>
    <cellStyle name="40% - Accent1 5 2 2 3 2 2 2" xfId="33937" xr:uid="{37670FEF-C06C-45B1-8451-24D70405C163}"/>
    <cellStyle name="40% - Accent1 5 2 2 3 2 3" xfId="15869" xr:uid="{1D2AD777-6C54-498E-8AA5-7D2652E30B79}"/>
    <cellStyle name="40% - Accent1 5 2 2 3 3" xfId="10322" xr:uid="{1ECD3959-F588-4D16-81B0-7D4147AE48C5}"/>
    <cellStyle name="40% - Accent1 5 2 2 3 3 2" xfId="31276" xr:uid="{E8B0F919-B8EC-4775-9966-E7CC4D60A1E9}"/>
    <cellStyle name="40% - Accent1 5 2 2 3 4" xfId="28114" xr:uid="{F3B6B376-B9E3-438A-84EB-72BAF3771753}"/>
    <cellStyle name="40% - Accent1 5 2 2 4" xfId="15868" xr:uid="{F163E0AF-6883-4C0F-AE1F-C15DD2385C17}"/>
    <cellStyle name="40% - Accent1 5 2 2 4 2" xfId="10311" xr:uid="{6941886A-8769-4853-8F69-BE70F1CF9C0E}"/>
    <cellStyle name="40% - Accent1 5 2 2 4 2 2" xfId="24828" xr:uid="{DE0C152F-1720-4ABC-ABE5-5E440A57D08B}"/>
    <cellStyle name="40% - Accent1 5 2 2 4 3" xfId="17950" xr:uid="{6AE48F30-FDC2-475C-AF64-C2A774425B4A}"/>
    <cellStyle name="40% - Accent1 5 2 2 5" xfId="15867" xr:uid="{DEBAD0C0-D25D-40B9-8044-F7EC3A68F940}"/>
    <cellStyle name="40% - Accent1 5 2 2 5 2" xfId="15866" xr:uid="{CDB9976F-DED6-4BF6-90B1-C2CE1B54CFF1}"/>
    <cellStyle name="40% - Accent1 5 2 2 6" xfId="22425" xr:uid="{C49EAF98-17A6-423B-A303-E14A3D7971F7}"/>
    <cellStyle name="40% - Accent1 5 2 3" xfId="15865" xr:uid="{C537E932-C1FA-4588-B055-7D4C3B3DC6EE}"/>
    <cellStyle name="40% - Accent1 5 2 3 2" xfId="31101" xr:uid="{2124365C-8430-4120-B87D-40D80CE569A8}"/>
    <cellStyle name="40% - Accent1 5 2 3 2 2" xfId="15863" xr:uid="{CB707335-76EC-4A64-B1A4-5132317C1847}"/>
    <cellStyle name="40% - Accent1 5 2 3 2 2 2" xfId="28255" xr:uid="{6845E6CF-AA0A-4CC7-93D4-55B30AA9BCC2}"/>
    <cellStyle name="40% - Accent1 5 2 3 2 2 2 2" xfId="30352" xr:uid="{81E7E128-9B84-49E4-9788-9F60A5835C84}"/>
    <cellStyle name="40% - Accent1 5 2 3 2 2 3" xfId="20447" xr:uid="{1EEED4E8-A101-48A2-AD2F-90CC777424D3}"/>
    <cellStyle name="40% - Accent1 5 2 3 2 3" xfId="32128" xr:uid="{32FB5617-C652-4CE3-B484-6B72A35A5C23}"/>
    <cellStyle name="40% - Accent1 5 2 3 2 3 2" xfId="20439" xr:uid="{88E4E353-4516-4475-B734-D9DC1D97711F}"/>
    <cellStyle name="40% - Accent1 5 2 3 2 4" xfId="20431" xr:uid="{817B870D-0F03-444D-870C-78A60178F633}"/>
    <cellStyle name="40% - Accent1 5 2 3 3" xfId="15860" xr:uid="{EC62E6CA-9D4B-4768-9BAD-07D926B8C619}"/>
    <cellStyle name="40% - Accent1 5 2 3 3 2" xfId="10302" xr:uid="{E68F96B2-7424-4FDE-9FA0-01F43D74DCA9}"/>
    <cellStyle name="40% - Accent1 5 2 3 3 2 2" xfId="20748" xr:uid="{A49D9B26-D959-4E76-86C3-312AE7D8847F}"/>
    <cellStyle name="40% - Accent1 5 2 3 3 3" xfId="20429" xr:uid="{5CFE2B07-E5C8-47D7-99ED-1CB01B8D8D98}"/>
    <cellStyle name="40% - Accent1 5 2 3 4" xfId="20427" xr:uid="{E581C216-A33D-4829-BF02-C5161B0C37E9}"/>
    <cellStyle name="40% - Accent1 5 2 3 4 2" xfId="15858" xr:uid="{EACF2AA3-311B-4298-9384-CCFD411BF711}"/>
    <cellStyle name="40% - Accent1 5 2 3 5" xfId="20422" xr:uid="{029868D8-2530-4A34-9149-0E17FAA2D606}"/>
    <cellStyle name="40% - Accent1 5 2 4" xfId="15856" xr:uid="{BFB5CA31-EC6F-42F8-9629-FE73160EBF92}"/>
    <cellStyle name="40% - Accent1 5 2 4 2" xfId="24795" xr:uid="{8C85C1DE-B27E-4FD9-BC17-7BC3FF42600B}"/>
    <cellStyle name="40% - Accent1 5 2 4 2 2" xfId="15854" xr:uid="{E42E9756-97A7-45F3-B2E9-DF153F51058F}"/>
    <cellStyle name="40% - Accent1 5 2 4 2 2 2" xfId="23738" xr:uid="{B3D884AC-89CB-4253-80AB-B0F087D94F9B}"/>
    <cellStyle name="40% - Accent1 5 2 4 2 3" xfId="33346" xr:uid="{4A01BC95-5B8E-47B8-B1EB-1B34844F4FD7}"/>
    <cellStyle name="40% - Accent1 5 2 4 3" xfId="15850" xr:uid="{4F1661FE-C2C3-4F10-97E2-46A959D58301}"/>
    <cellStyle name="40% - Accent1 5 2 4 3 2" xfId="15847" xr:uid="{12BF50C3-C18B-433F-8984-79C4E74C8C5C}"/>
    <cellStyle name="40% - Accent1 5 2 4 4" xfId="25913" xr:uid="{3A3805F5-F443-4460-9209-B767FFBB3DF4}"/>
    <cellStyle name="40% - Accent1 5 2 5" xfId="15845" xr:uid="{0CD63A83-C0AD-45E4-A2F2-CDDF57C3FA0A}"/>
    <cellStyle name="40% - Accent1 5 2 5 2" xfId="15844" xr:uid="{A7DECE54-4110-42AD-92A1-FC607991899B}"/>
    <cellStyle name="40% - Accent1 5 2 5 2 2" xfId="15841" xr:uid="{A34AE358-9862-42FD-A4EC-6E33D41D7E6F}"/>
    <cellStyle name="40% - Accent1 5 2 5 3" xfId="15839" xr:uid="{F0267AEA-22CA-4B77-96EB-4A2673FCAF6F}"/>
    <cellStyle name="40% - Accent1 5 2 6" xfId="15837" xr:uid="{C29A8EB3-D800-4810-AD94-7199335F9517}"/>
    <cellStyle name="40% - Accent1 5 2 6 2" xfId="26725" xr:uid="{4E4F5919-37BD-4313-A496-9A7D9F40314B}"/>
    <cellStyle name="40% - Accent1 5 2 7" xfId="19028" xr:uid="{17B8649D-9E16-402E-98F4-B1ADB2DF6FE3}"/>
    <cellStyle name="40% - Accent1 5 2 8" xfId="34796" xr:uid="{4BE6A7C8-E695-4458-B269-BED2931D380E}"/>
    <cellStyle name="40% - Accent1 5 3" xfId="26271" xr:uid="{C143CCAF-8DE3-463E-B981-1A1C5E4741CB}"/>
    <cellStyle name="40% - Accent1 5 3 2" xfId="24488" xr:uid="{2A219CF8-4925-44BE-9956-B1BD7B8D27CA}"/>
    <cellStyle name="40% - Accent1 5 3 2 2" xfId="31082" xr:uid="{7840096E-7DBE-4479-A0D2-12318B76CE7A}"/>
    <cellStyle name="40% - Accent1 5 3 2 2 2" xfId="15836" xr:uid="{35271B35-1B1D-4124-918D-62EADF22BB2B}"/>
    <cellStyle name="40% - Accent1 5 3 2 2 2 2" xfId="15833" xr:uid="{BE0BF984-859C-47B1-8F48-C37B840958CD}"/>
    <cellStyle name="40% - Accent1 5 3 2 2 2 2 2" xfId="15832" xr:uid="{47DB7C07-6D1B-43C2-AFAF-46788992A688}"/>
    <cellStyle name="40% - Accent1 5 3 2 2 2 3" xfId="15829" xr:uid="{9F8619C3-CCB0-4919-B614-BDFEE2B423DB}"/>
    <cellStyle name="40% - Accent1 5 3 2 2 3" xfId="33584" xr:uid="{0B60AD03-8E87-4FB2-9ED3-C89EF415279A}"/>
    <cellStyle name="40% - Accent1 5 3 2 2 3 2" xfId="25496" xr:uid="{8F153777-2846-430B-AFDC-D01BA0E69979}"/>
    <cellStyle name="40% - Accent1 5 3 2 2 4" xfId="32817" xr:uid="{79DAC6DC-3A81-4923-8E47-77043210C8F2}"/>
    <cellStyle name="40% - Accent1 5 3 2 3" xfId="15828" xr:uid="{452BC5D6-6756-497D-93FA-089EAAE8EE5C}"/>
    <cellStyle name="40% - Accent1 5 3 2 3 2" xfId="10284" xr:uid="{E70A9945-7F42-44C4-9199-1EACBC1246B7}"/>
    <cellStyle name="40% - Accent1 5 3 2 3 2 2" xfId="15826" xr:uid="{0F7E3F28-6119-405B-B9C0-CE5F76B4E052}"/>
    <cellStyle name="40% - Accent1 5 3 2 3 3" xfId="33356" xr:uid="{377926DA-E327-466B-B2F3-BA56AA9CB3A2}"/>
    <cellStyle name="40% - Accent1 5 3 2 4" xfId="15825" xr:uid="{368B5705-F8F5-4191-8E41-FCEAD88725A4}"/>
    <cellStyle name="40% - Accent1 5 3 2 4 2" xfId="15824" xr:uid="{688D9AF9-78B0-4DF8-B80E-6AFD373F3709}"/>
    <cellStyle name="40% - Accent1 5 3 2 5" xfId="27799" xr:uid="{C9391C61-DD70-42D9-BA31-6CA440BAAEB3}"/>
    <cellStyle name="40% - Accent1 5 3 3" xfId="32617" xr:uid="{EFA2F41C-165B-4263-BD25-F48602C30CC3}"/>
    <cellStyle name="40% - Accent1 5 3 3 2" xfId="15823" xr:uid="{3FD2A714-B858-4713-96A7-5E512799FC7E}"/>
    <cellStyle name="40% - Accent1 5 3 3 2 2" xfId="15819" xr:uid="{A3E42914-6D3E-4471-915B-85A6E4F78C29}"/>
    <cellStyle name="40% - Accent1 5 3 3 2 2 2" xfId="19532" xr:uid="{A2E62DB9-3E75-4B74-B2F7-89155C0C612A}"/>
    <cellStyle name="40% - Accent1 5 3 3 2 3" xfId="28504" xr:uid="{5DF5DE46-B27A-4EA2-B57A-83E02C075DE6}"/>
    <cellStyle name="40% - Accent1 5 3 3 3" xfId="9914" xr:uid="{70AB3383-BDCE-4D50-B37E-E655F5241DAE}"/>
    <cellStyle name="40% - Accent1 5 3 3 3 2" xfId="15816" xr:uid="{25A57CAC-0F1C-46A2-AFE2-3789560B416E}"/>
    <cellStyle name="40% - Accent1 5 3 3 4" xfId="20407" xr:uid="{BB45630D-920B-4FA3-B43E-AC0390F40E3A}"/>
    <cellStyle name="40% - Accent1 5 3 4" xfId="15814" xr:uid="{020F0E74-8D08-4356-A2C3-55045A4C4DC3}"/>
    <cellStyle name="40% - Accent1 5 3 4 2" xfId="15811" xr:uid="{B08D003C-2E5F-425E-B222-E457ED4A924A}"/>
    <cellStyle name="40% - Accent1 5 3 4 2 2" xfId="15807" xr:uid="{0C2E1CB8-9693-4DC0-BD5F-33961A60D825}"/>
    <cellStyle name="40% - Accent1 5 3 4 3" xfId="15805" xr:uid="{3FE35315-F438-4A48-AE3F-35B5C18F2FE2}"/>
    <cellStyle name="40% - Accent1 5 3 5" xfId="15802" xr:uid="{A617AC0D-9973-487B-B8A6-0A2FBE0A856F}"/>
    <cellStyle name="40% - Accent1 5 3 5 2" xfId="15801" xr:uid="{2F8E8E5A-3DA4-42D1-8816-C87E5C1509CA}"/>
    <cellStyle name="40% - Accent1 5 3 6" xfId="30533" xr:uid="{A3412460-CFAA-4B12-A3AF-9632B433CBBF}"/>
    <cellStyle name="40% - Accent1 5 3 7" xfId="34998" xr:uid="{D445EEE6-4C86-43BC-BE5A-B3D8B9E61C76}"/>
    <cellStyle name="40% - Accent1 5 4" xfId="32639" xr:uid="{990032C4-F4FF-4526-B5CA-FD8A7E502EBB}"/>
    <cellStyle name="40% - Accent1 5 4 2" xfId="24844" xr:uid="{99C802C9-D191-4C89-B958-D14310A861A4}"/>
    <cellStyle name="40% - Accent1 5 4 2 2" xfId="15797" xr:uid="{6AFD56BE-1BF8-43E7-B40A-9DA9D045460A}"/>
    <cellStyle name="40% - Accent1 5 4 2 2 2" xfId="15794" xr:uid="{356D8640-0087-4253-A2C2-1D775D57CC13}"/>
    <cellStyle name="40% - Accent1 5 4 2 2 2 2" xfId="8894" xr:uid="{38BF6C00-1B85-461D-929D-A4417C811937}"/>
    <cellStyle name="40% - Accent1 5 4 2 2 3" xfId="22693" xr:uid="{FD507A2A-570E-402C-86AE-3537A73AF5C1}"/>
    <cellStyle name="40% - Accent1 5 4 2 3" xfId="15792" xr:uid="{C4ADEDA2-EF8C-4EA6-A247-6873133A3D82}"/>
    <cellStyle name="40% - Accent1 5 4 2 3 2" xfId="15791" xr:uid="{6472109C-97BB-4DF6-B295-A2DAAF68E934}"/>
    <cellStyle name="40% - Accent1 5 4 2 4" xfId="15789" xr:uid="{ED0C37DF-2128-455F-A977-7BD6E7E2ABFD}"/>
    <cellStyle name="40% - Accent1 5 4 3" xfId="32688" xr:uid="{64CA84D8-9417-44F4-B64B-5AA36A972FC3}"/>
    <cellStyle name="40% - Accent1 5 4 3 2" xfId="15784" xr:uid="{0EAA8F75-801E-4B61-842E-1476E47477D6}"/>
    <cellStyle name="40% - Accent1 5 4 3 2 2" xfId="15782" xr:uid="{AD6045BA-51F2-425B-B272-1B8267B7518A}"/>
    <cellStyle name="40% - Accent1 5 4 3 3" xfId="15779" xr:uid="{2056AB3B-B233-4193-A16E-EED022288E9B}"/>
    <cellStyle name="40% - Accent1 5 4 4" xfId="15777" xr:uid="{38D932F1-6799-46DC-87C9-1A7C61FDB751}"/>
    <cellStyle name="40% - Accent1 5 4 4 2" xfId="31014" xr:uid="{CF16AF17-60F8-4B7B-ADEC-4F42A3F12DBF}"/>
    <cellStyle name="40% - Accent1 5 4 5" xfId="15776" xr:uid="{61815C37-512E-44FA-8FDA-CB0B1660B558}"/>
    <cellStyle name="40% - Accent1 5 4 6" xfId="35204" xr:uid="{102BFA45-694C-4F71-B606-094CEABC0F8F}"/>
    <cellStyle name="40% - Accent1 5 5" xfId="32154" xr:uid="{478146A1-E59C-40F5-BCC5-9F587C7AD691}"/>
    <cellStyle name="40% - Accent1 5 5 2" xfId="27632" xr:uid="{4742C05E-F7E3-4F53-9BD0-27518B562E64}"/>
    <cellStyle name="40% - Accent1 5 5 2 2" xfId="15773" xr:uid="{8337BFBE-B3E8-4702-90C2-7C510910A092}"/>
    <cellStyle name="40% - Accent1 5 5 2 2 2" xfId="15769" xr:uid="{F26CBB23-0272-4DD7-A8B6-AC547639545D}"/>
    <cellStyle name="40% - Accent1 5 5 2 3" xfId="15768" xr:uid="{D157201F-F17A-45FC-BF36-27AA9E3748AB}"/>
    <cellStyle name="40% - Accent1 5 5 3" xfId="15766" xr:uid="{CD868FBE-4DB6-4A65-8AF5-F64D7BAE3A2C}"/>
    <cellStyle name="40% - Accent1 5 5 3 2" xfId="15761" xr:uid="{34694BE8-D6A4-439E-B770-5176DC3A33BA}"/>
    <cellStyle name="40% - Accent1 5 5 4" xfId="15759" xr:uid="{2394E79A-19B7-4947-A1CA-F6E27F846C2D}"/>
    <cellStyle name="40% - Accent1 5 5 5" xfId="35433" xr:uid="{A8FD73D3-5BA8-4692-9D10-4570B1AB4150}"/>
    <cellStyle name="40% - Accent1 5 6" xfId="15757" xr:uid="{E59B418F-A096-4551-A314-70A2970D576C}"/>
    <cellStyle name="40% - Accent1 5 6 2" xfId="18408" xr:uid="{273C88B9-BAF1-4671-9DD1-610119BF67FE}"/>
    <cellStyle name="40% - Accent1 5 6 2 2" xfId="15755" xr:uid="{226D902B-FC17-4047-965D-31A2B135E72A}"/>
    <cellStyle name="40% - Accent1 5 6 3" xfId="15754" xr:uid="{C0361CE0-A5D7-461C-8698-1539FC1D48F6}"/>
    <cellStyle name="40% - Accent1 5 6 4" xfId="36305" xr:uid="{1D880821-A751-4F8B-875C-04714387FD35}"/>
    <cellStyle name="40% - Accent1 5 7" xfId="15751" xr:uid="{98029AED-75B5-41B1-AB70-9925C90608B9}"/>
    <cellStyle name="40% - Accent1 5 7 2" xfId="18401" xr:uid="{F2A7538E-825D-46CA-A2E0-2890AFEE8D81}"/>
    <cellStyle name="40% - Accent1 5 7 3" xfId="36591" xr:uid="{19E6B7B7-8DA6-452D-A92B-172149A5C60F}"/>
    <cellStyle name="40% - Accent1 5 8" xfId="26531" xr:uid="{3F8937E1-E151-4DD6-8CA4-A41A2AC8BB2B}"/>
    <cellStyle name="40% - Accent1 5 8 2" xfId="37476" xr:uid="{AAF612D8-AECE-44F3-B229-F7DE647A1640}"/>
    <cellStyle name="40% - Accent1 5 9" xfId="34577" xr:uid="{34502433-2B08-40C5-9CA0-D8C592B4F74B}"/>
    <cellStyle name="40% - Accent1 6" xfId="280" xr:uid="{A7B5DE66-914F-47BD-B2D4-68A6C1F84EAB}"/>
    <cellStyle name="40% - Accent1 6 2" xfId="33799" xr:uid="{97D32296-3B5F-468C-A868-5CD4CE8F3890}"/>
    <cellStyle name="40% - Accent1 6 2 2" xfId="15749" xr:uid="{1244B0EF-390B-4BA4-9D75-B8B3A9A2EC60}"/>
    <cellStyle name="40% - Accent1 6 2 2 2" xfId="31055" xr:uid="{84E29D4F-2450-4181-A56B-72753E22470C}"/>
    <cellStyle name="40% - Accent1 6 2 2 2 2" xfId="16173" xr:uid="{6480BC3A-A485-43C1-85AE-8A4DEE46EFD2}"/>
    <cellStyle name="40% - Accent1 6 2 2 2 2 2" xfId="16228" xr:uid="{E46B83CF-0877-44A6-9FAC-395718074845}"/>
    <cellStyle name="40% - Accent1 6 2 2 2 2 2 2" xfId="15747" xr:uid="{7A936A76-3DA3-49DE-B5B9-9AAACBE993EC}"/>
    <cellStyle name="40% - Accent1 6 2 2 2 2 3" xfId="18359" xr:uid="{C868A94E-492D-48D8-B7CB-7F7830248894}"/>
    <cellStyle name="40% - Accent1 6 2 2 2 3" xfId="15746" xr:uid="{1852732A-54D1-4A46-A9A5-9D341877127C}"/>
    <cellStyle name="40% - Accent1 6 2 2 2 3 2" xfId="30228" xr:uid="{6488B997-D86E-495C-8F30-896006C1A82C}"/>
    <cellStyle name="40% - Accent1 6 2 2 2 4" xfId="15745" xr:uid="{2614DC88-CEC5-4E93-8F84-D6CA738E5BFF}"/>
    <cellStyle name="40% - Accent1 6 2 2 3" xfId="15744" xr:uid="{2E488DA9-5F50-4CA0-8B7B-ED05E8614027}"/>
    <cellStyle name="40% - Accent1 6 2 2 3 2" xfId="9542" xr:uid="{A6466D06-6055-46F9-99FB-4718B2CE3DF4}"/>
    <cellStyle name="40% - Accent1 6 2 2 3 2 2" xfId="18314" xr:uid="{E6C0218E-B0C3-4CBF-A44E-8B922A5D0C1F}"/>
    <cellStyle name="40% - Accent1 6 2 2 3 3" xfId="15742" xr:uid="{5848CDD5-3B37-49F3-9D7E-51E5C750550C}"/>
    <cellStyle name="40% - Accent1 6 2 2 4" xfId="15741" xr:uid="{42CA9BDF-3ED5-46C6-BF98-EFD90D6C12C4}"/>
    <cellStyle name="40% - Accent1 6 2 2 4 2" xfId="15740" xr:uid="{0F63E4AE-5B93-4035-B3E9-48E77CC07D35}"/>
    <cellStyle name="40% - Accent1 6 2 2 5" xfId="15739" xr:uid="{CA034DDB-75D0-410D-8C72-4D3B146CDC60}"/>
    <cellStyle name="40% - Accent1 6 2 3" xfId="15738" xr:uid="{4B58474B-14D8-413E-A9C5-7CEB3B85428B}"/>
    <cellStyle name="40% - Accent1 6 2 3 2" xfId="15736" xr:uid="{1A193AF6-658E-4D41-ADB9-38D2C4CC2736}"/>
    <cellStyle name="40% - Accent1 6 2 3 2 2" xfId="15731" xr:uid="{173ECFC5-BF51-47C2-B69A-13D78FF80963}"/>
    <cellStyle name="40% - Accent1 6 2 3 2 2 2" xfId="18195" xr:uid="{8C5F58F0-30D3-4A61-9956-C51F01DA22FE}"/>
    <cellStyle name="40% - Accent1 6 2 3 2 3" xfId="15729" xr:uid="{AABC2718-A376-455E-B95E-A06CCEA2B7BF}"/>
    <cellStyle name="40% - Accent1 6 2 3 3" xfId="15727" xr:uid="{623DD5F2-97D4-4C4D-9FE5-D37C29C1500F}"/>
    <cellStyle name="40% - Accent1 6 2 3 3 2" xfId="15725" xr:uid="{769F469B-D854-46FD-A717-632CE9EB4972}"/>
    <cellStyle name="40% - Accent1 6 2 3 4" xfId="20287" xr:uid="{F0807961-5BDF-42C4-A856-84446E577C65}"/>
    <cellStyle name="40% - Accent1 6 2 4" xfId="15723" xr:uid="{CB010F11-509C-4822-93C0-FFCEDE410A01}"/>
    <cellStyle name="40% - Accent1 6 2 4 2" xfId="15721" xr:uid="{DCF31BCC-4AE4-42B0-BD4D-9A3270AAFBC9}"/>
    <cellStyle name="40% - Accent1 6 2 4 2 2" xfId="15718" xr:uid="{D208F9ED-16B3-44EA-9AE7-A307E76553B9}"/>
    <cellStyle name="40% - Accent1 6 2 4 3" xfId="15716" xr:uid="{CAF71EC9-37CE-4E32-A2CB-F5C215324AE4}"/>
    <cellStyle name="40% - Accent1 6 2 5" xfId="32013" xr:uid="{482C5147-EE23-4E77-B2C7-4E26854B0E2B}"/>
    <cellStyle name="40% - Accent1 6 2 5 2" xfId="15714" xr:uid="{6D687B7A-9BA5-48D6-BE04-1CF53E993C23}"/>
    <cellStyle name="40% - Accent1 6 2 6" xfId="15711" xr:uid="{D2613736-ADBC-43C7-8452-A7C9191F72CE}"/>
    <cellStyle name="40% - Accent1 6 2 7" xfId="34815" xr:uid="{E975C501-09F8-4555-98D2-AF46714C6F55}"/>
    <cellStyle name="40% - Accent1 6 3" xfId="30744" xr:uid="{0F368F7E-1C25-453F-A21E-C7CC759AA741}"/>
    <cellStyle name="40% - Accent1 6 3 2" xfId="32225" xr:uid="{6EB87B15-8C14-47AF-9AA8-4D40CBBE62B2}"/>
    <cellStyle name="40% - Accent1 6 3 2 2" xfId="15710" xr:uid="{CFE7CDF4-F010-4434-ADEE-EB622EC71DC9}"/>
    <cellStyle name="40% - Accent1 6 3 2 2 2" xfId="24876" xr:uid="{CE9BF2DA-785C-4401-96A2-3D5B477261E5}"/>
    <cellStyle name="40% - Accent1 6 3 2 2 2 2" xfId="15707" xr:uid="{6FF200AC-12B9-46C7-AECF-D0D6A6FD98AB}"/>
    <cellStyle name="40% - Accent1 6 3 2 2 3" xfId="15706" xr:uid="{A12A9782-20FA-4470-A1F1-844D1A212C8F}"/>
    <cellStyle name="40% - Accent1 6 3 2 3" xfId="15705" xr:uid="{E6BAED03-4A72-4415-83B3-BE88BD62C67D}"/>
    <cellStyle name="40% - Accent1 6 3 2 3 2" xfId="15704" xr:uid="{3CDBA91A-E92F-41F2-8A32-A948739D4C46}"/>
    <cellStyle name="40% - Accent1 6 3 2 4" xfId="15703" xr:uid="{4218F09A-C594-4F22-A58A-50E188E83689}"/>
    <cellStyle name="40% - Accent1 6 3 3" xfId="15702" xr:uid="{5C80FB18-057C-4335-869D-EFBC3DBCF2C3}"/>
    <cellStyle name="40% - Accent1 6 3 3 2" xfId="15701" xr:uid="{203ADFFD-D927-44C7-8DB4-C2C11164AE9E}"/>
    <cellStyle name="40% - Accent1 6 3 3 2 2" xfId="15699" xr:uid="{7F7DDB11-DCAB-44CB-A4A3-F7D1E67D7F30}"/>
    <cellStyle name="40% - Accent1 6 3 3 3" xfId="15696" xr:uid="{0177AC16-D4D1-49C8-915C-3CB7D5390E13}"/>
    <cellStyle name="40% - Accent1 6 3 4" xfId="15694" xr:uid="{1788F3E4-4B43-4C55-B6E4-EBC063F8E656}"/>
    <cellStyle name="40% - Accent1 6 3 4 2" xfId="15693" xr:uid="{3E82CA3D-A87E-4750-A831-0BE2C2481547}"/>
    <cellStyle name="40% - Accent1 6 3 5" xfId="15689" xr:uid="{3127DFEC-C87F-4D63-AB12-4D6A9BEE5FD4}"/>
    <cellStyle name="40% - Accent1 6 3 6" xfId="35017" xr:uid="{C8C6E7BC-79C0-46C3-B0A9-30AD93D4880C}"/>
    <cellStyle name="40% - Accent1 6 4" xfId="32603" xr:uid="{76D409A1-1371-4FBE-BD68-EF6B94712AD4}"/>
    <cellStyle name="40% - Accent1 6 4 2" xfId="30888" xr:uid="{A29BE749-6058-46DC-8431-2F9A97655528}"/>
    <cellStyle name="40% - Accent1 6 4 2 2" xfId="15688" xr:uid="{ED3948B2-3026-4BAF-B8C7-58DA6E2912B5}"/>
    <cellStyle name="40% - Accent1 6 4 2 2 2" xfId="15686" xr:uid="{87A7F26A-26E1-4875-938F-264F5B0D79B9}"/>
    <cellStyle name="40% - Accent1 6 4 2 3" xfId="15685" xr:uid="{6C276950-1E36-4EC0-A8EF-82FC64496FF8}"/>
    <cellStyle name="40% - Accent1 6 4 3" xfId="15683" xr:uid="{F7E06DE5-16B6-4196-98F2-40CB490438D5}"/>
    <cellStyle name="40% - Accent1 6 4 3 2" xfId="17876" xr:uid="{357D99FE-60A6-44DC-A8DE-A47454E0ED3C}"/>
    <cellStyle name="40% - Accent1 6 4 4" xfId="15682" xr:uid="{F16343E8-AA6A-4E1E-8AB0-7DB8991FB039}"/>
    <cellStyle name="40% - Accent1 6 4 5" xfId="35223" xr:uid="{78670996-354B-4119-9083-C833F415C021}"/>
    <cellStyle name="40% - Accent1 6 5" xfId="15681" xr:uid="{82F89F14-8509-4B19-8E18-452D303DD586}"/>
    <cellStyle name="40% - Accent1 6 5 2" xfId="15680" xr:uid="{9F1DD7FD-A98D-4182-9934-FA5305D31C00}"/>
    <cellStyle name="40% - Accent1 6 5 2 2" xfId="27429" xr:uid="{F54CECDB-FE4B-40E4-B221-2C2FD04F4FCE}"/>
    <cellStyle name="40% - Accent1 6 5 3" xfId="15679" xr:uid="{838A40B5-E647-4A62-B2AB-881E86EEFD52}"/>
    <cellStyle name="40% - Accent1 6 5 4" xfId="35452" xr:uid="{E2836AF7-191D-4046-99F6-895B1CBF07C4}"/>
    <cellStyle name="40% - Accent1 6 6" xfId="15678" xr:uid="{93FDF598-B5EC-42BC-8EEE-5D8C60852B4B}"/>
    <cellStyle name="40% - Accent1 6 6 2" xfId="15676" xr:uid="{D0564D10-A322-4FBE-A67B-09B0239B1C83}"/>
    <cellStyle name="40% - Accent1 6 6 3" xfId="36324" xr:uid="{F6FC335E-4861-4736-8106-C2A6AEDF5275}"/>
    <cellStyle name="40% - Accent1 6 7" xfId="15673" xr:uid="{516D16BC-A5EA-4917-9D96-0F54D9F03758}"/>
    <cellStyle name="40% - Accent1 6 7 2" xfId="36610" xr:uid="{BFAE7EA3-58A8-411A-8410-6413A6B4F30C}"/>
    <cellStyle name="40% - Accent1 6 8" xfId="34591" xr:uid="{83BFADEC-D610-4C92-9A24-2EA70E0B8F32}"/>
    <cellStyle name="40% - Accent1 6 9" xfId="15930" xr:uid="{D9AF8795-36A7-4821-8875-BA5923934A08}"/>
    <cellStyle name="40% - Accent1 7" xfId="300" xr:uid="{0DE41528-71C5-4327-B3B8-8344D4AF7067}"/>
    <cellStyle name="40% - Accent1 7 2" xfId="30128" xr:uid="{A816741C-A7F0-4DC0-AA98-3230C3FD7134}"/>
    <cellStyle name="40% - Accent1 7 2 2" xfId="15670" xr:uid="{33795FFB-7E01-4873-9D63-88D3B8526D04}"/>
    <cellStyle name="40% - Accent1 7 2 2 2" xfId="15669" xr:uid="{0F9BA76D-77FB-4779-B6F8-7504EE43A9B2}"/>
    <cellStyle name="40% - Accent1 7 2 2 2 2" xfId="8061" xr:uid="{0A0EF151-C811-4233-A5F6-36F521042168}"/>
    <cellStyle name="40% - Accent1 7 2 2 2 2 2" xfId="15665" xr:uid="{7021C40B-F89A-4CDB-A3A2-70D3543D71CB}"/>
    <cellStyle name="40% - Accent1 7 2 2 2 3" xfId="15664" xr:uid="{563A7EAC-A8F8-4F9B-A63F-227BB22437BB}"/>
    <cellStyle name="40% - Accent1 7 2 2 3" xfId="15663" xr:uid="{1407331F-235D-4B42-9116-23B64D79BE78}"/>
    <cellStyle name="40% - Accent1 7 2 2 3 2" xfId="21057" xr:uid="{FD8E5957-1B6B-4251-B031-052AFF483379}"/>
    <cellStyle name="40% - Accent1 7 2 2 4" xfId="15662" xr:uid="{F6BEE061-34A1-4D29-8D09-34E2697D51E9}"/>
    <cellStyle name="40% - Accent1 7 2 3" xfId="15661" xr:uid="{DCC22F07-8FCB-4A53-9EE5-311B066200B3}"/>
    <cellStyle name="40% - Accent1 7 2 3 2" xfId="15660" xr:uid="{C1671475-ED98-4C2A-8104-5F2FBC94AAD2}"/>
    <cellStyle name="40% - Accent1 7 2 3 2 2" xfId="15658" xr:uid="{0BD74894-7677-41C9-AA75-F349B9C2E9E8}"/>
    <cellStyle name="40% - Accent1 7 2 3 3" xfId="15656" xr:uid="{50A9C55B-D8D6-47A2-9194-3D5A39C8FD3F}"/>
    <cellStyle name="40% - Accent1 7 2 4" xfId="15654" xr:uid="{09A73ADC-A4DD-4744-BDD2-701FDC8C2045}"/>
    <cellStyle name="40% - Accent1 7 2 4 2" xfId="30158" xr:uid="{A05C2968-EFA4-4676-B70C-A212AE7412CF}"/>
    <cellStyle name="40% - Accent1 7 2 5" xfId="15653" xr:uid="{363D190F-190D-4EEC-AC8C-9259BA21C1F3}"/>
    <cellStyle name="40% - Accent1 7 2 6" xfId="34834" xr:uid="{9F894470-B63D-4858-800C-2060251D01FA}"/>
    <cellStyle name="40% - Accent1 7 3" xfId="17838" xr:uid="{113FA795-E52C-4A79-96B0-A4DACFD297E1}"/>
    <cellStyle name="40% - Accent1 7 3 2" xfId="15652" xr:uid="{DA6A73B8-4FE4-4D4C-B5D2-F6E8C974D010}"/>
    <cellStyle name="40% - Accent1 7 3 2 2" xfId="10234" xr:uid="{338E6487-5A28-45C6-868B-6AF95EC0E628}"/>
    <cellStyle name="40% - Accent1 7 3 2 2 2" xfId="15651" xr:uid="{8A812A3A-D272-4310-87B9-47A41EAE0055}"/>
    <cellStyle name="40% - Accent1 7 3 2 3" xfId="15649" xr:uid="{5FA108AB-F6A3-495A-B78C-ECC227AEBE53}"/>
    <cellStyle name="40% - Accent1 7 3 3" xfId="25656" xr:uid="{0575F41B-CF00-43EE-AD7E-F603B5A26164}"/>
    <cellStyle name="40% - Accent1 7 3 3 2" xfId="15648" xr:uid="{7F3A3BFE-0A8E-4956-A8D7-6BDC62750CCB}"/>
    <cellStyle name="40% - Accent1 7 3 4" xfId="25027" xr:uid="{38AC30EE-B64F-40EC-B984-F9DF2B5CB8E1}"/>
    <cellStyle name="40% - Accent1 7 3 5" xfId="35036" xr:uid="{F6E2583F-FE16-4FC5-AAC5-CBC48C025C1B}"/>
    <cellStyle name="40% - Accent1 7 4" xfId="15646" xr:uid="{3EE92A9F-2F24-46F1-920B-2628E85B43E8}"/>
    <cellStyle name="40% - Accent1 7 4 2" xfId="15644" xr:uid="{028249DF-5B65-43E9-9768-92F2CFD659CB}"/>
    <cellStyle name="40% - Accent1 7 4 2 2" xfId="15643" xr:uid="{EB4C246B-73D6-4226-A570-EBB59908BB15}"/>
    <cellStyle name="40% - Accent1 7 4 3" xfId="25014" xr:uid="{8D72B2F2-8682-4B17-A5DB-804B8BB9E3AA}"/>
    <cellStyle name="40% - Accent1 7 4 4" xfId="35243" xr:uid="{49A5E8BD-D1B3-4E51-A583-5B4CAC67DD5E}"/>
    <cellStyle name="40% - Accent1 7 5" xfId="15641" xr:uid="{AC955EF8-CFB8-42A1-9FA1-176545C9C7D6}"/>
    <cellStyle name="40% - Accent1 7 5 2" xfId="15639" xr:uid="{BC6D0DCE-FC92-41E2-BF32-F2665683ADAF}"/>
    <cellStyle name="40% - Accent1 7 5 3" xfId="35472" xr:uid="{ED3FE26E-D618-482A-922D-21AA694585DB}"/>
    <cellStyle name="40% - Accent1 7 6" xfId="15638" xr:uid="{EFAD1378-FFC4-4BD7-84DB-D9D32FEF9AEF}"/>
    <cellStyle name="40% - Accent1 7 6 2" xfId="36344" xr:uid="{725FB9D8-1D77-4DFB-83D5-E6D5ACA01E2A}"/>
    <cellStyle name="40% - Accent1 7 7" xfId="34605" xr:uid="{4E9218B2-394C-42DA-AE87-AFDF1AD1E81D}"/>
    <cellStyle name="40% - Accent1 7 8" xfId="15671" xr:uid="{246F22B1-9265-42A8-9926-1804165C3B03}"/>
    <cellStyle name="40% - Accent1 7 8 2" xfId="37502" xr:uid="{79798A14-00D8-4019-BE8E-9E36FBBB0748}"/>
    <cellStyle name="40% - Accent1 8" xfId="320" xr:uid="{8E8D76DC-ECAF-4CD5-A025-9EB3C6ABB016}"/>
    <cellStyle name="40% - Accent1 8 2" xfId="33815" xr:uid="{4186B498-D72E-47B7-B0E0-12372F88BACA}"/>
    <cellStyle name="40% - Accent1 8 2 2" xfId="10068" xr:uid="{7FE5AED9-E94F-4666-8930-644891FC4506}"/>
    <cellStyle name="40% - Accent1 8 2 2 2" xfId="15632" xr:uid="{7EC8D99E-E3EF-4F28-A893-69BEECD16319}"/>
    <cellStyle name="40% - Accent1 8 2 2 2 2" xfId="15626" xr:uid="{9D46E7A1-7E3F-47A1-8FA2-3E67D0ADC9D1}"/>
    <cellStyle name="40% - Accent1 8 2 2 3" xfId="15624" xr:uid="{884EE3A2-E19C-4086-8638-A1D9D5629823}"/>
    <cellStyle name="40% - Accent1 8 2 3" xfId="15622" xr:uid="{DDF312AC-1A1F-471A-991D-A1AA2099B8C8}"/>
    <cellStyle name="40% - Accent1 8 2 3 2" xfId="15621" xr:uid="{C28F59E4-D8F1-4D81-8236-8CB0C0F0E393}"/>
    <cellStyle name="40% - Accent1 8 2 4" xfId="15618" xr:uid="{4DBA13CE-C8C1-4DC9-A8D6-90AB901F72BD}"/>
    <cellStyle name="40% - Accent1 8 2 5" xfId="34853" xr:uid="{8A03E164-461E-48F5-807E-C818C25B22C8}"/>
    <cellStyle name="40% - Accent1 8 3" xfId="15616" xr:uid="{F48446E5-F5FD-48EE-B60A-CE84DAC2E4FF}"/>
    <cellStyle name="40% - Accent1 8 3 2" xfId="15613" xr:uid="{1395BA4C-9410-4550-B594-58E4D80B6879}"/>
    <cellStyle name="40% - Accent1 8 3 2 2" xfId="15611" xr:uid="{4463AC79-5A6D-4730-885F-55C1A60EEB45}"/>
    <cellStyle name="40% - Accent1 8 3 3" xfId="25631" xr:uid="{E0A4E4B8-CE4F-41AC-8935-5333DF33D016}"/>
    <cellStyle name="40% - Accent1 8 3 4" xfId="35055" xr:uid="{0AE8E0A8-49D8-40D7-B7DA-831D97CEF1F3}"/>
    <cellStyle name="40% - Accent1 8 4" xfId="27089" xr:uid="{4123769A-5CBB-498D-BD33-0E2D79E15097}"/>
    <cellStyle name="40% - Accent1 8 4 2" xfId="15609" xr:uid="{987962D5-FA08-45DD-AAE7-65CB495D5A81}"/>
    <cellStyle name="40% - Accent1 8 4 3" xfId="35262" xr:uid="{32529946-1EDE-468E-AD43-DE1AAE751021}"/>
    <cellStyle name="40% - Accent1 8 5" xfId="19971" xr:uid="{0983D94D-144C-412E-B310-0DA9363A219D}"/>
    <cellStyle name="40% - Accent1 8 5 2" xfId="35491" xr:uid="{627B380A-03A8-429E-B51A-740B37938AAE}"/>
    <cellStyle name="40% - Accent1 8 6" xfId="34619" xr:uid="{D9C85F64-5419-439E-8B1F-C105293769AF}"/>
    <cellStyle name="40% - Accent1 8 7" xfId="15633" xr:uid="{58CD56F1-8C15-4BFB-86A9-2B61C7223706}"/>
    <cellStyle name="40% - Accent1 8 7 2" xfId="36636" xr:uid="{99DCCDC6-864B-4540-9997-721B39D3F245}"/>
    <cellStyle name="40% - Accent1 8 8" xfId="37521" xr:uid="{4B3BC1FD-C56F-431D-97A0-1C595BEDD51E}"/>
    <cellStyle name="40% - Accent1 9" xfId="340" xr:uid="{E06AE4D8-89C0-43A4-8DC5-8F1507741A5F}"/>
    <cellStyle name="40% - Accent1 9 2" xfId="32473" xr:uid="{F6A8266C-E28A-407E-990C-DE0B5E4BD8E5}"/>
    <cellStyle name="40% - Accent1 9 2 2" xfId="30427" xr:uid="{286C4977-955F-4502-9A80-6BCFACFFF2BA}"/>
    <cellStyle name="40% - Accent1 9 2 2 2" xfId="15605" xr:uid="{201B0B11-983D-4895-9DEC-F02FCCB214C0}"/>
    <cellStyle name="40% - Accent1 9 2 3" xfId="15598" xr:uid="{FB2C2365-302D-401B-9296-179B7AF0453D}"/>
    <cellStyle name="40% - Accent1 9 2 4" xfId="34873" xr:uid="{318BCA9A-7A2B-400D-A6D7-7F9B93985111}"/>
    <cellStyle name="40% - Accent1 9 3" xfId="15597" xr:uid="{8FD8FE47-8479-4C13-B316-8C2CC6A0F436}"/>
    <cellStyle name="40% - Accent1 9 3 2" xfId="15593" xr:uid="{F3BE820E-9407-4C70-BC41-FEED65BE1D0C}"/>
    <cellStyle name="40% - Accent1 9 3 3" xfId="35074" xr:uid="{1CC04DD0-61CF-45AE-92F4-115D799FC76B}"/>
    <cellStyle name="40% - Accent1 9 4" xfId="27085" xr:uid="{88F9CB86-33B6-4C27-A0CB-056DD2641CE8}"/>
    <cellStyle name="40% - Accent1 9 4 2" xfId="35282" xr:uid="{C01C15FF-9B09-4872-A176-9300D37E6C0D}"/>
    <cellStyle name="40% - Accent1 9 5" xfId="34633" xr:uid="{32615DC4-432F-4C07-879E-124262A4C031}"/>
    <cellStyle name="40% - Accent1 9 6" xfId="15607" xr:uid="{9EAB8FB5-3B66-4C4B-9E62-FA231E614530}"/>
    <cellStyle name="40% - Accent1 9 6 2" xfId="36370" xr:uid="{A9BB705D-A7AA-47A5-A072-699DE7270B5D}"/>
    <cellStyle name="40% - Accent1 9 7" xfId="36656" xr:uid="{8984972D-CF48-4824-88DD-A2F5CD6A64B9}"/>
    <cellStyle name="40% - Accent1 9 8" xfId="37541" xr:uid="{113951E6-CAA0-4D4A-9013-B13408D26D4D}"/>
    <cellStyle name="40% - Accent2" xfId="27" builtinId="35" customBuiltin="1"/>
    <cellStyle name="40% - Accent2 10" xfId="181" xr:uid="{0755B0C7-507B-49DD-AE2A-7C2ABA8C1B85}"/>
    <cellStyle name="40% - Accent2 10 2" xfId="7365" xr:uid="{65742B63-668A-452A-B8DC-8999284D337C}"/>
    <cellStyle name="40% - Accent2 10 2 2" xfId="6895" xr:uid="{CCDF9939-695B-4B09-B076-BC20870C56DA}"/>
    <cellStyle name="40% - Accent2 10 2 3" xfId="34894" xr:uid="{A5705E2B-562B-4C75-9396-B8A36078DCEA}"/>
    <cellStyle name="40% - Accent2 10 3" xfId="33417" xr:uid="{9B2D47F2-186E-4E13-902B-2FEDD4048999}"/>
    <cellStyle name="40% - Accent2 10 3 2" xfId="35096" xr:uid="{DBCE8482-CE3D-4932-B4AD-825BE8E9BE3C}"/>
    <cellStyle name="40% - Accent2 10 4" xfId="34522" xr:uid="{EF9E60EC-2448-4616-97A8-DBBBA4AC2CBC}"/>
    <cellStyle name="40% - Accent2 10 5" xfId="26656" xr:uid="{B1ABB491-A464-41E8-A780-20CAA7118FC8}"/>
    <cellStyle name="40% - Accent2 10 5 2" xfId="35519" xr:uid="{C71888DC-6469-4534-A43B-3259A30B59AA}"/>
    <cellStyle name="40% - Accent2 10 6" xfId="36392" xr:uid="{AACE66B4-1873-4F54-91FD-973850E1624B}"/>
    <cellStyle name="40% - Accent2 10 7" xfId="36678" xr:uid="{E763C037-8AE1-42E1-9BA3-08D4C0C01AB0}"/>
    <cellStyle name="40% - Accent2 10 8" xfId="37563" xr:uid="{B744F6A6-2628-4EC2-A6AD-11439E2A1388}"/>
    <cellStyle name="40% - Accent2 11" xfId="19240" xr:uid="{A23A9ED4-C4FD-439E-B516-227E746E5D7F}"/>
    <cellStyle name="40% - Accent2 11 2" xfId="15591" xr:uid="{8D745150-CD57-4510-9889-98C5CCE8E0A9}"/>
    <cellStyle name="40% - Accent2 11 2 2" xfId="35115" xr:uid="{1AD2A299-C971-4670-9E74-F52CEBA6AEF7}"/>
    <cellStyle name="40% - Accent2 11 3" xfId="34691" xr:uid="{687D4AC9-784C-4305-82E9-01DF73EC1398}"/>
    <cellStyle name="40% - Accent2 11 4" xfId="35539" xr:uid="{4BA76C0D-6A96-445E-80AC-07ABDD049D50}"/>
    <cellStyle name="40% - Accent2 11 5" xfId="36412" xr:uid="{92DE7191-D30A-43D0-8865-81BADD9BAA3C}"/>
    <cellStyle name="40% - Accent2 11 6" xfId="36698" xr:uid="{8A75B15D-14C2-4238-B8AF-3ACB35FCF82B}"/>
    <cellStyle name="40% - Accent2 11 7" xfId="37583" xr:uid="{CCC6E1A6-CE8B-4A37-B97B-4B4909FFDD57}"/>
    <cellStyle name="40% - Accent2 12" xfId="15588" xr:uid="{08B92AA5-5056-4D1F-880C-B5C488FA88B6}"/>
    <cellStyle name="40% - Accent2 12 2" xfId="34705" xr:uid="{66C40D7B-F6B1-4F63-B3D1-08CF7F9FDBBF}"/>
    <cellStyle name="40% - Accent2 12 3" xfId="35318" xr:uid="{075AB307-D665-45F9-A3BF-0F33429E94C2}"/>
    <cellStyle name="40% - Accent2 12 4" xfId="35558" xr:uid="{1A2153BF-AE6F-4269-ACB0-81CC709571DF}"/>
    <cellStyle name="40% - Accent2 12 5" xfId="36431" xr:uid="{996904C4-BFEA-4CA7-96E4-03025BB0B1EC}"/>
    <cellStyle name="40% - Accent2 12 6" xfId="36717" xr:uid="{2F0B1ECE-0936-42A4-994D-6CC39BBCB090}"/>
    <cellStyle name="40% - Accent2 12 7" xfId="37602" xr:uid="{223634BC-FF69-4C3B-9E8A-6492F2581CE9}"/>
    <cellStyle name="40% - Accent2 13" xfId="15585" xr:uid="{87BBAAF0-3853-41F6-A782-8DDD4C41473A}"/>
    <cellStyle name="40% - Accent2 13 2" xfId="34733" xr:uid="{49A6DFC4-BB34-450D-9FF8-1F104C13A985}"/>
    <cellStyle name="40% - Accent2 13 3" xfId="35577" xr:uid="{D04635DF-FA32-4393-8498-6B9EB9623A60}"/>
    <cellStyle name="40% - Accent2 13 4" xfId="36452" xr:uid="{5F540135-8EF1-4F16-9000-E3B5C6557988}"/>
    <cellStyle name="40% - Accent2 13 5" xfId="36738" xr:uid="{832D5EEA-CD62-48CC-BF05-AE0ED829FF6C}"/>
    <cellStyle name="40% - Accent2 13 6" xfId="37623" xr:uid="{56BA211E-C406-4BE0-8D79-82F35CF9ED87}"/>
    <cellStyle name="40% - Accent2 14" xfId="15583" xr:uid="{FA4CC397-FECC-457E-BC61-C93BE33E5562}"/>
    <cellStyle name="40% - Accent2 14 2" xfId="34923" xr:uid="{03218275-A584-44B2-A66B-FEE313FFB897}"/>
    <cellStyle name="40% - Accent2 14 3" xfId="36759" xr:uid="{21F79C63-1F13-4936-A559-42D64E74D162}"/>
    <cellStyle name="40% - Accent2 14 4" xfId="37644" xr:uid="{BED8DCB5-3DA8-48BD-ADDC-705374BDE629}"/>
    <cellStyle name="40% - Accent2 15" xfId="34653" xr:uid="{1EC3BFBD-34A8-41D5-93E2-141B1C4AFAE1}"/>
    <cellStyle name="40% - Accent2 15 2" xfId="36477" xr:uid="{A46D66F0-3EE8-4659-B0EB-401E7E85E3CE}"/>
    <cellStyle name="40% - Accent2 15 3" xfId="36775" xr:uid="{CE09897F-7E71-4CCF-8DC1-060CD5FAF5FB}"/>
    <cellStyle name="40% - Accent2 15 4" xfId="37663" xr:uid="{50C1D697-9E91-4C6A-BD00-5D32E45A8D7D}"/>
    <cellStyle name="40% - Accent2 16" xfId="35357" xr:uid="{A89B24C8-6B3C-476B-9D5A-F5258AA7578C}"/>
    <cellStyle name="40% - Accent2 16 2" xfId="36495" xr:uid="{81E1CA7B-505B-42E5-8BC7-F15F50E1F24F}"/>
    <cellStyle name="40% - Accent2 16 3" xfId="36793" xr:uid="{9D64BE8D-388F-4565-B5B8-D22B35317B2E}"/>
    <cellStyle name="40% - Accent2 16 4" xfId="37682" xr:uid="{945CCF66-EEBE-4F93-8497-C83F48152E65}"/>
    <cellStyle name="40% - Accent2 17" xfId="35644" xr:uid="{F07DF076-BF47-4F25-9875-2D2E6AE6323A}"/>
    <cellStyle name="40% - Accent2 17 2" xfId="36812" xr:uid="{A43D3543-61CD-42FD-B193-392A9C5D1D45}"/>
    <cellStyle name="40% - Accent2 17 3" xfId="37702" xr:uid="{5E1AE7DA-6600-4A97-8DC6-3D763E990184}"/>
    <cellStyle name="40% - Accent2 18" xfId="35662" xr:uid="{51C630EC-1710-41E7-B059-0FD1D13DBD1C}"/>
    <cellStyle name="40% - Accent2 18 2" xfId="36831" xr:uid="{C3BDB78F-4952-4616-B4E6-A43C7E2B4D29}"/>
    <cellStyle name="40% - Accent2 18 3" xfId="37721" xr:uid="{51FED275-612C-4601-8FB1-C712CC66C7DB}"/>
    <cellStyle name="40% - Accent2 19" xfId="35681" xr:uid="{1FB06C9B-3E19-4F4D-8047-45E691197A54}"/>
    <cellStyle name="40% - Accent2 19 2" xfId="36850" xr:uid="{323CA376-4249-4C03-915C-A48C69EBE2ED}"/>
    <cellStyle name="40% - Accent2 19 3" xfId="37740" xr:uid="{137CBB01-4017-40C5-B31A-BE84C167245A}"/>
    <cellStyle name="40% - Accent2 2" xfId="81" xr:uid="{803278DC-29B6-4500-BFE5-3FEF97FD4C2A}"/>
    <cellStyle name="40% - Accent2 2 10" xfId="22616" xr:uid="{B39548FF-65AE-4B62-9265-63842A824A0A}"/>
    <cellStyle name="40% - Accent2 2 10 2" xfId="24317" xr:uid="{E8F8ED6C-37CC-4A1D-8F84-2CFFE35D6AEC}"/>
    <cellStyle name="40% - Accent2 2 10 3" xfId="37421" xr:uid="{A4E59ACE-A093-4E23-8F19-BB9270A2618A}"/>
    <cellStyle name="40% - Accent2 2 11" xfId="29659" xr:uid="{C8190BCD-0B51-42C7-9F2A-88E9E977F9DB}"/>
    <cellStyle name="40% - Accent2 2 12" xfId="34440" xr:uid="{D7446906-419A-4373-9270-5FAE7385ACA0}"/>
    <cellStyle name="40% - Accent2 2 13" xfId="15581" xr:uid="{C74F6D28-C017-4C28-AFDF-85D621924A3F}"/>
    <cellStyle name="40% - Accent2 2 2" xfId="142" xr:uid="{503DE756-631F-4699-843E-F65C44924DA9}"/>
    <cellStyle name="40% - Accent2 2 2 10" xfId="15578" xr:uid="{ADBFE399-DC7F-427F-942B-E8C6C33946E3}"/>
    <cellStyle name="40% - Accent2 2 2 11" xfId="34495" xr:uid="{26524058-2DEB-4718-BD5B-88F85C5083BB}"/>
    <cellStyle name="40% - Accent2 2 2 12" xfId="15580" xr:uid="{751DE346-73A3-42A3-84FD-6CAE356D6D08}"/>
    <cellStyle name="40% - Accent2 2 2 2" xfId="15575" xr:uid="{EA74B501-0542-4EFD-9803-3D983F671319}"/>
    <cellStyle name="40% - Accent2 2 2 2 2" xfId="15574" xr:uid="{F3B474EB-52EA-4205-A791-25B350D02219}"/>
    <cellStyle name="40% - Accent2 2 2 2 2 2" xfId="15573" xr:uid="{86E6F02E-0E8E-4E32-9188-5861A8F5848B}"/>
    <cellStyle name="40% - Accent2 2 2 2 2 2 2" xfId="18530" xr:uid="{ADD5C1F4-E06F-4258-9593-DC38DFEFDA70}"/>
    <cellStyle name="40% - Accent2 2 2 2 2 2 2 2" xfId="23730" xr:uid="{D18CDC01-7C5E-4FA2-BB5B-447BE95CD5F9}"/>
    <cellStyle name="40% - Accent2 2 2 2 2 2 2 2 2" xfId="12579" xr:uid="{2364D857-CBBA-4BA8-BB35-B2E158D53911}"/>
    <cellStyle name="40% - Accent2 2 2 2 2 2 2 2 2 2" xfId="15124" xr:uid="{9986E9FD-E5DC-4132-8BBA-CB4637A898DC}"/>
    <cellStyle name="40% - Accent2 2 2 2 2 2 2 2 2 2 2" xfId="15572" xr:uid="{5B8A7042-56DD-4B40-A14C-C42551802516}"/>
    <cellStyle name="40% - Accent2 2 2 2 2 2 2 2 2 2 2 2" xfId="15570" xr:uid="{2B2ABE2A-C459-4025-86C6-C7B9A0F02C7E}"/>
    <cellStyle name="40% - Accent2 2 2 2 2 2 2 2 2 2 3" xfId="15569" xr:uid="{B0892D16-8B6E-4E15-8FCC-581D2BB381E3}"/>
    <cellStyle name="40% - Accent2 2 2 2 2 2 2 2 2 3" xfId="15566" xr:uid="{6C3F76F4-2B5A-4584-9893-60E14ECF7057}"/>
    <cellStyle name="40% - Accent2 2 2 2 2 2 2 2 2 3 2" xfId="14235" xr:uid="{62E4CE8B-EBFD-44B9-8A63-2971030D9B77}"/>
    <cellStyle name="40% - Accent2 2 2 2 2 2 2 2 2 4" xfId="30468" xr:uid="{CFBA817D-BDC1-456A-9CA9-ACADF3655EF8}"/>
    <cellStyle name="40% - Accent2 2 2 2 2 2 2 2 3" xfId="15564" xr:uid="{F2464FE5-C6CF-415E-9699-F3690F462471}"/>
    <cellStyle name="40% - Accent2 2 2 2 2 2 2 2 3 2" xfId="15562" xr:uid="{C02AAAFD-59C9-4E83-B3BF-93CD86093DC4}"/>
    <cellStyle name="40% - Accent2 2 2 2 2 2 2 2 3 2 2" xfId="15559" xr:uid="{45F606FE-64A4-47C4-86D3-FE6BA65B8644}"/>
    <cellStyle name="40% - Accent2 2 2 2 2 2 2 2 3 3" xfId="15556" xr:uid="{A18987F2-64C3-4E9C-9D2F-EAAD02ABC3C6}"/>
    <cellStyle name="40% - Accent2 2 2 2 2 2 2 2 4" xfId="15553" xr:uid="{820012B3-CB0E-4339-B20A-8D41D2233B3A}"/>
    <cellStyle name="40% - Accent2 2 2 2 2 2 2 2 4 2" xfId="15552" xr:uid="{6A0EBCD9-BB93-4A12-8BBA-5EDE73528A2E}"/>
    <cellStyle name="40% - Accent2 2 2 2 2 2 2 2 5" xfId="15549" xr:uid="{A6E8E18B-0CB7-4EFB-99BB-5F0B392FC492}"/>
    <cellStyle name="40% - Accent2 2 2 2 2 2 2 3" xfId="14950" xr:uid="{A2A29ECD-C7DE-4D3E-9182-BD506B07BC76}"/>
    <cellStyle name="40% - Accent2 2 2 2 2 2 2 3 2" xfId="15548" xr:uid="{E271B4A4-0FC9-4925-B5B7-957B45877D24}"/>
    <cellStyle name="40% - Accent2 2 2 2 2 2 2 3 2 2" xfId="15547" xr:uid="{AFF62EF3-47CD-4984-9F76-98BC127997F3}"/>
    <cellStyle name="40% - Accent2 2 2 2 2 2 2 3 2 2 2" xfId="15546" xr:uid="{CE55938B-72C8-4D5A-94C9-D451A820D7E6}"/>
    <cellStyle name="40% - Accent2 2 2 2 2 2 2 3 2 3" xfId="15544" xr:uid="{39549F8A-9BA9-44A8-AE57-603AEE79E1F7}"/>
    <cellStyle name="40% - Accent2 2 2 2 2 2 2 3 3" xfId="15543" xr:uid="{11ADB4F0-65B6-4FD5-B1AF-A2612A7C1334}"/>
    <cellStyle name="40% - Accent2 2 2 2 2 2 2 3 3 2" xfId="15542" xr:uid="{6E56086B-AEB9-45AF-AD94-8549CC4589B9}"/>
    <cellStyle name="40% - Accent2 2 2 2 2 2 2 3 4" xfId="15539" xr:uid="{737ECD84-D3BD-4876-978F-3A509F385F5E}"/>
    <cellStyle name="40% - Accent2 2 2 2 2 2 2 4" xfId="14919" xr:uid="{7B3CC1EE-7A03-4A9D-8F19-3212AF88B243}"/>
    <cellStyle name="40% - Accent2 2 2 2 2 2 2 4 2" xfId="15538" xr:uid="{1486D0B6-9686-4740-B562-7C29644427F8}"/>
    <cellStyle name="40% - Accent2 2 2 2 2 2 2 4 2 2" xfId="15535" xr:uid="{0C4EBB02-16BD-43BB-96D9-34C0808B18FE}"/>
    <cellStyle name="40% - Accent2 2 2 2 2 2 2 4 3" xfId="26366" xr:uid="{DEA11A4D-BC5D-4D87-82FA-7ADCFB5C3535}"/>
    <cellStyle name="40% - Accent2 2 2 2 2 2 2 5" xfId="14906" xr:uid="{A21EFEB4-4698-4055-AD83-38865D350C7D}"/>
    <cellStyle name="40% - Accent2 2 2 2 2 2 2 5 2" xfId="15534" xr:uid="{0DDDCBB0-20F6-4366-942A-48AA540BCF69}"/>
    <cellStyle name="40% - Accent2 2 2 2 2 2 2 6" xfId="14899" xr:uid="{ED5D66E9-9EFE-4FD0-A808-5529631CEEF3}"/>
    <cellStyle name="40% - Accent2 2 2 2 2 2 3" xfId="15531" xr:uid="{34E73E5A-2F10-4FC5-BC8A-AC12FFAFBF1D}"/>
    <cellStyle name="40% - Accent2 2 2 2 2 2 3 2" xfId="31796" xr:uid="{CAFDD8CA-A215-4737-852B-F75BBA049E8B}"/>
    <cellStyle name="40% - Accent2 2 2 2 2 2 3 2 2" xfId="27569" xr:uid="{47211A5E-9201-4418-B0FD-490C2D9078D4}"/>
    <cellStyle name="40% - Accent2 2 2 2 2 2 3 2 2 2" xfId="15530" xr:uid="{18956383-F741-4D06-9556-8802D2195ADF}"/>
    <cellStyle name="40% - Accent2 2 2 2 2 2 3 2 2 2 2" xfId="32365" xr:uid="{AA5086DC-E699-471F-9039-FCA975FCF45B}"/>
    <cellStyle name="40% - Accent2 2 2 2 2 2 3 2 2 3" xfId="15527" xr:uid="{80151B0C-81D3-46C5-9472-A39DC26D2DB5}"/>
    <cellStyle name="40% - Accent2 2 2 2 2 2 3 2 3" xfId="15524" xr:uid="{6D72D099-9855-49EC-AC9E-66D261DCB130}"/>
    <cellStyle name="40% - Accent2 2 2 2 2 2 3 2 3 2" xfId="15522" xr:uid="{9DE0F8A8-72E5-4566-810F-6C76B7EBFDD5}"/>
    <cellStyle name="40% - Accent2 2 2 2 2 2 3 2 4" xfId="15516" xr:uid="{2EF69238-C7AB-4CEB-97B8-72164678CE46}"/>
    <cellStyle name="40% - Accent2 2 2 2 2 2 3 3" xfId="25584" xr:uid="{8FCEBDE2-BE12-4CE3-9EFD-2B9CF781F47B}"/>
    <cellStyle name="40% - Accent2 2 2 2 2 2 3 3 2" xfId="13744" xr:uid="{36913CA4-4A7B-47B3-B58E-2D3FD45CAE90}"/>
    <cellStyle name="40% - Accent2 2 2 2 2 2 3 3 2 2" xfId="15515" xr:uid="{93DBCB69-DB9E-4429-91B0-95C6C88F50F6}"/>
    <cellStyle name="40% - Accent2 2 2 2 2 2 3 3 3" xfId="13737" xr:uid="{1518DB9B-63AB-446E-ACE9-9B80418F8FEA}"/>
    <cellStyle name="40% - Accent2 2 2 2 2 2 3 4" xfId="14882" xr:uid="{757EC137-E6FC-41A1-98F7-67F3AD58C710}"/>
    <cellStyle name="40% - Accent2 2 2 2 2 2 3 4 2" xfId="15512" xr:uid="{41BCA121-3665-438B-B89F-D213274233EE}"/>
    <cellStyle name="40% - Accent2 2 2 2 2 2 3 5" xfId="14875" xr:uid="{2E723BD0-A424-4AFC-BF4F-A5620B3B9396}"/>
    <cellStyle name="40% - Accent2 2 2 2 2 2 4" xfId="16923" xr:uid="{8C2D335A-594B-4FCD-875B-CE910299DAD6}"/>
    <cellStyle name="40% - Accent2 2 2 2 2 2 4 2" xfId="33091" xr:uid="{86EE2E6C-1F71-4BFE-9F3B-685874D62F1C}"/>
    <cellStyle name="40% - Accent2 2 2 2 2 2 4 2 2" xfId="27143" xr:uid="{904198B6-BFD1-4F4E-863E-66C2BA4E6421}"/>
    <cellStyle name="40% - Accent2 2 2 2 2 2 4 2 2 2" xfId="28532" xr:uid="{209939B2-87F2-49E1-B7BA-41E450DDE2A1}"/>
    <cellStyle name="40% - Accent2 2 2 2 2 2 4 2 3" xfId="15509" xr:uid="{EFF01E2E-3392-4504-851B-5DC182968226}"/>
    <cellStyle name="40% - Accent2 2 2 2 2 2 4 3" xfId="14865" xr:uid="{CEF6FC59-CBB3-4A81-99E5-F164984D7ABD}"/>
    <cellStyle name="40% - Accent2 2 2 2 2 2 4 3 2" xfId="13725" xr:uid="{4F002E85-FF6F-44B2-BF3E-E762F6FF933E}"/>
    <cellStyle name="40% - Accent2 2 2 2 2 2 4 4" xfId="14858" xr:uid="{1FDB79D7-997E-467A-BE5F-18DC5427409C}"/>
    <cellStyle name="40% - Accent2 2 2 2 2 2 5" xfId="16911" xr:uid="{19107782-4C1B-45FA-8D71-795C28D83087}"/>
    <cellStyle name="40% - Accent2 2 2 2 2 2 5 2" xfId="31232" xr:uid="{70EF3105-21B5-4B83-8270-DC6C9BEFCACA}"/>
    <cellStyle name="40% - Accent2 2 2 2 2 2 5 2 2" xfId="17998" xr:uid="{D9F49D07-C0BC-4D32-B3CE-1666A3A82760}"/>
    <cellStyle name="40% - Accent2 2 2 2 2 2 5 3" xfId="14845" xr:uid="{280B179E-CEDF-4902-8815-C6F026DBED2A}"/>
    <cellStyle name="40% - Accent2 2 2 2 2 2 6" xfId="16904" xr:uid="{733C43F3-A150-470D-B202-C5C4F95C6B44}"/>
    <cellStyle name="40% - Accent2 2 2 2 2 2 6 2" xfId="29529" xr:uid="{2A3031B7-F8AF-4815-B33A-A90A58BA1448}"/>
    <cellStyle name="40% - Accent2 2 2 2 2 2 7" xfId="15507" xr:uid="{D16E5845-9A2C-43F9-BC8B-4A5033CDDA23}"/>
    <cellStyle name="40% - Accent2 2 2 2 2 3" xfId="15506" xr:uid="{16A61E7A-52AC-49AF-85EF-3A1C4F7ECF9A}"/>
    <cellStyle name="40% - Accent2 2 2 2 2 3 2" xfId="33488" xr:uid="{0D1FC2B1-FC73-4BF1-9D3C-7292CEE1573F}"/>
    <cellStyle name="40% - Accent2 2 2 2 2 3 2 2" xfId="32454" xr:uid="{DC02A10F-AFB2-4353-A6A7-5C1B82FB61D3}"/>
    <cellStyle name="40% - Accent2 2 2 2 2 3 2 2 2" xfId="15505" xr:uid="{1F811399-1AA7-4998-AEF9-9FD338574C65}"/>
    <cellStyle name="40% - Accent2 2 2 2 2 3 2 2 2 2" xfId="23430" xr:uid="{3EB362D9-CF39-483E-B497-A43AE2875635}"/>
    <cellStyle name="40% - Accent2 2 2 2 2 3 2 2 2 2 2" xfId="23421" xr:uid="{E4445695-9BA2-4E15-BC90-978B57A2296C}"/>
    <cellStyle name="40% - Accent2 2 2 2 2 3 2 2 2 3" xfId="25859" xr:uid="{5D0399D0-5767-408F-877B-26EB77834EB2}"/>
    <cellStyle name="40% - Accent2 2 2 2 2 3 2 2 3" xfId="15504" xr:uid="{3FA299D3-403A-43F6-A997-56470D841DF0}"/>
    <cellStyle name="40% - Accent2 2 2 2 2 3 2 2 3 2" xfId="23397" xr:uid="{C96F3539-A5F4-4CFB-890E-7BF06DA0438D}"/>
    <cellStyle name="40% - Accent2 2 2 2 2 3 2 2 4" xfId="15503" xr:uid="{82A91F39-E130-4105-ADC5-D87E5C1C03C1}"/>
    <cellStyle name="40% - Accent2 2 2 2 2 3 2 3" xfId="14820" xr:uid="{457E9307-D5CC-49CF-8974-9B86CB990B4C}"/>
    <cellStyle name="40% - Accent2 2 2 2 2 3 2 3 2" xfId="15502" xr:uid="{5E185B44-F775-4FAD-A872-899325352F5E}"/>
    <cellStyle name="40% - Accent2 2 2 2 2 3 2 3 2 2" xfId="30135" xr:uid="{B0020522-70D4-4224-AE75-ECE6326F344F}"/>
    <cellStyle name="40% - Accent2 2 2 2 2 3 2 3 3" xfId="15501" xr:uid="{2CD50BD5-87BC-4708-975E-2F6BB9C1D627}"/>
    <cellStyle name="40% - Accent2 2 2 2 2 3 2 4" xfId="14802" xr:uid="{105BD665-FC3E-4929-B67D-B86CD42AC244}"/>
    <cellStyle name="40% - Accent2 2 2 2 2 3 2 4 2" xfId="15500" xr:uid="{990E350E-82D5-421A-BFF4-0B4495E4DB39}"/>
    <cellStyle name="40% - Accent2 2 2 2 2 3 2 5" xfId="17208" xr:uid="{724138D3-B5F6-4A2C-A048-022F33C9C43D}"/>
    <cellStyle name="40% - Accent2 2 2 2 2 3 3" xfId="22279" xr:uid="{183F5715-B288-4299-8462-E92B05692901}"/>
    <cellStyle name="40% - Accent2 2 2 2 2 3 3 2" xfId="32698" xr:uid="{520B2E65-5F11-4ECD-A846-B5D15F3E80C0}"/>
    <cellStyle name="40% - Accent2 2 2 2 2 3 3 2 2" xfId="15498" xr:uid="{A1E04A06-0B30-4FF6-8D74-2B7BB545015A}"/>
    <cellStyle name="40% - Accent2 2 2 2 2 3 3 2 2 2" xfId="27887" xr:uid="{03B73332-462A-479D-8CE6-D89FE0D781B7}"/>
    <cellStyle name="40% - Accent2 2 2 2 2 3 3 2 3" xfId="16970" xr:uid="{85D8F5E6-B114-4C66-9C21-AE9499F7E1E2}"/>
    <cellStyle name="40% - Accent2 2 2 2 2 3 3 3" xfId="14789" xr:uid="{FA7B212E-95DA-4D12-89C5-B877DF24AF75}"/>
    <cellStyle name="40% - Accent2 2 2 2 2 3 3 3 2" xfId="13709" xr:uid="{C9EE46F1-D0DA-469C-AE81-08F3559D52A8}"/>
    <cellStyle name="40% - Accent2 2 2 2 2 3 3 4" xfId="14765" xr:uid="{2D65B231-8C68-4FB3-8E86-9D4196657014}"/>
    <cellStyle name="40% - Accent2 2 2 2 2 3 4" xfId="16899" xr:uid="{6C26CAFA-76E6-4C39-8E81-1FA858089040}"/>
    <cellStyle name="40% - Accent2 2 2 2 2 3 4 2" xfId="9265" xr:uid="{1B539746-E0ED-4AA5-9390-2BB385A91ADD}"/>
    <cellStyle name="40% - Accent2 2 2 2 2 3 4 2 2" xfId="15497" xr:uid="{7C23CCBA-F690-4555-9A12-04000EC72A4A}"/>
    <cellStyle name="40% - Accent2 2 2 2 2 3 4 3" xfId="9257" xr:uid="{894D83E0-E1D4-4FEA-948F-08260D150882}"/>
    <cellStyle name="40% - Accent2 2 2 2 2 3 5" xfId="16895" xr:uid="{641322AB-DA9C-4F6D-BA8C-0FA510D9A726}"/>
    <cellStyle name="40% - Accent2 2 2 2 2 3 5 2" xfId="10735" xr:uid="{596EA5D3-3E52-4A79-A5E6-7F9375628FA5}"/>
    <cellStyle name="40% - Accent2 2 2 2 2 3 6" xfId="15496" xr:uid="{8916D940-7AC9-462A-98E7-7AC2B3F25D07}"/>
    <cellStyle name="40% - Accent2 2 2 2 2 4" xfId="15494" xr:uid="{56E75712-810F-4486-9147-40A6E553E009}"/>
    <cellStyle name="40% - Accent2 2 2 2 2 4 2" xfId="22276" xr:uid="{1BB0B193-F650-4055-9DAE-D8869FE058E3}"/>
    <cellStyle name="40% - Accent2 2 2 2 2 4 2 2" xfId="32981" xr:uid="{B2C4696E-E799-41C0-BC84-D82F1407B391}"/>
    <cellStyle name="40% - Accent2 2 2 2 2 4 2 2 2" xfId="15493" xr:uid="{A14FCDA6-EE7F-4A4E-8D47-08DB0F9AD689}"/>
    <cellStyle name="40% - Accent2 2 2 2 2 4 2 2 2 2" xfId="23139" xr:uid="{58FBA781-2013-4A42-AAA4-CE6E81CB484C}"/>
    <cellStyle name="40% - Accent2 2 2 2 2 4 2 2 3" xfId="15492" xr:uid="{569B37B4-6786-4D4D-89C2-C1B9DE64B86B}"/>
    <cellStyle name="40% - Accent2 2 2 2 2 4 2 3" xfId="14714" xr:uid="{095073DA-BC4D-4A3A-A3E2-1824AF8D6B0C}"/>
    <cellStyle name="40% - Accent2 2 2 2 2 4 2 3 2" xfId="15491" xr:uid="{0BD1E729-A4A5-4316-8AB3-9DB17494C676}"/>
    <cellStyle name="40% - Accent2 2 2 2 2 4 2 4" xfId="17193" xr:uid="{CC959FC1-31CB-4C96-9D0E-9F6B4F2826AA}"/>
    <cellStyle name="40% - Accent2 2 2 2 2 4 3" xfId="15490" xr:uid="{9060C85B-ACEE-47B9-B84E-6434EA2CCF12}"/>
    <cellStyle name="40% - Accent2 2 2 2 2 4 3 2" xfId="23925" xr:uid="{60187EB4-45A6-4E53-A6D3-759CA13286B2}"/>
    <cellStyle name="40% - Accent2 2 2 2 2 4 3 2 2" xfId="15489" xr:uid="{B4A65BDD-F8D5-4B30-A641-C625259E1ECD}"/>
    <cellStyle name="40% - Accent2 2 2 2 2 4 3 3" xfId="33363" xr:uid="{EDEAC1A0-1126-4A9D-AFC6-54608657BB7D}"/>
    <cellStyle name="40% - Accent2 2 2 2 2 4 4" xfId="16893" xr:uid="{E92C39CC-A506-497C-9E8A-894F35011B6A}"/>
    <cellStyle name="40% - Accent2 2 2 2 2 4 4 2" xfId="9244" xr:uid="{F72833A5-D9FF-46F1-8365-2F6721C0BA7D}"/>
    <cellStyle name="40% - Accent2 2 2 2 2 4 5" xfId="15488" xr:uid="{C362FF67-851B-4FAE-A6C9-B2C54A82F520}"/>
    <cellStyle name="40% - Accent2 2 2 2 2 5" xfId="13597" xr:uid="{F2FE81C3-119D-4BB4-BC4C-6596C98671A2}"/>
    <cellStyle name="40% - Accent2 2 2 2 2 5 2" xfId="10330" xr:uid="{BECDACBD-D33C-42D8-B908-B59A02481463}"/>
    <cellStyle name="40% - Accent2 2 2 2 2 5 2 2" xfId="23871" xr:uid="{6AC1A345-6F76-4B2B-AAED-840F36568E1E}"/>
    <cellStyle name="40% - Accent2 2 2 2 2 5 2 2 2" xfId="15487" xr:uid="{CABE71DB-BF08-4D1C-A2A8-4E746A8674C6}"/>
    <cellStyle name="40% - Accent2 2 2 2 2 5 2 3" xfId="31446" xr:uid="{CE9B6F11-2A8D-4C14-A1CE-8279AEAB7A1D}"/>
    <cellStyle name="40% - Accent2 2 2 2 2 5 3" xfId="10320" xr:uid="{21826EA0-B6FF-428D-85C1-592AC7106D6E}"/>
    <cellStyle name="40% - Accent2 2 2 2 2 5 3 2" xfId="33260" xr:uid="{EFE1FB58-B5B4-4ABE-852C-886DF354F328}"/>
    <cellStyle name="40% - Accent2 2 2 2 2 5 4" xfId="10307" xr:uid="{2B6ECFEE-FC15-4E16-93B6-A57DE1A523EA}"/>
    <cellStyle name="40% - Accent2 2 2 2 2 6" xfId="12004" xr:uid="{D315094F-6C7D-4C9E-9148-69FB981C76F3}"/>
    <cellStyle name="40% - Accent2 2 2 2 2 6 2" xfId="12002" xr:uid="{BEF56A41-8BF5-4491-9D94-6D545A4911BB}"/>
    <cellStyle name="40% - Accent2 2 2 2 2 6 2 2" xfId="18703" xr:uid="{4F8BF52B-6CAE-4C28-A5C3-CC7525DBD1DA}"/>
    <cellStyle name="40% - Accent2 2 2 2 2 6 3" xfId="11995" xr:uid="{1FFFB524-7B9D-4C52-B50D-01590286D430}"/>
    <cellStyle name="40% - Accent2 2 2 2 2 7" xfId="11991" xr:uid="{7ABE93BE-9ECF-4C15-A96A-894A8B98D3B0}"/>
    <cellStyle name="40% - Accent2 2 2 2 2 7 2" xfId="26540" xr:uid="{B6E809B6-ADB1-46FF-BA78-E5CCE11CCC95}"/>
    <cellStyle name="40% - Accent2 2 2 2 2 8" xfId="11987" xr:uid="{68AA0D88-D607-4F2F-B462-81CD5D517F36}"/>
    <cellStyle name="40% - Accent2 2 2 2 3" xfId="15486" xr:uid="{9BC8544F-786E-41D6-B87D-0C2E88B019D9}"/>
    <cellStyle name="40% - Accent2 2 2 2 3 2" xfId="15485" xr:uid="{E9A25B07-22C4-4D91-950C-3FDC19C76641}"/>
    <cellStyle name="40% - Accent2 2 2 2 3 2 2" xfId="15484" xr:uid="{7B41DBC8-C676-4EC5-B125-F882A84B44F5}"/>
    <cellStyle name="40% - Accent2 2 2 2 3 2 2 2" xfId="32936" xr:uid="{F190E78B-2499-4228-9AB9-47D00840C16D}"/>
    <cellStyle name="40% - Accent2 2 2 2 3 2 2 2 2" xfId="15483" xr:uid="{683AAF8D-8B44-476B-8AE7-8451BC1588B0}"/>
    <cellStyle name="40% - Accent2 2 2 2 3 2 2 2 2 2" xfId="15482" xr:uid="{EE3B4558-1BBE-49ED-B3B2-3849F54F389B}"/>
    <cellStyle name="40% - Accent2 2 2 2 3 2 2 2 2 2 2" xfId="22135" xr:uid="{9476F6F9-4E1A-44DF-9235-EE190B8A0A5B}"/>
    <cellStyle name="40% - Accent2 2 2 2 3 2 2 2 2 3" xfId="20256" xr:uid="{BA7DE70E-1790-4911-BF9B-4D4B8BBA18FD}"/>
    <cellStyle name="40% - Accent2 2 2 2 3 2 2 2 3" xfId="15481" xr:uid="{DBB26620-2789-41A8-B274-86BD247E8243}"/>
    <cellStyle name="40% - Accent2 2 2 2 3 2 2 2 3 2" xfId="17190" xr:uid="{39A9859C-C720-4FCC-988F-90F793F2BB5C}"/>
    <cellStyle name="40% - Accent2 2 2 2 3 2 2 2 4" xfId="15479" xr:uid="{34FDAD13-7E0A-44B1-8FB6-5C9D578CB82C}"/>
    <cellStyle name="40% - Accent2 2 2 2 3 2 2 3" xfId="14401" xr:uid="{049DCF4C-5A09-4091-8466-4C70A6674AA0}"/>
    <cellStyle name="40% - Accent2 2 2 2 3 2 2 3 2" xfId="15478" xr:uid="{B7FD3203-3659-468B-B8D1-F841B674ED52}"/>
    <cellStyle name="40% - Accent2 2 2 2 3 2 2 3 2 2" xfId="33181" xr:uid="{9E7A2A02-E810-4B08-9DF2-A0980C4669A3}"/>
    <cellStyle name="40% - Accent2 2 2 2 3 2 2 3 3" xfId="15476" xr:uid="{01F9F29F-5C41-43EF-9A99-B8ECF3A1C4D4}"/>
    <cellStyle name="40% - Accent2 2 2 2 3 2 2 4" xfId="14385" xr:uid="{2EAAA959-8154-4D6D-9584-F8421EE970A1}"/>
    <cellStyle name="40% - Accent2 2 2 2 3 2 2 4 2" xfId="15475" xr:uid="{5A22F4DC-1BB0-432F-8B58-1C2ADD8971C7}"/>
    <cellStyle name="40% - Accent2 2 2 2 3 2 2 5" xfId="14378" xr:uid="{C76D979E-021E-47DA-9F94-6D9832AFE437}"/>
    <cellStyle name="40% - Accent2 2 2 2 3 2 3" xfId="29123" xr:uid="{509B07C6-42BF-4D80-B748-7FA12D3DF306}"/>
    <cellStyle name="40% - Accent2 2 2 2 3 2 3 2" xfId="32930" xr:uid="{DBB4313D-E27D-468B-9F0D-7D058F922F33}"/>
    <cellStyle name="40% - Accent2 2 2 2 3 2 3 2 2" xfId="15474" xr:uid="{40D9A02D-5173-46DF-B9DE-FA4C4D271BBF}"/>
    <cellStyle name="40% - Accent2 2 2 2 3 2 3 2 2 2" xfId="15473" xr:uid="{D8C9D7E6-B3CA-45BD-AA95-8C1738C371AF}"/>
    <cellStyle name="40% - Accent2 2 2 2 3 2 3 2 3" xfId="15472" xr:uid="{FC0F190E-2E73-4AF6-9818-5531E60520CF}"/>
    <cellStyle name="40% - Accent2 2 2 2 3 2 3 3" xfId="29949" xr:uid="{89D50FF2-1F16-474F-85F6-26D21BF2C765}"/>
    <cellStyle name="40% - Accent2 2 2 2 3 2 3 3 2" xfId="11697" xr:uid="{D545FE97-3615-45F2-BDB2-4E84E415890D}"/>
    <cellStyle name="40% - Accent2 2 2 2 3 2 3 4" xfId="14360" xr:uid="{9FD70DDD-2337-4AC2-B61E-9841950E5EFC}"/>
    <cellStyle name="40% - Accent2 2 2 2 3 2 4" xfId="29120" xr:uid="{5DA3749C-5462-44D8-B316-BC8DE8AAF982}"/>
    <cellStyle name="40% - Accent2 2 2 2 3 2 4 2" xfId="29613" xr:uid="{C408D735-7585-4FF6-9AEA-6E051577CAF3}"/>
    <cellStyle name="40% - Accent2 2 2 2 3 2 4 2 2" xfId="15471" xr:uid="{7D3A4700-6D22-404D-B1A0-5AB9780EC06F}"/>
    <cellStyle name="40% - Accent2 2 2 2 3 2 4 3" xfId="14345" xr:uid="{0DBB7675-CD3C-4B2C-873E-BC5ADAA3429A}"/>
    <cellStyle name="40% - Accent2 2 2 2 3 2 5" xfId="16887" xr:uid="{ACDCF976-DDAE-40F0-A991-935A693E1B4D}"/>
    <cellStyle name="40% - Accent2 2 2 2 3 2 5 2" xfId="19058" xr:uid="{4CA13E21-8D60-4EED-8FE8-846A907BCF2D}"/>
    <cellStyle name="40% - Accent2 2 2 2 3 2 6" xfId="15470" xr:uid="{380D32D6-A504-47ED-B307-9BEA59CB6220}"/>
    <cellStyle name="40% - Accent2 2 2 2 3 3" xfId="28967" xr:uid="{9E3434B2-4106-4130-BD2C-A6134314FBFC}"/>
    <cellStyle name="40% - Accent2 2 2 2 3 3 2" xfId="22262" xr:uid="{E8E2C5FC-31A9-421B-A4C7-C7C95DCDA7D0}"/>
    <cellStyle name="40% - Accent2 2 2 2 3 3 2 2" xfId="33925" xr:uid="{704CB2AE-F756-49CF-BA05-D96E00C1F91B}"/>
    <cellStyle name="40% - Accent2 2 2 2 3 3 2 2 2" xfId="15469" xr:uid="{83BB2878-7160-4A67-BB5F-688385F4AAC8}"/>
    <cellStyle name="40% - Accent2 2 2 2 3 3 2 2 2 2" xfId="22819" xr:uid="{DA1D2E5F-0A4E-490F-B4F6-B053DA5B3CC0}"/>
    <cellStyle name="40% - Accent2 2 2 2 3 3 2 2 3" xfId="15468" xr:uid="{63592B09-E70E-4782-A5DE-9053640FD8B6}"/>
    <cellStyle name="40% - Accent2 2 2 2 3 3 2 3" xfId="14317" xr:uid="{4F1C98AD-1A4C-4951-B3A6-485FFBB9BCE7}"/>
    <cellStyle name="40% - Accent2 2 2 2 3 3 2 3 2" xfId="15467" xr:uid="{9629E296-6C75-404B-9572-85E6B99ECD48}"/>
    <cellStyle name="40% - Accent2 2 2 2 3 3 2 4" xfId="14306" xr:uid="{A5BAA63B-9035-49AF-B45C-55EB857BF6A1}"/>
    <cellStyle name="40% - Accent2 2 2 2 3 3 3" xfId="29119" xr:uid="{9DD8C39C-BAB3-4680-9FFF-7EBD72EBE8E1}"/>
    <cellStyle name="40% - Accent2 2 2 2 3 3 3 2" xfId="32444" xr:uid="{B431D3DF-A724-48F3-82AA-410FE1FEAD53}"/>
    <cellStyle name="40% - Accent2 2 2 2 3 3 3 2 2" xfId="15466" xr:uid="{9E8815C7-FEDB-484B-8A71-0BE90A4BF861}"/>
    <cellStyle name="40% - Accent2 2 2 2 3 3 3 3" xfId="14298" xr:uid="{C3F370B3-1C00-47A0-84E0-C9A3DD741C8A}"/>
    <cellStyle name="40% - Accent2 2 2 2 3 3 4" xfId="16883" xr:uid="{61F1E850-880F-4971-8898-847DA0B9E53C}"/>
    <cellStyle name="40% - Accent2 2 2 2 3 3 4 2" xfId="19034" xr:uid="{7F45CFD3-BE04-4EF4-9889-2D6F33B71A92}"/>
    <cellStyle name="40% - Accent2 2 2 2 3 3 5" xfId="15465" xr:uid="{A82DC580-3766-4862-8B59-4B3005726856}"/>
    <cellStyle name="40% - Accent2 2 2 2 3 4" xfId="15464" xr:uid="{A95DEA53-0CED-4612-9510-CF77B52D7F4C}"/>
    <cellStyle name="40% - Accent2 2 2 2 3 4 2" xfId="15463" xr:uid="{5FB3AC4F-06B3-405C-9A0D-AF8F2F535DBB}"/>
    <cellStyle name="40% - Accent2 2 2 2 3 4 2 2" xfId="26222" xr:uid="{5D0A5FA3-FB99-418B-B0F6-C4A0C7BCD500}"/>
    <cellStyle name="40% - Accent2 2 2 2 3 4 2 2 2" xfId="15462" xr:uid="{6A110B4A-4230-4261-85D5-A7189C2B665A}"/>
    <cellStyle name="40% - Accent2 2 2 2 3 4 2 3" xfId="14273" xr:uid="{C996116D-0178-4539-A895-81B558D44D68}"/>
    <cellStyle name="40% - Accent2 2 2 2 3 4 3" xfId="26769" xr:uid="{B2C30FB9-F308-4C6C-B848-FB597F86152C}"/>
    <cellStyle name="40% - Accent2 2 2 2 3 4 3 2" xfId="19029" xr:uid="{2254496B-E0DB-4773-917B-5DFA69C6A269}"/>
    <cellStyle name="40% - Accent2 2 2 2 3 4 4" xfId="15461" xr:uid="{4D5A011A-E377-4163-93EC-DA0D33CC6602}"/>
    <cellStyle name="40% - Accent2 2 2 2 3 5" xfId="15459" xr:uid="{A34CB2A2-3712-4546-8DA2-CD0C5E94F47E}"/>
    <cellStyle name="40% - Accent2 2 2 2 3 5 2" xfId="15457" xr:uid="{B1EF8950-7C60-4EBE-9A66-9B42E8CE78E0}"/>
    <cellStyle name="40% - Accent2 2 2 2 3 5 2 2" xfId="24351" xr:uid="{396716DB-9861-4B24-8CC7-22A02DF2C5A7}"/>
    <cellStyle name="40% - Accent2 2 2 2 3 5 3" xfId="10281" xr:uid="{F4153680-56E5-4C0B-86D9-704DBCA413E7}"/>
    <cellStyle name="40% - Accent2 2 2 2 3 6" xfId="15455" xr:uid="{93D67443-15FE-4344-A02B-137B7149F467}"/>
    <cellStyle name="40% - Accent2 2 2 2 3 6 2" xfId="15453" xr:uid="{06474CF6-7BAB-4188-B7DA-9E95FA92674C}"/>
    <cellStyle name="40% - Accent2 2 2 2 3 7" xfId="11983" xr:uid="{7505DD97-5BEA-4749-95AA-B207B68BD90D}"/>
    <cellStyle name="40% - Accent2 2 2 2 4" xfId="15450" xr:uid="{696547C3-6877-430F-AD2C-8B9B2BC28E77}"/>
    <cellStyle name="40% - Accent2 2 2 2 4 2" xfId="15449" xr:uid="{A0CDF51F-6D0C-4073-8B31-50EC6E987D51}"/>
    <cellStyle name="40% - Accent2 2 2 2 4 2 2" xfId="30348" xr:uid="{A2ED2EA2-F6B2-413F-B97E-00EC7FC5F8BB}"/>
    <cellStyle name="40% - Accent2 2 2 2 4 2 2 2" xfId="10910" xr:uid="{ABA3850A-A3B9-4465-A098-CCE509FFD1F2}"/>
    <cellStyle name="40% - Accent2 2 2 2 4 2 2 2 2" xfId="15447" xr:uid="{8ADDE2CB-29FE-4569-BF99-728DB4544F31}"/>
    <cellStyle name="40% - Accent2 2 2 2 4 2 2 2 2 2" xfId="15446" xr:uid="{A258DEDF-1D14-425E-9EE9-62F84807CB89}"/>
    <cellStyle name="40% - Accent2 2 2 2 4 2 2 2 3" xfId="15444" xr:uid="{32AF04AF-75C2-473B-97A6-F2769A24DB12}"/>
    <cellStyle name="40% - Accent2 2 2 2 4 2 2 3" xfId="13978" xr:uid="{20B7EF2C-A8BC-4209-AB3E-86C60063307D}"/>
    <cellStyle name="40% - Accent2 2 2 2 4 2 2 3 2" xfId="15443" xr:uid="{582BC3EF-6BA6-4795-A63E-7E30682D414D}"/>
    <cellStyle name="40% - Accent2 2 2 2 4 2 2 4" xfId="13971" xr:uid="{90A66625-0C2F-47F4-BA1C-F028F316C78D}"/>
    <cellStyle name="40% - Accent2 2 2 2 4 2 3" xfId="12111" xr:uid="{129DC365-C868-4515-B8E7-62FC1E7EFB51}"/>
    <cellStyle name="40% - Accent2 2 2 2 4 2 3 2" xfId="18134" xr:uid="{16AFE028-DA3A-400B-9E6C-9E608DF852EA}"/>
    <cellStyle name="40% - Accent2 2 2 2 4 2 3 2 2" xfId="21872" xr:uid="{3E944D66-AF01-4211-9480-5E091015E140}"/>
    <cellStyle name="40% - Accent2 2 2 2 4 2 3 3" xfId="13962" xr:uid="{BC1D322F-567A-4FF1-86E9-F0DDAF67539D}"/>
    <cellStyle name="40% - Accent2 2 2 2 4 2 4" xfId="16881" xr:uid="{4ABE4E6E-D4FB-48B5-88E4-93DEC8B9264A}"/>
    <cellStyle name="40% - Accent2 2 2 2 4 2 4 2" xfId="18029" xr:uid="{FCC156C0-1D4C-4B6E-9DB8-313D22E1425B}"/>
    <cellStyle name="40% - Accent2 2 2 2 4 2 5" xfId="15442" xr:uid="{267CD3E1-5974-4BE6-9FC9-9F205CD85187}"/>
    <cellStyle name="40% - Accent2 2 2 2 4 3" xfId="15440" xr:uid="{770BE1F8-D95D-482B-AB36-D5B6090E8B44}"/>
    <cellStyle name="40% - Accent2 2 2 2 4 3 2" xfId="15438" xr:uid="{CE703973-5EEF-4591-A38D-0E362F20F3FB}"/>
    <cellStyle name="40% - Accent2 2 2 2 4 3 2 2" xfId="34400" xr:uid="{84823452-B090-4ADE-81C4-DBF5955FB0B7}"/>
    <cellStyle name="40% - Accent2 2 2 2 4 3 2 2 2" xfId="20513" xr:uid="{CCB4890E-9389-47EF-85DD-E59A5F73F080}"/>
    <cellStyle name="40% - Accent2 2 2 2 4 3 2 3" xfId="13942" xr:uid="{2632A761-87E7-4193-833A-F85AC79C7111}"/>
    <cellStyle name="40% - Accent2 2 2 2 4 3 3" xfId="15437" xr:uid="{9DB44D5F-563E-460F-A032-73AE1CAF5472}"/>
    <cellStyle name="40% - Accent2 2 2 2 4 3 3 2" xfId="18503" xr:uid="{FF555848-6CE1-495A-9E35-48DF666536F5}"/>
    <cellStyle name="40% - Accent2 2 2 2 4 3 4" xfId="15436" xr:uid="{83D3236E-43CA-4891-BAA0-1C3DF8BF7712}"/>
    <cellStyle name="40% - Accent2 2 2 2 4 4" xfId="15435" xr:uid="{B9D4274A-3EEA-4400-A1A6-C8EC94471E48}"/>
    <cellStyle name="40% - Accent2 2 2 2 4 4 2" xfId="15434" xr:uid="{523AA609-797C-4DA2-835B-223CEA4F3105}"/>
    <cellStyle name="40% - Accent2 2 2 2 4 4 2 2" xfId="32946" xr:uid="{9C7EC51D-28B3-4136-AA21-DF7852E84201}"/>
    <cellStyle name="40% - Accent2 2 2 2 4 4 3" xfId="33273" xr:uid="{D675D8BA-7EB8-403D-AA69-B50ED81FAAEA}"/>
    <cellStyle name="40% - Accent2 2 2 2 4 5" xfId="15433" xr:uid="{9426BEA5-6E7F-413F-B8FC-6EC53522B789}"/>
    <cellStyle name="40% - Accent2 2 2 2 4 5 2" xfId="10268" xr:uid="{4FEC36C2-E167-459E-8A42-D00313952A4A}"/>
    <cellStyle name="40% - Accent2 2 2 2 4 6" xfId="11975" xr:uid="{33B4A3E4-8B9C-4B40-A9E5-35C24259B3E7}"/>
    <cellStyle name="40% - Accent2 2 2 2 5" xfId="15431" xr:uid="{3F51DA87-05F5-4DAD-B9F9-B4721159840C}"/>
    <cellStyle name="40% - Accent2 2 2 2 5 2" xfId="15430" xr:uid="{7702402A-1060-49D8-9E5F-42ED9995A0BE}"/>
    <cellStyle name="40% - Accent2 2 2 2 5 2 2" xfId="15427" xr:uid="{FB33B467-B80D-4897-BCF5-3FAC08C66E0D}"/>
    <cellStyle name="40% - Accent2 2 2 2 5 2 2 2" xfId="24429" xr:uid="{596A2D75-BB54-43A7-BF2B-1EE7D934266F}"/>
    <cellStyle name="40% - Accent2 2 2 2 5 2 2 2 2" xfId="15425" xr:uid="{2CCE802F-277A-48DE-B186-414FE7379D9A}"/>
    <cellStyle name="40% - Accent2 2 2 2 5 2 2 3" xfId="13814" xr:uid="{63BF9261-95D9-4C60-9499-6C9A9F3AB329}"/>
    <cellStyle name="40% - Accent2 2 2 2 5 2 3" xfId="15424" xr:uid="{E2B96760-61BE-49A6-B1F8-D173DE005173}"/>
    <cellStyle name="40% - Accent2 2 2 2 5 2 3 2" xfId="18303" xr:uid="{03DB785B-0371-42C8-B066-B98E0ABC264E}"/>
    <cellStyle name="40% - Accent2 2 2 2 5 2 4" xfId="15423" xr:uid="{52385049-6F3E-4348-9A46-3780C5632C56}"/>
    <cellStyle name="40% - Accent2 2 2 2 5 3" xfId="15422" xr:uid="{E4A24EC9-7C36-4C50-BA89-77CFF2EA8FD9}"/>
    <cellStyle name="40% - Accent2 2 2 2 5 3 2" xfId="15420" xr:uid="{4158856E-143F-4D4E-8DB5-38E87B1C0CBD}"/>
    <cellStyle name="40% - Accent2 2 2 2 5 3 2 2" xfId="14258" xr:uid="{75E39D37-213D-42B2-8882-34B14F5513CA}"/>
    <cellStyle name="40% - Accent2 2 2 2 5 3 3" xfId="15419" xr:uid="{FFA71759-2471-409B-B365-7F0AA4695608}"/>
    <cellStyle name="40% - Accent2 2 2 2 5 4" xfId="15418" xr:uid="{D04C9136-B646-4FAD-AD27-A085ED00D705}"/>
    <cellStyle name="40% - Accent2 2 2 2 5 4 2" xfId="15417" xr:uid="{702DFBDA-8DAC-41A0-8179-414EC17A74B2}"/>
    <cellStyle name="40% - Accent2 2 2 2 5 5" xfId="10254" xr:uid="{756FE455-2083-4235-B162-084A614120B3}"/>
    <cellStyle name="40% - Accent2 2 2 2 6" xfId="20819" xr:uid="{840969F6-DD5C-4DAE-93F2-9EB18675055E}"/>
    <cellStyle name="40% - Accent2 2 2 2 6 2" xfId="20817" xr:uid="{B5B4802A-F75E-404F-A71C-509FE14532ED}"/>
    <cellStyle name="40% - Accent2 2 2 2 6 2 2" xfId="23517" xr:uid="{2CD654E8-71D5-4F46-9707-854B6C72EE84}"/>
    <cellStyle name="40% - Accent2 2 2 2 6 2 2 2" xfId="21621" xr:uid="{34B19FB8-9205-4E08-BB75-A71BF1CD956E}"/>
    <cellStyle name="40% - Accent2 2 2 2 6 2 3" xfId="21473" xr:uid="{245D5BE3-FB59-4A5D-B100-2D07A20BD5EF}"/>
    <cellStyle name="40% - Accent2 2 2 2 6 3" xfId="20811" xr:uid="{64D2FB31-9735-4E8E-B4B8-24F85F3E8A91}"/>
    <cellStyle name="40% - Accent2 2 2 2 6 3 2" xfId="21462" xr:uid="{049319B9-5EDE-4AF3-A396-FA2FE7619024}"/>
    <cellStyle name="40% - Accent2 2 2 2 6 4" xfId="20806" xr:uid="{7B675486-1ABC-4066-A576-C28759A634EA}"/>
    <cellStyle name="40% - Accent2 2 2 2 7" xfId="24136" xr:uid="{957E0379-3CC9-42F9-A37B-C3B6CEA1C0D6}"/>
    <cellStyle name="40% - Accent2 2 2 2 7 2" xfId="20803" xr:uid="{6E36C2B3-1B8A-4CD0-BB24-437B014D97F0}"/>
    <cellStyle name="40% - Accent2 2 2 2 7 2 2" xfId="21441" xr:uid="{ABF01880-70A7-4377-A07D-5199BE38083F}"/>
    <cellStyle name="40% - Accent2 2 2 2 7 3" xfId="20801" xr:uid="{370E75E2-DE68-4E61-9428-B555431F63E2}"/>
    <cellStyle name="40% - Accent2 2 2 2 8" xfId="20799" xr:uid="{A3B995F0-A37B-4090-AFDC-44BC3E413C83}"/>
    <cellStyle name="40% - Accent2 2 2 2 8 2" xfId="20797" xr:uid="{8C391885-B22B-4CBC-B28B-7693AF49319F}"/>
    <cellStyle name="40% - Accent2 2 2 2 9" xfId="23154" xr:uid="{FF35617F-8204-436F-878A-E63D5EBCEA52}"/>
    <cellStyle name="40% - Accent2 2 2 3" xfId="27323" xr:uid="{84DF5BB4-1158-4DE7-B883-B889ABC18DDF}"/>
    <cellStyle name="40% - Accent2 2 2 3 2" xfId="15416" xr:uid="{AA48EDC4-C6FB-4B50-A097-521289057964}"/>
    <cellStyle name="40% - Accent2 2 2 3 2 2" xfId="15415" xr:uid="{4901341D-FAB6-44D4-AE08-103D2A879151}"/>
    <cellStyle name="40% - Accent2 2 2 3 2 2 2" xfId="15414" xr:uid="{AFA81871-9BE4-456E-90C5-ABC5E4ABFF14}"/>
    <cellStyle name="40% - Accent2 2 2 3 2 2 2 2" xfId="17772" xr:uid="{EA3C223A-C88E-42CA-8E27-C385EDB9B1B2}"/>
    <cellStyle name="40% - Accent2 2 2 3 2 2 2 2 2" xfId="15413" xr:uid="{04F0D8ED-40F3-46B0-87F8-669ABED6231C}"/>
    <cellStyle name="40% - Accent2 2 2 3 2 2 2 2 2 2" xfId="14513" xr:uid="{0E9B92C9-89DD-447C-AB06-5B0B635416A8}"/>
    <cellStyle name="40% - Accent2 2 2 3 2 2 2 2 2 2 2" xfId="28056" xr:uid="{97972776-70A2-42DA-AAD7-421250A6D627}"/>
    <cellStyle name="40% - Accent2 2 2 3 2 2 2 2 2 3" xfId="15412" xr:uid="{DB67E8C6-C09A-4735-9DF4-133D7672991C}"/>
    <cellStyle name="40% - Accent2 2 2 3 2 2 2 2 3" xfId="15409" xr:uid="{5D7DDF52-464C-4725-95A0-ABE5797479C9}"/>
    <cellStyle name="40% - Accent2 2 2 3 2 2 2 2 3 2" xfId="15407" xr:uid="{9F6591EE-ABAF-48A7-88C2-57198C7E828E}"/>
    <cellStyle name="40% - Accent2 2 2 3 2 2 2 2 4" xfId="15403" xr:uid="{8CFF44A1-7B77-45A2-A9E4-C7ABC00CC342}"/>
    <cellStyle name="40% - Accent2 2 2 3 2 2 2 3" xfId="11342" xr:uid="{AF790A3D-209D-40CA-BBC8-47B179B19CD6}"/>
    <cellStyle name="40% - Accent2 2 2 3 2 2 2 3 2" xfId="15400" xr:uid="{154C556F-DF70-46ED-8792-211C9FE5AE1A}"/>
    <cellStyle name="40% - Accent2 2 2 3 2 2 2 3 2 2" xfId="15399" xr:uid="{D8DE61AC-51B4-4C0C-800D-D727FD40C507}"/>
    <cellStyle name="40% - Accent2 2 2 3 2 2 2 3 3" xfId="15396" xr:uid="{296B2930-6C0D-4DA5-B28D-887B7777F0B8}"/>
    <cellStyle name="40% - Accent2 2 2 3 2 2 2 4" xfId="14749" xr:uid="{3DF95EB0-4D52-4D33-A41C-BF241A6D844A}"/>
    <cellStyle name="40% - Accent2 2 2 3 2 2 2 4 2" xfId="15394" xr:uid="{7CAF06FF-A454-408A-9596-80C7465858FC}"/>
    <cellStyle name="40% - Accent2 2 2 3 2 2 2 5" xfId="14733" xr:uid="{7051AD4B-816E-4C2C-A3FD-3717E79EE432}"/>
    <cellStyle name="40% - Accent2 2 2 3 2 2 3" xfId="15392" xr:uid="{8C8E3A6F-39C5-4842-8FAE-34EC88060EFE}"/>
    <cellStyle name="40% - Accent2 2 2 3 2 2 3 2" xfId="24443" xr:uid="{35F18AC8-8CBF-487F-BBA4-18934EB6D0D2}"/>
    <cellStyle name="40% - Accent2 2 2 3 2 2 3 2 2" xfId="19685" xr:uid="{741556BA-9D86-47A3-AC7B-5CDC1A01D6AB}"/>
    <cellStyle name="40% - Accent2 2 2 3 2 2 3 2 2 2" xfId="15390" xr:uid="{F969CBB9-0935-412F-8A14-60AC5BF333A1}"/>
    <cellStyle name="40% - Accent2 2 2 3 2 2 3 2 3" xfId="19672" xr:uid="{9F894E43-75FE-4844-9BA6-811499B8AF61}"/>
    <cellStyle name="40% - Accent2 2 2 3 2 2 3 3" xfId="9016" xr:uid="{B2BFFA11-D1A1-4344-8C26-62541D141886}"/>
    <cellStyle name="40% - Accent2 2 2 3 2 2 3 3 2" xfId="19660" xr:uid="{77CAF224-C49E-4FBC-8126-61365670FA5E}"/>
    <cellStyle name="40% - Accent2 2 2 3 2 2 3 4" xfId="14693" xr:uid="{9645A4C6-2CCC-48CD-B073-19FA229C28E5}"/>
    <cellStyle name="40% - Accent2 2 2 3 2 2 4" xfId="16858" xr:uid="{3931DBCC-A581-4544-9457-902339FA5D36}"/>
    <cellStyle name="40% - Accent2 2 2 3 2 2 4 2" xfId="30804" xr:uid="{B5345B7B-26C6-47A0-9920-F1296A6B0964}"/>
    <cellStyle name="40% - Accent2 2 2 3 2 2 4 2 2" xfId="30162" xr:uid="{2B1C6461-35E0-47BF-8252-0FF68FB9B17D}"/>
    <cellStyle name="40% - Accent2 2 2 3 2 2 4 3" xfId="9010" xr:uid="{387F5BCE-6889-4FC2-B971-0525193F8D01}"/>
    <cellStyle name="40% - Accent2 2 2 3 2 2 5" xfId="16853" xr:uid="{5BBE72F7-A9D0-440A-81B7-056F370CE43A}"/>
    <cellStyle name="40% - Accent2 2 2 3 2 2 5 2" xfId="15388" xr:uid="{B9074CC3-A047-4481-82F2-DFD5CF8B75A2}"/>
    <cellStyle name="40% - Accent2 2 2 3 2 2 6" xfId="15387" xr:uid="{66251BD5-E43C-4B7E-B6B4-586AC09DC61F}"/>
    <cellStyle name="40% - Accent2 2 2 3 2 3" xfId="15386" xr:uid="{BBC88EE3-E1C8-4696-B1F7-FF1F71913181}"/>
    <cellStyle name="40% - Accent2 2 2 3 2 3 2" xfId="22232" xr:uid="{3C37C3F6-EEDB-472E-963D-CC47E50AF0CB}"/>
    <cellStyle name="40% - Accent2 2 2 3 2 3 2 2" xfId="17757" xr:uid="{664F6BFE-06E1-4D9E-85CF-DEBC8F0096BF}"/>
    <cellStyle name="40% - Accent2 2 2 3 2 3 2 2 2" xfId="15385" xr:uid="{4C8B6719-B662-4266-A274-8C4F316DAC2B}"/>
    <cellStyle name="40% - Accent2 2 2 3 2 3 2 2 2 2" xfId="20915" xr:uid="{104F7BF1-81A4-4BBC-8FAF-5C273AEFC58B}"/>
    <cellStyle name="40% - Accent2 2 2 3 2 3 2 2 3" xfId="15384" xr:uid="{DA4BE1D3-1724-4B64-A014-075492B5CD2D}"/>
    <cellStyle name="40% - Accent2 2 2 3 2 3 2 3" xfId="8998" xr:uid="{5DD70F80-E1FE-4A10-BB71-A689B29FAC66}"/>
    <cellStyle name="40% - Accent2 2 2 3 2 3 2 3 2" xfId="34346" xr:uid="{21DC8BF9-0B87-4017-BDF8-06574D223F24}"/>
    <cellStyle name="40% - Accent2 2 2 3 2 3 2 4" xfId="14283" xr:uid="{FC74935C-3AA0-4E7D-83D2-387A02B87517}"/>
    <cellStyle name="40% - Accent2 2 2 3 2 3 3" xfId="15382" xr:uid="{3242A2BE-6B10-4657-AFBF-AC5919ACAF21}"/>
    <cellStyle name="40% - Accent2 2 2 3 2 3 3 2" xfId="24436" xr:uid="{4BE4723C-F115-4E27-87EC-BE38A236B779}"/>
    <cellStyle name="40% - Accent2 2 2 3 2 3 3 2 2" xfId="19536" xr:uid="{C86223D0-4DD8-4398-8F54-FCF95F7F0B95}"/>
    <cellStyle name="40% - Accent2 2 2 3 2 3 3 3" xfId="8990" xr:uid="{FDD2C560-8C52-41AB-ACA2-230D0F4B4DE7}"/>
    <cellStyle name="40% - Accent2 2 2 3 2 3 4" xfId="33169" xr:uid="{82DA302B-11FB-42F4-ACCD-06EDE13D0515}"/>
    <cellStyle name="40% - Accent2 2 2 3 2 3 4 2" xfId="9120" xr:uid="{734EB6CD-B4C6-4F05-BF0D-005368565DC0}"/>
    <cellStyle name="40% - Accent2 2 2 3 2 3 5" xfId="27453" xr:uid="{ACD68AF4-63C2-4CE2-AD43-BB50B171ADE6}"/>
    <cellStyle name="40% - Accent2 2 2 3 2 4" xfId="15381" xr:uid="{9026021B-A28D-43A7-8FF7-0F37CC9308EC}"/>
    <cellStyle name="40% - Accent2 2 2 3 2 4 2" xfId="15380" xr:uid="{35CDFC36-3E92-48FF-8176-8F1DEAB40103}"/>
    <cellStyle name="40% - Accent2 2 2 3 2 4 2 2" xfId="17745" xr:uid="{058594E1-98AC-4416-B2F4-E5EB33EAA996}"/>
    <cellStyle name="40% - Accent2 2 2 3 2 4 2 2 2" xfId="15378" xr:uid="{392F3EC9-B0C0-4C97-9337-FAAB322D8C4A}"/>
    <cellStyle name="40% - Accent2 2 2 3 2 4 2 3" xfId="13929" xr:uid="{78AE242A-C454-4E0D-97CA-6A2737FBFABC}"/>
    <cellStyle name="40% - Accent2 2 2 3 2 4 3" xfId="15377" xr:uid="{6B7A5741-5B09-4175-A1A6-0A72B242CE0B}"/>
    <cellStyle name="40% - Accent2 2 2 3 2 4 3 2" xfId="15375" xr:uid="{6D76314F-32FD-4B89-B50D-1463469C5D65}"/>
    <cellStyle name="40% - Accent2 2 2 3 2 4 4" xfId="33910" xr:uid="{24B5D23A-9657-47AC-AB96-22A5F889343E}"/>
    <cellStyle name="40% - Accent2 2 2 3 2 5" xfId="9548" xr:uid="{CE21ED8D-D50B-4003-BDE0-CF10DC699C1C}"/>
    <cellStyle name="40% - Accent2 2 2 3 2 5 2" xfId="9546" xr:uid="{5FA37E5E-6A8E-4A9E-AE4E-64880998B5CB}"/>
    <cellStyle name="40% - Accent2 2 2 3 2 5 2 2" xfId="24729" xr:uid="{451DB8C6-3816-46AB-84C3-4675A48249A1}"/>
    <cellStyle name="40% - Accent2 2 2 3 2 5 3" xfId="9540" xr:uid="{2B5D7CD1-F659-4472-937F-24D36B5C8280}"/>
    <cellStyle name="40% - Accent2 2 2 3 2 6" xfId="12249" xr:uid="{D788CDDD-EABD-432B-AE44-A8DF8B13D732}"/>
    <cellStyle name="40% - Accent2 2 2 3 2 6 2" xfId="12245" xr:uid="{624CFC83-40BA-450D-BBDB-0D47090E96DF}"/>
    <cellStyle name="40% - Accent2 2 2 3 2 7" xfId="12238" xr:uid="{C1C3FA7D-5DC7-4063-8984-7CD1BCCAC91F}"/>
    <cellStyle name="40% - Accent2 2 2 3 3" xfId="15374" xr:uid="{0F6C9DB7-AD29-46A3-B298-63D24D5776B1}"/>
    <cellStyle name="40% - Accent2 2 2 3 3 2" xfId="15373" xr:uid="{5859ABB9-BD0A-42E3-A9AF-52181A8E899E}"/>
    <cellStyle name="40% - Accent2 2 2 3 3 2 2" xfId="21940" xr:uid="{FC9C2ED7-C71A-43B6-8762-06467853EA7D}"/>
    <cellStyle name="40% - Accent2 2 2 3 3 2 2 2" xfId="17731" xr:uid="{93E88367-FBCE-489F-881C-023040DFE6B6}"/>
    <cellStyle name="40% - Accent2 2 2 3 3 2 2 2 2" xfId="15371" xr:uid="{86AF4D3C-A5BA-4D3B-BCF2-E28609317317}"/>
    <cellStyle name="40% - Accent2 2 2 3 3 2 2 2 2 2" xfId="15370" xr:uid="{CF333319-D68C-4EDC-B32B-A39A0BAA3182}"/>
    <cellStyle name="40% - Accent2 2 2 3 3 2 2 2 3" xfId="15369" xr:uid="{256F23A0-E9CB-4D20-9589-3C4726BF7385}"/>
    <cellStyle name="40% - Accent2 2 2 3 3 2 2 3" xfId="12797" xr:uid="{65B14E60-D19D-493E-B68E-A230931534CD}"/>
    <cellStyle name="40% - Accent2 2 2 3 3 2 2 3 2" xfId="15365" xr:uid="{3EC111C0-B7FC-4F48-BC8F-70464AD9EEF5}"/>
    <cellStyle name="40% - Accent2 2 2 3 3 2 2 4" xfId="12769" xr:uid="{3CD79657-5E24-4708-860D-F424802B4572}"/>
    <cellStyle name="40% - Accent2 2 2 3 3 2 3" xfId="21938" xr:uid="{1BE17444-78A6-456E-90DB-CA05083C1414}"/>
    <cellStyle name="40% - Accent2 2 2 3 3 2 3 2" xfId="24404" xr:uid="{898D2DE2-F8FF-4E04-84AB-A255F74E14DB}"/>
    <cellStyle name="40% - Accent2 2 2 3 3 2 3 2 2" xfId="23725" xr:uid="{CAA4E850-D867-450D-BF36-B8CA38A679E1}"/>
    <cellStyle name="40% - Accent2 2 2 3 3 2 3 3" xfId="13618" xr:uid="{B48FF0FB-A7F9-4D86-9623-8C0275CBA0C7}"/>
    <cellStyle name="40% - Accent2 2 2 3 3 2 4" xfId="16850" xr:uid="{A13DD5DC-238D-468F-992B-38C4A95D2161}"/>
    <cellStyle name="40% - Accent2 2 2 3 3 2 4 2" xfId="15364" xr:uid="{38FDCF14-019F-4066-B927-C1D289833BEC}"/>
    <cellStyle name="40% - Accent2 2 2 3 3 2 5" xfId="18951" xr:uid="{76FB3ABA-4BEC-4F2D-84C5-5D41CFFE2600}"/>
    <cellStyle name="40% - Accent2 2 2 3 3 3" xfId="15360" xr:uid="{1F711D80-8D5E-43D8-8799-37A2EFEED679}"/>
    <cellStyle name="40% - Accent2 2 2 3 3 3 2" xfId="21920" xr:uid="{B5619295-A5BB-4888-8BC3-8BDB05241390}"/>
    <cellStyle name="40% - Accent2 2 2 3 3 3 2 2" xfId="17717" xr:uid="{00691A65-7428-46EB-82DD-7E7765D9B108}"/>
    <cellStyle name="40% - Accent2 2 2 3 3 3 2 2 2" xfId="33275" xr:uid="{2B50DB16-16CE-4A5B-9ABA-D86CD4FE7525}"/>
    <cellStyle name="40% - Accent2 2 2 3 3 3 2 3" xfId="12298" xr:uid="{10F8B551-2A13-486B-8A21-63E723FF0F5D}"/>
    <cellStyle name="40% - Accent2 2 2 3 3 3 3" xfId="15357" xr:uid="{2F067306-4C0A-4BD0-9D8E-DF8CE8579C02}"/>
    <cellStyle name="40% - Accent2 2 2 3 3 3 3 2" xfId="15356" xr:uid="{7010F510-DB4E-47EA-AD96-1546A95CDC8F}"/>
    <cellStyle name="40% - Accent2 2 2 3 3 3 4" xfId="32421" xr:uid="{1D74AE3A-CBB5-4ECC-B199-61D4FC246F57}"/>
    <cellStyle name="40% - Accent2 2 2 3 3 4" xfId="15355" xr:uid="{EB6CFAD2-F435-44B6-BF95-E0B64B478D49}"/>
    <cellStyle name="40% - Accent2 2 2 3 3 4 2" xfId="15354" xr:uid="{61239108-297C-452A-A6EA-EE16A88652F9}"/>
    <cellStyle name="40% - Accent2 2 2 3 3 4 2 2" xfId="15352" xr:uid="{5B7C1247-4EC5-4150-B381-97FD7E346F5B}"/>
    <cellStyle name="40% - Accent2 2 2 3 3 4 3" xfId="15351" xr:uid="{29F8002E-9A41-4D12-BEA0-8A41E6BE69B8}"/>
    <cellStyle name="40% - Accent2 2 2 3 3 5" xfId="15350" xr:uid="{EE050025-62D4-499D-B506-7C669F0C053E}"/>
    <cellStyle name="40% - Accent2 2 2 3 3 5 2" xfId="9530" xr:uid="{E9494D7A-62D6-46F4-83DD-29C76FDD099A}"/>
    <cellStyle name="40% - Accent2 2 2 3 3 6" xfId="12233" xr:uid="{049D96DE-527E-4A1B-B161-D54FE0B08A17}"/>
    <cellStyle name="40% - Accent2 2 2 3 4" xfId="15346" xr:uid="{24980F4A-C485-4411-94ED-68F8298033AE}"/>
    <cellStyle name="40% - Accent2 2 2 3 4 2" xfId="15345" xr:uid="{BCF7BD4B-3C59-4461-B973-7E287303CD1A}"/>
    <cellStyle name="40% - Accent2 2 2 3 4 2 2" xfId="21739" xr:uid="{94EA6B92-A09E-47AF-A8BA-BD29EF2B22D9}"/>
    <cellStyle name="40% - Accent2 2 2 3 4 2 2 2" xfId="31060" xr:uid="{1EF0A122-8CF2-4E23-BE01-90E9147CA994}"/>
    <cellStyle name="40% - Accent2 2 2 3 4 2 2 2 2" xfId="29172" xr:uid="{748042F8-DEAE-40DC-B96C-140B4B0F6988}"/>
    <cellStyle name="40% - Accent2 2 2 3 4 2 2 3" xfId="12041" xr:uid="{0311659C-00AE-4A6C-8FFE-602F095FE134}"/>
    <cellStyle name="40% - Accent2 2 2 3 4 2 3" xfId="15341" xr:uid="{963C14B5-458A-4388-84E9-3190E337AA8A}"/>
    <cellStyle name="40% - Accent2 2 2 3 4 2 3 2" xfId="15340" xr:uid="{549845C3-0837-4C68-9EDA-03166F398EAD}"/>
    <cellStyle name="40% - Accent2 2 2 3 4 2 4" xfId="15338" xr:uid="{FAC5B447-B267-4DE5-ACF1-BDB0F33B6149}"/>
    <cellStyle name="40% - Accent2 2 2 3 4 3" xfId="15337" xr:uid="{B284685F-0BC0-45E7-B825-65C604E58271}"/>
    <cellStyle name="40% - Accent2 2 2 3 4 3 2" xfId="15336" xr:uid="{1BF54C9D-CF97-438A-8FDC-286D488F8C16}"/>
    <cellStyle name="40% - Accent2 2 2 3 4 3 2 2" xfId="15335" xr:uid="{1DFB9563-A567-471D-8C55-CDA072C3B525}"/>
    <cellStyle name="40% - Accent2 2 2 3 4 3 3" xfId="15334" xr:uid="{9C7A857E-B60E-4D8F-829B-48686B049688}"/>
    <cellStyle name="40% - Accent2 2 2 3 4 4" xfId="15333" xr:uid="{99F5DC6B-FA38-46AA-B894-98EE75E9D8A3}"/>
    <cellStyle name="40% - Accent2 2 2 3 4 4 2" xfId="15332" xr:uid="{5C9FF467-8E2F-4C9A-83C7-E6BB68A1299C}"/>
    <cellStyle name="40% - Accent2 2 2 3 4 5" xfId="9520" xr:uid="{8CBF0E51-C566-47CA-86E9-B478EBD33779}"/>
    <cellStyle name="40% - Accent2 2 2 3 5" xfId="15327" xr:uid="{DB637E4A-DBC3-4438-A5A4-1771D76D3FD3}"/>
    <cellStyle name="40% - Accent2 2 2 3 5 2" xfId="15326" xr:uid="{1B1C66C7-30CF-48FB-9135-86FFD3D663D2}"/>
    <cellStyle name="40% - Accent2 2 2 3 5 2 2" xfId="15324" xr:uid="{3643C581-CF7E-42F9-A3F6-538725A407C6}"/>
    <cellStyle name="40% - Accent2 2 2 3 5 2 2 2" xfId="15323" xr:uid="{FFC378C2-BBAA-48F5-9085-75DFB995D721}"/>
    <cellStyle name="40% - Accent2 2 2 3 5 2 3" xfId="15322" xr:uid="{50D26F3A-2927-432D-B922-F4842E770B25}"/>
    <cellStyle name="40% - Accent2 2 2 3 5 3" xfId="15321" xr:uid="{57AC5CF2-ACC7-4CDF-A92D-273B824D48B1}"/>
    <cellStyle name="40% - Accent2 2 2 3 5 3 2" xfId="15320" xr:uid="{9702218E-826E-4C15-B189-4E76749C161F}"/>
    <cellStyle name="40% - Accent2 2 2 3 5 4" xfId="15319" xr:uid="{8EA12578-6B81-44CA-942C-446D2897E13A}"/>
    <cellStyle name="40% - Accent2 2 2 3 6" xfId="20791" xr:uid="{3B0CD098-B9B5-423F-8617-423E84504DF5}"/>
    <cellStyle name="40% - Accent2 2 2 3 6 2" xfId="16484" xr:uid="{23EDDF57-2CCB-4354-AE46-1869A2E840AF}"/>
    <cellStyle name="40% - Accent2 2 2 3 6 2 2" xfId="30436" xr:uid="{727C0391-5192-45B4-A784-52E9EC98D2EA}"/>
    <cellStyle name="40% - Accent2 2 2 3 6 3" xfId="16153" xr:uid="{CC0D6406-896B-4C03-8489-E9713E3FCC5E}"/>
    <cellStyle name="40% - Accent2 2 2 3 7" xfId="20783" xr:uid="{C9BDDC55-6354-4EF7-ABB7-37F4EC3D1E2B}"/>
    <cellStyle name="40% - Accent2 2 2 3 7 2" xfId="20781" xr:uid="{BD88DBEA-7088-45C4-A09B-566C264DCA03}"/>
    <cellStyle name="40% - Accent2 2 2 3 8" xfId="20779" xr:uid="{CF508A82-1389-4823-8847-CE71211853EF}"/>
    <cellStyle name="40% - Accent2 2 2 4" xfId="15318" xr:uid="{4507D8C4-66C1-4807-B60D-4DF6A542BBF9}"/>
    <cellStyle name="40% - Accent2 2 2 4 2" xfId="15317" xr:uid="{82F32694-7E0C-40D2-BC29-D2A3A039AEFA}"/>
    <cellStyle name="40% - Accent2 2 2 4 2 2" xfId="15315" xr:uid="{C68A0E89-44C3-4EFE-BD5F-45DCAA898EC3}"/>
    <cellStyle name="40% - Accent2 2 2 4 2 2 2" xfId="15312" xr:uid="{2BF319D7-E58E-4F7D-A24E-F37C0109C663}"/>
    <cellStyle name="40% - Accent2 2 2 4 2 2 2 2" xfId="17691" xr:uid="{EECBD4D4-1827-454C-A39A-54C02B20A2C2}"/>
    <cellStyle name="40% - Accent2 2 2 4 2 2 2 2 2" xfId="15311" xr:uid="{2DD08F6A-0650-411D-A5C8-7500A85266AC}"/>
    <cellStyle name="40% - Accent2 2 2 4 2 2 2 2 2 2" xfId="14048" xr:uid="{98532FD9-FB2E-43B5-935E-2CCC272E609F}"/>
    <cellStyle name="40% - Accent2 2 2 4 2 2 2 2 3" xfId="31493" xr:uid="{9C17952A-47B0-4DC0-A59D-53B723BEEB45}"/>
    <cellStyle name="40% - Accent2 2 2 4 2 2 2 3" xfId="11886" xr:uid="{09C36118-6406-4C47-BBD8-DFDE9807C0E4}"/>
    <cellStyle name="40% - Accent2 2 2 4 2 2 2 3 2" xfId="15309" xr:uid="{CC3A3D62-F207-4100-9853-14B7F8A35098}"/>
    <cellStyle name="40% - Accent2 2 2 4 2 2 2 4" xfId="10552" xr:uid="{ECFFB263-569E-4A53-AB02-90D22ECE80F6}"/>
    <cellStyle name="40% - Accent2 2 2 4 2 2 3" xfId="15308" xr:uid="{C2BA095A-ECB5-492C-89AE-8AC99F744DCD}"/>
    <cellStyle name="40% - Accent2 2 2 4 2 2 3 2" xfId="24083" xr:uid="{830B6F41-275B-4113-912D-66A3F92457F9}"/>
    <cellStyle name="40% - Accent2 2 2 4 2 2 3 2 2" xfId="18834" xr:uid="{AF9F7241-B366-4A63-8E30-DF12DB7E3089}"/>
    <cellStyle name="40% - Accent2 2 2 4 2 2 3 3" xfId="13575" xr:uid="{C448E751-3792-4684-AFA7-719D6A9275F3}"/>
    <cellStyle name="40% - Accent2 2 2 4 2 2 4" xfId="25169" xr:uid="{B101092B-A678-4E24-A983-E660E8D3EFB5}"/>
    <cellStyle name="40% - Accent2 2 2 4 2 2 4 2" xfId="27463" xr:uid="{665BD561-618C-4958-A502-0F2CDAF2CA41}"/>
    <cellStyle name="40% - Accent2 2 2 4 2 2 5" xfId="24737" xr:uid="{144AB82B-90F3-4848-BFAE-C255564C7B5E}"/>
    <cellStyle name="40% - Accent2 2 2 4 2 3" xfId="15307" xr:uid="{82BFFA8A-7547-4382-AAE0-D85A0ED5344B}"/>
    <cellStyle name="40% - Accent2 2 2 4 2 3 2" xfId="15305" xr:uid="{F24B6B00-EA4B-445A-B93E-1BBCB46A5288}"/>
    <cellStyle name="40% - Accent2 2 2 4 2 3 2 2" xfId="18948" xr:uid="{A285F582-1C90-4893-A19E-EE84C3369623}"/>
    <cellStyle name="40% - Accent2 2 2 4 2 3 2 2 2" xfId="15304" xr:uid="{16573AAA-FC22-4971-894A-05E22CF60AE8}"/>
    <cellStyle name="40% - Accent2 2 2 4 2 3 2 3" xfId="10392" xr:uid="{F9A9D302-39BF-4816-9458-B9C0EDA92F93}"/>
    <cellStyle name="40% - Accent2 2 2 4 2 3 3" xfId="15302" xr:uid="{70574433-B716-44F8-8DFD-25C0A9E6C985}"/>
    <cellStyle name="40% - Accent2 2 2 4 2 3 3 2" xfId="20743" xr:uid="{1280CADE-6D32-4B07-A303-EEB75F932E3D}"/>
    <cellStyle name="40% - Accent2 2 2 4 2 3 4" xfId="31781" xr:uid="{E9CCC2C3-3163-47EE-873A-D0C6E81BDC0D}"/>
    <cellStyle name="40% - Accent2 2 2 4 2 4" xfId="33638" xr:uid="{EFF96F18-D065-449B-9700-A3A33C2D2B8E}"/>
    <cellStyle name="40% - Accent2 2 2 4 2 4 2" xfId="15301" xr:uid="{8057288E-8ADF-4FB8-9632-ECCDE772208B}"/>
    <cellStyle name="40% - Accent2 2 2 4 2 4 2 2" xfId="15299" xr:uid="{9C74210A-9F96-4EBC-B328-FB45668F0C73}"/>
    <cellStyle name="40% - Accent2 2 2 4 2 4 3" xfId="15296" xr:uid="{021F0C52-E5BC-4755-9624-472D440A762F}"/>
    <cellStyle name="40% - Accent2 2 2 4 2 5" xfId="14029" xr:uid="{F39B148E-EBE9-4A02-BAC8-02CCDC5E6A33}"/>
    <cellStyle name="40% - Accent2 2 2 4 2 5 2" xfId="9354" xr:uid="{54A340A3-BFAC-4CCF-B2B7-9DE43B608B79}"/>
    <cellStyle name="40% - Accent2 2 2 4 2 6" xfId="12258" xr:uid="{496EBD07-03BB-420A-948F-D33CFB583059}"/>
    <cellStyle name="40% - Accent2 2 2 4 3" xfId="19616" xr:uid="{5184526E-273B-4DE5-8303-63E86567D3DD}"/>
    <cellStyle name="40% - Accent2 2 2 4 3 2" xfId="15295" xr:uid="{FBD97309-F110-44E1-8340-0D2E2D906931}"/>
    <cellStyle name="40% - Accent2 2 2 4 3 2 2" xfId="10093" xr:uid="{803C8709-488D-4829-987C-E453F3F71F3D}"/>
    <cellStyle name="40% - Accent2 2 2 4 3 2 2 2" xfId="17657" xr:uid="{8F7811DE-51DB-42B1-B5FC-0B3BBDBEFE2E}"/>
    <cellStyle name="40% - Accent2 2 2 4 3 2 2 2 2" xfId="15290" xr:uid="{78C395A2-335E-4209-A3B5-78C976EC8A94}"/>
    <cellStyle name="40% - Accent2 2 2 4 3 2 2 3" xfId="9675" xr:uid="{1CF7232C-BFF5-43EA-A631-CA7A03A05C99}"/>
    <cellStyle name="40% - Accent2 2 2 4 3 2 3" xfId="10089" xr:uid="{F63CC86B-0FDA-4031-82D2-1EFD4D8C136D}"/>
    <cellStyle name="40% - Accent2 2 2 4 3 2 3 2" xfId="15289" xr:uid="{B6FA6554-9BC9-4B4E-946B-AAEAF05E20F2}"/>
    <cellStyle name="40% - Accent2 2 2 4 3 2 4" xfId="29906" xr:uid="{4D2E1D80-033C-48C7-9EC5-23B91A62EB91}"/>
    <cellStyle name="40% - Accent2 2 2 4 3 3" xfId="15288" xr:uid="{0516F8D4-8EB9-4A8D-8D2D-2A299EC857ED}"/>
    <cellStyle name="40% - Accent2 2 2 4 3 3 2" xfId="10083" xr:uid="{3F698E01-9D83-42AF-BF42-ECE827163109}"/>
    <cellStyle name="40% - Accent2 2 2 4 3 3 2 2" xfId="15286" xr:uid="{BA1A051F-E722-4293-B2A4-1CBE98D729A3}"/>
    <cellStyle name="40% - Accent2 2 2 4 3 3 3" xfId="15284" xr:uid="{73BDA8E5-6698-4CA0-A1B3-AD6B9E592F3D}"/>
    <cellStyle name="40% - Accent2 2 2 4 3 4" xfId="33836" xr:uid="{0CF7BF72-D7AC-48A4-BE51-807F27A27EE2}"/>
    <cellStyle name="40% - Accent2 2 2 4 3 4 2" xfId="15282" xr:uid="{AC82D0AF-ACE7-4418-96CC-63A236496E95}"/>
    <cellStyle name="40% - Accent2 2 2 4 3 5" xfId="9346" xr:uid="{6C9A5E9B-E9C5-4989-904C-74BA79AF51CF}"/>
    <cellStyle name="40% - Accent2 2 2 4 4" xfId="33518" xr:uid="{0114DCBC-F957-4058-9394-8C2C0BB3D342}"/>
    <cellStyle name="40% - Accent2 2 2 4 4 2" xfId="15281" xr:uid="{9DEAD947-DB2C-4B3F-996C-C0B741352DC4}"/>
    <cellStyle name="40% - Accent2 2 2 4 4 2 2" xfId="9983" xr:uid="{81466F43-A310-4467-BC08-AB8F7AF81645}"/>
    <cellStyle name="40% - Accent2 2 2 4 4 2 2 2" xfId="21737" xr:uid="{5448C21D-8B19-4684-B051-E0F2FB6D9277}"/>
    <cellStyle name="40% - Accent2 2 2 4 4 2 3" xfId="15280" xr:uid="{DEF1DFF8-5B33-4E5A-801F-F3ECD4050C05}"/>
    <cellStyle name="40% - Accent2 2 2 4 4 3" xfId="15278" xr:uid="{91D5CC28-BD6B-47BF-AAEF-D229CBD94973}"/>
    <cellStyle name="40% - Accent2 2 2 4 4 3 2" xfId="15276" xr:uid="{40BA6B8E-424D-4C0E-88F2-964B908237BD}"/>
    <cellStyle name="40% - Accent2 2 2 4 4 4" xfId="31069" xr:uid="{399ECC0B-D0CB-4A11-BE37-15B9ACCCFF89}"/>
    <cellStyle name="40% - Accent2 2 2 4 5" xfId="15275" xr:uid="{7ED69F0F-9F67-46F6-8024-D2FAA15447B0}"/>
    <cellStyle name="40% - Accent2 2 2 4 5 2" xfId="15274" xr:uid="{C1172957-DBEB-4912-8C5D-70C1D26DE755}"/>
    <cellStyle name="40% - Accent2 2 2 4 5 2 2" xfId="17204" xr:uid="{914A7D23-5754-46C2-9512-E235710D5B1D}"/>
    <cellStyle name="40% - Accent2 2 2 4 5 3" xfId="15273" xr:uid="{B6348F26-883D-4FDC-BA3B-58038BFCBD84}"/>
    <cellStyle name="40% - Accent2 2 2 4 6" xfId="33251" xr:uid="{BF279654-31C2-45F6-A8BF-8F08F8E09BC8}"/>
    <cellStyle name="40% - Accent2 2 2 4 6 2" xfId="20776" xr:uid="{6F21204D-ACA8-4192-B913-F5612A58618C}"/>
    <cellStyle name="40% - Accent2 2 2 4 7" xfId="33121" xr:uid="{A76BDC97-C536-4963-A754-EAA69EE5065F}"/>
    <cellStyle name="40% - Accent2 2 2 5" xfId="19271" xr:uid="{22F55EF8-91D8-49ED-908D-95AAC99365E2}"/>
    <cellStyle name="40% - Accent2 2 2 5 2" xfId="19270" xr:uid="{E23A782E-ADC4-4A5A-B373-4C38BCF0E314}"/>
    <cellStyle name="40% - Accent2 2 2 5 2 2" xfId="15272" xr:uid="{89BA7882-7C59-4E2B-BA49-F1E1DF201A94}"/>
    <cellStyle name="40% - Accent2 2 2 5 2 2 2" xfId="15271" xr:uid="{F30E7A69-CAC0-44D0-BD45-CDF9F9C2D7E5}"/>
    <cellStyle name="40% - Accent2 2 2 5 2 2 2 2" xfId="17641" xr:uid="{8D63A652-E87C-4565-A679-36ED4390EBD1}"/>
    <cellStyle name="40% - Accent2 2 2 5 2 2 2 2 2" xfId="15269" xr:uid="{646FDA64-AC0B-4C06-8A92-EC846E3F38B1}"/>
    <cellStyle name="40% - Accent2 2 2 5 2 2 2 3" xfId="26761" xr:uid="{EDCD064E-B75F-4405-9C17-89B215269BFD}"/>
    <cellStyle name="40% - Accent2 2 2 5 2 2 3" xfId="15268" xr:uid="{7C985AE1-7242-4064-8B4B-49B7F727C4C3}"/>
    <cellStyle name="40% - Accent2 2 2 5 2 2 3 2" xfId="15267" xr:uid="{C647F236-56DE-48FD-8FB8-F5E9E9738495}"/>
    <cellStyle name="40% - Accent2 2 2 5 2 2 4" xfId="31749" xr:uid="{FEC6BC58-C8C3-4645-8194-B59008A2519F}"/>
    <cellStyle name="40% - Accent2 2 2 5 2 3" xfId="22987" xr:uid="{25DD8014-6F85-4B4B-871C-AB48E4911627}"/>
    <cellStyle name="40% - Accent2 2 2 5 2 3 2" xfId="15266" xr:uid="{04449BC1-A764-42C4-BA51-47E722A82574}"/>
    <cellStyle name="40% - Accent2 2 2 5 2 3 2 2" xfId="15265" xr:uid="{F9B35727-F7EF-4143-8DA0-F9A7EDD9C6FA}"/>
    <cellStyle name="40% - Accent2 2 2 5 2 3 3" xfId="15264" xr:uid="{7C108C45-B41F-4532-9167-2BA629D62CCA}"/>
    <cellStyle name="40% - Accent2 2 2 5 2 4" xfId="33792" xr:uid="{AA5C0497-BC84-4E04-B084-25E9149D519E}"/>
    <cellStyle name="40% - Accent2 2 2 5 2 4 2" xfId="15263" xr:uid="{9E20AB38-7E71-4BD1-90FE-8FFF919A406D}"/>
    <cellStyle name="40% - Accent2 2 2 5 2 5" xfId="9202" xr:uid="{C84D8BFC-0471-44C2-BC9F-D24512211B53}"/>
    <cellStyle name="40% - Accent2 2 2 5 3" xfId="19612" xr:uid="{871472C6-37FD-4130-9B5B-6B55AEFCD55D}"/>
    <cellStyle name="40% - Accent2 2 2 5 3 2" xfId="15261" xr:uid="{CCE8927B-70F0-424B-9D4B-BAFA7288BDFB}"/>
    <cellStyle name="40% - Accent2 2 2 5 3 2 2" xfId="9790" xr:uid="{33036BE2-D72F-409A-A4D1-9A04AF952531}"/>
    <cellStyle name="40% - Accent2 2 2 5 3 2 2 2" xfId="20917" xr:uid="{5044A058-6392-4D79-BBAC-029352D6E816}"/>
    <cellStyle name="40% - Accent2 2 2 5 3 2 3" xfId="15260" xr:uid="{3A6FDF89-C836-462C-9B8B-2F9F7C098704}"/>
    <cellStyle name="40% - Accent2 2 2 5 3 3" xfId="15259" xr:uid="{2A9BFD9E-3475-4F87-BB7B-A20EA3BDCBC7}"/>
    <cellStyle name="40% - Accent2 2 2 5 3 3 2" xfId="15257" xr:uid="{2549772A-C6AD-4658-BA6C-15D2C8C57DFE}"/>
    <cellStyle name="40% - Accent2 2 2 5 3 4" xfId="31042" xr:uid="{F2B5ECDD-36B9-47E7-AA52-9FEAB26918F5}"/>
    <cellStyle name="40% - Accent2 2 2 5 4" xfId="15256" xr:uid="{BAC51820-7862-4235-A7C1-5D6DB6B03580}"/>
    <cellStyle name="40% - Accent2 2 2 5 4 2" xfId="15255" xr:uid="{7E3B4375-A9E8-401A-8922-A64F97309E61}"/>
    <cellStyle name="40% - Accent2 2 2 5 4 2 2" xfId="15254" xr:uid="{486CF7C4-6B84-43EC-9A2D-9C61A7775CDE}"/>
    <cellStyle name="40% - Accent2 2 2 5 4 3" xfId="15253" xr:uid="{F8581E21-3A9B-4347-BE9C-FDF30747D3BD}"/>
    <cellStyle name="40% - Accent2 2 2 5 5" xfId="15252" xr:uid="{9772CD57-E36E-4129-B146-0985DCC65CBA}"/>
    <cellStyle name="40% - Accent2 2 2 5 5 2" xfId="29110" xr:uid="{A18938FD-B42E-4010-8809-44361665EAE5}"/>
    <cellStyle name="40% - Accent2 2 2 5 6" xfId="33235" xr:uid="{5E521334-387E-4EE3-87C4-CDD02F15117D}"/>
    <cellStyle name="40% - Accent2 2 2 6" xfId="19266" xr:uid="{CD66D29F-F9A4-45C2-ACB7-A81C399E706C}"/>
    <cellStyle name="40% - Accent2 2 2 6 2" xfId="15251" xr:uid="{C2AA0A9D-DABF-4146-BD96-0A58DC7AF888}"/>
    <cellStyle name="40% - Accent2 2 2 6 2 2" xfId="15250" xr:uid="{A823AC20-22C3-42F9-ADB4-B6C4F564D2BE}"/>
    <cellStyle name="40% - Accent2 2 2 6 2 2 2" xfId="15249" xr:uid="{8D8995E7-46FF-4F8F-AAB4-390CC4FE8601}"/>
    <cellStyle name="40% - Accent2 2 2 6 2 2 2 2" xfId="15248" xr:uid="{1F6F2D39-78EB-46A9-87AB-496E768970B1}"/>
    <cellStyle name="40% - Accent2 2 2 6 2 2 3" xfId="15245" xr:uid="{D8B19B1C-083E-4711-9AC5-1741F2974027}"/>
    <cellStyle name="40% - Accent2 2 2 6 2 3" xfId="15244" xr:uid="{F672C728-3AF9-43BD-8C54-56F70DC33CDB}"/>
    <cellStyle name="40% - Accent2 2 2 6 2 3 2" xfId="15241" xr:uid="{4FC3658D-5377-4944-9754-189B6AA933FB}"/>
    <cellStyle name="40% - Accent2 2 2 6 2 4" xfId="24148" xr:uid="{68D84622-FD6C-48E1-9B30-A5B6B942C7DA}"/>
    <cellStyle name="40% - Accent2 2 2 6 3" xfId="15239" xr:uid="{CCFF36C6-908C-401F-8DBC-BADBA8DFE08F}"/>
    <cellStyle name="40% - Accent2 2 2 6 3 2" xfId="15238" xr:uid="{7216689B-1AB1-4D7B-9169-65BED2B5335A}"/>
    <cellStyle name="40% - Accent2 2 2 6 3 2 2" xfId="31068" xr:uid="{E9A78ED3-C4FD-40BC-83AA-767C4E07973B}"/>
    <cellStyle name="40% - Accent2 2 2 6 3 3" xfId="15237" xr:uid="{CF56C1EA-583E-4F49-98B5-D9C69419389E}"/>
    <cellStyle name="40% - Accent2 2 2 6 4" xfId="15235" xr:uid="{9FBA1259-23DE-4AE9-A1CC-37540701E1F9}"/>
    <cellStyle name="40% - Accent2 2 2 6 4 2" xfId="15234" xr:uid="{668B627D-CF3B-4547-A818-D2606F2B20FA}"/>
    <cellStyle name="40% - Accent2 2 2 6 5" xfId="15232" xr:uid="{A1FE3CB3-DD4C-4AF2-B025-1DBF67B8122D}"/>
    <cellStyle name="40% - Accent2 2 2 7" xfId="18583" xr:uid="{7C693DD1-9E9C-448A-8311-737604E034EC}"/>
    <cellStyle name="40% - Accent2 2 2 7 2" xfId="23417" xr:uid="{A7475047-C43B-4F4B-9AC6-5ABF26F1BBC5}"/>
    <cellStyle name="40% - Accent2 2 2 7 2 2" xfId="18580" xr:uid="{A85D6063-BEFD-4A5E-8F9C-7307AF02FEB2}"/>
    <cellStyle name="40% - Accent2 2 2 7 2 2 2" xfId="15231" xr:uid="{C0DF7B4F-67D9-450A-ABC4-809C6F2D33FB}"/>
    <cellStyle name="40% - Accent2 2 2 7 2 3" xfId="20542" xr:uid="{EBFC1907-8256-4260-8E9F-60D8011B881B}"/>
    <cellStyle name="40% - Accent2 2 2 7 3" xfId="23411" xr:uid="{B3E292F0-DD0B-4AF2-826B-C4B36012FE42}"/>
    <cellStyle name="40% - Accent2 2 2 7 3 2" xfId="18569" xr:uid="{F90DBF51-A1C5-44B8-81DF-9A1F72978213}"/>
    <cellStyle name="40% - Accent2 2 2 7 4" xfId="18566" xr:uid="{6BE70126-5D24-4751-8C69-05036926C42A}"/>
    <cellStyle name="40% - Accent2 2 2 8" xfId="33627" xr:uid="{EE10F24C-84B7-4125-ABF3-F6742C225FFD}"/>
    <cellStyle name="40% - Accent2 2 2 8 2" xfId="23403" xr:uid="{F26A8A98-9B14-4A0B-A6F7-879BCFF25330}"/>
    <cellStyle name="40% - Accent2 2 2 8 2 2" xfId="18560" xr:uid="{21DFA04B-014E-47AC-BC16-21C5F15E26EB}"/>
    <cellStyle name="40% - Accent2 2 2 8 3" xfId="18557" xr:uid="{841EB93B-177F-4042-AA47-DDBE155AA80A}"/>
    <cellStyle name="40% - Accent2 2 2 9" xfId="18551" xr:uid="{C74DC3CA-DE3E-495D-AFF6-9D2ED55EC046}"/>
    <cellStyle name="40% - Accent2 2 2 9 2" xfId="18550" xr:uid="{5A408DF1-2885-4527-A99D-A0F6FD12728B}"/>
    <cellStyle name="40% - Accent2 2 3" xfId="203" xr:uid="{18F1E0FE-3A87-46D0-B5CC-4A81E0F210A5}"/>
    <cellStyle name="40% - Accent2 2 3 10" xfId="34537" xr:uid="{7527154C-10C0-4236-8915-B24CFE81BF12}"/>
    <cellStyle name="40% - Accent2 2 3 11" xfId="15229" xr:uid="{7346EE0F-A5E4-4F40-BDAA-F301AA5F3857}"/>
    <cellStyle name="40% - Accent2 2 3 2" xfId="15228" xr:uid="{C61CABEB-02CF-46A4-8E79-22AD29055CBC}"/>
    <cellStyle name="40% - Accent2 2 3 2 2" xfId="15226" xr:uid="{208CF282-7E17-488B-B2ED-ACA2B91029BE}"/>
    <cellStyle name="40% - Accent2 2 3 2 2 2" xfId="15225" xr:uid="{5E2BC2A4-837E-4F21-BC0A-B34DC8FC9157}"/>
    <cellStyle name="40% - Accent2 2 3 2 2 2 2" xfId="15223" xr:uid="{FC790C55-7FE9-44DC-A55B-54F0F967BE9C}"/>
    <cellStyle name="40% - Accent2 2 3 2 2 2 2 2" xfId="28203" xr:uid="{63E75718-EDDE-483D-94CB-0E499C11D4A3}"/>
    <cellStyle name="40% - Accent2 2 3 2 2 2 2 2 2" xfId="10132" xr:uid="{8D9B2529-4682-4869-B0BA-57D8A4FAACDF}"/>
    <cellStyle name="40% - Accent2 2 3 2 2 2 2 2 2 2" xfId="15221" xr:uid="{2530E6F7-BFD3-4846-B47B-4924485404CD}"/>
    <cellStyle name="40% - Accent2 2 3 2 2 2 2 2 2 2 2" xfId="15220" xr:uid="{99ADF4CF-CAFD-42FA-B014-B45C8EFB9242}"/>
    <cellStyle name="40% - Accent2 2 3 2 2 2 2 2 2 3" xfId="15218" xr:uid="{9B7475B9-6FBD-454D-A36C-85757B377CA5}"/>
    <cellStyle name="40% - Accent2 2 3 2 2 2 2 2 3" xfId="15215" xr:uid="{8BA7E29B-61BC-4AFE-870C-2A6DF4C5069F}"/>
    <cellStyle name="40% - Accent2 2 3 2 2 2 2 2 3 2" xfId="15214" xr:uid="{E209C9B3-6B55-4B12-BDF2-CBCADC49A6C5}"/>
    <cellStyle name="40% - Accent2 2 3 2 2 2 2 2 4" xfId="15213" xr:uid="{AE79E1FA-55A2-4E16-8408-600498938D0B}"/>
    <cellStyle name="40% - Accent2 2 3 2 2 2 2 3" xfId="15212" xr:uid="{CE292050-4F63-4107-A744-5933D5F058EF}"/>
    <cellStyle name="40% - Accent2 2 3 2 2 2 2 3 2" xfId="15211" xr:uid="{80839D71-931A-4392-8FF9-0A0CE2AF2CAB}"/>
    <cellStyle name="40% - Accent2 2 3 2 2 2 2 3 2 2" xfId="15210" xr:uid="{1A6A730B-C9B0-40A4-90C1-CFF834829735}"/>
    <cellStyle name="40% - Accent2 2 3 2 2 2 2 3 3" xfId="15209" xr:uid="{F4BC3EE8-07A8-498D-85B8-21DE9014D822}"/>
    <cellStyle name="40% - Accent2 2 3 2 2 2 2 4" xfId="17247" xr:uid="{72743DC3-9DF3-472B-BE4A-46A58D29AD50}"/>
    <cellStyle name="40% - Accent2 2 3 2 2 2 2 4 2" xfId="15208" xr:uid="{4A989881-93DE-4C3E-881D-E526700DD3E6}"/>
    <cellStyle name="40% - Accent2 2 3 2 2 2 2 5" xfId="15206" xr:uid="{3C0C635F-F331-4735-A822-AD2534DBFCDD}"/>
    <cellStyle name="40% - Accent2 2 3 2 2 2 3" xfId="15202" xr:uid="{3AF83FCE-86B5-4578-B49C-59941CD4D960}"/>
    <cellStyle name="40% - Accent2 2 3 2 2 2 3 2" xfId="15201" xr:uid="{3C91FEDB-1EE7-4D9D-AC17-DB40BD3CEF16}"/>
    <cellStyle name="40% - Accent2 2 3 2 2 2 3 2 2" xfId="15195" xr:uid="{EB47FDA5-BE6A-4482-B916-7B7C6DB3DC00}"/>
    <cellStyle name="40% - Accent2 2 3 2 2 2 3 2 2 2" xfId="15194" xr:uid="{641CC233-CF26-45DE-B03A-8B7F4FF9D577}"/>
    <cellStyle name="40% - Accent2 2 3 2 2 2 3 2 3" xfId="15192" xr:uid="{23313E16-F722-49D3-8321-8A58798DFCFB}"/>
    <cellStyle name="40% - Accent2 2 3 2 2 2 3 3" xfId="15191" xr:uid="{2129F740-3E5A-4A36-8970-EBA9253A7754}"/>
    <cellStyle name="40% - Accent2 2 3 2 2 2 3 3 2" xfId="15186" xr:uid="{10FB5390-B478-4FD7-ACA6-7DBEE860CC2D}"/>
    <cellStyle name="40% - Accent2 2 3 2 2 2 3 4" xfId="15185" xr:uid="{8F2CF3FB-18D6-40E9-83A3-D93B8EAC6948}"/>
    <cellStyle name="40% - Accent2 2 3 2 2 2 4" xfId="30337" xr:uid="{D7D40A36-8680-402E-B0D0-7FE26E97C957}"/>
    <cellStyle name="40% - Accent2 2 3 2 2 2 4 2" xfId="15180" xr:uid="{5C61224B-2AB1-44F2-B2C6-D3BE3AE4506B}"/>
    <cellStyle name="40% - Accent2 2 3 2 2 2 4 2 2" xfId="15178" xr:uid="{D0F55DBD-3733-4879-BC8B-696306714ADF}"/>
    <cellStyle name="40% - Accent2 2 3 2 2 2 4 3" xfId="15177" xr:uid="{668BBC2E-BC39-4691-ADD5-5B030AF4E5C9}"/>
    <cellStyle name="40% - Accent2 2 3 2 2 2 5" xfId="16253" xr:uid="{72AF6EF4-F7CD-4143-B36D-65B6A66D2E27}"/>
    <cellStyle name="40% - Accent2 2 3 2 2 2 5 2" xfId="15174" xr:uid="{BE25764E-6B83-4D82-86C9-EF293D750CD3}"/>
    <cellStyle name="40% - Accent2 2 3 2 2 2 6" xfId="15171" xr:uid="{3B8BA4EC-F15A-4C57-B811-AE6E40D3DE66}"/>
    <cellStyle name="40% - Accent2 2 3 2 2 3" xfId="15170" xr:uid="{8C3FA6D0-00E4-4E91-BF79-61C475088CB6}"/>
    <cellStyle name="40% - Accent2 2 3 2 2 3 2" xfId="20174" xr:uid="{8E688981-312B-4548-B12C-24DCBE8AB9D7}"/>
    <cellStyle name="40% - Accent2 2 3 2 2 3 2 2" xfId="15167" xr:uid="{244457D7-0410-4C10-84BA-E5010763367B}"/>
    <cellStyle name="40% - Accent2 2 3 2 2 3 2 2 2" xfId="15164" xr:uid="{5DB09BE4-B6B5-4C9F-9B70-22A561362EF1}"/>
    <cellStyle name="40% - Accent2 2 3 2 2 3 2 2 2 2" xfId="16308" xr:uid="{51C31FA8-72FF-4D10-9CDB-CD1500403B68}"/>
    <cellStyle name="40% - Accent2 2 3 2 2 3 2 2 3" xfId="15163" xr:uid="{FDFD9DFB-FAA0-44CD-87D7-EFFAAC0B5695}"/>
    <cellStyle name="40% - Accent2 2 3 2 2 3 2 3" xfId="15162" xr:uid="{78981E86-D850-4639-BFBB-A3B21DFB2E02}"/>
    <cellStyle name="40% - Accent2 2 3 2 2 3 2 3 2" xfId="15160" xr:uid="{5079E2E6-93F7-4FB9-BF9F-E760070E7C1D}"/>
    <cellStyle name="40% - Accent2 2 3 2 2 3 2 4" xfId="15159" xr:uid="{5AAB6B39-5BE0-4E31-9B09-9AB3F9F83628}"/>
    <cellStyle name="40% - Accent2 2 3 2 2 3 3" xfId="20169" xr:uid="{96AE22B2-27B1-4ED0-A9D8-2C01B36CDBB5}"/>
    <cellStyle name="40% - Accent2 2 3 2 2 3 3 2" xfId="15153" xr:uid="{8A5F361E-46C0-4048-9040-FE88811AF3E6}"/>
    <cellStyle name="40% - Accent2 2 3 2 2 3 3 2 2" xfId="25046" xr:uid="{55ADB0A9-EE7B-4AA8-AB02-466CB66BB910}"/>
    <cellStyle name="40% - Accent2 2 3 2 2 3 3 3" xfId="15270" xr:uid="{C3054DE1-4D10-4F78-8BAF-57AA657B4643}"/>
    <cellStyle name="40% - Accent2 2 3 2 2 3 4" xfId="16247" xr:uid="{63E479DF-A1E7-412A-B60E-E19629907DDE}"/>
    <cellStyle name="40% - Accent2 2 3 2 2 3 4 2" xfId="15150" xr:uid="{C1192A04-DABD-402D-8E23-5AF12D1D7E84}"/>
    <cellStyle name="40% - Accent2 2 3 2 2 3 5" xfId="15148" xr:uid="{87CC50AF-A987-4904-A8B2-9028101B2E6D}"/>
    <cellStyle name="40% - Accent2 2 3 2 2 4" xfId="15147" xr:uid="{6D6AAFFE-A2AE-4E9A-B2AF-489C605FCA17}"/>
    <cellStyle name="40% - Accent2 2 3 2 2 4 2" xfId="31668" xr:uid="{BC20C3C6-757F-418D-AEE7-BDCE4B70BFBE}"/>
    <cellStyle name="40% - Accent2 2 3 2 2 4 2 2" xfId="21227" xr:uid="{AB31CCCE-E3B4-4647-AC88-9098EDA7048C}"/>
    <cellStyle name="40% - Accent2 2 3 2 2 4 2 2 2" xfId="15142" xr:uid="{A08286BD-A083-43F2-A12D-D758A6FF8A9E}"/>
    <cellStyle name="40% - Accent2 2 3 2 2 4 2 3" xfId="21221" xr:uid="{8DE8F1E3-C027-4BBF-98C3-46005A9627EC}"/>
    <cellStyle name="40% - Accent2 2 3 2 2 4 3" xfId="15139" xr:uid="{86906CE4-6835-4A95-A7C4-8D897E24F9F5}"/>
    <cellStyle name="40% - Accent2 2 3 2 2 4 3 2" xfId="21519" xr:uid="{AA33E74B-5FAE-4D4E-8E80-DACFE3542017}"/>
    <cellStyle name="40% - Accent2 2 3 2 2 4 4" xfId="15138" xr:uid="{225FB52A-12A9-409E-8D00-B6608DDA8BC3}"/>
    <cellStyle name="40% - Accent2 2 3 2 2 5" xfId="8001" xr:uid="{D3D58DA6-0036-4F37-BF53-D1EBD3EE886A}"/>
    <cellStyle name="40% - Accent2 2 3 2 2 5 2" xfId="7995" xr:uid="{EB25CF4E-1249-463F-99C1-473890DA8EC4}"/>
    <cellStyle name="40% - Accent2 2 3 2 2 5 2 2" xfId="21199" xr:uid="{EC16142F-81C5-4C40-9FE3-B6FD3EAD61A5}"/>
    <cellStyle name="40% - Accent2 2 3 2 2 5 3" xfId="7980" xr:uid="{5EBF3E28-072D-4D82-89E5-E2630EDD4D66}"/>
    <cellStyle name="40% - Accent2 2 3 2 2 6" xfId="15133" xr:uid="{026FDF1B-6D37-4EBD-A6B5-9FE160970550}"/>
    <cellStyle name="40% - Accent2 2 3 2 2 6 2" xfId="11805" xr:uid="{DD92117F-9FC1-4BE8-B978-6B004C96C073}"/>
    <cellStyle name="40% - Accent2 2 3 2 2 7" xfId="11799" xr:uid="{3EE72785-162F-4287-BE9A-9BF420604A2D}"/>
    <cellStyle name="40% - Accent2 2 3 2 3" xfId="15130" xr:uid="{0991AD9A-FFEA-447A-A68E-293808A4AF15}"/>
    <cellStyle name="40% - Accent2 2 3 2 3 2" xfId="15129" xr:uid="{39E12289-8C97-41B4-99DA-30644DE8F127}"/>
    <cellStyle name="40% - Accent2 2 3 2 3 2 2" xfId="15127" xr:uid="{DD9E9E25-8C25-406A-B8CB-09B7F830F714}"/>
    <cellStyle name="40% - Accent2 2 3 2 3 2 2 2" xfId="15126" xr:uid="{9CDBF1AC-B385-475D-AB02-E60E5B60184C}"/>
    <cellStyle name="40% - Accent2 2 3 2 3 2 2 2 2" xfId="15123" xr:uid="{C62A2880-EE9B-4C93-84FD-685CF26369FA}"/>
    <cellStyle name="40% - Accent2 2 3 2 3 2 2 2 2 2" xfId="15119" xr:uid="{EAA8DEF0-9E4F-4A7D-9285-D2C0F7B5B80C}"/>
    <cellStyle name="40% - Accent2 2 3 2 3 2 2 2 3" xfId="15118" xr:uid="{7AD5C3D5-3440-4BB6-ADB9-DF08C4BFB3B9}"/>
    <cellStyle name="40% - Accent2 2 3 2 3 2 2 3" xfId="15117" xr:uid="{17E3EC50-1DCE-4FF2-82E9-289816B9F690}"/>
    <cellStyle name="40% - Accent2 2 3 2 3 2 2 3 2" xfId="15116" xr:uid="{BC549FDD-330B-40E1-8311-A9E6645E7E73}"/>
    <cellStyle name="40% - Accent2 2 3 2 3 2 2 4" xfId="15115" xr:uid="{2266E7B6-6A85-4942-B9BC-36883346FBEA}"/>
    <cellStyle name="40% - Accent2 2 3 2 3 2 3" xfId="28981" xr:uid="{D4387044-487C-44CE-829F-13BFFA80FE13}"/>
    <cellStyle name="40% - Accent2 2 3 2 3 2 3 2" xfId="15112" xr:uid="{0383E9A2-5005-4E95-B8CC-93F6C3C3B21C}"/>
    <cellStyle name="40% - Accent2 2 3 2 3 2 3 2 2" xfId="15111" xr:uid="{1D83C077-4BFD-4718-AA49-AB38A3A18656}"/>
    <cellStyle name="40% - Accent2 2 3 2 3 2 3 3" xfId="15110" xr:uid="{E7272A2E-627A-48AE-8390-FD94536F1073}"/>
    <cellStyle name="40% - Accent2 2 3 2 3 2 4" xfId="16239" xr:uid="{3417EC73-A9F0-4B14-8BF9-60406A1FDCC6}"/>
    <cellStyle name="40% - Accent2 2 3 2 3 2 4 2" xfId="15109" xr:uid="{E72FAAF6-A860-4A7F-8257-2B9A5F3FC534}"/>
    <cellStyle name="40% - Accent2 2 3 2 3 2 5" xfId="15108" xr:uid="{63EE4BF2-0559-4AF7-B325-F9959E9E20F8}"/>
    <cellStyle name="40% - Accent2 2 3 2 3 3" xfId="15107" xr:uid="{9B73818C-7A84-450D-ACDA-3F418CA99ED2}"/>
    <cellStyle name="40% - Accent2 2 3 2 3 3 2" xfId="22187" xr:uid="{FFA08A2A-76D4-43ED-90CE-A8259A67899D}"/>
    <cellStyle name="40% - Accent2 2 3 2 3 3 2 2" xfId="15106" xr:uid="{93F9565A-5F2F-41F0-A439-B482DE69C22B}"/>
    <cellStyle name="40% - Accent2 2 3 2 3 3 2 2 2" xfId="15103" xr:uid="{4779A7C1-BFA4-4E50-B58E-CB725B0E777F}"/>
    <cellStyle name="40% - Accent2 2 3 2 3 3 2 3" xfId="33596" xr:uid="{5F71E49F-0C0E-4384-96BD-AEAA8491BE15}"/>
    <cellStyle name="40% - Accent2 2 3 2 3 3 3" xfId="15102" xr:uid="{4F82B725-89A1-4CCA-A087-8D2FDC0DB6B1}"/>
    <cellStyle name="40% - Accent2 2 3 2 3 3 3 2" xfId="15101" xr:uid="{BE0DB8A7-BBE2-44EF-9BE0-0F39EBD247AB}"/>
    <cellStyle name="40% - Accent2 2 3 2 3 3 4" xfId="15097" xr:uid="{84EB867F-480A-4B86-A0B3-AD43B42F8805}"/>
    <cellStyle name="40% - Accent2 2 3 2 3 4" xfId="15096" xr:uid="{D1D42D0E-8E39-4A1F-BF8B-2BB4E06A2CAB}"/>
    <cellStyle name="40% - Accent2 2 3 2 3 4 2" xfId="15092" xr:uid="{CCD3BAC8-087E-4A9E-BFCD-ED96B299F7F9}"/>
    <cellStyle name="40% - Accent2 2 3 2 3 4 2 2" xfId="23325" xr:uid="{0C2737EA-961F-42E1-8F7E-DA44CF29E472}"/>
    <cellStyle name="40% - Accent2 2 3 2 3 4 3" xfId="15091" xr:uid="{B933B802-266D-4C89-BD12-1B3CF7F097E7}"/>
    <cellStyle name="40% - Accent2 2 3 2 3 5" xfId="15090" xr:uid="{B3024C65-1D80-4426-BB75-37F2D4A02CD6}"/>
    <cellStyle name="40% - Accent2 2 3 2 3 5 2" xfId="7942" xr:uid="{5643EBE1-C3BD-4443-9C3F-E86AC2891584}"/>
    <cellStyle name="40% - Accent2 2 3 2 3 6" xfId="11793" xr:uid="{CC0B1901-1E76-4563-8D84-BAB80B494049}"/>
    <cellStyle name="40% - Accent2 2 3 2 4" xfId="15088" xr:uid="{E3C78737-F886-458F-98B1-4B205EDC3ADA}"/>
    <cellStyle name="40% - Accent2 2 3 2 4 2" xfId="31836" xr:uid="{98B4AB54-491E-481B-B01D-E3D6A8F7D821}"/>
    <cellStyle name="40% - Accent2 2 3 2 4 2 2" xfId="15086" xr:uid="{2F254D38-0B02-4030-A2A6-240628DFB8D4}"/>
    <cellStyle name="40% - Accent2 2 3 2 4 2 2 2" xfId="15085" xr:uid="{863D2B02-A4D1-4417-8270-059E09387049}"/>
    <cellStyle name="40% - Accent2 2 3 2 4 2 2 2 2" xfId="15401" xr:uid="{33DDE4AF-6921-45D5-A046-F7EC435B9307}"/>
    <cellStyle name="40% - Accent2 2 3 2 4 2 2 3" xfId="15084" xr:uid="{CE91E3C2-FAD4-4850-B229-C70380FDDE43}"/>
    <cellStyle name="40% - Accent2 2 3 2 4 2 3" xfId="15083" xr:uid="{80D0261B-64B4-4F54-8DCF-0A8AFAE51092}"/>
    <cellStyle name="40% - Accent2 2 3 2 4 2 3 2" xfId="15082" xr:uid="{60FD8841-3FBA-4E05-8343-1C1FA3AB84B3}"/>
    <cellStyle name="40% - Accent2 2 3 2 4 2 4" xfId="15079" xr:uid="{6F513721-F287-49F3-8497-65A358D68342}"/>
    <cellStyle name="40% - Accent2 2 3 2 4 3" xfId="33442" xr:uid="{32E988B5-09A4-42FC-BD0E-11A3CF8BB3A8}"/>
    <cellStyle name="40% - Accent2 2 3 2 4 3 2" xfId="15078" xr:uid="{DBBBF57C-6A18-4BD3-BF09-823038CCEA80}"/>
    <cellStyle name="40% - Accent2 2 3 2 4 3 2 2" xfId="15077" xr:uid="{79A198A7-5FDC-482C-85FD-817665855B0E}"/>
    <cellStyle name="40% - Accent2 2 3 2 4 3 3" xfId="15076" xr:uid="{60010777-ADD7-41CE-BEA0-094BA088DCBD}"/>
    <cellStyle name="40% - Accent2 2 3 2 4 4" xfId="32111" xr:uid="{13E34302-0835-4C48-9D9E-632FA44C0B3D}"/>
    <cellStyle name="40% - Accent2 2 3 2 4 4 2" xfId="15075" xr:uid="{3937E30C-E428-4DC8-8493-A33EE13529F1}"/>
    <cellStyle name="40% - Accent2 2 3 2 4 5" xfId="7917" xr:uid="{6D95CF3B-E0E9-4CB4-922C-6D4E05440C02}"/>
    <cellStyle name="40% - Accent2 2 3 2 5" xfId="34200" xr:uid="{539C83E1-3BBB-4DDF-8988-2C458D88AB60}"/>
    <cellStyle name="40% - Accent2 2 3 2 5 2" xfId="33426" xr:uid="{527D25EA-0F83-4036-9380-2E4EF2315AB2}"/>
    <cellStyle name="40% - Accent2 2 3 2 5 2 2" xfId="15074" xr:uid="{84131DD2-CE83-4079-A339-1337D5FEC10A}"/>
    <cellStyle name="40% - Accent2 2 3 2 5 2 2 2" xfId="15073" xr:uid="{C24ECCB2-008F-4C31-B1C1-9B8A2090B775}"/>
    <cellStyle name="40% - Accent2 2 3 2 5 2 3" xfId="15072" xr:uid="{3DBA2E36-E4C6-4E93-8A04-9D92DD13015C}"/>
    <cellStyle name="40% - Accent2 2 3 2 5 3" xfId="33411" xr:uid="{0DEC38E6-493D-4EF0-BA52-2FCC97CE29F3}"/>
    <cellStyle name="40% - Accent2 2 3 2 5 3 2" xfId="15071" xr:uid="{38DB560C-9737-441B-B022-EE1E6239FADE}"/>
    <cellStyle name="40% - Accent2 2 3 2 5 4" xfId="15070" xr:uid="{55965CBC-810D-41AD-B15F-40977E5E032B}"/>
    <cellStyle name="40% - Accent2 2 3 2 6" xfId="20680" xr:uid="{4713FBA2-76E6-4374-9D4C-EEF53111886B}"/>
    <cellStyle name="40% - Accent2 2 3 2 6 2" xfId="26609" xr:uid="{937B1905-32EB-42A3-AD1F-C355C9608D3F}"/>
    <cellStyle name="40% - Accent2 2 3 2 6 2 2" xfId="26602" xr:uid="{F4E0EC5B-FA43-41C5-B263-BE74A3C75FA6}"/>
    <cellStyle name="40% - Accent2 2 3 2 6 3" xfId="26598" xr:uid="{AC42CC16-5C9B-4E0C-A5B0-8DD4967EF2D4}"/>
    <cellStyle name="40% - Accent2 2 3 2 7" xfId="20673" xr:uid="{98FC1948-9BE1-441A-9DB3-E5ED48AA03F9}"/>
    <cellStyle name="40% - Accent2 2 3 2 7 2" xfId="26591" xr:uid="{D2C9E6A4-E8D9-444A-87A5-2A5B0054390B}"/>
    <cellStyle name="40% - Accent2 2 3 2 8" xfId="20668" xr:uid="{82B80481-BE47-4BDC-8DE6-E7A9271EC992}"/>
    <cellStyle name="40% - Accent2 2 3 3" xfId="15068" xr:uid="{22672B16-96C3-430F-A28E-CB287379E52B}"/>
    <cellStyle name="40% - Accent2 2 3 3 2" xfId="25592" xr:uid="{F413533A-2A13-4148-B3CF-C8B46F5426D0}"/>
    <cellStyle name="40% - Accent2 2 3 3 2 2" xfId="15066" xr:uid="{631C8785-043A-42BE-BDDA-C9E0ADD6A927}"/>
    <cellStyle name="40% - Accent2 2 3 3 2 2 2" xfId="15063" xr:uid="{D4CB3BC8-5D3D-4103-A97D-0A28B9CF6D7C}"/>
    <cellStyle name="40% - Accent2 2 3 3 2 2 2 2" xfId="17613" xr:uid="{486D8E07-4768-47C3-8D57-A4E59EB48AEC}"/>
    <cellStyle name="40% - Accent2 2 3 3 2 2 2 2 2" xfId="15062" xr:uid="{B7AC7954-289C-400C-9D8B-55D09F4FBDB7}"/>
    <cellStyle name="40% - Accent2 2 3 3 2 2 2 2 2 2" xfId="7754" xr:uid="{57DC1DFD-8FE0-403A-AD9B-2CA9D20D0A78}"/>
    <cellStyle name="40% - Accent2 2 3 3 2 2 2 2 3" xfId="15059" xr:uid="{08A6B231-5D54-4506-8F21-F4C1C42DC8D2}"/>
    <cellStyle name="40% - Accent2 2 3 3 2 2 2 3" xfId="29761" xr:uid="{2D2B7711-7F52-4A20-A371-02095A2428E0}"/>
    <cellStyle name="40% - Accent2 2 3 3 2 2 2 3 2" xfId="15057" xr:uid="{DF85381F-4A11-4CCE-9FB7-F94EFD7005DC}"/>
    <cellStyle name="40% - Accent2 2 3 3 2 2 2 4" xfId="15056" xr:uid="{1523D5A9-5C68-448B-8711-204EFFEE0A01}"/>
    <cellStyle name="40% - Accent2 2 3 3 2 2 3" xfId="15052" xr:uid="{D6AF9518-9DFD-4CB4-99FD-7E8BE55B3255}"/>
    <cellStyle name="40% - Accent2 2 3 3 2 2 3 2" xfId="23281" xr:uid="{41930777-A362-4DD5-B15A-FBD9366DFCAC}"/>
    <cellStyle name="40% - Accent2 2 3 3 2 2 3 2 2" xfId="24349" xr:uid="{727A2938-32A4-4675-8AE0-D563117B7933}"/>
    <cellStyle name="40% - Accent2 2 3 3 2 2 3 3" xfId="15051" xr:uid="{D1A07C6E-4366-43C5-BC29-47C1E24D6E26}"/>
    <cellStyle name="40% - Accent2 2 3 3 2 2 4" xfId="16215" xr:uid="{E94D88F2-1934-453F-BD69-65A35A684BD0}"/>
    <cellStyle name="40% - Accent2 2 3 3 2 2 4 2" xfId="15050" xr:uid="{137A2282-3F62-4A83-87C4-8CA226ACE7FB}"/>
    <cellStyle name="40% - Accent2 2 3 3 2 2 5" xfId="15049" xr:uid="{A3D4C29D-C87B-453F-836A-54F6AE176051}"/>
    <cellStyle name="40% - Accent2 2 3 3 2 3" xfId="15047" xr:uid="{BB08DB41-A0B9-4172-B57B-3DB1BB35DBC9}"/>
    <cellStyle name="40% - Accent2 2 3 3 2 3 2" xfId="20134" xr:uid="{E3048EB5-E6B2-43FC-BA72-9033C35991AA}"/>
    <cellStyle name="40% - Accent2 2 3 3 2 3 2 2" xfId="17609" xr:uid="{E7D2893F-2768-40DC-90D8-383AA5D3961B}"/>
    <cellStyle name="40% - Accent2 2 3 3 2 3 2 2 2" xfId="15046" xr:uid="{FD7EC98A-79AE-4106-9060-CD2EF5F4B3BB}"/>
    <cellStyle name="40% - Accent2 2 3 3 2 3 2 3" xfId="15045" xr:uid="{93508083-23BB-442A-BA8E-12C0B692F6D8}"/>
    <cellStyle name="40% - Accent2 2 3 3 2 3 3" xfId="15044" xr:uid="{E1541E8F-78BE-4C61-95DA-23A150B2197E}"/>
    <cellStyle name="40% - Accent2 2 3 3 2 3 3 2" xfId="15043" xr:uid="{E0ED8256-1AC3-4E24-9B2D-66A469BF26B4}"/>
    <cellStyle name="40% - Accent2 2 3 3 2 3 4" xfId="33534" xr:uid="{18C146C4-48A5-4062-8FD0-F719A7515438}"/>
    <cellStyle name="40% - Accent2 2 3 3 2 4" xfId="15042" xr:uid="{F445FFB5-011C-4CF7-9880-91BA1F98885E}"/>
    <cellStyle name="40% - Accent2 2 3 3 2 4 2" xfId="15039" xr:uid="{A2958A68-D9E8-404B-A368-79C25D190D9C}"/>
    <cellStyle name="40% - Accent2 2 3 3 2 4 2 2" xfId="20625" xr:uid="{6B2A756D-C807-4AB2-B69F-C52F865B9CC1}"/>
    <cellStyle name="40% - Accent2 2 3 3 2 4 3" xfId="15036" xr:uid="{7D8E24FD-5739-4CBC-BCEF-8A9E5D7E60BF}"/>
    <cellStyle name="40% - Accent2 2 3 3 2 5" xfId="7614" xr:uid="{7DBED730-A273-4167-A4E5-7EBDA8E4577B}"/>
    <cellStyle name="40% - Accent2 2 3 3 2 5 2" xfId="24428" xr:uid="{D63D2862-6119-447F-9B90-C058D3A93D19}"/>
    <cellStyle name="40% - Accent2 2 3 3 2 6" xfId="12227" xr:uid="{D38EBCA6-1C01-48ED-BF98-043651BAF5A7}"/>
    <cellStyle name="40% - Accent2 2 3 3 3" xfId="26394" xr:uid="{1BD10197-E787-4418-B7D7-56BB1DFBD335}"/>
    <cellStyle name="40% - Accent2 2 3 3 3 2" xfId="15034" xr:uid="{F0149835-B26F-4A3A-BA3E-BB100E7D0EB7}"/>
    <cellStyle name="40% - Accent2 2 3 3 3 2 2" xfId="20941" xr:uid="{9DE2A1D9-B1D2-42D3-BDAE-26B822000D84}"/>
    <cellStyle name="40% - Accent2 2 3 3 3 2 2 2" xfId="17597" xr:uid="{8E79662B-4B57-4D96-97A0-DBA6B0359A1A}"/>
    <cellStyle name="40% - Accent2 2 3 3 3 2 2 2 2" xfId="15033" xr:uid="{EAA39713-D86B-4D3A-9BDC-FF073BE24A49}"/>
    <cellStyle name="40% - Accent2 2 3 3 3 2 2 3" xfId="15031" xr:uid="{2258E063-5AF4-4540-8130-60EE18105152}"/>
    <cellStyle name="40% - Accent2 2 3 3 3 2 3" xfId="15030" xr:uid="{095902FA-E67D-4F93-ACE4-0C5623AD19E4}"/>
    <cellStyle name="40% - Accent2 2 3 3 3 2 3 2" xfId="15028" xr:uid="{5B34187B-4FFB-4BA0-852C-B00E03AB3EF4}"/>
    <cellStyle name="40% - Accent2 2 3 3 3 2 4" xfId="15027" xr:uid="{49B244C0-0FA7-4365-A66B-7F5A5EDE1754}"/>
    <cellStyle name="40% - Accent2 2 3 3 3 3" xfId="15026" xr:uid="{2E119AB4-D59A-429B-91BC-3CA363C05B54}"/>
    <cellStyle name="40% - Accent2 2 3 3 3 3 2" xfId="15025" xr:uid="{0FC388F2-57A4-462D-A339-37DCC2D22121}"/>
    <cellStyle name="40% - Accent2 2 3 3 3 3 2 2" xfId="15023" xr:uid="{8F9A3AF7-359A-4BC7-9274-DF235DC211EB}"/>
    <cellStyle name="40% - Accent2 2 3 3 3 3 3" xfId="15022" xr:uid="{6FBF55B1-EE10-4BA4-B963-96CB27CBD8D7}"/>
    <cellStyle name="40% - Accent2 2 3 3 3 4" xfId="15021" xr:uid="{009A384E-2217-482D-958F-025DA8691359}"/>
    <cellStyle name="40% - Accent2 2 3 3 3 4 2" xfId="15020" xr:uid="{BF648939-2378-4E53-8CE6-5F5BC4981C75}"/>
    <cellStyle name="40% - Accent2 2 3 3 3 5" xfId="7600" xr:uid="{AAEDA7AF-5A87-4D13-9E75-5C51D2B07FBF}"/>
    <cellStyle name="40% - Accent2 2 3 3 4" xfId="15015" xr:uid="{64426034-D638-4AE2-A132-D554168E10D2}"/>
    <cellStyle name="40% - Accent2 2 3 3 4 2" xfId="32532" xr:uid="{82D6F115-5DFC-4ADF-96C4-0E5D387BC3A4}"/>
    <cellStyle name="40% - Accent2 2 3 3 4 2 2" xfId="15013" xr:uid="{8F7956CD-0370-479F-BB7E-BD1E3EFEC5F4}"/>
    <cellStyle name="40% - Accent2 2 3 3 4 2 2 2" xfId="15011" xr:uid="{88A8FC2A-17B8-462B-90D0-F7CF4A73DAED}"/>
    <cellStyle name="40% - Accent2 2 3 3 4 2 3" xfId="15010" xr:uid="{1DDDABCD-EDEF-4176-80B8-4F4A30847D44}"/>
    <cellStyle name="40% - Accent2 2 3 3 4 3" xfId="33369" xr:uid="{E3CE2A83-551C-40BA-A676-63CF856C2156}"/>
    <cellStyle name="40% - Accent2 2 3 3 4 3 2" xfId="15009" xr:uid="{30473960-6479-4F92-A56E-5B2789AB4F66}"/>
    <cellStyle name="40% - Accent2 2 3 3 4 4" xfId="15008" xr:uid="{BD94609B-FACD-4B57-960D-11346FC3B359}"/>
    <cellStyle name="40% - Accent2 2 3 3 5" xfId="15007" xr:uid="{70141A56-5D6B-4575-9C78-3C6F9B52A37E}"/>
    <cellStyle name="40% - Accent2 2 3 3 5 2" xfId="32821" xr:uid="{C8DE451A-FC9A-4B87-926C-9FCA715103FF}"/>
    <cellStyle name="40% - Accent2 2 3 3 5 2 2" xfId="15005" xr:uid="{9F0E33F7-3920-4A4E-B0AB-7FFCD428A575}"/>
    <cellStyle name="40% - Accent2 2 3 3 5 3" xfId="15003" xr:uid="{F459BF7D-3A24-4DB5-9BDA-AFA9ABA3C539}"/>
    <cellStyle name="40% - Accent2 2 3 3 6" xfId="20662" xr:uid="{5CCEC689-C6D6-41E8-A6BD-C139C4FD39AB}"/>
    <cellStyle name="40% - Accent2 2 3 3 6 2" xfId="26500" xr:uid="{9358D41A-6EF9-4972-AAAB-D5BEA9529442}"/>
    <cellStyle name="40% - Accent2 2 3 3 7" xfId="20658" xr:uid="{91136381-8FCC-47EA-8526-058656718370}"/>
    <cellStyle name="40% - Accent2 2 3 4" xfId="15002" xr:uid="{440925DC-07E2-4604-8D48-265833600A66}"/>
    <cellStyle name="40% - Accent2 2 3 4 2" xfId="25590" xr:uid="{75671C47-4165-4B79-9493-6BAE27F369E3}"/>
    <cellStyle name="40% - Accent2 2 3 4 2 2" xfId="28833" xr:uid="{ECCFC2EF-B028-4FA1-BB95-5BF16B9EA881}"/>
    <cellStyle name="40% - Accent2 2 3 4 2 2 2" xfId="14648" xr:uid="{A0913837-6CB1-4CFB-97FA-562723E263E6}"/>
    <cellStyle name="40% - Accent2 2 3 4 2 2 2 2" xfId="17919" xr:uid="{9381FA95-F99F-42A0-8054-C094910168B8}"/>
    <cellStyle name="40% - Accent2 2 3 4 2 2 2 2 2" xfId="15001" xr:uid="{987E13DE-B704-4E67-8DAE-636DA1E4A684}"/>
    <cellStyle name="40% - Accent2 2 3 4 2 2 2 3" xfId="14999" xr:uid="{56F6903D-7320-4E14-B1F6-3A4FD8196EAF}"/>
    <cellStyle name="40% - Accent2 2 3 4 2 2 3" xfId="14998" xr:uid="{493BB507-39B2-4944-9FD1-D0A78EDBEED8}"/>
    <cellStyle name="40% - Accent2 2 3 4 2 2 3 2" xfId="14997" xr:uid="{490C037B-7293-4A59-AD0F-C83B2DB3785B}"/>
    <cellStyle name="40% - Accent2 2 3 4 2 2 4" xfId="27705" xr:uid="{0307A08A-6FF3-440B-A49B-F88A85FC7BFB}"/>
    <cellStyle name="40% - Accent2 2 3 4 2 3" xfId="25038" xr:uid="{A6F13E21-C2BC-4318-A8D8-032B975636F0}"/>
    <cellStyle name="40% - Accent2 2 3 4 2 3 2" xfId="14996" xr:uid="{2C2FB41C-C49A-4FD0-8911-95F5AF3A1716}"/>
    <cellStyle name="40% - Accent2 2 3 4 2 3 2 2" xfId="14995" xr:uid="{B32F1921-2CFA-41FE-AC9A-A5B2B5474789}"/>
    <cellStyle name="40% - Accent2 2 3 4 2 3 3" xfId="14994" xr:uid="{95446B1E-3D15-44C5-BFC6-F365048142B4}"/>
    <cellStyle name="40% - Accent2 2 3 4 2 4" xfId="33481" xr:uid="{13575CFC-7342-4FEE-864E-874B4CD4FB54}"/>
    <cellStyle name="40% - Accent2 2 3 4 2 4 2" xfId="14993" xr:uid="{798C4762-E6F9-49AC-876D-118B77ACAFA0}"/>
    <cellStyle name="40% - Accent2 2 3 4 2 5" xfId="7391" xr:uid="{EA9E9581-76A2-4A99-9C8A-46B9A0DC2D5B}"/>
    <cellStyle name="40% - Accent2 2 3 4 3" xfId="31184" xr:uid="{F784E39C-BD3D-4B22-8CBD-2B8BB21D1C6E}"/>
    <cellStyle name="40% - Accent2 2 3 4 3 2" xfId="28823" xr:uid="{B91BD789-97A4-48F2-9859-9C62CC481214}"/>
    <cellStyle name="40% - Accent2 2 3 4 3 2 2" xfId="14991" xr:uid="{B681806B-E00F-4A29-9497-F9E0612BE42E}"/>
    <cellStyle name="40% - Accent2 2 3 4 3 2 2 2" xfId="14988" xr:uid="{A9084A68-0CF5-4223-9BA3-F27EFE6FDFD0}"/>
    <cellStyle name="40% - Accent2 2 3 4 3 2 3" xfId="14987" xr:uid="{F99DF7F7-268A-4A9A-8EDB-8CF8AA57E74D}"/>
    <cellStyle name="40% - Accent2 2 3 4 3 3" xfId="14986" xr:uid="{2D6F1BE4-CEC6-4892-884B-DB1B1EEFC58A}"/>
    <cellStyle name="40% - Accent2 2 3 4 3 3 2" xfId="14983" xr:uid="{7E16C990-C9DD-4AA7-B3DD-87A6CA42D8D3}"/>
    <cellStyle name="40% - Accent2 2 3 4 3 4" xfId="33474" xr:uid="{81B29C6A-1DE6-4649-B2CE-0318E01FCC57}"/>
    <cellStyle name="40% - Accent2 2 3 4 4" xfId="14982" xr:uid="{288CE11C-6E38-4C39-8FDD-EA0ECFC08023}"/>
    <cellStyle name="40% - Accent2 2 3 4 4 2" xfId="29014" xr:uid="{407B0441-4E9D-4AAF-8273-459E669C2832}"/>
    <cellStyle name="40% - Accent2 2 3 4 4 2 2" xfId="14980" xr:uid="{BD81509E-8702-49D0-AAFD-C940C2ECC9CD}"/>
    <cellStyle name="40% - Accent2 2 3 4 4 3" xfId="14979" xr:uid="{D4874443-8C0F-4295-872E-F44A8F7A8B8B}"/>
    <cellStyle name="40% - Accent2 2 3 4 5" xfId="33300" xr:uid="{5223BB9D-7D38-4D64-95A5-033CD320623E}"/>
    <cellStyle name="40% - Accent2 2 3 4 5 2" xfId="14978" xr:uid="{E74ACBC7-5CB9-4040-B73B-D2263B5EA28E}"/>
    <cellStyle name="40% - Accent2 2 3 4 6" xfId="32490" xr:uid="{A05E95B7-13B5-4FDB-A24B-ADD96E49A806}"/>
    <cellStyle name="40% - Accent2 2 3 5" xfId="25919" xr:uid="{0A07998B-9F4C-4108-93C8-8C53F12CE453}"/>
    <cellStyle name="40% - Accent2 2 3 5 2" xfId="25693" xr:uid="{C80344FC-8D7B-48C6-BF83-F00632198885}"/>
    <cellStyle name="40% - Accent2 2 3 5 2 2" xfId="22707" xr:uid="{37D5C78C-1CD3-48CC-861F-9B0F0BE28ED1}"/>
    <cellStyle name="40% - Accent2 2 3 5 2 2 2" xfId="14977" xr:uid="{598C89DD-42F9-41F0-ADEB-8D71AF31E56A}"/>
    <cellStyle name="40% - Accent2 2 3 5 2 2 2 2" xfId="18998" xr:uid="{BAFF1189-9968-4A5E-912E-BD64B5805646}"/>
    <cellStyle name="40% - Accent2 2 3 5 2 2 3" xfId="14975" xr:uid="{597B71DA-AED5-4758-8926-23CBF6FD311B}"/>
    <cellStyle name="40% - Accent2 2 3 5 2 3" xfId="14973" xr:uid="{2EA0D1C0-768A-4273-AC3C-982BD8DDA8BD}"/>
    <cellStyle name="40% - Accent2 2 3 5 2 3 2" xfId="14972" xr:uid="{D2C94797-FD15-4CA0-B33D-FCDF2F4013F4}"/>
    <cellStyle name="40% - Accent2 2 3 5 2 4" xfId="34210" xr:uid="{72C0BA79-A9E5-4CFA-9A62-8CDEC6F03120}"/>
    <cellStyle name="40% - Accent2 2 3 5 3" xfId="14971" xr:uid="{F498EBCF-A4F2-42CA-BF62-E952E1D148A7}"/>
    <cellStyle name="40% - Accent2 2 3 5 3 2" xfId="14970" xr:uid="{EED72AC5-CD98-4479-B2A8-A4F5CF0E72BB}"/>
    <cellStyle name="40% - Accent2 2 3 5 3 2 2" xfId="14969" xr:uid="{29E598A2-E8DA-44C3-BAB9-89B5B2730691}"/>
    <cellStyle name="40% - Accent2 2 3 5 3 3" xfId="14968" xr:uid="{CC6956C7-B9E9-4829-A4B4-2E68A28E8BFD}"/>
    <cellStyle name="40% - Accent2 2 3 5 4" xfId="14967" xr:uid="{81EF6A28-81FF-4314-AB65-AA99089876C8}"/>
    <cellStyle name="40% - Accent2 2 3 5 4 2" xfId="14965" xr:uid="{F107B848-7BE6-4F64-BCCA-3781AFAE02CF}"/>
    <cellStyle name="40% - Accent2 2 3 5 5" xfId="14963" xr:uid="{46C05711-9E32-4A14-8134-D9382C8632FE}"/>
    <cellStyle name="40% - Accent2 2 3 6" xfId="27502" xr:uid="{541A3B41-AB2C-4881-88D9-529279A59796}"/>
    <cellStyle name="40% - Accent2 2 3 6 2" xfId="14961" xr:uid="{4E1EBD3C-F346-4AF4-B3CD-79382554B81F}"/>
    <cellStyle name="40% - Accent2 2 3 6 2 2" xfId="14960" xr:uid="{83BD195B-389A-4478-A66D-5AEEF2E2A0D0}"/>
    <cellStyle name="40% - Accent2 2 3 6 2 2 2" xfId="14959" xr:uid="{CB59816C-11DD-453A-9BEA-E873AC8685DD}"/>
    <cellStyle name="40% - Accent2 2 3 6 2 3" xfId="14958" xr:uid="{0A16F6A5-5561-4F77-9AA3-F0CD1B039D0A}"/>
    <cellStyle name="40% - Accent2 2 3 6 3" xfId="14956" xr:uid="{102502CF-F8BF-4E9F-B0AF-418BA55B7105}"/>
    <cellStyle name="40% - Accent2 2 3 6 3 2" xfId="14955" xr:uid="{9E6158EA-4ED1-42D2-9622-EF435F2F68BE}"/>
    <cellStyle name="40% - Accent2 2 3 6 4" xfId="14954" xr:uid="{CF447D64-7E21-418A-8E6D-67917FB32624}"/>
    <cellStyle name="40% - Accent2 2 3 7" xfId="18546" xr:uid="{DABFC73C-0755-416D-998E-A53B492143FF}"/>
    <cellStyle name="40% - Accent2 2 3 7 2" xfId="23382" xr:uid="{5664EFA3-87C2-408B-8C76-F8D65EE51BDB}"/>
    <cellStyle name="40% - Accent2 2 3 7 2 2" xfId="18543" xr:uid="{744A6713-F378-488F-943E-2802338D628C}"/>
    <cellStyle name="40% - Accent2 2 3 7 3" xfId="18541" xr:uid="{AC2E1C74-E48E-495D-94CE-40BA612500B7}"/>
    <cellStyle name="40% - Accent2 2 3 8" xfId="18540" xr:uid="{42170356-F79E-4458-B116-D9AD9943598C}"/>
    <cellStyle name="40% - Accent2 2 3 8 2" xfId="18539" xr:uid="{F0DA2CA2-FD80-4DAD-9A8C-F0F3F90739AA}"/>
    <cellStyle name="40% - Accent2 2 3 9" xfId="18538" xr:uid="{87883782-2306-4574-9CD6-FBC77A96831E}"/>
    <cellStyle name="40% - Accent2 2 4" xfId="18854" xr:uid="{D6D268FF-F958-487D-9E3B-FB6D56D49C75}"/>
    <cellStyle name="40% - Accent2 2 4 2" xfId="14952" xr:uid="{179104EF-8B26-4E1D-B1D0-85237A99CBDD}"/>
    <cellStyle name="40% - Accent2 2 4 2 2" xfId="14951" xr:uid="{B1E11621-17F6-41FF-A6CF-CCD479768D3C}"/>
    <cellStyle name="40% - Accent2 2 4 2 2 2" xfId="25748" xr:uid="{B0ACE19E-C37E-4607-8EAC-6CF4903C23F5}"/>
    <cellStyle name="40% - Accent2 2 4 2 2 2 2" xfId="16799" xr:uid="{24ACBC54-1315-4A91-B02A-303507E2738C}"/>
    <cellStyle name="40% - Accent2 2 4 2 2 2 2 2" xfId="16797" xr:uid="{0EFBE4F0-B15D-448A-B46A-B95B60DD5F9D}"/>
    <cellStyle name="40% - Accent2 2 4 2 2 2 2 2 2" xfId="7813" xr:uid="{135EFFA0-D219-4A71-BD6F-F5BB9A085ADE}"/>
    <cellStyle name="40% - Accent2 2 4 2 2 2 2 2 2 2" xfId="14949" xr:uid="{E6288B8F-5740-4EA0-B5BA-BEE183B18ED5}"/>
    <cellStyle name="40% - Accent2 2 4 2 2 2 2 2 3" xfId="14947" xr:uid="{8728EE5D-02D3-482C-A0FF-1B7034932723}"/>
    <cellStyle name="40% - Accent2 2 4 2 2 2 2 3" xfId="16791" xr:uid="{5DAB5639-03A8-49F3-A55E-D90A07DB9898}"/>
    <cellStyle name="40% - Accent2 2 4 2 2 2 2 3 2" xfId="14944" xr:uid="{10A5634E-9169-45B8-95D4-795E30B73A98}"/>
    <cellStyle name="40% - Accent2 2 4 2 2 2 2 4" xfId="14943" xr:uid="{C7438B99-AE69-4460-A2CD-50ACAD93C1D1}"/>
    <cellStyle name="40% - Accent2 2 4 2 2 2 3" xfId="16788" xr:uid="{3C9114DD-177C-4478-8DE2-72A88C8C4CF0}"/>
    <cellStyle name="40% - Accent2 2 4 2 2 2 3 2" xfId="16787" xr:uid="{3978C83A-D338-4E35-B82A-2479BAB8CE62}"/>
    <cellStyle name="40% - Accent2 2 4 2 2 2 3 2 2" xfId="14940" xr:uid="{959269E3-F01C-44A1-8DF8-D392A3A0E9F2}"/>
    <cellStyle name="40% - Accent2 2 4 2 2 2 3 3" xfId="14939" xr:uid="{2DAE78FB-3E4B-4C63-8880-980F86032F7C}"/>
    <cellStyle name="40% - Accent2 2 4 2 2 2 4" xfId="16782" xr:uid="{14202916-FAE1-41B1-83FC-AF9132F2983C}"/>
    <cellStyle name="40% - Accent2 2 4 2 2 2 4 2" xfId="14938" xr:uid="{E912CF4F-E59E-42F0-95BA-F15E20A26EC6}"/>
    <cellStyle name="40% - Accent2 2 4 2 2 2 5" xfId="14937" xr:uid="{2DB9C567-3B42-4BAB-A46B-50F115AA55E8}"/>
    <cellStyle name="40% - Accent2 2 4 2 2 3" xfId="14936" xr:uid="{78A58D57-4F81-49AE-8A97-C912A1CF818B}"/>
    <cellStyle name="40% - Accent2 2 4 2 2 3 2" xfId="20046" xr:uid="{B218011E-CCCC-48ED-AE24-FFB030306B5E}"/>
    <cellStyle name="40% - Accent2 2 4 2 2 3 2 2" xfId="16770" xr:uid="{E2D7A4A5-2E56-4967-8AF1-435FC1689259}"/>
    <cellStyle name="40% - Accent2 2 4 2 2 3 2 2 2" xfId="14935" xr:uid="{C8446F7B-6859-4A84-BBA0-8C191FC27CA4}"/>
    <cellStyle name="40% - Accent2 2 4 2 2 3 2 3" xfId="14933" xr:uid="{5D59B17A-34DC-4FF9-B36A-BF7631CEBC36}"/>
    <cellStyle name="40% - Accent2 2 4 2 2 3 3" xfId="18077" xr:uid="{F7AE9AA3-1D0F-4EBA-8132-B6C32603927E}"/>
    <cellStyle name="40% - Accent2 2 4 2 2 3 3 2" xfId="14932" xr:uid="{757138DE-B39A-41C6-AA62-6425617C16A7}"/>
    <cellStyle name="40% - Accent2 2 4 2 2 3 4" xfId="14930" xr:uid="{552BE7C3-6F12-4AA0-BB75-4255689E111B}"/>
    <cellStyle name="40% - Accent2 2 4 2 2 4" xfId="14929" xr:uid="{21CC9B7B-EA35-46F7-9E5B-792605A52B8C}"/>
    <cellStyle name="40% - Accent2 2 4 2 2 4 2" xfId="28060" xr:uid="{A0F28B64-7BB7-4865-B9B5-A683A8BA7F06}"/>
    <cellStyle name="40% - Accent2 2 4 2 2 4 2 2" xfId="19134" xr:uid="{97C1E901-A8C8-4388-9BBE-5E3880E81831}"/>
    <cellStyle name="40% - Accent2 2 4 2 2 4 3" xfId="14925" xr:uid="{C89FFE87-8F8C-42EE-AD1C-B0F255DB3A2A}"/>
    <cellStyle name="40% - Accent2 2 4 2 2 5" xfId="6377" xr:uid="{FD09B38E-F952-4379-B77A-94C5713EA2FB}"/>
    <cellStyle name="40% - Accent2 2 4 2 2 5 2" xfId="14923" xr:uid="{EEA6BFDD-FE26-421E-B50B-F955401A0338}"/>
    <cellStyle name="40% - Accent2 2 4 2 2 6" xfId="11708" xr:uid="{4D74CC4D-AAA2-431F-ACF2-ED596D02BA2D}"/>
    <cellStyle name="40% - Accent2 2 4 2 3" xfId="14920" xr:uid="{F4C0A2A6-5D88-4D6D-AE1A-81D2FCF44EAA}"/>
    <cellStyle name="40% - Accent2 2 4 2 3 2" xfId="14918" xr:uid="{2E09973B-E5A9-48FC-9C1B-D49E60626BC7}"/>
    <cellStyle name="40% - Accent2 2 4 2 3 2 2" xfId="30288" xr:uid="{8F2B50D5-5905-407E-A489-55CB51DFC28C}"/>
    <cellStyle name="40% - Accent2 2 4 2 3 2 2 2" xfId="16735" xr:uid="{AB587BAA-B9A1-4FFC-83B2-6ED058B3D6CE}"/>
    <cellStyle name="40% - Accent2 2 4 2 3 2 2 2 2" xfId="14916" xr:uid="{5372F9F5-0921-47A1-B696-DE5F84E6BAB8}"/>
    <cellStyle name="40% - Accent2 2 4 2 3 2 2 3" xfId="14915" xr:uid="{949F1F63-FCD4-4E3D-BD93-53CAE138990E}"/>
    <cellStyle name="40% - Accent2 2 4 2 3 2 3" xfId="16732" xr:uid="{0804E654-952A-49FA-9E63-FDFD086C6FEA}"/>
    <cellStyle name="40% - Accent2 2 4 2 3 2 3 2" xfId="14914" xr:uid="{65B0FA85-EB5B-4D9A-98CF-7BF590585950}"/>
    <cellStyle name="40% - Accent2 2 4 2 3 2 4" xfId="14913" xr:uid="{93FA4BB8-83A9-43A4-95F1-68C90AE4A897}"/>
    <cellStyle name="40% - Accent2 2 4 2 3 3" xfId="14912" xr:uid="{D08B3789-EEB6-4BC3-A751-5256525CEBB8}"/>
    <cellStyle name="40% - Accent2 2 4 2 3 3 2" xfId="33090" xr:uid="{00A32614-ABFD-485C-9E5B-E41637081A55}"/>
    <cellStyle name="40% - Accent2 2 4 2 3 3 2 2" xfId="28545" xr:uid="{3975AEF0-FD17-4BB1-BEB7-C477D31664C3}"/>
    <cellStyle name="40% - Accent2 2 4 2 3 3 3" xfId="14910" xr:uid="{13FC53EC-9AD9-4F92-B5B4-6F78DAE3A923}"/>
    <cellStyle name="40% - Accent2 2 4 2 3 4" xfId="14909" xr:uid="{6D681EA9-22B5-4D7F-81D4-3982600DA37D}"/>
    <cellStyle name="40% - Accent2 2 4 2 3 4 2" xfId="15125" xr:uid="{ADD61DD7-3AEC-4DB5-949A-206E2B772484}"/>
    <cellStyle name="40% - Accent2 2 4 2 3 5" xfId="6360" xr:uid="{E1D80B7A-A80E-47D8-BB22-546F9B49335C}"/>
    <cellStyle name="40% - Accent2 2 4 2 4" xfId="14907" xr:uid="{AA76DB91-C16B-4DE3-A98E-053CCE5A6EE6}"/>
    <cellStyle name="40% - Accent2 2 4 2 4 2" xfId="25058" xr:uid="{0F21A348-FE77-45BB-B1A0-1E0AFC27A534}"/>
    <cellStyle name="40% - Accent2 2 4 2 4 2 2" xfId="33637" xr:uid="{23D490A7-E177-4A53-82A2-331DB2324A09}"/>
    <cellStyle name="40% - Accent2 2 4 2 4 2 2 2" xfId="14903" xr:uid="{77136ED1-C96A-4D53-8428-14DD64FFBEC1}"/>
    <cellStyle name="40% - Accent2 2 4 2 4 2 3" xfId="16920" xr:uid="{799441DD-6101-4BB0-9B7E-90761CC75249}"/>
    <cellStyle name="40% - Accent2 2 4 2 4 3" xfId="30030" xr:uid="{4BFBBC0D-5639-475F-A20D-694D3647C599}"/>
    <cellStyle name="40% - Accent2 2 4 2 4 3 2" xfId="32733" xr:uid="{9F7DC65F-7327-4AD5-835D-5605A2FA7D86}"/>
    <cellStyle name="40% - Accent2 2 4 2 4 4" xfId="14902" xr:uid="{2D4D724D-D13C-4E5D-A498-37759F06F95E}"/>
    <cellStyle name="40% - Accent2 2 4 2 5" xfId="14900" xr:uid="{F5191D1D-A6F6-4419-A5B3-B7AF64178599}"/>
    <cellStyle name="40% - Accent2 2 4 2 5 2" xfId="29436" xr:uid="{AEA05428-6658-4D95-B418-DAC686B3228C}"/>
    <cellStyle name="40% - Accent2 2 4 2 5 2 2" xfId="23399" xr:uid="{915671F7-7BB3-45EB-8B77-E7AF9678ADE4}"/>
    <cellStyle name="40% - Accent2 2 4 2 5 3" xfId="14894" xr:uid="{FF8D74FC-7F44-47BD-B53A-94E586EEDDE1}"/>
    <cellStyle name="40% - Accent2 2 4 2 6" xfId="20611" xr:uid="{9A385F9B-25D2-4AC7-A47C-61C6579CCD22}"/>
    <cellStyle name="40% - Accent2 2 4 2 6 2" xfId="26823" xr:uid="{465E922E-8A3B-4700-89DE-4506BC847E0B}"/>
    <cellStyle name="40% - Accent2 2 4 2 7" xfId="11608" xr:uid="{AA28DEF4-5E67-4136-BE33-0AAE9B68DAAD}"/>
    <cellStyle name="40% - Accent2 2 4 3" xfId="14893" xr:uid="{91CE48C3-1FC0-451B-9738-0D30E9DE5F15}"/>
    <cellStyle name="40% - Accent2 2 4 3 2" xfId="25585" xr:uid="{37A0B6B4-CE8E-45D0-9FF9-D60B86E6F50E}"/>
    <cellStyle name="40% - Accent2 2 4 3 2 2" xfId="14892" xr:uid="{B3F105D7-9D33-4978-BEEF-52D59949724A}"/>
    <cellStyle name="40% - Accent2 2 4 3 2 2 2" xfId="16666" xr:uid="{DF452B1A-3DD4-4C3F-84C1-F52E0681214C}"/>
    <cellStyle name="40% - Accent2 2 4 3 2 2 2 2" xfId="17495" xr:uid="{1ECB4F7B-B07D-4E81-8EA6-86BA54EE2B85}"/>
    <cellStyle name="40% - Accent2 2 4 3 2 2 2 2 2" xfId="14891" xr:uid="{A2D59A2C-AB1F-4E4C-8581-41A31CE0F442}"/>
    <cellStyle name="40% - Accent2 2 4 3 2 2 2 3" xfId="18469" xr:uid="{5503C376-C94B-4FDD-A94A-BA70645FBC07}"/>
    <cellStyle name="40% - Accent2 2 4 3 2 2 3" xfId="16662" xr:uid="{17E9D08C-D443-47EB-B058-D32AED39AA82}"/>
    <cellStyle name="40% - Accent2 2 4 3 2 2 3 2" xfId="18460" xr:uid="{315987AD-2D7A-4F46-9D93-22ABC328106B}"/>
    <cellStyle name="40% - Accent2 2 4 3 2 2 4" xfId="14888" xr:uid="{8AD5F9BE-F12C-4DFC-9459-EBF113DCE64D}"/>
    <cellStyle name="40% - Accent2 2 4 3 2 3" xfId="14886" xr:uid="{A2EA67CF-6B20-4CE5-9C89-C10FF73042EF}"/>
    <cellStyle name="40% - Accent2 2 4 3 2 3 2" xfId="18054" xr:uid="{ADC2E305-1C57-4E3E-8DE7-32F315B0C7B6}"/>
    <cellStyle name="40% - Accent2 2 4 3 2 3 2 2" xfId="18446" xr:uid="{1F4111BC-F744-469E-96EB-1C8985607557}"/>
    <cellStyle name="40% - Accent2 2 4 3 2 3 3" xfId="14885" xr:uid="{00AC4E0E-2E07-44E5-ACF6-A970B25F40E6}"/>
    <cellStyle name="40% - Accent2 2 4 3 2 4" xfId="14884" xr:uid="{49D19517-58EA-4E77-9A08-9E2B9BCC929F}"/>
    <cellStyle name="40% - Accent2 2 4 3 2 4 2" xfId="30646" xr:uid="{847DF509-F6BE-407B-9E7E-086405CEA85A}"/>
    <cellStyle name="40% - Accent2 2 4 3 2 5" xfId="6094" xr:uid="{51CA9EFD-4FE3-405E-BA98-7E11B59CCA72}"/>
    <cellStyle name="40% - Accent2 2 4 3 3" xfId="14883" xr:uid="{35C7F181-13E6-4C5F-B1CC-7085B8BC1D96}"/>
    <cellStyle name="40% - Accent2 2 4 3 3 2" xfId="14881" xr:uid="{8B91BB49-A476-4ADF-92FF-18CE7FFE985E}"/>
    <cellStyle name="40% - Accent2 2 4 3 3 2 2" xfId="16633" xr:uid="{5EFFF4E1-2F36-447D-BD9D-1B30D48545F0}"/>
    <cellStyle name="40% - Accent2 2 4 3 3 2 2 2" xfId="18424" xr:uid="{AB1C2D21-7E86-4DD5-93FD-88D88373F244}"/>
    <cellStyle name="40% - Accent2 2 4 3 3 2 3" xfId="22457" xr:uid="{D3D1888E-0B39-437E-AF13-6509399B4284}"/>
    <cellStyle name="40% - Accent2 2 4 3 3 3" xfId="14879" xr:uid="{81479867-F7A1-4BC1-B104-DCCC4804F580}"/>
    <cellStyle name="40% - Accent2 2 4 3 3 3 2" xfId="14878" xr:uid="{237EFB94-191A-4355-B735-4322DB731685}"/>
    <cellStyle name="40% - Accent2 2 4 3 3 4" xfId="14877" xr:uid="{E7E5A771-16E2-4440-BC48-AEC1B4AE6FC9}"/>
    <cellStyle name="40% - Accent2 2 4 3 4" xfId="14876" xr:uid="{318A6FC2-249C-44BC-9892-61D913BDDAC7}"/>
    <cellStyle name="40% - Accent2 2 4 3 4 2" xfId="33244" xr:uid="{EA4E6A7F-5FE4-4500-987F-22F4F40802E3}"/>
    <cellStyle name="40% - Accent2 2 4 3 4 2 2" xfId="34098" xr:uid="{6D72D137-9501-41EE-B0CA-357315A0CF9F}"/>
    <cellStyle name="40% - Accent2 2 4 3 4 3" xfId="14872" xr:uid="{E3BD7D43-C253-497B-9967-D036E10C13FA}"/>
    <cellStyle name="40% - Accent2 2 4 3 5" xfId="14871" xr:uid="{D4DB8729-EC5A-4B91-9BF9-11259433374A}"/>
    <cellStyle name="40% - Accent2 2 4 3 5 2" xfId="14868" xr:uid="{F5DA912D-4382-4855-AF63-F0195B9759FB}"/>
    <cellStyle name="40% - Accent2 2 4 3 6" xfId="20598" xr:uid="{1E73D071-EC16-44D0-AA2C-98A8D1EBB5C7}"/>
    <cellStyle name="40% - Accent2 2 4 4" xfId="14867" xr:uid="{FBF9D8AD-6ECC-442F-A756-C61DF85459A5}"/>
    <cellStyle name="40% - Accent2 2 4 4 2" xfId="14866" xr:uid="{A0F8821F-75AD-416E-AA5D-8C93C7604DB0}"/>
    <cellStyle name="40% - Accent2 2 4 4 2 2" xfId="34189" xr:uid="{80D6C19C-E4DF-4F1D-9FA9-28C9621C10E4}"/>
    <cellStyle name="40% - Accent2 2 4 4 2 2 2" xfId="16601" xr:uid="{A4FFFF6E-9818-4158-82E1-6B981AD9CE7C}"/>
    <cellStyle name="40% - Accent2 2 4 4 2 2 2 2" xfId="23252" xr:uid="{9D730FC3-C3BF-4C86-A7CE-48A8B2E01EE1}"/>
    <cellStyle name="40% - Accent2 2 4 4 2 2 3" xfId="14864" xr:uid="{3D04C32E-404C-4EE7-88B4-F240BB90CA97}"/>
    <cellStyle name="40% - Accent2 2 4 4 2 3" xfId="14863" xr:uid="{D737B052-348A-488E-8D57-9D4AC81DC090}"/>
    <cellStyle name="40% - Accent2 2 4 4 2 3 2" xfId="14861" xr:uid="{9664CD9B-4F17-4E08-9BD3-C02144924B25}"/>
    <cellStyle name="40% - Accent2 2 4 4 2 4" xfId="26676" xr:uid="{5CA2DEB6-49BA-4142-93AF-91172AAA3857}"/>
    <cellStyle name="40% - Accent2 2 4 4 3" xfId="14859" xr:uid="{C44D10EB-E865-41B3-97CC-05822AE1A6FD}"/>
    <cellStyle name="40% - Accent2 2 4 4 3 2" xfId="14857" xr:uid="{F5E6E22E-7051-4B2E-9D57-645C735BA1A3}"/>
    <cellStyle name="40% - Accent2 2 4 4 3 2 2" xfId="14856" xr:uid="{94013E5D-EE2C-4838-8878-494982C9A39A}"/>
    <cellStyle name="40% - Accent2 2 4 4 3 3" xfId="14855" xr:uid="{20E616A1-B243-4180-89F3-D197B7773586}"/>
    <cellStyle name="40% - Accent2 2 4 4 4" xfId="14853" xr:uid="{A05E9DBC-5DD0-4CC0-815A-3BD9D4ADD10F}"/>
    <cellStyle name="40% - Accent2 2 4 4 4 2" xfId="14850" xr:uid="{73BB9EA9-C0FA-4C72-A983-9AF3928E3A83}"/>
    <cellStyle name="40% - Accent2 2 4 4 5" xfId="14848" xr:uid="{B49BF250-4150-4C3E-8E8F-8F3B354F33E5}"/>
    <cellStyle name="40% - Accent2 2 4 5" xfId="27499" xr:uid="{BC1B72A7-6A72-47FC-95F0-DD75A759C9D8}"/>
    <cellStyle name="40% - Accent2 2 4 5 2" xfId="14846" xr:uid="{D1E315A7-3D88-41A5-AD5F-6D628ED49BA1}"/>
    <cellStyle name="40% - Accent2 2 4 5 2 2" xfId="14842" xr:uid="{C91AF6E9-96F4-45D1-ACC3-938C37165FF6}"/>
    <cellStyle name="40% - Accent2 2 4 5 2 2 2" xfId="14841" xr:uid="{E03EC4B4-B07C-4AA8-A631-E5F8571E0866}"/>
    <cellStyle name="40% - Accent2 2 4 5 2 3" xfId="14840" xr:uid="{2536E6E9-1860-495E-99E0-4889AAEA190A}"/>
    <cellStyle name="40% - Accent2 2 4 5 3" xfId="14839" xr:uid="{1057E19C-7D95-4E51-A644-01EE9B828ED2}"/>
    <cellStyle name="40% - Accent2 2 4 5 3 2" xfId="14837" xr:uid="{8D2095CE-308B-47E6-8C64-3A32CEE30A04}"/>
    <cellStyle name="40% - Accent2 2 4 5 4" xfId="14835" xr:uid="{B39E1A99-C5A2-4659-AAC5-2CC2D56EAA4E}"/>
    <cellStyle name="40% - Accent2 2 4 6" xfId="14833" xr:uid="{3BC0DFAF-09F3-4E6A-8101-D807D8808EFC}"/>
    <cellStyle name="40% - Accent2 2 4 6 2" xfId="14830" xr:uid="{789BCB6E-F1D5-4DA1-8502-32F2B459CF65}"/>
    <cellStyle name="40% - Accent2 2 4 6 2 2" xfId="14827" xr:uid="{6F7C996C-93DD-43F4-B7EF-FB155F90A434}"/>
    <cellStyle name="40% - Accent2 2 4 6 3" xfId="14825" xr:uid="{ADEB5041-5463-489B-86E6-84FB52A7FC87}"/>
    <cellStyle name="40% - Accent2 2 4 7" xfId="6435" xr:uid="{8D0405E5-8966-421E-AC73-893968A64D85}"/>
    <cellStyle name="40% - Accent2 2 4 7 2" xfId="18534" xr:uid="{E2FDBC1A-3009-4BE5-A036-F8E9523885A7}"/>
    <cellStyle name="40% - Accent2 2 4 8" xfId="18531" xr:uid="{2055892D-42D5-492E-94D5-FE1BDE94C109}"/>
    <cellStyle name="40% - Accent2 2 4 9" xfId="34754" xr:uid="{B9C18887-0649-4C39-AFE9-2E671D7EFE16}"/>
    <cellStyle name="40% - Accent2 2 5" xfId="14823" xr:uid="{2A90DA3F-C170-4086-AA58-3B8C19A34744}"/>
    <cellStyle name="40% - Accent2 2 5 2" xfId="14822" xr:uid="{531B56FA-8B9D-4398-AC27-C99309673354}"/>
    <cellStyle name="40% - Accent2 2 5 2 2" xfId="14821" xr:uid="{971BA057-312B-498F-8DBA-27D3DC543A89}"/>
    <cellStyle name="40% - Accent2 2 5 2 2 2" xfId="14818" xr:uid="{3E29B5B1-279F-4212-BE33-344E9A9CD015}"/>
    <cellStyle name="40% - Accent2 2 5 2 2 2 2" xfId="32083" xr:uid="{141E466C-3404-45B6-A6A7-B90111062C52}"/>
    <cellStyle name="40% - Accent2 2 5 2 2 2 2 2" xfId="29410" xr:uid="{74355671-0292-4F11-AC08-F37BBA76C6A4}"/>
    <cellStyle name="40% - Accent2 2 5 2 2 2 2 2 2" xfId="20606" xr:uid="{530B757F-8984-4458-AA0F-9B5B74DD8C2D}"/>
    <cellStyle name="40% - Accent2 2 5 2 2 2 2 3" xfId="14817" xr:uid="{85B1AB41-A819-49B1-AA0F-07A45815A0A8}"/>
    <cellStyle name="40% - Accent2 2 5 2 2 2 3" xfId="16522" xr:uid="{64D5A4E6-00D5-4632-A3F2-AB4BAE2B2EC4}"/>
    <cellStyle name="40% - Accent2 2 5 2 2 2 3 2" xfId="14816" xr:uid="{A02B3314-A8A3-46D0-9493-D1E6498826E8}"/>
    <cellStyle name="40% - Accent2 2 5 2 2 2 4" xfId="14815" xr:uid="{F7A66004-D338-4069-9B78-EC3A792D82F9}"/>
    <cellStyle name="40% - Accent2 2 5 2 2 3" xfId="14813" xr:uid="{46F2B3CB-4518-4D55-98D2-AE7FA5A8AA90}"/>
    <cellStyle name="40% - Accent2 2 5 2 2 3 2" xfId="16512" xr:uid="{2EFEAECC-F6D7-4CE1-B241-050EC25C31FC}"/>
    <cellStyle name="40% - Accent2 2 5 2 2 3 2 2" xfId="14812" xr:uid="{E21704CC-5F25-4780-993E-766DC6886E0C}"/>
    <cellStyle name="40% - Accent2 2 5 2 2 3 3" xfId="14809" xr:uid="{5E9B35B1-4B0A-4EBE-B8FB-FF692F6EDA77}"/>
    <cellStyle name="40% - Accent2 2 5 2 2 4" xfId="14807" xr:uid="{C3A279A5-6A25-44F5-AB0A-39E51B5463D1}"/>
    <cellStyle name="40% - Accent2 2 5 2 2 4 2" xfId="14805" xr:uid="{4193F46A-DF93-4C9B-AC52-8472133DA71F}"/>
    <cellStyle name="40% - Accent2 2 5 2 2 5" xfId="6626" xr:uid="{33E05B1A-129A-45D9-B22E-C14EBE3337E8}"/>
    <cellStyle name="40% - Accent2 2 5 2 3" xfId="14804" xr:uid="{7E3CF794-2934-4B05-A510-917238E0F237}"/>
    <cellStyle name="40% - Accent2 2 5 2 3 2" xfId="14801" xr:uid="{A05F8F8B-6E84-4DC1-8B90-3C28765688BB}"/>
    <cellStyle name="40% - Accent2 2 5 2 3 2 2" xfId="16481" xr:uid="{C42CFD38-709D-4FC2-AB6D-7DF204F144E7}"/>
    <cellStyle name="40% - Accent2 2 5 2 3 2 2 2" xfId="14798" xr:uid="{F9D52153-7C93-4EC2-8C55-967204C14380}"/>
    <cellStyle name="40% - Accent2 2 5 2 3 2 3" xfId="14797" xr:uid="{77B5F787-13C6-43E6-918D-CE9EF5317BE3}"/>
    <cellStyle name="40% - Accent2 2 5 2 3 3" xfId="14795" xr:uid="{F8DAF6FA-CBEE-4545-B20C-073358492548}"/>
    <cellStyle name="40% - Accent2 2 5 2 3 3 2" xfId="14794" xr:uid="{B80CF1CD-4C05-4947-BDF6-7CCAD3936247}"/>
    <cellStyle name="40% - Accent2 2 5 2 3 4" xfId="14793" xr:uid="{3DCA02BB-2420-45EC-811E-B6F1749A7479}"/>
    <cellStyle name="40% - Accent2 2 5 2 4" xfId="17209" xr:uid="{66ED011E-7A0C-41E8-AA2F-1E62AE5B0FD2}"/>
    <cellStyle name="40% - Accent2 2 5 2 4 2" xfId="32036" xr:uid="{59521FD2-C163-4D5B-9132-A04AE3271B2C}"/>
    <cellStyle name="40% - Accent2 2 5 2 4 2 2" xfId="28240" xr:uid="{7816BF83-A93B-45AA-A24E-5ECDAEF59286}"/>
    <cellStyle name="40% - Accent2 2 5 2 4 3" xfId="19864" xr:uid="{D3390527-8141-4DC5-BB2F-C1A6EF8712F8}"/>
    <cellStyle name="40% - Accent2 2 5 2 5" xfId="17372" xr:uid="{BB97B938-9DE3-480A-A560-8FD264C49DC9}"/>
    <cellStyle name="40% - Accent2 2 5 2 5 2" xfId="9455" xr:uid="{6086C4B8-38EC-4FDE-8161-ED7BFFD93A73}"/>
    <cellStyle name="40% - Accent2 2 5 2 6" xfId="20581" xr:uid="{36E02C89-B782-4E59-A5E7-F383134CFAD9}"/>
    <cellStyle name="40% - Accent2 2 5 3" xfId="14791" xr:uid="{F75C1DBC-D971-49EE-8BBB-74083B9EE17F}"/>
    <cellStyle name="40% - Accent2 2 5 3 2" xfId="14790" xr:uid="{A4C8B645-4D17-4851-AD41-252E5D2D4D83}"/>
    <cellStyle name="40% - Accent2 2 5 3 2 2" xfId="14786" xr:uid="{1AF3D824-D4BF-4C9C-94B7-768E8C7B5EA6}"/>
    <cellStyle name="40% - Accent2 2 5 3 2 2 2" xfId="16448" xr:uid="{C251DAED-7986-4EE2-B06C-3F96F8B37460}"/>
    <cellStyle name="40% - Accent2 2 5 3 2 2 2 2" xfId="26799" xr:uid="{AD46F461-37D8-4354-AE9D-1EB8121140C3}"/>
    <cellStyle name="40% - Accent2 2 5 3 2 2 3" xfId="14783" xr:uid="{4A407852-B588-440F-A927-49CBA632000F}"/>
    <cellStyle name="40% - Accent2 2 5 3 2 3" xfId="14779" xr:uid="{E6C135C6-EDF2-4360-AE44-B2CF93CDC1DD}"/>
    <cellStyle name="40% - Accent2 2 5 3 2 3 2" xfId="14774" xr:uid="{F3AE67B1-6D67-4CDD-BAFC-F6E5D7D13342}"/>
    <cellStyle name="40% - Accent2 2 5 3 2 4" xfId="14771" xr:uid="{C00A1400-2263-4579-A9EC-352228413B5F}"/>
    <cellStyle name="40% - Accent2 2 5 3 3" xfId="14767" xr:uid="{1E08B804-3897-4A67-94E0-E7CDFF777D76}"/>
    <cellStyle name="40% - Accent2 2 5 3 3 2" xfId="14764" xr:uid="{AEB2133A-98F8-4840-B0AF-1AA07195A908}"/>
    <cellStyle name="40% - Accent2 2 5 3 3 2 2" xfId="14759" xr:uid="{71A26BC3-FBD6-4F6D-A12B-F825DBD65FCF}"/>
    <cellStyle name="40% - Accent2 2 5 3 3 3" xfId="14758" xr:uid="{6DE6C089-240A-46E6-AE40-2CC102DC5917}"/>
    <cellStyle name="40% - Accent2 2 5 3 4" xfId="17197" xr:uid="{93B3EE69-B3F6-49AA-84D3-27E5A2E80BD1}"/>
    <cellStyle name="40% - Accent2 2 5 3 4 2" xfId="14754" xr:uid="{612C9780-53BE-4901-9D11-F9CC77888CFA}"/>
    <cellStyle name="40% - Accent2 2 5 3 5" xfId="17354" xr:uid="{08F2FEA3-DB8F-412E-8D00-4949CF6CDC0C}"/>
    <cellStyle name="40% - Accent2 2 5 4" xfId="14751" xr:uid="{29195071-3A08-437A-B84E-305F864DC033}"/>
    <cellStyle name="40% - Accent2 2 5 4 2" xfId="9258" xr:uid="{B6DF4B2E-E746-43AD-AC26-A834952E4760}"/>
    <cellStyle name="40% - Accent2 2 5 4 2 2" xfId="9254" xr:uid="{43762BB8-1B47-4F44-9065-F371BA0BB747}"/>
    <cellStyle name="40% - Accent2 2 5 4 2 2 2" xfId="14743" xr:uid="{F44287BD-BE74-490A-9E71-96B03DBFBF2F}"/>
    <cellStyle name="40% - Accent2 2 5 4 2 3" xfId="5480" xr:uid="{AA59531D-6498-423B-BED2-9DF125D31573}"/>
    <cellStyle name="40% - Accent2 2 5 4 3" xfId="9251" xr:uid="{8428D2F2-723B-4DD1-84D7-4F2E022DB169}"/>
    <cellStyle name="40% - Accent2 2 5 4 3 2" xfId="12084" xr:uid="{1E23B9F9-7502-4EFA-BE41-5D7F2C0AFD86}"/>
    <cellStyle name="40% - Accent2 2 5 4 4" xfId="5477" xr:uid="{6AE027D0-75CC-40E4-9552-9AF8F29B1142}"/>
    <cellStyle name="40% - Accent2 2 5 5" xfId="14735" xr:uid="{B8754DDF-9964-45FE-B54B-073640666254}"/>
    <cellStyle name="40% - Accent2 2 5 5 2" xfId="10728" xr:uid="{3BC926F9-4FA0-47AE-8CC3-CE06943F2AB8}"/>
    <cellStyle name="40% - Accent2 2 5 5 2 2" xfId="5473" xr:uid="{7B7B6052-5B46-45D3-9E8B-9AADC8FFFA52}"/>
    <cellStyle name="40% - Accent2 2 5 5 3" xfId="29293" xr:uid="{B428C1E3-C708-471D-9F53-D7F4F070BB12}"/>
    <cellStyle name="40% - Accent2 2 5 6" xfId="14724" xr:uid="{DAFE7CB4-8CBD-4D27-9B4E-D317315E7762}"/>
    <cellStyle name="40% - Accent2 2 5 6 2" xfId="10716" xr:uid="{807CFF14-8FDF-496A-A33F-28801739182F}"/>
    <cellStyle name="40% - Accent2 2 5 7" xfId="18522" xr:uid="{ECB81C5C-B68A-48C1-900B-B72B5386AD71}"/>
    <cellStyle name="40% - Accent2 2 5 8" xfId="34944" xr:uid="{D31378A6-6810-4C02-9430-C43FEB02D8CF}"/>
    <cellStyle name="40% - Accent2 2 6" xfId="14717" xr:uid="{41C990C5-69D5-408B-8F58-9380519A12AE}"/>
    <cellStyle name="40% - Accent2 2 6 2" xfId="29734" xr:uid="{E576A28C-65F9-44DE-8C92-05746068E367}"/>
    <cellStyle name="40% - Accent2 2 6 2 2" xfId="14715" xr:uid="{82452AAE-D707-40F2-AC29-EBA2C5A20183}"/>
    <cellStyle name="40% - Accent2 2 6 2 2 2" xfId="14713" xr:uid="{C9813981-78B7-4289-9B28-5104B4A55EDC}"/>
    <cellStyle name="40% - Accent2 2 6 2 2 2 2" xfId="16365" xr:uid="{397BE877-E2CC-437F-B8B9-331EE74D7E7A}"/>
    <cellStyle name="40% - Accent2 2 6 2 2 2 2 2" xfId="16921" xr:uid="{ACE5E2B7-D019-45A7-B0C0-7048EBA370CB}"/>
    <cellStyle name="40% - Accent2 2 6 2 2 2 3" xfId="14712" xr:uid="{DCC0DDA8-2170-418D-B211-26E55153B238}"/>
    <cellStyle name="40% - Accent2 2 6 2 2 3" xfId="14710" xr:uid="{8760F5DD-E6DE-44FD-83C6-148696043C76}"/>
    <cellStyle name="40% - Accent2 2 6 2 2 3 2" xfId="26957" xr:uid="{FEFE287D-5E96-4C18-A8AD-A45765F63DC5}"/>
    <cellStyle name="40% - Accent2 2 6 2 2 4" xfId="14709" xr:uid="{BF957E6D-4CE9-49F6-8358-C9497597408B}"/>
    <cellStyle name="40% - Accent2 2 6 2 3" xfId="17194" xr:uid="{37C903CE-3EBB-4245-B16D-5C93B853DEDB}"/>
    <cellStyle name="40% - Accent2 2 6 2 3 2" xfId="14707" xr:uid="{D7283825-C7A2-49BE-9017-EF871D5B513E}"/>
    <cellStyle name="40% - Accent2 2 6 2 3 2 2" xfId="17831" xr:uid="{B608B585-ABC5-49E3-98C5-A64C88AAFD2B}"/>
    <cellStyle name="40% - Accent2 2 6 2 3 3" xfId="14706" xr:uid="{8A7CA3C4-593E-4458-B352-0943575667A6}"/>
    <cellStyle name="40% - Accent2 2 6 2 4" xfId="17191" xr:uid="{477FFF55-581C-439B-9DFD-9F517DDB2074}"/>
    <cellStyle name="40% - Accent2 2 6 2 4 2" xfId="14705" xr:uid="{30C6DAE4-890B-4B95-B18E-97FC81EAEEA6}"/>
    <cellStyle name="40% - Accent2 2 6 2 5" xfId="17322" xr:uid="{1BE977F2-EF23-4AAE-B5E7-5C8D7AD4777F}"/>
    <cellStyle name="40% - Accent2 2 6 3" xfId="14703" xr:uid="{99CDA92B-BEDB-4FEB-A9DD-2E4DDC1652AC}"/>
    <cellStyle name="40% - Accent2 2 6 3 2" xfId="33362" xr:uid="{C8776F40-D93D-4FF5-9070-3E853863C7D9}"/>
    <cellStyle name="40% - Accent2 2 6 3 2 2" xfId="26879" xr:uid="{8C0DEDF9-A1AC-4CD6-9ADE-7361550764C2}"/>
    <cellStyle name="40% - Accent2 2 6 3 2 2 2" xfId="31918" xr:uid="{F8DD3C5D-5C98-4457-B306-4B41D4CE521C}"/>
    <cellStyle name="40% - Accent2 2 6 3 2 3" xfId="26873" xr:uid="{EE90BC00-CAD7-41B0-BF3D-B47EF9B18841}"/>
    <cellStyle name="40% - Accent2 2 6 3 3" xfId="14702" xr:uid="{1B708589-C4D4-474D-A437-AE2E0D0EDC96}"/>
    <cellStyle name="40% - Accent2 2 6 3 3 2" xfId="26858" xr:uid="{E5FF5B01-DBEA-4014-B697-3D5B981FBA83}"/>
    <cellStyle name="40% - Accent2 2 6 3 4" xfId="17319" xr:uid="{AA9CBC76-90CF-4A3A-98CC-00D38FDCB97F}"/>
    <cellStyle name="40% - Accent2 2 6 4" xfId="14698" xr:uid="{0E892A59-BFA6-4CDA-B25F-26E2FD42B4ED}"/>
    <cellStyle name="40% - Accent2 2 6 4 2" xfId="9239" xr:uid="{842C4265-6A02-42D0-BF2D-ADB1593A49FE}"/>
    <cellStyle name="40% - Accent2 2 6 4 2 2" xfId="5468" xr:uid="{E8EF06A4-A5CF-4FA7-8B91-9D8CE2121F8A}"/>
    <cellStyle name="40% - Accent2 2 6 4 3" xfId="14688" xr:uid="{A833E96B-CFC2-44A2-A1FB-AFC7371C99F0}"/>
    <cellStyle name="40% - Accent2 2 6 5" xfId="14684" xr:uid="{CB140583-BCF5-4F53-A1D4-27E6237EB7C2}"/>
    <cellStyle name="40% - Accent2 2 6 5 2" xfId="10696" xr:uid="{07ED5EC5-F8AB-44F7-B45A-DBFD22C9A8AD}"/>
    <cellStyle name="40% - Accent2 2 6 6" xfId="14679" xr:uid="{FE9C954B-5A95-4B57-BD36-BBBB08D3E7B9}"/>
    <cellStyle name="40% - Accent2 2 6 7" xfId="35149" xr:uid="{53822DEB-C411-4A7D-A3E0-00BBE7AD71DD}"/>
    <cellStyle name="40% - Accent2 2 7" xfId="14676" xr:uid="{1A1968A7-9D1B-476B-8E7E-947CF1000ABF}"/>
    <cellStyle name="40% - Accent2 2 7 2" xfId="33287" xr:uid="{CE4FCD8E-30A9-4EAA-9F6B-D252EF0CB041}"/>
    <cellStyle name="40% - Accent2 2 7 2 2" xfId="31445" xr:uid="{E6B8A108-8D95-4B86-B019-8210F074847D}"/>
    <cellStyle name="40% - Accent2 2 7 2 2 2" xfId="32949" xr:uid="{0539E0AE-0CE0-4E54-9A48-F26930A76460}"/>
    <cellStyle name="40% - Accent2 2 7 2 2 2 2" xfId="14674" xr:uid="{5696B35C-4568-4CF5-8D6D-5F1D0D40B688}"/>
    <cellStyle name="40% - Accent2 2 7 2 2 3" xfId="32598" xr:uid="{B12A8A06-BB1D-4CA2-92AA-A1E9218B1B56}"/>
    <cellStyle name="40% - Accent2 2 7 2 3" xfId="32335" xr:uid="{92D218C7-13B3-49F7-9301-920E58726DC9}"/>
    <cellStyle name="40% - Accent2 2 7 2 3 2" xfId="32593" xr:uid="{D06D2166-7680-4EDD-9E50-A8FB627F13C4}"/>
    <cellStyle name="40% - Accent2 2 7 2 4" xfId="6275" xr:uid="{D4ED598C-E84F-4116-A13F-D227CA56D21E}"/>
    <cellStyle name="40% - Accent2 2 7 3" xfId="32054" xr:uid="{C4EEB9FF-5CF5-4150-A09A-7EA836C319B7}"/>
    <cellStyle name="40% - Accent2 2 7 3 2" xfId="32070" xr:uid="{51D25301-F518-4034-8082-98AC01C1DA7F}"/>
    <cellStyle name="40% - Accent2 2 7 3 2 2" xfId="20441" xr:uid="{C2CABD2F-F9FA-4EED-841E-3370B8629142}"/>
    <cellStyle name="40% - Accent2 2 7 3 3" xfId="31808" xr:uid="{5AF73C9F-E8E3-42E4-B9BD-1C872BDF2DA4}"/>
    <cellStyle name="40% - Accent2 2 7 4" xfId="31067" xr:uid="{14999DBD-0B15-4DFB-9988-FB10D09BBCC4}"/>
    <cellStyle name="40% - Accent2 2 7 4 2" xfId="5463" xr:uid="{E7B32B9C-D8B7-4FAE-BC30-77A6C2CACDD8}"/>
    <cellStyle name="40% - Accent2 2 7 5" xfId="22160" xr:uid="{CDDCB0A5-B67B-4132-B846-0625F0FE7A11}"/>
    <cellStyle name="40% - Accent2 2 7 6" xfId="35378" xr:uid="{C645B236-1A18-4EB5-A607-CF04D0403BBC}"/>
    <cellStyle name="40% - Accent2 2 8" xfId="14673" xr:uid="{E27C9121-9645-4E91-B9D7-452E9809D13F}"/>
    <cellStyle name="40% - Accent2 2 8 2" xfId="25344" xr:uid="{384F7340-6E6F-43C2-A641-6EE0D76BEDD4}"/>
    <cellStyle name="40% - Accent2 2 8 2 2" xfId="32497" xr:uid="{E7EB0A0A-3485-4ED1-951E-B66AE9BEE7C7}"/>
    <cellStyle name="40% - Accent2 2 8 2 2 2" xfId="6008" xr:uid="{C93BBCA0-5C14-43E2-82A9-1D1396B6F437}"/>
    <cellStyle name="40% - Accent2 2 8 2 3" xfId="29484" xr:uid="{187625CA-31F6-421E-AD11-F18FC1FAF193}"/>
    <cellStyle name="40% - Accent2 2 8 3" xfId="33655" xr:uid="{3127076F-E348-4B1F-B001-E2173A9647CF}"/>
    <cellStyle name="40% - Accent2 2 8 3 2" xfId="32494" xr:uid="{00FCC1E6-DEBE-43B5-A70E-9FD825DFDF7E}"/>
    <cellStyle name="40% - Accent2 2 8 4" xfId="31053" xr:uid="{D8B37957-9DE0-42AD-B470-69705CC61B02}"/>
    <cellStyle name="40% - Accent2 2 8 5" xfId="36250" xr:uid="{1E1936A1-158F-418C-A412-192AEE612298}"/>
    <cellStyle name="40% - Accent2 2 9" xfId="28701" xr:uid="{75DFCA0A-B4C1-4B0E-BDFA-07EFF581B7C0}"/>
    <cellStyle name="40% - Accent2 2 9 2" xfId="33928" xr:uid="{5C3C6DAE-BB02-4A62-A14F-771C8CCE5FFE}"/>
    <cellStyle name="40% - Accent2 2 9 2 2" xfId="32471" xr:uid="{A7FBF717-7768-4744-9F9C-E3B84926F2AE}"/>
    <cellStyle name="40% - Accent2 2 9 3" xfId="32466" xr:uid="{5A3414FE-9F93-417B-BBEC-9DAD5E7E694D}"/>
    <cellStyle name="40% - Accent2 2 9 4" xfId="36536" xr:uid="{5666DE78-B716-45F7-B99C-3028A72C2A77}"/>
    <cellStyle name="40% - Accent2 20" xfId="35700" xr:uid="{CBFC3DE2-E560-4F69-9939-F1C9BB826431}"/>
    <cellStyle name="40% - Accent2 20 2" xfId="36869" xr:uid="{DE821F43-D8B5-4452-9488-7678C64433D7}"/>
    <cellStyle name="40% - Accent2 20 3" xfId="37760" xr:uid="{18EF7257-0565-4B7F-AE2E-03B29CF9D035}"/>
    <cellStyle name="40% - Accent2 21" xfId="35719" xr:uid="{E58E404A-9299-4E23-AD65-EF155470ECE9}"/>
    <cellStyle name="40% - Accent2 21 2" xfId="36889" xr:uid="{637CD6C2-E592-403C-8844-CDA49498ED3A}"/>
    <cellStyle name="40% - Accent2 21 3" xfId="37780" xr:uid="{B4DF1CEF-9D9F-4CCE-9735-B4B21AB1DA6F}"/>
    <cellStyle name="40% - Accent2 22" xfId="35738" xr:uid="{BD8BEA30-CF1D-48DE-A851-E95A38297AB5}"/>
    <cellStyle name="40% - Accent2 22 2" xfId="36909" xr:uid="{BD82F5EA-0EDB-4623-B270-3BB8DB2032A8}"/>
    <cellStyle name="40% - Accent2 22 3" xfId="37800" xr:uid="{08B1D4FA-F982-46E3-BA5F-625F36CA51D1}"/>
    <cellStyle name="40% - Accent2 23" xfId="35758" xr:uid="{5E0D4C3B-02B6-4EA9-84D4-EC365F8DE3A6}"/>
    <cellStyle name="40% - Accent2 23 2" xfId="36928" xr:uid="{3882C8FE-9A95-46E8-92F3-9C3739BF0EAE}"/>
    <cellStyle name="40% - Accent2 23 3" xfId="37820" xr:uid="{91675E77-780C-4237-86A8-0D87F43AB3E0}"/>
    <cellStyle name="40% - Accent2 24" xfId="35778" xr:uid="{D7898CDA-2307-4753-B74D-BA3A6D994611}"/>
    <cellStyle name="40% - Accent2 24 2" xfId="36947" xr:uid="{4696D92C-B20E-44A1-A65D-70ACFD2F2B0C}"/>
    <cellStyle name="40% - Accent2 24 3" xfId="37840" xr:uid="{AFE6532E-0FE1-4E4B-9793-69AAC11D49F0}"/>
    <cellStyle name="40% - Accent2 25" xfId="35797" xr:uid="{6C5334C8-4F5A-4093-9FE8-4919A65C76FB}"/>
    <cellStyle name="40% - Accent2 25 2" xfId="36967" xr:uid="{C14AAE5B-62D9-4406-B51B-9AAF2800B408}"/>
    <cellStyle name="40% - Accent2 25 3" xfId="37860" xr:uid="{859BFA8F-97B4-4ED9-BF45-E8436438C575}"/>
    <cellStyle name="40% - Accent2 26" xfId="35816" xr:uid="{D44C3285-80AF-40D8-8643-5D028DF7EA53}"/>
    <cellStyle name="40% - Accent2 26 2" xfId="36987" xr:uid="{0BDAB388-5F57-41CD-805D-2D67E69B9CA1}"/>
    <cellStyle name="40% - Accent2 26 3" xfId="37880" xr:uid="{21F36C0B-4FC2-4B2B-B83B-1703F0FCF3B4}"/>
    <cellStyle name="40% - Accent2 27" xfId="35835" xr:uid="{C75E41DB-4A52-49E0-9C07-4F76E300C777}"/>
    <cellStyle name="40% - Accent2 27 2" xfId="37007" xr:uid="{72FE4D59-1353-4372-B0E4-E82F8B4FE9F4}"/>
    <cellStyle name="40% - Accent2 27 3" xfId="37900" xr:uid="{D3D3F033-650A-426C-9B3C-D15C88802B70}"/>
    <cellStyle name="40% - Accent2 28" xfId="35854" xr:uid="{042A1160-795A-422D-8F1E-841AF3777739}"/>
    <cellStyle name="40% - Accent2 28 2" xfId="37027" xr:uid="{AFF6BFB5-5D6B-4BE5-8133-DE4893277E27}"/>
    <cellStyle name="40% - Accent2 28 3" xfId="37920" xr:uid="{805F72A4-94B5-41A0-83E1-C6537BF7160C}"/>
    <cellStyle name="40% - Accent2 29" xfId="35876" xr:uid="{C92825BD-E6D7-4F8C-9F55-4758CE221010}"/>
    <cellStyle name="40% - Accent2 29 2" xfId="37048" xr:uid="{9D23155B-9651-4277-AC3F-6C4141A51D95}"/>
    <cellStyle name="40% - Accent2 29 3" xfId="37942" xr:uid="{6697B87E-0B24-48D3-8C85-54B735BA1434}"/>
    <cellStyle name="40% - Accent2 3" xfId="101" xr:uid="{2B8F1FDC-A9AD-4E65-9E65-434FA2F1AF1C}"/>
    <cellStyle name="40% - Accent2 3 10" xfId="14671" xr:uid="{DF6B6872-4386-4916-9163-35DC854A46E5}"/>
    <cellStyle name="40% - Accent2 3 10 2" xfId="37440" xr:uid="{98DFC86C-096E-42DF-AC7E-33F242D53994}"/>
    <cellStyle name="40% - Accent2 3 11" xfId="34455" xr:uid="{A19C76F5-A366-4BED-8B80-EE455698F660}"/>
    <cellStyle name="40% - Accent2 3 12" xfId="30301" xr:uid="{EEC01FDB-04A9-4650-8A9E-CC263D05C5E6}"/>
    <cellStyle name="40% - Accent2 3 2" xfId="162" xr:uid="{F7709B41-B1A3-440C-BAD4-84FA39A6FD02}"/>
    <cellStyle name="40% - Accent2 3 2 10" xfId="34509" xr:uid="{8BE2B7D9-1E49-46CA-BF4C-E8E9D82F4BAD}"/>
    <cellStyle name="40% - Accent2 3 2 11" xfId="33302" xr:uid="{1964D026-E1F0-48DE-8838-4834B9B91603}"/>
    <cellStyle name="40% - Accent2 3 2 2" xfId="33607" xr:uid="{7F6948DE-4E96-48A3-BB6B-637C635C08CB}"/>
    <cellStyle name="40% - Accent2 3 2 2 2" xfId="14670" xr:uid="{4FFB8554-B619-48DE-BB9C-D6A256EB7015}"/>
    <cellStyle name="40% - Accent2 3 2 2 2 2" xfId="14669" xr:uid="{D08B36F7-D358-474B-B34B-A01B7748979A}"/>
    <cellStyle name="40% - Accent2 3 2 2 2 2 2" xfId="14668" xr:uid="{49FF45EF-929A-41DD-A0C6-D0A7769C8114}"/>
    <cellStyle name="40% - Accent2 3 2 2 2 2 2 2" xfId="30610" xr:uid="{018FBDB6-F52D-4C92-B457-2C08DC2823AA}"/>
    <cellStyle name="40% - Accent2 3 2 2 2 2 2 2 2" xfId="20588" xr:uid="{2975E7E2-9670-4099-8A9B-D073494C16A3}"/>
    <cellStyle name="40% - Accent2 3 2 2 2 2 2 2 2 2" xfId="27013" xr:uid="{F6B2840F-04AE-47B5-8C84-B5F8A40F5480}"/>
    <cellStyle name="40% - Accent2 3 2 2 2 2 2 2 2 2 2" xfId="26291" xr:uid="{5ABDEA39-B9DB-416A-9D7E-A74B3335642A}"/>
    <cellStyle name="40% - Accent2 3 2 2 2 2 2 2 2 3" xfId="22016" xr:uid="{FD6B5365-8AC7-414B-BB22-767008DB7628}"/>
    <cellStyle name="40% - Accent2 3 2 2 2 2 2 2 3" xfId="20927" xr:uid="{F81CE984-B3A2-43CA-B4A9-51FD67A73935}"/>
    <cellStyle name="40% - Accent2 3 2 2 2 2 2 2 3 2" xfId="22000" xr:uid="{68E29885-0F43-4D77-B434-6E0F4F83D295}"/>
    <cellStyle name="40% - Accent2 3 2 2 2 2 2 2 4" xfId="19961" xr:uid="{CD69F375-D36E-4720-877E-DA4193DA8ED9}"/>
    <cellStyle name="40% - Accent2 3 2 2 2 2 2 3" xfId="14667" xr:uid="{A86A8F1C-9DC7-45A7-8232-F98E0D0D7893}"/>
    <cellStyle name="40% - Accent2 3 2 2 2 2 2 3 2" xfId="33332" xr:uid="{94EF72E2-F977-46B7-88DF-758302A6AF80}"/>
    <cellStyle name="40% - Accent2 3 2 2 2 2 2 3 2 2" xfId="23689" xr:uid="{56EB8325-1330-4D0B-B5EB-140D7776A46E}"/>
    <cellStyle name="40% - Accent2 3 2 2 2 2 2 3 3" xfId="32780" xr:uid="{0FA88A71-E75B-4FFC-81C1-4CE9E113E34E}"/>
    <cellStyle name="40% - Accent2 3 2 2 2 2 2 4" xfId="17107" xr:uid="{8313991D-D7F1-4002-AC9D-F503965DD478}"/>
    <cellStyle name="40% - Accent2 3 2 2 2 2 2 4 2" xfId="32764" xr:uid="{896E78B7-AE8A-4225-A98E-A6E221A852F2}"/>
    <cellStyle name="40% - Accent2 3 2 2 2 2 2 5" xfId="14666" xr:uid="{F4B9D578-1230-4762-9884-720311D10001}"/>
    <cellStyle name="40% - Accent2 3 2 2 2 2 3" xfId="14665" xr:uid="{C61BB36F-A8D5-4A39-A87D-CDC45D5C93E9}"/>
    <cellStyle name="40% - Accent2 3 2 2 2 2 3 2" xfId="14663" xr:uid="{4DC85949-5056-466D-920D-649CCF64D81E}"/>
    <cellStyle name="40% - Accent2 3 2 2 2 2 3 2 2" xfId="29445" xr:uid="{C9367F2F-1976-4B0F-8B20-09591C7E581B}"/>
    <cellStyle name="40% - Accent2 3 2 2 2 2 3 2 2 2" xfId="21796" xr:uid="{300E3B2D-02AB-4F04-B7B5-E1B22807E9C6}"/>
    <cellStyle name="40% - Accent2 3 2 2 2 2 3 2 3" xfId="30762" xr:uid="{28890948-19D3-445D-A945-C32289F49A12}"/>
    <cellStyle name="40% - Accent2 3 2 2 2 2 3 3" xfId="14662" xr:uid="{F79B296B-36EF-43AF-AD1E-9412BC80EE40}"/>
    <cellStyle name="40% - Accent2 3 2 2 2 2 3 3 2" xfId="32741" xr:uid="{82ECD5A3-CF50-41F0-BBEC-B08B9EA0FA45}"/>
    <cellStyle name="40% - Accent2 3 2 2 2 2 3 4" xfId="14661" xr:uid="{F9E73A8F-95CE-487F-BAEF-DDCD7822B068}"/>
    <cellStyle name="40% - Accent2 3 2 2 2 2 4" xfId="14785" xr:uid="{E536514D-58A4-4B22-9C6F-9C58CFC27D36}"/>
    <cellStyle name="40% - Accent2 3 2 2 2 2 4 2" xfId="14660" xr:uid="{E780FDA7-9A1C-4215-B68D-619350A0D2AA}"/>
    <cellStyle name="40% - Accent2 3 2 2 2 2 4 2 2" xfId="30201" xr:uid="{062E7307-A534-448D-8827-E9961599616F}"/>
    <cellStyle name="40% - Accent2 3 2 2 2 2 4 3" xfId="14658" xr:uid="{837815CB-625B-4781-889B-026491D298FB}"/>
    <cellStyle name="40% - Accent2 3 2 2 2 2 5" xfId="14777" xr:uid="{A34FCC5C-B9BF-4505-9CA8-0C9CD422437E}"/>
    <cellStyle name="40% - Accent2 3 2 2 2 2 5 2" xfId="14655" xr:uid="{3EC3DFB2-02E0-4A4A-9B0A-B2DBA03D615C}"/>
    <cellStyle name="40% - Accent2 3 2 2 2 2 6" xfId="14769" xr:uid="{9CC01273-03FF-4A59-A865-5A7E53515A4E}"/>
    <cellStyle name="40% - Accent2 3 2 2 2 3" xfId="14653" xr:uid="{419E7942-8D08-4FE9-AA56-DFDBA08F7667}"/>
    <cellStyle name="40% - Accent2 3 2 2 2 3 2" xfId="14652" xr:uid="{4FA12BD7-E0B8-48AE-BFB5-4B8FA09B2C9E}"/>
    <cellStyle name="40% - Accent2 3 2 2 2 3 2 2" xfId="14651" xr:uid="{1C7C9657-F773-4E76-86F7-42152192647C}"/>
    <cellStyle name="40% - Accent2 3 2 2 2 3 2 2 2" xfId="28559" xr:uid="{5BC4E175-E917-44F1-80FB-2CD2C7F18372}"/>
    <cellStyle name="40% - Accent2 3 2 2 2 3 2 2 2 2" xfId="21476" xr:uid="{93E901A5-5F0F-41A0-A728-015C881EDCA9}"/>
    <cellStyle name="40% - Accent2 3 2 2 2 3 2 2 3" xfId="28550" xr:uid="{DFCBABC3-BCD5-4D6F-A189-D18001908632}"/>
    <cellStyle name="40% - Accent2 3 2 2 2 3 2 3" xfId="14650" xr:uid="{7BF5D490-FCCD-4BDA-BFBB-D05696347491}"/>
    <cellStyle name="40% - Accent2 3 2 2 2 3 2 3 2" xfId="28536" xr:uid="{70FED01A-3F73-4357-AFAA-BB0A0B0D5D61}"/>
    <cellStyle name="40% - Accent2 3 2 2 2 3 2 4" xfId="14649" xr:uid="{671EA7C7-FBD5-4896-9065-C351264A1367}"/>
    <cellStyle name="40% - Accent2 3 2 2 2 3 3" xfId="14646" xr:uid="{D40E82B4-E91F-452F-A5D1-90FC361FF574}"/>
    <cellStyle name="40% - Accent2 3 2 2 2 3 3 2" xfId="14645" xr:uid="{41962FA8-B71F-4435-BD88-9697060D1A6A}"/>
    <cellStyle name="40% - Accent2 3 2 2 2 3 3 2 2" xfId="33635" xr:uid="{E3EF748A-B8EE-4913-BDE8-C9B9A46656A3}"/>
    <cellStyle name="40% - Accent2 3 2 2 2 3 3 3" xfId="14644" xr:uid="{297746D7-06E1-4F79-8002-625D2F0AA7AD}"/>
    <cellStyle name="40% - Accent2 3 2 2 2 3 4" xfId="14763" xr:uid="{E3EE575A-814B-45A0-B29D-6E56B3A0C941}"/>
    <cellStyle name="40% - Accent2 3 2 2 2 3 4 2" xfId="14643" xr:uid="{C2B3A1C4-012F-411B-BF35-0BA4D8B818C4}"/>
    <cellStyle name="40% - Accent2 3 2 2 2 3 5" xfId="14756" xr:uid="{2FA62AF4-59E3-48E5-8D10-472162F7AE98}"/>
    <cellStyle name="40% - Accent2 3 2 2 2 4" xfId="14640" xr:uid="{9C82AC58-8D80-467C-9547-D5904EC6279F}"/>
    <cellStyle name="40% - Accent2 3 2 2 2 4 2" xfId="14639" xr:uid="{1AF957B6-F812-4A4B-A0AE-F15F7D78A156}"/>
    <cellStyle name="40% - Accent2 3 2 2 2 4 2 2" xfId="14638" xr:uid="{B6BA7982-70CB-416A-8486-FA18679504C7}"/>
    <cellStyle name="40% - Accent2 3 2 2 2 4 2 2 2" xfId="28146" xr:uid="{7AB6A3D8-F08B-4E1E-8326-095793FBF2D7}"/>
    <cellStyle name="40% - Accent2 3 2 2 2 4 2 3" xfId="14637" xr:uid="{28048530-3956-4DD0-AD64-6A35F10A1D58}"/>
    <cellStyle name="40% - Accent2 3 2 2 2 4 3" xfId="31487" xr:uid="{BE9905E4-7215-4C62-90F4-05C03CA034E8}"/>
    <cellStyle name="40% - Accent2 3 2 2 2 4 3 2" xfId="14635" xr:uid="{9AE87C38-F020-48B3-A4EE-D419A9331745}"/>
    <cellStyle name="40% - Accent2 3 2 2 2 4 4" xfId="14753" xr:uid="{346F0346-8995-43B8-9258-79C21338D69F}"/>
    <cellStyle name="40% - Accent2 3 2 2 2 5" xfId="14634" xr:uid="{8F4B481C-9775-40F9-B6AD-E5664AE3DCA3}"/>
    <cellStyle name="40% - Accent2 3 2 2 2 5 2" xfId="14633" xr:uid="{D969CF41-25B8-492E-8A8A-4C934B0B9A19}"/>
    <cellStyle name="40% - Accent2 3 2 2 2 5 2 2" xfId="9168" xr:uid="{CCBCBC4A-50E2-4BEF-A565-BED90B1859FB}"/>
    <cellStyle name="40% - Accent2 3 2 2 2 5 3" xfId="14632" xr:uid="{875CFE50-54A5-4285-A16C-A2C8BD25ED35}"/>
    <cellStyle name="40% - Accent2 3 2 2 2 6" xfId="14631" xr:uid="{97FB8DC1-0CAF-4968-81DB-AA19B3E40190}"/>
    <cellStyle name="40% - Accent2 3 2 2 2 6 2" xfId="14630" xr:uid="{C516DC62-D8D7-468B-956A-0438E5103619}"/>
    <cellStyle name="40% - Accent2 3 2 2 2 7" xfId="14628" xr:uid="{3BC027A9-CB14-4524-AB98-78A3BE0FCC18}"/>
    <cellStyle name="40% - Accent2 3 2 2 3" xfId="12573" xr:uid="{679B2E1A-E904-4879-BB91-4707EDFB1DCA}"/>
    <cellStyle name="40% - Accent2 3 2 2 3 2" xfId="14625" xr:uid="{F805787E-0FB5-42AA-9429-4EB50D104A2C}"/>
    <cellStyle name="40% - Accent2 3 2 2 3 2 2" xfId="14624" xr:uid="{1A7E4ED6-0152-488F-AA9E-3DE25F2AC6AC}"/>
    <cellStyle name="40% - Accent2 3 2 2 3 2 2 2" xfId="15460" xr:uid="{32673A25-E054-43FC-BD70-018F9B46924B}"/>
    <cellStyle name="40% - Accent2 3 2 2 3 2 2 2 2" xfId="26714" xr:uid="{DC1CAE18-9F46-4418-AFD6-A94334D7479A}"/>
    <cellStyle name="40% - Accent2 3 2 2 3 2 2 2 2 2" xfId="20762" xr:uid="{9AF8CD74-BE4C-41E4-B39D-C69911AF1E35}"/>
    <cellStyle name="40% - Accent2 3 2 2 3 2 2 2 3" xfId="26689" xr:uid="{A3C9910D-9889-4025-B8C3-CBEAB49C91F3}"/>
    <cellStyle name="40% - Accent2 3 2 2 3 2 2 3" xfId="14623" xr:uid="{4A6AFEA8-7E9F-4812-9B66-C2BF069E0171}"/>
    <cellStyle name="40% - Accent2 3 2 2 3 2 2 3 2" xfId="11638" xr:uid="{CD1DB6F6-2CFA-4852-A394-A09692BC621D}"/>
    <cellStyle name="40% - Accent2 3 2 2 3 2 2 4" xfId="14622" xr:uid="{A6BA0AFF-F7D2-4B6C-BEDB-315D12561F85}"/>
    <cellStyle name="40% - Accent2 3 2 2 3 2 3" xfId="28763" xr:uid="{1D8E227B-8E51-4808-984D-04D49DE6EA7E}"/>
    <cellStyle name="40% - Accent2 3 2 2 3 2 3 2" xfId="14620" xr:uid="{728E1F40-20C6-4541-9818-E44678A19624}"/>
    <cellStyle name="40% - Accent2 3 2 2 3 2 3 2 2" xfId="29130" xr:uid="{34B920A8-2E2A-4EA9-93DC-9DD3A18CC780}"/>
    <cellStyle name="40% - Accent2 3 2 2 3 2 3 3" xfId="14618" xr:uid="{62559CF6-8D36-4650-9CF0-3CAC7CAB18CD}"/>
    <cellStyle name="40% - Accent2 3 2 2 3 2 4" xfId="14746" xr:uid="{889331C3-FFF0-49B8-A995-05846B10C302}"/>
    <cellStyle name="40% - Accent2 3 2 2 3 2 4 2" xfId="14617" xr:uid="{0BE462CB-F2DC-4BC5-9A8F-DE6354D74AE4}"/>
    <cellStyle name="40% - Accent2 3 2 2 3 2 5" xfId="14742" xr:uid="{C6AE5BD7-FBEC-4B42-992B-9ED4D694AF01}"/>
    <cellStyle name="40% - Accent2 3 2 2 3 3" xfId="14615" xr:uid="{6D8B12B6-637D-496E-9BE1-5DE4C8DC1539}"/>
    <cellStyle name="40% - Accent2 3 2 2 3 3 2" xfId="14614" xr:uid="{EA55566E-3C8D-4331-8A7B-60A898FEDFB0}"/>
    <cellStyle name="40% - Accent2 3 2 2 3 3 2 2" xfId="34365" xr:uid="{6D931043-C478-4233-9416-0A6853EA0A55}"/>
    <cellStyle name="40% - Accent2 3 2 2 3 3 2 2 2" xfId="27535" xr:uid="{6CD1B3AA-FA61-4315-AC9B-A5DCAC75A40D}"/>
    <cellStyle name="40% - Accent2 3 2 2 3 3 2 3" xfId="30570" xr:uid="{AAC7594F-76FC-4411-A674-73C630D3851C}"/>
    <cellStyle name="40% - Accent2 3 2 2 3 3 3" xfId="14613" xr:uid="{A693C935-C68F-49A7-ABDE-F1F39FCFF454}"/>
    <cellStyle name="40% - Accent2 3 2 2 3 3 3 2" xfId="33975" xr:uid="{17A9BAC1-62EE-4B4C-8D03-2F8DAAAC7553}"/>
    <cellStyle name="40% - Accent2 3 2 2 3 3 4" xfId="14738" xr:uid="{E2AC4C3F-3D61-4C19-9DF1-6C804F50180E}"/>
    <cellStyle name="40% - Accent2 3 2 2 3 4" xfId="7045" xr:uid="{308FEDB2-E53F-48AA-BB01-F11588E83FB1}"/>
    <cellStyle name="40% - Accent2 3 2 2 3 4 2" xfId="14612" xr:uid="{A7FCF8F8-7CA3-4A10-9F0D-81B188D71D38}"/>
    <cellStyle name="40% - Accent2 3 2 2 3 4 2 2" xfId="29695" xr:uid="{65195569-79FF-4238-AD00-AEE9479F6ADA}"/>
    <cellStyle name="40% - Accent2 3 2 2 3 4 3" xfId="14611" xr:uid="{650686FB-8A00-47D1-9E7F-5B85268C3119}"/>
    <cellStyle name="40% - Accent2 3 2 2 3 5" xfId="10397" xr:uid="{A99755D8-9539-4A45-8DEA-76151B6BCE31}"/>
    <cellStyle name="40% - Accent2 3 2 2 3 5 2" xfId="14610" xr:uid="{64458302-8ED6-46D4-AD95-66B7DECF91D7}"/>
    <cellStyle name="40% - Accent2 3 2 2 3 6" xfId="7040" xr:uid="{3CF87BE4-3F9B-4113-B909-B5578C3D539D}"/>
    <cellStyle name="40% - Accent2 3 2 2 4" xfId="14609" xr:uid="{DAF53801-56B1-4870-8297-48B625211B54}"/>
    <cellStyle name="40% - Accent2 3 2 2 4 2" xfId="14607" xr:uid="{060A22D9-2263-46EB-AC68-3879F5518F1C}"/>
    <cellStyle name="40% - Accent2 3 2 2 4 2 2" xfId="14606" xr:uid="{B608F395-9747-4E3B-A5DF-4B237F4EC5E4}"/>
    <cellStyle name="40% - Accent2 3 2 2 4 2 2 2" xfId="8388" xr:uid="{A344BA24-7CBF-4359-8C83-677651DDDFA3}"/>
    <cellStyle name="40% - Accent2 3 2 2 4 2 2 2 2" xfId="31908" xr:uid="{1A274C7A-3BE1-4F43-968B-FA68CE6B7DAD}"/>
    <cellStyle name="40% - Accent2 3 2 2 4 2 2 3" xfId="20587" xr:uid="{7F09EAAF-78D3-472F-95A2-2A4BAD4DDBD4}"/>
    <cellStyle name="40% - Accent2 3 2 2 4 2 3" xfId="14605" xr:uid="{29858F65-BB81-4205-84E4-1DA179806231}"/>
    <cellStyle name="40% - Accent2 3 2 2 4 2 3 2" xfId="17778" xr:uid="{7865FAE0-A7F0-4176-9AC4-661FBCD0408C}"/>
    <cellStyle name="40% - Accent2 3 2 2 4 2 4" xfId="14727" xr:uid="{065B9507-0003-454F-8798-E10D5B872387}"/>
    <cellStyle name="40% - Accent2 3 2 2 4 3" xfId="14604" xr:uid="{9641D70F-04BA-444D-B565-9D7F4B97F197}"/>
    <cellStyle name="40% - Accent2 3 2 2 4 3 2" xfId="14603" xr:uid="{ED8349C2-EA27-4671-804D-2F0EFC560A16}"/>
    <cellStyle name="40% - Accent2 3 2 2 4 3 2 2" xfId="28441" xr:uid="{2D1E81A7-1E2F-493B-80FA-6659786D8829}"/>
    <cellStyle name="40% - Accent2 3 2 2 4 3 3" xfId="14602" xr:uid="{F3016A36-92E5-4564-8075-6793C1CD37AA}"/>
    <cellStyle name="40% - Accent2 3 2 2 4 4" xfId="7038" xr:uid="{527C1F78-40CE-49C9-B151-88DC663198D3}"/>
    <cellStyle name="40% - Accent2 3 2 2 4 4 2" xfId="14601" xr:uid="{BBF4E17D-0A24-4B9C-B507-49B13EE7CB1A}"/>
    <cellStyle name="40% - Accent2 3 2 2 4 5" xfId="13781" xr:uid="{9CA6B358-B9B1-4FF6-881F-F096F6C8B33E}"/>
    <cellStyle name="40% - Accent2 3 2 2 5" xfId="14599" xr:uid="{502FC302-0A51-4967-8C0F-5003E08AB696}"/>
    <cellStyle name="40% - Accent2 3 2 2 5 2" xfId="6880" xr:uid="{A8DF8F43-FD44-435D-AEB2-5E33C8A528B2}"/>
    <cellStyle name="40% - Accent2 3 2 2 5 2 2" xfId="14598" xr:uid="{A58F0A83-00B1-4155-98F4-028006256A8E}"/>
    <cellStyle name="40% - Accent2 3 2 2 5 2 2 2" xfId="34313" xr:uid="{721EC463-5710-48CA-8019-766345C950E2}"/>
    <cellStyle name="40% - Accent2 3 2 2 5 2 3" xfId="14596" xr:uid="{4727D9A7-039A-4FC3-BF87-F4DC5EA324DE}"/>
    <cellStyle name="40% - Accent2 3 2 2 5 3" xfId="14595" xr:uid="{E10BBACE-883B-41D3-8B0C-81B55361F3E4}"/>
    <cellStyle name="40% - Accent2 3 2 2 5 3 2" xfId="14594" xr:uid="{841077CA-A24C-4015-8734-77A9921F6FD1}"/>
    <cellStyle name="40% - Accent2 3 2 2 5 4" xfId="7033" xr:uid="{DCD46567-A23E-4681-AA52-D26D186F6955}"/>
    <cellStyle name="40% - Accent2 3 2 2 6" xfId="24102" xr:uid="{361F0F3B-D103-4526-8D65-51EE37C6D37C}"/>
    <cellStyle name="40% - Accent2 3 2 2 6 2" xfId="25065" xr:uid="{3D96BC1E-B3C3-46CA-92FE-FF9AC665400B}"/>
    <cellStyle name="40% - Accent2 3 2 2 6 2 2" xfId="32851" xr:uid="{29C01E9E-753F-4905-8908-2957CAFF7CD0}"/>
    <cellStyle name="40% - Accent2 3 2 2 6 3" xfId="33648" xr:uid="{B26CD37F-2EEA-4EEF-BAAF-1B580D4C2281}"/>
    <cellStyle name="40% - Accent2 3 2 2 7" xfId="33020" xr:uid="{32DDC29C-271B-42E7-8739-11E1649AC337}"/>
    <cellStyle name="40% - Accent2 3 2 2 7 2" xfId="33830" xr:uid="{10E3D119-D983-421F-8525-83E0F2A874C8}"/>
    <cellStyle name="40% - Accent2 3 2 2 8" xfId="31096" xr:uid="{F6685BA7-8190-4987-90DF-F1D7AA281C6A}"/>
    <cellStyle name="40% - Accent2 3 2 3" xfId="20466" xr:uid="{9F1F6EF0-4836-49A9-92D7-3C9F146731A0}"/>
    <cellStyle name="40% - Accent2 3 2 3 2" xfId="20515" xr:uid="{3E50B6D0-C4C8-4C3D-9B86-227906384918}"/>
    <cellStyle name="40% - Accent2 3 2 3 2 2" xfId="20103" xr:uid="{819CCB28-6013-438C-A35E-DA43ED4D8DCE}"/>
    <cellStyle name="40% - Accent2 3 2 3 2 2 2" xfId="20100" xr:uid="{64D5DBFD-5688-490D-A17A-6FCC246BCC26}"/>
    <cellStyle name="40% - Accent2 3 2 3 2 2 2 2" xfId="34162" xr:uid="{921F856C-5AA4-4F62-AEBE-485E8DDA89E8}"/>
    <cellStyle name="40% - Accent2 3 2 3 2 2 2 2 2" xfId="19207" xr:uid="{54F4D850-B6B5-4ED0-BAB7-BBF140BB7BFD}"/>
    <cellStyle name="40% - Accent2 3 2 3 2 2 2 2 2 2" xfId="19886" xr:uid="{30E6CC7D-E18B-4D8B-9AAC-C99CE42AEED1}"/>
    <cellStyle name="40% - Accent2 3 2 3 2 2 2 2 3" xfId="19203" xr:uid="{33A9B837-9FF3-41BA-B2A0-3D3A2D052F53}"/>
    <cellStyle name="40% - Accent2 3 2 3 2 2 2 3" xfId="34148" xr:uid="{CFFF84AB-DE6D-4ECC-9866-F8E9B08BFBB3}"/>
    <cellStyle name="40% - Accent2 3 2 3 2 2 2 3 2" xfId="19182" xr:uid="{8317F9ED-885E-42D6-9551-BA2582D63C9C}"/>
    <cellStyle name="40% - Accent2 3 2 3 2 2 2 4" xfId="14593" xr:uid="{0151EFCA-CEE2-4541-974B-B9EF06CD1913}"/>
    <cellStyle name="40% - Accent2 3 2 3 2 2 3" xfId="19368" xr:uid="{73FA136D-70AD-4343-B235-AD73A0AB8143}"/>
    <cellStyle name="40% - Accent2 3 2 3 2 2 3 2" xfId="17294" xr:uid="{F87150D5-6FB3-4EE6-82B0-8E36852C5E35}"/>
    <cellStyle name="40% - Accent2 3 2 3 2 2 3 2 2" xfId="19087" xr:uid="{DDBD3307-1E6A-492F-AD0A-6B4EEBB203DE}"/>
    <cellStyle name="40% - Accent2 3 2 3 2 2 3 3" xfId="14592" xr:uid="{D18073F6-7764-4AFA-A625-DC39071F8548}"/>
    <cellStyle name="40% - Accent2 3 2 3 2 2 4" xfId="19364" xr:uid="{2064640C-D12F-4310-BED3-C4A193015202}"/>
    <cellStyle name="40% - Accent2 3 2 3 2 2 4 2" xfId="14590" xr:uid="{277449F4-4AEB-470C-8C9B-A6395BA3D90B}"/>
    <cellStyle name="40% - Accent2 3 2 3 2 2 5" xfId="19358" xr:uid="{28B15A05-F249-4F11-8005-80F57845AE10}"/>
    <cellStyle name="40% - Accent2 3 2 3 2 3" xfId="19692" xr:uid="{EBB03B5F-0066-476B-B523-1D2A4FEB14E9}"/>
    <cellStyle name="40% - Accent2 3 2 3 2 3 2" xfId="19356" xr:uid="{146955FC-7F09-48F9-AEAF-A71BA285438B}"/>
    <cellStyle name="40% - Accent2 3 2 3 2 3 2 2" xfId="17285" xr:uid="{44249EE3-85FF-4F2B-8FF1-15219376EF5E}"/>
    <cellStyle name="40% - Accent2 3 2 3 2 3 2 2 2" xfId="18613" xr:uid="{F00B0CE6-0EEF-4E0E-82A6-F8DFF6CAE75A}"/>
    <cellStyle name="40% - Accent2 3 2 3 2 3 2 3" xfId="14586" xr:uid="{D5DF6D58-B33A-4363-A466-84EBAF8E68D1}"/>
    <cellStyle name="40% - Accent2 3 2 3 2 3 3" xfId="19352" xr:uid="{0BDDA5AC-84FC-4FAF-A366-06537DEB4FE3}"/>
    <cellStyle name="40% - Accent2 3 2 3 2 3 3 2" xfId="11629" xr:uid="{D37A0103-BD58-4EED-AA6B-D8298A9EEB25}"/>
    <cellStyle name="40% - Accent2 3 2 3 2 3 4" xfId="19345" xr:uid="{B0B7D839-5FD9-492D-96FB-6D8B24558D04}"/>
    <cellStyle name="40% - Accent2 3 2 3 2 4" xfId="19343" xr:uid="{4B33BE14-D1CF-4599-948F-9CF5F38DDDAE}"/>
    <cellStyle name="40% - Accent2 3 2 3 2 4 2" xfId="19341" xr:uid="{E67F50B4-DD81-4B3F-9907-0EBB30CFD426}"/>
    <cellStyle name="40% - Accent2 3 2 3 2 4 2 2" xfId="14585" xr:uid="{50D42CAC-0D27-4560-844B-9DEE9AA6DA3F}"/>
    <cellStyle name="40% - Accent2 3 2 3 2 4 3" xfId="19335" xr:uid="{9B62A87B-DD63-48F3-9D29-9E4E533B17B4}"/>
    <cellStyle name="40% - Accent2 3 2 3 2 5" xfId="19484" xr:uid="{910E1101-874F-4649-80FB-4793EEEF4D06}"/>
    <cellStyle name="40% - Accent2 3 2 3 2 5 2" xfId="20181" xr:uid="{76F17F61-E04D-4E0B-BB9F-AE0517C1C141}"/>
    <cellStyle name="40% - Accent2 3 2 3 2 6" xfId="19458" xr:uid="{5C5E66AB-4D97-41AB-ABC5-3B2618F6BDA8}"/>
    <cellStyle name="40% - Accent2 3 2 3 3" xfId="19411" xr:uid="{4558B7F9-2144-4349-A366-90334B85BEDE}"/>
    <cellStyle name="40% - Accent2 3 2 3 3 2" xfId="30884" xr:uid="{EB0B1452-F810-4FE9-9F1C-F6ABBFED6DB3}"/>
    <cellStyle name="40% - Accent2 3 2 3 3 2 2" xfId="19331" xr:uid="{F00C1946-729C-442A-9D4F-342D86B4F19C}"/>
    <cellStyle name="40% - Accent2 3 2 3 3 2 2 2" xfId="17272" xr:uid="{1F92D986-BB5E-4F8E-BD7B-6D4C12755F9A}"/>
    <cellStyle name="40% - Accent2 3 2 3 3 2 2 2 2" xfId="14584" xr:uid="{06410798-BD14-4E58-AC67-0AB34ED61411}"/>
    <cellStyle name="40% - Accent2 3 2 3 3 2 2 3" xfId="14582" xr:uid="{475944D6-2A78-4B02-9760-76303CB59BF7}"/>
    <cellStyle name="40% - Accent2 3 2 3 3 2 3" xfId="19328" xr:uid="{92AD684D-EADF-40DF-B86E-1F18514227D7}"/>
    <cellStyle name="40% - Accent2 3 2 3 3 2 3 2" xfId="14581" xr:uid="{AE5D5629-E9DA-462E-AC1E-5A2738361F44}"/>
    <cellStyle name="40% - Accent2 3 2 3 3 2 4" xfId="19323" xr:uid="{DE6A4A5C-AFD6-46A5-B487-F031F9F2442D}"/>
    <cellStyle name="40% - Accent2 3 2 3 3 3" xfId="19304" xr:uid="{FDB9F800-7116-4537-B26C-BA240CEB04DC}"/>
    <cellStyle name="40% - Accent2 3 2 3 3 3 2" xfId="29058" xr:uid="{76271DAB-666D-4236-B914-BEE8151C76E3}"/>
    <cellStyle name="40% - Accent2 3 2 3 3 3 2 2" xfId="32206" xr:uid="{1B1EFFED-ED32-4C3C-B5A3-341DB166B0A8}"/>
    <cellStyle name="40% - Accent2 3 2 3 3 3 3" xfId="24424" xr:uid="{18FD29DB-4807-49A3-80C2-EB7FCED1C7E4}"/>
    <cellStyle name="40% - Accent2 3 2 3 3 4" xfId="7026" xr:uid="{16C1A1D9-8A4F-40AF-8A80-B56ED359BEBD}"/>
    <cellStyle name="40% - Accent2 3 2 3 3 4 2" xfId="25164" xr:uid="{518C9FE4-F786-427E-978B-3E7FCEC8B9E1}"/>
    <cellStyle name="40% - Accent2 3 2 3 3 5" xfId="7024" xr:uid="{1FBBF8BF-AE48-487B-94D5-DB7A5D318BE9}"/>
    <cellStyle name="40% - Accent2 3 2 3 4" xfId="18436" xr:uid="{DBF9F7C9-82C2-444C-901C-AAB2B22093D0}"/>
    <cellStyle name="40% - Accent2 3 2 3 4 2" xfId="19163" xr:uid="{4B69576B-A124-4A95-A1C6-62503FEFF638}"/>
    <cellStyle name="40% - Accent2 3 2 3 4 2 2" xfId="19156" xr:uid="{F90C15E5-8AAF-43AE-8552-355594919331}"/>
    <cellStyle name="40% - Accent2 3 2 3 4 2 2 2" xfId="26751" xr:uid="{B425D035-5C35-4FEA-B210-2A990A656406}"/>
    <cellStyle name="40% - Accent2 3 2 3 4 2 3" xfId="19320" xr:uid="{D000081E-2DD2-4CF7-A38D-D33411271524}"/>
    <cellStyle name="40% - Accent2 3 2 3 4 3" xfId="19124" xr:uid="{90FD7477-9539-4C5D-8B4E-498A42EAC4D8}"/>
    <cellStyle name="40% - Accent2 3 2 3 4 3 2" xfId="19118" xr:uid="{9F5FAB4D-E01D-4AE2-B91D-985AA7010248}"/>
    <cellStyle name="40% - Accent2 3 2 3 4 4" xfId="7020" xr:uid="{1E7446E6-15A8-40B3-89E4-92F659BD7546}"/>
    <cellStyle name="40% - Accent2 3 2 3 5" xfId="18430" xr:uid="{0C7D38CC-C86D-40BB-8208-C761563215FB}"/>
    <cellStyle name="40% - Accent2 3 2 3 5 2" xfId="19318" xr:uid="{AB83A3C2-B946-47FC-85F4-B6C58153AFF1}"/>
    <cellStyle name="40% - Accent2 3 2 3 5 2 2" xfId="19315" xr:uid="{8F11FE58-15BD-4C4A-8F15-26946E1666ED}"/>
    <cellStyle name="40% - Accent2 3 2 3 5 3" xfId="19313" xr:uid="{C3C049C1-C3BC-4A97-9276-E3E9A5FC9824}"/>
    <cellStyle name="40% - Accent2 3 2 3 6" xfId="19309" xr:uid="{C907C570-160F-4574-92F1-2789C9416DAD}"/>
    <cellStyle name="40% - Accent2 3 2 3 6 2" xfId="19307" xr:uid="{1DC1CA66-FBB1-450F-96A9-96D92F9CC78F}"/>
    <cellStyle name="40% - Accent2 3 2 3 7" xfId="33138" xr:uid="{E97BBAE6-A3E8-45E1-9F52-7C58763F3F88}"/>
    <cellStyle name="40% - Accent2 3 2 4" xfId="20462" xr:uid="{4E38237A-0BF9-4FC3-AF77-E01099587BB0}"/>
    <cellStyle name="40% - Accent2 3 2 4 2" xfId="19016" xr:uid="{174EFA88-1A30-41AB-8F86-ACB524467460}"/>
    <cellStyle name="40% - Accent2 3 2 4 2 2" xfId="19013" xr:uid="{612402F2-8666-4F2D-8923-2A8010C2BBBD}"/>
    <cellStyle name="40% - Accent2 3 2 4 2 2 2" xfId="19010" xr:uid="{85964EE1-08EE-48FE-BE64-346139CE57CF}"/>
    <cellStyle name="40% - Accent2 3 2 4 2 2 2 2" xfId="17244" xr:uid="{0302BC2E-BF64-46E7-AD4D-920E3621B259}"/>
    <cellStyle name="40% - Accent2 3 2 4 2 2 2 2 2" xfId="15207" xr:uid="{41B5C6EF-746E-4AB8-BFC0-DE6CDD0485AC}"/>
    <cellStyle name="40% - Accent2 3 2 4 2 2 2 3" xfId="15204" xr:uid="{7BEDE036-DE13-4D81-9CAC-724DCFAFBAF6}"/>
    <cellStyle name="40% - Accent2 3 2 4 2 2 3" xfId="28137" xr:uid="{1D22F7E7-466C-45F0-AE8D-D1AD08A0A980}"/>
    <cellStyle name="40% - Accent2 3 2 4 2 2 3 2" xfId="15183" xr:uid="{71B4AFAE-C5D5-4E2E-A357-BC3150A65430}"/>
    <cellStyle name="40% - Accent2 3 2 4 2 2 4" xfId="26017" xr:uid="{F6BD2EF3-8CDC-439D-B689-A20AB115E6E1}"/>
    <cellStyle name="40% - Accent2 3 2 4 2 3" xfId="19280" xr:uid="{5A1723ED-BD4E-4C7A-A404-FE48F559D7D8}"/>
    <cellStyle name="40% - Accent2 3 2 4 2 3 2" xfId="18842" xr:uid="{1C119B20-723B-446B-9EB1-6FE2A2988036}"/>
    <cellStyle name="40% - Accent2 3 2 4 2 3 2 2" xfId="15156" xr:uid="{3698C171-C7FF-48A9-9ABE-8DF39A40DF77}"/>
    <cellStyle name="40% - Accent2 3 2 4 2 3 3" xfId="27533" xr:uid="{03BC0F51-368F-4EDF-8133-7D733D263F66}"/>
    <cellStyle name="40% - Accent2 3 2 4 2 4" xfId="15292" xr:uid="{DAF80835-6CD2-4C97-A389-F2E1C46530B0}"/>
    <cellStyle name="40% - Accent2 3 2 4 2 4 2" xfId="19277" xr:uid="{55BB7AF6-0CC2-4AA2-8C2A-C769E065D9C9}"/>
    <cellStyle name="40% - Accent2 3 2 4 2 5" xfId="33253" xr:uid="{6618E5A5-2487-48CD-8F53-C70F0EE1C41D}"/>
    <cellStyle name="40% - Accent2 3 2 4 3" xfId="19140" xr:uid="{71A8B594-E2E3-41B8-AC2F-DA9FBB169BC0}"/>
    <cellStyle name="40% - Accent2 3 2 4 3 2" xfId="18727" xr:uid="{D2942977-0315-446D-B9F4-294B34895EBA}"/>
    <cellStyle name="40% - Accent2 3 2 4 3 2 2" xfId="18724" xr:uid="{F9419EF3-9AD7-45CA-8ED6-676430C9C32F}"/>
    <cellStyle name="40% - Accent2 3 2 4 3 2 2 2" xfId="15113" xr:uid="{DB7BCA7E-9404-4B79-B6E8-FF2FD4B58D0C}"/>
    <cellStyle name="40% - Accent2 3 2 4 3 2 3" xfId="24899" xr:uid="{C0439268-4FAC-44AD-AF84-B6E177FCE336}"/>
    <cellStyle name="40% - Accent2 3 2 4 3 3" xfId="19273" xr:uid="{705B968E-ECCE-41F3-A43E-A8076433E77D}"/>
    <cellStyle name="40% - Accent2 3 2 4 3 3 2" xfId="7801" xr:uid="{7A6A6A1D-6E48-4C54-A9D5-BCFBB1C8A6B8}"/>
    <cellStyle name="40% - Accent2 3 2 4 3 4" xfId="7014" xr:uid="{5C7971C1-6CA7-4CC3-9194-BC25407F0E23}"/>
    <cellStyle name="40% - Accent2 3 2 4 4" xfId="19136" xr:uid="{9F39F510-81A0-4B5A-B695-A393D260F248}"/>
    <cellStyle name="40% - Accent2 3 2 4 4 2" xfId="18586" xr:uid="{2BE987CF-F9F9-465F-98AD-0CD87392F8BE}"/>
    <cellStyle name="40% - Accent2 3 2 4 4 2 2" xfId="7761" xr:uid="{91A0740F-C7D5-40E9-B477-4F01EFC48434}"/>
    <cellStyle name="40% - Accent2 3 2 4 4 3" xfId="19268" xr:uid="{FF588E95-3AD1-489E-8772-A5A81FB54536}"/>
    <cellStyle name="40% - Accent2 3 2 4 5" xfId="19264" xr:uid="{7FA0B36F-E0A5-4351-9778-0574B15C5A19}"/>
    <cellStyle name="40% - Accent2 3 2 4 5 2" xfId="25922" xr:uid="{D5D73802-11FE-4CCB-A534-83AACD35C553}"/>
    <cellStyle name="40% - Accent2 3 2 4 6" xfId="19262" xr:uid="{569F59F4-DF96-48CE-9AA8-4B06F97DD239}"/>
    <cellStyle name="40% - Accent2 3 2 5" xfId="18494" xr:uid="{941300A2-868C-4D4F-BFCC-229C2B7E1FD7}"/>
    <cellStyle name="40% - Accent2 3 2 5 2" xfId="18491" xr:uid="{8DF3D4BE-5F14-46F5-890E-3F2D29D34A14}"/>
    <cellStyle name="40% - Accent2 3 2 5 2 2" xfId="19236" xr:uid="{9D4605CF-73EA-463A-AC07-D2F2452210E5}"/>
    <cellStyle name="40% - Accent2 3 2 5 2 2 2" xfId="18488" xr:uid="{49975371-94EC-4A66-ADF6-6A790FCC3E0A}"/>
    <cellStyle name="40% - Accent2 3 2 5 2 2 2 2" xfId="15053" xr:uid="{6D052CDD-336F-433E-A66E-688A991954C4}"/>
    <cellStyle name="40% - Accent2 3 2 5 2 2 3" xfId="22768" xr:uid="{64344342-59B6-4B90-8E5D-581F9BF6A893}"/>
    <cellStyle name="40% - Accent2 3 2 5 2 3" xfId="19225" xr:uid="{603EE279-FD1F-43A7-873E-C4BDDA2AB77F}"/>
    <cellStyle name="40% - Accent2 3 2 5 2 3 2" xfId="19221" xr:uid="{6F29018A-0CE1-4DB5-9FD3-EDBA8BFE3F13}"/>
    <cellStyle name="40% - Accent2 3 2 5 2 4" xfId="19217" xr:uid="{D4C33E80-7F2A-4AD7-9F78-5C200A70DC61}"/>
    <cellStyle name="40% - Accent2 3 2 5 3" xfId="19132" xr:uid="{C64532F5-9134-457F-AEE7-5355B09ED9E2}"/>
    <cellStyle name="40% - Accent2 3 2 5 3 2" xfId="19213" xr:uid="{72E8BB50-0FE8-4BFE-BADF-93A03EF7D6E3}"/>
    <cellStyle name="40% - Accent2 3 2 5 3 2 2" xfId="20567" xr:uid="{341A7052-F25C-4786-8C21-18795A378A83}"/>
    <cellStyle name="40% - Accent2 3 2 5 3 3" xfId="19209" xr:uid="{B6268F72-48E0-4A5B-9141-EB872C3FCFA2}"/>
    <cellStyle name="40% - Accent2 3 2 5 4" xfId="18342" xr:uid="{3F165A5F-ED36-4982-8449-3D76D88832B9}"/>
    <cellStyle name="40% - Accent2 3 2 5 4 2" xfId="18339" xr:uid="{34FE0BE2-A23C-4012-A775-A54C92A31B7C}"/>
    <cellStyle name="40% - Accent2 3 2 5 5" xfId="19205" xr:uid="{38C7AC19-C134-4453-90E0-4982A22AB7DE}"/>
    <cellStyle name="40% - Accent2 3 2 6" xfId="18283" xr:uid="{8C4DFCF9-DFB9-428E-85C0-58A6FF54258E}"/>
    <cellStyle name="40% - Accent2 3 2 6 2" xfId="17848" xr:uid="{2E74629A-55EE-4851-8276-10930835EA48}"/>
    <cellStyle name="40% - Accent2 3 2 6 2 2" xfId="19184" xr:uid="{C7F2BA95-1920-41A4-80D5-F241D584EACF}"/>
    <cellStyle name="40% - Accent2 3 2 6 2 2 2" xfId="18253" xr:uid="{EE5514CF-0247-4B4D-BC48-9FC4A795D180}"/>
    <cellStyle name="40% - Accent2 3 2 6 2 3" xfId="25718" xr:uid="{DE5EACF9-FC6C-48AF-B0CD-40041C4AFDE6}"/>
    <cellStyle name="40% - Accent2 3 2 6 3" xfId="18215" xr:uid="{581F0A28-7AED-4B14-A82F-62A98EBA690B}"/>
    <cellStyle name="40% - Accent2 3 2 6 3 2" xfId="18212" xr:uid="{125D9515-17DD-4705-A5F4-BF21BDCF5686}"/>
    <cellStyle name="40% - Accent2 3 2 6 4" xfId="18177" xr:uid="{7FB356BE-E62F-4B26-8181-36D05C17CD98}"/>
    <cellStyle name="40% - Accent2 3 2 7" xfId="18132" xr:uid="{4E66B5D0-F7BB-42AA-ABF4-DBB1F8DA3F93}"/>
    <cellStyle name="40% - Accent2 3 2 7 2" xfId="18126" xr:uid="{64AF3A7F-AFEF-44D9-A242-DC63F6D28701}"/>
    <cellStyle name="40% - Accent2 3 2 7 2 2" xfId="18121" xr:uid="{EB3E3CD2-9CAF-45DD-BD5C-6ECA8B3B6124}"/>
    <cellStyle name="40% - Accent2 3 2 7 3" xfId="18109" xr:uid="{886160A5-39E9-4431-B8CC-108D0AEEE82C}"/>
    <cellStyle name="40% - Accent2 3 2 8" xfId="18091" xr:uid="{2A8E7BD4-4229-4E20-B362-83E2531F2A27}"/>
    <cellStyle name="40% - Accent2 3 2 8 2" xfId="19170" xr:uid="{5AB94C35-C701-4318-9EE2-57911B6C81E3}"/>
    <cellStyle name="40% - Accent2 3 2 9" xfId="18062" xr:uid="{C5606F28-4200-4C8A-82AD-F3E47C6CB215}"/>
    <cellStyle name="40% - Accent2 3 3" xfId="223" xr:uid="{287C415E-AD22-4DB3-87A2-181A072BEC48}"/>
    <cellStyle name="40% - Accent2 3 3 10" xfId="27335" xr:uid="{AFA329A3-660A-41AE-BB69-BD0BCB0786D9}"/>
    <cellStyle name="40% - Accent2 3 3 2" xfId="14579" xr:uid="{1D85827B-C4D7-41D1-8F8C-C03455D76C31}"/>
    <cellStyle name="40% - Accent2 3 3 2 2" xfId="31153" xr:uid="{FC5CE711-53D0-4CA3-80A2-2306E1B80D0C}"/>
    <cellStyle name="40% - Accent2 3 3 2 2 2" xfId="14578" xr:uid="{0572A92A-08A9-42EF-B5AA-D3481ED27CAA}"/>
    <cellStyle name="40% - Accent2 3 3 2 2 2 2" xfId="34228" xr:uid="{50038A7B-7AE0-484E-9751-41A20C8B5D3E}"/>
    <cellStyle name="40% - Accent2 3 3 2 2 2 2 2" xfId="14849" xr:uid="{0AC170A9-7CA1-41A0-9EE1-3F71F83735B6}"/>
    <cellStyle name="40% - Accent2 3 3 2 2 2 2 2 2" xfId="8914" xr:uid="{21D600CC-9AD8-46A5-B3D3-5B67A4914A8E}"/>
    <cellStyle name="40% - Accent2 3 3 2 2 2 2 2 2 2" xfId="27816" xr:uid="{3FCCF92C-799B-44C1-9FDE-8FE5B99C92F0}"/>
    <cellStyle name="40% - Accent2 3 3 2 2 2 2 2 3" xfId="14577" xr:uid="{A4734B61-9BC7-4EA7-89D8-FBCB23FCD953}"/>
    <cellStyle name="40% - Accent2 3 3 2 2 2 2 3" xfId="14571" xr:uid="{B2C1DE58-13F7-4D94-A538-666ABB101654}"/>
    <cellStyle name="40% - Accent2 3 3 2 2 2 2 3 2" xfId="14570" xr:uid="{60B538CF-C85D-42B6-9384-74F7054A3442}"/>
    <cellStyle name="40% - Accent2 3 3 2 2 2 2 4" xfId="19115" xr:uid="{DB09C702-37C0-4DDA-B079-A9FF3FE183BE}"/>
    <cellStyle name="40% - Accent2 3 3 2 2 2 3" xfId="32829" xr:uid="{14D898DE-68DD-43B4-A31E-5A88CFA4C9BB}"/>
    <cellStyle name="40% - Accent2 3 3 2 2 2 3 2" xfId="14563" xr:uid="{27EE49AC-2ED5-42C7-B897-A6147B3EDF51}"/>
    <cellStyle name="40% - Accent2 3 3 2 2 2 3 2 2" xfId="14562" xr:uid="{97D2D757-0BE0-4233-8295-7AA31C75B597}"/>
    <cellStyle name="40% - Accent2 3 3 2 2 2 3 3" xfId="14556" xr:uid="{3E7C9952-DB83-4B6E-811A-BDB56135F2BD}"/>
    <cellStyle name="40% - Accent2 3 3 2 2 2 4" xfId="14553" xr:uid="{5CBB87D1-AF2F-4A24-B4DE-E8F0E2F7598A}"/>
    <cellStyle name="40% - Accent2 3 3 2 2 2 4 2" xfId="14548" xr:uid="{2AE775EB-8DD2-48DA-AB6F-B66A92C18A44}"/>
    <cellStyle name="40% - Accent2 3 3 2 2 2 5" xfId="14546" xr:uid="{BEA1EAB1-B48B-403E-B7C3-08A6F322ED0C}"/>
    <cellStyle name="40% - Accent2 3 3 2 2 3" xfId="14540" xr:uid="{037B34FF-6842-4363-8EB2-C04B7E42AC24}"/>
    <cellStyle name="40% - Accent2 3 3 2 2 3 2" xfId="32614" xr:uid="{7171B709-8EB2-4343-85CE-F45DD5F4D5A1}"/>
    <cellStyle name="40% - Accent2 3 3 2 2 3 2 2" xfId="14539" xr:uid="{66721963-D464-45B7-B97D-56A00656F3F0}"/>
    <cellStyle name="40% - Accent2 3 3 2 2 3 2 2 2" xfId="14538" xr:uid="{9FFEA3C5-05AD-4FE9-80F4-A9837E910231}"/>
    <cellStyle name="40% - Accent2 3 3 2 2 3 2 3" xfId="13651" xr:uid="{C7354B3B-5DD2-44C2-8F0A-358F638984D0}"/>
    <cellStyle name="40% - Accent2 3 3 2 2 3 3" xfId="14535" xr:uid="{96F5AD89-0407-48EA-BD64-889F6E4FFB80}"/>
    <cellStyle name="40% - Accent2 3 3 2 2 3 3 2" xfId="28007" xr:uid="{F93E5CDC-0261-4F81-AC6B-5633BE79410B}"/>
    <cellStyle name="40% - Accent2 3 3 2 2 3 4" xfId="14534" xr:uid="{F7BF724A-3C99-4552-8B61-2C8B7B669E8D}"/>
    <cellStyle name="40% - Accent2 3 3 2 2 4" xfId="14529" xr:uid="{C3223EF0-0612-40CF-808E-565F8640D9C3}"/>
    <cellStyle name="40% - Accent2 3 3 2 2 4 2" xfId="14524" xr:uid="{2D3AF214-D45C-449A-8C41-9FA8112E0128}"/>
    <cellStyle name="40% - Accent2 3 3 2 2 4 2 2" xfId="14523" xr:uid="{08C2ECAC-A8C6-4DE5-9935-44C40FBCF3AC}"/>
    <cellStyle name="40% - Accent2 3 3 2 2 4 3" xfId="14521" xr:uid="{E64527DD-416F-48E6-9541-EB1E50E76E0B}"/>
    <cellStyle name="40% - Accent2 3 3 2 2 5" xfId="14520" xr:uid="{A195D677-6F3F-4CC4-9943-B1F4A0CCB558}"/>
    <cellStyle name="40% - Accent2 3 3 2 2 5 2" xfId="14519" xr:uid="{1C22F2B7-F910-422A-B9D8-3A6E4FCC8CF4}"/>
    <cellStyle name="40% - Accent2 3 3 2 2 6" xfId="14518" xr:uid="{EDF5CA3F-78FF-4C32-9669-0298BD13285E}"/>
    <cellStyle name="40% - Accent2 3 3 2 3" xfId="31151" xr:uid="{893E1597-D487-461F-92F6-30C7EAB10082}"/>
    <cellStyle name="40% - Accent2 3 3 2 3 2" xfId="14516" xr:uid="{B4A87649-A00F-44DD-991E-88CE23AC4164}"/>
    <cellStyle name="40% - Accent2 3 3 2 3 2 2" xfId="34217" xr:uid="{5D30B570-9A4A-4FC5-AB3E-E0D7F22218D2}"/>
    <cellStyle name="40% - Accent2 3 3 2 3 2 2 2" xfId="14515" xr:uid="{B4B4AB9A-9185-4390-AECF-4DF0AF8D6294}"/>
    <cellStyle name="40% - Accent2 3 3 2 3 2 2 2 2" xfId="14511" xr:uid="{2925B6A5-C52C-4685-9187-227AE91FDA2B}"/>
    <cellStyle name="40% - Accent2 3 3 2 3 2 2 3" xfId="14507" xr:uid="{447CDC41-44B3-4B15-B599-3828A4AF38F7}"/>
    <cellStyle name="40% - Accent2 3 3 2 3 2 3" xfId="14506" xr:uid="{41377776-743C-43D1-B2A8-FE3FB47A1325}"/>
    <cellStyle name="40% - Accent2 3 3 2 3 2 3 2" xfId="14505" xr:uid="{638CD539-4D63-40A5-9B48-45909077966A}"/>
    <cellStyle name="40% - Accent2 3 3 2 3 2 4" xfId="14504" xr:uid="{8E0CA515-488D-4892-B6D9-BC7277B242C0}"/>
    <cellStyle name="40% - Accent2 3 3 2 3 3" xfId="33718" xr:uid="{984F318A-CCF1-483E-BFAA-91A0E27DBA08}"/>
    <cellStyle name="40% - Accent2 3 3 2 3 3 2" xfId="14502" xr:uid="{E6CB6B4C-E83C-46AC-97A7-4583F6D7A020}"/>
    <cellStyle name="40% - Accent2 3 3 2 3 3 2 2" xfId="18317" xr:uid="{86782B7C-8271-48B2-8CE8-1B9AAD581C9D}"/>
    <cellStyle name="40% - Accent2 3 3 2 3 3 3" xfId="14501" xr:uid="{72467C8E-33EE-49A7-8FD3-9E0DC4E84D32}"/>
    <cellStyle name="40% - Accent2 3 3 2 3 4" xfId="14500" xr:uid="{0DD6356A-0E9C-42DB-8D02-C2F6F86C8C5F}"/>
    <cellStyle name="40% - Accent2 3 3 2 3 4 2" xfId="14497" xr:uid="{18D42966-4F54-46F9-BC7F-68202ED84443}"/>
    <cellStyle name="40% - Accent2 3 3 2 3 5" xfId="6968" xr:uid="{23957A1C-4893-46F8-B1CE-42668C890E64}"/>
    <cellStyle name="40% - Accent2 3 3 2 4" xfId="14496" xr:uid="{68C6CC95-9367-4DA9-B31C-B124B7BBEB60}"/>
    <cellStyle name="40% - Accent2 3 3 2 4 2" xfId="33777" xr:uid="{94899D23-4A97-4431-BFAD-22A782AFE66F}"/>
    <cellStyle name="40% - Accent2 3 3 2 4 2 2" xfId="14494" xr:uid="{5A590DA0-CA56-401B-A350-4F107251997B}"/>
    <cellStyle name="40% - Accent2 3 3 2 4 2 2 2" xfId="19215" xr:uid="{AB352D10-D3C6-476F-A171-0725E61E162F}"/>
    <cellStyle name="40% - Accent2 3 3 2 4 2 3" xfId="14493" xr:uid="{7985F9D9-4802-4EDB-9498-0FDD47D6994C}"/>
    <cellStyle name="40% - Accent2 3 3 2 4 3" xfId="33962" xr:uid="{A7B3F911-FC58-48CD-B400-9A09B148ADD6}"/>
    <cellStyle name="40% - Accent2 3 3 2 4 3 2" xfId="14492" xr:uid="{9AC5E50A-FE3D-4F66-9F37-9CE217E7D517}"/>
    <cellStyle name="40% - Accent2 3 3 2 4 4" xfId="6965" xr:uid="{8DDF68DC-E233-4F45-A80D-A77640FA4236}"/>
    <cellStyle name="40% - Accent2 3 3 2 5" xfId="14491" xr:uid="{66048146-02DA-40E7-8AA8-D898288AE662}"/>
    <cellStyle name="40% - Accent2 3 3 2 5 2" xfId="33801" xr:uid="{1D7BD747-7D7A-4FA8-9229-71AE4F999D29}"/>
    <cellStyle name="40% - Accent2 3 3 2 5 2 2" xfId="14489" xr:uid="{0CF986B7-9C1F-4288-8702-260023C83B71}"/>
    <cellStyle name="40% - Accent2 3 3 2 5 3" xfId="14488" xr:uid="{0BDEF5A0-5359-4558-A7DE-35D1A3D96175}"/>
    <cellStyle name="40% - Accent2 3 3 2 6" xfId="32977" xr:uid="{4FA565B6-E027-4F89-9323-F1971A8BC349}"/>
    <cellStyle name="40% - Accent2 3 3 2 6 2" xfId="31844" xr:uid="{EE75E74C-155A-4595-82E0-D5C7851B67B1}"/>
    <cellStyle name="40% - Accent2 3 3 2 7" xfId="31824" xr:uid="{F8075B80-C0C3-4A42-8FDB-DE57A89724C2}"/>
    <cellStyle name="40% - Accent2 3 3 3" xfId="14487" xr:uid="{8415C975-71F0-44B7-87B0-D3C4B96B324B}"/>
    <cellStyle name="40% - Accent2 3 3 3 2" xfId="25569" xr:uid="{25BD220F-D77A-4A97-8FD5-3E38081363E7}"/>
    <cellStyle name="40% - Accent2 3 3 3 2 2" xfId="25063" xr:uid="{FC84CBE5-DC75-4642-8C2A-9E5355441B97}"/>
    <cellStyle name="40% - Accent2 3 3 3 2 2 2" xfId="17027" xr:uid="{43F33E9E-91C1-4631-8C90-26325A6260AC}"/>
    <cellStyle name="40% - Accent2 3 3 3 2 2 2 2" xfId="17214" xr:uid="{4C1EC2BE-6634-4EC2-BBC6-EBE6183548DA}"/>
    <cellStyle name="40% - Accent2 3 3 3 2 2 2 2 2" xfId="14486" xr:uid="{E4796303-ADE4-4D86-AFD7-FB8C79722B63}"/>
    <cellStyle name="40% - Accent2 3 3 3 2 2 2 3" xfId="14485" xr:uid="{8EDA4732-A21B-4F2D-A23B-7B35E0A4430C}"/>
    <cellStyle name="40% - Accent2 3 3 3 2 2 3" xfId="14483" xr:uid="{68C3EFF1-AF88-4907-B9A7-137EF6942E30}"/>
    <cellStyle name="40% - Accent2 3 3 3 2 2 3 2" xfId="14481" xr:uid="{605E1D30-595C-4397-BF07-70364683442F}"/>
    <cellStyle name="40% - Accent2 3 3 3 2 2 4" xfId="14479" xr:uid="{22C5E467-1F29-4C61-AF0C-9170A7BC3ED0}"/>
    <cellStyle name="40% - Accent2 3 3 3 2 3" xfId="23610" xr:uid="{2817E1E3-A40E-41EA-A07F-1E4DF8B48653}"/>
    <cellStyle name="40% - Accent2 3 3 3 2 3 2" xfId="20458" xr:uid="{F6D6A2B1-D81B-4A33-8E88-16DFFBD328D0}"/>
    <cellStyle name="40% - Accent2 3 3 3 2 3 2 2" xfId="14473" xr:uid="{A9BD014F-CAD5-4F0A-AD81-EBAFD11064E5}"/>
    <cellStyle name="40% - Accent2 3 3 3 2 3 3" xfId="20412" xr:uid="{FE30DD0E-DD00-47D5-A3E5-94C29291DFA1}"/>
    <cellStyle name="40% - Accent2 3 3 3 2 4" xfId="14472" xr:uid="{AE817A94-91D8-4D80-9E71-266D1EED8739}"/>
    <cellStyle name="40% - Accent2 3 3 3 2 4 2" xfId="20304" xr:uid="{5780D2A0-B104-4B7B-AD21-458780406348}"/>
    <cellStyle name="40% - Accent2 3 3 3 2 5" xfId="14470" xr:uid="{769C2C8F-7C93-4EE3-9AD1-ACE2DA03E899}"/>
    <cellStyle name="40% - Accent2 3 3 3 3" xfId="14468" xr:uid="{AAE5C3B8-4970-442B-9DBC-5430E9E83FC2}"/>
    <cellStyle name="40% - Accent2 3 3 3 3 2" xfId="23600" xr:uid="{7D4C3733-9772-4041-9D94-B21982C182BA}"/>
    <cellStyle name="40% - Accent2 3 3 3 3 2 2" xfId="17930" xr:uid="{19527574-6F23-48BD-A41F-4CCE3C3E3A90}"/>
    <cellStyle name="40% - Accent2 3 3 3 3 2 2 2" xfId="14466" xr:uid="{453EC32C-7039-40A9-8162-8D878FEC1DCA}"/>
    <cellStyle name="40% - Accent2 3 3 3 3 2 3" xfId="14465" xr:uid="{172A4076-DC68-4527-8D07-D7F7C1F45BCD}"/>
    <cellStyle name="40% - Accent2 3 3 3 3 3" xfId="14462" xr:uid="{14AF0C70-0CBB-4C15-A661-D1947237613E}"/>
    <cellStyle name="40% - Accent2 3 3 3 3 3 2" xfId="17916" xr:uid="{1DFDCCF0-55BE-45F9-8FE7-9308E77644D1}"/>
    <cellStyle name="40% - Accent2 3 3 3 3 4" xfId="6959" xr:uid="{3E129EE9-6D39-4110-871E-4E3A113B175A}"/>
    <cellStyle name="40% - Accent2 3 3 3 4" xfId="14460" xr:uid="{757DD954-CACD-4A85-A977-1BEFE591AF4B}"/>
    <cellStyle name="40% - Accent2 3 3 3 4 2" xfId="19129" xr:uid="{9AF6EE14-EF05-4281-B593-42D9CA001264}"/>
    <cellStyle name="40% - Accent2 3 3 3 4 2 2" xfId="14457" xr:uid="{A725BC7A-D05C-4C83-9CB2-EEE615DFE990}"/>
    <cellStyle name="40% - Accent2 3 3 3 4 3" xfId="14454" xr:uid="{CCC46DEF-16AC-4798-BF3A-B93138B0BAF9}"/>
    <cellStyle name="40% - Accent2 3 3 3 5" xfId="14452" xr:uid="{CF4B7207-973E-451A-AA75-428AC01E54FE}"/>
    <cellStyle name="40% - Accent2 3 3 3 5 2" xfId="14450" xr:uid="{860473A7-711E-45AB-8F30-8BFC5F91B7AE}"/>
    <cellStyle name="40% - Accent2 3 3 3 6" xfId="19125" xr:uid="{69D20054-593E-474D-8DCE-6E3085593D59}"/>
    <cellStyle name="40% - Accent2 3 3 4" xfId="14448" xr:uid="{864CCB0A-EC5A-449B-B4B4-336606C8B63B}"/>
    <cellStyle name="40% - Accent2 3 3 4 2" xfId="14447" xr:uid="{200AAB45-1A6C-4942-AD80-B239BA49AC9C}"/>
    <cellStyle name="40% - Accent2 3 3 4 2 2" xfId="23589" xr:uid="{7E09066E-42A1-4E9C-9D72-21F782667488}"/>
    <cellStyle name="40% - Accent2 3 3 4 2 2 2" xfId="14445" xr:uid="{28AC8184-87C5-4868-A3EE-006A7F6E6FC7}"/>
    <cellStyle name="40% - Accent2 3 3 4 2 2 2 2" xfId="14941" xr:uid="{69720825-967B-4B68-A6F2-20637DB10C25}"/>
    <cellStyle name="40% - Accent2 3 3 4 2 2 3" xfId="14443" xr:uid="{51BECAC1-0A4E-4F8D-AAF3-F9B180C9D029}"/>
    <cellStyle name="40% - Accent2 3 3 4 2 3" xfId="14441" xr:uid="{F72B0F3E-A537-4971-92A3-36279B3514B2}"/>
    <cellStyle name="40% - Accent2 3 3 4 2 3 2" xfId="27361" xr:uid="{DBBD2FA3-D11F-4A26-8B1D-FBF4C5CA1A5D}"/>
    <cellStyle name="40% - Accent2 3 3 4 2 4" xfId="19102" xr:uid="{C43D68E0-5E61-4261-B49F-F653799EC8C0}"/>
    <cellStyle name="40% - Accent2 3 3 4 3" xfId="14439" xr:uid="{86D7B191-34BA-48E1-B66C-E13C0C686FBA}"/>
    <cellStyle name="40% - Accent2 3 3 4 3 2" xfId="14437" xr:uid="{4399CC4F-C076-44EA-9BB6-EB0F518879EC}"/>
    <cellStyle name="40% - Accent2 3 3 4 3 2 2" xfId="10138" xr:uid="{4FFD4015-993C-4D0F-A632-DDCD3AB63B4F}"/>
    <cellStyle name="40% - Accent2 3 3 4 3 3" xfId="14435" xr:uid="{0031E75D-FB6D-4FB5-9C76-3B44A4045F5F}"/>
    <cellStyle name="40% - Accent2 3 3 4 4" xfId="14433" xr:uid="{22DC64BC-4A92-42F3-A337-5BC7492E8AD0}"/>
    <cellStyle name="40% - Accent2 3 3 4 4 2" xfId="14431" xr:uid="{86759BAC-D2AC-4E5B-8D13-2FA3B7E2F887}"/>
    <cellStyle name="40% - Accent2 3 3 4 5" xfId="14429" xr:uid="{E51F8D9F-B444-4B82-86B6-8E2FA9E5892E}"/>
    <cellStyle name="40% - Accent2 3 3 5" xfId="25261" xr:uid="{606AFC0D-E87E-49B1-B87A-8AB3A40E9F6E}"/>
    <cellStyle name="40% - Accent2 3 3 5 2" xfId="14427" xr:uid="{E77412A5-5FC5-4715-A3F8-169B8F394EC3}"/>
    <cellStyle name="40% - Accent2 3 3 5 2 2" xfId="14425" xr:uid="{ED2AE5F5-160C-4E2D-8899-539B9B3C0260}"/>
    <cellStyle name="40% - Accent2 3 3 5 2 2 2" xfId="14423" xr:uid="{515E1F7A-41D9-4208-94EE-EDD6A9767AF8}"/>
    <cellStyle name="40% - Accent2 3 3 5 2 3" xfId="14421" xr:uid="{9142D071-54F8-4B09-9008-00CD47284688}"/>
    <cellStyle name="40% - Accent2 3 3 5 3" xfId="14419" xr:uid="{7283AB1E-0DC9-46A1-A367-B0973CA645FF}"/>
    <cellStyle name="40% - Accent2 3 3 5 3 2" xfId="14416" xr:uid="{2B9E0C32-8CE3-4F39-A125-134F21226F21}"/>
    <cellStyle name="40% - Accent2 3 3 5 4" xfId="14414" xr:uid="{8FC54902-28EE-4649-A695-635868E87FC1}"/>
    <cellStyle name="40% - Accent2 3 3 6" xfId="17160" xr:uid="{B8B708F2-AE82-4D0C-9E7F-5812D4C9729D}"/>
    <cellStyle name="40% - Accent2 3 3 6 2" xfId="19076" xr:uid="{922F9714-F3F6-46A3-ABBB-720F9E27E471}"/>
    <cellStyle name="40% - Accent2 3 3 6 2 2" xfId="14410" xr:uid="{0E308083-DA63-4283-8299-87E4E8912447}"/>
    <cellStyle name="40% - Accent2 3 3 6 3" xfId="14407" xr:uid="{E8FDD9BA-1D66-4682-9EAB-A2ED9D46D671}"/>
    <cellStyle name="40% - Accent2 3 3 7" xfId="18510" xr:uid="{E4522AA8-6425-42B9-ABEB-632428066E6E}"/>
    <cellStyle name="40% - Accent2 3 3 7 2" xfId="19066" xr:uid="{F261195E-3861-4C06-AF5D-21AD7E0ABD23}"/>
    <cellStyle name="40% - Accent2 3 3 8" xfId="24386" xr:uid="{64209A48-3804-4B95-A38F-C953C2B8A12D}"/>
    <cellStyle name="40% - Accent2 3 3 9" xfId="34551" xr:uid="{5A240117-75F2-4617-9331-A60A1493A03F}"/>
    <cellStyle name="40% - Accent2 3 4" xfId="14403" xr:uid="{BD6E8679-4CFA-4A11-B02D-3887E5AC1A22}"/>
    <cellStyle name="40% - Accent2 3 4 2" xfId="15032" xr:uid="{037121A5-1AC5-47F2-A1F8-B6905C238D32}"/>
    <cellStyle name="40% - Accent2 3 4 2 2" xfId="14402" xr:uid="{37D92567-C2CF-4111-85AA-32A9B9DD502F}"/>
    <cellStyle name="40% - Accent2 3 4 2 2 2" xfId="14400" xr:uid="{072C6F55-8920-4975-97BD-966C6F5E0FC5}"/>
    <cellStyle name="40% - Accent2 3 4 2 2 2 2" xfId="19521" xr:uid="{22612A76-0867-46C7-AF72-4814B9D41C53}"/>
    <cellStyle name="40% - Accent2 3 4 2 2 2 2 2" xfId="15358" xr:uid="{D9EF7463-23DE-4594-A3FC-B2F61A30C319}"/>
    <cellStyle name="40% - Accent2 3 4 2 2 2 2 2 2" xfId="28165" xr:uid="{2E21D468-2A81-4C49-A852-F5FB9B933AEC}"/>
    <cellStyle name="40% - Accent2 3 4 2 2 2 2 3" xfId="14399" xr:uid="{DAB05DDF-B7F2-42D1-AF9F-8AEB96DE894B}"/>
    <cellStyle name="40% - Accent2 3 4 2 2 2 3" xfId="16181" xr:uid="{A27A5547-A24D-46C4-AC0A-A044D624625C}"/>
    <cellStyle name="40% - Accent2 3 4 2 2 2 3 2" xfId="14398" xr:uid="{995DB7FC-CA89-456A-A06B-9CE573096FE9}"/>
    <cellStyle name="40% - Accent2 3 4 2 2 2 4" xfId="14397" xr:uid="{A59A3FF6-8523-409A-9EFF-FE38D856CD29}"/>
    <cellStyle name="40% - Accent2 3 4 2 2 3" xfId="14391" xr:uid="{2AA555C7-4A51-4E6A-99BE-283872302120}"/>
    <cellStyle name="40% - Accent2 3 4 2 2 3 2" xfId="16168" xr:uid="{BD835AE1-5380-4BCC-9CA6-860EF84BAF01}"/>
    <cellStyle name="40% - Accent2 3 4 2 2 3 2 2" xfId="15743" xr:uid="{656E3155-9977-4EAC-8FB4-0DA2B2054429}"/>
    <cellStyle name="40% - Accent2 3 4 2 2 3 3" xfId="14390" xr:uid="{BA5BBFB4-3080-4095-88EC-C7652D652FD7}"/>
    <cellStyle name="40% - Accent2 3 4 2 2 4" xfId="14389" xr:uid="{19C6DE87-2D9A-4820-9668-6AF4E10077F2}"/>
    <cellStyle name="40% - Accent2 3 4 2 2 4 2" xfId="14388" xr:uid="{8509FE39-B0DD-4D37-AEE1-B3AFA1BDFED9}"/>
    <cellStyle name="40% - Accent2 3 4 2 2 5" xfId="14387" xr:uid="{7F2A8ED7-F150-47D3-9FB2-A3CC58F5AE3D}"/>
    <cellStyle name="40% - Accent2 3 4 2 3" xfId="14386" xr:uid="{62E20CE6-85B4-4580-B07B-D24CEA8FD033}"/>
    <cellStyle name="40% - Accent2 3 4 2 3 2" xfId="14384" xr:uid="{157656D7-D90C-47B1-AD45-9195D653DE67}"/>
    <cellStyle name="40% - Accent2 3 4 2 3 2 2" xfId="16747" xr:uid="{703DF00B-9F50-4635-8959-5E68437F4FEC}"/>
    <cellStyle name="40% - Accent2 3 4 2 3 2 2 2" xfId="27574" xr:uid="{28CA9EC0-2A6E-4E67-9B4C-D473179F20C5}"/>
    <cellStyle name="40% - Accent2 3 4 2 3 2 3" xfId="16744" xr:uid="{396D4FF6-87AE-4276-86B1-AF23AA13EC63}"/>
    <cellStyle name="40% - Accent2 3 4 2 3 3" xfId="14381" xr:uid="{65D2D2DC-2719-4B5B-B7AD-CF5E604B7E8D}"/>
    <cellStyle name="40% - Accent2 3 4 2 3 3 2" xfId="16740" xr:uid="{D65CE4EF-F8AC-48FA-863B-2BA169A7E6B0}"/>
    <cellStyle name="40% - Accent2 3 4 2 3 4" xfId="6935" xr:uid="{86271D60-A685-4B26-829B-692729BCEB22}"/>
    <cellStyle name="40% - Accent2 3 4 2 4" xfId="14380" xr:uid="{DC47F1B9-3592-4339-AE80-62B10016AF49}"/>
    <cellStyle name="40% - Accent2 3 4 2 4 2" xfId="29233" xr:uid="{C8F004D2-0327-46C5-BC05-97BD5C2AC9C7}"/>
    <cellStyle name="40% - Accent2 3 4 2 4 2 2" xfId="27660" xr:uid="{EEA7B250-29F7-42D9-8DC4-1661738E8492}"/>
    <cellStyle name="40% - Accent2 3 4 2 4 3" xfId="14374" xr:uid="{F95E9D8B-2AE8-4F05-9E3B-4257E53675BD}"/>
    <cellStyle name="40% - Accent2 3 4 2 5" xfId="9906" xr:uid="{0EF8BDD4-937C-403F-8558-6DDE17730E7E}"/>
    <cellStyle name="40% - Accent2 3 4 2 5 2" xfId="14370" xr:uid="{FB071226-B8A1-48B0-89F3-3D311917BE4C}"/>
    <cellStyle name="40% - Accent2 3 4 2 6" xfId="9904" xr:uid="{1FF894ED-76AA-4C97-B2B8-9C6D4A66C664}"/>
    <cellStyle name="40% - Accent2 3 4 3" xfId="14369" xr:uid="{7E063379-5F0B-4BE3-8AB0-DBBA19A8DA1E}"/>
    <cellStyle name="40% - Accent2 3 4 3 2" xfId="29948" xr:uid="{CC4DD1C3-CA99-410F-A4B1-58CDD2663F1E}"/>
    <cellStyle name="40% - Accent2 3 4 3 2 2" xfId="28900" xr:uid="{9D837584-C2C8-41ED-A910-F9885B74964B}"/>
    <cellStyle name="40% - Accent2 3 4 3 2 2 2" xfId="16098" xr:uid="{FC4972A9-7643-4BFA-9882-A05381130867}"/>
    <cellStyle name="40% - Accent2 3 4 3 2 2 2 2" xfId="34080" xr:uid="{B053FEE1-FA7B-47A8-8634-87D4E6E74F76}"/>
    <cellStyle name="40% - Accent2 3 4 3 2 2 3" xfId="14368" xr:uid="{39AE2E28-EB93-47E0-97E5-0A7EB14974B9}"/>
    <cellStyle name="40% - Accent2 3 4 3 2 3" xfId="14366" xr:uid="{00454B18-6F81-4579-9C22-B65C8AE15A8A}"/>
    <cellStyle name="40% - Accent2 3 4 3 2 3 2" xfId="20561" xr:uid="{72536EEA-BCF1-469C-A057-FCB61764A1AF}"/>
    <cellStyle name="40% - Accent2 3 4 3 2 4" xfId="14364" xr:uid="{C11BD747-E136-4366-AF82-1311D44F5739}"/>
    <cellStyle name="40% - Accent2 3 4 3 3" xfId="14362" xr:uid="{CB3F615B-825C-41AD-BDAA-64D8DCDED695}"/>
    <cellStyle name="40% - Accent2 3 4 3 3 2" xfId="14359" xr:uid="{6B44F3A0-0C87-4609-BB35-931D9D48000F}"/>
    <cellStyle name="40% - Accent2 3 4 3 3 2 2" xfId="16713" xr:uid="{119E9E24-50E7-44B6-9C66-8A1F43EA1D6E}"/>
    <cellStyle name="40% - Accent2 3 4 3 3 3" xfId="14357" xr:uid="{1401463F-5560-4F89-9FDE-CA1878C110DE}"/>
    <cellStyle name="40% - Accent2 3 4 3 4" xfId="14355" xr:uid="{7895FBBD-52F3-41CD-A967-AB2CDC688D53}"/>
    <cellStyle name="40% - Accent2 3 4 3 4 2" xfId="14350" xr:uid="{73C82204-7A7F-438E-88E2-AD727B07ECC3}"/>
    <cellStyle name="40% - Accent2 3 4 3 5" xfId="9897" xr:uid="{76E78186-A8AE-4293-B733-352AA4040D1A}"/>
    <cellStyle name="40% - Accent2 3 4 4" xfId="14348" xr:uid="{2670A0CD-F127-4E1D-89AC-934BBC69FABC}"/>
    <cellStyle name="40% - Accent2 3 4 4 2" xfId="14347" xr:uid="{DC59502A-BAA2-459D-ADB9-4C131C7C11A6}"/>
    <cellStyle name="40% - Accent2 3 4 4 2 2" xfId="14344" xr:uid="{FDF5CBF2-B11F-431A-A77D-4420964D85CE}"/>
    <cellStyle name="40% - Accent2 3 4 4 2 2 2" xfId="14342" xr:uid="{17529406-2DD0-4876-9F3C-92C21B93968C}"/>
    <cellStyle name="40% - Accent2 3 4 4 2 3" xfId="14339" xr:uid="{B5F2A3E8-7977-415D-9034-9FFEC120690C}"/>
    <cellStyle name="40% - Accent2 3 4 4 3" xfId="14337" xr:uid="{9DE1DE3F-49E1-4B53-A57B-3B9C3B86D74A}"/>
    <cellStyle name="40% - Accent2 3 4 4 3 2" xfId="14335" xr:uid="{25C9E678-4380-4887-A4F6-FAD8FB750662}"/>
    <cellStyle name="40% - Accent2 3 4 4 4" xfId="20983" xr:uid="{0CFA07CE-24D3-4113-A62A-08287ECB8564}"/>
    <cellStyle name="40% - Accent2 3 4 5" xfId="17151" xr:uid="{2BA252CC-9527-439E-B5B7-1595E3ACCA1C}"/>
    <cellStyle name="40% - Accent2 3 4 5 2" xfId="14333" xr:uid="{5B8D6252-FDD4-415F-BA68-5F1AEA8B9936}"/>
    <cellStyle name="40% - Accent2 3 4 5 2 2" xfId="14330" xr:uid="{141536F3-F05F-43DD-918B-2FDDF6A0C510}"/>
    <cellStyle name="40% - Accent2 3 4 5 3" xfId="14328" xr:uid="{619555FF-2267-482C-828B-30A377ECE871}"/>
    <cellStyle name="40% - Accent2 3 4 6" xfId="17145" xr:uid="{C1210873-2501-491B-91A1-5EC6A9B83084}"/>
    <cellStyle name="40% - Accent2 3 4 6 2" xfId="14324" xr:uid="{DAB5878C-6F6B-4378-A5C1-2531932DD0D6}"/>
    <cellStyle name="40% - Accent2 3 4 7" xfId="18506" xr:uid="{908AB6D9-66CF-44DE-B75F-BFA300BA6BAA}"/>
    <cellStyle name="40% - Accent2 3 4 8" xfId="34772" xr:uid="{F45F280F-5D6F-4783-BB97-B3117B26597A}"/>
    <cellStyle name="40% - Accent2 3 5" xfId="14320" xr:uid="{FB7BAD76-4C14-45AA-88D0-0B732CC28F64}"/>
    <cellStyle name="40% - Accent2 3 5 2" xfId="14319" xr:uid="{0DD595B3-1526-43A6-B6BE-4543F41DFF8B}"/>
    <cellStyle name="40% - Accent2 3 5 2 2" xfId="14318" xr:uid="{94428C84-0211-4F9A-B4C1-E94704B868B3}"/>
    <cellStyle name="40% - Accent2 3 5 2 2 2" xfId="14316" xr:uid="{C525A212-F678-45C4-ABAF-9A3EF72CAD0C}"/>
    <cellStyle name="40% - Accent2 3 5 2 2 2 2" xfId="33310" xr:uid="{A63C6A89-A8F8-4B1A-85E6-D558E1285A75}"/>
    <cellStyle name="40% - Accent2 3 5 2 2 2 2 2" xfId="14315" xr:uid="{3E8524D0-F099-4B7C-A3E1-6DA00A73E840}"/>
    <cellStyle name="40% - Accent2 3 5 2 2 2 3" xfId="33296" xr:uid="{3B6DA026-58EC-4E3E-B828-CBD55657A069}"/>
    <cellStyle name="40% - Accent2 3 5 2 2 3" xfId="14310" xr:uid="{05BE0441-F479-41C8-A106-0A3679191DDA}"/>
    <cellStyle name="40% - Accent2 3 5 2 2 3 2" xfId="28209" xr:uid="{5C1FBAEB-EB01-492E-8F57-F759A89833E2}"/>
    <cellStyle name="40% - Accent2 3 5 2 2 4" xfId="14309" xr:uid="{20DF5CA6-2BD4-462C-83A5-F62004FC3488}"/>
    <cellStyle name="40% - Accent2 3 5 2 3" xfId="14308" xr:uid="{6CAC25DF-ECFB-46F2-8D00-C6851857D467}"/>
    <cellStyle name="40% - Accent2 3 5 2 3 2" xfId="14305" xr:uid="{9CA88747-DEBA-40A0-A9EA-16B1DD0FF011}"/>
    <cellStyle name="40% - Accent2 3 5 2 3 2 2" xfId="22413" xr:uid="{809A7B55-4913-4FB0-AE83-6BEA6A395B63}"/>
    <cellStyle name="40% - Accent2 3 5 2 3 3" xfId="14304" xr:uid="{A1216E59-A747-4A58-BFE9-7D2F42A976B6}"/>
    <cellStyle name="40% - Accent2 3 5 2 4" xfId="17261" xr:uid="{9A875CFF-3D92-4555-B70D-E6290C871EB7}"/>
    <cellStyle name="40% - Accent2 3 5 2 4 2" xfId="14303" xr:uid="{46BA941D-8789-4128-ABA8-186B5EFA0D21}"/>
    <cellStyle name="40% - Accent2 3 5 2 5" xfId="9891" xr:uid="{F6B3545D-5CA9-451D-BD7B-6CE3C0D0D3EF}"/>
    <cellStyle name="40% - Accent2 3 5 3" xfId="14302" xr:uid="{6ABAF6FC-E713-40BB-A578-47BC8BABA8C7}"/>
    <cellStyle name="40% - Accent2 3 5 3 2" xfId="14300" xr:uid="{5DD5FD9E-C632-49A5-AB6C-F42D414707AB}"/>
    <cellStyle name="40% - Accent2 3 5 3 2 2" xfId="14551" xr:uid="{2562B298-FB93-4947-98F7-37EED5DACFBD}"/>
    <cellStyle name="40% - Accent2 3 5 3 2 2 2" xfId="14293" xr:uid="{E71405C5-872D-4BAD-8EC0-9F93E5AE2F6E}"/>
    <cellStyle name="40% - Accent2 3 5 3 2 3" xfId="14545" xr:uid="{1E8584FA-E8CB-4B9C-BBF0-6AF7A72ACF3A}"/>
    <cellStyle name="40% - Accent2 3 5 3 3" xfId="14291" xr:uid="{295BECEF-9659-4B32-8802-80FA62E242F7}"/>
    <cellStyle name="40% - Accent2 3 5 3 3 2" xfId="14533" xr:uid="{EA15B11E-682F-4920-ACC2-720E82138781}"/>
    <cellStyle name="40% - Accent2 3 5 3 4" xfId="9886" xr:uid="{AD9C923B-DB35-4704-97F0-D2B2E58A29D2}"/>
    <cellStyle name="40% - Accent2 3 5 4" xfId="14286" xr:uid="{EB4AC7D5-FECA-4E8F-88DD-AE385DE0482C}"/>
    <cellStyle name="40% - Accent2 3 5 4 2" xfId="9218" xr:uid="{C5358F1A-4C8A-4DC2-B9DA-AB6DC4E05466}"/>
    <cellStyle name="40% - Accent2 3 5 4 2 2" xfId="5684" xr:uid="{BB21AAD4-70F1-4E3A-B279-89E1D08CC9D6}"/>
    <cellStyle name="40% - Accent2 3 5 4 3" xfId="5658" xr:uid="{2895CD60-5D69-4245-8B8F-5FBD66FD7927}"/>
    <cellStyle name="40% - Accent2 3 5 5" xfId="17134" xr:uid="{07EEFFED-614E-4F64-B6D2-C645DDEE0177}"/>
    <cellStyle name="40% - Accent2 3 5 5 2" xfId="10643" xr:uid="{63887478-04F3-42BB-8AA5-D25CC35A1093}"/>
    <cellStyle name="40% - Accent2 3 5 6" xfId="17130" xr:uid="{2416E377-EE2A-4097-8ACE-E48A84BC46A6}"/>
    <cellStyle name="40% - Accent2 3 5 7" xfId="34963" xr:uid="{69772AD1-EBD1-4FAF-953F-399E89439CC7}"/>
    <cellStyle name="40% - Accent2 3 6" xfId="14278" xr:uid="{F0BB386B-7C1E-477B-9D87-DB287E0E2823}"/>
    <cellStyle name="40% - Accent2 3 6 2" xfId="14276" xr:uid="{F6829437-821F-4872-9811-0AFF737D1896}"/>
    <cellStyle name="40% - Accent2 3 6 2 2" xfId="14274" xr:uid="{BFF8937A-24EB-4FF4-ACE6-3DF02648FD3A}"/>
    <cellStyle name="40% - Accent2 3 6 2 2 2" xfId="14272" xr:uid="{454ADAD5-6093-4596-ACEC-5C4163F328B8}"/>
    <cellStyle name="40% - Accent2 3 6 2 2 2 2" xfId="14271" xr:uid="{F9E6AABB-A726-4755-9ED5-4AE14FF2735F}"/>
    <cellStyle name="40% - Accent2 3 6 2 2 3" xfId="14270" xr:uid="{FFE81F49-D740-43EE-BF3F-AC6ECF3865D4}"/>
    <cellStyle name="40% - Accent2 3 6 2 3" xfId="14269" xr:uid="{B555DE7E-7DE6-4F39-A766-888464E86D73}"/>
    <cellStyle name="40% - Accent2 3 6 2 3 2" xfId="14266" xr:uid="{55B2B70C-F6F5-4172-85B5-F58B8209B134}"/>
    <cellStyle name="40% - Accent2 3 6 2 4" xfId="9880" xr:uid="{419A4F1D-221D-48B5-88CE-721EE7B18BBB}"/>
    <cellStyle name="40% - Accent2 3 6 3" xfId="14264" xr:uid="{4DA2F995-80DF-4CA1-BAD8-F91664FE1864}"/>
    <cellStyle name="40% - Accent2 3 6 3 2" xfId="14261" xr:uid="{449058B6-FA3B-4CC0-9E74-2DCE814C8765}"/>
    <cellStyle name="40% - Accent2 3 6 3 2 2" xfId="14477" xr:uid="{EAB9F6D5-7BAC-481B-BD6C-F45688AC8D34}"/>
    <cellStyle name="40% - Accent2 3 6 3 3" xfId="14256" xr:uid="{07FEFAD5-7168-4844-8EC1-5B76EFC8410B}"/>
    <cellStyle name="40% - Accent2 3 6 4" xfId="14249" xr:uid="{F6748D97-1AEB-4269-A9C8-8AD84DD264E7}"/>
    <cellStyle name="40% - Accent2 3 6 4 2" xfId="5454" xr:uid="{D014A3A1-1E67-4D28-8F11-EABDD907D658}"/>
    <cellStyle name="40% - Accent2 3 6 5" xfId="17118" xr:uid="{29DFFBE7-AC4C-43FD-AAA0-2B39BDC02EAA}"/>
    <cellStyle name="40% - Accent2 3 6 6" xfId="35168" xr:uid="{CB213FB8-B795-4C23-B027-21A370B5BFE1}"/>
    <cellStyle name="40% - Accent2 3 7" xfId="14242" xr:uid="{5A493358-5E6D-4069-AC85-38FF6537DE0E}"/>
    <cellStyle name="40% - Accent2 3 7 2" xfId="32361" xr:uid="{22F5F817-9A7F-4552-B5E8-CE4ADE025BFF}"/>
    <cellStyle name="40% - Accent2 3 7 2 2" xfId="32311" xr:uid="{5486D1BE-0091-4E4A-A5A0-10E1C124841B}"/>
    <cellStyle name="40% - Accent2 3 7 2 2 2" xfId="15885" xr:uid="{9955EA63-62CA-4645-91F1-3D2A6ED5DF38}"/>
    <cellStyle name="40% - Accent2 3 7 2 3" xfId="24912" xr:uid="{ABE7BD43-0047-4A55-A949-ACB68D934B26}"/>
    <cellStyle name="40% - Accent2 3 7 3" xfId="32350" xr:uid="{ABDE56EB-F41E-441B-928F-9A3C165E7800}"/>
    <cellStyle name="40% - Accent2 3 7 3 2" xfId="19025" xr:uid="{F709FD61-573D-4A35-A2D1-A2F9CD386F0E}"/>
    <cellStyle name="40% - Accent2 3 7 4" xfId="31047" xr:uid="{5F5BBEF0-46D8-413E-B433-AC25839517B0}"/>
    <cellStyle name="40% - Accent2 3 7 5" xfId="35397" xr:uid="{252AAEC1-D99A-4BC0-9D23-8EE0619FCEE5}"/>
    <cellStyle name="40% - Accent2 3 8" xfId="28320" xr:uid="{B433250F-BB2B-4B10-A1CE-7298BCBA993A}"/>
    <cellStyle name="40% - Accent2 3 8 2" xfId="29035" xr:uid="{06155CF4-E5F4-468A-AF8A-43581B6E21D7}"/>
    <cellStyle name="40% - Accent2 3 8 2 2" xfId="32323" xr:uid="{4EA4817D-22F1-4EF5-8758-C3E019860892}"/>
    <cellStyle name="40% - Accent2 3 8 3" xfId="32306" xr:uid="{90EC9B72-06EA-4B8C-8125-BCEE7BC5FBAB}"/>
    <cellStyle name="40% - Accent2 3 8 4" xfId="36269" xr:uid="{D96639C2-383D-46E1-BE99-379C5A7D2E0A}"/>
    <cellStyle name="40% - Accent2 3 9" xfId="28311" xr:uid="{0F7F1152-769C-4501-BB47-7D77A198F242}"/>
    <cellStyle name="40% - Accent2 3 9 2" xfId="22387" xr:uid="{5B1D1AD8-D3EC-4585-B594-6726E6F77BE0}"/>
    <cellStyle name="40% - Accent2 3 9 3" xfId="36555" xr:uid="{BFD89971-0AD7-4939-BB36-DC8273AF2E9E}"/>
    <cellStyle name="40% - Accent2 30" xfId="35894" xr:uid="{1A3DC185-84C9-4DDE-A308-D671672F7F4E}"/>
    <cellStyle name="40% - Accent2 30 2" xfId="37066" xr:uid="{E892F66F-46C0-4BD4-93A6-4700218CC377}"/>
    <cellStyle name="40% - Accent2 30 3" xfId="37961" xr:uid="{12B130DF-4752-444D-A1F6-C672A41A9F24}"/>
    <cellStyle name="40% - Accent2 31" xfId="35914" xr:uid="{4C6B83E7-8B46-4F94-B2ED-B1BF54F71752}"/>
    <cellStyle name="40% - Accent2 31 2" xfId="37085" xr:uid="{2C6C782F-7514-474B-80A6-77FCEEFE7D50}"/>
    <cellStyle name="40% - Accent2 31 3" xfId="37981" xr:uid="{B213D6E6-883C-4A85-8990-1B8062848BA8}"/>
    <cellStyle name="40% - Accent2 32" xfId="35934" xr:uid="{68FBDDB6-C3F6-4296-A721-8E65F3383047}"/>
    <cellStyle name="40% - Accent2 32 2" xfId="37104" xr:uid="{07D58264-5F25-48C0-A47F-327F5E849AFD}"/>
    <cellStyle name="40% - Accent2 32 3" xfId="38001" xr:uid="{90574858-75DF-4742-830F-4904C05D8B2D}"/>
    <cellStyle name="40% - Accent2 33" xfId="35954" xr:uid="{F67E980B-6F7A-4654-829D-A65F50070488}"/>
    <cellStyle name="40% - Accent2 33 2" xfId="37123" xr:uid="{62E31E4F-5CF2-4DDB-9CA4-A89B30C7A6D9}"/>
    <cellStyle name="40% - Accent2 33 3" xfId="38021" xr:uid="{EA444170-5111-4B89-897D-50D6C2DBD790}"/>
    <cellStyle name="40% - Accent2 34" xfId="35974" xr:uid="{4C9CD717-3697-4CE2-AF59-00A53D943950}"/>
    <cellStyle name="40% - Accent2 34 2" xfId="37143" xr:uid="{C23D5C51-E6C8-4015-B005-B39807EB4CC8}"/>
    <cellStyle name="40% - Accent2 34 3" xfId="38041" xr:uid="{A7823653-0273-4B26-A94D-9D58F5A10597}"/>
    <cellStyle name="40% - Accent2 35" xfId="35994" xr:uid="{E1001255-D0D9-4894-9C04-2FE05C04B584}"/>
    <cellStyle name="40% - Accent2 35 2" xfId="37163" xr:uid="{69DE442E-CDF7-46BE-A175-35AE4668322F}"/>
    <cellStyle name="40% - Accent2 35 3" xfId="38061" xr:uid="{4B457478-EA0B-43F6-9458-457000A43E81}"/>
    <cellStyle name="40% - Accent2 36" xfId="36014" xr:uid="{49135C0D-FD8F-45FB-A9B6-74BB40850485}"/>
    <cellStyle name="40% - Accent2 36 2" xfId="37183" xr:uid="{42F48468-B221-40EE-B971-01F029550F3B}"/>
    <cellStyle name="40% - Accent2 36 3" xfId="38081" xr:uid="{7BD09A06-D12D-4ED5-A14F-5CC23E534767}"/>
    <cellStyle name="40% - Accent2 37" xfId="36034" xr:uid="{59B79BD4-CEFB-47DC-972E-A525E0D890D3}"/>
    <cellStyle name="40% - Accent2 37 2" xfId="37203" xr:uid="{CEB4F47D-7F1A-46A2-A6C6-BDF1267557FB}"/>
    <cellStyle name="40% - Accent2 37 3" xfId="38101" xr:uid="{4F6713E7-2C3D-4A85-B0E8-7A30106C292F}"/>
    <cellStyle name="40% - Accent2 38" xfId="36054" xr:uid="{3B8AC71B-D8E6-4A33-BD60-BC807D90C379}"/>
    <cellStyle name="40% - Accent2 38 2" xfId="37223" xr:uid="{BFC295F1-81DE-44E0-B159-5F9E22406F62}"/>
    <cellStyle name="40% - Accent2 38 3" xfId="38121" xr:uid="{94DE3C2D-908F-4DCC-B673-B950D6E495B3}"/>
    <cellStyle name="40% - Accent2 39" xfId="36074" xr:uid="{9C698EF9-80B7-42B4-9834-B6FF4B9A1A89}"/>
    <cellStyle name="40% - Accent2 39 2" xfId="37243" xr:uid="{E53E5CED-72D6-4317-9590-EEF14F319E00}"/>
    <cellStyle name="40% - Accent2 39 3" xfId="38141" xr:uid="{CAA1DCEC-DE8F-44A1-850A-B1E7B5BEBF66}"/>
    <cellStyle name="40% - Accent2 4" xfId="120" xr:uid="{68B0DA3D-6AC8-4F00-8610-0918EA50D6BB}"/>
    <cellStyle name="40% - Accent2 4 10" xfId="34474" xr:uid="{A84C9251-2237-421B-BE94-42D2461C5349}"/>
    <cellStyle name="40% - Accent2 4 11" xfId="30971" xr:uid="{741019E3-C967-465C-9D52-D6791C4D5BB1}"/>
    <cellStyle name="40% - Accent2 4 2" xfId="243" xr:uid="{E9E198C0-816E-453C-B151-0D102D4306D0}"/>
    <cellStyle name="40% - Accent2 4 2 10" xfId="27333" xr:uid="{CC9B1DCD-09FE-40A3-BFDF-894B54E96C76}"/>
    <cellStyle name="40% - Accent2 4 2 2" xfId="14240" xr:uid="{1A4118F2-1EA0-435B-930A-CBFB349FCC85}"/>
    <cellStyle name="40% - Accent2 4 2 2 2" xfId="14239" xr:uid="{4148C57F-E675-4ED2-B1E7-60089E38E785}"/>
    <cellStyle name="40% - Accent2 4 2 2 2 2" xfId="14237" xr:uid="{CD2C4D59-DA3F-4C9A-9369-983D4214BECD}"/>
    <cellStyle name="40% - Accent2 4 2 2 2 2 2" xfId="14236" xr:uid="{41583E41-F44D-4C9A-AE75-F6D95631F821}"/>
    <cellStyle name="40% - Accent2 4 2 2 2 2 2 2" xfId="14232" xr:uid="{2F9CCD12-471D-4791-B2BD-8396ADDBDF0C}"/>
    <cellStyle name="40% - Accent2 4 2 2 2 2 2 2 2" xfId="31517" xr:uid="{EC71D465-AD08-4DE4-8BAA-881AFA5B6472}"/>
    <cellStyle name="40% - Accent2 4 2 2 2 2 2 2 2 2" xfId="14099" xr:uid="{DC4E6EB3-99A7-4CD7-93CD-C7C2D8775F76}"/>
    <cellStyle name="40% - Accent2 4 2 2 2 2 2 2 3" xfId="24325" xr:uid="{43783580-BED0-483B-9B0F-5F995405724D}"/>
    <cellStyle name="40% - Accent2 4 2 2 2 2 2 3" xfId="14231" xr:uid="{5A9E90C7-5293-46AD-8D1B-144467B225A6}"/>
    <cellStyle name="40% - Accent2 4 2 2 2 2 2 3 2" xfId="14229" xr:uid="{893F6C0F-B90F-4DDD-A878-4CB13F39EED1}"/>
    <cellStyle name="40% - Accent2 4 2 2 2 2 2 4" xfId="14228" xr:uid="{76F41A59-02F8-4735-9291-1FEE913BA4AD}"/>
    <cellStyle name="40% - Accent2 4 2 2 2 2 3" xfId="14225" xr:uid="{4A48A676-813B-4D8B-B87F-BE58A0F6BF6D}"/>
    <cellStyle name="40% - Accent2 4 2 2 2 2 3 2" xfId="14224" xr:uid="{1DD8F3B7-6620-46D7-B338-9638543450B4}"/>
    <cellStyle name="40% - Accent2 4 2 2 2 2 3 2 2" xfId="14222" xr:uid="{F3023CBE-65B8-4F0B-BA84-346CCD67781C}"/>
    <cellStyle name="40% - Accent2 4 2 2 2 2 3 3" xfId="14221" xr:uid="{A307C772-DD3C-4219-9FE3-EF2F8EBAD747}"/>
    <cellStyle name="40% - Accent2 4 2 2 2 2 4" xfId="14259" xr:uid="{14196269-4A07-40B7-B188-72B4A6049502}"/>
    <cellStyle name="40% - Accent2 4 2 2 2 2 4 2" xfId="14217" xr:uid="{A8462702-D604-48D7-A713-7D5D309E382D}"/>
    <cellStyle name="40% - Accent2 4 2 2 2 2 5" xfId="13804" xr:uid="{69BFD2E4-1471-42A5-8C7C-E44D59E091C9}"/>
    <cellStyle name="40% - Accent2 4 2 2 2 3" xfId="14214" xr:uid="{69609FBB-8E0F-4EB1-99D3-A579F5B999E8}"/>
    <cellStyle name="40% - Accent2 4 2 2 2 3 2" xfId="14213" xr:uid="{82F8CA13-B998-4749-8081-9D45A478FBFB}"/>
    <cellStyle name="40% - Accent2 4 2 2 2 3 2 2" xfId="14212" xr:uid="{A4858EF2-3F74-44CA-82BA-C50789E02261}"/>
    <cellStyle name="40% - Accent2 4 2 2 2 3 2 2 2" xfId="14208" xr:uid="{A1A0B3F2-380F-495A-A3B4-EF7457A57713}"/>
    <cellStyle name="40% - Accent2 4 2 2 2 3 2 3" xfId="14207" xr:uid="{F2A6BCA9-CFB9-467F-9426-4C747BE793E8}"/>
    <cellStyle name="40% - Accent2 4 2 2 2 3 3" xfId="14204" xr:uid="{66C97231-405A-456E-9B6C-4B9DE5CD19D9}"/>
    <cellStyle name="40% - Accent2 4 2 2 2 3 3 2" xfId="28356" xr:uid="{FB5285A6-CDC1-425E-AADB-6B45C57A026E}"/>
    <cellStyle name="40% - Accent2 4 2 2 2 3 4" xfId="14246" xr:uid="{97792AF7-8304-406F-9917-B178151A0B6B}"/>
    <cellStyle name="40% - Accent2 4 2 2 2 4" xfId="14203" xr:uid="{F54B7FD0-5223-469A-9369-7E2393016FAD}"/>
    <cellStyle name="40% - Accent2 4 2 2 2 4 2" xfId="14202" xr:uid="{9E89426B-E06A-4849-B720-FF979534346C}"/>
    <cellStyle name="40% - Accent2 4 2 2 2 4 2 2" xfId="14201" xr:uid="{3490A8B9-1AED-437D-B6AA-9DB4269222C6}"/>
    <cellStyle name="40% - Accent2 4 2 2 2 4 3" xfId="14199" xr:uid="{B67CBB5D-7CB7-46C1-AF76-18CAB37C7E0C}"/>
    <cellStyle name="40% - Accent2 4 2 2 2 5" xfId="26350" xr:uid="{3A14BF22-9DA7-4717-94B4-1A0A62228425}"/>
    <cellStyle name="40% - Accent2 4 2 2 2 5 2" xfId="14198" xr:uid="{764476D5-4AB9-4ED9-8E5E-D85545266A75}"/>
    <cellStyle name="40% - Accent2 4 2 2 2 6" xfId="14197" xr:uid="{6ED349E5-4DCA-4B25-8822-BD5EEF289A04}"/>
    <cellStyle name="40% - Accent2 4 2 2 3" xfId="14196" xr:uid="{9DC42248-C939-42B4-8B52-FF3CE5F88B13}"/>
    <cellStyle name="40% - Accent2 4 2 2 3 2" xfId="14195" xr:uid="{AABA96DD-B4DF-4806-A05C-A24DC53152F0}"/>
    <cellStyle name="40% - Accent2 4 2 2 3 2 2" xfId="14194" xr:uid="{6F72A8C8-E290-49A9-A203-2C4008E05B21}"/>
    <cellStyle name="40% - Accent2 4 2 2 3 2 2 2" xfId="14193" xr:uid="{C47F7B0E-7E24-43F9-826E-1F21494AC16B}"/>
    <cellStyle name="40% - Accent2 4 2 2 3 2 2 2 2" xfId="14190" xr:uid="{0E9523EE-578F-447A-8E27-138DAB01E88F}"/>
    <cellStyle name="40% - Accent2 4 2 2 3 2 2 3" xfId="14189" xr:uid="{16837313-7008-47D8-AD68-C11C02FFA749}"/>
    <cellStyle name="40% - Accent2 4 2 2 3 2 3" xfId="14186" xr:uid="{94C85364-C5A9-4D1D-9A9C-748E1FDFD042}"/>
    <cellStyle name="40% - Accent2 4 2 2 3 2 3 2" xfId="14185" xr:uid="{26214AE3-58DF-4193-8290-B667154EC4A2}"/>
    <cellStyle name="40% - Accent2 4 2 2 3 2 4" xfId="24896" xr:uid="{736D60E9-A897-4B33-AEB7-F22793344212}"/>
    <cellStyle name="40% - Accent2 4 2 2 3 3" xfId="14183" xr:uid="{F3843C98-E642-4997-BCFF-0382661A07E4}"/>
    <cellStyle name="40% - Accent2 4 2 2 3 3 2" xfId="14182" xr:uid="{C02E1823-2A0C-419D-A599-25EA7E49DBF7}"/>
    <cellStyle name="40% - Accent2 4 2 2 3 3 2 2" xfId="32525" xr:uid="{D4522802-5E74-42CA-B384-102E0DDEA6F7}"/>
    <cellStyle name="40% - Accent2 4 2 2 3 3 3" xfId="14181" xr:uid="{1B799C09-1B03-44A5-9D97-F74FAB62443B}"/>
    <cellStyle name="40% - Accent2 4 2 2 3 4" xfId="6863" xr:uid="{57930FC5-E6F7-4AEA-9E35-8A30BDEEFE72}"/>
    <cellStyle name="40% - Accent2 4 2 2 3 4 2" xfId="14180" xr:uid="{C112790B-27F6-43F7-A5A3-F1FB5EE2D465}"/>
    <cellStyle name="40% - Accent2 4 2 2 3 5" xfId="6860" xr:uid="{A65FF96D-654D-4E30-B69B-2A5CB1128F83}"/>
    <cellStyle name="40% - Accent2 4 2 2 4" xfId="14179" xr:uid="{18D37E93-01D5-4AD3-B95F-793EB4E43350}"/>
    <cellStyle name="40% - Accent2 4 2 2 4 2" xfId="14178" xr:uid="{500B7E31-5745-46DB-A1D8-FDD33B21719A}"/>
    <cellStyle name="40% - Accent2 4 2 2 4 2 2" xfId="14177" xr:uid="{A53F9336-3705-45CE-88D5-935E7A44C4B7}"/>
    <cellStyle name="40% - Accent2 4 2 2 4 2 2 2" xfId="24079" xr:uid="{7573ED10-8397-47BC-889E-794BF80A4F5D}"/>
    <cellStyle name="40% - Accent2 4 2 2 4 2 3" xfId="33821" xr:uid="{D84BEB94-45BC-49F2-AD78-A43B703DA416}"/>
    <cellStyle name="40% - Accent2 4 2 2 4 3" xfId="14176" xr:uid="{23EE948F-0DF9-43B8-8D63-A31E45152D6C}"/>
    <cellStyle name="40% - Accent2 4 2 2 4 3 2" xfId="14175" xr:uid="{5E086B5D-798B-4D7E-884A-2FB5D52D6C7A}"/>
    <cellStyle name="40% - Accent2 4 2 2 4 4" xfId="6858" xr:uid="{1481268C-64F9-4F97-BCB3-46CF7552215B}"/>
    <cellStyle name="40% - Accent2 4 2 2 5" xfId="14174" xr:uid="{F2320890-0644-4BCC-9231-D76F92E2A6C6}"/>
    <cellStyle name="40% - Accent2 4 2 2 5 2" xfId="14173" xr:uid="{2DFD2D32-9A3E-4670-A070-35C35355E615}"/>
    <cellStyle name="40% - Accent2 4 2 2 5 2 2" xfId="22073" xr:uid="{07A2C77F-7325-4F4C-9132-E0F4A3483F2C}"/>
    <cellStyle name="40% - Accent2 4 2 2 5 3" xfId="25714" xr:uid="{03A27932-C54B-49A3-BB56-C808CCC242EF}"/>
    <cellStyle name="40% - Accent2 4 2 2 6" xfId="33927" xr:uid="{15E6FED2-598A-4401-A087-C08298D2FD9A}"/>
    <cellStyle name="40% - Accent2 4 2 2 6 2" xfId="32469" xr:uid="{8795E9DD-945C-44DF-83F5-3B94DDAE548F}"/>
    <cellStyle name="40% - Accent2 4 2 2 7" xfId="32463" xr:uid="{F5387EDB-0892-4406-9490-006B5B8746F5}"/>
    <cellStyle name="40% - Accent2 4 2 3" xfId="14172" xr:uid="{EA87656A-0285-45D7-AD05-C8EE24449224}"/>
    <cellStyle name="40% - Accent2 4 2 3 2" xfId="14171" xr:uid="{8809839C-ADB4-4B6D-802B-3C403F899C63}"/>
    <cellStyle name="40% - Accent2 4 2 3 2 2" xfId="14169" xr:uid="{222045EA-F3F9-4939-B190-027539809721}"/>
    <cellStyle name="40% - Accent2 4 2 3 2 2 2" xfId="14167" xr:uid="{89D679D0-DA54-4ECC-8B58-44F706AB2EB6}"/>
    <cellStyle name="40% - Accent2 4 2 3 2 2 2 2" xfId="8315" xr:uid="{8760655B-9A19-4A96-80AF-FE38CA6329CD}"/>
    <cellStyle name="40% - Accent2 4 2 3 2 2 2 2 2" xfId="14165" xr:uid="{A3894EE6-9597-47CE-8C06-41EB34D68E99}"/>
    <cellStyle name="40% - Accent2 4 2 3 2 2 2 3" xfId="8611" xr:uid="{5C5EF547-5531-4C7D-AA36-BD5CA215AA1D}"/>
    <cellStyle name="40% - Accent2 4 2 3 2 2 3" xfId="14164" xr:uid="{72871273-2BBF-4BD3-BA0D-8EAB2028E9DB}"/>
    <cellStyle name="40% - Accent2 4 2 3 2 2 3 2" xfId="14162" xr:uid="{A3B56843-81B9-4527-88C5-F416AB00106A}"/>
    <cellStyle name="40% - Accent2 4 2 3 2 2 4" xfId="14156" xr:uid="{33D9715F-9041-4EC6-9B6E-49A6695CB7D1}"/>
    <cellStyle name="40% - Accent2 4 2 3 2 3" xfId="14147" xr:uid="{0CD50B93-79D9-4FAF-9A75-B1D14CF07B29}"/>
    <cellStyle name="40% - Accent2 4 2 3 2 3 2" xfId="18674" xr:uid="{93DAFE95-7290-4E14-9FAE-9503874E95E6}"/>
    <cellStyle name="40% - Accent2 4 2 3 2 3 2 2" xfId="8251" xr:uid="{55854BD7-66AA-4D42-A7F9-6611D2B51EB9}"/>
    <cellStyle name="40% - Accent2 4 2 3 2 3 3" xfId="26211" xr:uid="{65336783-40DF-43C6-A2EE-57010B4E464D}"/>
    <cellStyle name="40% - Accent2 4 2 3 2 4" xfId="14145" xr:uid="{C47EB6C3-4BCB-46B4-8ABE-3113B6B26C11}"/>
    <cellStyle name="40% - Accent2 4 2 3 2 4 2" xfId="18668" xr:uid="{801E5503-4063-4D37-AB82-88483DA1DC56}"/>
    <cellStyle name="40% - Accent2 4 2 3 2 5" xfId="14143" xr:uid="{2E1164EE-0465-4640-B33A-7AC23137C2B1}"/>
    <cellStyle name="40% - Accent2 4 2 3 3" xfId="14141" xr:uid="{E0080589-4123-498B-B2B7-7F05C948E5AD}"/>
    <cellStyle name="40% - Accent2 4 2 3 3 2" xfId="14139" xr:uid="{6CC5AD3F-9AAC-4E59-ADBF-F7E2BF1890E7}"/>
    <cellStyle name="40% - Accent2 4 2 3 3 2 2" xfId="14137" xr:uid="{743C63EB-EE69-418D-86D9-679BC4DDC38A}"/>
    <cellStyle name="40% - Accent2 4 2 3 3 2 2 2" xfId="8133" xr:uid="{2A66F2D4-DF81-47F5-A91A-F2C6A1D992A4}"/>
    <cellStyle name="40% - Accent2 4 2 3 3 2 3" xfId="14135" xr:uid="{F44D2766-0897-442A-9F68-7B1033F2CFEC}"/>
    <cellStyle name="40% - Accent2 4 2 3 3 3" xfId="14132" xr:uid="{986DCA85-8D2D-4AE1-9FF5-6D4799F8B14B}"/>
    <cellStyle name="40% - Accent2 4 2 3 3 3 2" xfId="26196" xr:uid="{5C02C85C-FB86-4750-AC1B-9020837A5926}"/>
    <cellStyle name="40% - Accent2 4 2 3 3 4" xfId="6856" xr:uid="{9D6AC2DC-4D4C-4C78-9841-482E0F00B785}"/>
    <cellStyle name="40% - Accent2 4 2 3 4" xfId="14130" xr:uid="{2BCCDFF6-EF57-467B-9FA8-DF9701E2E63F}"/>
    <cellStyle name="40% - Accent2 4 2 3 4 2" xfId="15577" xr:uid="{9485CB2D-F7A4-43FD-8A99-CCC4F845DC60}"/>
    <cellStyle name="40% - Accent2 4 2 3 4 2 2" xfId="14128" xr:uid="{5E69B515-DE22-48FA-A0C0-85446981D4D8}"/>
    <cellStyle name="40% - Accent2 4 2 3 4 3" xfId="14126" xr:uid="{DCC577D8-6950-43FB-B4A2-ACF224B5E192}"/>
    <cellStyle name="40% - Accent2 4 2 3 5" xfId="14124" xr:uid="{7BE6A875-3E6A-4980-BE8F-5B6501599280}"/>
    <cellStyle name="40% - Accent2 4 2 3 5 2" xfId="14122" xr:uid="{6F7A5998-882F-4E3B-9035-77A983CFE5D2}"/>
    <cellStyle name="40% - Accent2 4 2 3 6" xfId="18648" xr:uid="{1EBB7391-0904-4958-867D-7634A04E95A7}"/>
    <cellStyle name="40% - Accent2 4 2 4" xfId="14119" xr:uid="{8AF587A6-5FD5-4356-851E-A9F97BC9D68A}"/>
    <cellStyle name="40% - Accent2 4 2 4 2" xfId="7443" xr:uid="{213FA0F5-D8B0-431A-A53D-6243DF801720}"/>
    <cellStyle name="40% - Accent2 4 2 4 2 2" xfId="14118" xr:uid="{9E1E1BF2-5494-46E3-8E07-E9EC0389BAF8}"/>
    <cellStyle name="40% - Accent2 4 2 4 2 2 2" xfId="14116" xr:uid="{B5A24EBD-00C8-470D-94DF-A1A7C9835C0E}"/>
    <cellStyle name="40% - Accent2 4 2 4 2 2 2 2" xfId="23760" xr:uid="{5671175D-B594-46BE-AA2E-92740CA3ABD6}"/>
    <cellStyle name="40% - Accent2 4 2 4 2 2 3" xfId="14114" xr:uid="{1AC5D1E5-C773-4D81-A235-F6144684B342}"/>
    <cellStyle name="40% - Accent2 4 2 4 2 3" xfId="14111" xr:uid="{984BC56A-5EF5-4179-B30F-171CCD39BB3D}"/>
    <cellStyle name="40% - Accent2 4 2 4 2 3 2" xfId="18624" xr:uid="{9DFFEC16-A3C9-4313-893F-15DF4C4334A5}"/>
    <cellStyle name="40% - Accent2 4 2 4 2 4" xfId="20731" xr:uid="{AE132D6C-F09E-4983-8A87-9319C7F8CF32}"/>
    <cellStyle name="40% - Accent2 4 2 4 3" xfId="14109" xr:uid="{4F3301E9-046B-4AB4-B2DF-7B49A96D6088}"/>
    <cellStyle name="40% - Accent2 4 2 4 3 2" xfId="15141" xr:uid="{38D1A7F3-C73E-4096-83C5-D5990AF606B1}"/>
    <cellStyle name="40% - Accent2 4 2 4 3 2 2" xfId="15636" xr:uid="{B2F47F04-EAF3-46CD-8881-F429A64F7D0D}"/>
    <cellStyle name="40% - Accent2 4 2 4 3 3" xfId="14107" xr:uid="{3C8F6D41-B183-42E9-ABA7-C4659AF2A749}"/>
    <cellStyle name="40% - Accent2 4 2 4 4" xfId="14104" xr:uid="{3356FE5C-9D78-4B92-87D1-9B08A6380A34}"/>
    <cellStyle name="40% - Accent2 4 2 4 4 2" xfId="14102" xr:uid="{AC4643E4-E876-4419-8E0D-8B576664E656}"/>
    <cellStyle name="40% - Accent2 4 2 4 5" xfId="14100" xr:uid="{CA690DEE-71EB-4FA0-9B7F-40229FF91FAF}"/>
    <cellStyle name="40% - Accent2 4 2 5" xfId="14097" xr:uid="{D8C92B29-5E09-4029-AA27-978D437335F6}"/>
    <cellStyle name="40% - Accent2 4 2 5 2" xfId="14096" xr:uid="{A21B4962-3BF5-49C9-8D50-BAA4357A8FCA}"/>
    <cellStyle name="40% - Accent2 4 2 5 2 2" xfId="14094" xr:uid="{BD991A7D-9813-4FA3-87E8-C46F1CDD12B8}"/>
    <cellStyle name="40% - Accent2 4 2 5 2 2 2" xfId="14091" xr:uid="{50439F12-EA8A-49F2-ADBB-F719B276E119}"/>
    <cellStyle name="40% - Accent2 4 2 5 2 3" xfId="14088" xr:uid="{8F0E9A5B-F6A8-431C-8C3D-2B7B3AA6308C}"/>
    <cellStyle name="40% - Accent2 4 2 5 3" xfId="14084" xr:uid="{7EFD6749-9AED-4BC0-BB8F-6632A441D903}"/>
    <cellStyle name="40% - Accent2 4 2 5 3 2" xfId="14082" xr:uid="{B8E22FEB-6485-40FD-9754-B41930BB22E8}"/>
    <cellStyle name="40% - Accent2 4 2 5 4" xfId="14079" xr:uid="{3E620DE8-EDD3-4778-B676-64806999968C}"/>
    <cellStyle name="40% - Accent2 4 2 6" xfId="14077" xr:uid="{06370824-CD29-443D-835E-4B90E4A0729B}"/>
    <cellStyle name="40% - Accent2 4 2 6 2" xfId="18601" xr:uid="{7AC4ED2F-1641-4432-9604-FB3829EB0829}"/>
    <cellStyle name="40% - Accent2 4 2 6 2 2" xfId="22352" xr:uid="{81ECE4B4-26ED-4031-BE5F-FC57009D9E87}"/>
    <cellStyle name="40% - Accent2 4 2 6 3" xfId="14076" xr:uid="{B40E544F-8AFB-4F0E-A4C7-48D910F9C625}"/>
    <cellStyle name="40% - Accent2 4 2 7" xfId="18502" xr:uid="{8397FDA0-9388-4549-A856-2A3790B96CEA}"/>
    <cellStyle name="40% - Accent2 4 2 7 2" xfId="21685" xr:uid="{D92A8071-2BE0-478C-8BB5-33FAC7788857}"/>
    <cellStyle name="40% - Accent2 4 2 8" xfId="24380" xr:uid="{DC9C75A9-9E11-4DBA-9C6C-985BB24F78C7}"/>
    <cellStyle name="40% - Accent2 4 2 9" xfId="34565" xr:uid="{2F955858-1669-4D3E-9EF4-9546340D4F8D}"/>
    <cellStyle name="40% - Accent2 4 3" xfId="22440" xr:uid="{8FB641AB-69AA-4F03-93C3-3E381BC7BEB1}"/>
    <cellStyle name="40% - Accent2 4 3 2" xfId="33993" xr:uid="{0E750CB9-8CBB-4D20-BA3B-CCAAF755F077}"/>
    <cellStyle name="40% - Accent2 4 3 2 2" xfId="14074" xr:uid="{9F4F5497-7130-4AFC-832B-471ED35E95B3}"/>
    <cellStyle name="40% - Accent2 4 3 2 2 2" xfId="14073" xr:uid="{D9CF1820-77EA-4D1A-AC6B-F6032B798D6F}"/>
    <cellStyle name="40% - Accent2 4 3 2 2 2 2" xfId="31850" xr:uid="{D55A0269-A287-4835-BCF1-5A17E358A1BE}"/>
    <cellStyle name="40% - Accent2 4 3 2 2 2 2 2" xfId="14071" xr:uid="{ABFF0A45-FAAC-4231-A1B0-5B0355BF82D5}"/>
    <cellStyle name="40% - Accent2 4 3 2 2 2 2 2 2" xfId="31977" xr:uid="{335BB5F5-F039-41F7-8E14-AC7B1B7FCE0C}"/>
    <cellStyle name="40% - Accent2 4 3 2 2 2 2 3" xfId="14069" xr:uid="{EF535A3A-D91A-493C-B2DC-AECC922BE5C6}"/>
    <cellStyle name="40% - Accent2 4 3 2 2 2 3" xfId="14067" xr:uid="{5448753B-07B9-4230-8126-AF947405B261}"/>
    <cellStyle name="40% - Accent2 4 3 2 2 2 3 2" xfId="14065" xr:uid="{BDE18498-2F07-47FE-80CE-56E7BAABC65A}"/>
    <cellStyle name="40% - Accent2 4 3 2 2 2 4" xfId="14063" xr:uid="{CB4CD186-C131-4511-9083-4E3E39337CAC}"/>
    <cellStyle name="40% - Accent2 4 3 2 2 3" xfId="26898" xr:uid="{0F6F3759-3068-490C-B6AD-34007F051AD3}"/>
    <cellStyle name="40% - Accent2 4 3 2 2 3 2" xfId="28782" xr:uid="{8307D5EA-0A45-479C-A852-A8C929D3AFC5}"/>
    <cellStyle name="40% - Accent2 4 3 2 2 3 2 2" xfId="16136" xr:uid="{FFCB871A-F9A2-48FF-9954-F382F50905E0}"/>
    <cellStyle name="40% - Accent2 4 3 2 2 3 3" xfId="32380" xr:uid="{A106A9F8-5D6C-43DC-AA32-90E59253C0FB}"/>
    <cellStyle name="40% - Accent2 4 3 2 2 4" xfId="14058" xr:uid="{3466DE22-DB5C-406A-94DB-F4F099E98F45}"/>
    <cellStyle name="40% - Accent2 4 3 2 2 4 2" xfId="31592" xr:uid="{7A7775B7-A746-48F2-BE4F-D25DED3ABCFF}"/>
    <cellStyle name="40% - Accent2 4 3 2 2 5" xfId="14057" xr:uid="{01306C52-716A-42B0-B166-4378BCAB8777}"/>
    <cellStyle name="40% - Accent2 4 3 2 3" xfId="14056" xr:uid="{858ABDFF-8CEC-4D94-86CF-F8B88D584A57}"/>
    <cellStyle name="40% - Accent2 4 3 2 3 2" xfId="14054" xr:uid="{BC44662A-BF4E-4752-A37A-4D5D551A4255}"/>
    <cellStyle name="40% - Accent2 4 3 2 3 2 2" xfId="14053" xr:uid="{E5B05B5D-5CA0-42F5-AB82-4CA46FB34BCE}"/>
    <cellStyle name="40% - Accent2 4 3 2 3 2 2 2" xfId="14052" xr:uid="{5B121C33-BD69-4D7C-8FEB-9C4615A9E34B}"/>
    <cellStyle name="40% - Accent2 4 3 2 3 2 3" xfId="14046" xr:uid="{2B1845D9-4EFA-47F4-81C8-5D51579C99D5}"/>
    <cellStyle name="40% - Accent2 4 3 2 3 3" xfId="14044" xr:uid="{3DC8BCFD-E4BC-4C5B-8AF5-03DFC9E0A8D1}"/>
    <cellStyle name="40% - Accent2 4 3 2 3 3 2" xfId="31568" xr:uid="{C14927B5-DE5B-47F9-A2B3-C4AF3B283C81}"/>
    <cellStyle name="40% - Accent2 4 3 2 3 4" xfId="6827" xr:uid="{B1C08EE0-B150-4423-8738-3A6468D59C64}"/>
    <cellStyle name="40% - Accent2 4 3 2 4" xfId="14043" xr:uid="{DC77D7B2-710B-4FA0-A0A9-F9A979179A36}"/>
    <cellStyle name="40% - Accent2 4 3 2 4 2" xfId="27412" xr:uid="{3A1F7ADC-B45C-4BBE-A590-D5564C41C388}"/>
    <cellStyle name="40% - Accent2 4 3 2 4 2 2" xfId="14042" xr:uid="{0BFC2C1D-F351-4EAE-B154-83404E3EA6AC}"/>
    <cellStyle name="40% - Accent2 4 3 2 4 3" xfId="14041" xr:uid="{E6C45E88-4215-48A4-97CB-A9F14F0956E1}"/>
    <cellStyle name="40% - Accent2 4 3 2 5" xfId="14040" xr:uid="{E97267A6-2A62-49E2-9A5F-A5B97F380A4C}"/>
    <cellStyle name="40% - Accent2 4 3 2 5 2" xfId="14039" xr:uid="{17A4F2E9-F145-4DD8-B37C-CB07957C74C1}"/>
    <cellStyle name="40% - Accent2 4 3 2 6" xfId="33203" xr:uid="{6EE50FE7-76A5-46DE-B033-FAC232EF6143}"/>
    <cellStyle name="40% - Accent2 4 3 3" xfId="14038" xr:uid="{60CC0237-DE89-4BCB-988C-8C869D16A971}"/>
    <cellStyle name="40% - Accent2 4 3 3 2" xfId="14037" xr:uid="{6CE3FA29-744D-400E-A541-A7A9D999C5D8}"/>
    <cellStyle name="40% - Accent2 4 3 3 2 2" xfId="22127" xr:uid="{CB4196E7-9DB6-40DF-BA8D-53B20A26EE8A}"/>
    <cellStyle name="40% - Accent2 4 3 3 2 2 2" xfId="14034" xr:uid="{2D38872E-9EF3-4450-AB99-0ED56234C969}"/>
    <cellStyle name="40% - Accent2 4 3 3 2 2 2 2" xfId="11018" xr:uid="{C9C89F28-9ED5-43EE-9C3B-BB091C5F05D5}"/>
    <cellStyle name="40% - Accent2 4 3 3 2 2 3" xfId="14032" xr:uid="{2729BF0B-CBDE-4368-B10E-13583A858D75}"/>
    <cellStyle name="40% - Accent2 4 3 3 2 3" xfId="14028" xr:uid="{7EB8BF2F-0232-4CC4-BDB4-EDD98FF61980}"/>
    <cellStyle name="40% - Accent2 4 3 3 2 3 2" xfId="18555" xr:uid="{7D81CB33-4840-44C1-88F0-408513901514}"/>
    <cellStyle name="40% - Accent2 4 3 3 2 4" xfId="14026" xr:uid="{E28F04DF-524C-43B8-BF1F-973335227A77}"/>
    <cellStyle name="40% - Accent2 4 3 3 3" xfId="14024" xr:uid="{8FDA5AEF-6349-4F5A-ACE4-55105CF43952}"/>
    <cellStyle name="40% - Accent2 4 3 3 3 2" xfId="14022" xr:uid="{91AAB1F6-65B9-49DC-BD17-58910EA7A025}"/>
    <cellStyle name="40% - Accent2 4 3 3 3 2 2" xfId="14020" xr:uid="{6A7B6115-7F96-4A6D-AA20-83CFC92EB456}"/>
    <cellStyle name="40% - Accent2 4 3 3 3 3" xfId="14017" xr:uid="{95AE0BD5-1C13-4D06-B7FF-A4B4676E2458}"/>
    <cellStyle name="40% - Accent2 4 3 3 4" xfId="14015" xr:uid="{0AB854F7-C3FD-42C0-B090-940176BD15FD}"/>
    <cellStyle name="40% - Accent2 4 3 3 4 2" xfId="14013" xr:uid="{B3FE4AB9-7721-4012-A57E-132E1FFC32D6}"/>
    <cellStyle name="40% - Accent2 4 3 3 5" xfId="14011" xr:uid="{CC87A223-D85F-431E-8A88-0F4614DC4506}"/>
    <cellStyle name="40% - Accent2 4 3 4" xfId="14009" xr:uid="{5AC45681-7C7F-4571-9E2D-A491D52DBB06}"/>
    <cellStyle name="40% - Accent2 4 3 4 2" xfId="14006" xr:uid="{DE1812B9-C1AE-4242-AD88-470D9821330C}"/>
    <cellStyle name="40% - Accent2 4 3 4 2 2" xfId="14004" xr:uid="{559221B3-98DC-48B6-B9B0-F49B4DBA223A}"/>
    <cellStyle name="40% - Accent2 4 3 4 2 2 2" xfId="14002" xr:uid="{4741D73F-366A-409F-AAB4-7A5249D2E544}"/>
    <cellStyle name="40% - Accent2 4 3 4 2 3" xfId="14000" xr:uid="{5F7D77A1-3102-4A8E-B864-E707F7B3D51F}"/>
    <cellStyle name="40% - Accent2 4 3 4 3" xfId="13998" xr:uid="{2FDEE3AD-DADA-4186-955B-CC553EB5695B}"/>
    <cellStyle name="40% - Accent2 4 3 4 3 2" xfId="13996" xr:uid="{24281B86-7663-4A88-833D-CD51090E8CC0}"/>
    <cellStyle name="40% - Accent2 4 3 4 4" xfId="13994" xr:uid="{1988A597-959D-4242-AFD9-1F356B748ED3}"/>
    <cellStyle name="40% - Accent2 4 3 5" xfId="17111" xr:uid="{8C19C571-8E9D-4A4D-BD3C-097464946AF3}"/>
    <cellStyle name="40% - Accent2 4 3 5 2" xfId="13992" xr:uid="{666FB2A5-1558-48CC-95A6-FADACAA85450}"/>
    <cellStyle name="40% - Accent2 4 3 5 2 2" xfId="13990" xr:uid="{4AFA2100-E764-41E2-95AC-4BF6E04B70B0}"/>
    <cellStyle name="40% - Accent2 4 3 5 3" xfId="13987" xr:uid="{D5762FCA-C1C8-4EF4-BEB3-BD1305BF7ED2}"/>
    <cellStyle name="40% - Accent2 4 3 6" xfId="30522" xr:uid="{83016A6B-AE83-4017-8C6E-7F592CA9573A}"/>
    <cellStyle name="40% - Accent2 4 3 6 2" xfId="13984" xr:uid="{62B1743D-7B19-4DAF-BA33-A836AAA40F9B}"/>
    <cellStyle name="40% - Accent2 4 3 7" xfId="18498" xr:uid="{6445E0E6-626F-4C05-B8D8-307950BF8888}"/>
    <cellStyle name="40% - Accent2 4 3 8" xfId="34785" xr:uid="{7C6915CF-8730-40DB-9750-38BBFCC55DC2}"/>
    <cellStyle name="40% - Accent2 4 4" xfId="13981" xr:uid="{4C9893A4-12B4-4706-BEE2-238699D6CBC7}"/>
    <cellStyle name="40% - Accent2 4 4 2" xfId="13980" xr:uid="{08072BFB-DF17-4E37-A21A-4937DC25C63A}"/>
    <cellStyle name="40% - Accent2 4 4 2 2" xfId="13979" xr:uid="{38DB38A2-E520-4A73-8C71-9328C37ACE2B}"/>
    <cellStyle name="40% - Accent2 4 4 2 2 2" xfId="13976" xr:uid="{1C683CFF-878E-4C80-866F-99D4B46D3B3F}"/>
    <cellStyle name="40% - Accent2 4 4 2 2 2 2" xfId="15871" xr:uid="{CDC72E7B-0E4F-471A-8EF9-F9258530C6B8}"/>
    <cellStyle name="40% - Accent2 4 4 2 2 2 2 2" xfId="8081" xr:uid="{622C4A8A-2B07-4641-B258-2F8E072F083C}"/>
    <cellStyle name="40% - Accent2 4 4 2 2 2 3" xfId="13975" xr:uid="{912624D9-EF3B-47E2-ACA5-02307159F914}"/>
    <cellStyle name="40% - Accent2 4 4 2 2 3" xfId="13974" xr:uid="{E9DBBAB3-2C25-45CB-9610-79F788422EA4}"/>
    <cellStyle name="40% - Accent2 4 4 2 2 3 2" xfId="28160" xr:uid="{9FB90C1D-03A2-4EE3-87F8-E86F61B59D0D}"/>
    <cellStyle name="40% - Accent2 4 4 2 2 4" xfId="13973" xr:uid="{B6A61696-5713-4063-B382-BFD19C656698}"/>
    <cellStyle name="40% - Accent2 4 4 2 3" xfId="13972" xr:uid="{EE9E787C-835D-42C2-B399-BA5A57F52AEE}"/>
    <cellStyle name="40% - Accent2 4 4 2 3 2" xfId="13970" xr:uid="{36A85D3C-5BA9-446C-B919-61781ECCCDFF}"/>
    <cellStyle name="40% - Accent2 4 4 2 3 2 2" xfId="16486" xr:uid="{CB404F99-1945-4C32-89AC-04BB8CBD6259}"/>
    <cellStyle name="40% - Accent2 4 4 2 3 3" xfId="13969" xr:uid="{DED11977-8AD8-4214-9ED4-0EB9740AB74A}"/>
    <cellStyle name="40% - Accent2 4 4 2 4" xfId="9864" xr:uid="{270BE968-B4F4-4C2D-AA29-75941D1EE741}"/>
    <cellStyle name="40% - Accent2 4 4 2 4 2" xfId="13966" xr:uid="{2F652222-41A4-4C8B-A6DF-5A6687095C02}"/>
    <cellStyle name="40% - Accent2 4 4 2 5" xfId="9862" xr:uid="{F6FB6B43-C9AF-4E54-8471-878615E5386E}"/>
    <cellStyle name="40% - Accent2 4 4 3" xfId="13965" xr:uid="{7ACF623E-07C2-4031-8706-DE1DEBDB25C0}"/>
    <cellStyle name="40% - Accent2 4 4 3 2" xfId="13964" xr:uid="{AB2B74DE-DDEC-42F9-8791-ADE6D267E219}"/>
    <cellStyle name="40% - Accent2 4 4 3 2 2" xfId="13961" xr:uid="{6A588C93-DD60-4CCD-869A-7E8C58C23904}"/>
    <cellStyle name="40% - Accent2 4 4 3 2 2 2" xfId="18086" xr:uid="{ECD66357-B160-492E-A811-1997019C7FC8}"/>
    <cellStyle name="40% - Accent2 4 4 3 2 3" xfId="13959" xr:uid="{18CCA6DE-06F0-4D96-A5FA-80A3A4BB1B6E}"/>
    <cellStyle name="40% - Accent2 4 4 3 3" xfId="13957" xr:uid="{A1809A83-8749-4598-8256-550738B11A2F}"/>
    <cellStyle name="40% - Accent2 4 4 3 3 2" xfId="13955" xr:uid="{47A2A3F8-3CEC-43D5-86FE-A7C48C63DABF}"/>
    <cellStyle name="40% - Accent2 4 4 3 4" xfId="9852" xr:uid="{B4F8382E-AED6-4832-9512-C460A2B61FB0}"/>
    <cellStyle name="40% - Accent2 4 4 4" xfId="21050" xr:uid="{79D28AD1-6655-4315-8BE1-7076BC6E5821}"/>
    <cellStyle name="40% - Accent2 4 4 4 2" xfId="13953" xr:uid="{A5CA8277-BE33-48EB-86E0-CADF45A3B901}"/>
    <cellStyle name="40% - Accent2 4 4 4 2 2" xfId="16820" xr:uid="{15053DC5-C470-4C1C-AF11-76A5389115C4}"/>
    <cellStyle name="40% - Accent2 4 4 4 3" xfId="13951" xr:uid="{38531A27-3EF7-4CCF-86A3-9C8112278CEE}"/>
    <cellStyle name="40% - Accent2 4 4 5" xfId="17099" xr:uid="{87B37277-3CD6-4DCD-9B1C-0C3F3E9FAC06}"/>
    <cellStyle name="40% - Accent2 4 4 5 2" xfId="13949" xr:uid="{C5545EE3-6798-4870-9700-E3AFC8B4867E}"/>
    <cellStyle name="40% - Accent2 4 4 6" xfId="17095" xr:uid="{4AEBE868-E624-4561-BD07-FB481FA6DD8F}"/>
    <cellStyle name="40% - Accent2 4 4 7" xfId="34982" xr:uid="{FAD0B5FC-1385-4228-9682-97BBA5056094}"/>
    <cellStyle name="40% - Accent2 4 5" xfId="13945" xr:uid="{33D4EF27-9898-4186-BB14-2C4A71CAB13A}"/>
    <cellStyle name="40% - Accent2 4 5 2" xfId="13944" xr:uid="{9D28B058-2A74-4F93-9F10-4BDBC82FC91E}"/>
    <cellStyle name="40% - Accent2 4 5 2 2" xfId="13943" xr:uid="{57C6FC28-57CE-4199-805A-F6821C5EB222}"/>
    <cellStyle name="40% - Accent2 4 5 2 2 2" xfId="13938" xr:uid="{1037FB1B-5F29-48DC-81F4-CEA2B2608ECA}"/>
    <cellStyle name="40% - Accent2 4 5 2 2 2 2" xfId="13937" xr:uid="{5BE62582-FBBE-4C8F-A1EE-F8CD4F991604}"/>
    <cellStyle name="40% - Accent2 4 5 2 2 3" xfId="13936" xr:uid="{C7A332ED-BBB6-4643-9A9C-CBF9A24FEB1B}"/>
    <cellStyle name="40% - Accent2 4 5 2 3" xfId="13935" xr:uid="{9D5690F4-C299-4FDA-95F1-8C6E0903E455}"/>
    <cellStyle name="40% - Accent2 4 5 2 3 2" xfId="13933" xr:uid="{64FBDBA5-4104-4A4B-86DB-F5E77F581A08}"/>
    <cellStyle name="40% - Accent2 4 5 2 4" xfId="9839" xr:uid="{2F998DC1-59E2-4A21-AFF2-CD77DD9A7E0C}"/>
    <cellStyle name="40% - Accent2 4 5 3" xfId="13932" xr:uid="{9C50FD27-7EDC-4228-89FD-ED2CA7DE2580}"/>
    <cellStyle name="40% - Accent2 4 5 3 2" xfId="13928" xr:uid="{8EF6D632-4C3E-4585-9D67-0F405FA99A9E}"/>
    <cellStyle name="40% - Accent2 4 5 3 2 2" xfId="14395" xr:uid="{03B6901E-FF28-4F9A-8FE5-28971121577B}"/>
    <cellStyle name="40% - Accent2 4 5 3 3" xfId="13926" xr:uid="{796F0A09-5650-452F-9DC3-6F227B60360D}"/>
    <cellStyle name="40% - Accent2 4 5 4" xfId="13922" xr:uid="{0D2A4124-F5EF-43F9-B53D-38CC82ECF3F1}"/>
    <cellStyle name="40% - Accent2 4 5 4 2" xfId="5445" xr:uid="{D9265CEF-2A73-4CF2-8D4A-A5BCC4483672}"/>
    <cellStyle name="40% - Accent2 4 5 5" xfId="17089" xr:uid="{AF1FB941-880B-402C-8C94-46F3C4A31548}"/>
    <cellStyle name="40% - Accent2 4 5 6" xfId="35187" xr:uid="{92C16AC4-E3E3-46F0-93ED-157AB678B832}"/>
    <cellStyle name="40% - Accent2 4 6" xfId="5543" xr:uid="{A47D5E3F-6E63-40CA-A5E9-973911AE3102}"/>
    <cellStyle name="40% - Accent2 4 6 2" xfId="33931" xr:uid="{6AAED322-110C-484A-9814-3BF71C9B9234}"/>
    <cellStyle name="40% - Accent2 4 6 2 2" xfId="13918" xr:uid="{9C2FD572-3271-43E1-BCD2-D4E41B66F494}"/>
    <cellStyle name="40% - Accent2 4 6 2 2 2" xfId="13916" xr:uid="{21A584C8-18AD-4F3F-B5F5-B54F7CE1E8B0}"/>
    <cellStyle name="40% - Accent2 4 6 2 3" xfId="13913" xr:uid="{4A76404E-F6A5-471A-B9BD-11BE400B3A67}"/>
    <cellStyle name="40% - Accent2 4 6 3" xfId="13910" xr:uid="{5EBEE2AA-2B05-44C7-8275-73B14CEE963D}"/>
    <cellStyle name="40% - Accent2 4 6 3 2" xfId="14154" xr:uid="{C3DE0146-5032-468B-B7EC-125F67363908}"/>
    <cellStyle name="40% - Accent2 4 6 4" xfId="13908" xr:uid="{4ECB81CA-329C-4CF3-86BB-F5B849EF8D24}"/>
    <cellStyle name="40% - Accent2 4 6 5" xfId="35416" xr:uid="{AC7BAFDF-93D7-4CEF-993D-06F2AEB0B17A}"/>
    <cellStyle name="40% - Accent2 4 7" xfId="13904" xr:uid="{55380CCD-28B6-4AF4-B85F-F449E208AA94}"/>
    <cellStyle name="40% - Accent2 4 7 2" xfId="28821" xr:uid="{14CB4682-C5FC-4F01-B8F8-0C05EF33DC04}"/>
    <cellStyle name="40% - Accent2 4 7 2 2" xfId="20178" xr:uid="{D0E0D058-044A-4E03-B821-FD5788CC4074}"/>
    <cellStyle name="40% - Accent2 4 7 3" xfId="20299" xr:uid="{8826EBF4-DF0C-4652-A86F-3215E36722E3}"/>
    <cellStyle name="40% - Accent2 4 7 4" xfId="36288" xr:uid="{313F5D6C-10C9-4428-8254-2DA3AF122B93}"/>
    <cellStyle name="40% - Accent2 4 8" xfId="20175" xr:uid="{CC23600C-9CA7-44BD-AFC5-283BA847F1EA}"/>
    <cellStyle name="40% - Accent2 4 8 2" xfId="20172" xr:uid="{2C2E893E-418D-4DC0-94D9-8F526CB39ED1}"/>
    <cellStyle name="40% - Accent2 4 8 3" xfId="36574" xr:uid="{BBA49B31-D911-49B6-80DC-8AE0E07209FA}"/>
    <cellStyle name="40% - Accent2 4 9" xfId="20170" xr:uid="{23147F1C-515D-499C-A761-19DE195F1577}"/>
    <cellStyle name="40% - Accent2 4 9 2" xfId="37459" xr:uid="{AA0D7A45-6DB3-4583-97B0-768AB7B8CE18}"/>
    <cellStyle name="40% - Accent2 40" xfId="36094" xr:uid="{B6C45E0F-A20D-4DF6-AB75-54F53255CC85}"/>
    <cellStyle name="40% - Accent2 40 2" xfId="37263" xr:uid="{3BF7E3D1-4C38-4C6F-9C17-D123FC6FD1C4}"/>
    <cellStyle name="40% - Accent2 40 3" xfId="38161" xr:uid="{5FA00FF6-E585-490F-83F8-D0A5CEC5151A}"/>
    <cellStyle name="40% - Accent2 41" xfId="36114" xr:uid="{CE180FA3-0F32-4C9C-A7BF-176CB151D059}"/>
    <cellStyle name="40% - Accent2 41 2" xfId="37283" xr:uid="{8F3A1BDA-7B1C-4A4D-8383-B84095387A46}"/>
    <cellStyle name="40% - Accent2 41 3" xfId="38181" xr:uid="{428303A0-FB59-4B03-A975-E87DE2F4E793}"/>
    <cellStyle name="40% - Accent2 42" xfId="36134" xr:uid="{43B193BC-0579-46D1-9E37-E807EF33F0FC}"/>
    <cellStyle name="40% - Accent2 42 2" xfId="37303" xr:uid="{466B4426-16CC-406C-B0EC-F941913F7672}"/>
    <cellStyle name="40% - Accent2 42 3" xfId="38201" xr:uid="{485E63BF-ABC3-414F-ADA0-A02895BF1EC8}"/>
    <cellStyle name="40% - Accent2 43" xfId="36154" xr:uid="{6E0327FA-E803-414C-A50A-F6C1F8E86452}"/>
    <cellStyle name="40% - Accent2 43 2" xfId="37323" xr:uid="{A4E30893-DF8C-482A-9261-1B79E71E61FE}"/>
    <cellStyle name="40% - Accent2 43 3" xfId="38221" xr:uid="{A6351230-FACA-4A46-AC54-BA0790E54B69}"/>
    <cellStyle name="40% - Accent2 44" xfId="36174" xr:uid="{1845DE3F-E8B9-457A-B4D6-E678FBA230EA}"/>
    <cellStyle name="40% - Accent2 44 2" xfId="37343" xr:uid="{4FF0A283-89AA-48F3-B40E-6E7BA7E352A4}"/>
    <cellStyle name="40% - Accent2 44 3" xfId="38241" xr:uid="{C07329F2-13B6-4B99-B4D2-3516C84C4389}"/>
    <cellStyle name="40% - Accent2 45" xfId="36194" xr:uid="{A2C6C354-54A5-4D5B-BCB1-396E81941F99}"/>
    <cellStyle name="40% - Accent2 45 2" xfId="37363" xr:uid="{9BEAB5ED-3878-4F16-8645-769A730CF045}"/>
    <cellStyle name="40% - Accent2 45 3" xfId="38261" xr:uid="{972AC537-0AD5-4D9E-B3E8-F1B88807F23E}"/>
    <cellStyle name="40% - Accent2 46" xfId="36214" xr:uid="{C091E740-745F-4955-B5D5-D88CCAED7AFF}"/>
    <cellStyle name="40% - Accent2 46 2" xfId="37381" xr:uid="{48C2BCC4-070F-4A5C-AE0A-AE11E4A0B8A2}"/>
    <cellStyle name="40% - Accent2 46 3" xfId="38281" xr:uid="{66EB1F07-579F-4B76-937E-4006E7959B85}"/>
    <cellStyle name="40% - Accent2 47" xfId="36515" xr:uid="{C9992631-8A89-491B-8379-115D0C36F8DD}"/>
    <cellStyle name="40% - Accent2 48" xfId="37400" xr:uid="{1D7BCFF2-5320-49E1-9BAB-C71E74AD3A15}"/>
    <cellStyle name="40% - Accent2 5" xfId="263" xr:uid="{0204B953-64E9-4D64-B529-DDFF20D86BEA}"/>
    <cellStyle name="40% - Accent2 5 10" xfId="28245" xr:uid="{C976D41C-D193-4F2E-9FD5-05A727146141}"/>
    <cellStyle name="40% - Accent2 5 2" xfId="13901" xr:uid="{2AE46091-9CB0-4CA8-ABA7-7B8B6E00B93E}"/>
    <cellStyle name="40% - Accent2 5 2 2" xfId="8088" xr:uid="{F76E8BE1-2531-4610-91BD-C5039B44B85E}"/>
    <cellStyle name="40% - Accent2 5 2 2 2" xfId="30619" xr:uid="{4A730C7C-0E68-491D-A42E-2234EC8B8932}"/>
    <cellStyle name="40% - Accent2 5 2 2 2 2" xfId="30616" xr:uid="{F4A1B5E6-5AF0-413F-ACB5-75A4597F9EF1}"/>
    <cellStyle name="40% - Accent2 5 2 2 2 2 2" xfId="17556" xr:uid="{87AC7618-BAEE-429A-9211-06710A341A2C}"/>
    <cellStyle name="40% - Accent2 5 2 2 2 2 2 2" xfId="13900" xr:uid="{3A53608C-351C-4348-B353-BBD1C28ACD98}"/>
    <cellStyle name="40% - Accent2 5 2 2 2 2 2 2 2" xfId="13898" xr:uid="{6D4A2FF5-9794-4D0A-B5ED-036D3D446898}"/>
    <cellStyle name="40% - Accent2 5 2 2 2 2 2 3" xfId="13895" xr:uid="{36387946-1378-403D-9087-67A6A7A449F6}"/>
    <cellStyle name="40% - Accent2 5 2 2 2 2 3" xfId="17541" xr:uid="{CBFFBF0B-736F-471D-8D4B-789D2DB404F7}"/>
    <cellStyle name="40% - Accent2 5 2 2 2 2 3 2" xfId="7400" xr:uid="{392844D1-4630-471E-BB7A-4E77B90AEBB1}"/>
    <cellStyle name="40% - Accent2 5 2 2 2 2 4" xfId="30929" xr:uid="{88344A59-B14D-42D7-ABD1-FB7D3F3980E8}"/>
    <cellStyle name="40% - Accent2 5 2 2 2 3" xfId="13888" xr:uid="{69BAB7A4-6B91-4928-A134-0E826EFC1773}"/>
    <cellStyle name="40% - Accent2 5 2 2 2 3 2" xfId="17522" xr:uid="{9D410E17-2D34-440A-B9A5-A42AD47B704E}"/>
    <cellStyle name="40% - Accent2 5 2 2 2 3 2 2" xfId="17820" xr:uid="{B0072503-6F93-4D55-B8C9-4CBE1D6B8D6A}"/>
    <cellStyle name="40% - Accent2 5 2 2 2 3 3" xfId="17518" xr:uid="{3B8ADAA4-8E6A-409B-A227-15F0BB7E38E4}"/>
    <cellStyle name="40% - Accent2 5 2 2 2 4" xfId="13886" xr:uid="{AAC0A147-A8E0-4610-A1B8-49CC372CE5D5}"/>
    <cellStyle name="40% - Accent2 5 2 2 2 4 2" xfId="27991" xr:uid="{843B0D0D-5A46-4697-A03E-963BBEEFA0D8}"/>
    <cellStyle name="40% - Accent2 5 2 2 2 5" xfId="13884" xr:uid="{6B8C65B2-D7C5-42DB-A8A2-5DFE9F057FC3}"/>
    <cellStyle name="40% - Accent2 5 2 2 3" xfId="30614" xr:uid="{CF75CB9F-738D-4B32-A55A-24844F76E39E}"/>
    <cellStyle name="40% - Accent2 5 2 2 3 2" xfId="13883" xr:uid="{AB4ADA28-D29E-4E46-9D9D-ACFF794294A8}"/>
    <cellStyle name="40% - Accent2 5 2 2 3 2 2" xfId="7984" xr:uid="{2708C214-526F-494B-8AB6-6FCAE0557D7D}"/>
    <cellStyle name="40% - Accent2 5 2 2 3 2 2 2" xfId="13880" xr:uid="{2689E38E-01D7-496F-BE77-4B40C80A865C}"/>
    <cellStyle name="40% - Accent2 5 2 2 3 2 3" xfId="19793" xr:uid="{44191C61-1C42-4651-9CB9-8C651CB4EA23}"/>
    <cellStyle name="40% - Accent2 5 2 2 3 3" xfId="13878" xr:uid="{6FA67173-C765-4AEA-A18C-E1F6383E3082}"/>
    <cellStyle name="40% - Accent2 5 2 2 3 3 2" xfId="17461" xr:uid="{1F65C0B8-F492-4B0F-BEF4-9B9DD9C40893}"/>
    <cellStyle name="40% - Accent2 5 2 2 3 4" xfId="6776" xr:uid="{0CF85757-CAF7-4E23-8C39-363C33555D1B}"/>
    <cellStyle name="40% - Accent2 5 2 2 4" xfId="13875" xr:uid="{7E78D2CA-5CA0-456E-A3C7-33030793FDAE}"/>
    <cellStyle name="40% - Accent2 5 2 2 4 2" xfId="13874" xr:uid="{C25D00B1-77A3-4F1F-B725-628DFECACB52}"/>
    <cellStyle name="40% - Accent2 5 2 2 4 2 2" xfId="34297" xr:uid="{27B32B19-CFC2-41BB-8538-57F2044DB13E}"/>
    <cellStyle name="40% - Accent2 5 2 2 4 3" xfId="13870" xr:uid="{BB12F337-414C-435E-9A7B-D0DFA4B3CBB7}"/>
    <cellStyle name="40% - Accent2 5 2 2 5" xfId="13869" xr:uid="{F3D7EEDF-2822-494F-92A7-36666EEA866C}"/>
    <cellStyle name="40% - Accent2 5 2 2 5 2" xfId="13868" xr:uid="{902D366E-DB04-4AE8-BBB4-A32FE6FE60D5}"/>
    <cellStyle name="40% - Accent2 5 2 2 6" xfId="34402" xr:uid="{766BEDFE-738C-40D1-A53A-C04888DFC936}"/>
    <cellStyle name="40% - Accent2 5 2 3" xfId="33285" xr:uid="{7A70358C-5E5C-49E9-B21D-01B09BBE1C31}"/>
    <cellStyle name="40% - Accent2 5 2 3 2" xfId="30491" xr:uid="{CB7FF350-15DC-44E7-9876-C705EDA97F01}"/>
    <cellStyle name="40% - Accent2 5 2 3 2 2" xfId="13867" xr:uid="{1233CA16-4982-4140-BB25-86D040F87302}"/>
    <cellStyle name="40% - Accent2 5 2 3 2 2 2" xfId="18369" xr:uid="{6717EAA7-2FFA-4689-9189-892DCFBF7863}"/>
    <cellStyle name="40% - Accent2 5 2 3 2 2 2 2" xfId="32251" xr:uid="{F8036630-2CA4-456A-A3DD-BF0416A920F9}"/>
    <cellStyle name="40% - Accent2 5 2 3 2 2 3" xfId="17187" xr:uid="{7C79BF6A-E104-4053-B70A-41EFAC2A5899}"/>
    <cellStyle name="40% - Accent2 5 2 3 2 3" xfId="13864" xr:uid="{1142887B-717A-49BD-9AAE-0B2FC4D638AC}"/>
    <cellStyle name="40% - Accent2 5 2 3 2 3 2" xfId="18676" xr:uid="{63C4B14A-1A75-42D8-94F2-27A7F1CC4D72}"/>
    <cellStyle name="40% - Accent2 5 2 3 2 4" xfId="13861" xr:uid="{B33B6D81-4C27-4D44-BE6D-E357A83A3E45}"/>
    <cellStyle name="40% - Accent2 5 2 3 3" xfId="18365" xr:uid="{1ABEE7CB-FD56-4D21-A2AF-FF04439767B9}"/>
    <cellStyle name="40% - Accent2 5 2 3 3 2" xfId="13859" xr:uid="{B7CB481A-0553-4E3F-8BB3-D65C8F5C454C}"/>
    <cellStyle name="40% - Accent2 5 2 3 3 2 2" xfId="17181" xr:uid="{62664F75-98AB-48AC-9D6D-2A77C2B99E19}"/>
    <cellStyle name="40% - Accent2 5 2 3 3 3" xfId="13854" xr:uid="{8736B44A-E4F4-4B9D-B5DC-2FF9DCAC0E6A}"/>
    <cellStyle name="40% - Accent2 5 2 3 4" xfId="18363" xr:uid="{538A48BB-70D9-48B7-8337-CCD310C5EB15}"/>
    <cellStyle name="40% - Accent2 5 2 3 4 2" xfId="13852" xr:uid="{4F9076D2-EB3B-49CF-AD1A-1C0A34C11014}"/>
    <cellStyle name="40% - Accent2 5 2 3 5" xfId="18355" xr:uid="{AA56B27F-4696-410C-91F9-F8E64F356241}"/>
    <cellStyle name="40% - Accent2 5 2 4" xfId="6905" xr:uid="{9F4F7A04-9D12-4FCF-B26D-35059313B043}"/>
    <cellStyle name="40% - Accent2 5 2 4 2" xfId="23651" xr:uid="{E25C6DB6-ACC8-472E-855E-C27A56DBEDC7}"/>
    <cellStyle name="40% - Accent2 5 2 4 2 2" xfId="13850" xr:uid="{D6C3678E-691D-4CB4-98DD-8B17A296D858}"/>
    <cellStyle name="40% - Accent2 5 2 4 2 2 2" xfId="30238" xr:uid="{E1071F70-004D-4777-838A-B80BEE1ED617}"/>
    <cellStyle name="40% - Accent2 5 2 4 2 3" xfId="13846" xr:uid="{D102D2BB-507A-48F5-B756-DADC7FBA489F}"/>
    <cellStyle name="40% - Accent2 5 2 4 3" xfId="30229" xr:uid="{51A7C04F-6D79-46F7-ACA3-1F5D286C8016}"/>
    <cellStyle name="40% - Accent2 5 2 4 3 2" xfId="13843" xr:uid="{297A3308-7B09-47C3-81F5-F7C67C9DDD82}"/>
    <cellStyle name="40% - Accent2 5 2 4 4" xfId="28625" xr:uid="{3AF3318F-C01D-4D9C-BF94-CFFB74F04213}"/>
    <cellStyle name="40% - Accent2 5 2 5" xfId="32567" xr:uid="{056DF7F1-BD34-45FA-A205-0F7A87F6DDB9}"/>
    <cellStyle name="40% - Accent2 5 2 5 2" xfId="30087" xr:uid="{AC1575FD-01AB-419C-8233-647BFF2933C9}"/>
    <cellStyle name="40% - Accent2 5 2 5 2 2" xfId="13840" xr:uid="{8BE2736E-B21A-4D75-9CFB-79DB080CE1D9}"/>
    <cellStyle name="40% - Accent2 5 2 5 3" xfId="30081" xr:uid="{99F0F01E-F92E-4F52-9057-120910C7F7F3}"/>
    <cellStyle name="40% - Accent2 5 2 6" xfId="32562" xr:uid="{D9F95E56-C1F9-46E5-B785-E9A46CA06B1A}"/>
    <cellStyle name="40% - Accent2 5 2 6 2" xfId="29983" xr:uid="{762027D2-6B1A-43D9-BFCF-B4572E41D66B}"/>
    <cellStyle name="40% - Accent2 5 2 7" xfId="25123" xr:uid="{AF5E5BA7-6343-4BF4-80EC-F93C252FB9EA}"/>
    <cellStyle name="40% - Accent2 5 2 8" xfId="34799" xr:uid="{73622586-59CA-4795-88C7-41946A2FCAF5}"/>
    <cellStyle name="40% - Accent2 5 3" xfId="30732" xr:uid="{627D3DFB-8830-4665-BE64-F9EB5719BD65}"/>
    <cellStyle name="40% - Accent2 5 3 2" xfId="32510" xr:uid="{F9E0B6BE-6389-4FCB-890E-FD80315F75C1}"/>
    <cellStyle name="40% - Accent2 5 3 2 2" xfId="30084" xr:uid="{9A4F06F6-6490-4B8C-9B25-3C27F950E6F1}"/>
    <cellStyle name="40% - Accent2 5 3 2 2 2" xfId="13836" xr:uid="{77DC7F8F-7494-4A59-9D63-1773CEEC019A}"/>
    <cellStyle name="40% - Accent2 5 3 2 2 2 2" xfId="20419" xr:uid="{D49D84F6-BACA-43D6-9149-01D6570CA15F}"/>
    <cellStyle name="40% - Accent2 5 3 2 2 2 2 2" xfId="13835" xr:uid="{B31213F0-F243-47D5-9570-3308B55BCB9A}"/>
    <cellStyle name="40% - Accent2 5 3 2 2 2 3" xfId="16573" xr:uid="{AF9F6EB4-75AD-4682-A6C9-D56CD9A8686C}"/>
    <cellStyle name="40% - Accent2 5 3 2 2 3" xfId="13833" xr:uid="{07EDA163-E32E-4DFD-92FB-35410817D20C}"/>
    <cellStyle name="40% - Accent2 5 3 2 2 3 2" xfId="16569" xr:uid="{64F8DBC5-C778-4DAE-9422-6D506548C773}"/>
    <cellStyle name="40% - Accent2 5 3 2 2 4" xfId="13832" xr:uid="{8DA0F3EE-1CEE-4366-AC48-B97E7684F3F4}"/>
    <cellStyle name="40% - Accent2 5 3 2 3" xfId="13830" xr:uid="{B9731AF7-B839-468C-9995-012FEE075877}"/>
    <cellStyle name="40% - Accent2 5 3 2 3 2" xfId="13829" xr:uid="{350D25E0-BA8D-4256-874B-726069E74CCB}"/>
    <cellStyle name="40% - Accent2 5 3 2 3 2 2" xfId="16551" xr:uid="{D844B10F-5B96-43BC-B523-12F51A587C0A}"/>
    <cellStyle name="40% - Accent2 5 3 2 3 3" xfId="13827" xr:uid="{1944A658-9952-41DF-AA49-A09106297AA0}"/>
    <cellStyle name="40% - Accent2 5 3 2 4" xfId="13826" xr:uid="{6420F718-9434-4E5C-AB4A-229225D8F874}"/>
    <cellStyle name="40% - Accent2 5 3 2 4 2" xfId="13825" xr:uid="{D39E140F-35B7-41A8-8958-F1125BC4E25F}"/>
    <cellStyle name="40% - Accent2 5 3 2 5" xfId="32192" xr:uid="{CA3087A1-48C4-4A62-9496-41413B4A03D3}"/>
    <cellStyle name="40% - Accent2 5 3 3" xfId="34255" xr:uid="{362AEFCC-0E10-456C-8659-88E433A768F2}"/>
    <cellStyle name="40% - Accent2 5 3 3 2" xfId="18324" xr:uid="{945E3CD8-6046-43DB-A71A-C900607C9FE1}"/>
    <cellStyle name="40% - Accent2 5 3 3 2 2" xfId="13824" xr:uid="{5CDE55C9-96D5-4D7F-91FD-C78C72EE3243}"/>
    <cellStyle name="40% - Accent2 5 3 3 2 2 2" xfId="16391" xr:uid="{A344BAF8-4AF7-4E9F-83AA-4FB596FF345E}"/>
    <cellStyle name="40% - Accent2 5 3 3 2 3" xfId="13822" xr:uid="{3CF64D4E-3083-46F4-8A99-DC3A777B9201}"/>
    <cellStyle name="40% - Accent2 5 3 3 3" xfId="18315" xr:uid="{7A2A146E-3593-45F4-A606-F339FB358D12}"/>
    <cellStyle name="40% - Accent2 5 3 3 3 2" xfId="13820" xr:uid="{65C01BF4-E0FD-451F-8E7F-684938401C68}"/>
    <cellStyle name="40% - Accent2 5 3 3 4" xfId="18311" xr:uid="{3C30566B-3E7B-4D49-8B62-2E2B3A9EC6AC}"/>
    <cellStyle name="40% - Accent2 5 3 4" xfId="34078" xr:uid="{D5AEE87A-B2D5-41A4-9B5F-CB1687563EA0}"/>
    <cellStyle name="40% - Accent2 5 3 4 2" xfId="30057" xr:uid="{126BBBC5-1A21-4220-89CD-B7B8FA4147F9}"/>
    <cellStyle name="40% - Accent2 5 3 4 2 2" xfId="13818" xr:uid="{8B081093-F54A-4D3E-83F6-81C1292DF4E9}"/>
    <cellStyle name="40% - Accent2 5 3 4 3" xfId="29739" xr:uid="{616724D6-F8F8-4CEA-BB79-10873978F276}"/>
    <cellStyle name="40% - Accent2 5 3 5" xfId="24833" xr:uid="{352F94C4-C2BB-456F-817F-1E54F24CB6C2}"/>
    <cellStyle name="40% - Accent2 5 3 5 2" xfId="29647" xr:uid="{CD4E6C57-8B5F-4927-A8AE-28B92FD8C507}"/>
    <cellStyle name="40% - Accent2 5 3 6" xfId="28335" xr:uid="{6C611080-D875-4DBB-BF36-1886313843AF}"/>
    <cellStyle name="40% - Accent2 5 3 7" xfId="35001" xr:uid="{A7AC1F60-464D-427B-BE1A-1A29E23DB54A}"/>
    <cellStyle name="40% - Accent2 5 4" xfId="31124" xr:uid="{440EA49B-FF04-419F-9621-655CAE933C09}"/>
    <cellStyle name="40% - Accent2 5 4 2" xfId="32873" xr:uid="{CA033886-4FB9-41F5-8ACD-2D4B1E49DDE4}"/>
    <cellStyle name="40% - Accent2 5 4 2 2" xfId="13815" xr:uid="{50DDD431-C43C-4046-8543-9641ED9FE768}"/>
    <cellStyle name="40% - Accent2 5 4 2 2 2" xfId="13813" xr:uid="{CD92B39E-2F46-42FB-AB7C-B67A27F3A362}"/>
    <cellStyle name="40% - Accent2 5 4 2 2 2 2" xfId="18350" xr:uid="{A324E400-8A41-4AFF-9531-3CF0688DA397}"/>
    <cellStyle name="40% - Accent2 5 4 2 2 3" xfId="13812" xr:uid="{66DB2A55-420D-41A2-858C-EF4F20624758}"/>
    <cellStyle name="40% - Accent2 5 4 2 3" xfId="13811" xr:uid="{26AF7E1A-37E7-4C36-A0B9-11281C23078A}"/>
    <cellStyle name="40% - Accent2 5 4 2 3 2" xfId="13810" xr:uid="{6D6BBAF7-65ED-484E-8473-AB0E47CEA7E9}"/>
    <cellStyle name="40% - Accent2 5 4 2 4" xfId="9813" xr:uid="{C9462847-BA5A-4C76-BF10-5AFF3CB5E85C}"/>
    <cellStyle name="40% - Accent2 5 4 3" xfId="34048" xr:uid="{9A5C5F23-7A7B-4D5C-A20D-1A470F56D7CA}"/>
    <cellStyle name="40% - Accent2 5 4 3 2" xfId="24369" xr:uid="{B66421F5-263E-4E1D-A103-BEB011B5CDFF}"/>
    <cellStyle name="40% - Accent2 5 4 3 2 2" xfId="13809" xr:uid="{711A9627-CA46-4AC0-B1E6-59B68C3FDAA5}"/>
    <cellStyle name="40% - Accent2 5 4 3 3" xfId="18300" xr:uid="{738BDA56-50B0-4FF3-844A-84BBF4AF3E11}"/>
    <cellStyle name="40% - Accent2 5 4 4" xfId="32460" xr:uid="{6E1778E3-1CBC-4F42-A4B1-B097E2A78AA3}"/>
    <cellStyle name="40% - Accent2 5 4 4 2" xfId="29471" xr:uid="{66C2EBF1-7D93-42B9-B69D-93E369CFB06B}"/>
    <cellStyle name="40% - Accent2 5 4 5" xfId="25196" xr:uid="{50AAA37C-3733-4EB6-B673-29A2530CBE68}"/>
    <cellStyle name="40% - Accent2 5 4 6" xfId="35207" xr:uid="{C0616C33-7EB2-41BD-A542-24D33FF04A33}"/>
    <cellStyle name="40% - Accent2 5 5" xfId="22294" xr:uid="{CCDDD7EF-9BFD-4FFC-ADEC-3B1BC59B3DD3}"/>
    <cellStyle name="40% - Accent2 5 5 2" xfId="13807" xr:uid="{2A778318-7827-4B54-869D-53A3D5B7C672}"/>
    <cellStyle name="40% - Accent2 5 5 2 2" xfId="13805" xr:uid="{4119513D-ECBD-4B15-93FF-3D9FFBCBD024}"/>
    <cellStyle name="40% - Accent2 5 5 2 2 2" xfId="23665" xr:uid="{49152C2F-550D-4E2C-9143-20F5722F6D25}"/>
    <cellStyle name="40% - Accent2 5 5 2 3" xfId="13803" xr:uid="{D0F830E2-DA34-4C6A-BC78-51D3B66DBA58}"/>
    <cellStyle name="40% - Accent2 5 5 3" xfId="32441" xr:uid="{83797863-C2C5-48C8-977E-1A0CE49E9333}"/>
    <cellStyle name="40% - Accent2 5 5 3 2" xfId="18294" xr:uid="{3F5598DF-F354-4076-AAD9-F1B8D52E9B1E}"/>
    <cellStyle name="40% - Accent2 5 5 4" xfId="31955" xr:uid="{79865A07-5C99-4644-894E-675796FC5997}"/>
    <cellStyle name="40% - Accent2 5 5 5" xfId="35436" xr:uid="{80379C7A-511D-422D-8635-D0970FA984AE}"/>
    <cellStyle name="40% - Accent2 5 6" xfId="20521" xr:uid="{34078EEE-4E73-4AE8-A9CB-B9BE6A0F9398}"/>
    <cellStyle name="40% - Accent2 5 6 2" xfId="11222" xr:uid="{E728CB3F-507F-4AB6-B59E-C5A4E1635D5D}"/>
    <cellStyle name="40% - Accent2 5 6 2 2" xfId="13802" xr:uid="{1B4CE62D-E841-4393-B202-ADE703B6202D}"/>
    <cellStyle name="40% - Accent2 5 6 3" xfId="11214" xr:uid="{59BC0128-9F99-4115-98D5-D00ACBF86394}"/>
    <cellStyle name="40% - Accent2 5 6 4" xfId="36308" xr:uid="{7459E661-1B13-4B13-8C47-EC068CB67E52}"/>
    <cellStyle name="40% - Accent2 5 7" xfId="19005" xr:uid="{61AAB83C-03D4-433C-9F0F-1CA079960983}"/>
    <cellStyle name="40% - Accent2 5 7 2" xfId="31687" xr:uid="{A0C8E428-C1CC-4F13-8DF3-165A4C909376}"/>
    <cellStyle name="40% - Accent2 5 7 3" xfId="36594" xr:uid="{D9870387-FD70-4346-99DA-1A1F69518F48}"/>
    <cellStyle name="40% - Accent2 5 8" xfId="26290" xr:uid="{CFD63972-BA6A-47AD-86A7-9580A0D6C081}"/>
    <cellStyle name="40% - Accent2 5 8 2" xfId="37479" xr:uid="{A0E23077-43E7-4279-91AA-5700DEC613EC}"/>
    <cellStyle name="40% - Accent2 5 9" xfId="34579" xr:uid="{D5FFA3FC-8C10-4B2C-B22F-20AC19EBDED4}"/>
    <cellStyle name="40% - Accent2 6" xfId="283" xr:uid="{5CCEF066-C31B-4778-AD4A-C1EF426C405A}"/>
    <cellStyle name="40% - Accent2 6 2" xfId="17304" xr:uid="{3229F53B-821D-4E38-BA60-6DB9FC478639}"/>
    <cellStyle name="40% - Accent2 6 2 2" xfId="13800" xr:uid="{5054EBE9-FFEA-4EAE-80AB-82445669ACA9}"/>
    <cellStyle name="40% - Accent2 6 2 2 2" xfId="28936" xr:uid="{56B2570A-621A-48EC-A839-271FD67C57D9}"/>
    <cellStyle name="40% - Accent2 6 2 2 2 2" xfId="13799" xr:uid="{0C26ACCA-F5BD-46E1-815E-4530F1A026F3}"/>
    <cellStyle name="40% - Accent2 6 2 2 2 2 2" xfId="15287" xr:uid="{12A3B919-0CD9-4474-9F59-9317AA629E7D}"/>
    <cellStyle name="40% - Accent2 6 2 2 2 2 2 2" xfId="22009" xr:uid="{32AACC9E-0ADB-484B-A763-D9D31728EC1B}"/>
    <cellStyle name="40% - Accent2 6 2 2 2 2 3" xfId="33835" xr:uid="{974FD457-7ACD-4075-BCB2-749DC25F1DD5}"/>
    <cellStyle name="40% - Accent2 6 2 2 2 3" xfId="13796" xr:uid="{65CDF071-7D7A-4B3A-9363-B2BC8B07349F}"/>
    <cellStyle name="40% - Accent2 6 2 2 2 3 2" xfId="15277" xr:uid="{FC5007D6-6D31-484C-BC62-297697B960C9}"/>
    <cellStyle name="40% - Accent2 6 2 2 2 4" xfId="13794" xr:uid="{427E46F8-322B-45A4-80FA-E69CBAD1B1D7}"/>
    <cellStyle name="40% - Accent2 6 2 2 3" xfId="13793" xr:uid="{1CB7AF27-BC1C-4A45-8074-5E5BD2B4DC5E}"/>
    <cellStyle name="40% - Accent2 6 2 2 3 2" xfId="13792" xr:uid="{0773BF72-C66F-45CE-BB0D-5BC56EBD0C83}"/>
    <cellStyle name="40% - Accent2 6 2 2 3 2 2" xfId="15258" xr:uid="{D3AE9523-AE98-4CD8-A929-425B83B66F70}"/>
    <cellStyle name="40% - Accent2 6 2 2 3 3" xfId="13788" xr:uid="{5A91177C-D421-458C-AB49-929111C02D51}"/>
    <cellStyle name="40% - Accent2 6 2 2 4" xfId="13787" xr:uid="{6DF3B92D-3E1D-407E-B743-1A48D34C4F19}"/>
    <cellStyle name="40% - Accent2 6 2 2 4 2" xfId="13786" xr:uid="{055B7E2C-EA6A-400B-817D-975B533D039D}"/>
    <cellStyle name="40% - Accent2 6 2 2 5" xfId="13785" xr:uid="{AB7D72DB-B272-4FC1-BA03-541C34B2B3B7}"/>
    <cellStyle name="40% - Accent2 6 2 3" xfId="5674" xr:uid="{59923BE5-56CF-4BD8-9861-29EB9BB57CC9}"/>
    <cellStyle name="40% - Accent2 6 2 3 2" xfId="5671" xr:uid="{555D2B3B-09D5-4507-8AF5-4BCBECE5762C}"/>
    <cellStyle name="40% - Accent2 6 2 3 2 2" xfId="13784" xr:uid="{6753E73A-F97C-48C8-B32F-16A9007123C1}"/>
    <cellStyle name="40% - Accent2 6 2 3 2 2 2" xfId="14985" xr:uid="{D475CFAB-7D7B-4732-9A29-5750DBD823C3}"/>
    <cellStyle name="40% - Accent2 6 2 3 2 3" xfId="13779" xr:uid="{5F7E873B-814F-4FDA-A2DD-68ADF78F66EF}"/>
    <cellStyle name="40% - Accent2 6 2 3 3" xfId="18197" xr:uid="{34F9950A-C82B-42D5-81AD-3383E94FBFAA}"/>
    <cellStyle name="40% - Accent2 6 2 3 3 2" xfId="13777" xr:uid="{2473FEB4-2331-40F6-AE83-6A4254899E0D}"/>
    <cellStyle name="40% - Accent2 6 2 3 4" xfId="18190" xr:uid="{B13C231A-0EE5-4F91-B29C-FB89989CCDDB}"/>
    <cellStyle name="40% - Accent2 6 2 4" xfId="5669" xr:uid="{25D68130-402A-4612-8EBE-3BA2C5A50A44}"/>
    <cellStyle name="40% - Accent2 6 2 4 2" xfId="25250" xr:uid="{7406B327-51C1-41FC-B5EB-F9F108E6A539}"/>
    <cellStyle name="40% - Accent2 6 2 4 2 2" xfId="28714" xr:uid="{F2498D04-1192-422A-9B74-88F44771DA91}"/>
    <cellStyle name="40% - Accent2 6 2 4 3" xfId="28491" xr:uid="{946A2944-2E50-4CEC-8143-78FF70FC1FEB}"/>
    <cellStyle name="40% - Accent2 6 2 5" xfId="30325" xr:uid="{C036F2CC-314D-4C9D-B1AA-F8C48808AECE}"/>
    <cellStyle name="40% - Accent2 6 2 5 2" xfId="28482" xr:uid="{8F2AD32C-6E95-4869-B7DE-906B9E4A3534}"/>
    <cellStyle name="40% - Accent2 6 2 6" xfId="29513" xr:uid="{B25E771F-2D51-41A4-AE98-FD05ECF147F0}"/>
    <cellStyle name="40% - Accent2 6 2 7" xfId="34818" xr:uid="{2670AF42-D5F7-4E36-9250-C11918CA2209}"/>
    <cellStyle name="40% - Accent2 6 3" xfId="30719" xr:uid="{BE0C4707-8C10-43EF-BB36-BF4C94CC377D}"/>
    <cellStyle name="40% - Accent2 6 3 2" xfId="13775" xr:uid="{CEBC713F-D549-4A38-AC3C-ADFC7F4D856B}"/>
    <cellStyle name="40% - Accent2 6 3 2 2" xfId="13773" xr:uid="{2FB8C22D-40C1-4559-B81F-39BB82659D6B}"/>
    <cellStyle name="40% - Accent2 6 3 2 2 2" xfId="12825" xr:uid="{65BE9EDF-2D5A-4240-962A-FE4ED17138D4}"/>
    <cellStyle name="40% - Accent2 6 3 2 2 2 2" xfId="12705" xr:uid="{F0006947-65EA-433A-84D1-5AC8FF746B4B}"/>
    <cellStyle name="40% - Accent2 6 3 2 2 3" xfId="12431" xr:uid="{FBD65014-7A83-40B9-AAF8-EACA21C835B5}"/>
    <cellStyle name="40% - Accent2 6 3 2 3" xfId="13769" xr:uid="{F5E3CD41-6D82-4AF0-89DF-8290312401B5}"/>
    <cellStyle name="40% - Accent2 6 3 2 3 2" xfId="5935" xr:uid="{D02A90AB-7433-45F4-9843-F2129FA88248}"/>
    <cellStyle name="40% - Accent2 6 3 2 4" xfId="13767" xr:uid="{B58F0D4F-8D14-4378-BEB4-CD1916D52836}"/>
    <cellStyle name="40% - Accent2 6 3 3" xfId="5666" xr:uid="{59E8B483-24A7-44B9-A9AD-E7A9FD8AF34D}"/>
    <cellStyle name="40% - Accent2 6 3 3 2" xfId="18170" xr:uid="{83CD6198-B034-4D68-BE9C-288F2826FAA0}"/>
    <cellStyle name="40% - Accent2 6 3 3 2 2" xfId="13765" xr:uid="{683933D7-91AA-4BC9-8871-12B797FBFF2A}"/>
    <cellStyle name="40% - Accent2 6 3 3 3" xfId="15197" xr:uid="{3C049227-0998-4993-960A-17F0D356F14F}"/>
    <cellStyle name="40% - Accent2 6 3 4" xfId="24988" xr:uid="{926EAB11-4915-4B53-B372-7975E8ED25D4}"/>
    <cellStyle name="40% - Accent2 6 3 4 2" xfId="7892" xr:uid="{D6C2F291-C839-4D6C-B459-C6FA4A11C5FD}"/>
    <cellStyle name="40% - Accent2 6 3 5" xfId="24975" xr:uid="{A5ADE23B-77BC-4A08-A19C-FC5612FCADA9}"/>
    <cellStyle name="40% - Accent2 6 3 6" xfId="35020" xr:uid="{02353181-BA6C-43E9-9CDB-BA68EBC84081}"/>
    <cellStyle name="40% - Accent2 6 4" xfId="13762" xr:uid="{546B57E9-1B4D-430E-8008-FC3E7884C6F0}"/>
    <cellStyle name="40% - Accent2 6 4 2" xfId="13761" xr:uid="{57A1E934-67EF-468C-A584-19D8E002612A}"/>
    <cellStyle name="40% - Accent2 6 4 2 2" xfId="13759" xr:uid="{978F0138-22A6-4263-BE7C-097320CA023C}"/>
    <cellStyle name="40% - Accent2 6 4 2 2 2" xfId="13757" xr:uid="{E4B62979-9F06-4D8D-B71E-1FEB574F0288}"/>
    <cellStyle name="40% - Accent2 6 4 2 3" xfId="13756" xr:uid="{81D33EE5-BEB3-42E3-8978-B557E35D0753}"/>
    <cellStyle name="40% - Accent2 6 4 3" xfId="24945" xr:uid="{814C624B-FCBA-47B2-BB65-36B9DF1464DA}"/>
    <cellStyle name="40% - Accent2 6 4 3 2" xfId="21904" xr:uid="{2C6E32C1-F03B-4907-8435-5D9725F66D76}"/>
    <cellStyle name="40% - Accent2 6 4 4" xfId="24937" xr:uid="{ED892572-8AAE-4131-A659-4768AD340249}"/>
    <cellStyle name="40% - Accent2 6 4 5" xfId="35226" xr:uid="{374A7659-2CBC-4925-8104-85376B3EF46A}"/>
    <cellStyle name="40% - Accent2 6 5" xfId="20512" xr:uid="{D4ACD55F-B365-47E9-A494-A509A542A2E1}"/>
    <cellStyle name="40% - Accent2 6 5 2" xfId="13755" xr:uid="{5BA7D703-88B4-4466-8D74-22822BCE3B99}"/>
    <cellStyle name="40% - Accent2 6 5 2 2" xfId="13752" xr:uid="{A7EC8DE0-4961-4E1D-B2B3-42F50FD79DAC}"/>
    <cellStyle name="40% - Accent2 6 5 3" xfId="29046" xr:uid="{A9174491-2C76-4538-91DC-80F2CD108454}"/>
    <cellStyle name="40% - Accent2 6 5 4" xfId="35455" xr:uid="{F4504448-F007-4BD7-A126-41A008DDEB8F}"/>
    <cellStyle name="40% - Accent2 6 6" xfId="19001" xr:uid="{36CABC9C-FF13-487F-B6BF-8041414EBA3F}"/>
    <cellStyle name="40% - Accent2 6 6 2" xfId="13751" xr:uid="{9DD06650-D9BA-4A04-98E6-C2D2A86FFE58}"/>
    <cellStyle name="40% - Accent2 6 6 3" xfId="36327" xr:uid="{DD83DA94-7729-4EA9-AEEF-65B385868EEA}"/>
    <cellStyle name="40% - Accent2 6 7" xfId="13749" xr:uid="{8C9F1DE5-39C4-4FB6-9029-049E5D8502F2}"/>
    <cellStyle name="40% - Accent2 6 7 2" xfId="36613" xr:uid="{0965D1F7-EA76-4E84-88A7-AB91412493C3}"/>
    <cellStyle name="40% - Accent2 6 8" xfId="34593" xr:uid="{1D1A7279-C6FF-4995-A789-DE46075540ED}"/>
    <cellStyle name="40% - Accent2 6 9" xfId="13801" xr:uid="{6AAAADFC-3A76-4270-8D05-D4729D3BB531}"/>
    <cellStyle name="40% - Accent2 7" xfId="303" xr:uid="{A7D81E1F-BD27-46AA-8ED6-8992A7C78B72}"/>
    <cellStyle name="40% - Accent2 7 2" xfId="19950" xr:uid="{1D2BE176-C6AC-42AF-93CB-053346D1BF8A}"/>
    <cellStyle name="40% - Accent2 7 2 2" xfId="13746" xr:uid="{00EC5D2F-8EC1-4ECE-A97A-484D0C7A50A9}"/>
    <cellStyle name="40% - Accent2 7 2 2 2" xfId="13745" xr:uid="{020916A1-34E3-439E-9591-7B972A9D05ED}"/>
    <cellStyle name="40% - Accent2 7 2 2 2 2" xfId="13742" xr:uid="{91CAB2F1-D773-4E7F-82FC-BFF6B3D5047D}"/>
    <cellStyle name="40% - Accent2 7 2 2 2 2 2" xfId="13741" xr:uid="{3CDCB27C-F240-481E-8312-773AFD96A5E3}"/>
    <cellStyle name="40% - Accent2 7 2 2 2 3" xfId="13739" xr:uid="{A0553E94-96EE-40FA-AF71-9A2EEA35D316}"/>
    <cellStyle name="40% - Accent2 7 2 2 3" xfId="13738" xr:uid="{CC34BA0F-523B-4385-B396-58E950EA0F2B}"/>
    <cellStyle name="40% - Accent2 7 2 2 3 2" xfId="13735" xr:uid="{9831E142-8010-4CF0-B73E-490AEF4B862E}"/>
    <cellStyle name="40% - Accent2 7 2 2 4" xfId="13733" xr:uid="{4F47EC88-074D-4FF3-BD49-39565792CD35}"/>
    <cellStyle name="40% - Accent2 7 2 3" xfId="16752" xr:uid="{F812AA97-422D-4949-823B-5CC842C90F11}"/>
    <cellStyle name="40% - Accent2 7 2 3 2" xfId="15511" xr:uid="{EDC01A8E-F6B0-42E5-8CE5-05F107D760A2}"/>
    <cellStyle name="40% - Accent2 7 2 3 2 2" xfId="13732" xr:uid="{A5476A52-45CF-43EB-B59D-6C3A361EC5E9}"/>
    <cellStyle name="40% - Accent2 7 2 3 3" xfId="28247" xr:uid="{2D28CA4A-93AA-4DBD-9417-7D4628A2C730}"/>
    <cellStyle name="40% - Accent2 7 2 4" xfId="30192" xr:uid="{40B5E4F2-E149-460A-9579-58500809A617}"/>
    <cellStyle name="40% - Accent2 7 2 4 2" xfId="21423" xr:uid="{A00CD6C3-55F8-445C-94C9-2FF0DD3F62C7}"/>
    <cellStyle name="40% - Accent2 7 2 5" xfId="26411" xr:uid="{E68C4B44-1921-4CD1-A164-AE202F581C4B}"/>
    <cellStyle name="40% - Accent2 7 2 6" xfId="34837" xr:uid="{1080D631-D2C2-4F20-AC33-C69983D33DEE}"/>
    <cellStyle name="40% - Accent2 7 3" xfId="13730" xr:uid="{2E1D4CE6-60A5-435C-AFB7-4DB546954A2D}"/>
    <cellStyle name="40% - Accent2 7 3 2" xfId="13728" xr:uid="{14F3EE9E-F575-4DC8-92DC-D007FF590C39}"/>
    <cellStyle name="40% - Accent2 7 3 2 2" xfId="13726" xr:uid="{B172AFFB-5834-43AB-80BF-903126CA5844}"/>
    <cellStyle name="40% - Accent2 7 3 2 2 2" xfId="13724" xr:uid="{3B85D489-828B-4D27-BBEE-D1AD35CA9877}"/>
    <cellStyle name="40% - Accent2 7 3 2 3" xfId="13723" xr:uid="{F255BC95-5CDA-4DDE-B57D-8A230154DC8D}"/>
    <cellStyle name="40% - Accent2 7 3 3" xfId="24870" xr:uid="{3C534369-E528-4FE8-9CDE-4B358C61FF54}"/>
    <cellStyle name="40% - Accent2 7 3 3 2" xfId="22359" xr:uid="{FAB4EDF1-5B96-4A61-89A0-C089C9FD37BB}"/>
    <cellStyle name="40% - Accent2 7 3 4" xfId="24862" xr:uid="{B250DF59-D96F-43A2-A053-41B7710CFAD0}"/>
    <cellStyle name="40% - Accent2 7 3 5" xfId="35039" xr:uid="{22BD47B1-21A6-438E-AF78-33E0B344EE4E}"/>
    <cellStyle name="40% - Accent2 7 4" xfId="13721" xr:uid="{773B2B58-D1E6-458D-8325-143C9A766777}"/>
    <cellStyle name="40% - Accent2 7 4 2" xfId="13719" xr:uid="{5B55216B-65C0-41BB-9EDF-9C15AAB661EC}"/>
    <cellStyle name="40% - Accent2 7 4 2 2" xfId="13717" xr:uid="{1968ED10-71FA-4453-AE96-C742F7D7B373}"/>
    <cellStyle name="40% - Accent2 7 4 3" xfId="26334" xr:uid="{DDEBCB14-3283-4888-8EF8-8F63B0B3F50F}"/>
    <cellStyle name="40% - Accent2 7 4 4" xfId="35246" xr:uid="{57764C76-A4E6-4344-9682-359745629C33}"/>
    <cellStyle name="40% - Accent2 7 5" xfId="27328" xr:uid="{6B82B930-E603-4645-8336-63B3643C52B3}"/>
    <cellStyle name="40% - Accent2 7 5 2" xfId="13716" xr:uid="{F1B95012-D032-487C-99A6-E81DECA80DE4}"/>
    <cellStyle name="40% - Accent2 7 5 3" xfId="35475" xr:uid="{D6F375AF-FAFA-44DA-9B68-643C621061A4}"/>
    <cellStyle name="40% - Accent2 7 6" xfId="13714" xr:uid="{FFF6BBF9-2060-494B-B208-A1969759B8EB}"/>
    <cellStyle name="40% - Accent2 7 6 2" xfId="36347" xr:uid="{6531BE9F-56CA-4303-8A07-FA935B192344}"/>
    <cellStyle name="40% - Accent2 7 7" xfId="34607" xr:uid="{FD85E666-25F0-45EB-A57E-BEA2EB95DD2D}"/>
    <cellStyle name="40% - Accent2 7 8" xfId="13747" xr:uid="{F06839F7-2EB4-4BB0-BD81-763DA9BF997C}"/>
    <cellStyle name="40% - Accent2 7 8 2" xfId="37505" xr:uid="{C842ADDF-9CD0-4339-B0D7-386948178170}"/>
    <cellStyle name="40% - Accent2 8" xfId="323" xr:uid="{4B538166-415F-460F-B4B5-B764AB174CB0}"/>
    <cellStyle name="40% - Accent2 8 2" xfId="13711" xr:uid="{C94C984C-D21F-44B4-B8F1-EF1DF6C562D1}"/>
    <cellStyle name="40% - Accent2 8 2 2" xfId="33026" xr:uid="{362B09E8-8115-4BBE-9839-8A71755ACE07}"/>
    <cellStyle name="40% - Accent2 8 2 2 2" xfId="13710" xr:uid="{66BA3AC4-6F8A-44E8-ACD3-4B65DFB99F02}"/>
    <cellStyle name="40% - Accent2 8 2 2 2 2" xfId="13706" xr:uid="{A0F8EB54-4FB6-4CE8-9F31-CEC62DE1113C}"/>
    <cellStyle name="40% - Accent2 8 2 2 3" xfId="13705" xr:uid="{63E6039B-6928-46BE-AB11-67BDDB89A475}"/>
    <cellStyle name="40% - Accent2 8 2 3" xfId="31971" xr:uid="{BEC5C9CF-C672-4BA6-8CFD-9D372AF02766}"/>
    <cellStyle name="40% - Accent2 8 2 3 2" xfId="22189" xr:uid="{DF7B22E3-8587-4691-92A1-810F23EF150E}"/>
    <cellStyle name="40% - Accent2 8 2 4" xfId="30183" xr:uid="{E207EF66-17D1-4789-B27E-96B6DCD1D0B7}"/>
    <cellStyle name="40% - Accent2 8 2 5" xfId="34856" xr:uid="{1403A79E-507B-4DB7-8C61-DDD42DA39B99}"/>
    <cellStyle name="40% - Accent2 8 3" xfId="13704" xr:uid="{4CFE3D30-567F-44C1-97E6-032CC3248958}"/>
    <cellStyle name="40% - Accent2 8 3 2" xfId="13701" xr:uid="{DF3DF5EF-E692-49C8-81D5-1190DED76FE5}"/>
    <cellStyle name="40% - Accent2 8 3 2 2" xfId="17912" xr:uid="{83610D7D-B0E5-4FAC-9810-B145F019B549}"/>
    <cellStyle name="40% - Accent2 8 3 3" xfId="24803" xr:uid="{59F852B4-EF5E-4527-AA3B-3294323691FE}"/>
    <cellStyle name="40% - Accent2 8 3 4" xfId="35058" xr:uid="{63BDFAF0-225E-4CE9-B079-89395C4F21A7}"/>
    <cellStyle name="40% - Accent2 8 4" xfId="25471" xr:uid="{E21A4AC5-E1F7-4BB2-BDE3-75ACB4C54883}"/>
    <cellStyle name="40% - Accent2 8 4 2" xfId="13696" xr:uid="{576B04F5-2219-449E-B292-9D8F7DDFF15E}"/>
    <cellStyle name="40% - Accent2 8 4 3" xfId="35265" xr:uid="{B9588F7D-9EC2-4534-9ACF-3828EE71E6F9}"/>
    <cellStyle name="40% - Accent2 8 5" xfId="13694" xr:uid="{B59D0C94-3230-40A0-9962-AFEC37DFECEB}"/>
    <cellStyle name="40% - Accent2 8 5 2" xfId="35494" xr:uid="{147BDD6D-D48B-4AE9-A326-8CCCE0DA2887}"/>
    <cellStyle name="40% - Accent2 8 6" xfId="34621" xr:uid="{3B0746A6-3800-437E-90FF-14DD7B3BE609}"/>
    <cellStyle name="40% - Accent2 8 7" xfId="13713" xr:uid="{6E05F373-AC99-4E7B-B497-6F45F8332F2C}"/>
    <cellStyle name="40% - Accent2 8 7 2" xfId="36639" xr:uid="{FF0EC827-5B5E-4165-846A-036D8C60BDB7}"/>
    <cellStyle name="40% - Accent2 8 8" xfId="37524" xr:uid="{E372536B-83D7-498A-A904-6DB73E169088}"/>
    <cellStyle name="40% - Accent2 9" xfId="343" xr:uid="{29A40D03-3CC6-462F-B448-0D408F854A16}"/>
    <cellStyle name="40% - Accent2 9 2" xfId="13693" xr:uid="{943D60B6-32A2-4288-B43B-FBF85E227D75}"/>
    <cellStyle name="40% - Accent2 9 2 2" xfId="13692" xr:uid="{9AC3BEEB-F560-4C4A-B9AD-ADB30540C155}"/>
    <cellStyle name="40% - Accent2 9 2 2 2" xfId="13690" xr:uid="{0A1276CC-A93F-4245-AD3B-0110F77D958F}"/>
    <cellStyle name="40% - Accent2 9 2 3" xfId="25262" xr:uid="{F648B292-4BAF-4A6F-9683-19B01F3725D4}"/>
    <cellStyle name="40% - Accent2 9 2 4" xfId="34876" xr:uid="{81DCB621-B97A-4DF4-B31E-039A09BE3781}"/>
    <cellStyle name="40% - Accent2 9 3" xfId="13689" xr:uid="{4C78BACF-DB53-47A6-A23C-1378CD643893}"/>
    <cellStyle name="40% - Accent2 9 3 2" xfId="13687" xr:uid="{6A6E1EFF-78E7-45CC-8CAA-1BC5148CB0C3}"/>
    <cellStyle name="40% - Accent2 9 3 3" xfId="35077" xr:uid="{B2A71DBF-0C8D-4E06-A4E9-0B490A7908AC}"/>
    <cellStyle name="40% - Accent2 9 4" xfId="13685" xr:uid="{C3473880-F034-49D2-B678-6F93DBEF878F}"/>
    <cellStyle name="40% - Accent2 9 4 2" xfId="35285" xr:uid="{3897FD71-4262-4013-A08E-4257751C9F2A}"/>
    <cellStyle name="40% - Accent2 9 5" xfId="34635" xr:uid="{B82B830A-D099-4146-B261-7C2457C036C1}"/>
    <cellStyle name="40% - Accent2 9 6" xfId="17920" xr:uid="{5CD6A43C-910B-4991-820A-836F88AE0377}"/>
    <cellStyle name="40% - Accent2 9 6 2" xfId="36373" xr:uid="{7C11AAF5-AF6A-4281-B852-D0B093735C61}"/>
    <cellStyle name="40% - Accent2 9 7" xfId="36659" xr:uid="{F6999E9F-D39B-4BEF-946F-0C8CF171E3D9}"/>
    <cellStyle name="40% - Accent2 9 8" xfId="37544" xr:uid="{C25295DD-6C67-45BF-9CC4-AA1C70EA13F0}"/>
    <cellStyle name="40% - Accent3" xfId="31" builtinId="39" customBuiltin="1"/>
    <cellStyle name="40% - Accent3 10" xfId="184" xr:uid="{D361B7E1-FC39-4C10-B24A-5B9B81666BE9}"/>
    <cellStyle name="40% - Accent3 10 2" xfId="13684" xr:uid="{DC53C612-B642-4414-9C0F-EDAC2ACDC428}"/>
    <cellStyle name="40% - Accent3 10 2 2" xfId="13683" xr:uid="{0B20C4C8-A3ED-4F93-8494-487408E4B597}"/>
    <cellStyle name="40% - Accent3 10 2 3" xfId="34897" xr:uid="{3BE73FC0-FDE7-4234-96DE-73678D640377}"/>
    <cellStyle name="40% - Accent3 10 3" xfId="13679" xr:uid="{799030E8-B98B-46B3-BBB7-625CD32829F6}"/>
    <cellStyle name="40% - Accent3 10 3 2" xfId="35099" xr:uid="{94437C8B-59BE-469C-BBD8-1212052AB797}"/>
    <cellStyle name="40% - Accent3 10 4" xfId="34524" xr:uid="{D568051F-04BA-4B29-AE21-E332FB7CC3E3}"/>
    <cellStyle name="40% - Accent3 10 5" xfId="6276" xr:uid="{E16F9285-D842-4D98-AFC0-013B96C84117}"/>
    <cellStyle name="40% - Accent3 10 5 2" xfId="35522" xr:uid="{2E9C95E5-92F9-4E03-B64C-34B270FE2377}"/>
    <cellStyle name="40% - Accent3 10 6" xfId="36395" xr:uid="{E16508F7-F122-4AC6-8BD1-430F334FEBE5}"/>
    <cellStyle name="40% - Accent3 10 7" xfId="36681" xr:uid="{F7A865FD-4A4B-4247-B82C-F07D33255CFB}"/>
    <cellStyle name="40% - Accent3 10 8" xfId="37566" xr:uid="{0D12EF7D-AC59-42CE-B2C4-C8468433CC54}"/>
    <cellStyle name="40% - Accent3 11" xfId="13677" xr:uid="{01EBF13B-FF80-4A85-A69C-E89EB90036C2}"/>
    <cellStyle name="40% - Accent3 11 2" xfId="13675" xr:uid="{9FAE5B82-7B19-4C87-8429-204AE6D31B3A}"/>
    <cellStyle name="40% - Accent3 11 2 2" xfId="35118" xr:uid="{CEF0FC07-1FEC-45DD-AB74-292D10F5891B}"/>
    <cellStyle name="40% - Accent3 11 3" xfId="34693" xr:uid="{7E9DBF42-3AD3-462D-B334-704E2B9E3D41}"/>
    <cellStyle name="40% - Accent3 11 4" xfId="35542" xr:uid="{6524DC7D-0E6C-481D-AB6D-6573D019AAEB}"/>
    <cellStyle name="40% - Accent3 11 5" xfId="36415" xr:uid="{FA475505-F436-496F-B842-2A48A029D7F3}"/>
    <cellStyle name="40% - Accent3 11 6" xfId="36701" xr:uid="{BC6F303F-FB59-4D4E-8732-871C71150660}"/>
    <cellStyle name="40% - Accent3 11 7" xfId="37586" xr:uid="{A6D5CCD5-18FB-4D8A-B081-0D49FE7E72A7}"/>
    <cellStyle name="40% - Accent3 12" xfId="13556" xr:uid="{20B48BB2-F941-493C-AE7F-932CDF914E20}"/>
    <cellStyle name="40% - Accent3 12 2" xfId="34708" xr:uid="{6E8B8C7A-4B9A-4E54-96A7-9BD041B2BC33}"/>
    <cellStyle name="40% - Accent3 12 3" xfId="35321" xr:uid="{F50B660E-1CA9-430B-8557-446B88F83AF4}"/>
    <cellStyle name="40% - Accent3 12 4" xfId="35561" xr:uid="{311502B2-7A40-4DA9-A22B-F9999891FE54}"/>
    <cellStyle name="40% - Accent3 12 5" xfId="36434" xr:uid="{98AE3A83-C7EF-40CB-9929-A6697E3226C9}"/>
    <cellStyle name="40% - Accent3 12 6" xfId="36720" xr:uid="{4FD18BC4-4209-46B3-9505-CA8A78FC69CC}"/>
    <cellStyle name="40% - Accent3 12 7" xfId="37605" xr:uid="{76CFA892-497A-4323-B31F-1DF77F9BA870}"/>
    <cellStyle name="40% - Accent3 13" xfId="30402" xr:uid="{EB72ACC8-D6E3-48E5-837A-F1382D8F8B2F}"/>
    <cellStyle name="40% - Accent3 13 2" xfId="34736" xr:uid="{C132801D-B9B6-45ED-AC96-CB2D9AC21672}"/>
    <cellStyle name="40% - Accent3 13 3" xfId="35580" xr:uid="{A6DDC697-80A3-4EB0-98BF-87213352A38B}"/>
    <cellStyle name="40% - Accent3 13 4" xfId="36455" xr:uid="{2C476C87-B37A-4533-8929-8817D5EB464E}"/>
    <cellStyle name="40% - Accent3 13 5" xfId="36741" xr:uid="{78878D08-DF1F-43E7-85E9-6E7CB90E90B0}"/>
    <cellStyle name="40% - Accent3 13 6" xfId="37626" xr:uid="{1A07D074-5536-4FDF-97D9-ACA1C10B2839}"/>
    <cellStyle name="40% - Accent3 14" xfId="14811" xr:uid="{94766BCF-F6A1-47F5-B7F0-186DE36C74E2}"/>
    <cellStyle name="40% - Accent3 14 2" xfId="34926" xr:uid="{05B52CE5-C457-4A64-ACB2-86468CE51C43}"/>
    <cellStyle name="40% - Accent3 14 3" xfId="36760" xr:uid="{ED241698-2ECF-483C-A578-3AAEE2C1A5BA}"/>
    <cellStyle name="40% - Accent3 14 4" xfId="37645" xr:uid="{6294694F-1C95-433D-B14B-DC04044511DF}"/>
    <cellStyle name="40% - Accent3 15" xfId="34654" xr:uid="{43FB932F-E185-43C6-BA3F-F42A1C8BBA9C}"/>
    <cellStyle name="40% - Accent3 15 2" xfId="36480" xr:uid="{BD4E3BDE-1100-427C-80A5-38BB0CEF7374}"/>
    <cellStyle name="40% - Accent3 15 3" xfId="36778" xr:uid="{34D51F8B-81ED-4A51-8C69-473066C99EA3}"/>
    <cellStyle name="40% - Accent3 15 4" xfId="37666" xr:uid="{E7C5467D-041C-4946-859B-484E3C8A077C}"/>
    <cellStyle name="40% - Accent3 16" xfId="35360" xr:uid="{99FEE258-6F19-4180-B11E-8B3EE8F65E3C}"/>
    <cellStyle name="40% - Accent3 16 2" xfId="36498" xr:uid="{E745C339-9720-4D8C-9FC9-521D175D429C}"/>
    <cellStyle name="40% - Accent3 16 3" xfId="36796" xr:uid="{C7F067B3-D87B-425F-BFB6-5C01B0D5FD46}"/>
    <cellStyle name="40% - Accent3 16 4" xfId="37685" xr:uid="{124245F7-4219-483A-B129-208210491219}"/>
    <cellStyle name="40% - Accent3 17" xfId="35647" xr:uid="{C4ED2107-0CE4-4D7E-A1CB-13B5B5DD17AF}"/>
    <cellStyle name="40% - Accent3 17 2" xfId="36815" xr:uid="{D7B2C977-053B-40A4-93E0-F2CAA67F679E}"/>
    <cellStyle name="40% - Accent3 17 3" xfId="37705" xr:uid="{C3F303E8-ABBD-4BC2-8F40-ECE88A3BE586}"/>
    <cellStyle name="40% - Accent3 18" xfId="35665" xr:uid="{C22B7E9F-5255-4115-B139-5444E9F923F6}"/>
    <cellStyle name="40% - Accent3 18 2" xfId="36834" xr:uid="{9E29AE57-CD31-4090-A0AA-D3A7B49DF44C}"/>
    <cellStyle name="40% - Accent3 18 3" xfId="37724" xr:uid="{23091CCA-1B06-4438-B15D-54D5950572CA}"/>
    <cellStyle name="40% - Accent3 19" xfId="35684" xr:uid="{CD629E85-C5F2-424A-B63E-C2F370A56870}"/>
    <cellStyle name="40% - Accent3 19 2" xfId="36853" xr:uid="{C0008BAB-566B-4890-8827-E07092510DF2}"/>
    <cellStyle name="40% - Accent3 19 3" xfId="37743" xr:uid="{F425CE81-1201-4F12-8709-6749461E2ABB}"/>
    <cellStyle name="40% - Accent3 2" xfId="84" xr:uid="{CD8969A4-21F0-4105-B4E6-04AC04E459E3}"/>
    <cellStyle name="40% - Accent3 2 10" xfId="7628" xr:uid="{0D5A9F91-51F0-4397-B2DC-08CE0A159B41}"/>
    <cellStyle name="40% - Accent3 2 10 2" xfId="13673" xr:uid="{909D1DED-1EF2-47C1-8073-CC63EC1166D7}"/>
    <cellStyle name="40% - Accent3 2 10 3" xfId="37424" xr:uid="{D03EEED5-615B-4701-AD61-B1062045BD5D}"/>
    <cellStyle name="40% - Accent3 2 11" xfId="13671" xr:uid="{9FA6A499-45D1-448A-9874-070152EF165C}"/>
    <cellStyle name="40% - Accent3 2 12" xfId="34442" xr:uid="{65E94152-F55E-4680-A9B1-D4697A70BFBB}"/>
    <cellStyle name="40% - Accent3 2 13" xfId="13674" xr:uid="{4EE2BA93-4A15-4C8F-B0BB-1D4402582A15}"/>
    <cellStyle name="40% - Accent3 2 2" xfId="145" xr:uid="{343DC4AB-83AF-4243-A5ED-A4B03AFDFDA9}"/>
    <cellStyle name="40% - Accent3 2 2 10" xfId="26340" xr:uid="{676D52BC-DF66-4684-A7DD-140C54564473}"/>
    <cellStyle name="40% - Accent3 2 2 11" xfId="34497" xr:uid="{79A9163A-2C7A-4B8E-917D-08B28C761474}"/>
    <cellStyle name="40% - Accent3 2 2 12" xfId="13669" xr:uid="{B4868965-365B-45C7-A5D7-8F473B952EE7}"/>
    <cellStyle name="40% - Accent3 2 2 2" xfId="9185" xr:uid="{9D294EA3-61E6-463A-BD2D-61DC21C3A89F}"/>
    <cellStyle name="40% - Accent3 2 2 2 2" xfId="9182" xr:uid="{4BC34C92-70A6-4786-8B6F-A470AB68E042}"/>
    <cellStyle name="40% - Accent3 2 2 2 2 2" xfId="13667" xr:uid="{A1936564-F0A6-4CCD-AF55-D8E69D5121F9}"/>
    <cellStyle name="40% - Accent3 2 2 2 2 2 2" xfId="9177" xr:uid="{36822F40-DBC2-432C-A40B-6C44E95110CD}"/>
    <cellStyle name="40% - Accent3 2 2 2 2 2 2 2" xfId="27526" xr:uid="{64F2679C-9126-46C0-9766-E4753C0E68FB}"/>
    <cellStyle name="40% - Accent3 2 2 2 2 2 2 2 2" xfId="13665" xr:uid="{11C7E846-6AFF-4CC4-92D6-D30404AB9FEA}"/>
    <cellStyle name="40% - Accent3 2 2 2 2 2 2 2 2 2" xfId="29733" xr:uid="{758ADCE0-B9E4-462D-9EF6-75540116453E}"/>
    <cellStyle name="40% - Accent3 2 2 2 2 2 2 2 2 2 2" xfId="13664" xr:uid="{887A652F-DB4E-43AD-94E9-4BA7CB001A7B}"/>
    <cellStyle name="40% - Accent3 2 2 2 2 2 2 2 2 2 2 2" xfId="13661" xr:uid="{5B9747DF-203E-417C-A1FA-C052310F7DCC}"/>
    <cellStyle name="40% - Accent3 2 2 2 2 2 2 2 2 2 3" xfId="17029" xr:uid="{73884BA1-20DA-4FA8-973C-920D27386DDC}"/>
    <cellStyle name="40% - Accent3 2 2 2 2 2 2 2 2 3" xfId="10051" xr:uid="{85826838-1E1D-408F-859A-A5725A40275A}"/>
    <cellStyle name="40% - Accent3 2 2 2 2 2 2 2 2 3 2" xfId="13659" xr:uid="{DF47C51D-D889-4489-9C34-802DC32E0389}"/>
    <cellStyle name="40% - Accent3 2 2 2 2 2 2 2 2 4" xfId="14697" xr:uid="{1E0F1AC6-4592-4F13-8A6A-C2C2698E5573}"/>
    <cellStyle name="40% - Accent3 2 2 2 2 2 2 2 3" xfId="13655" xr:uid="{11A44A1C-5895-4097-AC9B-7EA43D8CF194}"/>
    <cellStyle name="40% - Accent3 2 2 2 2 2 2 2 3 2" xfId="33286" xr:uid="{A240C125-E144-46D0-966E-ADFD24CEF6C3}"/>
    <cellStyle name="40% - Accent3 2 2 2 2 2 2 2 3 2 2" xfId="31731" xr:uid="{4A8ED888-40CD-4862-B968-71D58FB3B637}"/>
    <cellStyle name="40% - Accent3 2 2 2 2 2 2 2 3 3" xfId="32053" xr:uid="{AE5C53D9-874B-443D-B360-34EE87A4603D}"/>
    <cellStyle name="40% - Accent3 2 2 2 2 2 2 2 4" xfId="13654" xr:uid="{512EC971-4467-492C-A326-3346E4724729}"/>
    <cellStyle name="40% - Accent3 2 2 2 2 2 2 2 4 2" xfId="25343" xr:uid="{F2E66416-9E08-499D-A6F3-027D4822692E}"/>
    <cellStyle name="40% - Accent3 2 2 2 2 2 2 2 5" xfId="21568" xr:uid="{B1151C57-A566-4A2E-A0C2-D196147DDA5D}"/>
    <cellStyle name="40% - Accent3 2 2 2 2 2 2 3" xfId="18753" xr:uid="{4B0211B5-F6FF-4D6D-BFA9-E7748B82CF8F}"/>
    <cellStyle name="40% - Accent3 2 2 2 2 2 2 3 2" xfId="13653" xr:uid="{68E34BAE-9751-4E84-B670-AC86F91F66D7}"/>
    <cellStyle name="40% - Accent3 2 2 2 2 2 2 3 2 2" xfId="14275" xr:uid="{755270F5-E1A0-4224-A841-AB522C1E3CDC}"/>
    <cellStyle name="40% - Accent3 2 2 2 2 2 2 3 2 2 2" xfId="13652" xr:uid="{901666CF-9792-43D3-81BC-5689F6028EBC}"/>
    <cellStyle name="40% - Accent3 2 2 2 2 2 2 3 2 3" xfId="14262" xr:uid="{BC84DAF2-0BB5-4F28-A13E-A36985C2B280}"/>
    <cellStyle name="40% - Accent3 2 2 2 2 2 2 3 3" xfId="13647" xr:uid="{EF8BDFBF-D10D-4C79-8AAE-DAAB4F79E5D4}"/>
    <cellStyle name="40% - Accent3 2 2 2 2 2 2 3 3 2" xfId="32360" xr:uid="{67ADDDE4-02B5-47AF-A1A9-4F1AADAEC53D}"/>
    <cellStyle name="40% - Accent3 2 2 2 2 2 2 3 4" xfId="13643" xr:uid="{D2812E8B-2AE0-4423-8584-17B6999912DD}"/>
    <cellStyle name="40% - Accent3 2 2 2 2 2 2 4" xfId="18740" xr:uid="{AD3CE4DA-D43C-4532-873B-E1474520D2EE}"/>
    <cellStyle name="40% - Accent3 2 2 2 2 2 2 4 2" xfId="13639" xr:uid="{0C2B85EB-5C00-4DAC-BE14-99CE10042A5D}"/>
    <cellStyle name="40% - Accent3 2 2 2 2 2 2 4 2 2" xfId="33930" xr:uid="{50598550-2418-41F5-87D5-EC8330CFD080}"/>
    <cellStyle name="40% - Accent3 2 2 2 2 2 2 4 3" xfId="13637" xr:uid="{2CBFFDF4-CC01-4A05-8349-29C187395032}"/>
    <cellStyle name="40% - Accent3 2 2 2 2 2 2 5" xfId="18736" xr:uid="{67C92574-7FC1-4B42-A20F-08861895B6A6}"/>
    <cellStyle name="40% - Accent3 2 2 2 2 2 2 5 2" xfId="16444" xr:uid="{39F5421B-9598-438E-BDEC-1A45E6417AFF}"/>
    <cellStyle name="40% - Accent3 2 2 2 2 2 2 6" xfId="18733" xr:uid="{8D6F97B1-5A2A-4D0C-BF1C-B0AB040939BA}"/>
    <cellStyle name="40% - Accent3 2 2 2 2 2 3" xfId="9164" xr:uid="{86672A98-1FBD-467B-BCC7-A5DDBC8A9D8F}"/>
    <cellStyle name="40% - Accent3 2 2 2 2 2 3 2" xfId="13629" xr:uid="{9C802302-CFC1-4468-AC1D-27BBBF8AA504}"/>
    <cellStyle name="40% - Accent3 2 2 2 2 2 3 2 2" xfId="28750" xr:uid="{01C633D8-7668-41BF-B314-D63C3E413331}"/>
    <cellStyle name="40% - Accent3 2 2 2 2 2 3 2 2 2" xfId="13625" xr:uid="{9F83B634-9AC8-4B7E-83D6-AE846F32275C}"/>
    <cellStyle name="40% - Accent3 2 2 2 2 2 3 2 2 2 2" xfId="13623" xr:uid="{CDB2F474-5C78-4BAE-83B2-BC328CB23A8C}"/>
    <cellStyle name="40% - Accent3 2 2 2 2 2 3 2 2 3" xfId="13621" xr:uid="{51E5726A-2EC4-4405-908E-C35281C089DA}"/>
    <cellStyle name="40% - Accent3 2 2 2 2 2 3 2 3" xfId="13616" xr:uid="{0DA25C0F-255F-4A63-8EC0-74CD8BCD6776}"/>
    <cellStyle name="40% - Accent3 2 2 2 2 2 3 2 3 2" xfId="31963" xr:uid="{EDCDF4D7-116E-440F-974D-A90133AFADEE}"/>
    <cellStyle name="40% - Accent3 2 2 2 2 2 3 2 4" xfId="13613" xr:uid="{D3A0663A-FE0D-48D9-8163-FE50227238E6}"/>
    <cellStyle name="40% - Accent3 2 2 2 2 2 3 3" xfId="9147" xr:uid="{22A11AC5-C412-4B36-BDD8-1EA62FC4882A}"/>
    <cellStyle name="40% - Accent3 2 2 2 2 2 3 3 2" xfId="13612" xr:uid="{69FB56BB-A0CC-49CB-B7D1-8890C434FD9F}"/>
    <cellStyle name="40% - Accent3 2 2 2 2 2 3 3 2 2" xfId="13611" xr:uid="{446B6CE1-31BA-476A-AF70-C811A81267A6}"/>
    <cellStyle name="40% - Accent3 2 2 2 2 2 3 3 3" xfId="13609" xr:uid="{AD8B7C7C-92F3-4B70-B1FE-5C0B9B16C9EF}"/>
    <cellStyle name="40% - Accent3 2 2 2 2 2 3 4" xfId="21828" xr:uid="{BE0A1C49-84E7-4A32-8242-63A3504E3FCA}"/>
    <cellStyle name="40% - Accent3 2 2 2 2 2 3 4 2" xfId="13606" xr:uid="{895C5ADA-FE4D-4859-8C07-6FDA166BB6B1}"/>
    <cellStyle name="40% - Accent3 2 2 2 2 2 3 5" xfId="21820" xr:uid="{C6246373-9997-4A97-A291-6518FB41048E}"/>
    <cellStyle name="40% - Accent3 2 2 2 2 2 4" xfId="9158" xr:uid="{06C0B50C-5101-4679-9BC2-44B6AB626577}"/>
    <cellStyle name="40% - Accent3 2 2 2 2 2 4 2" xfId="13601" xr:uid="{CE9837BC-433A-444D-AB70-BC5826D5BBC2}"/>
    <cellStyle name="40% - Accent3 2 2 2 2 2 4 2 2" xfId="8834" xr:uid="{9536C608-BCC7-4276-B6BF-6B0E80CEC76D}"/>
    <cellStyle name="40% - Accent3 2 2 2 2 2 4 2 2 2" xfId="12909" xr:uid="{FEFA3E6E-5B2F-4C2B-9649-A496163B7A36}"/>
    <cellStyle name="40% - Accent3 2 2 2 2 2 4 2 3" xfId="13596" xr:uid="{57FD61D1-E036-4103-AFFB-9F6F9A43D441}"/>
    <cellStyle name="40% - Accent3 2 2 2 2 2 4 3" xfId="5410" xr:uid="{94E2B0AD-079F-4ABE-A326-87D7D17FC2E9}"/>
    <cellStyle name="40% - Accent3 2 2 2 2 2 4 3 2" xfId="8805" xr:uid="{1DB2CC79-AE51-4B12-8D5B-9D7FA9C8162D}"/>
    <cellStyle name="40% - Accent3 2 2 2 2 2 4 4" xfId="21778" xr:uid="{C876F6BC-E52B-42FD-8923-C24B2B326C03}"/>
    <cellStyle name="40% - Accent3 2 2 2 2 2 5" xfId="13594" xr:uid="{1EB22F84-53FA-4BDD-8625-15B13309CFA0}"/>
    <cellStyle name="40% - Accent3 2 2 2 2 2 5 2" xfId="13593" xr:uid="{DA742C9C-6F99-4FA8-9E68-E3BF15B3FC1B}"/>
    <cellStyle name="40% - Accent3 2 2 2 2 2 5 2 2" xfId="8758" xr:uid="{CE35B2FE-8AA2-455F-890E-E6BF87B77C0D}"/>
    <cellStyle name="40% - Accent3 2 2 2 2 2 5 3" xfId="21753" xr:uid="{FFDCFDD4-1770-4D30-9C8F-A657D71BAF27}"/>
    <cellStyle name="40% - Accent3 2 2 2 2 2 6" xfId="13590" xr:uid="{FB7F155E-3D37-48DC-BBCA-2D2376CC8FC3}"/>
    <cellStyle name="40% - Accent3 2 2 2 2 2 6 2" xfId="11502" xr:uid="{4142A053-CA73-4BBC-B037-3677B63838A3}"/>
    <cellStyle name="40% - Accent3 2 2 2 2 2 7" xfId="32308" xr:uid="{9E754760-6074-428B-951B-439490FF61FF}"/>
    <cellStyle name="40% - Accent3 2 2 2 2 3" xfId="10547" xr:uid="{FDC97806-46C6-4EFE-B73F-56B109A27598}"/>
    <cellStyle name="40% - Accent3 2 2 2 2 3 2" xfId="12612" xr:uid="{069CD6BC-9CA0-4FFB-A1DC-E3D0ED132311}"/>
    <cellStyle name="40% - Accent3 2 2 2 2 3 2 2" xfId="13587" xr:uid="{7AF9C1A4-2365-4C55-B042-D0073390F4BE}"/>
    <cellStyle name="40% - Accent3 2 2 2 2 3 2 2 2" xfId="13581" xr:uid="{8C6AC4BE-03F9-44D9-AB32-BA3CC4861504}"/>
    <cellStyle name="40% - Accent3 2 2 2 2 3 2 2 2 2" xfId="13580" xr:uid="{E589B850-57AC-4D5C-A63D-A6FBFF86A4F9}"/>
    <cellStyle name="40% - Accent3 2 2 2 2 3 2 2 2 2 2" xfId="17996" xr:uid="{49BEADF2-5CC4-48E8-AAAF-EDF5259423C0}"/>
    <cellStyle name="40% - Accent3 2 2 2 2 3 2 2 2 3" xfId="13577" xr:uid="{FF49B41A-DB11-4808-A3EE-93BD9EA3CD5B}"/>
    <cellStyle name="40% - Accent3 2 2 2 2 3 2 2 3" xfId="13574" xr:uid="{5698CF08-D764-4624-90AF-3CC77FC07A91}"/>
    <cellStyle name="40% - Accent3 2 2 2 2 3 2 2 3 2" xfId="33087" xr:uid="{424431B7-E816-46A9-B3C6-D390306A77A6}"/>
    <cellStyle name="40% - Accent3 2 2 2 2 3 2 2 4" xfId="13573" xr:uid="{8BC8C695-529B-45AB-AFEC-4BE4514316FD}"/>
    <cellStyle name="40% - Accent3 2 2 2 2 3 2 3" xfId="18610" xr:uid="{FC0F154C-CAFE-4D9B-94E2-533B741DA0E9}"/>
    <cellStyle name="40% - Accent3 2 2 2 2 3 2 3 2" xfId="13572" xr:uid="{932BEE64-84F7-41A4-B97C-3B87FA5FC4B1}"/>
    <cellStyle name="40% - Accent3 2 2 2 2 3 2 3 2 2" xfId="13571" xr:uid="{B1796351-4E68-4B7B-854A-C172303946AE}"/>
    <cellStyle name="40% - Accent3 2 2 2 2 3 2 3 3" xfId="13570" xr:uid="{A967263A-A247-4942-8CC4-81427BC8AAB8}"/>
    <cellStyle name="40% - Accent3 2 2 2 2 3 2 4" xfId="18600" xr:uid="{A3A7C718-6BD3-4A36-B961-3D96A1DCE720}"/>
    <cellStyle name="40% - Accent3 2 2 2 2 3 2 4 2" xfId="13567" xr:uid="{7ED64DED-6E2A-438B-A0FC-44D72C3240FE}"/>
    <cellStyle name="40% - Accent3 2 2 2 2 3 2 5" xfId="18597" xr:uid="{99D4AA81-6A37-4E5C-96A5-42718977E015}"/>
    <cellStyle name="40% - Accent3 2 2 2 2 3 3" xfId="12603" xr:uid="{905F7C22-71A8-4F58-8EB0-77B1001E67C4}"/>
    <cellStyle name="40% - Accent3 2 2 2 2 3 3 2" xfId="13564" xr:uid="{2347FC40-47BB-4426-98EB-1A6F06B38966}"/>
    <cellStyle name="40% - Accent3 2 2 2 2 3 3 2 2" xfId="13562" xr:uid="{934BC7B3-C959-4A08-A373-A978754B9F7F}"/>
    <cellStyle name="40% - Accent3 2 2 2 2 3 3 2 2 2" xfId="14210" xr:uid="{FE82593A-CC42-449A-B1ED-CFBBEB436657}"/>
    <cellStyle name="40% - Accent3 2 2 2 2 3 3 2 3" xfId="13561" xr:uid="{A337994E-28D3-416B-807A-55D777D4784A}"/>
    <cellStyle name="40% - Accent3 2 2 2 2 3 3 3" xfId="5408" xr:uid="{E50AF5E5-CC56-4EA2-802F-DC660AF5271A}"/>
    <cellStyle name="40% - Accent3 2 2 2 2 3 3 3 2" xfId="13560" xr:uid="{2E243253-9A41-46FD-9E34-867275F40CC4}"/>
    <cellStyle name="40% - Accent3 2 2 2 2 3 3 4" xfId="21684" xr:uid="{3B9FD245-E70D-469C-966C-54C99124C0BB}"/>
    <cellStyle name="40% - Accent3 2 2 2 2 3 4" xfId="13559" xr:uid="{524178C5-1F4A-47A9-B319-3E1C026FB0FC}"/>
    <cellStyle name="40% - Accent3 2 2 2 2 3 4 2" xfId="13558" xr:uid="{479D2B4B-3AB2-43C5-8129-DABDC26EA074}"/>
    <cellStyle name="40% - Accent3 2 2 2 2 3 4 2 2" xfId="8623" xr:uid="{44CB5D7B-3458-499F-AF7C-AFFEDE85DD01}"/>
    <cellStyle name="40% - Accent3 2 2 2 2 3 4 3" xfId="30401" xr:uid="{4A71B98D-55C3-492B-82D8-757B29513A41}"/>
    <cellStyle name="40% - Accent3 2 2 2 2 3 5" xfId="13554" xr:uid="{938534AE-9439-4D9F-889B-5613FEFAD1D6}"/>
    <cellStyle name="40% - Accent3 2 2 2 2 3 5 2" xfId="13551" xr:uid="{59BAE5E1-47F0-49BC-B4B5-27CFFA1675B0}"/>
    <cellStyle name="40% - Accent3 2 2 2 2 3 6" xfId="13099" xr:uid="{6374C569-98FF-47B4-ADFB-C2F23D2BACCA}"/>
    <cellStyle name="40% - Accent3 2 2 2 2 4" xfId="10537" xr:uid="{B49A3AC6-FA91-47E9-B77E-208D6691DF2C}"/>
    <cellStyle name="40% - Accent3 2 2 2 2 4 2" xfId="12586" xr:uid="{1B8C7F0C-8674-4FE7-9AA0-C3554811C595}"/>
    <cellStyle name="40% - Accent3 2 2 2 2 4 2 2" xfId="14723" xr:uid="{85DE7872-3741-40E4-9309-9D52524E2F81}"/>
    <cellStyle name="40% - Accent3 2 2 2 2 4 2 2 2" xfId="31159" xr:uid="{5558197E-7733-479B-995B-9493D97EDAE2}"/>
    <cellStyle name="40% - Accent3 2 2 2 2 4 2 2 2 2" xfId="13545" xr:uid="{FD8087AA-832E-4B71-B68E-F2002D7832C2}"/>
    <cellStyle name="40% - Accent3 2 2 2 2 4 2 2 3" xfId="13542" xr:uid="{A43D32B0-079B-4722-88D4-A6CC0ABA83B4}"/>
    <cellStyle name="40% - Accent3 2 2 2 2 4 2 3" xfId="18521" xr:uid="{B6B9EAB2-D55F-40B0-95B9-C2A9E0899098}"/>
    <cellStyle name="40% - Accent3 2 2 2 2 4 2 3 2" xfId="20370" xr:uid="{691C5D24-4AF9-4695-BFA1-1419F087E845}"/>
    <cellStyle name="40% - Accent3 2 2 2 2 4 2 4" xfId="18514" xr:uid="{C7E5F26B-C53B-4AEE-BFB0-F2DAA3000AA4}"/>
    <cellStyle name="40% - Accent3 2 2 2 2 4 3" xfId="32544" xr:uid="{F114D0E3-B6BB-492D-BE69-4F4011B3E20E}"/>
    <cellStyle name="40% - Accent3 2 2 2 2 4 3 2" xfId="14678" xr:uid="{4FD1CE3F-76E0-4BA5-9D0D-F7E4A54934F7}"/>
    <cellStyle name="40% - Accent3 2 2 2 2 4 3 2 2" xfId="13540" xr:uid="{AB44EA10-1298-4C67-8ED2-6D80293E5146}"/>
    <cellStyle name="40% - Accent3 2 2 2 2 4 3 3" xfId="21601" xr:uid="{AFD705FC-CCE4-4CFD-ADCE-8C9B4380CBC5}"/>
    <cellStyle name="40% - Accent3 2 2 2 2 4 4" xfId="13538" xr:uid="{3649E0CA-58C9-4D30-BE82-5775DBA3228C}"/>
    <cellStyle name="40% - Accent3 2 2 2 2 4 4 2" xfId="13537" xr:uid="{086B375C-869E-423A-A383-2DB40EF2D7FB}"/>
    <cellStyle name="40% - Accent3 2 2 2 2 4 5" xfId="13534" xr:uid="{A7CBB401-2276-466F-B13A-8B9888A5BC3E}"/>
    <cellStyle name="40% - Accent3 2 2 2 2 5" xfId="10525" xr:uid="{E87DC5BF-14A7-4E55-9A81-419CF2D0DA73}"/>
    <cellStyle name="40% - Accent3 2 2 2 2 5 2" xfId="32622" xr:uid="{F2E0769D-A6CC-4C74-B353-26F4BEF43B0D}"/>
    <cellStyle name="40% - Accent3 2 2 2 2 5 2 2" xfId="17128" xr:uid="{2061662C-333A-40AD-8509-6474DA41FAD6}"/>
    <cellStyle name="40% - Accent3 2 2 2 2 5 2 2 2" xfId="27756" xr:uid="{AF4D40DD-5C45-4462-A666-6D741874E595}"/>
    <cellStyle name="40% - Accent3 2 2 2 2 5 2 3" xfId="18661" xr:uid="{3BF040F2-7548-4068-82F3-8EE525301D7A}"/>
    <cellStyle name="40% - Accent3 2 2 2 2 5 3" xfId="13530" xr:uid="{B7DD9A40-ED0E-4503-A8E1-F01E72C554A3}"/>
    <cellStyle name="40% - Accent3 2 2 2 2 5 3 2" xfId="13529" xr:uid="{A20F3CE7-7340-4F31-8B5A-AECF84B5FC26}"/>
    <cellStyle name="40% - Accent3 2 2 2 2 5 4" xfId="13525" xr:uid="{158B368B-2BA2-4F9B-B29B-73127ECD141F}"/>
    <cellStyle name="40% - Accent3 2 2 2 2 6" xfId="13524" xr:uid="{0F61E3B4-40A3-4D62-81C2-5DD728A73AC8}"/>
    <cellStyle name="40% - Accent3 2 2 2 2 6 2" xfId="13523" xr:uid="{A0CC0B8E-1F44-4766-91ED-3D71118B30B1}"/>
    <cellStyle name="40% - Accent3 2 2 2 2 6 2 2" xfId="13521" xr:uid="{CBD6A559-4CD3-4AAF-A4A8-1948F94DAFB6}"/>
    <cellStyle name="40% - Accent3 2 2 2 2 6 3" xfId="13516" xr:uid="{9F5FC806-4CB5-4E32-8816-F634D4ABD314}"/>
    <cellStyle name="40% - Accent3 2 2 2 2 7" xfId="25247" xr:uid="{D89DD10C-E7B4-470F-8EC5-AA4283306C04}"/>
    <cellStyle name="40% - Accent3 2 2 2 2 7 2" xfId="25243" xr:uid="{B5CAF8D5-7428-4EB7-8FC3-910A39716847}"/>
    <cellStyle name="40% - Accent3 2 2 2 2 8" xfId="25231" xr:uid="{CE0356F7-5E57-4B10-AF6B-74DC7D4EF39B}"/>
    <cellStyle name="40% - Accent3 2 2 2 3" xfId="5634" xr:uid="{0D2851AB-5802-461C-81CD-721F196DB94B}"/>
    <cellStyle name="40% - Accent3 2 2 2 3 2" xfId="13515" xr:uid="{E8FA02FF-6CD4-4EE5-81EF-04EB26971C7C}"/>
    <cellStyle name="40% - Accent3 2 2 2 3 2 2" xfId="9152" xr:uid="{F324C18B-3C3A-4BE6-9BD4-9585BAD96446}"/>
    <cellStyle name="40% - Accent3 2 2 2 3 2 2 2" xfId="31797" xr:uid="{E90AC06A-21CF-418D-ACC8-6CAA353C580E}"/>
    <cellStyle name="40% - Accent3 2 2 2 3 2 2 2 2" xfId="13512" xr:uid="{38415175-2053-4835-8BEF-2EFF9F6C00B6}"/>
    <cellStyle name="40% - Accent3 2 2 2 3 2 2 2 2 2" xfId="12282" xr:uid="{C88659F7-7098-4FDA-A60F-A8332EE995EC}"/>
    <cellStyle name="40% - Accent3 2 2 2 3 2 2 2 2 2 2" xfId="31333" xr:uid="{E5A66F63-CB59-4F4F-9D11-4209A08D7C93}"/>
    <cellStyle name="40% - Accent3 2 2 2 3 2 2 2 2 3" xfId="13510" xr:uid="{70C64557-7ADF-4204-9BCF-1A7D46C9065D}"/>
    <cellStyle name="40% - Accent3 2 2 2 3 2 2 2 3" xfId="13508" xr:uid="{64F1A6D0-C392-4503-89D6-CDC8E8AEC887}"/>
    <cellStyle name="40% - Accent3 2 2 2 3 2 2 2 3 2" xfId="12268" xr:uid="{93EDF402-B0CB-4094-B833-D4DFEAEE1AFF}"/>
    <cellStyle name="40% - Accent3 2 2 2 3 2 2 2 4" xfId="13507" xr:uid="{4ABB69AC-E4F9-4551-8CC5-521869C799A2}"/>
    <cellStyle name="40% - Accent3 2 2 2 3 2 2 3" xfId="27843" xr:uid="{B539B3C9-A4FF-4E15-B27B-DF63C2FD006B}"/>
    <cellStyle name="40% - Accent3 2 2 2 3 2 2 3 2" xfId="13506" xr:uid="{EE5E5F4B-320A-4CFA-8C39-5C4180B5477B}"/>
    <cellStyle name="40% - Accent3 2 2 2 3 2 2 3 2 2" xfId="12286" xr:uid="{F22810C5-7F01-4152-911F-0E1742EA77EA}"/>
    <cellStyle name="40% - Accent3 2 2 2 3 2 2 3 3" xfId="13504" xr:uid="{E1F5CE89-427D-4C9C-8A11-AFCD7BD7DB5A}"/>
    <cellStyle name="40% - Accent3 2 2 2 3 2 2 4" xfId="23033" xr:uid="{65A6F52C-0859-4CD3-9D64-6533C39DB9CF}"/>
    <cellStyle name="40% - Accent3 2 2 2 3 2 2 4 2" xfId="13502" xr:uid="{D4CB8C8E-A377-4EF4-9D11-5DA94DDEA89E}"/>
    <cellStyle name="40% - Accent3 2 2 2 3 2 2 5" xfId="16915" xr:uid="{2ACD8783-AD51-482D-B189-D57CFA45122D}"/>
    <cellStyle name="40% - Accent3 2 2 2 3 2 3" xfId="9144" xr:uid="{11CEB21A-7874-4124-ACC2-A17AEC0F40D8}"/>
    <cellStyle name="40% - Accent3 2 2 2 3 2 3 2" xfId="5620" xr:uid="{8115A663-86D1-4598-96DE-60EC4BD2AA69}"/>
    <cellStyle name="40% - Accent3 2 2 2 3 2 3 2 2" xfId="13498" xr:uid="{FCC9E033-3466-4BDB-A2B5-939BCCA741EA}"/>
    <cellStyle name="40% - Accent3 2 2 2 3 2 3 2 2 2" xfId="12241" xr:uid="{4645F608-1380-4F7C-AFFA-8D8CC78EE537}"/>
    <cellStyle name="40% - Accent3 2 2 2 3 2 3 2 3" xfId="21052" xr:uid="{9BAC394F-E61A-48D3-A844-79353129799C}"/>
    <cellStyle name="40% - Accent3 2 2 2 3 2 3 3" xfId="5405" xr:uid="{57DB1A59-0AFF-4A3F-B157-2FA0CD11EECF}"/>
    <cellStyle name="40% - Accent3 2 2 2 3 2 3 3 2" xfId="13497" xr:uid="{9CB692DB-B405-4C17-8123-211D039C8AC8}"/>
    <cellStyle name="40% - Accent3 2 2 2 3 2 3 4" xfId="23405" xr:uid="{37C96F87-EB04-4A6D-832B-19B352485831}"/>
    <cellStyle name="40% - Accent3 2 2 2 3 2 4" xfId="13496" xr:uid="{E182A56C-E2D9-4D34-AEBE-3B13B390DDB4}"/>
    <cellStyle name="40% - Accent3 2 2 2 3 2 4 2" xfId="13489" xr:uid="{07387EFE-9E21-4317-952D-92F23D319CE7}"/>
    <cellStyle name="40% - Accent3 2 2 2 3 2 4 2 2" xfId="13485" xr:uid="{836F15BC-F8BC-4627-A6E0-B97604988868}"/>
    <cellStyle name="40% - Accent3 2 2 2 3 2 4 3" xfId="28411" xr:uid="{5D09203C-DCB1-4885-A8B6-4471AB4AE15E}"/>
    <cellStyle name="40% - Accent3 2 2 2 3 2 5" xfId="13483" xr:uid="{7379A705-72CC-423F-A94D-A9E55E9FB756}"/>
    <cellStyle name="40% - Accent3 2 2 2 3 2 5 2" xfId="13480" xr:uid="{78EFE540-E723-4F80-8B0E-8790E2D41294}"/>
    <cellStyle name="40% - Accent3 2 2 2 3 2 6" xfId="13477" xr:uid="{264FE8F9-71BF-48E7-9097-8D0008011F5B}"/>
    <cellStyle name="40% - Accent3 2 2 2 3 3" xfId="10512" xr:uid="{5FD3C44E-7B82-4D04-9C60-BA88848A3248}"/>
    <cellStyle name="40% - Accent3 2 2 2 3 3 2" xfId="12565" xr:uid="{957743E4-FEDE-41D5-A680-BCB322E15038}"/>
    <cellStyle name="40% - Accent3 2 2 2 3 3 2 2" xfId="13474" xr:uid="{A116D5A9-BC11-4FAC-A15D-7BED5F6CCA61}"/>
    <cellStyle name="40% - Accent3 2 2 2 3 3 2 2 2" xfId="13470" xr:uid="{D7195157-82EA-4E34-BDEB-6513301CDF91}"/>
    <cellStyle name="40% - Accent3 2 2 2 3 3 2 2 2 2" xfId="11960" xr:uid="{654BEAE5-16EE-4E8D-98DB-120A7D688978}"/>
    <cellStyle name="40% - Accent3 2 2 2 3 3 2 2 3" xfId="32994" xr:uid="{DB08CE59-ADD5-4B21-9B3E-C52DD4E6CDA4}"/>
    <cellStyle name="40% - Accent3 2 2 2 3 3 2 3" xfId="29997" xr:uid="{5504772E-BE2C-4901-833C-9D68537AFB87}"/>
    <cellStyle name="40% - Accent3 2 2 2 3 3 2 3 2" xfId="13469" xr:uid="{3F16D820-697A-4EFA-88EC-5F5654DF4360}"/>
    <cellStyle name="40% - Accent3 2 2 2 3 3 2 4" xfId="23387" xr:uid="{F406FCD1-6321-4770-BE02-264E35B44EC5}"/>
    <cellStyle name="40% - Accent3 2 2 2 3 3 3" xfId="13468" xr:uid="{77D4C4C2-B615-4EEF-937E-AC0734837A81}"/>
    <cellStyle name="40% - Accent3 2 2 2 3 3 3 2" xfId="13466" xr:uid="{572251CA-9881-491B-9B99-06708BFF50CA}"/>
    <cellStyle name="40% - Accent3 2 2 2 3 3 3 2 2" xfId="13463" xr:uid="{8704E828-5734-4482-8B81-7FD2A5554058}"/>
    <cellStyle name="40% - Accent3 2 2 2 3 3 3 3" xfId="25924" xr:uid="{BFB8D699-0702-42EB-A669-FB83DE10372A}"/>
    <cellStyle name="40% - Accent3 2 2 2 3 3 4" xfId="13462" xr:uid="{49CF8271-6278-44B8-8DAA-41776B643D62}"/>
    <cellStyle name="40% - Accent3 2 2 2 3 3 4 2" xfId="13459" xr:uid="{C52225D4-5FCE-4B83-96B8-DC4D3C060DE4}"/>
    <cellStyle name="40% - Accent3 2 2 2 3 3 5" xfId="13456" xr:uid="{54FFE8DC-8C58-4804-A5A0-629E967AF686}"/>
    <cellStyle name="40% - Accent3 2 2 2 3 4" xfId="10506" xr:uid="{2228B61B-7F06-46D0-B922-9E0A855657E4}"/>
    <cellStyle name="40% - Accent3 2 2 2 3 4 2" xfId="29159" xr:uid="{F6644805-A15D-4A35-83AE-42BF943EAAC9}"/>
    <cellStyle name="40% - Accent3 2 2 2 3 4 2 2" xfId="13451" xr:uid="{3AE43E07-D0A4-44D8-BD71-022A8A7DCBD3}"/>
    <cellStyle name="40% - Accent3 2 2 2 3 4 2 2 2" xfId="13448" xr:uid="{B2CB6A1D-C7A3-4296-8E31-E0CAA496C59D}"/>
    <cellStyle name="40% - Accent3 2 2 2 3 4 2 3" xfId="32168" xr:uid="{B746A435-90AF-459F-B982-E2EA747FD49C}"/>
    <cellStyle name="40% - Accent3 2 2 2 3 4 3" xfId="13446" xr:uid="{74566239-7E3D-44C6-83CE-31C23BDB611A}"/>
    <cellStyle name="40% - Accent3 2 2 2 3 4 3 2" xfId="13444" xr:uid="{B732E2EE-CC23-4605-BE06-31247AD3C3BD}"/>
    <cellStyle name="40% - Accent3 2 2 2 3 4 4" xfId="14192" xr:uid="{4A96C55A-EE05-40FD-B541-8AA7CEAFEC8E}"/>
    <cellStyle name="40% - Accent3 2 2 2 3 5" xfId="13440" xr:uid="{07D94895-B06F-40A0-99E1-4E181AB90542}"/>
    <cellStyle name="40% - Accent3 2 2 2 3 5 2" xfId="13439" xr:uid="{689A65B1-BE04-4B75-BC1A-159D24AE7B7E}"/>
    <cellStyle name="40% - Accent3 2 2 2 3 5 2 2" xfId="23243" xr:uid="{4E8CD362-E4E2-48CC-8A7A-510A9D139B18}"/>
    <cellStyle name="40% - Accent3 2 2 2 3 5 3" xfId="13438" xr:uid="{6CE38782-0CEF-4914-940C-A49EBFF7E995}"/>
    <cellStyle name="40% - Accent3 2 2 2 3 6" xfId="13436" xr:uid="{4BB3FC6A-EA83-42F3-B5B6-7E2E362BC091}"/>
    <cellStyle name="40% - Accent3 2 2 2 3 6 2" xfId="13435" xr:uid="{38B6E3E2-7BE8-42EF-A540-33F720A158B2}"/>
    <cellStyle name="40% - Accent3 2 2 2 3 7" xfId="25220" xr:uid="{8D9632B4-C2A7-4DD5-88F4-BE6F9449CC60}"/>
    <cellStyle name="40% - Accent3 2 2 2 4" xfId="25485" xr:uid="{9C16DCB2-4C8A-4125-BEDD-653CB3D133EB}"/>
    <cellStyle name="40% - Accent3 2 2 2 4 2" xfId="9141" xr:uid="{846BB389-ACCC-48C7-A6F0-C00BF15AC267}"/>
    <cellStyle name="40% - Accent3 2 2 2 4 2 2" xfId="13434" xr:uid="{C674ECE1-98E4-4365-ACCD-15B66C080B41}"/>
    <cellStyle name="40% - Accent3 2 2 2 4 2 2 2" xfId="20112" xr:uid="{B995863C-279E-4480-8D56-3E7F2C6A29D7}"/>
    <cellStyle name="40% - Accent3 2 2 2 4 2 2 2 2" xfId="31870" xr:uid="{FAE0D640-D036-4ABA-9A06-5758AA14F9C7}"/>
    <cellStyle name="40% - Accent3 2 2 2 4 2 2 2 2 2" xfId="13432" xr:uid="{D33262A7-72AF-402F-AD65-26C66C50E561}"/>
    <cellStyle name="40% - Accent3 2 2 2 4 2 2 2 3" xfId="13429" xr:uid="{DEDF1CE8-F9EE-46CB-A09C-3435D8C5C0E2}"/>
    <cellStyle name="40% - Accent3 2 2 2 4 2 2 3" xfId="28889" xr:uid="{C499CA62-D2FA-4517-8047-E5824FA42C7A}"/>
    <cellStyle name="40% - Accent3 2 2 2 4 2 2 3 2" xfId="34089" xr:uid="{C6C290CA-60A1-4781-86FA-2CBE4813751E}"/>
    <cellStyle name="40% - Accent3 2 2 2 4 2 2 4" xfId="25652" xr:uid="{F0566A74-C757-4E2A-9AE0-02B7FC83A22F}"/>
    <cellStyle name="40% - Accent3 2 2 2 4 2 3" xfId="13428" xr:uid="{3F77537B-8D30-40AE-A5E8-937764A13196}"/>
    <cellStyle name="40% - Accent3 2 2 2 4 2 3 2" xfId="13425" xr:uid="{EEA31155-C85D-4276-821B-2183B0E24C6C}"/>
    <cellStyle name="40% - Accent3 2 2 2 4 2 3 2 2" xfId="18138" xr:uid="{E6CE1D8E-3410-40F1-8EBD-6DEF2B95265B}"/>
    <cellStyle name="40% - Accent3 2 2 2 4 2 3 3" xfId="28857" xr:uid="{644F962C-ED7E-46E2-80F6-0C3C5FFE17CD}"/>
    <cellStyle name="40% - Accent3 2 2 2 4 2 4" xfId="25474" xr:uid="{931D26F9-59C0-4B43-9CA6-E409407507E4}"/>
    <cellStyle name="40% - Accent3 2 2 2 4 2 4 2" xfId="13422" xr:uid="{D8CD861F-35AA-46EF-A703-772D6F2395CA}"/>
    <cellStyle name="40% - Accent3 2 2 2 4 2 5" xfId="29101" xr:uid="{A4B4D977-00B5-4C7C-89A6-517104625698}"/>
    <cellStyle name="40% - Accent3 2 2 2 4 3" xfId="10497" xr:uid="{B0638226-5197-44BD-94D6-338E27D5293F}"/>
    <cellStyle name="40% - Accent3 2 2 2 4 3 2" xfId="13418" xr:uid="{7E15FA57-6A16-4B39-8673-6C9A388E4AC3}"/>
    <cellStyle name="40% - Accent3 2 2 2 4 3 2 2" xfId="13417" xr:uid="{25E45E02-CDEC-470C-A4EA-8B732279AAB5}"/>
    <cellStyle name="40% - Accent3 2 2 2 4 3 2 2 2" xfId="13412" xr:uid="{69CD9A00-7CE3-43F0-8831-0838FCBA74ED}"/>
    <cellStyle name="40% - Accent3 2 2 2 4 3 2 3" xfId="28657" xr:uid="{30AF1D5C-212E-4957-B817-99E6456882F7}"/>
    <cellStyle name="40% - Accent3 2 2 2 4 3 3" xfId="13411" xr:uid="{BD46C401-9AB0-4A50-8C8D-6A8CD49A42A0}"/>
    <cellStyle name="40% - Accent3 2 2 2 4 3 3 2" xfId="13409" xr:uid="{E30C005D-2E0E-42D1-89C6-42127910CFAE}"/>
    <cellStyle name="40% - Accent3 2 2 2 4 3 4" xfId="13405" xr:uid="{AD382CAD-9D00-4540-90AE-91E9AADF0DBE}"/>
    <cellStyle name="40% - Accent3 2 2 2 4 4" xfId="13403" xr:uid="{8B73D6DE-2C71-45D0-98A1-91E41495A66E}"/>
    <cellStyle name="40% - Accent3 2 2 2 4 4 2" xfId="13402" xr:uid="{E3ADCB2C-B8CA-46D5-A95A-E1C41F9FDB1C}"/>
    <cellStyle name="40% - Accent3 2 2 2 4 4 2 2" xfId="13401" xr:uid="{5FFFD613-3A2D-4C7A-912E-E66EB628FC43}"/>
    <cellStyle name="40% - Accent3 2 2 2 4 4 3" xfId="31018" xr:uid="{16CBEA8D-F1EB-4140-B687-79147B510B79}"/>
    <cellStyle name="40% - Accent3 2 2 2 4 5" xfId="13394" xr:uid="{67325AE5-B041-4376-9D34-14B5F8D661BE}"/>
    <cellStyle name="40% - Accent3 2 2 2 4 5 2" xfId="32221" xr:uid="{0DEFA3F0-6A2C-45A0-9946-BA935A219FB7}"/>
    <cellStyle name="40% - Accent3 2 2 2 4 6" xfId="13393" xr:uid="{057CB3F8-27E5-49B9-98B4-F08FF1006242}"/>
    <cellStyle name="40% - Accent3 2 2 2 5" xfId="22547" xr:uid="{8C2DFF5F-4062-41F2-ACE9-4C2D40E0E717}"/>
    <cellStyle name="40% - Accent3 2 2 2 5 2" xfId="9137" xr:uid="{40E7487C-FAAE-4F80-9180-34B25CEFF2C6}"/>
    <cellStyle name="40% - Accent3 2 2 2 5 2 2" xfId="13392" xr:uid="{53376EE0-0667-4181-A83C-C6921E8697BF}"/>
    <cellStyle name="40% - Accent3 2 2 2 5 2 2 2" xfId="13391" xr:uid="{7227EDCB-A69C-4F3E-B4EB-8A1C785FC04C}"/>
    <cellStyle name="40% - Accent3 2 2 2 5 2 2 2 2" xfId="13388" xr:uid="{EEE5FFA8-B721-4952-A50B-6735E45EA4CB}"/>
    <cellStyle name="40% - Accent3 2 2 2 5 2 2 3" xfId="27420" xr:uid="{9062C4FE-3C2F-46E7-80AB-066DE8BEA6F2}"/>
    <cellStyle name="40% - Accent3 2 2 2 5 2 3" xfId="13386" xr:uid="{061404CD-658A-4C05-BC67-3FE1A2D02FD3}"/>
    <cellStyle name="40% - Accent3 2 2 2 5 2 3 2" xfId="18030" xr:uid="{41CA8260-C402-43BC-B5E6-2559A104813B}"/>
    <cellStyle name="40% - Accent3 2 2 2 5 2 4" xfId="13384" xr:uid="{A56929BF-7C88-464A-9F11-D09CE79E68A4}"/>
    <cellStyle name="40% - Accent3 2 2 2 5 3" xfId="13382" xr:uid="{D2FC4917-339A-47FE-B9B8-16905576BB7E}"/>
    <cellStyle name="40% - Accent3 2 2 2 5 3 2" xfId="22086" xr:uid="{413B17AC-C981-4F38-B1EA-EA70033B1C47}"/>
    <cellStyle name="40% - Accent3 2 2 2 5 3 2 2" xfId="13381" xr:uid="{B3433C47-D5D6-4C61-927D-CD8917D55C7E}"/>
    <cellStyle name="40% - Accent3 2 2 2 5 3 3" xfId="13375" xr:uid="{BBD7C206-65D1-438B-9DE3-775ECB028947}"/>
    <cellStyle name="40% - Accent3 2 2 2 5 4" xfId="13373" xr:uid="{AB1E90E6-175C-4DA2-BE83-6915E6B8D2D2}"/>
    <cellStyle name="40% - Accent3 2 2 2 5 4 2" xfId="13372" xr:uid="{A309AF24-009D-4182-8D2A-EB38B3297B99}"/>
    <cellStyle name="40% - Accent3 2 2 2 5 5" xfId="13371" xr:uid="{8F6EFB0F-8A78-4E65-BFF7-B18AB8F77C87}"/>
    <cellStyle name="40% - Accent3 2 2 2 6" xfId="18751" xr:uid="{A741BE89-1CC9-4DFB-9FA4-DC96F494416F}"/>
    <cellStyle name="40% - Accent3 2 2 2 6 2" xfId="18748" xr:uid="{CD2930FA-6C63-47B5-81A1-6B0B2364D1B7}"/>
    <cellStyle name="40% - Accent3 2 2 2 6 2 2" xfId="19366" xr:uid="{25F84CDA-C132-44EC-AD8A-AA7FE35BD03E}"/>
    <cellStyle name="40% - Accent3 2 2 2 6 2 2 2" xfId="16757" xr:uid="{A22A0232-E8CC-4275-B9CF-927B06D8087E}"/>
    <cellStyle name="40% - Accent3 2 2 2 6 2 3" xfId="19361" xr:uid="{FE6EB3B4-3E8C-4DF8-B77D-07EEB7185B02}"/>
    <cellStyle name="40% - Accent3 2 2 2 6 3" xfId="18745" xr:uid="{57AF97F5-EE5E-4F0B-946A-3A99F6AEEB6F}"/>
    <cellStyle name="40% - Accent3 2 2 2 6 3 2" xfId="19347" xr:uid="{58856984-040D-4D76-9838-375144C95E43}"/>
    <cellStyle name="40% - Accent3 2 2 2 6 4" xfId="18742" xr:uid="{BFBFDA87-2A35-42D2-B97A-4BE331C994FA}"/>
    <cellStyle name="40% - Accent3 2 2 2 7" xfId="18738" xr:uid="{EB002C56-7ED7-4E43-BAB4-BAC6B29AB42D}"/>
    <cellStyle name="40% - Accent3 2 2 2 7 2" xfId="19968" xr:uid="{19846C18-4758-436A-B462-84FBAEDF741D}"/>
    <cellStyle name="40% - Accent3 2 2 2 7 2 2" xfId="19325" xr:uid="{5D3B1422-F2DF-46A8-83FD-1D621FEAFCDF}"/>
    <cellStyle name="40% - Accent3 2 2 2 7 3" xfId="19966" xr:uid="{4B4A20CD-C38E-4050-B7E9-FEB9B7D89D32}"/>
    <cellStyle name="40% - Accent3 2 2 2 8" xfId="18261" xr:uid="{9D1B1DAE-175B-4420-A0B1-91FA9E33FE7E}"/>
    <cellStyle name="40% - Accent3 2 2 2 8 2" xfId="19957" xr:uid="{AF358300-290C-45A7-B394-4FB767969AE4}"/>
    <cellStyle name="40% - Accent3 2 2 2 9" xfId="18731" xr:uid="{68A50A55-25C7-4BDD-AA4B-59D706058539}"/>
    <cellStyle name="40% - Accent3 2 2 3" xfId="13370" xr:uid="{25A1A1A4-062D-46AF-A9A0-A24B643693DE}"/>
    <cellStyle name="40% - Accent3 2 2 3 2" xfId="9131" xr:uid="{0ED00F58-2DBC-4E54-8965-F7B1D2E76AEF}"/>
    <cellStyle name="40% - Accent3 2 2 3 2 2" xfId="9127" xr:uid="{7E45386C-CFC1-4663-8918-7F5C89DB3A60}"/>
    <cellStyle name="40% - Accent3 2 2 3 2 2 2" xfId="9122" xr:uid="{27F79A46-682A-473F-96A5-47271819835D}"/>
    <cellStyle name="40% - Accent3 2 2 3 2 2 2 2" xfId="16690" xr:uid="{34C8016A-1C54-47F9-A60C-615E98C68745}"/>
    <cellStyle name="40% - Accent3 2 2 3 2 2 2 2 2" xfId="13368" xr:uid="{F0DA79C9-343B-4307-B6C7-61E171C1F0B5}"/>
    <cellStyle name="40% - Accent3 2 2 3 2 2 2 2 2 2" xfId="13367" xr:uid="{C97162CC-A217-428A-BA25-76F168A2E5D3}"/>
    <cellStyle name="40% - Accent3 2 2 3 2 2 2 2 2 2 2" xfId="13365" xr:uid="{276EE453-5F42-4827-8A9B-DA5700DEBBCB}"/>
    <cellStyle name="40% - Accent3 2 2 3 2 2 2 2 2 3" xfId="13363" xr:uid="{0CF038E1-9B92-42B9-959C-E71A81FC029C}"/>
    <cellStyle name="40% - Accent3 2 2 3 2 2 2 2 3" xfId="13361" xr:uid="{DBCB3E1E-8F6C-46EF-B528-78FDFFB7E073}"/>
    <cellStyle name="40% - Accent3 2 2 3 2 2 2 2 3 2" xfId="13360" xr:uid="{DC7B9A78-0BA9-4E37-8241-067A066C9F86}"/>
    <cellStyle name="40% - Accent3 2 2 3 2 2 2 2 4" xfId="13358" xr:uid="{54461F56-9008-416C-9002-3DDE1A3BDA7E}"/>
    <cellStyle name="40% - Accent3 2 2 3 2 2 2 3" xfId="16687" xr:uid="{672EDE6C-0CED-4167-A215-28CFF2B2D3E4}"/>
    <cellStyle name="40% - Accent3 2 2 3 2 2 2 3 2" xfId="13357" xr:uid="{5A53BE70-7634-4582-B265-4F5B1E1C10F7}"/>
    <cellStyle name="40% - Accent3 2 2 3 2 2 2 3 2 2" xfId="13356" xr:uid="{A0D6DB5D-D2F2-40E2-BD72-CBF8F5E9DB42}"/>
    <cellStyle name="40% - Accent3 2 2 3 2 2 2 3 3" xfId="13354" xr:uid="{E791A315-C6C9-4279-820A-97E69F1292F4}"/>
    <cellStyle name="40% - Accent3 2 2 3 2 2 2 4" xfId="13351" xr:uid="{520661B1-CA21-4995-9CD2-5E96F73A74BD}"/>
    <cellStyle name="40% - Accent3 2 2 3 2 2 2 4 2" xfId="6432" xr:uid="{D656E3AA-EE1F-4238-9B07-0F25C03AA37D}"/>
    <cellStyle name="40% - Accent3 2 2 3 2 2 2 5" xfId="13347" xr:uid="{D83A6933-A92C-4C1A-8C76-4E8904401268}"/>
    <cellStyle name="40% - Accent3 2 2 3 2 2 3" xfId="9116" xr:uid="{2911E6E1-4012-483B-861C-B1984E70BE1C}"/>
    <cellStyle name="40% - Accent3 2 2 3 2 2 3 2" xfId="16683" xr:uid="{0D43438C-8C8A-4B43-940F-956435CB3A23}"/>
    <cellStyle name="40% - Accent3 2 2 3 2 2 3 2 2" xfId="13344" xr:uid="{D0A00F35-9C5C-427D-8EF2-551BA2E8F519}"/>
    <cellStyle name="40% - Accent3 2 2 3 2 2 3 2 2 2" xfId="13343" xr:uid="{D02182D2-6DE7-4565-AF23-457505E961FC}"/>
    <cellStyle name="40% - Accent3 2 2 3 2 2 3 2 3" xfId="13341" xr:uid="{33DD9A1A-83DE-42FE-BAB3-0D994442E7D4}"/>
    <cellStyle name="40% - Accent3 2 2 3 2 2 3 3" xfId="5388" xr:uid="{58E62CB9-10E5-4461-8A01-DE5FE741740A}"/>
    <cellStyle name="40% - Accent3 2 2 3 2 2 3 3 2" xfId="13338" xr:uid="{5D67705E-74F0-4DA8-A917-1732E7404F10}"/>
    <cellStyle name="40% - Accent3 2 2 3 2 2 3 4" xfId="13337" xr:uid="{987D117B-0573-4CED-9544-8245E4A21746}"/>
    <cellStyle name="40% - Accent3 2 2 3 2 2 4" xfId="33684" xr:uid="{6DB61169-E9D3-484A-8B3B-95A7AF84A573}"/>
    <cellStyle name="40% - Accent3 2 2 3 2 2 4 2" xfId="13333" xr:uid="{DE2052F9-FCD9-4E7D-B043-712ADA1BDB4B}"/>
    <cellStyle name="40% - Accent3 2 2 3 2 2 4 2 2" xfId="13330" xr:uid="{E7971C49-9B20-4CFC-B9CF-43AB4A8053F0}"/>
    <cellStyle name="40% - Accent3 2 2 3 2 2 4 3" xfId="16128" xr:uid="{904278AA-2B48-4A62-978F-6153B6D4552B}"/>
    <cellStyle name="40% - Accent3 2 2 3 2 2 5" xfId="32517" xr:uid="{67FB9492-F615-469F-B0C7-3AB3401C2A3F}"/>
    <cellStyle name="40% - Accent3 2 2 3 2 2 5 2" xfId="13328" xr:uid="{97327DB5-2516-441D-9B2A-43A86D2564DA}"/>
    <cellStyle name="40% - Accent3 2 2 3 2 2 6" xfId="33334" xr:uid="{E8930A2E-C653-431A-9BF6-A63CDB8DFB9C}"/>
    <cellStyle name="40% - Accent3 2 2 3 2 3" xfId="10463" xr:uid="{A38F879C-59CE-49FE-BF57-06B8568F9F89}"/>
    <cellStyle name="40% - Accent3 2 2 3 2 3 2" xfId="12498" xr:uid="{F9125F9D-C34F-4F41-A5F3-D4126523A720}"/>
    <cellStyle name="40% - Accent3 2 2 3 2 3 2 2" xfId="16672" xr:uid="{97A26D5E-DA79-418F-9B9B-2E920CAC91DE}"/>
    <cellStyle name="40% - Accent3 2 2 3 2 3 2 2 2" xfId="13325" xr:uid="{CA0450E7-7A94-4BB8-8C19-180DBABEE606}"/>
    <cellStyle name="40% - Accent3 2 2 3 2 3 2 2 2 2" xfId="13324" xr:uid="{46487246-1201-4AFF-BDB9-9190DE8CC224}"/>
    <cellStyle name="40% - Accent3 2 2 3 2 3 2 2 3" xfId="13321" xr:uid="{D5DBAE75-B1AC-4D0E-9D7B-93B31430DC1A}"/>
    <cellStyle name="40% - Accent3 2 2 3 2 3 2 3" xfId="13320" xr:uid="{E9AC2248-8347-4713-A586-A9B44862FD73}"/>
    <cellStyle name="40% - Accent3 2 2 3 2 3 2 3 2" xfId="7945" xr:uid="{B823E05E-9E79-4DAE-BDA2-91F353DFC441}"/>
    <cellStyle name="40% - Accent3 2 2 3 2 3 2 4" xfId="13317" xr:uid="{5F222A37-EBAD-4C4E-B00F-96A8AC4932C7}"/>
    <cellStyle name="40% - Accent3 2 2 3 2 3 3" xfId="33614" xr:uid="{197E3931-D957-4679-8597-2B97F5BF0BEA}"/>
    <cellStyle name="40% - Accent3 2 2 3 2 3 3 2" xfId="13314" xr:uid="{D9CA1BBB-4614-41FD-9634-BD391AF05CE1}"/>
    <cellStyle name="40% - Accent3 2 2 3 2 3 3 2 2" xfId="13311" xr:uid="{C56A12EE-7C43-4DE6-8732-762AF9ADF5A7}"/>
    <cellStyle name="40% - Accent3 2 2 3 2 3 3 3" xfId="13310" xr:uid="{A71E5BDF-9024-4186-A4B4-D850B346A3CC}"/>
    <cellStyle name="40% - Accent3 2 2 3 2 3 4" xfId="33612" xr:uid="{4529B5E4-FDF8-455E-A8C4-50E16D6CDB7B}"/>
    <cellStyle name="40% - Accent3 2 2 3 2 3 4 2" xfId="13308" xr:uid="{AEDEC057-5848-4CB2-B2E4-1B7C448F4706}"/>
    <cellStyle name="40% - Accent3 2 2 3 2 3 5" xfId="29607" xr:uid="{65B2C18D-CBD6-4909-93EF-EDB50BF60EB5}"/>
    <cellStyle name="40% - Accent3 2 2 3 2 4" xfId="10454" xr:uid="{813EABB8-343B-4967-9984-B9C370735517}"/>
    <cellStyle name="40% - Accent3 2 2 3 2 4 2" xfId="26058" xr:uid="{E48C8D1B-595C-4125-B4FE-638D3700DFD9}"/>
    <cellStyle name="40% - Accent3 2 2 3 2 4 2 2" xfId="14890" xr:uid="{128E6ED0-6822-4DD5-A993-2F353065E37E}"/>
    <cellStyle name="40% - Accent3 2 2 3 2 4 2 2 2" xfId="13306" xr:uid="{0E506026-3C4A-44C8-95F5-060C1296C859}"/>
    <cellStyle name="40% - Accent3 2 2 3 2 4 2 3" xfId="13303" xr:uid="{5DB15EC4-FCA6-4D11-A7DF-FD1EC52CE1C9}"/>
    <cellStyle name="40% - Accent3 2 2 3 2 4 3" xfId="31800" xr:uid="{AE5B353E-E58D-49F1-B894-FB1144FECC35}"/>
    <cellStyle name="40% - Accent3 2 2 3 2 4 3 2" xfId="13301" xr:uid="{EFB4191C-8AE1-47CF-A02B-C4242184167A}"/>
    <cellStyle name="40% - Accent3 2 2 3 2 4 4" xfId="33616" xr:uid="{85D6CD81-D19D-4F4F-83E0-40039539A747}"/>
    <cellStyle name="40% - Accent3 2 2 3 2 5" xfId="25090" xr:uid="{1EA66F96-49E4-4582-9180-BB6FD3B46D28}"/>
    <cellStyle name="40% - Accent3 2 2 3 2 5 2" xfId="23313" xr:uid="{6F7871DA-A0A8-4D08-AE17-6B51A40113EA}"/>
    <cellStyle name="40% - Accent3 2 2 3 2 5 2 2" xfId="13298" xr:uid="{3580FAF3-4345-4DD4-915A-484CA5B6AF3D}"/>
    <cellStyle name="40% - Accent3 2 2 3 2 5 3" xfId="23308" xr:uid="{4E55D8AB-879D-4035-A4AB-1B891B5C5A36}"/>
    <cellStyle name="40% - Accent3 2 2 3 2 6" xfId="13295" xr:uid="{B6000FA5-C611-4407-9410-4CCF393D639B}"/>
    <cellStyle name="40% - Accent3 2 2 3 2 6 2" xfId="23305" xr:uid="{3DF2728E-C8B9-4E1E-9341-0CEE65EB0D16}"/>
    <cellStyle name="40% - Accent3 2 2 3 2 7" xfId="26660" xr:uid="{CA689E98-BCFF-4B95-9CC2-7375B734A131}"/>
    <cellStyle name="40% - Accent3 2 2 3 3" xfId="13294" xr:uid="{85326A1A-E7C7-4C6E-8D01-61035403D355}"/>
    <cellStyle name="40% - Accent3 2 2 3 3 2" xfId="13288" xr:uid="{5287FFC7-AF30-4BBE-8F6C-FF114EAEF0CC}"/>
    <cellStyle name="40% - Accent3 2 2 3 3 2 2" xfId="33811" xr:uid="{F5CD5B86-B2AB-4541-82C1-B5D0729AA2AB}"/>
    <cellStyle name="40% - Accent3 2 2 3 3 2 2 2" xfId="16656" xr:uid="{16102AB9-4E32-421C-82C6-44589527BA9E}"/>
    <cellStyle name="40% - Accent3 2 2 3 3 2 2 2 2" xfId="13285" xr:uid="{3C14D8AF-B20E-4DB7-8B81-775B34C44447}"/>
    <cellStyle name="40% - Accent3 2 2 3 3 2 2 2 2 2" xfId="27067" xr:uid="{83038519-7DC8-49C2-AC54-3580BBBC5C9E}"/>
    <cellStyle name="40% - Accent3 2 2 3 3 2 2 2 3" xfId="13284" xr:uid="{978D4020-FE0C-44BC-9DCF-2A21C5ADBF58}"/>
    <cellStyle name="40% - Accent3 2 2 3 3 2 2 3" xfId="13283" xr:uid="{2C05C1C0-C3C6-4A0B-8247-2C5AD5778917}"/>
    <cellStyle name="40% - Accent3 2 2 3 3 2 2 3 2" xfId="20020" xr:uid="{CB9074B1-D0EC-428D-8D67-8C1375E5B0C8}"/>
    <cellStyle name="40% - Accent3 2 2 3 3 2 2 4" xfId="13279" xr:uid="{824C7582-29AA-45A6-8CF0-0DD54199D584}"/>
    <cellStyle name="40% - Accent3 2 2 3 3 2 3" xfId="30965" xr:uid="{DDB0B935-132C-4E1E-9D3E-777DD54CC14A}"/>
    <cellStyle name="40% - Accent3 2 2 3 3 2 3 2" xfId="13276" xr:uid="{8EFA4928-2EC7-4570-B9E9-6B8A0A2989DE}"/>
    <cellStyle name="40% - Accent3 2 2 3 3 2 3 2 2" xfId="13274" xr:uid="{A88F1476-E27C-4F26-B4D5-CE2F4DECDF01}"/>
    <cellStyle name="40% - Accent3 2 2 3 3 2 3 3" xfId="13273" xr:uid="{5FE0B042-7517-48A8-9E19-E7FB1186B3B8}"/>
    <cellStyle name="40% - Accent3 2 2 3 3 2 4" xfId="25881" xr:uid="{4D576F21-51AF-436A-B585-4D6EE3CB99D8}"/>
    <cellStyle name="40% - Accent3 2 2 3 3 2 4 2" xfId="13270" xr:uid="{F056A686-FDEC-4D93-AE5E-01C7E9841344}"/>
    <cellStyle name="40% - Accent3 2 2 3 3 2 5" xfId="29406" xr:uid="{A47D6D36-3F37-40B9-80AF-E6908582FFB5}"/>
    <cellStyle name="40% - Accent3 2 2 3 3 3" xfId="10440" xr:uid="{826AE87E-4685-444B-B172-6B29B98C6173}"/>
    <cellStyle name="40% - Accent3 2 2 3 3 3 2" xfId="33548" xr:uid="{36126EEB-1FD5-4CF4-8D21-81E745A94243}"/>
    <cellStyle name="40% - Accent3 2 2 3 3 3 2 2" xfId="13268" xr:uid="{ABAF9322-349F-4C23-AC62-151356AA7DCC}"/>
    <cellStyle name="40% - Accent3 2 2 3 3 3 2 2 2" xfId="13266" xr:uid="{D42477A5-C401-469D-9ACA-8145D7584177}"/>
    <cellStyle name="40% - Accent3 2 2 3 3 3 2 3" xfId="13265" xr:uid="{B9FA2B9E-6B80-467E-AF39-0D5D9CF98E15}"/>
    <cellStyle name="40% - Accent3 2 2 3 3 3 3" xfId="30960" xr:uid="{0A4AD24A-5C89-4E3F-BA01-7B1B42A1ACCA}"/>
    <cellStyle name="40% - Accent3 2 2 3 3 3 3 2" xfId="13263" xr:uid="{A6D64C2E-772D-4DED-9139-558F511E4203}"/>
    <cellStyle name="40% - Accent3 2 2 3 3 3 4" xfId="23745" xr:uid="{5326E566-A8FE-4889-8B31-17D15D124271}"/>
    <cellStyle name="40% - Accent3 2 2 3 3 4" xfId="13261" xr:uid="{9886CE46-7DAA-41CF-91C3-A2C02EE6405B}"/>
    <cellStyle name="40% - Accent3 2 2 3 3 4 2" xfId="31440" xr:uid="{D1440CAB-53B4-4F33-92A7-309F93408717}"/>
    <cellStyle name="40% - Accent3 2 2 3 3 4 2 2" xfId="13260" xr:uid="{263BD891-E3EB-46D4-BA58-F46326A1A0A5}"/>
    <cellStyle name="40% - Accent3 2 2 3 3 4 3" xfId="27717" xr:uid="{FA6B1976-31C5-4817-8A3A-390665C63E2B}"/>
    <cellStyle name="40% - Accent3 2 2 3 3 5" xfId="13258" xr:uid="{175107FE-D17B-443D-A781-81110B1B0770}"/>
    <cellStyle name="40% - Accent3 2 2 3 3 5 2" xfId="23296" xr:uid="{0B0CDAE7-A1CC-4E0F-B655-989CD6AD1C16}"/>
    <cellStyle name="40% - Accent3 2 2 3 3 6" xfId="13255" xr:uid="{F0CFF8CB-1DE4-40FC-9E38-55991C2CF7D1}"/>
    <cellStyle name="40% - Accent3 2 2 3 4" xfId="24503" xr:uid="{27E1EEC4-5D8A-4948-9FA6-CCAE8D4DA48C}"/>
    <cellStyle name="40% - Accent3 2 2 3 4 2" xfId="9112" xr:uid="{13E3A579-5FB1-4F2A-BB79-B55B1F751EF1}"/>
    <cellStyle name="40% - Accent3 2 2 3 4 2 2" xfId="29850" xr:uid="{A69227E7-FC48-405A-BE41-CC09692C34C8}"/>
    <cellStyle name="40% - Accent3 2 2 3 4 2 2 2" xfId="5752" xr:uid="{97DD2639-A4EC-45FF-91DA-986A9C54AE47}"/>
    <cellStyle name="40% - Accent3 2 2 3 4 2 2 2 2" xfId="34275" xr:uid="{4098BAB2-3704-4009-AAE5-BC2C329D2DB0}"/>
    <cellStyle name="40% - Accent3 2 2 3 4 2 2 3" xfId="13248" xr:uid="{595F7A9D-BC82-410D-AD78-F02CAFA48F7C}"/>
    <cellStyle name="40% - Accent3 2 2 3 4 2 3" xfId="31982" xr:uid="{B2653E6B-98CC-425E-B739-755948240575}"/>
    <cellStyle name="40% - Accent3 2 2 3 4 2 3 2" xfId="13244" xr:uid="{ED4EDBDF-7CBA-41F9-9349-B9066958D492}"/>
    <cellStyle name="40% - Accent3 2 2 3 4 2 4" xfId="23718" xr:uid="{14A00DB9-1103-490E-BDF3-C6E16A069ADC}"/>
    <cellStyle name="40% - Accent3 2 2 3 4 3" xfId="13239" xr:uid="{5B27290D-E2A1-4CDD-BAE9-A3A5740051A6}"/>
    <cellStyle name="40% - Accent3 2 2 3 4 3 2" xfId="31900" xr:uid="{1C5D048D-343E-4DF1-B95D-E7325A269576}"/>
    <cellStyle name="40% - Accent3 2 2 3 4 3 2 2" xfId="13238" xr:uid="{232F050C-9E9F-4E76-A5E8-5F933CA759F2}"/>
    <cellStyle name="40% - Accent3 2 2 3 4 3 3" xfId="29967" xr:uid="{8E51FB15-B26F-4D95-89B9-6228908DC89D}"/>
    <cellStyle name="40% - Accent3 2 2 3 4 4" xfId="13231" xr:uid="{FF143174-E4A9-42C3-AF31-1197CA22CCDF}"/>
    <cellStyle name="40% - Accent3 2 2 3 4 4 2" xfId="31868" xr:uid="{9C5DB391-6711-456A-A472-51D1621E69C6}"/>
    <cellStyle name="40% - Accent3 2 2 3 4 5" xfId="13230" xr:uid="{FF1846E6-554E-4EDB-9D53-9706040552A8}"/>
    <cellStyle name="40% - Accent3 2 2 3 5" xfId="13628" xr:uid="{7D78C542-5B7D-4263-A89B-D229273BE659}"/>
    <cellStyle name="40% - Accent3 2 2 3 5 2" xfId="13227" xr:uid="{10281A70-CC37-4FCB-8F5C-862DB5860413}"/>
    <cellStyle name="40% - Accent3 2 2 3 5 2 2" xfId="31751" xr:uid="{DE1C0E70-0CAE-4928-B9F7-97B5EB088EB0}"/>
    <cellStyle name="40% - Accent3 2 2 3 5 2 2 2" xfId="13226" xr:uid="{9147DC0C-3F50-453F-9143-9CE80E4713FE}"/>
    <cellStyle name="40% - Accent3 2 2 3 5 2 3" xfId="24027" xr:uid="{A993DEBF-1554-4AA9-8920-2F3740E82188}"/>
    <cellStyle name="40% - Accent3 2 2 3 5 3" xfId="13222" xr:uid="{C2954505-6D64-4230-AAD5-921FC8159140}"/>
    <cellStyle name="40% - Accent3 2 2 3 5 3 2" xfId="32893" xr:uid="{593905AE-8E0B-476F-8348-8D745B4E40F0}"/>
    <cellStyle name="40% - Accent3 2 2 3 5 4" xfId="13221" xr:uid="{9717DBE5-404A-4295-9DC0-420789B9DEFC}"/>
    <cellStyle name="40% - Accent3 2 2 3 6" xfId="21834" xr:uid="{CE08BBBF-11AA-4A03-A916-3B7828071A5A}"/>
    <cellStyle name="40% - Accent3 2 2 3 6 2" xfId="33543" xr:uid="{2CA1F050-DBB2-43C4-B105-F7E51E9793BC}"/>
    <cellStyle name="40% - Accent3 2 2 3 6 2 2" xfId="31649" xr:uid="{26145F50-D557-4F69-8881-44A38E74CC5B}"/>
    <cellStyle name="40% - Accent3 2 2 3 6 3" xfId="31000" xr:uid="{5EB1C03B-F54F-4645-AE4D-3359F1F9FEE0}"/>
    <cellStyle name="40% - Accent3 2 2 3 7" xfId="21825" xr:uid="{33986176-2682-4994-83B0-562E2C63DFA9}"/>
    <cellStyle name="40% - Accent3 2 2 3 7 2" xfId="33530" xr:uid="{39CC93C5-6B96-4D22-BE85-7F4B4DA0487E}"/>
    <cellStyle name="40% - Accent3 2 2 3 8" xfId="21818" xr:uid="{863D83C6-D7DA-4D9D-80FB-78B555D6B7F1}"/>
    <cellStyle name="40% - Accent3 2 2 4" xfId="13220" xr:uid="{050A671A-228D-4C4B-B097-95CC22FAED89}"/>
    <cellStyle name="40% - Accent3 2 2 4 2" xfId="9108" xr:uid="{41AC2229-ECF6-4C6E-89DD-44C5ED0F84E3}"/>
    <cellStyle name="40% - Accent3 2 2 4 2 2" xfId="9105" xr:uid="{1C7E0DF9-D076-494E-845A-59A71D7E7339}"/>
    <cellStyle name="40% - Accent3 2 2 4 2 2 2" xfId="9100" xr:uid="{154F4AB2-7471-484C-82AF-13E3DB524203}"/>
    <cellStyle name="40% - Accent3 2 2 4 2 2 2 2" xfId="15495" xr:uid="{50585474-5D20-4EC6-8A6C-9D619977E24E}"/>
    <cellStyle name="40% - Accent3 2 2 4 2 2 2 2 2" xfId="15993" xr:uid="{DFE2BD44-9DD9-46C4-A3B6-7E2D094A291D}"/>
    <cellStyle name="40% - Accent3 2 2 4 2 2 2 2 2 2" xfId="15200" xr:uid="{CB7CDB2B-48FA-43ED-935E-0D0F13AC0285}"/>
    <cellStyle name="40% - Accent3 2 2 4 2 2 2 2 3" xfId="25323" xr:uid="{05C90295-EB86-4099-A684-EF365116E7A7}"/>
    <cellStyle name="40% - Accent3 2 2 4 2 2 2 3" xfId="13209" xr:uid="{681A697A-113A-4F37-A63E-9DA60C9C3D10}"/>
    <cellStyle name="40% - Accent3 2 2 4 2 2 2 3 2" xfId="15937" xr:uid="{33CE2008-E169-45BE-8A52-DFD28102D8E4}"/>
    <cellStyle name="40% - Accent3 2 2 4 2 2 2 4" xfId="13206" xr:uid="{57C5E523-ECF0-424A-AE8E-8942640E6453}"/>
    <cellStyle name="40% - Accent3 2 2 4 2 2 3" xfId="33408" xr:uid="{D39930E9-4D60-46D2-98AB-A5B1FA5700B8}"/>
    <cellStyle name="40% - Accent3 2 2 4 2 2 3 2" xfId="13203" xr:uid="{4562E73A-CFE0-466B-8437-7233D03E0E27}"/>
    <cellStyle name="40% - Accent3 2 2 4 2 2 3 2 2" xfId="15813" xr:uid="{AA170916-E56C-4679-96D0-2B17450D35F3}"/>
    <cellStyle name="40% - Accent3 2 2 4 2 2 3 3" xfId="13201" xr:uid="{B61394D9-723B-4D87-8C55-36EB0363CF84}"/>
    <cellStyle name="40% - Accent3 2 2 4 2 2 4" xfId="22850" xr:uid="{3CFED1A9-C3BA-40BF-92B1-6F68B141C2DF}"/>
    <cellStyle name="40% - Accent3 2 2 4 2 2 4 2" xfId="13199" xr:uid="{1C359DAF-C906-41E8-9F64-7895460E3F3D}"/>
    <cellStyle name="40% - Accent3 2 2 4 2 2 5" xfId="21090" xr:uid="{ABD657DF-0857-4E05-8308-17EC68C2EF3A}"/>
    <cellStyle name="40% - Accent3 2 2 4 2 3" xfId="13197" xr:uid="{102DE277-FBEC-4E69-A56B-72CD31A2D6FD}"/>
    <cellStyle name="40% - Accent3 2 2 4 2 3 2" xfId="33364" xr:uid="{CEFD15D2-BFD2-4D09-B98C-FBFE811AE360}"/>
    <cellStyle name="40% - Accent3 2 2 4 2 3 2 2" xfId="13193" xr:uid="{7472964B-98CD-456C-9EB6-C8BA127C250C}"/>
    <cellStyle name="40% - Accent3 2 2 4 2 3 2 2 2" xfId="14008" xr:uid="{C50180AF-1816-4C08-B5BB-16D413A01CC4}"/>
    <cellStyle name="40% - Accent3 2 2 4 2 3 2 3" xfId="13191" xr:uid="{43F92E14-09D2-4F19-91AC-0C1394630B9C}"/>
    <cellStyle name="40% - Accent3 2 2 4 2 3 3" xfId="33359" xr:uid="{5B2B5F5E-CF91-4283-B1F4-4F46503C4F28}"/>
    <cellStyle name="40% - Accent3 2 2 4 2 3 3 2" xfId="13189" xr:uid="{A071EF7F-EF7B-4DA4-B08C-023B0577D802}"/>
    <cellStyle name="40% - Accent3 2 2 4 2 3 4" xfId="21061" xr:uid="{E123C92F-FB9F-4B3C-B055-E1AB0463F87A}"/>
    <cellStyle name="40% - Accent3 2 2 4 2 4" xfId="30753" xr:uid="{4A04EB6B-8A1E-4B28-89E9-03E3A9D46B54}"/>
    <cellStyle name="40% - Accent3 2 2 4 2 4 2" xfId="33144" xr:uid="{9EF2806D-AA1E-4DEC-8334-AD51E7A0CAFE}"/>
    <cellStyle name="40% - Accent3 2 2 4 2 4 2 2" xfId="13186" xr:uid="{85EF7F3E-B416-4AC3-9327-B5E2584F2A29}"/>
    <cellStyle name="40% - Accent3 2 2 4 2 4 3" xfId="33130" xr:uid="{922DE070-3B4A-44AB-BFF3-469E2F21D69A}"/>
    <cellStyle name="40% - Accent3 2 2 4 2 5" xfId="32630" xr:uid="{28F84FAD-E328-4B4B-9748-267A9ECD77BC}"/>
    <cellStyle name="40% - Accent3 2 2 4 2 5 2" xfId="17782" xr:uid="{EC40E64A-5B94-4AAD-A49A-A1D629562DDC}"/>
    <cellStyle name="40% - Accent3 2 2 4 2 6" xfId="13184" xr:uid="{AC658543-62D1-49B0-AC88-8CBEB402F178}"/>
    <cellStyle name="40% - Accent3 2 2 4 3" xfId="19585" xr:uid="{B1329D6A-7B90-41EB-9314-D93B23D210A6}"/>
    <cellStyle name="40% - Accent3 2 2 4 3 2" xfId="9097" xr:uid="{0F94C5C1-D866-48E6-8D04-60FBB9BFDEF0}"/>
    <cellStyle name="40% - Accent3 2 2 4 3 2 2" xfId="31443" xr:uid="{00A8F9E6-5732-4AD5-B415-B3445306D411}"/>
    <cellStyle name="40% - Accent3 2 2 4 3 2 2 2" xfId="13180" xr:uid="{C3BED356-1962-4E44-859F-AB959CBE3373}"/>
    <cellStyle name="40% - Accent3 2 2 4 3 2 2 2 2" xfId="13178" xr:uid="{A5BAC124-C16F-47D8-B17B-03418B84D5C8}"/>
    <cellStyle name="40% - Accent3 2 2 4 3 2 2 3" xfId="13176" xr:uid="{FF454FC9-C4DE-49F8-9222-BDFB08616A8A}"/>
    <cellStyle name="40% - Accent3 2 2 4 3 2 3" xfId="30936" xr:uid="{A893FA99-AAD1-424C-BBE2-84BA30CAC2D7}"/>
    <cellStyle name="40% - Accent3 2 2 4 3 2 3 2" xfId="13174" xr:uid="{B79B781E-7326-49B8-AA37-C7CD9DC0080B}"/>
    <cellStyle name="40% - Accent3 2 2 4 3 2 4" xfId="22940" xr:uid="{C43C6C10-02E3-4C2D-A9B7-795AB89EB110}"/>
    <cellStyle name="40% - Accent3 2 2 4 3 3" xfId="13740" xr:uid="{A387DFDF-C7C0-4DD6-BDBD-74FB27A2F164}"/>
    <cellStyle name="40% - Accent3 2 2 4 3 3 2" xfId="33381" xr:uid="{CB04CA28-667E-4890-863C-277A4F0D3C53}"/>
    <cellStyle name="40% - Accent3 2 2 4 3 3 2 2" xfId="13173" xr:uid="{D41060A7-F956-4DAE-BFF1-DC6173DCF1A3}"/>
    <cellStyle name="40% - Accent3 2 2 4 3 3 3" xfId="30919" xr:uid="{E55B4927-BE27-46CC-BCD7-2C0BC97D2E43}"/>
    <cellStyle name="40% - Accent3 2 2 4 3 4" xfId="6607" xr:uid="{0F57EDDC-E2F0-413D-A4DD-563D2E42B356}"/>
    <cellStyle name="40% - Accent3 2 2 4 3 4 2" xfId="33029" xr:uid="{40D81727-94FF-4C3C-8DE4-745CA06C139E}"/>
    <cellStyle name="40% - Accent3 2 2 4 3 5" xfId="13170" xr:uid="{59ADE89A-408A-4F83-A461-DB5C1F365A7A}"/>
    <cellStyle name="40% - Accent3 2 2 4 4" xfId="13167" xr:uid="{7373016F-07ED-459D-A791-C01C25CE51FE}"/>
    <cellStyle name="40% - Accent3 2 2 4 4 2" xfId="13164" xr:uid="{AC25D68C-19FE-4E2A-8199-9833F9A74E9D}"/>
    <cellStyle name="40% - Accent3 2 2 4 4 2 2" xfId="24530" xr:uid="{37E216FA-1785-43A6-8D80-D338321B8D06}"/>
    <cellStyle name="40% - Accent3 2 2 4 4 2 2 2" xfId="13163" xr:uid="{A4FC82A1-0567-4380-B95D-F0343625DDCC}"/>
    <cellStyle name="40% - Accent3 2 2 4 4 2 3" xfId="22373" xr:uid="{78EDCF38-BED7-4B35-A761-F5F69750E962}"/>
    <cellStyle name="40% - Accent3 2 2 4 4 3" xfId="13160" xr:uid="{80E595B5-3779-4055-927B-9308AF3159AD}"/>
    <cellStyle name="40% - Accent3 2 2 4 4 3 2" xfId="33199" xr:uid="{16F03B3F-F4B7-4AE1-B0BE-7F859D655A56}"/>
    <cellStyle name="40% - Accent3 2 2 4 4 4" xfId="13159" xr:uid="{417694D1-1A15-4014-8239-B4FD162D3C97}"/>
    <cellStyle name="40% - Accent3 2 2 4 5" xfId="13599" xr:uid="{7035F1F4-E513-41BD-A14C-57F485E8B048}"/>
    <cellStyle name="40% - Accent3 2 2 4 5 2" xfId="13158" xr:uid="{B965EAAC-2E19-41F8-BDD4-4DFFC8F7964D}"/>
    <cellStyle name="40% - Accent3 2 2 4 5 2 2" xfId="31421" xr:uid="{65EE0514-68C9-419E-9826-4E8BF09B6B1B}"/>
    <cellStyle name="40% - Accent3 2 2 4 5 3" xfId="13157" xr:uid="{00120E75-1474-4845-8723-9E06E87EFE99}"/>
    <cellStyle name="40% - Accent3 2 2 4 6" xfId="34288" xr:uid="{64240D50-F794-4202-91DC-26D927E6F87E}"/>
    <cellStyle name="40% - Accent3 2 2 4 6 2" xfId="31860" xr:uid="{B466F5AB-FA01-476B-B6DF-AAD45D7AA34F}"/>
    <cellStyle name="40% - Accent3 2 2 4 7" xfId="21776" xr:uid="{A856B9C4-9F09-4363-8B94-37C9762AF6DC}"/>
    <cellStyle name="40% - Accent3 2 2 5" xfId="19101" xr:uid="{9F295644-5319-4E18-876A-3AF465ED28C8}"/>
    <cellStyle name="40% - Accent3 2 2 5 2" xfId="9092" xr:uid="{C0729202-3399-4730-B564-056A17063015}"/>
    <cellStyle name="40% - Accent3 2 2 5 2 2" xfId="9087" xr:uid="{55BFE7D5-EBDD-43C9-9F88-1FF22A29DAEB}"/>
    <cellStyle name="40% - Accent3 2 2 5 2 2 2" xfId="33166" xr:uid="{289BFBFB-A290-4650-BBF4-31F2702EF5DE}"/>
    <cellStyle name="40% - Accent3 2 2 5 2 2 2 2" xfId="33841" xr:uid="{DD98A498-5084-42DD-B585-7A343BEE30A9}"/>
    <cellStyle name="40% - Accent3 2 2 5 2 2 2 2 2" xfId="29373" xr:uid="{CB0D725A-2119-4634-99C3-13845CF2455E}"/>
    <cellStyle name="40% - Accent3 2 2 5 2 2 2 3" xfId="13152" xr:uid="{CD849151-7A97-444E-8D91-CB8B031FF7FB}"/>
    <cellStyle name="40% - Accent3 2 2 5 2 2 3" xfId="27805" xr:uid="{A4C85328-B718-42A8-84E8-C30275887785}"/>
    <cellStyle name="40% - Accent3 2 2 5 2 2 3 2" xfId="13150" xr:uid="{83E5EE8E-6EA7-4CEF-8B98-F2033C14C9AA}"/>
    <cellStyle name="40% - Accent3 2 2 5 2 2 4" xfId="20921" xr:uid="{61681EEC-8732-4CBE-A6D7-6628942BE812}"/>
    <cellStyle name="40% - Accent3 2 2 5 2 3" xfId="29548" xr:uid="{5EC9AAE4-7D0B-4146-9FC2-C67EC45B1D35}"/>
    <cellStyle name="40% - Accent3 2 2 5 2 3 2" xfId="33472" xr:uid="{8FDC5D0A-6329-4093-9447-F62CC7CDA79C}"/>
    <cellStyle name="40% - Accent3 2 2 5 2 3 2 2" xfId="13148" xr:uid="{9CFFDC09-F430-4B8F-8272-394D2E2E5F10}"/>
    <cellStyle name="40% - Accent3 2 2 5 2 3 3" xfId="27782" xr:uid="{DA9E1465-E495-4E21-84BA-BC9AF8B994EB}"/>
    <cellStyle name="40% - Accent3 2 2 5 2 4" xfId="30729" xr:uid="{151BFD00-0DD6-4E4C-BFBD-2AFD7EAEBA23}"/>
    <cellStyle name="40% - Accent3 2 2 5 2 4 2" xfId="33094" xr:uid="{BA537A12-CDCE-4988-9077-4CE7E46259C5}"/>
    <cellStyle name="40% - Accent3 2 2 5 2 5" xfId="33265" xr:uid="{140CC5F9-80E7-4029-9D24-F5B9FB0DCE44}"/>
    <cellStyle name="40% - Accent3 2 2 5 3" xfId="13146" xr:uid="{D9F228B3-E628-4547-9C66-3799129124AF}"/>
    <cellStyle name="40% - Accent3 2 2 5 3 2" xfId="13141" xr:uid="{28EDCBBF-2208-47D0-8C8B-5502FCA08C7A}"/>
    <cellStyle name="40% - Accent3 2 2 5 3 2 2" xfId="6469" xr:uid="{FADD5C13-8D16-4E4F-99A4-9B648834C950}"/>
    <cellStyle name="40% - Accent3 2 2 5 3 2 2 2" xfId="13140" xr:uid="{29625F8E-B1B8-4239-BD46-B8E11FEFD263}"/>
    <cellStyle name="40% - Accent3 2 2 5 3 2 3" xfId="6365" xr:uid="{18C1B994-3886-4892-A59A-004AFC86B420}"/>
    <cellStyle name="40% - Accent3 2 2 5 3 3" xfId="13138" xr:uid="{F2D668B3-81A8-4B67-88BD-887BA9562D2B}"/>
    <cellStyle name="40% - Accent3 2 2 5 3 3 2" xfId="5525" xr:uid="{A91E8554-5FB3-45F8-9A3C-9F2B3E7A7A29}"/>
    <cellStyle name="40% - Accent3 2 2 5 3 4" xfId="13136" xr:uid="{DC8E8C64-00A5-41AF-BE64-658F92952FD8}"/>
    <cellStyle name="40% - Accent3 2 2 5 4" xfId="13131" xr:uid="{460E4636-EBDA-4D26-AA9B-9A85B6053595}"/>
    <cellStyle name="40% - Accent3 2 2 5 4 2" xfId="13130" xr:uid="{ECFBAA64-CC28-409E-88FF-AC1260F8C53A}"/>
    <cellStyle name="40% - Accent3 2 2 5 4 2 2" xfId="32555" xr:uid="{EAEDDD87-BF6A-4061-AE22-3A9A4F28CD62}"/>
    <cellStyle name="40% - Accent3 2 2 5 4 3" xfId="13129" xr:uid="{B46DF992-8C70-4ED7-B1C1-FD7E5A0E0788}"/>
    <cellStyle name="40% - Accent3 2 2 5 5" xfId="13591" xr:uid="{ED36725C-0572-4B44-A17F-FC64D9CB9532}"/>
    <cellStyle name="40% - Accent3 2 2 5 5 2" xfId="13127" xr:uid="{14264DF8-FF6E-4EA1-8340-09E65931FC2F}"/>
    <cellStyle name="40% - Accent3 2 2 5 6" xfId="21752" xr:uid="{A152A9F1-BBC4-4B24-9CF1-70F8EB8D87ED}"/>
    <cellStyle name="40% - Accent3 2 2 6" xfId="9084" xr:uid="{26CB4EFC-E1FC-4CA7-987C-EC21831158D0}"/>
    <cellStyle name="40% - Accent3 2 2 6 2" xfId="13126" xr:uid="{C49770BC-8323-4867-9AAA-1BC4ED8C28E8}"/>
    <cellStyle name="40% - Accent3 2 2 6 2 2" xfId="13121" xr:uid="{FA4122E5-6641-44FB-9321-296E35EDE4C7}"/>
    <cellStyle name="40% - Accent3 2 2 6 2 2 2" xfId="29060" xr:uid="{B28DC5C9-CE2C-464B-8DD2-34613F4609EF}"/>
    <cellStyle name="40% - Accent3 2 2 6 2 2 2 2" xfId="15594" xr:uid="{7426C7F3-8FBD-462D-9FF0-D60563D1117D}"/>
    <cellStyle name="40% - Accent3 2 2 6 2 2 3" xfId="34142" xr:uid="{31FF5401-B9D8-4F43-AB03-F6937CBC0CB3}"/>
    <cellStyle name="40% - Accent3 2 2 6 2 3" xfId="8766" xr:uid="{52968DFD-A9A7-44CC-A578-6FE1BA31F65D}"/>
    <cellStyle name="40% - Accent3 2 2 6 2 3 2" xfId="32931" xr:uid="{B42804A0-636E-428C-9FE0-09D66FF7E446}"/>
    <cellStyle name="40% - Accent3 2 2 6 2 4" xfId="13119" xr:uid="{C28999E3-7AB9-4AC7-A58E-98D511FC3D9B}"/>
    <cellStyle name="40% - Accent3 2 2 6 3" xfId="13116" xr:uid="{BB101B7D-A8BC-4530-B631-5215804495A4}"/>
    <cellStyle name="40% - Accent3 2 2 6 3 2" xfId="13114" xr:uid="{CD980A3A-6BF6-4559-82EC-C68EAA6FFBD5}"/>
    <cellStyle name="40% - Accent3 2 2 6 3 2 2" xfId="33507" xr:uid="{A772BA9A-6617-4EFC-A62F-087DE025055A}"/>
    <cellStyle name="40% - Accent3 2 2 6 3 3" xfId="13112" xr:uid="{25CC3506-3696-4E2E-808F-CC681133F16D}"/>
    <cellStyle name="40% - Accent3 2 2 6 4" xfId="13110" xr:uid="{AEECD566-C6D0-4A72-9418-2FBC61F29C42}"/>
    <cellStyle name="40% - Accent3 2 2 6 4 2" xfId="13108" xr:uid="{9082CDDF-D9DE-4FD9-AB9C-FC163EF4C248}"/>
    <cellStyle name="40% - Accent3 2 2 6 5" xfId="13588" xr:uid="{1517171E-6161-4D21-A580-A68D9C6B2F79}"/>
    <cellStyle name="40% - Accent3 2 2 7" xfId="9080" xr:uid="{1356553B-6725-4A0B-A910-35B10CBCBAE2}"/>
    <cellStyle name="40% - Accent3 2 2 7 2" xfId="23292" xr:uid="{A5F8187E-4B83-4245-B467-3202C6E61CD5}"/>
    <cellStyle name="40% - Accent3 2 2 7 2 2" xfId="18334" xr:uid="{F38A5B92-9C98-45E6-AB2F-58598E6206AE}"/>
    <cellStyle name="40% - Accent3 2 2 7 2 2 2" xfId="33703" xr:uid="{FB2AB660-21FA-4976-A2E8-3875C19693FD}"/>
    <cellStyle name="40% - Accent3 2 2 7 2 3" xfId="18331" xr:uid="{D900BC68-CDBD-4730-995E-F53204C5927E}"/>
    <cellStyle name="40% - Accent3 2 2 7 3" xfId="18329" xr:uid="{73B8122F-8AA6-4E3C-BD8D-9609F5449E50}"/>
    <cellStyle name="40% - Accent3 2 2 7 3 2" xfId="18326" xr:uid="{BA1980B8-1640-47EB-AD86-11B2CAB26FDD}"/>
    <cellStyle name="40% - Accent3 2 2 7 4" xfId="22842" xr:uid="{EA60A3A5-CFEE-4D14-A81E-AE9787C963E5}"/>
    <cellStyle name="40% - Accent3 2 2 8" xfId="18323" xr:uid="{A0AFA015-4B3B-4720-9444-DB575F24F13C}"/>
    <cellStyle name="40% - Accent3 2 2 8 2" xfId="18321" xr:uid="{A2A294D4-C1F0-42FB-9C84-E30813BE1FE4}"/>
    <cellStyle name="40% - Accent3 2 2 8 2 2" xfId="18319" xr:uid="{0BA4B3FA-8D91-46AC-985E-3F8FE0BF00AB}"/>
    <cellStyle name="40% - Accent3 2 2 8 3" xfId="18318" xr:uid="{FF3A537B-6725-468A-9B58-F6232C17065E}"/>
    <cellStyle name="40% - Accent3 2 2 9" xfId="18313" xr:uid="{976FB9A4-5F32-49C3-886F-7079A741A5D0}"/>
    <cellStyle name="40% - Accent3 2 2 9 2" xfId="22895" xr:uid="{23BC214F-F4E8-4B81-8D84-1CCC06471059}"/>
    <cellStyle name="40% - Accent3 2 3" xfId="206" xr:uid="{09FD2216-88DF-4D09-9744-0D084E8BEAA5}"/>
    <cellStyle name="40% - Accent3 2 3 10" xfId="34539" xr:uid="{B5997146-C0E3-43FC-A923-7B076A06956C}"/>
    <cellStyle name="40% - Accent3 2 3 11" xfId="13107" xr:uid="{55285D40-70F7-4C90-8E8E-8709C05C99BA}"/>
    <cellStyle name="40% - Accent3 2 3 2" xfId="9073" xr:uid="{4FFE1CCF-4B14-414B-A873-4708AAE80FD2}"/>
    <cellStyle name="40% - Accent3 2 3 2 2" xfId="9070" xr:uid="{BAC7E9AC-67D3-498F-8A41-6B68296BDB03}"/>
    <cellStyle name="40% - Accent3 2 3 2 2 2" xfId="17630" xr:uid="{A8F3135D-622B-42E9-8558-A875551B36B1}"/>
    <cellStyle name="40% - Accent3 2 3 2 2 2 2" xfId="28054" xr:uid="{AEEFD25B-5E0F-452A-9F8F-70B041D83C15}"/>
    <cellStyle name="40% - Accent3 2 3 2 2 2 2 2" xfId="13105" xr:uid="{BD7D6355-6E23-46DB-B7B6-5769502B9494}"/>
    <cellStyle name="40% - Accent3 2 3 2 2 2 2 2 2" xfId="13271" xr:uid="{0C350436-E0CF-4B72-A0FE-064B4C6F8489}"/>
    <cellStyle name="40% - Accent3 2 3 2 2 2 2 2 2 2" xfId="32177" xr:uid="{4D761C33-4D76-4404-AF64-05196F56D517}"/>
    <cellStyle name="40% - Accent3 2 3 2 2 2 2 2 2 2 2" xfId="13104" xr:uid="{C23458E0-5BB6-459B-BBE2-05474F03F7D0}"/>
    <cellStyle name="40% - Accent3 2 3 2 2 2 2 2 2 3" xfId="30568" xr:uid="{F4837437-C657-4C42-9E9F-2D97D5CDF749}"/>
    <cellStyle name="40% - Accent3 2 3 2 2 2 2 2 3" xfId="9977" xr:uid="{3F680D17-DB95-43D6-B413-79F73E604D18}"/>
    <cellStyle name="40% - Accent3 2 3 2 2 2 2 2 3 2" xfId="31746" xr:uid="{83175336-4B0D-4FC3-A0EE-49D824855A6C}"/>
    <cellStyle name="40% - Accent3 2 3 2 2 2 2 2 4" xfId="25593" xr:uid="{30402795-DEDD-4DCD-9EAF-E1F5DBC6A8E8}"/>
    <cellStyle name="40% - Accent3 2 3 2 2 2 2 3" xfId="13103" xr:uid="{53159916-953D-4B9B-929C-7006750BD525}"/>
    <cellStyle name="40% - Accent3 2 3 2 2 2 2 3 2" xfId="11670" xr:uid="{03A59D2E-9969-434C-AE05-AB9644A2D742}"/>
    <cellStyle name="40% - Accent3 2 3 2 2 2 2 3 2 2" xfId="29689" xr:uid="{B33B74AC-51C5-4D1F-9730-C9E0A293DCAE}"/>
    <cellStyle name="40% - Accent3 2 3 2 2 2 2 3 3" xfId="25499" xr:uid="{114A68A7-1007-482B-9B1E-23A062D1A5CC}"/>
    <cellStyle name="40% - Accent3 2 3 2 2 2 2 4" xfId="13102" xr:uid="{7A970C0B-B4A2-4DA1-B12C-DD16406F30E0}"/>
    <cellStyle name="40% - Accent3 2 3 2 2 2 2 4 2" xfId="26721" xr:uid="{325C06C3-9358-420C-A83D-BEBD156C5079}"/>
    <cellStyle name="40% - Accent3 2 3 2 2 2 2 5" xfId="13098" xr:uid="{C6CC0CE1-CA31-49A6-A7F3-93245F38913B}"/>
    <cellStyle name="40% - Accent3 2 3 2 2 2 3" xfId="31847" xr:uid="{3EBEDB09-CCEF-4DD8-9345-E9AF8D0AC5CB}"/>
    <cellStyle name="40% - Accent3 2 3 2 2 2 3 2" xfId="13095" xr:uid="{8E6685AE-2DA0-4DC3-BD90-6DF9AD0293AC}"/>
    <cellStyle name="40% - Accent3 2 3 2 2 2 3 2 2" xfId="9724" xr:uid="{EBD7BE67-72B5-4A62-8351-D5F9CFF264C5}"/>
    <cellStyle name="40% - Accent3 2 3 2 2 2 3 2 2 2" xfId="33944" xr:uid="{4D2478D1-278C-4AA5-82DE-9040CCD43FCE}"/>
    <cellStyle name="40% - Accent3 2 3 2 2 2 3 2 3" xfId="25289" xr:uid="{F47AD615-BAA2-4B22-9218-5041312FE487}"/>
    <cellStyle name="40% - Accent3 2 3 2 2 2 3 3" xfId="13094" xr:uid="{C0C3C024-B87B-467A-86A2-D0CBFFC8E9C1}"/>
    <cellStyle name="40% - Accent3 2 3 2 2 2 3 3 2" xfId="33318" xr:uid="{57A9DBAC-DC72-4EBB-811E-33000AE1933E}"/>
    <cellStyle name="40% - Accent3 2 3 2 2 2 3 4" xfId="22954" xr:uid="{72511B1B-AA4C-4CCE-9323-43E93B118215}"/>
    <cellStyle name="40% - Accent3 2 3 2 2 2 4" xfId="33761" xr:uid="{65942AB6-394E-4426-AA7C-F22466D39FC7}"/>
    <cellStyle name="40% - Accent3 2 3 2 2 2 4 2" xfId="13092" xr:uid="{A3040648-EBEB-4702-B335-37412E4FDFDB}"/>
    <cellStyle name="40% - Accent3 2 3 2 2 2 4 2 2" xfId="32789" xr:uid="{1AFB2A41-76FB-4532-8462-279F6E3B66A6}"/>
    <cellStyle name="40% - Accent3 2 3 2 2 2 4 3" xfId="13090" xr:uid="{632882D2-3C07-48A3-8C49-DE7E5E0A9365}"/>
    <cellStyle name="40% - Accent3 2 3 2 2 2 5" xfId="13364" xr:uid="{FF399FA8-514F-45FB-B75E-F9104B06CA40}"/>
    <cellStyle name="40% - Accent3 2 3 2 2 2 5 2" xfId="13088" xr:uid="{90286E21-8D1B-4722-A7F0-3C97C219A5DA}"/>
    <cellStyle name="40% - Accent3 2 3 2 2 2 6" xfId="13087" xr:uid="{848E12A2-9788-4075-8826-D6D5AE45DFAD}"/>
    <cellStyle name="40% - Accent3 2 3 2 2 3" xfId="13085" xr:uid="{723FC2B7-3108-44E7-9330-D3FA858D8D4A}"/>
    <cellStyle name="40% - Accent3 2 3 2 2 3 2" xfId="29618" xr:uid="{5F132169-2868-4D8B-968B-67BF2AF900D5}"/>
    <cellStyle name="40% - Accent3 2 3 2 2 3 2 2" xfId="13083" xr:uid="{BD7A3037-4131-47C9-B0B7-106558233F2F}"/>
    <cellStyle name="40% - Accent3 2 3 2 2 3 2 2 2" xfId="11372" xr:uid="{FDEBADDE-096B-4C32-B51F-B4A8B5D3AA6F}"/>
    <cellStyle name="40% - Accent3 2 3 2 2 3 2 2 2 2" xfId="13080" xr:uid="{B6C9FD1E-1064-4DCA-98F2-D1FEDB6152EE}"/>
    <cellStyle name="40% - Accent3 2 3 2 2 3 2 2 3" xfId="22772" xr:uid="{BFE07DE3-96B1-4CBB-94F1-B380398801E1}"/>
    <cellStyle name="40% - Accent3 2 3 2 2 3 2 3" xfId="13077" xr:uid="{9714823D-A0A9-495B-B0A1-D542909D4ABE}"/>
    <cellStyle name="40% - Accent3 2 3 2 2 3 2 3 2" xfId="22699" xr:uid="{B4701534-270E-42F4-B021-4CBDA7E205BE}"/>
    <cellStyle name="40% - Accent3 2 3 2 2 3 2 4" xfId="13076" xr:uid="{E2E860CA-8B4B-4780-8901-C57FD925C8B2}"/>
    <cellStyle name="40% - Accent3 2 3 2 2 3 3" xfId="34004" xr:uid="{BA5ABD74-B3DA-4EED-8DF7-D56AC922F0DD}"/>
    <cellStyle name="40% - Accent3 2 3 2 2 3 3 2" xfId="13072" xr:uid="{4D94CBFA-82B2-4254-9768-57290FA0CC71}"/>
    <cellStyle name="40% - Accent3 2 3 2 2 3 3 2 2" xfId="22583" xr:uid="{380FF621-69C4-437A-9CF0-54F1FEB130A9}"/>
    <cellStyle name="40% - Accent3 2 3 2 2 3 3 3" xfId="13071" xr:uid="{E008AEE4-01AC-441F-97CE-208C83C81D07}"/>
    <cellStyle name="40% - Accent3 2 3 2 2 3 4" xfId="13070" xr:uid="{E421390C-4F1A-4A4F-B6EA-55C24063C463}"/>
    <cellStyle name="40% - Accent3 2 3 2 2 3 4 2" xfId="13069" xr:uid="{757C04DB-AFF1-40E9-8BE1-DB3D903A4561}"/>
    <cellStyle name="40% - Accent3 2 3 2 2 3 5" xfId="13068" xr:uid="{4AA5848C-5088-4EE6-BCAA-6A06DD94F563}"/>
    <cellStyle name="40% - Accent3 2 3 2 2 4" xfId="10379" xr:uid="{8EF83191-DE4C-40DF-8451-57D398358697}"/>
    <cellStyle name="40% - Accent3 2 3 2 2 4 2" xfId="32348" xr:uid="{1AB1CF5C-B978-432A-8189-D3C4B1B7FFB8}"/>
    <cellStyle name="40% - Accent3 2 3 2 2 4 2 2" xfId="13063" xr:uid="{E74734D9-F092-42D0-A084-1F80633957F8}"/>
    <cellStyle name="40% - Accent3 2 3 2 2 4 2 2 2" xfId="22428" xr:uid="{D02643C8-95AF-4F8F-BABD-DCEAA815F976}"/>
    <cellStyle name="40% - Accent3 2 3 2 2 4 2 3" xfId="13062" xr:uid="{AB261816-1177-49B5-A4CD-DD626E9AF024}"/>
    <cellStyle name="40% - Accent3 2 3 2 2 4 3" xfId="32017" xr:uid="{7D8E25FC-F0AE-455E-A59D-B716EB4D4080}"/>
    <cellStyle name="40% - Accent3 2 3 2 2 4 3 2" xfId="13061" xr:uid="{D54629E3-D82A-474E-AF64-DD072A2C1A2C}"/>
    <cellStyle name="40% - Accent3 2 3 2 2 4 4" xfId="13015" xr:uid="{2B5D2D6C-6E4A-41DA-B8B1-9DDCA2A2D816}"/>
    <cellStyle name="40% - Accent3 2 3 2 2 5" xfId="13060" xr:uid="{73CE846C-C930-429B-B0DB-729D8DB08248}"/>
    <cellStyle name="40% - Accent3 2 3 2 2 5 2" xfId="13056" xr:uid="{3B6FF680-00C6-44CC-A440-3BBFE68EC71D}"/>
    <cellStyle name="40% - Accent3 2 3 2 2 5 2 2" xfId="13054" xr:uid="{CC28C4DE-C259-48E5-997E-7A87C0F610D0}"/>
    <cellStyle name="40% - Accent3 2 3 2 2 5 3" xfId="13053" xr:uid="{F36874B3-A4B8-43D0-AE7D-26AAAFAB85F9}"/>
    <cellStyle name="40% - Accent3 2 3 2 2 6" xfId="5338" xr:uid="{1825D3A3-D445-4F39-AD54-C65B0B1B4EC9}"/>
    <cellStyle name="40% - Accent3 2 3 2 2 6 2" xfId="5335" xr:uid="{7C882800-A007-47CB-937C-F8DEFFFC4ECF}"/>
    <cellStyle name="40% - Accent3 2 3 2 2 7" xfId="5331" xr:uid="{4650EBF0-96AE-4765-8439-CDCE5CFD803F}"/>
    <cellStyle name="40% - Accent3 2 3 2 3" xfId="13052" xr:uid="{EE4E0775-5CCC-4FD3-840B-1452DB707DF5}"/>
    <cellStyle name="40% - Accent3 2 3 2 3 2" xfId="13049" xr:uid="{2DC0684D-EDED-4C79-A024-33C86F55A59F}"/>
    <cellStyle name="40% - Accent3 2 3 2 3 2 2" xfId="29645" xr:uid="{F3A51E2D-8E9E-44DA-B826-2A20A8AFF42C}"/>
    <cellStyle name="40% - Accent3 2 3 2 3 2 2 2" xfId="13046" xr:uid="{3B72F20F-AA33-478E-B5EE-D2BC5E323A23}"/>
    <cellStyle name="40% - Accent3 2 3 2 3 2 2 2 2" xfId="7758" xr:uid="{5CA83FD1-DDAC-4427-B4D1-93987D57EB66}"/>
    <cellStyle name="40% - Accent3 2 3 2 3 2 2 2 2 2" xfId="16987" xr:uid="{F0324B17-36BB-4AE4-93C1-A0132B7E5431}"/>
    <cellStyle name="40% - Accent3 2 3 2 3 2 2 2 3" xfId="7756" xr:uid="{9A21FA97-C45B-4CC0-BA39-8E5AAF51F9AF}"/>
    <cellStyle name="40% - Accent3 2 3 2 3 2 2 3" xfId="13045" xr:uid="{A7D35876-CD4E-4908-BEE2-DC4CF59C44E9}"/>
    <cellStyle name="40% - Accent3 2 3 2 3 2 2 3 2" xfId="7736" xr:uid="{FF3F0900-745F-43F9-990A-BCFE5530AE65}"/>
    <cellStyle name="40% - Accent3 2 3 2 3 2 2 4" xfId="13042" xr:uid="{73AE9821-F1DE-4789-B2FA-5F9042F8F7F1}"/>
    <cellStyle name="40% - Accent3 2 3 2 3 2 3" xfId="27690" xr:uid="{81D86860-BD32-4AA0-BF1C-E420677DC8FF}"/>
    <cellStyle name="40% - Accent3 2 3 2 3 2 3 2" xfId="13037" xr:uid="{9A48B47D-6092-417A-AD77-121DCC9F7CA6}"/>
    <cellStyle name="40% - Accent3 2 3 2 3 2 3 2 2" xfId="7667" xr:uid="{7659524E-2CAB-4257-81CE-6D9B82FF52FD}"/>
    <cellStyle name="40% - Accent3 2 3 2 3 2 3 3" xfId="13035" xr:uid="{72BE074D-01E2-4030-992D-19298AAF8537}"/>
    <cellStyle name="40% - Accent3 2 3 2 3 2 4" xfId="13034" xr:uid="{8060E4B2-41FF-4808-92C1-F8798B6715C0}"/>
    <cellStyle name="40% - Accent3 2 3 2 3 2 4 2" xfId="13030" xr:uid="{F999BAA9-3020-4239-A749-7F705B4CD3C6}"/>
    <cellStyle name="40% - Accent3 2 3 2 3 2 5" xfId="13028" xr:uid="{1E8D96CF-8377-48A1-8A5F-A4181646433B}"/>
    <cellStyle name="40% - Accent3 2 3 2 3 3" xfId="10370" xr:uid="{D9412DE0-4878-4BFC-A728-150771E697CC}"/>
    <cellStyle name="40% - Accent3 2 3 2 3 3 2" xfId="34225" xr:uid="{09BE5284-850E-4DA2-BBBD-023D80FB5818}"/>
    <cellStyle name="40% - Accent3 2 3 2 3 3 2 2" xfId="13026" xr:uid="{C751BDE0-F337-4DF6-9433-0D7EA0799479}"/>
    <cellStyle name="40% - Accent3 2 3 2 3 3 2 2 2" xfId="10106" xr:uid="{F538192F-3193-4AD6-8890-94FDB4C91010}"/>
    <cellStyle name="40% - Accent3 2 3 2 3 3 2 3" xfId="13025" xr:uid="{35813FED-8FF6-450D-939D-68D0BDD90240}"/>
    <cellStyle name="40% - Accent3 2 3 2 3 3 3" xfId="13024" xr:uid="{AC3C9953-EAA8-4F92-B092-011ADDBD9E4B}"/>
    <cellStyle name="40% - Accent3 2 3 2 3 3 3 2" xfId="13022" xr:uid="{C3BB063E-FDFB-4FBF-9234-BA2486EBC3C3}"/>
    <cellStyle name="40% - Accent3 2 3 2 3 3 4" xfId="13021" xr:uid="{288A60EA-B397-49CE-992F-71DECFD43211}"/>
    <cellStyle name="40% - Accent3 2 3 2 3 4" xfId="13019" xr:uid="{78BAC4D6-835B-4190-826C-20126A8EF92F}"/>
    <cellStyle name="40% - Accent3 2 3 2 3 4 2" xfId="13017" xr:uid="{B1423499-2069-4F17-AAC1-782D612A0BA1}"/>
    <cellStyle name="40% - Accent3 2 3 2 3 4 2 2" xfId="13016" xr:uid="{EEA21AA3-C00A-4FD0-8D47-7791C84D5B23}"/>
    <cellStyle name="40% - Accent3 2 3 2 3 4 3" xfId="13014" xr:uid="{86179047-2CAE-4EA6-AA33-BE4C314C7515}"/>
    <cellStyle name="40% - Accent3 2 3 2 3 5" xfId="13012" xr:uid="{A109100E-7C62-45D2-BE77-F9C42C209335}"/>
    <cellStyle name="40% - Accent3 2 3 2 3 5 2" xfId="13011" xr:uid="{276B1E67-3D27-472C-A34E-E3D66CFDA706}"/>
    <cellStyle name="40% - Accent3 2 3 2 3 6" xfId="8085" xr:uid="{C545BA77-7BC0-42F2-A8B7-3C5A66559E6B}"/>
    <cellStyle name="40% - Accent3 2 3 2 4" xfId="25457" xr:uid="{544EB54D-7A77-4A31-8F1A-B1823C0EAAA5}"/>
    <cellStyle name="40% - Accent3 2 3 2 4 2" xfId="9064" xr:uid="{37CBDF13-2BA5-4AD6-8234-D28F9EEFCD60}"/>
    <cellStyle name="40% - Accent3 2 3 2 4 2 2" xfId="28455" xr:uid="{12CBB75B-6E8B-435A-BBCE-F8DF386D79B8}"/>
    <cellStyle name="40% - Accent3 2 3 2 4 2 2 2" xfId="13010" xr:uid="{065F6415-283F-4113-8262-6490951C88C0}"/>
    <cellStyle name="40% - Accent3 2 3 2 4 2 2 2 2" xfId="9276" xr:uid="{53FEEC28-ECA0-4AAE-A7BC-7F137A6FE2DA}"/>
    <cellStyle name="40% - Accent3 2 3 2 4 2 2 3" xfId="13009" xr:uid="{31062917-70CE-4E3B-B94F-7BD913C5EB42}"/>
    <cellStyle name="40% - Accent3 2 3 2 4 2 3" xfId="13007" xr:uid="{F09A5C0D-70BC-426F-9906-1DB3CEDDE839}"/>
    <cellStyle name="40% - Accent3 2 3 2 4 2 3 2" xfId="13005" xr:uid="{A149DE48-6816-44E4-A01D-39544B28B32D}"/>
    <cellStyle name="40% - Accent3 2 3 2 4 2 4" xfId="13004" xr:uid="{D2B8888C-7119-4AA7-90AA-E11F6CC4E4A0}"/>
    <cellStyle name="40% - Accent3 2 3 2 4 3" xfId="29366" xr:uid="{FE1AAFB8-DDA3-4CCC-B2FF-51C07D205AA4}"/>
    <cellStyle name="40% - Accent3 2 3 2 4 3 2" xfId="13002" xr:uid="{965B61A0-6EE0-4D99-AB95-5CCAB912EB8C}"/>
    <cellStyle name="40% - Accent3 2 3 2 4 3 2 2" xfId="13001" xr:uid="{1AAA5FCA-6EC5-4846-89DF-6875FE919AF9}"/>
    <cellStyle name="40% - Accent3 2 3 2 4 3 3" xfId="13000" xr:uid="{8D9D9D16-A846-4A1D-AD0B-9FC0FBBB6A78}"/>
    <cellStyle name="40% - Accent3 2 3 2 4 4" xfId="29359" xr:uid="{C93821F9-0CB8-4700-B26A-C38C943A526D}"/>
    <cellStyle name="40% - Accent3 2 3 2 4 4 2" xfId="12998" xr:uid="{BDF2EB5A-0245-479C-ACB2-BC8A6412F340}"/>
    <cellStyle name="40% - Accent3 2 3 2 4 5" xfId="12997" xr:uid="{7DE9386C-2BEB-4589-BC7F-BE627A259B24}"/>
    <cellStyle name="40% - Accent3 2 3 2 5" xfId="13585" xr:uid="{ECB12A21-7670-4703-B1A5-93D392B98645}"/>
    <cellStyle name="40% - Accent3 2 3 2 5 2" xfId="32238" xr:uid="{63A2D0D2-9D1C-4552-97A9-499D60355605}"/>
    <cellStyle name="40% - Accent3 2 3 2 5 2 2" xfId="12996" xr:uid="{A992B266-EC5D-4A62-82B8-5286D7BCFC24}"/>
    <cellStyle name="40% - Accent3 2 3 2 5 2 2 2" xfId="12995" xr:uid="{915B6869-A922-432C-9D07-28BAAE279FBC}"/>
    <cellStyle name="40% - Accent3 2 3 2 5 2 3" xfId="12994" xr:uid="{0B69C5C0-8A7E-47FA-A85D-E41F814CE187}"/>
    <cellStyle name="40% - Accent3 2 3 2 5 3" xfId="33916" xr:uid="{F68C41A5-9C75-4661-8D27-2EB0998F1359}"/>
    <cellStyle name="40% - Accent3 2 3 2 5 3 2" xfId="12992" xr:uid="{0FA67429-AB25-4DC9-A18F-418FF973C2BD}"/>
    <cellStyle name="40% - Accent3 2 3 2 5 4" xfId="12991" xr:uid="{66F6F894-96D5-459D-B865-8F73DA47D40A}"/>
    <cellStyle name="40% - Accent3 2 3 2 6" xfId="18608" xr:uid="{F5D23F49-351A-4254-AB0B-BA1BA062C210}"/>
    <cellStyle name="40% - Accent3 2 3 2 6 2" xfId="18605" xr:uid="{3EDD2F97-D305-46C5-8A5F-AC992CA80266}"/>
    <cellStyle name="40% - Accent3 2 3 2 6 2 2" xfId="20651" xr:uid="{61F33B8A-7F3B-45CF-8ED2-9DFD83D0EF01}"/>
    <cellStyle name="40% - Accent3 2 3 2 6 3" xfId="18603" xr:uid="{46EB9AA5-B93E-40F1-8EE8-5EBC4432003C}"/>
    <cellStyle name="40% - Accent3 2 3 2 7" xfId="18598" xr:uid="{37CB11B4-E918-495C-8468-0497191595AA}"/>
    <cellStyle name="40% - Accent3 2 3 2 7 2" xfId="32003" xr:uid="{078766B1-8165-4CCB-9274-35154E3DB99C}"/>
    <cellStyle name="40% - Accent3 2 3 2 8" xfId="18595" xr:uid="{8078C97E-C3EE-4219-976F-7FEC3B7377D8}"/>
    <cellStyle name="40% - Accent3 2 3 3" xfId="12990" xr:uid="{D4030CCB-DA73-4620-A184-C929CBAA7CB1}"/>
    <cellStyle name="40% - Accent3 2 3 3 2" xfId="9060" xr:uid="{1C403908-8532-4529-B747-B0B67D68FBB7}"/>
    <cellStyle name="40% - Accent3 2 3 3 2 2" xfId="17516" xr:uid="{3458A9FB-EBB5-439E-BCF4-DC1C5AB33306}"/>
    <cellStyle name="40% - Accent3 2 3 3 2 2 2" xfId="23465" xr:uid="{51A92F98-9E04-4340-8DB7-644CBAF13B32}"/>
    <cellStyle name="40% - Accent3 2 3 3 2 2 2 2" xfId="17423" xr:uid="{8AEE8969-FF20-4040-9121-E87822857979}"/>
    <cellStyle name="40% - Accent3 2 3 3 2 2 2 2 2" xfId="22651" xr:uid="{1F86E182-D5C0-4268-B4FA-82678B482BFC}"/>
    <cellStyle name="40% - Accent3 2 3 3 2 2 2 2 2 2" xfId="12988" xr:uid="{54C724CE-9D6E-4802-B01D-83830E7BBD3B}"/>
    <cellStyle name="40% - Accent3 2 3 3 2 2 2 2 3" xfId="19650" xr:uid="{B38AAAC4-4454-4A12-830B-90F471FE5520}"/>
    <cellStyle name="40% - Accent3 2 3 3 2 2 2 3" xfId="27921" xr:uid="{08F68C3F-88E7-43CC-8648-478D94302F48}"/>
    <cellStyle name="40% - Accent3 2 3 3 2 2 2 3 2" xfId="19645" xr:uid="{0857196D-4554-42F6-BFFC-CA4CD8031C4F}"/>
    <cellStyle name="40% - Accent3 2 3 3 2 2 2 4" xfId="12987" xr:uid="{A73EEF78-12F1-4F8F-9447-BF1A428CE604}"/>
    <cellStyle name="40% - Accent3 2 3 3 2 2 3" xfId="32747" xr:uid="{8DA080AE-B451-444C-B2AD-8C35C3538296}"/>
    <cellStyle name="40% - Accent3 2 3 3 2 2 3 2" xfId="12982" xr:uid="{21D5735F-9C32-4ED0-B42B-D75E18484D96}"/>
    <cellStyle name="40% - Accent3 2 3 3 2 2 3 2 2" xfId="19632" xr:uid="{709E8060-8FCA-4CD4-A680-D8DCA07FD342}"/>
    <cellStyle name="40% - Accent3 2 3 3 2 2 3 3" xfId="12981" xr:uid="{22050CDA-C15B-48A2-A077-0B7F32B7CD61}"/>
    <cellStyle name="40% - Accent3 2 3 3 2 2 4" xfId="32395" xr:uid="{B5FA23C5-C84F-42BA-80F4-1B3FA1A74D25}"/>
    <cellStyle name="40% - Accent3 2 3 3 2 2 4 2" xfId="32725" xr:uid="{BE52972A-CDD1-47C8-A3EA-8B602C57456E}"/>
    <cellStyle name="40% - Accent3 2 3 3 2 2 5" xfId="28928" xr:uid="{C9D984A1-2997-46CD-9A61-931DC09DDE5A}"/>
    <cellStyle name="40% - Accent3 2 3 3 2 3" xfId="12024" xr:uid="{0AFA2724-4DFB-46A2-BA71-42613BC170EC}"/>
    <cellStyle name="40% - Accent3 2 3 3 2 3 2" xfId="30698" xr:uid="{53F40DA3-6045-4994-ADA9-8136E6608FDF}"/>
    <cellStyle name="40% - Accent3 2 3 3 2 3 2 2" xfId="12977" xr:uid="{925F3AE8-76A4-4FB5-8E29-4EAD571AF54E}"/>
    <cellStyle name="40% - Accent3 2 3 3 2 3 2 2 2" xfId="19605" xr:uid="{FAA1B370-BB82-4C86-AD67-FD191E45C179}"/>
    <cellStyle name="40% - Accent3 2 3 3 2 3 2 3" xfId="12976" xr:uid="{B26B0282-7B4E-4474-BEC5-8C64CC311FCB}"/>
    <cellStyle name="40% - Accent3 2 3 3 2 3 3" xfId="32369" xr:uid="{E916AB9F-F608-44AC-95E8-DE2267304ED2}"/>
    <cellStyle name="40% - Accent3 2 3 3 2 3 3 2" xfId="16825" xr:uid="{AFF77DC5-C521-430C-B410-73975A849B73}"/>
    <cellStyle name="40% - Accent3 2 3 3 2 3 4" xfId="28391" xr:uid="{0CCB3B6B-7C91-437B-AD6B-7BC1CA3AA337}"/>
    <cellStyle name="40% - Accent3 2 3 3 2 4" xfId="12975" xr:uid="{14B890D8-4849-4449-8168-8E4A3A5BEA6B}"/>
    <cellStyle name="40% - Accent3 2 3 3 2 4 2" xfId="18288" xr:uid="{9121C475-2BCD-493D-8FF9-CB789E1B6CB0}"/>
    <cellStyle name="40% - Accent3 2 3 3 2 4 2 2" xfId="12972" xr:uid="{EC16C016-B362-46ED-953F-A717795D334B}"/>
    <cellStyle name="40% - Accent3 2 3 3 2 4 3" xfId="24924" xr:uid="{C80AA64B-A653-487D-8140-D27E3C7E9AFF}"/>
    <cellStyle name="40% - Accent3 2 3 3 2 5" xfId="12971" xr:uid="{AA089BA6-894D-42B4-96A8-02C4D3567C1A}"/>
    <cellStyle name="40% - Accent3 2 3 3 2 5 2" xfId="24267" xr:uid="{8F60A1C1-B0DA-40DD-BA98-6D33BBE48FBD}"/>
    <cellStyle name="40% - Accent3 2 3 3 2 6" xfId="8075" xr:uid="{AB5AE7F0-E62E-43AC-995A-834851D56C1B}"/>
    <cellStyle name="40% - Accent3 2 3 3 3" xfId="12969" xr:uid="{C8609EE4-68CD-4F7E-8B02-8F5017A1DC4E}"/>
    <cellStyle name="40% - Accent3 2 3 3 3 2" xfId="9056" xr:uid="{F18A1B42-13E9-4A5A-B271-F3299E39B729}"/>
    <cellStyle name="40% - Accent3 2 3 3 3 2 2" xfId="10394" xr:uid="{2F8DDD90-1B56-4EF5-9B47-5D75EE78717E}"/>
    <cellStyle name="40% - Accent3 2 3 3 3 2 2 2" xfId="12964" xr:uid="{DA5E8C34-3B28-45A3-9E04-072F223B6508}"/>
    <cellStyle name="40% - Accent3 2 3 3 3 2 2 2 2" xfId="30695" xr:uid="{586CD986-4CD2-42F8-8FD4-2BC4117B5EFE}"/>
    <cellStyle name="40% - Accent3 2 3 3 3 2 2 3" xfId="12963" xr:uid="{07BE023B-9EE7-4446-A6C9-9C244C4FB8E0}"/>
    <cellStyle name="40% - Accent3 2 3 3 3 2 3" xfId="16590" xr:uid="{572A486A-12FE-4D44-9B56-B3A3CD9191B5}"/>
    <cellStyle name="40% - Accent3 2 3 3 3 2 3 2" xfId="12962" xr:uid="{48E5FA5F-6E9B-4360-B358-C6FE1EA7E377}"/>
    <cellStyle name="40% - Accent3 2 3 3 3 2 4" xfId="16197" xr:uid="{291514A7-A428-4D8B-94B1-B40BA02A3630}"/>
    <cellStyle name="40% - Accent3 2 3 3 3 3" xfId="18527" xr:uid="{8B1650F0-EECF-4503-B63B-1D7AD00CA70C}"/>
    <cellStyle name="40% - Accent3 2 3 3 3 3 2" xfId="18143" xr:uid="{55139F4A-5285-4A4C-B4B0-D96586989619}"/>
    <cellStyle name="40% - Accent3 2 3 3 3 3 2 2" xfId="12961" xr:uid="{8E70DF8B-025C-400A-9B2C-0436E751E15D}"/>
    <cellStyle name="40% - Accent3 2 3 3 3 3 3" xfId="29336" xr:uid="{5934F450-0EB5-47A2-8CB1-B311646BD745}"/>
    <cellStyle name="40% - Accent3 2 3 3 3 4" xfId="12960" xr:uid="{677E00AF-53C2-44D8-987C-00812BB6CA4C}"/>
    <cellStyle name="40% - Accent3 2 3 3 3 4 2" xfId="29320" xr:uid="{A13A42FE-DC56-49AC-A509-C09396CD230A}"/>
    <cellStyle name="40% - Accent3 2 3 3 3 5" xfId="12958" xr:uid="{54DD7A61-3088-4D49-A5A6-52C5EEF3825A}"/>
    <cellStyle name="40% - Accent3 2 3 3 4" xfId="12954" xr:uid="{0A1333D7-ABD4-4E96-8F61-5B86F168C8FA}"/>
    <cellStyle name="40% - Accent3 2 3 3 4 2" xfId="34220" xr:uid="{AA1B49FC-52A6-4DD7-A7C1-A3F1B3D47241}"/>
    <cellStyle name="40% - Accent3 2 3 3 4 2 2" xfId="18093" xr:uid="{6F0D654F-EC7A-4BA5-B98C-E729130FF8F7}"/>
    <cellStyle name="40% - Accent3 2 3 3 4 2 2 2" xfId="12949" xr:uid="{D238BD0E-D850-4E28-B42E-D54234C95F3D}"/>
    <cellStyle name="40% - Accent3 2 3 3 4 2 3" xfId="29282" xr:uid="{2F09AD3B-5704-4CCA-9D14-B8991B1A9D33}"/>
    <cellStyle name="40% - Accent3 2 3 3 4 3" xfId="27518" xr:uid="{7C76A9FB-0195-4176-9C4E-2D8F11CA747F}"/>
    <cellStyle name="40% - Accent3 2 3 3 4 3 2" xfId="29272" xr:uid="{24A838EB-F5D4-431D-B168-26F9468DD7AC}"/>
    <cellStyle name="40% - Accent3 2 3 3 4 4" xfId="12945" xr:uid="{29BA5D7D-6650-46E4-9896-9A2F53134463}"/>
    <cellStyle name="40% - Accent3 2 3 3 5" xfId="13563" xr:uid="{166072EB-40C9-49A3-9BF6-7FC64D8091E2}"/>
    <cellStyle name="40% - Accent3 2 3 3 5 2" xfId="12943" xr:uid="{7B7B2444-7809-4DB5-B1F7-6852EB82D099}"/>
    <cellStyle name="40% - Accent3 2 3 3 5 2 2" xfId="29253" xr:uid="{817D0D50-7298-494D-9A45-ADC3DB204180}"/>
    <cellStyle name="40% - Accent3 2 3 3 5 3" xfId="12942" xr:uid="{74D8B512-6991-489A-9E2C-FD5CC70B91CF}"/>
    <cellStyle name="40% - Accent3 2 3 3 6" xfId="18663" xr:uid="{CBB7A19F-F269-4AAB-9823-48F0F4375FFF}"/>
    <cellStyle name="40% - Accent3 2 3 3 6 2" xfId="24740" xr:uid="{908818DC-E8C6-45F0-BED3-C0A993067FBA}"/>
    <cellStyle name="40% - Accent3 2 3 3 7" xfId="21682" xr:uid="{0E324446-8100-48BC-8BE6-D1C599EB2BEA}"/>
    <cellStyle name="40% - Accent3 2 3 4" xfId="12940" xr:uid="{92C0C79F-0BA9-4B2A-9D46-F6D3F95E92E8}"/>
    <cellStyle name="40% - Accent3 2 3 4 2" xfId="9053" xr:uid="{5B2BB865-7D99-40CA-811B-CC2427BFAF55}"/>
    <cellStyle name="40% - Accent3 2 3 4 2 2" xfId="9048" xr:uid="{8A39C998-C36B-411A-A208-3965809DB33A}"/>
    <cellStyle name="40% - Accent3 2 3 4 2 2 2" xfId="29979" xr:uid="{9A20CBF6-3366-419E-8B20-CDFCD7F05B48}"/>
    <cellStyle name="40% - Accent3 2 3 4 2 2 2 2" xfId="31352" xr:uid="{87675E3B-FAB0-495A-8F15-3A82A75B6AD7}"/>
    <cellStyle name="40% - Accent3 2 3 4 2 2 2 2 2" xfId="19288" xr:uid="{ECA2E88C-568C-4548-AF36-B9CCE283EA1B}"/>
    <cellStyle name="40% - Accent3 2 3 4 2 2 2 3" xfId="33179" xr:uid="{2E6966B4-5F8D-4BCA-B614-745E2BA6082B}"/>
    <cellStyle name="40% - Accent3 2 3 4 2 2 3" xfId="34117" xr:uid="{D2AC559D-EB74-4696-BA07-B975D15CC441}"/>
    <cellStyle name="40% - Accent3 2 3 4 2 2 3 2" xfId="33017" xr:uid="{BACE3597-B056-48DF-B90C-547E400135B4}"/>
    <cellStyle name="40% - Accent3 2 3 4 2 2 4" xfId="20756" xr:uid="{DFA95B90-FB4B-43EF-8007-FE2237A57304}"/>
    <cellStyle name="40% - Accent3 2 3 4 2 3" xfId="12935" xr:uid="{16B17321-2E19-482E-A75D-DD74BF5962E3}"/>
    <cellStyle name="40% - Accent3 2 3 4 2 3 2" xfId="32219" xr:uid="{3C6AEE7C-6356-4E48-BA8E-2C2554AE3A19}"/>
    <cellStyle name="40% - Accent3 2 3 4 2 3 2 2" xfId="32130" xr:uid="{351D5C8F-AFC9-45EA-8595-F8FB8B267E0D}"/>
    <cellStyle name="40% - Accent3 2 3 4 2 3 3" xfId="34104" xr:uid="{BFF70A89-0D50-49CB-A701-C15899319A13}"/>
    <cellStyle name="40% - Accent3 2 3 4 2 4" xfId="25868" xr:uid="{D9F31688-637C-464F-B2B6-C9F236375A8C}"/>
    <cellStyle name="40% - Accent3 2 3 4 2 4 2" xfId="26185" xr:uid="{07316A09-B983-4727-8BFD-1F0C7D2FAB1A}"/>
    <cellStyle name="40% - Accent3 2 3 4 2 5" xfId="12933" xr:uid="{3AD442B1-C2CE-4BDC-96DB-A9A08DA6008C}"/>
    <cellStyle name="40% - Accent3 2 3 4 3" xfId="12931" xr:uid="{242889AA-1916-47DD-8492-DC3E030B6152}"/>
    <cellStyle name="40% - Accent3 2 3 4 3 2" xfId="12924" xr:uid="{85B692E1-4918-4AEB-9479-40EB1508D68F}"/>
    <cellStyle name="40% - Accent3 2 3 4 3 2 2" xfId="15151" xr:uid="{D8F142E4-434F-4A64-AC46-6B137C494003}"/>
    <cellStyle name="40% - Accent3 2 3 4 3 2 2 2" xfId="29586" xr:uid="{DEC402FB-8DDB-4F46-BA1A-9476D3BE2A15}"/>
    <cellStyle name="40% - Accent3 2 3 4 3 2 3" xfId="31778" xr:uid="{AF1B6783-7BAE-406D-A6DD-CEAD33846BF6}"/>
    <cellStyle name="40% - Accent3 2 3 4 3 3" xfId="12923" xr:uid="{DE9994B3-326E-4855-BE4D-BC28D7348A89}"/>
    <cellStyle name="40% - Accent3 2 3 4 3 3 2" xfId="32151" xr:uid="{5281376C-5340-4986-986B-4BEAD583B66A}"/>
    <cellStyle name="40% - Accent3 2 3 4 3 4" xfId="12921" xr:uid="{27B1F027-C866-4932-B94C-9BB79D4BFAEE}"/>
    <cellStyle name="40% - Accent3 2 3 4 4" xfId="12919" xr:uid="{CB724C54-0B8E-4FA0-9179-A97E7CCF1FB9}"/>
    <cellStyle name="40% - Accent3 2 3 4 4 2" xfId="12918" xr:uid="{CE6702DA-B008-4EBE-999E-C9AB293969EC}"/>
    <cellStyle name="40% - Accent3 2 3 4 4 2 2" xfId="32224" xr:uid="{71DE2CA1-5648-4A11-B5EA-5912177674C7}"/>
    <cellStyle name="40% - Accent3 2 3 4 4 3" xfId="12917" xr:uid="{A6E498F5-38B0-4AB1-BC7C-45947B92E1E9}"/>
    <cellStyle name="40% - Accent3 2 3 4 5" xfId="13555" xr:uid="{D17235F8-24D7-456C-A5AD-7B06A64D2663}"/>
    <cellStyle name="40% - Accent3 2 3 4 5 2" xfId="12915" xr:uid="{DF20799A-800C-4F4B-BFB8-600E6AF69C52}"/>
    <cellStyle name="40% - Accent3 2 3 4 6" xfId="30528" xr:uid="{19C87BC0-C8A5-4CAD-BC82-3FD988C20DDA}"/>
    <cellStyle name="40% - Accent3 2 3 5" xfId="9043" xr:uid="{7FED128C-AE71-491B-9535-8BF2D5A1979E}"/>
    <cellStyle name="40% - Accent3 2 3 5 2" xfId="9039" xr:uid="{761A7CB3-D2AA-40A5-83F6-6F93F54D38C8}"/>
    <cellStyle name="40% - Accent3 2 3 5 2 2" xfId="12911" xr:uid="{4EC838F3-EC2D-41B1-8824-59BBA6B4CB4E}"/>
    <cellStyle name="40% - Accent3 2 3 5 2 2 2" xfId="33180" xr:uid="{3B01C513-530B-4CDF-86BF-CDA1E562FD37}"/>
    <cellStyle name="40% - Accent3 2 3 5 2 2 2 2" xfId="12910" xr:uid="{8763C520-1D64-47AF-B852-AD4C437BE441}"/>
    <cellStyle name="40% - Accent3 2 3 5 2 2 3" xfId="22033" xr:uid="{39BCD180-43EF-4DD2-A271-8513F2995753}"/>
    <cellStyle name="40% - Accent3 2 3 5 2 3" xfId="12907" xr:uid="{390110B8-6011-4E52-95FE-3BF7BAFEE33F}"/>
    <cellStyle name="40% - Accent3 2 3 5 2 3 2" xfId="32087" xr:uid="{26EFFA4F-9E48-4236-8532-2BAECE45AE65}"/>
    <cellStyle name="40% - Accent3 2 3 5 2 4" xfId="12905" xr:uid="{FBB1002A-75B9-4765-99E0-4C4F8CC00C7C}"/>
    <cellStyle name="40% - Accent3 2 3 5 3" xfId="12902" xr:uid="{0E91B22C-CCEC-431C-9056-348385AE0743}"/>
    <cellStyle name="40% - Accent3 2 3 5 3 2" xfId="12901" xr:uid="{676E0E2A-D51E-42A6-9542-611D927CD738}"/>
    <cellStyle name="40% - Accent3 2 3 5 3 2 2" xfId="15099" xr:uid="{89D69F76-4C15-4E0A-9E2E-1347DEECBCEC}"/>
    <cellStyle name="40% - Accent3 2 3 5 3 3" xfId="12899" xr:uid="{D727157E-1492-44CA-9609-83A505A089A1}"/>
    <cellStyle name="40% - Accent3 2 3 5 4" xfId="7496" xr:uid="{519BE59C-2688-4930-9B96-F484412376FD}"/>
    <cellStyle name="40% - Accent3 2 3 5 4 2" xfId="12893" xr:uid="{2ED03ADE-12F2-422B-8F08-CA1C9B654A34}"/>
    <cellStyle name="40% - Accent3 2 3 5 5" xfId="7489" xr:uid="{6B79F49B-58EB-4FEB-B18A-025DB07BE7CC}"/>
    <cellStyle name="40% - Accent3 2 3 6" xfId="9034" xr:uid="{D7CE914A-F258-47B9-A849-E94222884F30}"/>
    <cellStyle name="40% - Accent3 2 3 6 2" xfId="12890" xr:uid="{B9465BE6-68C2-4082-97DC-5640DCAC3BCC}"/>
    <cellStyle name="40% - Accent3 2 3 6 2 2" xfId="12888" xr:uid="{23E2F0AE-07F0-4D9E-B5C3-66E193BC65C1}"/>
    <cellStyle name="40% - Accent3 2 3 6 2 2 2" xfId="32063" xr:uid="{7463CEF9-80F0-432C-9C43-E1A532722644}"/>
    <cellStyle name="40% - Accent3 2 3 6 2 3" xfId="12886" xr:uid="{E7475C30-F82C-454E-BB4E-83649F85D247}"/>
    <cellStyle name="40% - Accent3 2 3 6 3" xfId="12884" xr:uid="{EBAB99AE-D180-4B9D-AC2B-E0807D7232DF}"/>
    <cellStyle name="40% - Accent3 2 3 6 3 2" xfId="12882" xr:uid="{0E3D156C-B6F8-4EF8-A1BC-4420959ED35E}"/>
    <cellStyle name="40% - Accent3 2 3 6 4" xfId="10033" xr:uid="{D2DFB0D6-29D4-4319-A42E-E40985EF7CC4}"/>
    <cellStyle name="40% - Accent3 2 3 7" xfId="28594" xr:uid="{7B75F6A4-CF17-40FA-AFA6-4F1F8FF63AC8}"/>
    <cellStyle name="40% - Accent3 2 3 7 2" xfId="29756" xr:uid="{FCA00B6D-FBF0-4669-AF96-56AE4C7465E3}"/>
    <cellStyle name="40% - Accent3 2 3 7 2 2" xfId="29752" xr:uid="{DCD426CE-33AE-4350-9885-95570FD85259}"/>
    <cellStyle name="40% - Accent3 2 3 7 3" xfId="29747" xr:uid="{66162331-B2C5-40E5-8283-E8EF498712FF}"/>
    <cellStyle name="40% - Accent3 2 3 8" xfId="30056" xr:uid="{61EA6558-3585-41F2-B490-8A64D2666775}"/>
    <cellStyle name="40% - Accent3 2 3 8 2" xfId="29743" xr:uid="{E150B58D-9249-4787-A8CD-4AD664AE57D5}"/>
    <cellStyle name="40% - Accent3 2 3 9" xfId="29738" xr:uid="{AFBCE0F1-3169-4894-A3A4-C2CEA3041A35}"/>
    <cellStyle name="40% - Accent3 2 4" xfId="12881" xr:uid="{98CE3CBB-25E3-4AB9-9AA4-706A0D31BA0C}"/>
    <cellStyle name="40% - Accent3 2 4 2" xfId="9029" xr:uid="{71C38D50-5312-4B15-8192-8F1D75EE3E8A}"/>
    <cellStyle name="40% - Accent3 2 4 2 2" xfId="11343" xr:uid="{F6A76532-B58A-42CA-9610-7D89B92C048E}"/>
    <cellStyle name="40% - Accent3 2 4 2 2 2" xfId="14788" xr:uid="{D2F36C21-55E6-4725-9631-8D2D713DC074}"/>
    <cellStyle name="40% - Accent3 2 4 2 2 2 2" xfId="9026" xr:uid="{D9DA2180-D3A8-40EB-AB9A-732283008E9D}"/>
    <cellStyle name="40% - Accent3 2 4 2 2 2 2 2" xfId="14659" xr:uid="{BB37422D-B0A9-4CE0-A9B1-3103B2B76A32}"/>
    <cellStyle name="40% - Accent3 2 4 2 2 2 2 2 2" xfId="16349" xr:uid="{5A6B048B-6512-44A3-9A99-5B865394A3CC}"/>
    <cellStyle name="40% - Accent3 2 4 2 2 2 2 2 2 2" xfId="21670" xr:uid="{00FA411B-DC78-4620-AAB2-FABD7549BB1E}"/>
    <cellStyle name="40% - Accent3 2 4 2 2 2 2 2 3" xfId="16345" xr:uid="{1734843B-6FB0-4750-A620-EA819B0EE271}"/>
    <cellStyle name="40% - Accent3 2 4 2 2 2 2 3" xfId="14656" xr:uid="{4801BFC1-786A-4B1A-AFE9-BB3B975B1AB4}"/>
    <cellStyle name="40% - Accent3 2 4 2 2 2 2 3 2" xfId="16341" xr:uid="{0BF2D453-F8F6-49A7-BBF4-2FE19F393F88}"/>
    <cellStyle name="40% - Accent3 2 4 2 2 2 2 4" xfId="12879" xr:uid="{A01A72EA-772B-4A0E-9148-92D83178469B}"/>
    <cellStyle name="40% - Accent3 2 4 2 2 2 3" xfId="14775" xr:uid="{5E5D2B95-FBAF-41D4-9E1C-DA541D63FDF5}"/>
    <cellStyle name="40% - Accent3 2 4 2 2 2 3 2" xfId="14654" xr:uid="{1739105A-D338-4944-A59C-07C2AFF17A9B}"/>
    <cellStyle name="40% - Accent3 2 4 2 2 2 3 2 2" xfId="20227" xr:uid="{9D2F2601-2A74-4BE4-AEF5-AC216F71AD01}"/>
    <cellStyle name="40% - Accent3 2 4 2 2 2 3 3" xfId="12876" xr:uid="{CE6A9756-97C5-4591-BE01-E625FA943434}"/>
    <cellStyle name="40% - Accent3 2 4 2 2 2 4" xfId="14768" xr:uid="{D451A30C-2C8B-45F3-B34A-88D29063A7A0}"/>
    <cellStyle name="40% - Accent3 2 4 2 2 2 4 2" xfId="12875" xr:uid="{B8B71CF2-F0B8-4C4E-BD67-1D40601EA3D5}"/>
    <cellStyle name="40% - Accent3 2 4 2 2 2 5" xfId="12874" xr:uid="{5F3EDE79-5A88-4E80-9952-25BBCD672865}"/>
    <cellStyle name="40% - Accent3 2 4 2 2 3" xfId="10317" xr:uid="{7CD617EC-D11F-4278-AAED-1940736D3A33}"/>
    <cellStyle name="40% - Accent3 2 4 2 2 3 2" xfId="14761" xr:uid="{1F117809-1B6E-4777-85F4-1C8D0F92633C}"/>
    <cellStyle name="40% - Accent3 2 4 2 2 3 2 2" xfId="14641" xr:uid="{2F46C91F-93D3-456B-9674-D9EC20C64A32}"/>
    <cellStyle name="40% - Accent3 2 4 2 2 3 2 2 2" xfId="16263" xr:uid="{4DAA069A-C755-4263-937D-24465DB06C58}"/>
    <cellStyle name="40% - Accent3 2 4 2 2 3 2 3" xfId="12873" xr:uid="{A6EA00D7-20D0-4171-A968-3F8203532165}"/>
    <cellStyle name="40% - Accent3 2 4 2 2 3 3" xfId="14755" xr:uid="{E12AA636-4415-4747-B3AD-9B350F5676DA}"/>
    <cellStyle name="40% - Accent3 2 4 2 2 3 3 2" xfId="12872" xr:uid="{5F4F8689-1E4F-4ECB-849A-EB84A8DC2F43}"/>
    <cellStyle name="40% - Accent3 2 4 2 2 3 4" xfId="12871" xr:uid="{BA1D5502-B41C-45B1-B05A-C217B5841F87}"/>
    <cellStyle name="40% - Accent3 2 4 2 2 4" xfId="17358" xr:uid="{B6742E6A-9232-40F5-891C-5EA6B495E571}"/>
    <cellStyle name="40% - Accent3 2 4 2 2 4 2" xfId="14752" xr:uid="{7034E8D7-371C-46B1-993B-B7EF7215D154}"/>
    <cellStyle name="40% - Accent3 2 4 2 2 4 2 2" xfId="12870" xr:uid="{53B498C3-3F1E-4D2A-B358-4957E7B14302}"/>
    <cellStyle name="40% - Accent3 2 4 2 2 4 3" xfId="12869" xr:uid="{1033D8BC-A1D7-4F63-9A79-D3D52D6B580B}"/>
    <cellStyle name="40% - Accent3 2 4 2 2 5" xfId="17352" xr:uid="{46DCF5EF-E3A2-426C-B6AB-2DCD35026CC5}"/>
    <cellStyle name="40% - Accent3 2 4 2 2 5 2" xfId="12868" xr:uid="{75D22C9C-2483-41B6-84A0-94A4878525A2}"/>
    <cellStyle name="40% - Accent3 2 4 2 2 6" xfId="8015" xr:uid="{3BE442E4-E43B-42C2-B12D-69EF93A803FB}"/>
    <cellStyle name="40% - Accent3 2 4 2 3" xfId="14750" xr:uid="{070C8DD4-FDD7-4EC1-B7E1-2687B26A3CC1}"/>
    <cellStyle name="40% - Accent3 2 4 2 3 2" xfId="9023" xr:uid="{69E72158-5411-4AD2-BAB2-46889A292FD5}"/>
    <cellStyle name="40% - Accent3 2 4 2 3 2 2" xfId="14744" xr:uid="{B9DEAC4A-273D-4C4C-8508-A1B9591EBB51}"/>
    <cellStyle name="40% - Accent3 2 4 2 3 2 2 2" xfId="14616" xr:uid="{768B4BB5-7C93-4166-910A-D3E1816F7E98}"/>
    <cellStyle name="40% - Accent3 2 4 2 3 2 2 2 2" xfId="15967" xr:uid="{1A4B330E-CD31-4654-AD86-2AEEDF43818F}"/>
    <cellStyle name="40% - Accent3 2 4 2 3 2 2 3" xfId="12865" xr:uid="{86E355C0-6600-482C-9D60-FEAFA09302D3}"/>
    <cellStyle name="40% - Accent3 2 4 2 3 2 3" xfId="14741" xr:uid="{7184C00A-E9F0-4669-851A-E8039C71FB17}"/>
    <cellStyle name="40% - Accent3 2 4 2 3 2 3 2" xfId="12864" xr:uid="{8E268955-EB0D-4E6B-97A3-8589B33BE79B}"/>
    <cellStyle name="40% - Accent3 2 4 2 3 2 4" xfId="12863" xr:uid="{0D0D2F85-09EC-431C-8C7B-91FA9C7C66D2}"/>
    <cellStyle name="40% - Accent3 2 4 2 3 3" xfId="14739" xr:uid="{53977EAC-4E6D-45B0-AD12-CE5DFD1F6AB1}"/>
    <cellStyle name="40% - Accent3 2 4 2 3 3 2" xfId="14737" xr:uid="{BBF0A690-C72E-418E-A9A4-162AF58533A6}"/>
    <cellStyle name="40% - Accent3 2 4 2 3 3 2 2" xfId="12861" xr:uid="{4B7C0417-6C70-4F28-AF74-0DF35F027BCE}"/>
    <cellStyle name="40% - Accent3 2 4 2 3 3 3" xfId="12860" xr:uid="{2A581E1E-BF48-4F2A-AA77-960A01AAA89C}"/>
    <cellStyle name="40% - Accent3 2 4 2 3 4" xfId="17345" xr:uid="{329E76A6-27C6-49CD-96A7-02A77CE32A6F}"/>
    <cellStyle name="40% - Accent3 2 4 2 3 4 2" xfId="14514" xr:uid="{5FDB14D4-D605-4283-91EF-E1CC4EE423E2}"/>
    <cellStyle name="40% - Accent3 2 4 2 3 5" xfId="12857" xr:uid="{3EB2E13A-FFD4-4101-ABAA-30137C4F0DF5}"/>
    <cellStyle name="40% - Accent3 2 4 2 4" xfId="14734" xr:uid="{391EC54A-ADEA-4BED-A9D6-6F43189352A8}"/>
    <cellStyle name="40% - Accent3 2 4 2 4 2" xfId="34343" xr:uid="{12DFEA62-54EC-4E56-8A30-D9DD428271B3}"/>
    <cellStyle name="40% - Accent3 2 4 2 4 2 2" xfId="14726" xr:uid="{D352DE22-F2C9-42C6-AD53-5F4E439C994E}"/>
    <cellStyle name="40% - Accent3 2 4 2 4 2 2 2" xfId="29605" xr:uid="{174AC3DA-4C32-4F84-A095-D92A5DBDB4E0}"/>
    <cellStyle name="40% - Accent3 2 4 2 4 2 3" xfId="12856" xr:uid="{E5A6B931-898E-4308-B483-108CC5B5A56C}"/>
    <cellStyle name="40% - Accent3 2 4 2 4 3" xfId="29291" xr:uid="{4AA8204E-1730-4A55-ADC3-21FF532EC52D}"/>
    <cellStyle name="40% - Accent3 2 4 2 4 3 2" xfId="12852" xr:uid="{2DD34C69-7D2A-4038-B131-F1B4328FE55B}"/>
    <cellStyle name="40% - Accent3 2 4 2 4 4" xfId="12849" xr:uid="{FF8E3EA6-F1F3-4BA6-B48C-98E71C96DCD7}"/>
    <cellStyle name="40% - Accent3 2 4 2 5" xfId="14721" xr:uid="{1FC26127-29B1-4211-B57C-FA7F32BEB7DD}"/>
    <cellStyle name="40% - Accent3 2 4 2 5 2" xfId="14718" xr:uid="{5C42B428-7E4F-4834-B375-E9044A50F911}"/>
    <cellStyle name="40% - Accent3 2 4 2 5 2 2" xfId="12848" xr:uid="{F43F3625-04A8-4125-9929-1142710D6E42}"/>
    <cellStyle name="40% - Accent3 2 4 2 5 3" xfId="12846" xr:uid="{068C03A1-8C03-4F0C-85EB-9B2CFE744C34}"/>
    <cellStyle name="40% - Accent3 2 4 2 6" xfId="18519" xr:uid="{8819A83E-23A1-435A-8BE2-F061350825DD}"/>
    <cellStyle name="40% - Accent3 2 4 2 6 2" xfId="18517" xr:uid="{DE486AFF-5F06-449F-B450-17AC7CA256BF}"/>
    <cellStyle name="40% - Accent3 2 4 2 7" xfId="11564" xr:uid="{5AE6526D-E453-4705-823E-25580D6993E4}"/>
    <cellStyle name="40% - Accent3 2 4 3" xfId="12845" xr:uid="{5824C0B4-A1BD-4A8D-955E-CFD0DED9E7D2}"/>
    <cellStyle name="40% - Accent3 2 4 3 2" xfId="9018" xr:uid="{5E6B23DA-01D5-4810-93E4-6E794DCE9136}"/>
    <cellStyle name="40% - Accent3 2 4 3 2 2" xfId="9013" xr:uid="{A76A8472-2657-436E-873F-A12A4881FB2C}"/>
    <cellStyle name="40% - Accent3 2 4 3 2 2 2" xfId="8735" xr:uid="{B6047A06-581C-46F7-AE0A-3B7A3BE711C4}"/>
    <cellStyle name="40% - Accent3 2 4 3 2 2 2 2" xfId="14588" xr:uid="{0BA55D22-384E-4AE6-9371-FDD83C902997}"/>
    <cellStyle name="40% - Accent3 2 4 3 2 2 2 2 2" xfId="14382" xr:uid="{5174B4CF-0AD0-4479-A7F5-902AA8B4B6D2}"/>
    <cellStyle name="40% - Accent3 2 4 3 2 2 2 3" xfId="25367" xr:uid="{7E533838-0199-44F2-A6C4-690D1AF59C43}"/>
    <cellStyle name="40% - Accent3 2 4 3 2 2 3" xfId="34299" xr:uid="{845DA7A6-715C-4DEF-8A61-30C04641CAF1}"/>
    <cellStyle name="40% - Accent3 2 4 3 2 2 3 2" xfId="12843" xr:uid="{3A6287DF-E43B-4B1B-A7A9-F295FAC3DA4D}"/>
    <cellStyle name="40% - Accent3 2 4 3 2 2 4" xfId="31757" xr:uid="{3BC0747F-F428-4F55-BE17-8977251F0E3C}"/>
    <cellStyle name="40% - Accent3 2 4 3 2 3" xfId="14700" xr:uid="{65D82EFF-DAE0-44BE-9848-322B0B9F0948}"/>
    <cellStyle name="40% - Accent3 2 4 3 2 3 2" xfId="27630" xr:uid="{ECAD819C-D14F-4C29-9D50-2BA5E95F6ED6}"/>
    <cellStyle name="40% - Accent3 2 4 3 2 3 2 2" xfId="12841" xr:uid="{6DF8AD74-139E-474E-A734-15DAB2EF74A5}"/>
    <cellStyle name="40% - Accent3 2 4 3 2 3 3" xfId="31734" xr:uid="{8660943B-88D4-47DB-ADE7-0FD0D72AC1B6}"/>
    <cellStyle name="40% - Accent3 2 4 3 2 4" xfId="17317" xr:uid="{3E859239-E90C-42A5-B0E9-EB3A4F92B253}"/>
    <cellStyle name="40% - Accent3 2 4 3 2 4 2" xfId="31728" xr:uid="{94C653B9-16F2-4B2C-A6F3-4C9F64AEBE4F}"/>
    <cellStyle name="40% - Accent3 2 4 3 2 5" xfId="12839" xr:uid="{BE75BEFD-5931-4EB6-AE5D-B3DF20ABE375}"/>
    <cellStyle name="40% - Accent3 2 4 3 3" xfId="14694" xr:uid="{A31B21BF-3653-4CB1-8038-ECE00A8CD828}"/>
    <cellStyle name="40% - Accent3 2 4 3 3 2" xfId="14689" xr:uid="{1EE62BE3-76F5-4690-B6ED-9C8A12C56F1B}"/>
    <cellStyle name="40% - Accent3 2 4 3 3 2 2" xfId="30145" xr:uid="{05EC494F-18DA-426C-BFAA-BBF34E6AE4FD}"/>
    <cellStyle name="40% - Accent3 2 4 3 3 2 2 2" xfId="12837" xr:uid="{052B0708-B1A2-4F92-A763-7B3B24685B64}"/>
    <cellStyle name="40% - Accent3 2 4 3 3 2 3" xfId="18435" xr:uid="{9C9678D4-B6D1-49F2-ABB8-AA98CE33B2AB}"/>
    <cellStyle name="40% - Accent3 2 4 3 3 3" xfId="14686" xr:uid="{BC292D61-A686-43C5-8BA0-DC9FFD426EE7}"/>
    <cellStyle name="40% - Accent3 2 4 3 3 3 2" xfId="29315" xr:uid="{13803369-68A5-4641-9E4A-25ED9FA44499}"/>
    <cellStyle name="40% - Accent3 2 4 3 3 4" xfId="12835" xr:uid="{DDC2CA64-F503-44B8-8D34-9E1013CF1ECE}"/>
    <cellStyle name="40% - Accent3 2 4 3 4" xfId="14683" xr:uid="{2CA54160-BC82-48F5-BD25-A667B39890C1}"/>
    <cellStyle name="40% - Accent3 2 4 3 4 2" xfId="14680" xr:uid="{2EB78FF2-36C5-4E74-BDE3-4ACE1ACBF053}"/>
    <cellStyle name="40% - Accent3 2 4 3 4 2 2" xfId="29267" xr:uid="{9F60AC4B-8A81-4A1D-83D8-71868C2E9E2D}"/>
    <cellStyle name="40% - Accent3 2 4 3 4 3" xfId="12833" xr:uid="{B92C515C-1328-4A89-BD94-EC7C6A511DA2}"/>
    <cellStyle name="40% - Accent3 2 4 3 5" xfId="14677" xr:uid="{32BF9065-CE5D-4852-A733-B9CA7DFE5BFA}"/>
    <cellStyle name="40% - Accent3 2 4 3 5 2" xfId="12831" xr:uid="{5E143469-FA7E-41B4-80F0-33F7E32228F7}"/>
    <cellStyle name="40% - Accent3 2 4 3 6" xfId="21600" xr:uid="{389B441A-AC8A-469E-8631-246386A3F0B4}"/>
    <cellStyle name="40% - Accent3 2 4 4" xfId="12830" xr:uid="{B17CBACB-6182-47C6-B4B4-ED307A63AE59}"/>
    <cellStyle name="40% - Accent3 2 4 4 2" xfId="9009" xr:uid="{A3F0E0BC-7411-4D82-BB7A-260765BDDFA6}"/>
    <cellStyle name="40% - Accent3 2 4 4 2 2" xfId="32069" xr:uid="{CB598778-6DE2-4C3B-A767-CBC2F93E610F}"/>
    <cellStyle name="40% - Accent3 2 4 4 2 2 2" xfId="31670" xr:uid="{2E5CDD46-E541-4C55-841D-9643A6D52DF9}"/>
    <cellStyle name="40% - Accent3 2 4 4 2 2 2 2" xfId="12828" xr:uid="{EA4AECC6-B305-4200-BDDF-E7129408670B}"/>
    <cellStyle name="40% - Accent3 2 4 4 2 2 3" xfId="31656" xr:uid="{8D308C6F-0BAF-4068-B92A-12C9D14769FD}"/>
    <cellStyle name="40% - Accent3 2 4 4 2 3" xfId="25815" xr:uid="{F8EE0555-6517-49D6-A0D2-36BBABFC2EC7}"/>
    <cellStyle name="40% - Accent3 2 4 4 2 3 2" xfId="31627" xr:uid="{2802B73D-892A-45E2-AF22-E09869BD9B5C}"/>
    <cellStyle name="40% - Accent3 2 4 4 2 4" xfId="16190" xr:uid="{EE683482-DB84-4EB6-8B30-1F61186F4B35}"/>
    <cellStyle name="40% - Accent3 2 4 4 3" xfId="31065" xr:uid="{D7787459-C742-47E3-8377-C0D82463D4DE}"/>
    <cellStyle name="40% - Accent3 2 4 4 3 2" xfId="34214" xr:uid="{10382EF9-970D-47CC-ABDB-95785EC971EA}"/>
    <cellStyle name="40% - Accent3 2 4 4 3 2 2" xfId="31599" xr:uid="{3F2C0108-BE4D-444E-8329-091B4ACFBC43}"/>
    <cellStyle name="40% - Accent3 2 4 4 3 3" xfId="16187" xr:uid="{05A18B5A-F1F4-48B6-8B80-AB7D8954EADA}"/>
    <cellStyle name="40% - Accent3 2 4 4 4" xfId="25890" xr:uid="{5117369A-D305-45DE-89A2-70F78902EB7D}"/>
    <cellStyle name="40% - Accent3 2 4 4 4 2" xfId="16185" xr:uid="{3B83B9C6-2771-4794-A6A2-FABC504E8EEB}"/>
    <cellStyle name="40% - Accent3 2 4 4 5" xfId="13536" xr:uid="{120B3AC6-08A2-440B-886A-D78600E9D65F}"/>
    <cellStyle name="40% - Accent3 2 4 5" xfId="12823" xr:uid="{12366F5C-AD66-4806-B01A-14B2B96A2647}"/>
    <cellStyle name="40% - Accent3 2 4 5 2" xfId="33654" xr:uid="{482ACFD6-F034-4A71-BF6D-07DF354937DD}"/>
    <cellStyle name="40% - Accent3 2 4 5 2 2" xfId="32493" xr:uid="{5569C8CA-A8B4-4461-904F-1175F2C163D7}"/>
    <cellStyle name="40% - Accent3 2 4 5 2 2 2" xfId="16796" xr:uid="{3BDE9EEE-575F-4DA6-90C9-68DB11DEA8D8}"/>
    <cellStyle name="40% - Accent3 2 4 5 2 3" xfId="16176" xr:uid="{F31660F1-ACB6-44DB-8397-C34DA3FFDC21}"/>
    <cellStyle name="40% - Accent3 2 4 5 3" xfId="31051" xr:uid="{D517FEEF-0247-4891-A84B-06BF564A5C7E}"/>
    <cellStyle name="40% - Accent3 2 4 5 3 2" xfId="16172" xr:uid="{C27736EB-CEB9-4873-9705-A00D4A556012}"/>
    <cellStyle name="40% - Accent3 2 4 5 4" xfId="7470" xr:uid="{7AA93607-BF8A-4795-A0D6-ED5B65DA6BB1}"/>
    <cellStyle name="40% - Accent3 2 4 6" xfId="12819" xr:uid="{0C73B298-1EAA-43C9-90C5-02C865A69F29}"/>
    <cellStyle name="40% - Accent3 2 4 6 2" xfId="29846" xr:uid="{E6B20E5B-AD93-4A42-9FF8-86D7D6B9601B}"/>
    <cellStyle name="40% - Accent3 2 4 6 2 2" xfId="15831" xr:uid="{3E3001D1-C09B-42A5-827A-0000509A2C90}"/>
    <cellStyle name="40% - Accent3 2 4 6 3" xfId="15733" xr:uid="{29E07834-A238-4F22-B72A-31C225D63FDC}"/>
    <cellStyle name="40% - Accent3 2 4 7" xfId="30044" xr:uid="{1ABBCE2D-521B-4AD8-9D40-B9044C5BF6D6}"/>
    <cellStyle name="40% - Accent3 2 4 7 2" xfId="19354" xr:uid="{15E35FAF-07A1-4377-969B-F2C968B5C8B3}"/>
    <cellStyle name="40% - Accent3 2 4 8" xfId="29646" xr:uid="{208F1D76-A4A5-4082-A110-7A12C6F65D38}"/>
    <cellStyle name="40% - Accent3 2 4 9" xfId="34757" xr:uid="{D7262DB0-AF91-4A66-B37B-CCF1A1386BF4}"/>
    <cellStyle name="40% - Accent3 2 5" xfId="9005" xr:uid="{DEAFD164-BAE9-409C-9824-6C0DF5765A22}"/>
    <cellStyle name="40% - Accent3 2 5 2" xfId="9002" xr:uid="{6ADBE363-89E3-4B8B-A474-A3CBF9EDA955}"/>
    <cellStyle name="40% - Accent3 2 5 2 2" xfId="8999" xr:uid="{45ADAF7C-EDF4-459C-A010-C4DFC121618E}"/>
    <cellStyle name="40% - Accent3 2 5 2 2 2" xfId="14296" xr:uid="{7E188B4D-D7CC-48CC-869D-863EFB2A484C}"/>
    <cellStyle name="40% - Accent3 2 5 2 2 2 2" xfId="14549" xr:uid="{71785867-72FD-4BF2-B7D2-9E16857C12AA}"/>
    <cellStyle name="40% - Accent3 2 5 2 2 2 2 2" xfId="14547" xr:uid="{322A29C4-196E-4B31-9D20-2C2D6CD5C5C1}"/>
    <cellStyle name="40% - Accent3 2 5 2 2 2 2 2 2" xfId="12815" xr:uid="{21C72618-25B5-4713-B7CF-3A7545EBE89E}"/>
    <cellStyle name="40% - Accent3 2 5 2 2 2 2 3" xfId="12811" xr:uid="{D024CA50-0A75-4B25-92DC-452E7DE02EDF}"/>
    <cellStyle name="40% - Accent3 2 5 2 2 2 3" xfId="14542" xr:uid="{96EAEC80-54A7-4A8C-AE71-DD13920FB6B5}"/>
    <cellStyle name="40% - Accent3 2 5 2 2 2 3 2" xfId="26707" xr:uid="{19404074-9C48-48E7-BC89-E15C2D988A3C}"/>
    <cellStyle name="40% - Accent3 2 5 2 2 2 4" xfId="12810" xr:uid="{82F98DFE-89AA-4DB5-8693-C87F2C460506}"/>
    <cellStyle name="40% - Accent3 2 5 2 2 3" xfId="14288" xr:uid="{3A242DE0-245F-4102-A376-7F8E61F62644}"/>
    <cellStyle name="40% - Accent3 2 5 2 2 3 2" xfId="14530" xr:uid="{1292E270-817C-403B-B486-A80D9F00F1AC}"/>
    <cellStyle name="40% - Accent3 2 5 2 2 3 2 2" xfId="33515" xr:uid="{81494AB3-9A33-4F03-B5F6-C3E33C77703C}"/>
    <cellStyle name="40% - Accent3 2 5 2 2 3 3" xfId="12809" xr:uid="{A2EE35E7-D8E3-4275-8904-7A4BACB6D462}"/>
    <cellStyle name="40% - Accent3 2 5 2 2 4" xfId="17252" xr:uid="{D287B88D-1CB1-402F-8877-4490ACC015C4}"/>
    <cellStyle name="40% - Accent3 2 5 2 2 4 2" xfId="12808" xr:uid="{EFDB3767-618C-43B7-91DE-7389C946E6A6}"/>
    <cellStyle name="40% - Accent3 2 5 2 2 5" xfId="12807" xr:uid="{FFFE5CE3-8F09-4EBF-832E-6DC3714E7504}"/>
    <cellStyle name="40% - Accent3 2 5 2 3" xfId="14284" xr:uid="{76C408AB-3824-429C-9E7D-324DB569E888}"/>
    <cellStyle name="40% - Accent3 2 5 2 3 2" xfId="11575" xr:uid="{02ABDD15-EEB8-43C1-9931-AF6F46D46C57}"/>
    <cellStyle name="40% - Accent3 2 5 2 3 2 2" xfId="14503" xr:uid="{496FECD9-CF30-4185-A929-49D8765B42C9}"/>
    <cellStyle name="40% - Accent3 2 5 2 3 2 2 2" xfId="12806" xr:uid="{307C8C75-00A7-41C9-9F8E-98EEBCCE9CC9}"/>
    <cellStyle name="40% - Accent3 2 5 2 3 2 3" xfId="12805" xr:uid="{3025BCBF-7BAA-4295-A63F-95FE3F3872B8}"/>
    <cellStyle name="40% - Accent3 2 5 2 3 3" xfId="14279" xr:uid="{0DB98A6B-7818-4DD6-9655-56831D5367C3}"/>
    <cellStyle name="40% - Accent3 2 5 2 3 3 2" xfId="12803" xr:uid="{36661365-4879-4DC1-81B3-2DC0921C5BFF}"/>
    <cellStyle name="40% - Accent3 2 5 2 3 4" xfId="12802" xr:uid="{F1EE75A2-A038-4A57-BC6E-CC95A1D8B708}"/>
    <cellStyle name="40% - Accent3 2 5 2 4" xfId="17010" xr:uid="{81E2134A-7F89-4370-A485-983DD046A9B1}"/>
    <cellStyle name="40% - Accent3 2 5 2 4 2" xfId="34406" xr:uid="{980E2270-BE93-46C8-ABDB-465D538FE321}"/>
    <cellStyle name="40% - Accent3 2 5 2 4 2 2" xfId="12801" xr:uid="{9AAA61F7-58B2-419C-B5ED-87A66C979337}"/>
    <cellStyle name="40% - Accent3 2 5 2 4 3" xfId="12799" xr:uid="{CD512A07-DD85-4AF9-B320-42ADAC069AE2}"/>
    <cellStyle name="40% - Accent3 2 5 2 5" xfId="17126" xr:uid="{A5184B8D-9454-420D-B895-084D3D38FE7F}"/>
    <cellStyle name="40% - Accent3 2 5 2 5 2" xfId="7529" xr:uid="{44D0F414-B42B-4E4D-B6B5-45D1B7E8589F}"/>
    <cellStyle name="40% - Accent3 2 5 2 6" xfId="18659" xr:uid="{941BCCCF-C4B5-4DEB-84D1-68DD643B461B}"/>
    <cellStyle name="40% - Accent3 2 5 3" xfId="8994" xr:uid="{A805D878-75A6-4B2A-BB90-5C8D7FCBBDEE}"/>
    <cellStyle name="40% - Accent3 2 5 3 2" xfId="8991" xr:uid="{C287FDDA-D047-41E9-8D0A-570EE30AE38F}"/>
    <cellStyle name="40% - Accent3 2 5 3 2 2" xfId="11571" xr:uid="{86E3A6B7-E026-4CD0-9D2E-46C94D669C56}"/>
    <cellStyle name="40% - Accent3 2 5 3 2 2 2" xfId="14474" xr:uid="{E17A1044-CCC3-441D-9D7B-1FA7614BBB21}"/>
    <cellStyle name="40% - Accent3 2 5 3 2 2 2 2" xfId="12794" xr:uid="{C8CBAB30-D935-4FD8-AB6F-BADB46CF011C}"/>
    <cellStyle name="40% - Accent3 2 5 3 2 2 3" xfId="12792" xr:uid="{86D94E54-5223-4C42-8251-D2632D5701E1}"/>
    <cellStyle name="40% - Accent3 2 5 3 2 3" xfId="14253" xr:uid="{767416E1-A7A4-41AC-9D46-F4FF89017381}"/>
    <cellStyle name="40% - Accent3 2 5 3 2 3 2" xfId="12790" xr:uid="{9ED055DA-6799-46A1-B9D8-77AF3C8F6F99}"/>
    <cellStyle name="40% - Accent3 2 5 3 2 4" xfId="12787" xr:uid="{87F26843-C6CA-47B6-94DF-8445521F64CA}"/>
    <cellStyle name="40% - Accent3 2 5 3 3" xfId="14248" xr:uid="{6201EA6F-6063-4305-9DEB-0C55D9649B2A}"/>
    <cellStyle name="40% - Accent3 2 5 3 3 2" xfId="14244" xr:uid="{7F02D9E2-6A66-40C2-A222-FEC23543948F}"/>
    <cellStyle name="40% - Accent3 2 5 3 3 2 2" xfId="12781" xr:uid="{668E8534-CFE2-47FE-8AD6-8BCFC24B8551}"/>
    <cellStyle name="40% - Accent3 2 5 3 3 3" xfId="12780" xr:uid="{4A53310C-1317-437C-8514-07560506977B}"/>
    <cellStyle name="40% - Accent3 2 5 3 4" xfId="17117" xr:uid="{EA63CD57-F340-41D6-B425-69A3E30577F3}"/>
    <cellStyle name="40% - Accent3 2 5 3 4 2" xfId="12775" xr:uid="{1B50AD1E-2C59-43C6-B1E0-A2729907E1B6}"/>
    <cellStyle name="40% - Accent3 2 5 3 5" xfId="13528" xr:uid="{3D35ED07-77A5-4668-A4CF-370152B45370}"/>
    <cellStyle name="40% - Accent3 2 5 4" xfId="12773" xr:uid="{368B808A-1504-4485-8BBC-172420574303}"/>
    <cellStyle name="40% - Accent3 2 5 4 2" xfId="9114" xr:uid="{C2F067DE-532B-4A6F-B66B-C76CE92EBE5C}"/>
    <cellStyle name="40% - Accent3 2 5 4 2 2" xfId="5393" xr:uid="{38310278-F05B-4D2E-ABD9-250CF6FD4B0E}"/>
    <cellStyle name="40% - Accent3 2 5 4 2 2 2" xfId="12767" xr:uid="{A03DC84D-5E06-4811-B69B-AA2222F604DC}"/>
    <cellStyle name="40% - Accent3 2 5 4 2 3" xfId="16150" xr:uid="{915AB2E8-9DA5-4FAF-90A5-6A328CFA0A57}"/>
    <cellStyle name="40% - Accent3 2 5 4 3" xfId="5391" xr:uid="{012C7226-FBB6-4AF6-865A-A7DC5526D37D}"/>
    <cellStyle name="40% - Accent3 2 5 4 3 2" xfId="16143" xr:uid="{8A34ABC1-3C08-487E-AAA9-F2209A476D37}"/>
    <cellStyle name="40% - Accent3 2 5 4 4" xfId="12766" xr:uid="{086D41C4-F71B-49B2-8F09-F569A3EE0C15}"/>
    <cellStyle name="40% - Accent3 2 5 5" xfId="12763" xr:uid="{C799B581-C71E-4AD3-9F24-47C50634CC74}"/>
    <cellStyle name="40% - Accent3 2 5 5 2" xfId="10458" xr:uid="{F651EED4-662B-4377-9886-20DF98D0E3CB}"/>
    <cellStyle name="40% - Accent3 2 5 5 2 2" xfId="33696" xr:uid="{8B562DA3-EB3C-4BE3-B4EF-FEA8A572B144}"/>
    <cellStyle name="40% - Accent3 2 5 5 3" xfId="15709" xr:uid="{1F76BDE9-8E6D-4566-AD93-22CED6D7C8C1}"/>
    <cellStyle name="40% - Accent3 2 5 6" xfId="13449" xr:uid="{7E1B0576-9759-4507-818B-9DDC8C522A09}"/>
    <cellStyle name="40% - Accent3 2 5 6 2" xfId="12760" xr:uid="{B01769C0-7612-4F78-A645-B99D7CF3B73C}"/>
    <cellStyle name="40% - Accent3 2 5 7" xfId="32166" xr:uid="{B3CC3A40-3EA8-42F6-AAA5-12C9FA238FA9}"/>
    <cellStyle name="40% - Accent3 2 5 8" xfId="34947" xr:uid="{105BBE31-4CC9-43C3-B262-B91D4DBF81DE}"/>
    <cellStyle name="40% - Accent3 2 6" xfId="12755" xr:uid="{9BD85156-FED2-4A09-84C8-6978628FBC5D}"/>
    <cellStyle name="40% - Accent3 2 6 2" xfId="13624" xr:uid="{7F2B43ED-4198-496A-99E6-E45D8894F343}"/>
    <cellStyle name="40% - Accent3 2 6 2 2" xfId="13930" xr:uid="{3253BD7E-13DA-4051-96AF-370F0C815514}"/>
    <cellStyle name="40% - Accent3 2 6 2 2 2" xfId="11565" xr:uid="{E5028C65-2EC7-4F38-979D-C217F706CF12}"/>
    <cellStyle name="40% - Accent3 2 6 2 2 2 2" xfId="14393" xr:uid="{0A2C83C4-575F-4CBA-8CDA-ACC8C4CDACC0}"/>
    <cellStyle name="40% - Accent3 2 6 2 2 2 2 2" xfId="12754" xr:uid="{3C906607-5F74-47FD-8306-C29B44582962}"/>
    <cellStyle name="40% - Accent3 2 6 2 2 2 3" xfId="12753" xr:uid="{A9364181-DCD8-438E-A115-36265B5511BF}"/>
    <cellStyle name="40% - Accent3 2 6 2 2 3" xfId="13923" xr:uid="{D6973573-AACB-4427-8CEA-87E87C187B70}"/>
    <cellStyle name="40% - Accent3 2 6 2 2 3 2" xfId="12752" xr:uid="{BCEFCC65-96D9-45D9-B58D-976084770EAF}"/>
    <cellStyle name="40% - Accent3 2 6 2 2 4" xfId="12751" xr:uid="{3A2225A0-542E-4BE3-9D50-2BD34429A531}"/>
    <cellStyle name="40% - Accent3 2 6 2 3" xfId="13921" xr:uid="{7ABFF7F6-C06E-44E6-A2D7-518DD95171C2}"/>
    <cellStyle name="40% - Accent3 2 6 2 3 2" xfId="13919" xr:uid="{FF790756-797D-46F6-AAE3-18F67E5A5CB0}"/>
    <cellStyle name="40% - Accent3 2 6 2 3 2 2" xfId="16741" xr:uid="{1B762936-F79E-4C51-855A-245261F5C2EC}"/>
    <cellStyle name="40% - Accent3 2 6 2 3 3" xfId="34102" xr:uid="{253D48D4-B3EC-4881-9DD3-37AD7028D1B7}"/>
    <cellStyle name="40% - Accent3 2 6 2 4" xfId="17088" xr:uid="{046C0019-2FB9-4907-9F81-A132ED65EA56}"/>
    <cellStyle name="40% - Accent3 2 6 2 4 2" xfId="12750" xr:uid="{7622C9C6-FE88-40C0-87D6-0DCC907591CE}"/>
    <cellStyle name="40% - Accent3 2 6 2 5" xfId="13518" xr:uid="{D665002D-9DDB-41F8-B872-5BB45471C082}"/>
    <cellStyle name="40% - Accent3 2 6 3" xfId="13620" xr:uid="{8AF2EF43-A7FA-4E6B-BC6B-5E2AD1D7C6E2}"/>
    <cellStyle name="40% - Accent3 2 6 3 2" xfId="13909" xr:uid="{EF406F77-A29D-46AE-87E7-5D573B813853}"/>
    <cellStyle name="40% - Accent3 2 6 3 2 2" xfId="14151" xr:uid="{D876ADE7-E151-409B-A63E-4D084A8DBA6C}"/>
    <cellStyle name="40% - Accent3 2 6 3 2 2 2" xfId="12749" xr:uid="{8A9716BB-8C2E-42F6-8461-9C78A028A390}"/>
    <cellStyle name="40% - Accent3 2 6 3 2 3" xfId="12748" xr:uid="{062884E2-0A69-48A6-9FFE-796F87216893}"/>
    <cellStyle name="40% - Accent3 2 6 3 3" xfId="13907" xr:uid="{B63079A5-09EA-4684-AD6F-A6C67542B47A}"/>
    <cellStyle name="40% - Accent3 2 6 3 3 2" xfId="12744" xr:uid="{00FC827C-4A94-46F1-8EE4-EC324DC9666D}"/>
    <cellStyle name="40% - Accent3 2 6 3 4" xfId="12742" xr:uid="{1D60E97A-E2DC-4849-A3C7-6B7D0F81C4BE}"/>
    <cellStyle name="40% - Accent3 2 6 4" xfId="12739" xr:uid="{D59B959F-BE6C-4BE2-B0E3-5EB8A652384A}"/>
    <cellStyle name="40% - Accent3 2 6 4 2" xfId="32189" xr:uid="{B567BB30-B5E5-41F3-A50D-41CD183D22FB}"/>
    <cellStyle name="40% - Accent3 2 6 4 2 2" xfId="16129" xr:uid="{4A028977-B7F9-49F8-8A71-D18E12E4AA93}"/>
    <cellStyle name="40% - Accent3 2 6 4 3" xfId="12735" xr:uid="{3546A6E8-C1A2-44DA-8C3A-876C75619336}"/>
    <cellStyle name="40% - Accent3 2 6 5" xfId="12732" xr:uid="{88FF6329-297D-4311-81A0-A8483F1D10FE}"/>
    <cellStyle name="40% - Accent3 2 6 5 2" xfId="12730" xr:uid="{7025AC03-2936-42A7-A26F-74B0F1153078}"/>
    <cellStyle name="40% - Accent3 2 6 6" xfId="13442" xr:uid="{56938345-9739-49E6-8BD7-6E93A8A8F055}"/>
    <cellStyle name="40% - Accent3 2 6 7" xfId="35152" xr:uid="{D51487AF-A7F2-458A-9F6F-63F558B7417E}"/>
    <cellStyle name="40% - Accent3 2 7" xfId="12728" xr:uid="{F7D2ACA8-2AA6-4BCC-886E-0E923EA95814}"/>
    <cellStyle name="40% - Accent3 2 7 2" xfId="31962" xr:uid="{40FC0DF2-74D6-43D7-BB41-17AB8F343FF7}"/>
    <cellStyle name="40% - Accent3 2 7 2 2" xfId="32439" xr:uid="{5F28557D-1ECE-476E-8331-07F74776F1DB}"/>
    <cellStyle name="40% - Accent3 2 7 2 2 2" xfId="31958" xr:uid="{D46BF0E8-4EB7-4A9A-92C5-6426A3F24860}"/>
    <cellStyle name="40% - Accent3 2 7 2 2 2 2" xfId="28249" xr:uid="{589C9F9D-CF0D-453E-A9CC-496A97603C56}"/>
    <cellStyle name="40% - Accent3 2 7 2 2 3" xfId="12726" xr:uid="{6DEC394C-D973-40B8-8D03-350384F2EC99}"/>
    <cellStyle name="40% - Accent3 2 7 2 3" xfId="31954" xr:uid="{BA890653-3FDD-44C9-BA21-55EF79C9DE15}"/>
    <cellStyle name="40% - Accent3 2 7 2 3 2" xfId="12725" xr:uid="{FB8A2064-7B49-44AC-BA73-08567CE7101F}"/>
    <cellStyle name="40% - Accent3 2 7 2 4" xfId="12724" xr:uid="{E0CE46BC-E301-4363-BD3E-018F0438F335}"/>
    <cellStyle name="40% - Accent3 2 7 3" xfId="31939" xr:uid="{16C06267-4690-4523-8B44-0539455F4B96}"/>
    <cellStyle name="40% - Accent3 2 7 3 2" xfId="31926" xr:uid="{A54850A8-D4CE-4FE8-8527-99977A1685DD}"/>
    <cellStyle name="40% - Accent3 2 7 3 2 2" xfId="12723" xr:uid="{A16B56BB-600D-48DE-BF24-097BB71CF464}"/>
    <cellStyle name="40% - Accent3 2 7 3 3" xfId="16109" xr:uid="{A86732D0-FFCE-42B7-AFFC-C18F50672508}"/>
    <cellStyle name="40% - Accent3 2 7 4" xfId="21413" xr:uid="{94086B48-DAE4-4453-9600-0DD7A2B4CCC7}"/>
    <cellStyle name="40% - Accent3 2 7 4 2" xfId="16105" xr:uid="{60A5C1D4-E3DE-41BA-ADDE-1C1820DDDE4F}"/>
    <cellStyle name="40% - Accent3 2 7 5" xfId="12721" xr:uid="{2B05F532-EC4F-4863-8CE7-51242FC23489}"/>
    <cellStyle name="40% - Accent3 2 7 6" xfId="35381" xr:uid="{EFE756FE-6EEF-4CF1-8624-3CD0F2EFCCAC}"/>
    <cellStyle name="40% - Accent3 2 8" xfId="12718" xr:uid="{F4437364-04D3-4645-9AF7-4B0B7971B468}"/>
    <cellStyle name="40% - Accent3 2 8 2" xfId="31892" xr:uid="{EA4A69F2-6641-4626-B6E6-199AC3E59DE1}"/>
    <cellStyle name="40% - Accent3 2 8 2 2" xfId="29794" xr:uid="{48107F51-4C67-4599-B347-11F9B2F0A8DA}"/>
    <cellStyle name="40% - Accent3 2 8 2 2 2" xfId="12715" xr:uid="{535CAC29-8417-4C75-8EAC-00A29E60338F}"/>
    <cellStyle name="40% - Accent3 2 8 2 3" xfId="12714" xr:uid="{0ED8CC8C-2ED7-41C7-BB40-060340477A4D}"/>
    <cellStyle name="40% - Accent3 2 8 3" xfId="31883" xr:uid="{2595D48E-E8D0-4E60-B5EF-8CD4A44ACDA3}"/>
    <cellStyle name="40% - Accent3 2 8 3 2" xfId="16093" xr:uid="{33FEA457-B1C6-4FC8-A5EB-BBEF08ECC060}"/>
    <cellStyle name="40% - Accent3 2 8 4" xfId="15668" xr:uid="{7206D404-2620-47E4-B086-2C88374BE450}"/>
    <cellStyle name="40% - Accent3 2 8 5" xfId="36253" xr:uid="{B271D56F-7F27-4732-A75D-8F562A5F596E}"/>
    <cellStyle name="40% - Accent3 2 9" xfId="12713" xr:uid="{3C01D688-4624-4796-9328-6DAEF64AE07B}"/>
    <cellStyle name="40% - Accent3 2 9 2" xfId="34404" xr:uid="{42EE8A46-822A-40F3-8702-262D0C87F64B}"/>
    <cellStyle name="40% - Accent3 2 9 2 2" xfId="12712" xr:uid="{6DC3B653-DAE1-4CFA-A496-83030B6B8BD4}"/>
    <cellStyle name="40% - Accent3 2 9 3" xfId="12711" xr:uid="{97A86845-8760-422B-A819-B4C5AA1E73F9}"/>
    <cellStyle name="40% - Accent3 2 9 4" xfId="36539" xr:uid="{61AC7AA4-8CD4-402C-8E93-933293FE0449}"/>
    <cellStyle name="40% - Accent3 20" xfId="35703" xr:uid="{13127511-5664-43A7-8B7D-260C85F801F9}"/>
    <cellStyle name="40% - Accent3 20 2" xfId="36872" xr:uid="{F0C0080A-5B24-43E5-BE9A-4554ACBB5E77}"/>
    <cellStyle name="40% - Accent3 20 3" xfId="37763" xr:uid="{23A702F4-79AA-4889-94E4-955FC8DE6C5E}"/>
    <cellStyle name="40% - Accent3 21" xfId="35722" xr:uid="{A40C90DB-A4FE-4346-8806-FD8341F8D55C}"/>
    <cellStyle name="40% - Accent3 21 2" xfId="36892" xr:uid="{16EBA026-4AD6-4C81-AF5C-8371F6562885}"/>
    <cellStyle name="40% - Accent3 21 3" xfId="37783" xr:uid="{9006300E-6D2A-49A4-9CEA-393F74D81DDD}"/>
    <cellStyle name="40% - Accent3 22" xfId="35741" xr:uid="{85C4E390-14BD-4485-9445-133601F115E7}"/>
    <cellStyle name="40% - Accent3 22 2" xfId="36912" xr:uid="{9205B728-CDFD-4A6B-91AC-5161B3051CE8}"/>
    <cellStyle name="40% - Accent3 22 3" xfId="37803" xr:uid="{D89BD34D-69A2-4062-B812-C671AED326F5}"/>
    <cellStyle name="40% - Accent3 23" xfId="35761" xr:uid="{518BDD67-C629-4245-AEBE-525CFB2D48BD}"/>
    <cellStyle name="40% - Accent3 23 2" xfId="36931" xr:uid="{725237F9-2004-4957-A14E-4BF6E8D38386}"/>
    <cellStyle name="40% - Accent3 23 3" xfId="37823" xr:uid="{FEE9DF5E-E003-4406-8A83-6CECF13375F9}"/>
    <cellStyle name="40% - Accent3 24" xfId="35781" xr:uid="{59E37382-88FE-492F-97DE-D01D0E0F6E9A}"/>
    <cellStyle name="40% - Accent3 24 2" xfId="36950" xr:uid="{493951CF-181E-45FB-BA50-31F6A875DD64}"/>
    <cellStyle name="40% - Accent3 24 3" xfId="37843" xr:uid="{E0CB13D3-E3C3-442C-BE9C-F440D9972B92}"/>
    <cellStyle name="40% - Accent3 25" xfId="35800" xr:uid="{0EB05121-2079-4AB0-93C3-1399756C7ED1}"/>
    <cellStyle name="40% - Accent3 25 2" xfId="36970" xr:uid="{2AF71680-9368-44B0-B2F8-1F8D31B06ECE}"/>
    <cellStyle name="40% - Accent3 25 3" xfId="37863" xr:uid="{7A83897B-5E54-4511-9CD9-02378260168B}"/>
    <cellStyle name="40% - Accent3 26" xfId="35819" xr:uid="{9A837ACD-8EA9-4058-83D7-C2A3C7A3126F}"/>
    <cellStyle name="40% - Accent3 26 2" xfId="36990" xr:uid="{407E4CC4-53B8-463A-8F53-3523F81DC7A9}"/>
    <cellStyle name="40% - Accent3 26 3" xfId="37883" xr:uid="{0F2F6AF6-1726-4A35-9779-FE5FAB8CB036}"/>
    <cellStyle name="40% - Accent3 27" xfId="35838" xr:uid="{9CEBD882-8AD3-4874-A87E-3A702DA5CF78}"/>
    <cellStyle name="40% - Accent3 27 2" xfId="37010" xr:uid="{52E7FCAC-4BC1-4A22-9492-1534A4D5FAA2}"/>
    <cellStyle name="40% - Accent3 27 3" xfId="37903" xr:uid="{9A2FA833-1697-4174-88B4-72E28C7956E2}"/>
    <cellStyle name="40% - Accent3 28" xfId="35857" xr:uid="{6CBA63B1-EBFB-42B6-9B55-F8A78BE84739}"/>
    <cellStyle name="40% - Accent3 28 2" xfId="37030" xr:uid="{B6D18ECE-B88A-4207-83BE-9E1EFC61883D}"/>
    <cellStyle name="40% - Accent3 28 3" xfId="37923" xr:uid="{E28610C6-E0C3-4A6E-B266-39283BD7FDB2}"/>
    <cellStyle name="40% - Accent3 29" xfId="35877" xr:uid="{AE62B03A-156E-4CAB-8DF2-300B8A702ED8}"/>
    <cellStyle name="40% - Accent3 29 2" xfId="37049" xr:uid="{9E515675-A109-468D-8297-E72976325559}"/>
    <cellStyle name="40% - Accent3 29 3" xfId="37943" xr:uid="{F3EF06A2-5327-4D8F-B064-26FE06D87D82}"/>
    <cellStyle name="40% - Accent3 3" xfId="104" xr:uid="{818C16E2-ACF5-41AF-BD93-AE8E18C74CFD}"/>
    <cellStyle name="40% - Accent3 3 10" xfId="12708" xr:uid="{FD0885BD-8489-4863-9BBE-D1C78A180368}"/>
    <cellStyle name="40% - Accent3 3 10 2" xfId="37443" xr:uid="{CC285AB6-E334-4806-9BDA-FA9CFB899601}"/>
    <cellStyle name="40% - Accent3 3 11" xfId="34458" xr:uid="{9BC47C71-BBEC-4301-8EBA-BEC583D4C4AA}"/>
    <cellStyle name="40% - Accent3 3 12" xfId="13772" xr:uid="{50FD0CEB-86B5-4707-A1FA-F82B45ED5DB7}"/>
    <cellStyle name="40% - Accent3 3 2" xfId="165" xr:uid="{30C289DC-F11C-4353-BFF4-5CC60C688AC7}"/>
    <cellStyle name="40% - Accent3 3 2 10" xfId="34511" xr:uid="{F9860A6C-BE33-4890-9F7F-62150421C7FF}"/>
    <cellStyle name="40% - Accent3 3 2 11" xfId="12824" xr:uid="{E565C484-CF2F-48C4-9944-54F9171DD246}"/>
    <cellStyle name="40% - Accent3 3 2 2" xfId="12707" xr:uid="{01CBB5FF-2D27-4EC4-A354-624E46CDD003}"/>
    <cellStyle name="40% - Accent3 3 2 2 2" xfId="7232" xr:uid="{F8E41942-8250-4B2A-A49F-7772CE00D895}"/>
    <cellStyle name="40% - Accent3 3 2 2 2 2" xfId="12704" xr:uid="{66A3E04B-A3BB-470F-B294-A68E6A6CFCBB}"/>
    <cellStyle name="40% - Accent3 3 2 2 2 2 2" xfId="7230" xr:uid="{66859C0E-4825-4801-9034-42B51C086445}"/>
    <cellStyle name="40% - Accent3 3 2 2 2 2 2 2" xfId="31268" xr:uid="{59770576-568D-4B24-BCC5-0D61AC172298}"/>
    <cellStyle name="40% - Accent3 3 2 2 2 2 2 2 2" xfId="12702" xr:uid="{22CD5B54-405F-4BFF-A052-04E8EC84604B}"/>
    <cellStyle name="40% - Accent3 3 2 2 2 2 2 2 2 2" xfId="27174" xr:uid="{05B597AE-E6F1-4023-9397-43341565C46D}"/>
    <cellStyle name="40% - Accent3 3 2 2 2 2 2 2 2 2 2" xfId="12700" xr:uid="{26E9C972-B616-452F-870A-4866B004F878}"/>
    <cellStyle name="40% - Accent3 3 2 2 2 2 2 2 2 3" xfId="21148" xr:uid="{750D2DC4-491B-44C3-A145-42C5733A9AC7}"/>
    <cellStyle name="40% - Accent3 3 2 2 2 2 2 2 3" xfId="12699" xr:uid="{BDA01825-3885-4545-8430-61061C9B36D4}"/>
    <cellStyle name="40% - Accent3 3 2 2 2 2 2 2 3 2" xfId="13059" xr:uid="{6F930F77-4A07-4385-A055-E867E6852F4E}"/>
    <cellStyle name="40% - Accent3 3 2 2 2 2 2 2 4" xfId="17602" xr:uid="{20CB55D3-B6DE-4C3D-BB4C-7FEACC8F2507}"/>
    <cellStyle name="40% - Accent3 3 2 2 2 2 2 3" xfId="12697" xr:uid="{F69BDFB9-513E-4B4D-A6FF-898C1DB06EA3}"/>
    <cellStyle name="40% - Accent3 3 2 2 2 2 2 3 2" xfId="15919" xr:uid="{98C9BFF6-0E67-41A7-AA03-0B44D8E0D574}"/>
    <cellStyle name="40% - Accent3 3 2 2 2 2 2 3 2 2" xfId="9585" xr:uid="{DA71D32D-9639-4FDB-B16A-DCBD44DF5234}"/>
    <cellStyle name="40% - Accent3 3 2 2 2 2 2 3 3" xfId="15909" xr:uid="{25C958F2-7352-4041-B776-7487BCE4ADDC}"/>
    <cellStyle name="40% - Accent3 3 2 2 2 2 2 4" xfId="12696" xr:uid="{C68849E6-2193-404F-ABD9-51538DC1C2F5}"/>
    <cellStyle name="40% - Accent3 3 2 2 2 2 2 4 2" xfId="15903" xr:uid="{2D81BC56-2565-4AC2-9F83-55BE433F69A2}"/>
    <cellStyle name="40% - Accent3 3 2 2 2 2 2 5" xfId="12695" xr:uid="{910A4916-7626-41DB-A31A-ED5EFD58FF05}"/>
    <cellStyle name="40% - Accent3 3 2 2 2 2 3" xfId="7227" xr:uid="{05D4A4DC-96E8-4C82-A72F-D708BDFE0E1E}"/>
    <cellStyle name="40% - Accent3 3 2 2 2 2 3 2" xfId="12693" xr:uid="{A88DC6D6-867E-4A8B-BE90-BB6F61754240}"/>
    <cellStyle name="40% - Accent3 3 2 2 2 2 3 2 2" xfId="12692" xr:uid="{9DF31EAA-A8DD-41B9-9B33-674121C118E5}"/>
    <cellStyle name="40% - Accent3 3 2 2 2 2 3 2 2 2" xfId="17369" xr:uid="{C2AEA155-5512-4610-AF71-204BA0495233}"/>
    <cellStyle name="40% - Accent3 3 2 2 2 2 3 2 3" xfId="12689" xr:uid="{5519247F-E321-4BFC-8A72-7A8BF034AB8A}"/>
    <cellStyle name="40% - Accent3 3 2 2 2 2 3 3" xfId="12686" xr:uid="{BBA38662-A76C-4A47-8103-1B024474CF38}"/>
    <cellStyle name="40% - Accent3 3 2 2 2 2 3 3 2" xfId="15890" xr:uid="{FF7028BC-F4EF-461A-8EDF-5D81938F9699}"/>
    <cellStyle name="40% - Accent3 3 2 2 2 2 3 4" xfId="12684" xr:uid="{53B91B63-EDCF-4051-9611-2DF0C3E7FBDD}"/>
    <cellStyle name="40% - Accent3 3 2 2 2 2 4" xfId="7225" xr:uid="{81E76B20-77CA-415E-8A89-24CADAC8A0C1}"/>
    <cellStyle name="40% - Accent3 3 2 2 2 2 4 2" xfId="12679" xr:uid="{B086CF28-7B96-498B-ABB0-3BD73F4B1A99}"/>
    <cellStyle name="40% - Accent3 3 2 2 2 2 4 2 2" xfId="33164" xr:uid="{2158A987-F341-44AB-9B32-5FD56C48D7B6}"/>
    <cellStyle name="40% - Accent3 3 2 2 2 2 4 3" xfId="12677" xr:uid="{B424F752-A544-439F-B8A4-5E9D45539442}"/>
    <cellStyle name="40% - Accent3 3 2 2 2 2 5" xfId="12674" xr:uid="{BD991610-9070-40CD-B576-5A30A8E1590F}"/>
    <cellStyle name="40% - Accent3 3 2 2 2 2 5 2" xfId="23171" xr:uid="{55B7B091-69DA-40ED-910B-700EC84C3472}"/>
    <cellStyle name="40% - Accent3 3 2 2 2 2 6" xfId="12672" xr:uid="{07B47176-CF6B-463B-AFFF-93EE62330C8E}"/>
    <cellStyle name="40% - Accent3 3 2 2 2 3" xfId="9662" xr:uid="{516D34DF-3C7B-4DCD-B035-83E603F9663B}"/>
    <cellStyle name="40% - Accent3 3 2 2 2 3 2" xfId="12669" xr:uid="{9051EB9C-62C7-465B-B9B0-02202E46D149}"/>
    <cellStyle name="40% - Accent3 3 2 2 2 3 2 2" xfId="12667" xr:uid="{3E329ADB-FF9F-43FA-B768-9CD1A78E42D9}"/>
    <cellStyle name="40% - Accent3 3 2 2 2 3 2 2 2" xfId="12664" xr:uid="{DB651C0B-968C-4353-BCC8-1D89C763E49E}"/>
    <cellStyle name="40% - Accent3 3 2 2 2 3 2 2 2 2" xfId="16229" xr:uid="{667EC6AB-9981-4D8C-B4BA-62C5EC89C75F}"/>
    <cellStyle name="40% - Accent3 3 2 2 2 3 2 2 3" xfId="12661" xr:uid="{DDA8C081-510C-4E48-8116-2E9DA410981C}"/>
    <cellStyle name="40% - Accent3 3 2 2 2 3 2 3" xfId="12660" xr:uid="{35DCEF64-D2C2-4D85-8814-305D46FCBE90}"/>
    <cellStyle name="40% - Accent3 3 2 2 2 3 2 3 2" xfId="15771" xr:uid="{B6359B9F-8459-49B8-B60F-5B890ED1A072}"/>
    <cellStyle name="40% - Accent3 3 2 2 2 3 2 4" xfId="12656" xr:uid="{05E44B49-0491-437B-8407-B8F6304D5C86}"/>
    <cellStyle name="40% - Accent3 3 2 2 2 3 3" xfId="9656" xr:uid="{4C8C9C5A-FBC6-4861-A595-BAE918F1AEBB}"/>
    <cellStyle name="40% - Accent3 3 2 2 2 3 3 2" xfId="12655" xr:uid="{6866D6EA-39F7-4033-9E16-C412E6C65783}"/>
    <cellStyle name="40% - Accent3 3 2 2 2 3 3 2 2" xfId="12654" xr:uid="{E683BEBD-C2D2-4F00-A0A2-1A579435E185}"/>
    <cellStyle name="40% - Accent3 3 2 2 2 3 3 3" xfId="12653" xr:uid="{36888228-360C-4D4C-B11B-425BE9C8E74E}"/>
    <cellStyle name="40% - Accent3 3 2 2 2 3 4" xfId="12652" xr:uid="{DAB3EB5D-915F-4EF2-B9A0-59E7B692056C}"/>
    <cellStyle name="40% - Accent3 3 2 2 2 3 4 2" xfId="12649" xr:uid="{CDC8C0A5-CB8A-47A1-8E40-60AA37787824}"/>
    <cellStyle name="40% - Accent3 3 2 2 2 3 5" xfId="12647" xr:uid="{FD0E5389-5ECD-450F-874F-D37E51791D82}"/>
    <cellStyle name="40% - Accent3 3 2 2 2 4" xfId="9652" xr:uid="{452472A7-0057-4CB9-A0AC-72A6059E046C}"/>
    <cellStyle name="40% - Accent3 3 2 2 2 4 2" xfId="9649" xr:uid="{8BA7974B-6C4C-4399-A826-2A0960B8C356}"/>
    <cellStyle name="40% - Accent3 3 2 2 2 4 2 2" xfId="12645" xr:uid="{3D8823C0-9330-48B7-ABC1-FB4C4EBB768D}"/>
    <cellStyle name="40% - Accent3 3 2 2 2 4 2 2 2" xfId="12644" xr:uid="{1D01A090-495B-466E-B526-37D087B1B2CB}"/>
    <cellStyle name="40% - Accent3 3 2 2 2 4 2 3" xfId="12642" xr:uid="{023C3187-3B5A-443F-AF0F-86169F18E412}"/>
    <cellStyle name="40% - Accent3 3 2 2 2 4 3" xfId="17566" xr:uid="{F3A5BAE0-6A13-4F7B-A287-22EAD7A64EB4}"/>
    <cellStyle name="40% - Accent3 3 2 2 2 4 3 2" xfId="12641" xr:uid="{601D2693-55C3-4AD7-A3B2-479A5F54510A}"/>
    <cellStyle name="40% - Accent3 3 2 2 2 4 4" xfId="12640" xr:uid="{0992BDB5-E564-4E84-9408-A43852EF1658}"/>
    <cellStyle name="40% - Accent3 3 2 2 2 5" xfId="9646" xr:uid="{12DE9809-9AC3-4639-8E0A-7707CFCCB51A}"/>
    <cellStyle name="40% - Accent3 3 2 2 2 5 2" xfId="12638" xr:uid="{D6D61DCD-628A-4FED-8E09-2E278ED47D76}"/>
    <cellStyle name="40% - Accent3 3 2 2 2 5 2 2" xfId="14924" xr:uid="{A0C0ED66-0EB3-48D6-B5CD-D9F38E9A6773}"/>
    <cellStyle name="40% - Accent3 3 2 2 2 5 3" xfId="12637" xr:uid="{912D9C30-7900-4795-B4F0-5C6FD53130D2}"/>
    <cellStyle name="40% - Accent3 3 2 2 2 6" xfId="12636" xr:uid="{10C0E623-F3E4-4324-B210-B4A879B83522}"/>
    <cellStyle name="40% - Accent3 3 2 2 2 6 2" xfId="12635" xr:uid="{86F37502-E8CD-4DD7-80DF-627A743AE791}"/>
    <cellStyle name="40% - Accent3 3 2 2 2 7" xfId="22569" xr:uid="{9D07677F-01CC-4ACD-AECB-A7120BB67127}"/>
    <cellStyle name="40% - Accent3 3 2 2 3" xfId="12634" xr:uid="{7D9A3B89-A88D-4FE0-8379-159185FA71EF}"/>
    <cellStyle name="40% - Accent3 3 2 2 3 2" xfId="7222" xr:uid="{D2A9A566-7B1F-4063-9D05-C99043534EFB}"/>
    <cellStyle name="40% - Accent3 3 2 2 3 2 2" xfId="7219" xr:uid="{B93693D0-908A-4BF3-A317-150CB091742D}"/>
    <cellStyle name="40% - Accent3 3 2 2 3 2 2 2" xfId="12631" xr:uid="{7280ADCE-8AD8-40C8-95C1-1EAC43990F54}"/>
    <cellStyle name="40% - Accent3 3 2 2 3 2 2 2 2" xfId="12630" xr:uid="{AC65407A-21C8-4FA9-AE8E-DE0CCE7346A2}"/>
    <cellStyle name="40% - Accent3 3 2 2 3 2 2 2 2 2" xfId="12627" xr:uid="{8A0D1F61-E3F5-48EB-A560-08762FB6E8FC}"/>
    <cellStyle name="40% - Accent3 3 2 2 3 2 2 2 3" xfId="12623" xr:uid="{A0866F6F-3F1B-4EEB-B51D-6CEBFCB24AEC}"/>
    <cellStyle name="40% - Accent3 3 2 2 3 2 2 3" xfId="12621" xr:uid="{41E7D21D-0818-40C3-8B1C-04D0A69D5F77}"/>
    <cellStyle name="40% - Accent3 3 2 2 3 2 2 3 2" xfId="13941" xr:uid="{8FA6663A-AB99-47D0-8ABA-77480746BE3C}"/>
    <cellStyle name="40% - Accent3 3 2 2 3 2 2 4" xfId="20789" xr:uid="{D764C930-CF14-4B75-B58F-7D7EB3CF688D}"/>
    <cellStyle name="40% - Accent3 3 2 2 3 2 3" xfId="7217" xr:uid="{F8FCDA21-2ED6-420D-A538-E7850396F2FC}"/>
    <cellStyle name="40% - Accent3 3 2 2 3 2 3 2" xfId="12620" xr:uid="{C6836184-706E-4699-BFA8-B0B96A0EDB4C}"/>
    <cellStyle name="40% - Accent3 3 2 2 3 2 3 2 2" xfId="12619" xr:uid="{E0C86151-5281-44E9-B7D4-2F66815C4776}"/>
    <cellStyle name="40% - Accent3 3 2 2 3 2 3 3" xfId="12617" xr:uid="{D1C6C00A-29E0-4E56-846A-EAB42CA2C2AA}"/>
    <cellStyle name="40% - Accent3 3 2 2 3 2 4" xfId="12616" xr:uid="{C2FFF7B8-8EAD-49B6-92E2-CD3E6BAE898B}"/>
    <cellStyle name="40% - Accent3 3 2 2 3 2 4 2" xfId="12610" xr:uid="{ED56D072-A8C8-4FCC-846B-CFC3940BD143}"/>
    <cellStyle name="40% - Accent3 3 2 2 3 2 5" xfId="12608" xr:uid="{8DF42378-9020-4DDC-B90B-0BFDDC8C588E}"/>
    <cellStyle name="40% - Accent3 3 2 2 3 3" xfId="9641" xr:uid="{891EF6AB-5976-48A9-BC2C-FAF5B6F2A9C0}"/>
    <cellStyle name="40% - Accent3 3 2 2 3 3 2" xfId="12601" xr:uid="{BD42C6B4-FC75-4193-B92E-E810E4BAB070}"/>
    <cellStyle name="40% - Accent3 3 2 2 3 3 2 2" xfId="32233" xr:uid="{3529EE15-5308-4245-A080-F15E7FC0CD7F}"/>
    <cellStyle name="40% - Accent3 3 2 2 3 3 2 2 2" xfId="12599" xr:uid="{057C2615-48F7-4F90-BBB9-814338748448}"/>
    <cellStyle name="40% - Accent3 3 2 2 3 3 2 3" xfId="12597" xr:uid="{900D8DC1-723A-4735-AE75-09087CE55C8D}"/>
    <cellStyle name="40% - Accent3 3 2 2 3 3 3" xfId="12595" xr:uid="{F364DB80-5E64-4BF8-9C51-E23388A4D725}"/>
    <cellStyle name="40% - Accent3 3 2 2 3 3 3 2" xfId="12592" xr:uid="{D150524F-9F33-4D7B-B349-C42A37E9D16E}"/>
    <cellStyle name="40% - Accent3 3 2 2 3 3 4" xfId="12590" xr:uid="{0BE69090-7B84-443F-A652-0D92BDDBE9DB}"/>
    <cellStyle name="40% - Accent3 3 2 2 3 4" xfId="6669" xr:uid="{E4192345-D5C0-49C1-89D2-9112F400F6EB}"/>
    <cellStyle name="40% - Accent3 3 2 2 3 4 2" xfId="12584" xr:uid="{B466EFA2-64F6-4E4C-91C1-DCD1FBF3D7B0}"/>
    <cellStyle name="40% - Accent3 3 2 2 3 4 2 2" xfId="12583" xr:uid="{8C2757F0-3D75-4940-9D27-16D66B1E6A55}"/>
    <cellStyle name="40% - Accent3 3 2 2 3 4 3" xfId="12582" xr:uid="{43B892A7-6284-43A4-9ED7-ECDC48D707EA}"/>
    <cellStyle name="40% - Accent3 3 2 2 3 5" xfId="8070" xr:uid="{A0EE8489-9E29-4812-907F-0D2576567346}"/>
    <cellStyle name="40% - Accent3 3 2 2 3 5 2" xfId="12580" xr:uid="{68428E6F-9A83-4801-BEB2-1536517D188E}"/>
    <cellStyle name="40% - Accent3 3 2 2 3 6" xfId="12578" xr:uid="{89512823-48E6-4D0F-808F-4080BBA3E63B}"/>
    <cellStyle name="40% - Accent3 3 2 2 4" xfId="25444" xr:uid="{29CB47F0-8D3F-48EB-8D7A-59AAC2B0D635}"/>
    <cellStyle name="40% - Accent3 3 2 2 4 2" xfId="7213" xr:uid="{91C6FE97-5348-4B5F-A05B-37222EBF4190}"/>
    <cellStyle name="40% - Accent3 3 2 2 4 2 2" xfId="12577" xr:uid="{8CEFDE7F-BD40-4A0D-9B66-A0642219D656}"/>
    <cellStyle name="40% - Accent3 3 2 2 4 2 2 2" xfId="12575" xr:uid="{C9798A04-B400-4374-9E34-7774E289D17E}"/>
    <cellStyle name="40% - Accent3 3 2 2 4 2 2 2 2" xfId="12574" xr:uid="{B67AF291-16ED-4C03-8F1F-5C23377CBAB8}"/>
    <cellStyle name="40% - Accent3 3 2 2 4 2 2 3" xfId="28880" xr:uid="{96921400-6B9D-452D-BD6B-77AD2A82BAF4}"/>
    <cellStyle name="40% - Accent3 3 2 2 4 2 3" xfId="30357" xr:uid="{FCAB6FA5-5248-4249-A1A0-08DBF2C1EF62}"/>
    <cellStyle name="40% - Accent3 3 2 2 4 2 3 2" xfId="12571" xr:uid="{9C704204-1004-4C9A-B5CD-DAC3366F0A8F}"/>
    <cellStyle name="40% - Accent3 3 2 2 4 2 4" xfId="12570" xr:uid="{B37C3951-4F1E-44F0-99D7-B7A506F56B24}"/>
    <cellStyle name="40% - Accent3 3 2 2 4 3" xfId="9636" xr:uid="{6E32E08C-E354-488D-83D5-A633F031CB1D}"/>
    <cellStyle name="40% - Accent3 3 2 2 4 3 2" xfId="16047" xr:uid="{406B0F9D-AE7A-4BC7-BA79-E19FEB26D2A9}"/>
    <cellStyle name="40% - Accent3 3 2 2 4 3 2 2" xfId="12563" xr:uid="{A2AF49A9-5B14-4EDB-96A8-C8CC19BEA792}"/>
    <cellStyle name="40% - Accent3 3 2 2 4 3 3" xfId="16043" xr:uid="{0365650E-B742-406C-886C-73E1CC753AB2}"/>
    <cellStyle name="40% - Accent3 3 2 2 4 4" xfId="6666" xr:uid="{45690E80-B311-43D8-9BC8-D7B2FD73D73D}"/>
    <cellStyle name="40% - Accent3 3 2 2 4 4 2" xfId="16031" xr:uid="{B322A626-5956-4E3F-AC19-7CA186CE1989}"/>
    <cellStyle name="40% - Accent3 3 2 2 4 5" xfId="16027" xr:uid="{062C3E29-6D51-455B-B115-CECCD14FD80A}"/>
    <cellStyle name="40% - Accent3 3 2 2 5" xfId="21807" xr:uid="{D84652FA-06D9-447B-88C5-D77C4BEC784A}"/>
    <cellStyle name="40% - Accent3 3 2 2 5 2" xfId="7211" xr:uid="{52002A80-2944-4CD5-B5D7-F6EECC10E365}"/>
    <cellStyle name="40% - Accent3 3 2 2 5 2 2" xfId="12562" xr:uid="{F006CF2F-08FC-4C63-B863-2AA6A2825EED}"/>
    <cellStyle name="40% - Accent3 3 2 2 5 2 2 2" xfId="12560" xr:uid="{DA80E59A-CEF5-492E-9FC9-39B8C3EEA83D}"/>
    <cellStyle name="40% - Accent3 3 2 2 5 2 3" xfId="13500" xr:uid="{B4464431-6E92-43B9-BAAA-A7A5DE75F112}"/>
    <cellStyle name="40% - Accent3 3 2 2 5 3" xfId="16018" xr:uid="{1049BC84-7291-4631-82FE-EE07909AC50D}"/>
    <cellStyle name="40% - Accent3 3 2 2 5 3 2" xfId="16014" xr:uid="{8C96634B-65E4-4CF2-AF33-05C0D50715C0}"/>
    <cellStyle name="40% - Accent3 3 2 2 5 4" xfId="16000" xr:uid="{C1951E4A-21E8-4F7A-B1B9-1E175F1F637B}"/>
    <cellStyle name="40% - Accent3 3 2 2 6" xfId="30516" xr:uid="{DC6EE40D-04F1-4458-93A5-D8AC3F8922C0}"/>
    <cellStyle name="40% - Accent3 3 2 2 6 2" xfId="30508" xr:uid="{59F99BEF-E24B-4299-A12A-073035D7EB61}"/>
    <cellStyle name="40% - Accent3 3 2 2 6 2 2" xfId="30121" xr:uid="{DC7EFF91-AA81-410F-A442-5F8CEDB7659A}"/>
    <cellStyle name="40% - Accent3 3 2 2 6 3" xfId="30502" xr:uid="{57656310-936B-4AE6-839A-88D4D1731F89}"/>
    <cellStyle name="40% - Accent3 3 2 2 7" xfId="30496" xr:uid="{BDB2297F-5730-43F3-AC9E-CFCBB44ADD30}"/>
    <cellStyle name="40% - Accent3 3 2 2 7 2" xfId="25920" xr:uid="{6030BE68-9830-41EB-B1BE-A6615395B0DB}"/>
    <cellStyle name="40% - Accent3 3 2 2 8" xfId="30488" xr:uid="{4A0FD090-860B-4F88-BB78-AF402AE43CB8}"/>
    <cellStyle name="40% - Accent3 3 2 3" xfId="12559" xr:uid="{727F0896-C0DA-4892-B989-5599855460A7}"/>
    <cellStyle name="40% - Accent3 3 2 3 2" xfId="7208" xr:uid="{EDB83AC7-381C-4352-9844-781A5652959F}"/>
    <cellStyle name="40% - Accent3 3 2 3 2 2" xfId="7204" xr:uid="{EF89B837-939A-4BE5-AD6F-23A435FD0D18}"/>
    <cellStyle name="40% - Accent3 3 2 3 2 2 2" xfId="7201" xr:uid="{D9A8B9E5-4E97-4A9A-AAFC-CD74FC907F93}"/>
    <cellStyle name="40% - Accent3 3 2 3 2 2 2 2" xfId="16456" xr:uid="{A8227C28-D88C-4A73-9FE6-25276CEC500C}"/>
    <cellStyle name="40% - Accent3 3 2 3 2 2 2 2 2" xfId="12556" xr:uid="{EA9855BB-20E9-40E1-BC15-2FFA8BCF21F8}"/>
    <cellStyle name="40% - Accent3 3 2 3 2 2 2 2 2 2" xfId="31038" xr:uid="{0C274121-A228-4D62-B436-67649D82AD95}"/>
    <cellStyle name="40% - Accent3 3 2 3 2 2 2 2 3" xfId="12553" xr:uid="{BD88E9F5-CC47-4972-931A-310FBB9209E9}"/>
    <cellStyle name="40% - Accent3 3 2 3 2 2 2 3" xfId="12550" xr:uid="{59CD3E0C-80C3-4736-8B9E-7BD985F8CBEC}"/>
    <cellStyle name="40% - Accent3 3 2 3 2 2 2 3 2" xfId="12549" xr:uid="{13A68368-CB5D-469A-A3CE-2956C325C324}"/>
    <cellStyle name="40% - Accent3 3 2 3 2 2 2 4" xfId="33376" xr:uid="{D353A2FB-EB93-4F5A-BFD7-E076C3F9CF86}"/>
    <cellStyle name="40% - Accent3 3 2 3 2 2 3" xfId="7199" xr:uid="{8FBA4C60-4784-4DA5-882E-C48F675F3960}"/>
    <cellStyle name="40% - Accent3 3 2 3 2 2 3 2" xfId="12546" xr:uid="{76F6F16C-D8CD-49DF-ACD4-A36D6E55AC0D}"/>
    <cellStyle name="40% - Accent3 3 2 3 2 2 3 2 2" xfId="12545" xr:uid="{FE1F8068-A0B2-49CA-B1EB-353B66EE411B}"/>
    <cellStyle name="40% - Accent3 3 2 3 2 2 3 3" xfId="12542" xr:uid="{A0A14B19-F7E4-426F-9D72-306955556DE8}"/>
    <cellStyle name="40% - Accent3 3 2 3 2 2 4" xfId="12541" xr:uid="{08A67DAA-F7B2-4EBE-B343-31E3802A097D}"/>
    <cellStyle name="40% - Accent3 3 2 3 2 2 4 2" xfId="23047" xr:uid="{DBFDF0DF-32A7-40CA-9422-202A3A909545}"/>
    <cellStyle name="40% - Accent3 3 2 3 2 2 5" xfId="12539" xr:uid="{5989804B-35F2-4539-8E9F-E5416D344934}"/>
    <cellStyle name="40% - Accent3 3 2 3 2 3" xfId="9621" xr:uid="{D29187A8-7AE9-4D4A-8196-21CC737D0F56}"/>
    <cellStyle name="40% - Accent3 3 2 3 2 3 2" xfId="8177" xr:uid="{D0C3D725-BC36-4F8D-B6B2-4FDE4A7955DD}"/>
    <cellStyle name="40% - Accent3 3 2 3 2 3 2 2" xfId="12536" xr:uid="{2389C185-D35C-4EB6-8D8B-294CDCC4DD0A}"/>
    <cellStyle name="40% - Accent3 3 2 3 2 3 2 2 2" xfId="12535" xr:uid="{02B3503D-9654-46B1-B93E-F52293326A71}"/>
    <cellStyle name="40% - Accent3 3 2 3 2 3 2 3" xfId="12530" xr:uid="{DE5B6866-DF30-4560-A983-ABBAD6F8A9A4}"/>
    <cellStyle name="40% - Accent3 3 2 3 2 3 3" xfId="26382" xr:uid="{A922091F-C01A-4E0C-90AE-0473EF18DF72}"/>
    <cellStyle name="40% - Accent3 3 2 3 2 3 3 2" xfId="11311" xr:uid="{3A53B3C2-2209-4CA3-88DB-EF796D9FEB4C}"/>
    <cellStyle name="40% - Accent3 3 2 3 2 3 4" xfId="12528" xr:uid="{0F53EE0A-7D68-45C5-9184-553B81EF9012}"/>
    <cellStyle name="40% - Accent3 3 2 3 2 4" xfId="9615" xr:uid="{7F998511-DBC3-4C2B-A76E-A762A9A4F944}"/>
    <cellStyle name="40% - Accent3 3 2 3 2 4 2" xfId="34324" xr:uid="{7EA798A0-7F10-4FE1-847A-7A2F3C93CE94}"/>
    <cellStyle name="40% - Accent3 3 2 3 2 4 2 2" xfId="12526" xr:uid="{29829CD8-BD49-4D54-B713-E83D8E32FF86}"/>
    <cellStyle name="40% - Accent3 3 2 3 2 4 3" xfId="12525" xr:uid="{340DD157-3AC9-4F43-A126-46FA06FA201C}"/>
    <cellStyle name="40% - Accent3 3 2 3 2 5" xfId="12524" xr:uid="{5F5715E7-FC67-4824-8ACB-9BD207364971}"/>
    <cellStyle name="40% - Accent3 3 2 3 2 5 2" xfId="23116" xr:uid="{7962BF93-EE92-49C4-A226-03B195F97282}"/>
    <cellStyle name="40% - Accent3 3 2 3 2 6" xfId="12522" xr:uid="{EA07A09B-144C-4718-984D-D9EC624E3172}"/>
    <cellStyle name="40% - Accent3 3 2 3 3" xfId="12521" xr:uid="{3DCDCA42-CE55-4953-B0E9-48F3AEB4D1A5}"/>
    <cellStyle name="40% - Accent3 3 2 3 3 2" xfId="7196" xr:uid="{A8510819-058D-4B0D-9FC8-779CC55959FC}"/>
    <cellStyle name="40% - Accent3 3 2 3 3 2 2" xfId="11754" xr:uid="{C0EC59C0-43A8-4698-BBFA-67D2E0ABEF53}"/>
    <cellStyle name="40% - Accent3 3 2 3 3 2 2 2" xfId="12517" xr:uid="{6A23B4BE-E4AC-445E-AAC4-96BE2E42A1EC}"/>
    <cellStyle name="40% - Accent3 3 2 3 3 2 2 2 2" xfId="12515" xr:uid="{207C4927-CA19-4919-87C8-3E01E042904F}"/>
    <cellStyle name="40% - Accent3 3 2 3 3 2 2 3" xfId="12508" xr:uid="{61C50F24-C1B0-4E55-A5DE-B720B5BBF15A}"/>
    <cellStyle name="40% - Accent3 3 2 3 3 2 3" xfId="12506" xr:uid="{274C62C0-0310-4C42-8A9D-3535947770E9}"/>
    <cellStyle name="40% - Accent3 3 2 3 3 2 3 2" xfId="12504" xr:uid="{B827B712-5194-45AA-9B94-C4CC0348B0E5}"/>
    <cellStyle name="40% - Accent3 3 2 3 3 2 4" xfId="12502" xr:uid="{CE1F622F-95B3-4B60-9753-892F02545B5D}"/>
    <cellStyle name="40% - Accent3 3 2 3 3 3" xfId="9610" xr:uid="{A0EED0DE-1452-4DEC-B40F-05E4489DC109}"/>
    <cellStyle name="40% - Accent3 3 2 3 3 3 2" xfId="26374" xr:uid="{AF9A18F9-4519-4856-AF27-5DCC30629314}"/>
    <cellStyle name="40% - Accent3 3 2 3 3 3 2 2" xfId="12495" xr:uid="{6BF8A1D6-54A0-4AEA-B463-0CCA8B1323CC}"/>
    <cellStyle name="40% - Accent3 3 2 3 3 3 3" xfId="12493" xr:uid="{C6EBFBF0-DD55-45F7-B807-C340C0EB2375}"/>
    <cellStyle name="40% - Accent3 3 2 3 3 4" xfId="6661" xr:uid="{025E1095-AFA6-4D48-B52A-89B16D3154D2}"/>
    <cellStyle name="40% - Accent3 3 2 3 3 4 2" xfId="12491" xr:uid="{40A62904-EEA5-4271-BB46-64BC0544AF99}"/>
    <cellStyle name="40% - Accent3 3 2 3 3 5" xfId="12490" xr:uid="{15E3D64A-BCDE-4B09-8B3C-127F36641191}"/>
    <cellStyle name="40% - Accent3 3 2 3 4" xfId="21802" xr:uid="{3C0BD703-6273-40E1-8690-3F674CC95AC4}"/>
    <cellStyle name="40% - Accent3 3 2 3 4 2" xfId="7193" xr:uid="{B6789BF9-EFD4-49AA-91FF-3F7A24058583}"/>
    <cellStyle name="40% - Accent3 3 2 3 4 2 2" xfId="12487" xr:uid="{508261E5-5820-4F9F-9D41-3BF8748DF4F5}"/>
    <cellStyle name="40% - Accent3 3 2 3 4 2 2 2" xfId="12486" xr:uid="{FE8443E2-8029-40F0-A6E3-6236C49889A2}"/>
    <cellStyle name="40% - Accent3 3 2 3 4 2 3" xfId="12484" xr:uid="{CDEDF4A1-D4D4-49BA-A04A-1011A1F3ED8D}"/>
    <cellStyle name="40% - Accent3 3 2 3 4 3" xfId="15978" xr:uid="{6A54A522-562D-49B9-9F43-9370035D11F2}"/>
    <cellStyle name="40% - Accent3 3 2 3 4 3 2" xfId="15975" xr:uid="{3789BB8A-6ED8-437B-8F2B-0424FD72BBD8}"/>
    <cellStyle name="40% - Accent3 3 2 3 4 4" xfId="15969" xr:uid="{781A6910-9E1F-4257-92F0-E9662F1D8BC7}"/>
    <cellStyle name="40% - Accent3 3 2 3 5" xfId="7191" xr:uid="{564E650A-A513-416C-A7DA-D4DFF1758CC7}"/>
    <cellStyle name="40% - Accent3 3 2 3 5 2" xfId="12482" xr:uid="{0D2DA74C-CB5A-4460-BF6C-7F0469BE957D}"/>
    <cellStyle name="40% - Accent3 3 2 3 5 2 2" xfId="12480" xr:uid="{EAD70C8E-056F-45C6-A0F1-0A61F8A1780F}"/>
    <cellStyle name="40% - Accent3 3 2 3 5 3" xfId="15951" xr:uid="{AC0A3D6C-A845-45E1-A589-D0A30F5A3B38}"/>
    <cellStyle name="40% - Accent3 3 2 3 6" xfId="31032" xr:uid="{2EC52476-66F2-4E72-83BF-08534408FFA1}"/>
    <cellStyle name="40% - Accent3 3 2 3 6 2" xfId="30456" xr:uid="{EE59A662-D4FB-461F-A8AA-823BB0994DC6}"/>
    <cellStyle name="40% - Accent3 3 2 3 7" xfId="30454" xr:uid="{F3EE870E-7397-45C3-9913-E5330AE09FFD}"/>
    <cellStyle name="40% - Accent3 3 2 4" xfId="12478" xr:uid="{91095F06-12B5-48BD-8C47-30BD028EE47D}"/>
    <cellStyle name="40% - Accent3 3 2 4 2" xfId="7189" xr:uid="{1BC4CC26-C2C1-4535-B8F8-B1A665C669AB}"/>
    <cellStyle name="40% - Accent3 3 2 4 2 2" xfId="7186" xr:uid="{3849D611-C407-4027-9815-DE1DDD46F9BC}"/>
    <cellStyle name="40% - Accent3 3 2 4 2 2 2" xfId="7182" xr:uid="{53789576-A6E8-4D1F-9D73-1EA1AFFF9C16}"/>
    <cellStyle name="40% - Accent3 3 2 4 2 2 2 2" xfId="13100" xr:uid="{2738DE6D-7403-435A-9C95-2041202413B3}"/>
    <cellStyle name="40% - Accent3 3 2 4 2 2 2 2 2" xfId="26720" xr:uid="{31D157AA-D644-4AD1-9DF7-B9ABD032D1B0}"/>
    <cellStyle name="40% - Accent3 3 2 4 2 2 2 3" xfId="13096" xr:uid="{4CD586CF-1431-4846-888F-7F2155314CFF}"/>
    <cellStyle name="40% - Accent3 3 2 4 2 2 3" xfId="12470" xr:uid="{67B983E5-8DB3-4F62-9755-462CDBB32664}"/>
    <cellStyle name="40% - Accent3 3 2 4 2 2 3 2" xfId="22951" xr:uid="{EFC43409-5017-4A04-A545-C30C4ECACA2D}"/>
    <cellStyle name="40% - Accent3 3 2 4 2 2 4" xfId="20634" xr:uid="{8CD57015-3CAB-45B6-8AAC-AC22CC711611}"/>
    <cellStyle name="40% - Accent3 3 2 4 2 3" xfId="9599" xr:uid="{B5713ADF-136D-43A4-A84D-9F0210A03F7A}"/>
    <cellStyle name="40% - Accent3 3 2 4 2 3 2" xfId="26348" xr:uid="{FF57A567-B451-4407-BD45-7748BE14D417}"/>
    <cellStyle name="40% - Accent3 3 2 4 2 3 2 2" xfId="13074" xr:uid="{CE0531D1-7744-4C74-A5CE-1DA88AEF56B0}"/>
    <cellStyle name="40% - Accent3 3 2 4 2 3 3" xfId="12468" xr:uid="{5DE20AC3-FCCD-40A4-8A09-673DF4E7FC76}"/>
    <cellStyle name="40% - Accent3 3 2 4 2 4" xfId="31608" xr:uid="{A763CCF7-700F-4A85-BD8C-D0CD2AE0C7D8}"/>
    <cellStyle name="40% - Accent3 3 2 4 2 4 2" xfId="12467" xr:uid="{086B7053-E73C-414F-8629-B707978ECDF7}"/>
    <cellStyle name="40% - Accent3 3 2 4 2 5" xfId="17614" xr:uid="{7570D27A-C1D4-4C37-B150-EF8C4E45927C}"/>
    <cellStyle name="40% - Accent3 3 2 4 3" xfId="12466" xr:uid="{0A85D49F-2E77-4F81-8E35-47751C4E3FFE}"/>
    <cellStyle name="40% - Accent3 3 2 4 3 2" xfId="7180" xr:uid="{8FC62BE5-1D11-41F7-B85A-6BEEA25ECE57}"/>
    <cellStyle name="40% - Accent3 3 2 4 3 2 2" xfId="12461" xr:uid="{C32D22CF-E459-474C-AA97-69E73BE2C29F}"/>
    <cellStyle name="40% - Accent3 3 2 4 3 2 2 2" xfId="13040" xr:uid="{3C2189C1-D648-48D7-85EF-C71DC4B0FDC0}"/>
    <cellStyle name="40% - Accent3 3 2 4 3 2 3" xfId="12460" xr:uid="{83E778C2-D3EB-4F90-AEA5-76DF8983AC76}"/>
    <cellStyle name="40% - Accent3 3 2 4 3 3" xfId="12701" xr:uid="{49737638-6644-46F6-BA21-E2D9579532AA}"/>
    <cellStyle name="40% - Accent3 3 2 4 3 3 2" xfId="12458" xr:uid="{91D12238-AB33-40C7-B89D-ED26DDDBF0BA}"/>
    <cellStyle name="40% - Accent3 3 2 4 3 4" xfId="12698" xr:uid="{77D37D6C-9879-4A6A-A580-63FD2BFD701F}"/>
    <cellStyle name="40% - Accent3 3 2 4 4" xfId="8696" xr:uid="{CBF77B5A-563A-45B8-B2D7-C32184B74259}"/>
    <cellStyle name="40% - Accent3 3 2 4 4 2" xfId="12456" xr:uid="{6B3D7160-6D57-457D-BC8E-F1A6058EB51F}"/>
    <cellStyle name="40% - Accent3 3 2 4 4 2 2" xfId="12455" xr:uid="{BE384180-6196-42AA-96FC-FC10F294177E}"/>
    <cellStyle name="40% - Accent3 3 2 4 4 3" xfId="15917" xr:uid="{35237F91-A63D-4341-89E4-78E63940963A}"/>
    <cellStyle name="40% - Accent3 3 2 4 5" xfId="13486" xr:uid="{F93C1A58-DE40-4225-B9AC-4839E7C681FD}"/>
    <cellStyle name="40% - Accent3 3 2 4 5 2" xfId="12454" xr:uid="{650F168B-2EBD-4A37-9CDB-44EB98A712E8}"/>
    <cellStyle name="40% - Accent3 3 2 4 6" xfId="30424" xr:uid="{E5E317E8-03D1-458C-A44D-3B92710EC297}"/>
    <cellStyle name="40% - Accent3 3 2 5" xfId="7177" xr:uid="{F4178A71-0AA9-4F9E-AA68-9022129DE46F}"/>
    <cellStyle name="40% - Accent3 3 2 5 2" xfId="7175" xr:uid="{2AC78754-3E85-470D-AB63-6207B78365F4}"/>
    <cellStyle name="40% - Accent3 3 2 5 2 2" xfId="7173" xr:uid="{10363575-160E-4986-BF31-CFD972FB4F7B}"/>
    <cellStyle name="40% - Accent3 3 2 5 2 2 2" xfId="12448" xr:uid="{7BD6A999-1177-4B54-80AB-3AEB803A466D}"/>
    <cellStyle name="40% - Accent3 3 2 5 2 2 2 2" xfId="12983" xr:uid="{7FBD4436-4EDE-407E-8FB9-D2055BFFF014}"/>
    <cellStyle name="40% - Accent3 3 2 5 2 2 3" xfId="15372" xr:uid="{7B02B950-2285-4AA2-A556-AE3374473A8B}"/>
    <cellStyle name="40% - Accent3 3 2 5 2 3" xfId="12447" xr:uid="{5D9E8D15-FFD7-46FC-87F1-70DEC873CBDB}"/>
    <cellStyle name="40% - Accent3 3 2 5 2 3 2" xfId="12446" xr:uid="{6F15AF5F-3278-47C6-8152-1A1E71DDA364}"/>
    <cellStyle name="40% - Accent3 3 2 5 2 4" xfId="12445" xr:uid="{3ED58C7D-CF54-4428-AA30-3A653813150E}"/>
    <cellStyle name="40% - Accent3 3 2 5 3" xfId="7170" xr:uid="{B18BF1D1-EC28-4749-847C-ADD6C6218D74}"/>
    <cellStyle name="40% - Accent3 3 2 5 3 2" xfId="27854" xr:uid="{06EFF079-E546-457C-8CB3-805DB2CA55E1}"/>
    <cellStyle name="40% - Accent3 3 2 5 3 2 2" xfId="12442" xr:uid="{1A5E2220-692A-440D-8BA2-505EE3D2B6AE}"/>
    <cellStyle name="40% - Accent3 3 2 5 3 3" xfId="12691" xr:uid="{FAEAD54D-7179-4B7C-8023-D9BF08ED20FC}"/>
    <cellStyle name="40% - Accent3 3 2 5 4" xfId="12440" xr:uid="{71D44D1A-28A7-49EC-A534-82E01311B498}"/>
    <cellStyle name="40% - Accent3 3 2 5 4 2" xfId="12439" xr:uid="{E4809FA2-E0D5-4615-BD54-01505883BACE}"/>
    <cellStyle name="40% - Accent3 3 2 5 5" xfId="13478" xr:uid="{CCB27CD8-F335-47F4-A9E1-6E84BDCD281F}"/>
    <cellStyle name="40% - Accent3 3 2 6" xfId="7168" xr:uid="{1C80331F-00FF-49FB-B0D1-2FCDEBEC75BA}"/>
    <cellStyle name="40% - Accent3 3 2 6 2" xfId="7166" xr:uid="{FA20D6CF-E69E-44C7-BE45-15F77000CD74}"/>
    <cellStyle name="40% - Accent3 3 2 6 2 2" xfId="12438" xr:uid="{ABF34453-335F-4F0F-863E-37A1865941FD}"/>
    <cellStyle name="40% - Accent3 3 2 6 2 2 2" xfId="12435" xr:uid="{5BD5EF88-D438-462B-B59C-06902D28B537}"/>
    <cellStyle name="40% - Accent3 3 2 6 2 3" xfId="33480" xr:uid="{5F0C609F-167E-4D46-8F1C-C94D02716176}"/>
    <cellStyle name="40% - Accent3 3 2 6 3" xfId="17440" xr:uid="{E8A2C455-13AE-4EDD-B364-CB9EF239D204}"/>
    <cellStyle name="40% - Accent3 3 2 6 3 2" xfId="12434" xr:uid="{B8777536-C53C-4C42-8F61-7732CE8B8155}"/>
    <cellStyle name="40% - Accent3 3 2 6 4" xfId="12433" xr:uid="{1FD36A74-9F3B-4620-8C01-BC2D91AA1805}"/>
    <cellStyle name="40% - Accent3 3 2 7" xfId="7163" xr:uid="{ED839597-6575-4829-85A4-764987440985}"/>
    <cellStyle name="40% - Accent3 3 2 7 2" xfId="27486" xr:uid="{28BAF871-AE0F-4676-A04B-C65D5544CEC4}"/>
    <cellStyle name="40% - Accent3 3 2 7 2 2" xfId="32590" xr:uid="{5C39D781-64C4-4380-A5C7-08B45706D078}"/>
    <cellStyle name="40% - Accent3 3 2 7 3" xfId="31529" xr:uid="{606F2F70-9ACB-4D58-9EE5-6E80F06ACAED}"/>
    <cellStyle name="40% - Accent3 3 2 8" xfId="24367" xr:uid="{CA4A05B0-49DB-4FC2-A3DA-D613797FD979}"/>
    <cellStyle name="40% - Accent3 3 2 8 2" xfId="29908" xr:uid="{F7C9601E-0B7B-495E-A996-E38EED6FA406}"/>
    <cellStyle name="40% - Accent3 3 2 9" xfId="18298" xr:uid="{7F79CE29-11E8-485F-B094-DC5FB133D2D8}"/>
    <cellStyle name="40% - Accent3 3 3" xfId="226" xr:uid="{4C20EAD2-2291-43E2-A1CF-07D3B50B4A41}"/>
    <cellStyle name="40% - Accent3 3 3 10" xfId="12432" xr:uid="{B804943D-0727-4953-966E-78A6E57321EA}"/>
    <cellStyle name="40% - Accent3 3 3 2" xfId="12428" xr:uid="{D111FDD9-25DE-44F5-AF27-82B5303C1406}"/>
    <cellStyle name="40% - Accent3 3 3 2 2" xfId="12425" xr:uid="{5F10281D-CEE2-41D9-A3BF-DD8788DF0A19}"/>
    <cellStyle name="40% - Accent3 3 3 2 2 2" xfId="16219" xr:uid="{8E90467D-9D15-4D44-B15B-16E3DAE6E14C}"/>
    <cellStyle name="40% - Accent3 3 3 2 2 2 2" xfId="33152" xr:uid="{86AAD2EC-7FCD-4406-8124-3D537E8BBE04}"/>
    <cellStyle name="40% - Accent3 3 3 2 2 2 2 2" xfId="12423" xr:uid="{9F55E263-E944-4EEB-89DC-23A32FD037C1}"/>
    <cellStyle name="40% - Accent3 3 3 2 2 2 2 2 2" xfId="12421" xr:uid="{029A9E2E-91BC-440C-A840-5E72EE339C70}"/>
    <cellStyle name="40% - Accent3 3 3 2 2 2 2 2 2 2" xfId="12418" xr:uid="{AE4DF6DE-E20D-4780-95A5-6FBEEFBBA928}"/>
    <cellStyle name="40% - Accent3 3 3 2 2 2 2 2 3" xfId="22207" xr:uid="{79BB7152-B82B-4188-9751-3C2706C08C58}"/>
    <cellStyle name="40% - Accent3 3 3 2 2 2 2 3" xfId="12414" xr:uid="{81A2218E-5F1A-4CD3-B113-F8C922B16B90}"/>
    <cellStyle name="40% - Accent3 3 3 2 2 2 2 3 2" xfId="12413" xr:uid="{DD89E816-AEE5-4B05-AA07-A3CF4B761C7A}"/>
    <cellStyle name="40% - Accent3 3 3 2 2 2 2 4" xfId="12412" xr:uid="{3836E63F-3CDC-41D7-B8DF-70E04A160B6D}"/>
    <cellStyle name="40% - Accent3 3 3 2 2 2 3" xfId="7158" xr:uid="{022ABD60-8B96-45BD-88BF-979118B1F8F0}"/>
    <cellStyle name="40% - Accent3 3 3 2 2 2 3 2" xfId="12410" xr:uid="{58C9F8CA-05A0-4837-B80C-6FD2CDB3C73B}"/>
    <cellStyle name="40% - Accent3 3 3 2 2 2 3 2 2" xfId="21408" xr:uid="{76C6F958-B831-4AD4-B8D4-4859A049BFB9}"/>
    <cellStyle name="40% - Accent3 3 3 2 2 2 3 3" xfId="12409" xr:uid="{5D7871EE-9FD4-4293-8098-38A046EC9011}"/>
    <cellStyle name="40% - Accent3 3 3 2 2 2 4" xfId="17649" xr:uid="{BC31B0E5-9BBE-47C8-B5C0-181B04F14616}"/>
    <cellStyle name="40% - Accent3 3 3 2 2 2 4 2" xfId="12408" xr:uid="{C7A57C9B-8DE4-478C-957C-D46AF33E2B09}"/>
    <cellStyle name="40% - Accent3 3 3 2 2 2 5" xfId="26967" xr:uid="{8904AC97-EA3B-46C4-843D-765DC470618B}"/>
    <cellStyle name="40% - Accent3 3 3 2 2 3" xfId="9579" xr:uid="{E4521C92-DFC8-4FC7-B700-0C91896284C4}"/>
    <cellStyle name="40% - Accent3 3 3 2 2 3 2" xfId="9576" xr:uid="{C3C8B081-A9DE-4889-8C3C-C4DA1D608108}"/>
    <cellStyle name="40% - Accent3 3 3 2 2 3 2 2" xfId="12404" xr:uid="{31E67BF7-AE38-4AB4-97B2-E1090C83EBE9}"/>
    <cellStyle name="40% - Accent3 3 3 2 2 3 2 2 2" xfId="12403" xr:uid="{B4EF9F85-D7B2-48E2-A166-734AE3CBFE05}"/>
    <cellStyle name="40% - Accent3 3 3 2 2 3 2 3" xfId="12400" xr:uid="{D0B5BD4A-C954-4073-B0BA-101D321683A1}"/>
    <cellStyle name="40% - Accent3 3 3 2 2 3 3" xfId="17477" xr:uid="{772C9E85-35A1-4F8A-B5FD-B5316F71BBF3}"/>
    <cellStyle name="40% - Accent3 3 3 2 2 3 3 2" xfId="12399" xr:uid="{2C404715-430F-46B4-85E9-6B5F6068A82A}"/>
    <cellStyle name="40% - Accent3 3 3 2 2 3 4" xfId="28915" xr:uid="{47B24C92-3754-4B93-983E-929CA2F7753B}"/>
    <cellStyle name="40% - Accent3 3 3 2 2 4" xfId="9573" xr:uid="{FF0ED8DD-1B99-4F64-9CFE-2F3067D82D55}"/>
    <cellStyle name="40% - Accent3 3 3 2 2 4 2" xfId="12398" xr:uid="{7F49B942-3763-4E4C-896D-621537BDA0F6}"/>
    <cellStyle name="40% - Accent3 3 3 2 2 4 2 2" xfId="12397" xr:uid="{CBC841FB-5AD4-4D97-9ACA-F2DD65DCA0DC}"/>
    <cellStyle name="40% - Accent3 3 3 2 2 4 3" xfId="26577" xr:uid="{AB75A484-AD8A-465D-8918-9533CDC4797F}"/>
    <cellStyle name="40% - Accent3 3 3 2 2 5" xfId="12396" xr:uid="{6DDEC1CA-92C1-437E-A791-724764DE33C3}"/>
    <cellStyle name="40% - Accent3 3 3 2 2 5 2" xfId="12395" xr:uid="{9772989B-5FD6-44F7-9DAE-E94AE3026FF5}"/>
    <cellStyle name="40% - Accent3 3 3 2 2 6" xfId="19042" xr:uid="{60FFAA89-39D5-4D7C-A8F1-858BE6328FB8}"/>
    <cellStyle name="40% - Accent3 3 3 2 3" xfId="12394" xr:uid="{99819C96-4DCA-477E-BBDE-6E1C7D3C7170}"/>
    <cellStyle name="40% - Accent3 3 3 2 3 2" xfId="7155" xr:uid="{CC36F251-F350-4197-8DD7-49B987FA836E}"/>
    <cellStyle name="40% - Accent3 3 3 2 3 2 2" xfId="7153" xr:uid="{961E8D7E-4232-4ABD-98A5-CD224F4DE0F4}"/>
    <cellStyle name="40% - Accent3 3 3 2 3 2 2 2" xfId="12391" xr:uid="{A045D3C9-072A-4D0B-938F-EEE3C5F9F72D}"/>
    <cellStyle name="40% - Accent3 3 3 2 3 2 2 2 2" xfId="12390" xr:uid="{4DCB81C1-238E-46FF-B001-10F9D54883C2}"/>
    <cellStyle name="40% - Accent3 3 3 2 3 2 2 3" xfId="12387" xr:uid="{731407AC-7BAC-4D64-BDE3-11AF648CC0CB}"/>
    <cellStyle name="40% - Accent3 3 3 2 3 2 3" xfId="28264" xr:uid="{DC04D113-C69F-42A5-B938-EA1C7B5B2CBB}"/>
    <cellStyle name="40% - Accent3 3 3 2 3 2 3 2" xfId="12386" xr:uid="{04A46AEE-FC0A-4E7F-92CA-7771A5B5A8A1}"/>
    <cellStyle name="40% - Accent3 3 3 2 3 2 4" xfId="30195" xr:uid="{B8F5FBBF-A448-469E-9429-96BAC0CE8BDC}"/>
    <cellStyle name="40% - Accent3 3 3 2 3 3" xfId="9570" xr:uid="{1B0823DE-1695-4C6B-9076-3A2EA3BD87BB}"/>
    <cellStyle name="40% - Accent3 3 3 2 3 3 2" xfId="33603" xr:uid="{9A24BD29-9887-422D-9801-4EB296F30E6B}"/>
    <cellStyle name="40% - Accent3 3 3 2 3 3 2 2" xfId="12385" xr:uid="{512A9682-DB10-4537-A285-A549FFD8B08E}"/>
    <cellStyle name="40% - Accent3 3 3 2 3 3 3" xfId="28775" xr:uid="{9E7B1284-4478-4D40-B6DD-8DA51D084330}"/>
    <cellStyle name="40% - Accent3 3 3 2 3 4" xfId="6638" xr:uid="{2226A9B1-B5CA-4E42-9D90-B9999D1A2E48}"/>
    <cellStyle name="40% - Accent3 3 3 2 3 4 2" xfId="27673" xr:uid="{1DA94F2E-C631-440A-A5A8-97DA1B95AE05}"/>
    <cellStyle name="40% - Accent3 3 3 2 3 5" xfId="12384" xr:uid="{4588AA88-3058-451F-B72C-16D8BF85ED1E}"/>
    <cellStyle name="40% - Accent3 3 3 2 4" xfId="12383" xr:uid="{D36A291A-9C93-42DB-9694-E2986D2C9099}"/>
    <cellStyle name="40% - Accent3 3 3 2 4 2" xfId="7151" xr:uid="{400AF010-1FDA-408F-A84B-E027477C1E63}"/>
    <cellStyle name="40% - Accent3 3 3 2 4 2 2" xfId="33823" xr:uid="{AEFD8EBC-50AE-47C2-88B1-DA7124C690A3}"/>
    <cellStyle name="40% - Accent3 3 3 2 4 2 2 2" xfId="12379" xr:uid="{76C844A6-0773-4012-9CEA-1313CF4DF7ED}"/>
    <cellStyle name="40% - Accent3 3 3 2 4 2 3" xfId="30154" xr:uid="{395DAC92-899F-4572-AE64-EE55DBE3E79B}"/>
    <cellStyle name="40% - Accent3 3 3 2 4 3" xfId="31081" xr:uid="{F978D899-790D-4495-9C4E-46C9C1F46E9E}"/>
    <cellStyle name="40% - Accent3 3 3 2 4 3 2" xfId="15834" xr:uid="{DBA8329D-E0B6-4D45-8086-D095DC54A017}"/>
    <cellStyle name="40% - Accent3 3 3 2 4 4" xfId="15827" xr:uid="{BB422427-849C-45B7-9342-A11A7DBA1203}"/>
    <cellStyle name="40% - Accent3 3 3 2 5" xfId="13472" xr:uid="{2C88F6AE-638E-4FD0-A199-5C024E88D6B4}"/>
    <cellStyle name="40% - Accent3 3 3 2 5 2" xfId="31826" xr:uid="{AD9B9953-1232-4159-9BAA-C07BD3ED5660}"/>
    <cellStyle name="40% - Accent3 3 3 2 5 2 2" xfId="12378" xr:uid="{802F8E7C-B30F-4911-B905-3728FBDE82ED}"/>
    <cellStyle name="40% - Accent3 3 3 2 5 3" xfId="15821" xr:uid="{6883527D-A5A5-40C9-8A84-9D0DC134378F}"/>
    <cellStyle name="40% - Accent3 3 3 2 6" xfId="29995" xr:uid="{9B29439E-1804-47F9-B41E-01FA374BA935}"/>
    <cellStyle name="40% - Accent3 3 3 2 6 2" xfId="30575" xr:uid="{CCF842EE-D0AE-48E1-B5E9-168733473632}"/>
    <cellStyle name="40% - Accent3 3 3 2 7" xfId="29982" xr:uid="{794D4003-EAF8-482A-8AEE-5489BFD72F7C}"/>
    <cellStyle name="40% - Accent3 3 3 3" xfId="12376" xr:uid="{70944A69-7732-4930-B584-9F37CB946E4A}"/>
    <cellStyle name="40% - Accent3 3 3 3 2" xfId="12374" xr:uid="{5208494E-2CCF-43D9-BBB1-5A83D2488749}"/>
    <cellStyle name="40% - Accent3 3 3 3 2 2" xfId="7149" xr:uid="{332576E9-D635-4FD9-AE56-FB6DD4FA96A1}"/>
    <cellStyle name="40% - Accent3 3 3 3 2 2 2" xfId="6521" xr:uid="{CB6A70F7-9763-4BF9-8C85-3C1794AF1EC7}"/>
    <cellStyle name="40% - Accent3 3 3 3 2 2 2 2" xfId="12371" xr:uid="{8FE8F168-EF40-4E79-B5EC-03FE94960D45}"/>
    <cellStyle name="40% - Accent3 3 3 3 2 2 2 2 2" xfId="27551" xr:uid="{0BE30948-0C1D-4275-9A31-31A4FD4C892C}"/>
    <cellStyle name="40% - Accent3 3 3 3 2 2 2 3" xfId="12370" xr:uid="{71769A74-A93A-4527-9A3E-0C0BBB41FB27}"/>
    <cellStyle name="40% - Accent3 3 3 3 2 2 3" xfId="6518" xr:uid="{58CB0B1B-0341-4A3E-99C9-064BEC592D70}"/>
    <cellStyle name="40% - Accent3 3 3 3 2 2 3 2" xfId="12369" xr:uid="{B498A42E-503A-47A8-B5AC-57F8C9E8FAA2}"/>
    <cellStyle name="40% - Accent3 3 3 3 2 2 4" xfId="31094" xr:uid="{10C31B51-DCE7-46B0-8136-F3BAD37A4667}"/>
    <cellStyle name="40% - Accent3 3 3 3 2 3" xfId="9560" xr:uid="{9D66537C-50A6-472F-A1EB-650B24DCCC95}"/>
    <cellStyle name="40% - Accent3 3 3 3 2 3 2" xfId="6508" xr:uid="{299ABF66-B11F-490B-8B65-1FEE9138E616}"/>
    <cellStyle name="40% - Accent3 3 3 3 2 3 2 2" xfId="31817" xr:uid="{BB34F2E9-AE82-40F9-9044-CA52C6F9A80A}"/>
    <cellStyle name="40% - Accent3 3 3 3 2 3 3" xfId="31024" xr:uid="{E47CAF36-7F87-495E-9C43-9EDBAD12E15F}"/>
    <cellStyle name="40% - Accent3 3 3 3 2 4" xfId="12368" xr:uid="{A559B44F-DDB8-4E7F-A152-7FB40A92F17F}"/>
    <cellStyle name="40% - Accent3 3 3 3 2 4 2" xfId="12365" xr:uid="{5AE110EC-E6ED-40F4-9A31-D2324C775178}"/>
    <cellStyle name="40% - Accent3 3 3 3 2 5" xfId="12364" xr:uid="{EEFDDFB5-FB97-4E1F-BA5E-5492BCB1E2D9}"/>
    <cellStyle name="40% - Accent3 3 3 3 3" xfId="16968" xr:uid="{1AB70382-865B-49F3-871E-032BE3283108}"/>
    <cellStyle name="40% - Accent3 3 3 3 3 2" xfId="7147" xr:uid="{2D869AFB-CCAC-4963-9E3B-A250341CDFA7}"/>
    <cellStyle name="40% - Accent3 3 3 3 3 2 2" xfId="10544" xr:uid="{2080235F-4FC9-4726-A699-9F375D47A10D}"/>
    <cellStyle name="40% - Accent3 3 3 3 3 2 2 2" xfId="12362" xr:uid="{EBB5A837-B6A2-47BA-A84B-7E569BAE4AF0}"/>
    <cellStyle name="40% - Accent3 3 3 3 3 2 3" xfId="16792" xr:uid="{790C9C9B-2A93-429E-945C-3C72B084EEDD}"/>
    <cellStyle name="40% - Accent3 3 3 3 3 3" xfId="31076" xr:uid="{02BF2848-AD88-4535-B3FD-A31C80BDD48F}"/>
    <cellStyle name="40% - Accent3 3 3 3 3 3 2" xfId="12361" xr:uid="{EF62F4F1-20FB-49ED-91E7-A3BF5BA3F083}"/>
    <cellStyle name="40% - Accent3 3 3 3 3 4" xfId="12359" xr:uid="{858AC576-993D-460E-9FAB-3042F6410B82}"/>
    <cellStyle name="40% - Accent3 3 3 3 4" xfId="12357" xr:uid="{57F89A0D-7D5D-4F89-A440-1150DB46D100}"/>
    <cellStyle name="40% - Accent3 3 3 3 4 2" xfId="33210" xr:uid="{B7861721-D410-4CAD-85FA-BA652F1AC562}"/>
    <cellStyle name="40% - Accent3 3 3 3 4 2 2" xfId="12355" xr:uid="{878A286D-CE06-4986-99AB-DCACC5975DB7}"/>
    <cellStyle name="40% - Accent3 3 3 3 4 3" xfId="15796" xr:uid="{9E6C0A44-D515-48D9-A2B6-30E2F4C2D361}"/>
    <cellStyle name="40% - Accent3 3 3 3 5" xfId="13464" xr:uid="{2AF9445C-5B1F-4DCC-A9B1-0EA1A0C2027E}"/>
    <cellStyle name="40% - Accent3 3 3 3 5 2" xfId="12353" xr:uid="{2889927B-E699-44FC-887B-89615DA4C3EF}"/>
    <cellStyle name="40% - Accent3 3 3 3 6" xfId="29952" xr:uid="{1276887B-F79E-419F-9A6F-27ED52DF847E}"/>
    <cellStyle name="40% - Accent3 3 3 4" xfId="12351" xr:uid="{D7A140C6-A764-4149-A462-0F8C3B558042}"/>
    <cellStyle name="40% - Accent3 3 3 4 2" xfId="12349" xr:uid="{2DFF07C1-B94B-4442-BBB4-DDFB29E2395C}"/>
    <cellStyle name="40% - Accent3 3 3 4 2 2" xfId="7145" xr:uid="{B0822C65-8B9B-4921-A231-7B3DF444C743}"/>
    <cellStyle name="40% - Accent3 3 3 4 2 2 2" xfId="12344" xr:uid="{4F8D975C-7BAF-4C53-86F6-E3E9A115CE67}"/>
    <cellStyle name="40% - Accent3 3 3 4 2 2 2 2" xfId="12877" xr:uid="{E3359A29-7ADA-44C2-B561-8597DDC2E564}"/>
    <cellStyle name="40% - Accent3 3 3 4 2 2 3" xfId="23264" xr:uid="{C8DFAD9A-8BE5-430A-BA80-72BAD4A21BB0}"/>
    <cellStyle name="40% - Accent3 3 3 4 2 3" xfId="12342" xr:uid="{FB47C74B-D1C6-4185-9F2E-546F7D50050D}"/>
    <cellStyle name="40% - Accent3 3 3 4 2 3 2" xfId="12340" xr:uid="{BBC5FD88-6087-4654-8721-BAFB58C62804}"/>
    <cellStyle name="40% - Accent3 3 3 4 2 4" xfId="12339" xr:uid="{676C6BBD-419A-4B0F-B9B8-0BF045EE1F5F}"/>
    <cellStyle name="40% - Accent3 3 3 4 3" xfId="12337" xr:uid="{E19BB3F7-A97D-443B-A974-098FDAC45EDD}"/>
    <cellStyle name="40% - Accent3 3 3 4 3 2" xfId="33998" xr:uid="{D92DA554-7E53-4729-8562-7CF20B88B5B1}"/>
    <cellStyle name="40% - Accent3 3 3 4 3 2 2" xfId="12335" xr:uid="{758654D5-F73E-477E-A100-7DB7F2625284}"/>
    <cellStyle name="40% - Accent3 3 3 4 3 3" xfId="12663" xr:uid="{4793A0FA-6F91-4469-BD9F-4421A46B60B2}"/>
    <cellStyle name="40% - Accent3 3 3 4 4" xfId="12332" xr:uid="{4DA52D9A-90EF-4B6E-9DC6-76EB31E5DC82}"/>
    <cellStyle name="40% - Accent3 3 3 4 4 2" xfId="12329" xr:uid="{E490AA30-9001-4B7A-BBE2-147599FF8EC9}"/>
    <cellStyle name="40% - Accent3 3 3 4 5" xfId="13457" xr:uid="{360795DA-0D42-4F9A-A8F9-6A2E3D3D6771}"/>
    <cellStyle name="40% - Accent3 3 3 5" xfId="17063" xr:uid="{47EBC3E1-B2A5-4F3A-B2F4-17BD9A66A677}"/>
    <cellStyle name="40% - Accent3 3 3 5 2" xfId="12328" xr:uid="{968FD88C-EB1A-4710-AC73-4CC2DF3922DC}"/>
    <cellStyle name="40% - Accent3 3 3 5 2 2" xfId="12326" xr:uid="{314700AD-5232-4289-B2CB-9D6012C18BA0}"/>
    <cellStyle name="40% - Accent3 3 3 5 2 2 2" xfId="12325" xr:uid="{CAD4E91F-B94D-4C05-A7DB-97252E6C8A52}"/>
    <cellStyle name="40% - Accent3 3 3 5 2 3" xfId="12324" xr:uid="{CD17E0B3-9638-4748-A3D7-93032A322DAC}"/>
    <cellStyle name="40% - Accent3 3 3 5 3" xfId="12322" xr:uid="{6AD60CC8-F18B-48DA-A479-1BDE8EE5C573}"/>
    <cellStyle name="40% - Accent3 3 3 5 3 2" xfId="12320" xr:uid="{98C6DA54-7A35-4E73-8F36-463B537BB000}"/>
    <cellStyle name="40% - Accent3 3 3 5 4" xfId="7445" xr:uid="{27986D2E-4BB6-4EC4-87F0-F9DF1FE0CF4B}"/>
    <cellStyle name="40% - Accent3 3 3 6" xfId="17059" xr:uid="{A320B8CD-DECA-4117-9E90-01544A3F5695}"/>
    <cellStyle name="40% - Accent3 3 3 6 2" xfId="17432" xr:uid="{45B6529F-4AD2-4022-9FEA-6AF0B4365FE3}"/>
    <cellStyle name="40% - Accent3 3 3 6 2 2" xfId="12319" xr:uid="{466F6393-E5E7-4FB2-944B-D8D59509431E}"/>
    <cellStyle name="40% - Accent3 3 3 6 3" xfId="12318" xr:uid="{347831EE-EF72-48C3-95FB-BAADA4B5E1A9}"/>
    <cellStyle name="40% - Accent3 3 3 7" xfId="30020" xr:uid="{172E620D-8C7B-43B6-B15F-636FEE95F8A4}"/>
    <cellStyle name="40% - Accent3 3 3 7 2" xfId="29477" xr:uid="{75698305-6055-4CB6-967E-E6EA6EA33448}"/>
    <cellStyle name="40% - Accent3 3 3 8" xfId="29467" xr:uid="{F58B214D-F2E4-47ED-9BEB-C213D14A5011}"/>
    <cellStyle name="40% - Accent3 3 3 9" xfId="34553" xr:uid="{8AB0EF89-FEE8-446C-ACF8-A4B0267035F2}"/>
    <cellStyle name="40% - Accent3 3 4" xfId="12317" xr:uid="{1339799B-D430-4BD9-BAD9-43CABCB879CB}"/>
    <cellStyle name="40% - Accent3 3 4 2" xfId="12314" xr:uid="{24DB891F-79B1-4741-BEAA-05DD502D669D}"/>
    <cellStyle name="40% - Accent3 3 4 2 2" xfId="12798" xr:uid="{6E7C335A-BA9E-44FF-9E9A-35A5380820A1}"/>
    <cellStyle name="40% - Accent3 3 4 2 2 2" xfId="7142" xr:uid="{69B53906-A756-4C80-B328-3BD899C0A31C}"/>
    <cellStyle name="40% - Accent3 3 4 2 2 2 2" xfId="7140" xr:uid="{8743567F-C0BE-49CF-AE9F-FC5CF9228782}"/>
    <cellStyle name="40% - Accent3 3 4 2 2 2 2 2" xfId="14215" xr:uid="{2032D916-B294-4C19-B9E2-B05BC0A3A5F7}"/>
    <cellStyle name="40% - Accent3 3 4 2 2 2 2 2 2" xfId="23457" xr:uid="{DB9E069E-8EFE-41BB-A4BE-B17DC5B4F668}"/>
    <cellStyle name="40% - Accent3 3 4 2 2 2 2 3" xfId="12312" xr:uid="{BA26D64E-EA07-4AC5-A6B0-36564F9C7586}"/>
    <cellStyle name="40% - Accent3 3 4 2 2 2 3" xfId="14250" xr:uid="{4C43BB04-238F-4599-8E41-6172B3B125E2}"/>
    <cellStyle name="40% - Accent3 3 4 2 2 2 3 2" xfId="12309" xr:uid="{562B0405-8115-4A60-9217-E038DBD50E48}"/>
    <cellStyle name="40% - Accent3 3 4 2 2 2 4" xfId="12784" xr:uid="{31B0F3D3-A7AC-4E95-B0B6-2AC5D90D1D34}"/>
    <cellStyle name="40% - Accent3 3 4 2 2 3" xfId="9537" xr:uid="{3C735968-3E1A-4016-BC53-2100F53DF84C}"/>
    <cellStyle name="40% - Accent3 3 4 2 2 3 2" xfId="14243" xr:uid="{0BB8CDAB-BD1F-4BBF-AB69-2909D3A98F89}"/>
    <cellStyle name="40% - Accent3 3 4 2 2 3 2 2" xfId="27737" xr:uid="{5FB486C8-6F9D-46DA-AA81-735CC28B9DD4}"/>
    <cellStyle name="40% - Accent3 3 4 2 2 3 3" xfId="12776" xr:uid="{3B705BA2-9DD7-4EAF-A0DE-EC3411C927B0}"/>
    <cellStyle name="40% - Accent3 3 4 2 2 4" xfId="17116" xr:uid="{573AACF5-7C8B-4C71-8926-2B040B551F2D}"/>
    <cellStyle name="40% - Accent3 3 4 2 2 4 2" xfId="12774" xr:uid="{CEC96745-3EFB-4C41-974C-DB40E8889BFE}"/>
    <cellStyle name="40% - Accent3 3 4 2 2 5" xfId="13526" xr:uid="{2DB9F088-08C0-4097-9687-8ED55DAFB3CD}"/>
    <cellStyle name="40% - Accent3 3 4 2 3" xfId="12771" xr:uid="{D1EBFE67-6719-4A82-84A6-BDCE03C31257}"/>
    <cellStyle name="40% - Accent3 3 4 2 3 2" xfId="7138" xr:uid="{F7933B95-016A-42EE-83A4-87D6296E1B25}"/>
    <cellStyle name="40% - Accent3 3 4 2 3 2 2" xfId="24895" xr:uid="{B78DF764-2C90-418C-B1FF-DA33BA2FC573}"/>
    <cellStyle name="40% - Accent3 3 4 2 3 2 2 2" xfId="12308" xr:uid="{422437EF-05C7-44F3-A48F-C6A506E63C68}"/>
    <cellStyle name="40% - Accent3 3 4 2 3 2 3" xfId="16147" xr:uid="{201D03CA-C8CD-4585-8880-75DE22906463}"/>
    <cellStyle name="40% - Accent3 3 4 2 3 3" xfId="31045" xr:uid="{26768D4A-1C3E-4819-AFA3-9765AE77F6DA}"/>
    <cellStyle name="40% - Accent3 3 4 2 3 3 2" xfId="16142" xr:uid="{E021C5D8-0AED-470F-B58C-1ACFE0F55FCE}"/>
    <cellStyle name="40% - Accent3 3 4 2 3 4" xfId="12764" xr:uid="{70A59852-ECF5-449C-9FDA-1D9B03C9DAEC}"/>
    <cellStyle name="40% - Accent3 3 4 2 4" xfId="9783" xr:uid="{6647BC5E-9A8D-435B-8A0C-BB4C8B920341}"/>
    <cellStyle name="40% - Accent3 3 4 2 4 2" xfId="32305" xr:uid="{6F1468A3-3B54-4CEA-973E-1B9EFF940472}"/>
    <cellStyle name="40% - Accent3 3 4 2 4 2 2" xfId="29347" xr:uid="{D4F587F6-E85E-4EEA-8922-64F81F7ACF63}"/>
    <cellStyle name="40% - Accent3 3 4 2 4 3" xfId="15708" xr:uid="{88F18E19-3C3B-4060-9E5C-F059303BB40B}"/>
    <cellStyle name="40% - Accent3 3 4 2 5" xfId="9779" xr:uid="{E3829F68-7E32-40E6-B7A5-8851161A3582}"/>
    <cellStyle name="40% - Accent3 3 4 2 5 2" xfId="12757" xr:uid="{921AB438-8FAD-4F6C-A163-21649C4EAD19}"/>
    <cellStyle name="40% - Accent3 3 4 2 6" xfId="32165" xr:uid="{229F4A66-41C9-433D-BCD6-F54F62A1B01C}"/>
    <cellStyle name="40% - Accent3 3 4 3" xfId="12307" xr:uid="{F1F72CA5-B5D8-4CEC-B149-3914A6B9D7E2}"/>
    <cellStyle name="40% - Accent3 3 4 3 2" xfId="13619" xr:uid="{651876F6-47F5-40E0-A0A7-8EF964755CEF}"/>
    <cellStyle name="40% - Accent3 3 4 3 2 2" xfId="7135" xr:uid="{402221ED-0DF3-424F-9AA2-C7ACF39815D1}"/>
    <cellStyle name="40% - Accent3 3 4 3 2 2 2" xfId="14149" xr:uid="{27417508-0CA7-4964-A62B-F82361DC780F}"/>
    <cellStyle name="40% - Accent3 3 4 3 2 2 2 2" xfId="12305" xr:uid="{5C369838-7201-45A2-9330-D5E75C9B8256}"/>
    <cellStyle name="40% - Accent3 3 4 3 2 2 3" xfId="12745" xr:uid="{8B7D7EFB-ED0E-4D99-A110-25F81494AC02}"/>
    <cellStyle name="40% - Accent3 3 4 3 2 3" xfId="13906" xr:uid="{21C32930-B0D3-4E8A-A959-7FC409D7E929}"/>
    <cellStyle name="40% - Accent3 3 4 3 2 3 2" xfId="12743" xr:uid="{41E11152-DCE8-4B29-9530-02E9CF9D0FA9}"/>
    <cellStyle name="40% - Accent3 3 4 3 2 4" xfId="12741" xr:uid="{52577C33-3105-45F0-BE87-781D47B6079D}"/>
    <cellStyle name="40% - Accent3 3 4 3 3" xfId="12737" xr:uid="{A3C33BEB-0858-4EA1-810B-4045E57AC1EB}"/>
    <cellStyle name="40% - Accent3 3 4 3 3 2" xfId="32187" xr:uid="{C95F3070-FC1E-4625-88BB-94E35B8DA96F}"/>
    <cellStyle name="40% - Accent3 3 4 3 3 2 2" xfId="16127" xr:uid="{89903426-6C10-407C-B6DE-F02A803C26D9}"/>
    <cellStyle name="40% - Accent3 3 4 3 3 3" xfId="12734" xr:uid="{09BEC159-25A8-4E0B-8AFF-402CAD2C5A02}"/>
    <cellStyle name="40% - Accent3 3 4 3 4" xfId="9775" xr:uid="{B95A7C91-665B-4B4D-95DA-755B46B878B1}"/>
    <cellStyle name="40% - Accent3 3 4 3 4 2" xfId="12729" xr:uid="{AD7C699D-2499-4548-8FD8-3301E5FB0923}"/>
    <cellStyle name="40% - Accent3 3 4 3 5" xfId="13441" xr:uid="{DEA74C2F-6E31-4A5F-9AD7-296CA1CE6D97}"/>
    <cellStyle name="40% - Accent3 3 4 4" xfId="12303" xr:uid="{9DDB8035-0D15-4D27-8446-5517E282C1FE}"/>
    <cellStyle name="40% - Accent3 3 4 4 2" xfId="28373" xr:uid="{C87D9084-6BAB-4C9C-BAE5-73DD33482932}"/>
    <cellStyle name="40% - Accent3 3 4 4 2 2" xfId="31925" xr:uid="{A3DE7965-B96B-40DB-ADAE-4A176DB97C46}"/>
    <cellStyle name="40% - Accent3 3 4 4 2 2 2" xfId="12722" xr:uid="{A23AE583-F4C6-4EA9-BC68-5D4130786594}"/>
    <cellStyle name="40% - Accent3 3 4 4 2 3" xfId="16108" xr:uid="{1825B78D-DBB5-4B83-8101-98B25E03CFC4}"/>
    <cellStyle name="40% - Accent3 3 4 4 3" xfId="31040" xr:uid="{75046E03-A9BD-4984-9C7F-7BEEDA7F27E6}"/>
    <cellStyle name="40% - Accent3 3 4 4 3 2" xfId="16103" xr:uid="{93C6803F-8BF5-4125-A753-C0BA70AF84F4}"/>
    <cellStyle name="40% - Accent3 3 4 4 4" xfId="12719" xr:uid="{8D4BCB29-6EEB-49BD-B2BB-EE368D541216}"/>
    <cellStyle name="40% - Accent3 3 4 5" xfId="17051" xr:uid="{DB4C81EA-3C23-4058-8093-1F1375B5D110}"/>
    <cellStyle name="40% - Accent3 3 4 5 2" xfId="31882" xr:uid="{CAD90481-F438-4E20-A6F7-0434CBC1F0B9}"/>
    <cellStyle name="40% - Accent3 3 4 5 2 2" xfId="16092" xr:uid="{B9514E64-631D-4938-9DFD-A16843D499C5}"/>
    <cellStyle name="40% - Accent3 3 4 5 3" xfId="15666" xr:uid="{971A10C3-DA7B-49AC-88D6-E5F99E7DD8FC}"/>
    <cellStyle name="40% - Accent3 3 4 6" xfId="17046" xr:uid="{AFE5BD4F-7299-40DD-9CDA-E700299C84D3}"/>
    <cellStyle name="40% - Accent3 3 4 6 2" xfId="12710" xr:uid="{795C58BB-E042-4937-86A4-C3F9B01ADEF6}"/>
    <cellStyle name="40% - Accent3 3 4 7" xfId="29414" xr:uid="{35002290-42DE-4221-90E9-D133C06F0B15}"/>
    <cellStyle name="40% - Accent3 3 4 8" xfId="34774" xr:uid="{25F0F779-AEB2-4CC3-BD95-6D96C309B041}"/>
    <cellStyle name="40% - Accent3 3 5" xfId="12301" xr:uid="{802DEFE5-69F9-4937-A735-04DAA25FC795}"/>
    <cellStyle name="40% - Accent3 3 5 2" xfId="19609" xr:uid="{B8D9E8E4-4489-4F91-B8B2-226B90621D7E}"/>
    <cellStyle name="40% - Accent3 3 5 2 2" xfId="12299" xr:uid="{AAB07FAE-A90F-4128-BAD0-666720CC1AB4}"/>
    <cellStyle name="40% - Accent3 3 5 2 2 2" xfId="7133" xr:uid="{B263946F-FA61-469F-9CD8-0A90FB5B32D1}"/>
    <cellStyle name="40% - Accent3 3 5 2 2 2 2" xfId="14062" xr:uid="{1B2DF3E2-A517-44B4-866B-8F44B7B95765}"/>
    <cellStyle name="40% - Accent3 3 5 2 2 2 2 2" xfId="12290" xr:uid="{2C4E9171-0466-4028-830E-19280348415C}"/>
    <cellStyle name="40% - Accent3 3 5 2 2 2 3" xfId="12288" xr:uid="{C041CA42-916E-4ACE-8468-8C69E670074E}"/>
    <cellStyle name="40% - Accent3 3 5 2 2 3" xfId="12284" xr:uid="{12E5E473-36F8-4346-9BA1-E6F8D9CCBDE0}"/>
    <cellStyle name="40% - Accent3 3 5 2 2 3 2" xfId="12279" xr:uid="{C4025ACA-B649-446E-AECF-7B45B1E2574D}"/>
    <cellStyle name="40% - Accent3 3 5 2 2 4" xfId="23234" xr:uid="{14ACB9CB-2F9D-49E1-8AEB-14048A9816F1}"/>
    <cellStyle name="40% - Accent3 3 5 2 3" xfId="12275" xr:uid="{9FEEC4D8-58AF-4FA8-A215-D96E55D4A24F}"/>
    <cellStyle name="40% - Accent3 3 5 2 3 2" xfId="31722" xr:uid="{13F67B92-859B-4F2D-AEEF-C7FC45CAFAB9}"/>
    <cellStyle name="40% - Accent3 3 5 2 3 2 2" xfId="16086" xr:uid="{45B8D60F-A8AD-4557-BDA5-F49EDEB3F283}"/>
    <cellStyle name="40% - Accent3 3 5 2 3 3" xfId="12270" xr:uid="{C169F399-7BD0-4448-9883-389CCD1CC3CC}"/>
    <cellStyle name="40% - Accent3 3 5 2 4" xfId="9769" xr:uid="{E476BE57-A270-4944-BE32-15196D940742}"/>
    <cellStyle name="40% - Accent3 3 5 2 4 2" xfId="12265" xr:uid="{A6C7F2B4-29EA-4930-BCD1-D53F260C1E98}"/>
    <cellStyle name="40% - Accent3 3 5 2 5" xfId="10777" xr:uid="{0B7D2CA6-3DD6-408E-BF6A-3662367ABA3E}"/>
    <cellStyle name="40% - Accent3 3 5 3" xfId="12296" xr:uid="{F6B3BEAC-653D-4E70-8AF6-5B2F505D403C}"/>
    <cellStyle name="40% - Accent3 3 5 3 2" xfId="12293" xr:uid="{5680C124-0DFD-46B9-BCC4-2757843AF680}"/>
    <cellStyle name="40% - Accent3 3 5 3 2 2" xfId="14061" xr:uid="{D235E7B9-71DF-4059-8668-C831D450BB2B}"/>
    <cellStyle name="40% - Accent3 3 5 3 2 2 2" xfId="12262" xr:uid="{4ADE9A7E-3329-45DA-B0B5-6D0C7EE2AF6E}"/>
    <cellStyle name="40% - Accent3 3 5 3 2 3" xfId="8558" xr:uid="{5C1EEF41-CB4B-4D11-9038-693B1545838B}"/>
    <cellStyle name="40% - Accent3 3 5 3 3" xfId="12283" xr:uid="{96504A37-78E6-4D8C-8277-F1B020FC7E62}"/>
    <cellStyle name="40% - Accent3 3 5 3 3 2" xfId="12278" xr:uid="{0CA05237-89FE-4DB3-B252-C773409F7A6D}"/>
    <cellStyle name="40% - Accent3 3 5 3 4" xfId="13509" xr:uid="{66856C73-DA55-4C85-86BD-F6A3C7CD7509}"/>
    <cellStyle name="40% - Accent3 3 5 4" xfId="12272" xr:uid="{47513F46-99C6-44DE-AC25-8B9244799668}"/>
    <cellStyle name="40% - Accent3 3 5 4 2" xfId="5383" xr:uid="{0115050E-0717-4575-B42C-BB3FAEE4D59E}"/>
    <cellStyle name="40% - Accent3 3 5 4 2 2" xfId="16085" xr:uid="{DAB90333-97E7-4E9E-AA23-395ECF01539D}"/>
    <cellStyle name="40% - Accent3 3 5 4 3" xfId="12269" xr:uid="{986E0B34-5D1F-4ACC-8B22-75BFCA9B1F2A}"/>
    <cellStyle name="40% - Accent3 3 5 5" xfId="34165" xr:uid="{C680CE65-8A1E-42E5-8EB7-24C1AE6E2E48}"/>
    <cellStyle name="40% - Accent3 3 5 5 2" xfId="12264" xr:uid="{05153D7F-AED4-4A9B-BC27-17598F6F27A2}"/>
    <cellStyle name="40% - Accent3 3 5 6" xfId="23241" xr:uid="{0B622A9F-1F66-49E8-AEF2-9540FA525CED}"/>
    <cellStyle name="40% - Accent3 3 5 7" xfId="34966" xr:uid="{90A97D83-D5DF-48E9-BF80-9B21E1141194}"/>
    <cellStyle name="40% - Accent3 3 6" xfId="12256" xr:uid="{5F0C8533-70B4-43CC-B734-FD33762AA688}"/>
    <cellStyle name="40% - Accent3 3 6 2" xfId="13610" xr:uid="{AFD6837D-FEB1-4EA3-BFB1-7F50667C3FA0}"/>
    <cellStyle name="40% - Accent3 3 6 2 2" xfId="12255" xr:uid="{5FCFFB24-68E1-4B66-BCCC-F53D98921C75}"/>
    <cellStyle name="40% - Accent3 3 6 2 2 2" xfId="12252" xr:uid="{B01DE205-B52F-4DD2-9FA6-EE05B14C5CA5}"/>
    <cellStyle name="40% - Accent3 3 6 2 2 2 2" xfId="12248" xr:uid="{281BD862-7AAC-4E3B-9103-53F55D75E86A}"/>
    <cellStyle name="40% - Accent3 3 6 2 2 3" xfId="12243" xr:uid="{8B99EBE5-7436-40E0-B233-C3481BE63D7B}"/>
    <cellStyle name="40% - Accent3 3 6 2 3" xfId="13658" xr:uid="{9894C95E-8FB0-4B77-AE11-08A1F6619379}"/>
    <cellStyle name="40% - Accent3 3 6 2 3 2" xfId="12236" xr:uid="{DD1AC74F-3CB0-49ED-8356-4D3DDDDFC4C1}"/>
    <cellStyle name="40% - Accent3 3 6 2 4" xfId="23227" xr:uid="{595F97A5-6DB4-45F7-AFB6-0205F5CF55C0}"/>
    <cellStyle name="40% - Accent3 3 6 3" xfId="12291" xr:uid="{6D5BEF63-03CF-48E6-B2AF-278B226D5A54}"/>
    <cellStyle name="40% - Accent3 3 6 3 2" xfId="14060" xr:uid="{2BB95A43-E7A9-4BF0-B58C-CC9CD1F2C875}"/>
    <cellStyle name="40% - Accent3 3 6 3 2 2" xfId="12261" xr:uid="{0FECB05A-C565-46E6-8E7B-912F4FCECA95}"/>
    <cellStyle name="40% - Accent3 3 6 3 3" xfId="12287" xr:uid="{8C93109A-2101-4EA7-8346-82BA65D2E1CB}"/>
    <cellStyle name="40% - Accent3 3 6 4" xfId="12281" xr:uid="{A4940E50-EFB1-4F65-A5F1-18321D1376C8}"/>
    <cellStyle name="40% - Accent3 3 6 4 2" xfId="12277" xr:uid="{D4C429B5-3B17-4DB6-B6F8-8D558D1BBFD0}"/>
    <cellStyle name="40% - Accent3 3 6 5" xfId="23233" xr:uid="{3385475C-223B-4764-8693-15E40C05B0B9}"/>
    <cellStyle name="40% - Accent3 3 6 6" xfId="35171" xr:uid="{3609D206-B65E-4493-BFBC-A65DB9CB2A0C}"/>
    <cellStyle name="40% - Accent3 3 7" xfId="12232" xr:uid="{5499E07E-EF5B-44B4-A410-5B5F0C70E68F}"/>
    <cellStyle name="40% - Accent3 3 7 2" xfId="31726" xr:uid="{360D9CE3-89F9-4DF5-87D3-EE266E0CD39A}"/>
    <cellStyle name="40% - Accent3 3 7 2 2" xfId="33887" xr:uid="{26309881-3A59-491E-8768-310B35A37409}"/>
    <cellStyle name="40% - Accent3 3 7 2 2 2" xfId="12230" xr:uid="{D13B93BE-989B-486C-AB0B-FFEACA9E60FB}"/>
    <cellStyle name="40% - Accent3 3 7 2 3" xfId="12226" xr:uid="{C13279E7-6F35-4824-9771-AAA19473BE17}"/>
    <cellStyle name="40% - Accent3 3 7 3" xfId="31720" xr:uid="{72779DCA-08F3-4D89-B134-0040AFF859BD}"/>
    <cellStyle name="40% - Accent3 3 7 3 2" xfId="16084" xr:uid="{19D8494F-3B9B-40FA-98CC-BA960ACFF15D}"/>
    <cellStyle name="40% - Accent3 3 7 4" xfId="12267" xr:uid="{E68B1926-99BC-4FA0-9604-472F4DAE2CD1}"/>
    <cellStyle name="40% - Accent3 3 7 5" xfId="35400" xr:uid="{70C1A5F4-BE3B-499F-A824-F5451EA70508}"/>
    <cellStyle name="40% - Accent3 3 8" xfId="15631" xr:uid="{81679438-52C4-47C8-BA10-33F40A793741}"/>
    <cellStyle name="40% - Accent3 3 8 2" xfId="15625" xr:uid="{F0677282-59D1-4125-90D3-8A602DCE2D67}"/>
    <cellStyle name="40% - Accent3 3 8 2 2" xfId="12224" xr:uid="{95CB8A87-678D-4E78-B900-E72262DAB122}"/>
    <cellStyle name="40% - Accent3 3 8 3" xfId="12263" xr:uid="{ACEF311D-F145-43F0-AA75-93786637CCB0}"/>
    <cellStyle name="40% - Accent3 3 8 4" xfId="36272" xr:uid="{2205B759-92D6-4EA4-B078-59554DE31BFB}"/>
    <cellStyle name="40% - Accent3 3 9" xfId="15623" xr:uid="{08AF14CB-A64A-4887-9125-5FA9BF87FEE1}"/>
    <cellStyle name="40% - Accent3 3 9 2" xfId="12221" xr:uid="{834FFE86-4246-4BA0-B30A-0253A4C05DA3}"/>
    <cellStyle name="40% - Accent3 3 9 3" xfId="36558" xr:uid="{86FA169F-7358-430E-831B-F447A5DC8A0C}"/>
    <cellStyle name="40% - Accent3 30" xfId="35897" xr:uid="{CD5A921D-FBE0-4AFE-A68E-3693B8D0DB8F}"/>
    <cellStyle name="40% - Accent3 30 2" xfId="37069" xr:uid="{56B59137-2DF8-4656-8F81-E39A9510D2A1}"/>
    <cellStyle name="40% - Accent3 30 3" xfId="37964" xr:uid="{A8D29D41-65D5-4E0B-B065-543BDEBBFE4C}"/>
    <cellStyle name="40% - Accent3 31" xfId="35917" xr:uid="{AE6C110F-41BA-4256-99D3-EB1639170732}"/>
    <cellStyle name="40% - Accent3 31 2" xfId="37088" xr:uid="{8114B846-B26B-4EBE-A50E-BFBD260C94D4}"/>
    <cellStyle name="40% - Accent3 31 3" xfId="37984" xr:uid="{B6B021B6-56CC-4226-A270-E49519AF9AE9}"/>
    <cellStyle name="40% - Accent3 32" xfId="35937" xr:uid="{01252F55-FDAC-4857-B2F8-56D2B3387BF9}"/>
    <cellStyle name="40% - Accent3 32 2" xfId="37107" xr:uid="{600A01EE-7CB6-4A7C-AD80-B1B96555E386}"/>
    <cellStyle name="40% - Accent3 32 3" xfId="38004" xr:uid="{532D4149-AE64-47FC-B528-6250F44CF6E2}"/>
    <cellStyle name="40% - Accent3 33" xfId="35957" xr:uid="{91572830-DB55-4DEC-9AEA-E98C1363894A}"/>
    <cellStyle name="40% - Accent3 33 2" xfId="37126" xr:uid="{6D8ACB8D-DDDA-464A-906C-D1A773178A04}"/>
    <cellStyle name="40% - Accent3 33 3" xfId="38024" xr:uid="{D660210E-CC4C-455C-A004-DD362C9F29CF}"/>
    <cellStyle name="40% - Accent3 34" xfId="35977" xr:uid="{91EC5346-C794-4BBF-8277-F9B37A898B86}"/>
    <cellStyle name="40% - Accent3 34 2" xfId="37146" xr:uid="{0D9F2322-8F72-4A86-82F4-5ED0ECAF0045}"/>
    <cellStyle name="40% - Accent3 34 3" xfId="38044" xr:uid="{AF18C958-7253-487D-8280-9465A4FD84C3}"/>
    <cellStyle name="40% - Accent3 35" xfId="35997" xr:uid="{33DB0BD0-77A6-4B1C-9F7C-1D21CDF496DE}"/>
    <cellStyle name="40% - Accent3 35 2" xfId="37166" xr:uid="{BBEE4626-625D-4E17-B13C-9F12EDC8DE10}"/>
    <cellStyle name="40% - Accent3 35 3" xfId="38064" xr:uid="{E1074920-AEBF-4CFB-96F8-D627FADEFB1E}"/>
    <cellStyle name="40% - Accent3 36" xfId="36017" xr:uid="{478BFF91-CF1F-4138-822C-966BA195A388}"/>
    <cellStyle name="40% - Accent3 36 2" xfId="37186" xr:uid="{5785AFB7-6423-4EE2-90B5-F4681AA7466F}"/>
    <cellStyle name="40% - Accent3 36 3" xfId="38084" xr:uid="{59515B06-03A9-4447-BC17-E8AEE4DB430B}"/>
    <cellStyle name="40% - Accent3 37" xfId="36037" xr:uid="{67F40994-2856-4820-8B73-FCCAEF83D28B}"/>
    <cellStyle name="40% - Accent3 37 2" xfId="37206" xr:uid="{2678620F-CB91-43C5-A125-AC116FA587BD}"/>
    <cellStyle name="40% - Accent3 37 3" xfId="38104" xr:uid="{D94F88D4-6A26-4E62-A774-AE7212EECA58}"/>
    <cellStyle name="40% - Accent3 38" xfId="36057" xr:uid="{7CA9E1A2-CD48-4D2E-8B3B-0C671147ECAC}"/>
    <cellStyle name="40% - Accent3 38 2" xfId="37226" xr:uid="{6EBEE240-6276-4156-B7C0-DFB4DD9C3AC3}"/>
    <cellStyle name="40% - Accent3 38 3" xfId="38124" xr:uid="{23FC973B-7E4B-4962-BA24-D76AAECE9091}"/>
    <cellStyle name="40% - Accent3 39" xfId="36077" xr:uid="{D1B00238-D5F9-47CB-A273-3B670E53E4E8}"/>
    <cellStyle name="40% - Accent3 39 2" xfId="37246" xr:uid="{D7421982-69EC-4B0B-B973-E558194CD70E}"/>
    <cellStyle name="40% - Accent3 39 3" xfId="38144" xr:uid="{00C8501F-F923-42AA-905D-BE7BB4CF09D8}"/>
    <cellStyle name="40% - Accent3 4" xfId="123" xr:uid="{4B976BB7-A0B7-4DCD-84FE-5438BC4D96CE}"/>
    <cellStyle name="40% - Accent3 4 10" xfId="34477" xr:uid="{F610A641-0C3F-40E7-8247-5DE2B1A2EBF0}"/>
    <cellStyle name="40% - Accent3 4 11" xfId="13768" xr:uid="{8C111C89-57B5-48BF-95B9-AD4F7A894D06}"/>
    <cellStyle name="40% - Accent3 4 2" xfId="246" xr:uid="{A8D46325-E673-46B9-BE97-2E8CC36D080E}"/>
    <cellStyle name="40% - Accent3 4 2 10" xfId="5936" xr:uid="{B9F6AFFC-D32F-4F57-A388-9D6A931C7BAD}"/>
    <cellStyle name="40% - Accent3 4 2 2" xfId="12219" xr:uid="{531A6F6C-C8B1-4935-908B-7F969AFA5294}"/>
    <cellStyle name="40% - Accent3 4 2 2 2" xfId="5933" xr:uid="{284DCDF4-E6B5-4D1C-AFCA-044A24F9F1F1}"/>
    <cellStyle name="40% - Accent3 4 2 2 2 2" xfId="12214" xr:uid="{D84589A7-E99C-44AF-AFA2-1CEDF108C86D}"/>
    <cellStyle name="40% - Accent3 4 2 2 2 2 2" xfId="8274" xr:uid="{2532C350-7903-4D33-B61C-74ECEB53FB8C}"/>
    <cellStyle name="40% - Accent3 4 2 2 2 2 2 2" xfId="12212" xr:uid="{67BCB864-7B68-4779-89BE-A83883AB62E6}"/>
    <cellStyle name="40% - Accent3 4 2 2 2 2 2 2 2" xfId="12210" xr:uid="{9729AC19-CE74-43DA-A1AA-5251DC0EC633}"/>
    <cellStyle name="40% - Accent3 4 2 2 2 2 2 2 2 2" xfId="33060" xr:uid="{86A2A8B4-06B9-40C9-8DA9-C5F621BA5B9E}"/>
    <cellStyle name="40% - Accent3 4 2 2 2 2 2 2 3" xfId="12209" xr:uid="{81B82BCB-6C65-44E9-ADE0-4A57C566FA51}"/>
    <cellStyle name="40% - Accent3 4 2 2 2 2 2 3" xfId="12208" xr:uid="{8D162693-3D37-4D68-B5C5-F7F4C0D137A1}"/>
    <cellStyle name="40% - Accent3 4 2 2 2 2 2 3 2" xfId="12206" xr:uid="{C36D26D2-6591-4B06-9FB0-02747D10A5D8}"/>
    <cellStyle name="40% - Accent3 4 2 2 2 2 2 4" xfId="12205" xr:uid="{0F9B36F0-A0B1-451F-BE18-253CBDEE20BD}"/>
    <cellStyle name="40% - Accent3 4 2 2 2 2 3" xfId="5929" xr:uid="{82544161-F73A-44E4-9198-2E38861ED994}"/>
    <cellStyle name="40% - Accent3 4 2 2 2 2 3 2" xfId="12203" xr:uid="{217D42F1-9A56-4D67-AA01-C9F39D9441DB}"/>
    <cellStyle name="40% - Accent3 4 2 2 2 2 3 2 2" xfId="30926" xr:uid="{60B5E3B4-89A1-4D81-800D-7EC9A902505D}"/>
    <cellStyle name="40% - Accent3 4 2 2 2 2 3 3" xfId="12201" xr:uid="{578C3F8F-0A4F-40F4-83FC-568FE68E17E1}"/>
    <cellStyle name="40% - Accent3 4 2 2 2 2 4" xfId="5924" xr:uid="{6CD557F3-6869-464D-B1C0-01B3B3D2B5A4}"/>
    <cellStyle name="40% - Accent3 4 2 2 2 2 4 2" xfId="19473" xr:uid="{9FE9DBA4-CDB2-44CE-853E-7F3E994A1637}"/>
    <cellStyle name="40% - Accent3 4 2 2 2 2 5" xfId="29237" xr:uid="{FEAD8F71-6DD1-46F8-9728-84548F6402D1}"/>
    <cellStyle name="40% - Accent3 4 2 2 2 3" xfId="11097" xr:uid="{E296E6B9-83A1-4AB8-BD96-ACC9E0A69092}"/>
    <cellStyle name="40% - Accent3 4 2 2 2 3 2" xfId="9387" xr:uid="{9E2BD13E-9738-4320-A2EB-D9FAFA54585E}"/>
    <cellStyle name="40% - Accent3 4 2 2 2 3 2 2" xfId="12198" xr:uid="{D212A29A-BD30-442E-9D4F-AD3F531A4C0C}"/>
    <cellStyle name="40% - Accent3 4 2 2 2 3 2 2 2" xfId="12194" xr:uid="{B889E909-F990-4357-87EC-79C165171C92}"/>
    <cellStyle name="40% - Accent3 4 2 2 2 3 2 3" xfId="12191" xr:uid="{C213AB1A-5AD2-4204-8DF1-70D6A5D6DF75}"/>
    <cellStyle name="40% - Accent3 4 2 2 2 3 3" xfId="6298" xr:uid="{DA1005A3-A74C-4955-BCD9-F3727925EB30}"/>
    <cellStyle name="40% - Accent3 4 2 2 2 3 3 2" xfId="12188" xr:uid="{5EC82EDA-AADC-4D52-A3E4-A990B9543BBD}"/>
    <cellStyle name="40% - Accent3 4 2 2 2 3 4" xfId="29224" xr:uid="{DF949F92-4758-489A-98B0-734AA8A3E090}"/>
    <cellStyle name="40% - Accent3 4 2 2 2 4" xfId="11085" xr:uid="{F10BE2DA-E83A-4255-B7E0-E081C7F52C5A}"/>
    <cellStyle name="40% - Accent3 4 2 2 2 4 2" xfId="6293" xr:uid="{D4486295-8D96-4186-A7CA-2B292043C775}"/>
    <cellStyle name="40% - Accent3 4 2 2 2 4 2 2" xfId="19863" xr:uid="{B1F77B4B-06DC-4026-9201-3CD9870D8CD5}"/>
    <cellStyle name="40% - Accent3 4 2 2 2 4 3" xfId="30036" xr:uid="{D686A7DE-EEBB-4C28-9124-3853416316AC}"/>
    <cellStyle name="40% - Accent3 4 2 2 2 5" xfId="12185" xr:uid="{482A6B68-5A4D-4D70-A178-9B436E93037F}"/>
    <cellStyle name="40% - Accent3 4 2 2 2 5 2" xfId="12182" xr:uid="{29851713-96A2-441C-AB31-404D93FB14A8}"/>
    <cellStyle name="40% - Accent3 4 2 2 2 6" xfId="12181" xr:uid="{DC19F63E-0670-4001-A58C-73AAF5ABAF84}"/>
    <cellStyle name="40% - Accent3 4 2 2 3" xfId="12180" xr:uid="{22D4198C-3EC1-4CF5-9EC2-62A477593C15}"/>
    <cellStyle name="40% - Accent3 4 2 2 3 2" xfId="5921" xr:uid="{E5AE8D2F-A06B-493A-ACDA-778478403A4B}"/>
    <cellStyle name="40% - Accent3 4 2 2 3 2 2" xfId="5918" xr:uid="{E3D30241-838F-49FF-8629-572733872045}"/>
    <cellStyle name="40% - Accent3 4 2 2 3 2 2 2" xfId="12177" xr:uid="{DFF25362-6870-45EB-BC8E-DD224B0AA600}"/>
    <cellStyle name="40% - Accent3 4 2 2 3 2 2 2 2" xfId="12175" xr:uid="{6025A63B-4004-4936-AB58-EAE7476EE1D3}"/>
    <cellStyle name="40% - Accent3 4 2 2 3 2 2 3" xfId="12173" xr:uid="{CC072CD3-8FE0-4A1B-AD36-DCA190C33589}"/>
    <cellStyle name="40% - Accent3 4 2 2 3 2 3" xfId="5912" xr:uid="{3076C363-BA44-44E4-9F35-650DBC9F46D6}"/>
    <cellStyle name="40% - Accent3 4 2 2 3 2 3 2" xfId="12171" xr:uid="{BD77D809-45F7-4C31-AF3A-D76ED97CD6D0}"/>
    <cellStyle name="40% - Accent3 4 2 2 3 2 4" xfId="19816" xr:uid="{329A6945-F4CE-476D-8702-F20E934C579E}"/>
    <cellStyle name="40% - Accent3 4 2 2 3 3" xfId="11077" xr:uid="{CA5EB62E-1175-4ECB-BE76-383E29FD55C6}"/>
    <cellStyle name="40% - Accent3 4 2 2 3 3 2" xfId="6284" xr:uid="{CF3EC668-9AF1-4866-B66A-299C5D89A72E}"/>
    <cellStyle name="40% - Accent3 4 2 2 3 3 2 2" xfId="12167" xr:uid="{2319DEB5-0D02-49E1-9E86-E698513A4C54}"/>
    <cellStyle name="40% - Accent3 4 2 2 3 3 3" xfId="22308" xr:uid="{EA2A69E8-447F-4525-9B54-00E4FAFD469A}"/>
    <cellStyle name="40% - Accent3 4 2 2 3 4" xfId="11072" xr:uid="{7930048A-2B5A-4E86-9F63-60982C25B850}"/>
    <cellStyle name="40% - Accent3 4 2 2 3 4 2" xfId="12163" xr:uid="{9356233C-B88B-4A18-81DC-1946E4375E2A}"/>
    <cellStyle name="40% - Accent3 4 2 2 3 5" xfId="12162" xr:uid="{B4BEDFC9-24A0-4DA7-B670-22EC8E549FE7}"/>
    <cellStyle name="40% - Accent3 4 2 2 4" xfId="20116" xr:uid="{12C6E88A-A5C8-410D-8883-205C25E97589}"/>
    <cellStyle name="40% - Accent3 4 2 2 4 2" xfId="5909" xr:uid="{C22C5DDC-6CDD-4087-BC3F-8106D83A8FA3}"/>
    <cellStyle name="40% - Accent3 4 2 2 4 2 2" xfId="5907" xr:uid="{0CFE8D2D-F3B0-46C2-AF56-B53F3C850E47}"/>
    <cellStyle name="40% - Accent3 4 2 2 4 2 2 2" xfId="28606" xr:uid="{9C5A4D93-A9AF-4681-AA3A-14059BA2C53F}"/>
    <cellStyle name="40% - Accent3 4 2 2 4 2 3" xfId="26895" xr:uid="{FBC4099D-916C-4E4B-8C37-DB88EDDF785D}"/>
    <cellStyle name="40% - Accent3 4 2 2 4 3" xfId="11064" xr:uid="{5CD91170-33AE-4231-8840-A646117AC663}"/>
    <cellStyle name="40% - Accent3 4 2 2 4 3 2" xfId="14072" xr:uid="{BAFFECBB-B088-4E2D-8422-FC362FAAD0E4}"/>
    <cellStyle name="40% - Accent3 4 2 2 4 4" xfId="14055" xr:uid="{85888B2B-270E-47E0-A803-E1771D2D6121}"/>
    <cellStyle name="40% - Accent3 4 2 2 5" xfId="5904" xr:uid="{2C106CBE-3D58-4D94-9E77-ED43FF5ABA03}"/>
    <cellStyle name="40% - Accent3 4 2 2 5 2" xfId="6163" xr:uid="{324C7600-9C95-4289-A804-44E203F5FDDC}"/>
    <cellStyle name="40% - Accent3 4 2 2 5 2 2" xfId="22139" xr:uid="{BD9EEB24-9879-4688-96A7-52953AF38601}"/>
    <cellStyle name="40% - Accent3 4 2 2 5 3" xfId="14035" xr:uid="{390AE618-1D88-446A-84FF-00C2DF18325E}"/>
    <cellStyle name="40% - Accent3 4 2 2 6" xfId="5902" xr:uid="{7D207FF9-6113-4859-B52E-95FD8320A222}"/>
    <cellStyle name="40% - Accent3 4 2 2 6 2" xfId="34087" xr:uid="{72FC5DC3-ACC8-4C56-93CA-00C85535B320}"/>
    <cellStyle name="40% - Accent3 4 2 2 7" xfId="28882" xr:uid="{08316515-DE2A-4C41-9B16-CC2A6C81F71D}"/>
    <cellStyle name="40% - Accent3 4 2 3" xfId="21637" xr:uid="{B6682B8E-9398-4EE8-96C4-1A6C3DB6C5AF}"/>
    <cellStyle name="40% - Accent3 4 2 3 2" xfId="5900" xr:uid="{524EB9FA-FA5D-4D02-949B-A7632C9B5036}"/>
    <cellStyle name="40% - Accent3 4 2 3 2 2" xfId="12161" xr:uid="{1208940F-6A78-4353-9955-D2037B3B2EA0}"/>
    <cellStyle name="40% - Accent3 4 2 3 2 2 2" xfId="5897" xr:uid="{6951C8D3-81C4-412F-8A94-A79A94DBE3E2}"/>
    <cellStyle name="40% - Accent3 4 2 3 2 2 2 2" xfId="12159" xr:uid="{E9C77BCC-7347-46A8-BFB1-F8D1983F48A7}"/>
    <cellStyle name="40% - Accent3 4 2 3 2 2 2 2 2" xfId="12157" xr:uid="{3D85F87D-7F21-41C7-921D-93AC647972A8}"/>
    <cellStyle name="40% - Accent3 4 2 3 2 2 2 3" xfId="12155" xr:uid="{FB2DE4F5-91BB-4D63-9DC0-1B8FF0746242}"/>
    <cellStyle name="40% - Accent3 4 2 3 2 2 3" xfId="5894" xr:uid="{24214B33-6D83-4F9C-833B-46F0210FF26B}"/>
    <cellStyle name="40% - Accent3 4 2 3 2 2 3 2" xfId="12151" xr:uid="{30E663F9-B687-46A5-94C9-6C9DD5A7AC79}"/>
    <cellStyle name="40% - Accent3 4 2 3 2 2 4" xfId="29188" xr:uid="{51B4FEA4-8255-4385-BCAD-2E4C59FA9ED4}"/>
    <cellStyle name="40% - Accent3 4 2 3 2 3" xfId="11053" xr:uid="{4DE87DC3-0A37-4F11-8874-CC337D506EE7}"/>
    <cellStyle name="40% - Accent3 4 2 3 2 3 2" xfId="10516" xr:uid="{04D16C53-9539-49D6-B02B-AD47D9211641}"/>
    <cellStyle name="40% - Accent3 4 2 3 2 3 2 2" xfId="10360" xr:uid="{4CCE54D4-3989-4AA0-87A2-FE6E1648CC78}"/>
    <cellStyle name="40% - Accent3 4 2 3 2 3 3" xfId="33736" xr:uid="{8A86A686-B1CA-4E00-A834-287747A2CD7F}"/>
    <cellStyle name="40% - Accent3 4 2 3 2 4" xfId="11047" xr:uid="{02B38840-3644-4726-8445-30B246C48580}"/>
    <cellStyle name="40% - Accent3 4 2 3 2 4 2" xfId="12147" xr:uid="{4AB32CF4-AD84-4194-8943-7C3F4EFB6C5E}"/>
    <cellStyle name="40% - Accent3 4 2 3 2 5" xfId="12145" xr:uid="{04CD1FD8-6AAE-4C3A-A11C-ECB21ADCA2D5}"/>
    <cellStyle name="40% - Accent3 4 2 3 3" xfId="12143" xr:uid="{3F843B26-D980-46E5-BEF5-51E612667190}"/>
    <cellStyle name="40% - Accent3 4 2 3 3 2" xfId="12140" xr:uid="{8032E39C-D5B4-4A36-B8AB-FB370F38262E}"/>
    <cellStyle name="40% - Accent3 4 2 3 3 2 2" xfId="12138" xr:uid="{C7404893-2F13-4702-90D1-126BE815B394}"/>
    <cellStyle name="40% - Accent3 4 2 3 3 2 2 2" xfId="19451" xr:uid="{13BE6346-9F7C-4328-9EC0-76F160188061}"/>
    <cellStyle name="40% - Accent3 4 2 3 3 2 3" xfId="19597" xr:uid="{8157041A-7C8A-4CFA-915A-AD891EA3CB3A}"/>
    <cellStyle name="40% - Accent3 4 2 3 3 3" xfId="12135" xr:uid="{D82DAF70-6EA3-444B-BB45-282B611E1BA3}"/>
    <cellStyle name="40% - Accent3 4 2 3 3 3 2" xfId="12133" xr:uid="{BA06201F-E84D-48FC-82BB-FF5198B4BF75}"/>
    <cellStyle name="40% - Accent3 4 2 3 3 4" xfId="12132" xr:uid="{AEF0D976-33E2-4401-A14A-57F0A2B2ABB3}"/>
    <cellStyle name="40% - Accent3 4 2 3 4" xfId="5891" xr:uid="{8FDFFEF6-2499-43F6-AD91-B9E10F90D79D}"/>
    <cellStyle name="40% - Accent3 4 2 3 4 2" xfId="12131" xr:uid="{08D4BC71-7F7B-4656-BDCB-F846B85E99D9}"/>
    <cellStyle name="40% - Accent3 4 2 3 4 2 2" xfId="12129" xr:uid="{97FC7DAC-6D12-40A8-AD3C-3D1740FF7DE1}"/>
    <cellStyle name="40% - Accent3 4 2 3 4 3" xfId="13977" xr:uid="{DBF75FFF-3751-44CD-9AF1-759DBF3D0C08}"/>
    <cellStyle name="40% - Accent3 4 2 3 5" xfId="5889" xr:uid="{C0B1B602-804F-494C-BD28-1EBD94EAB2D0}"/>
    <cellStyle name="40% - Accent3 4 2 3 5 2" xfId="12128" xr:uid="{79180323-83F3-467D-9EC7-057B2C4DAA38}"/>
    <cellStyle name="40% - Accent3 4 2 3 6" xfId="28854" xr:uid="{0642082E-8BBC-4F7F-A887-CF796451FE85}"/>
    <cellStyle name="40% - Accent3 4 2 4" xfId="5887" xr:uid="{9B3C6007-A8DF-4C16-961D-D39A4EA61B16}"/>
    <cellStyle name="40% - Accent3 4 2 4 2" xfId="7818" xr:uid="{FE35E71C-9EB9-4B84-84AF-B3B6CFCF84BA}"/>
    <cellStyle name="40% - Accent3 4 2 4 2 2" xfId="6790" xr:uid="{897D85DD-E00C-4062-BF6D-6A6B7EE26FBD}"/>
    <cellStyle name="40% - Accent3 4 2 4 2 2 2" xfId="5885" xr:uid="{ABA6F27D-B609-4534-B301-16DAA998A1CA}"/>
    <cellStyle name="40% - Accent3 4 2 4 2 2 2 2" xfId="11543" xr:uid="{95A9662E-9F3A-4936-A118-63A7CF14B05C}"/>
    <cellStyle name="40% - Accent3 4 2 4 2 2 3" xfId="25321" xr:uid="{C7017ACC-E837-4B43-9D92-A9D8F779B973}"/>
    <cellStyle name="40% - Accent3 4 2 4 2 3" xfId="11032" xr:uid="{C514464A-4803-426E-B84F-59F17B1A7E05}"/>
    <cellStyle name="40% - Accent3 4 2 4 2 3 2" xfId="12122" xr:uid="{FE7E1865-729A-418E-A511-D0760F54B26B}"/>
    <cellStyle name="40% - Accent3 4 2 4 2 4" xfId="12121" xr:uid="{E7CD0D2F-0725-48FA-8BE4-C1073055FFF7}"/>
    <cellStyle name="40% - Accent3 4 2 4 3" xfId="5881" xr:uid="{E58DCC15-416C-4B3F-B973-D9094760508C}"/>
    <cellStyle name="40% - Accent3 4 2 4 3 2" xfId="12119" xr:uid="{FFAE3C64-07DF-42F1-9609-2AF451281D3D}"/>
    <cellStyle name="40% - Accent3 4 2 4 3 2 2" xfId="12116" xr:uid="{37964B58-E832-4948-A3CF-8F1D678A56CC}"/>
    <cellStyle name="40% - Accent3 4 2 4 3 3" xfId="12628" xr:uid="{0CA7F09B-B9D8-4017-9B90-C1FC4BE3C664}"/>
    <cellStyle name="40% - Accent3 4 2 4 4" xfId="8629" xr:uid="{C6E28CEA-B398-472D-BD72-D80CBF383BC3}"/>
    <cellStyle name="40% - Accent3 4 2 4 4 2" xfId="12115" xr:uid="{172F751A-0587-43C6-A9B4-1A3B509CBD5A}"/>
    <cellStyle name="40% - Accent3 4 2 4 5" xfId="13419" xr:uid="{ECC8A02A-9AAA-4593-90E8-E069223D00D3}"/>
    <cellStyle name="40% - Accent3 4 2 5" xfId="5879" xr:uid="{4D5F2CDF-116E-4A2A-A964-356B4F80A8F2}"/>
    <cellStyle name="40% - Accent3 4 2 5 2" xfId="5877" xr:uid="{B905CF20-2FE0-4C1D-AD5F-3995FEDE85D0}"/>
    <cellStyle name="40% - Accent3 4 2 5 2 2" xfId="6779" xr:uid="{FD69BA68-9B27-4FCE-BE5A-A3E39F3EB46A}"/>
    <cellStyle name="40% - Accent3 4 2 5 2 2 2" xfId="12112" xr:uid="{00973271-722E-4264-AF61-4B25B7FB27B4}"/>
    <cellStyle name="40% - Accent3 4 2 5 2 3" xfId="12110" xr:uid="{E70419BB-2C63-4B63-9DDE-A57542C3ACDB}"/>
    <cellStyle name="40% - Accent3 4 2 5 3" xfId="5875" xr:uid="{2C5D932F-FE38-42D2-85AF-A87F37F497D4}"/>
    <cellStyle name="40% - Accent3 4 2 5 3 2" xfId="12108" xr:uid="{5313BD2F-E6D1-430E-8974-F6EEA8C568A3}"/>
    <cellStyle name="40% - Accent3 4 2 5 4" xfId="12104" xr:uid="{DA8AF8D0-74E5-4A97-8CF6-FFCF928831DF}"/>
    <cellStyle name="40% - Accent3 4 2 6" xfId="5873" xr:uid="{45A88EF5-5BF9-4088-B417-E6BBABDBDFCE}"/>
    <cellStyle name="40% - Accent3 4 2 6 2" xfId="5871" xr:uid="{F564DE59-7192-405C-9502-BEB56E05C55F}"/>
    <cellStyle name="40% - Accent3 4 2 6 2 2" xfId="12103" xr:uid="{F2EF7A93-CE89-44F0-8A6D-C413C10B2553}"/>
    <cellStyle name="40% - Accent3 4 2 6 3" xfId="12099" xr:uid="{2A2777BA-821C-4B55-BE5E-38D9CCBE5125}"/>
    <cellStyle name="40% - Accent3 4 2 7" xfId="5868" xr:uid="{A8147EBD-F4C5-42F8-BD81-50542BB446EC}"/>
    <cellStyle name="40% - Accent3 4 2 7 2" xfId="24903" xr:uid="{D15B4EB6-DAA9-47DE-99E6-AFA2F1325812}"/>
    <cellStyle name="40% - Accent3 4 2 8" xfId="18290" xr:uid="{35ED4520-884E-4455-94DA-401769CF0CEA}"/>
    <cellStyle name="40% - Accent3 4 2 9" xfId="34567" xr:uid="{FDA1B8EF-A97C-44B9-BE55-5D519FB86103}"/>
    <cellStyle name="40% - Accent3 4 3" xfId="12098" xr:uid="{DCDE7A86-07AD-46B3-92CB-99BE1AE61684}"/>
    <cellStyle name="40% - Accent3 4 3 2" xfId="12095" xr:uid="{5979F361-0A8E-4081-84A2-7EE80264DE82}"/>
    <cellStyle name="40% - Accent3 4 3 2 2" xfId="12092" xr:uid="{2AFD2406-393D-4BFF-B90C-8BF9C7BF0C95}"/>
    <cellStyle name="40% - Accent3 4 3 2 2 2" xfId="5866" xr:uid="{55FC4836-7ABF-4528-9BC3-1EE9E2B92ACF}"/>
    <cellStyle name="40% - Accent3 4 3 2 2 2 2" xfId="12089" xr:uid="{CCB2D10D-F9B5-42CB-8067-8661422FC205}"/>
    <cellStyle name="40% - Accent3 4 3 2 2 2 2 2" xfId="14417" xr:uid="{5BDA54AE-86FF-4C83-9350-35E3B091E410}"/>
    <cellStyle name="40% - Accent3 4 3 2 2 2 2 2 2" xfId="12086" xr:uid="{3F526B90-F437-40EB-8F3B-21B98B93F3D1}"/>
    <cellStyle name="40% - Accent3 4 3 2 2 2 2 3" xfId="14411" xr:uid="{B78BDAA5-CC52-4695-B6B2-E54A64D502A9}"/>
    <cellStyle name="40% - Accent3 4 3 2 2 2 3" xfId="28141" xr:uid="{FA355D57-C32D-495F-8EC8-152F9FDDFEF0}"/>
    <cellStyle name="40% - Accent3 4 3 2 2 2 3 2" xfId="14404" xr:uid="{76F8934B-CEAF-4860-ACC5-5BB79E8A3A15}"/>
    <cellStyle name="40% - Accent3 4 3 2 2 2 4" xfId="31191" xr:uid="{A483AFF2-6BBE-4D57-B64A-8AA39130633E}"/>
    <cellStyle name="40% - Accent3 4 3 2 2 3" xfId="11003" xr:uid="{AC37DC09-60B6-4DD6-B4F6-8E17EAAABE04}"/>
    <cellStyle name="40% - Accent3 4 3 2 2 3 2" xfId="6245" xr:uid="{7BC153C3-AFDD-43DE-B16B-40405D5C8CFE}"/>
    <cellStyle name="40% - Accent3 4 3 2 2 3 2 2" xfId="14326" xr:uid="{B34D4296-4FAC-420B-9163-627EE63D9442}"/>
    <cellStyle name="40% - Accent3 4 3 2 2 3 3" xfId="29153" xr:uid="{C79FF396-E751-48AC-9DE0-AFF09F4FD964}"/>
    <cellStyle name="40% - Accent3 4 3 2 2 4" xfId="10994" xr:uid="{1307ED98-98DE-410F-9B0E-E7FCB4995004}"/>
    <cellStyle name="40% - Accent3 4 3 2 2 4 2" xfId="12081" xr:uid="{D47C24C7-42FC-4F60-9769-333C7B64C94B}"/>
    <cellStyle name="40% - Accent3 4 3 2 2 5" xfId="12080" xr:uid="{755DC652-1E5B-4679-97D0-ED805352450B}"/>
    <cellStyle name="40% - Accent3 4 3 2 3" xfId="12079" xr:uid="{D7AA691E-ABE1-45D1-B2EA-7C5E24417ADB}"/>
    <cellStyle name="40% - Accent3 4 3 2 3 2" xfId="5861" xr:uid="{C3CB45C3-1EF0-44A4-B2DA-19E2EDF48516}"/>
    <cellStyle name="40% - Accent3 4 3 2 3 2 2" xfId="5858" xr:uid="{50EB5832-4C98-4382-9E52-CC34BBE8A5E0}"/>
    <cellStyle name="40% - Accent3 4 3 2 3 2 2 2" xfId="13985" xr:uid="{7B22618F-587D-4439-BAD3-7EAAB433829E}"/>
    <cellStyle name="40% - Accent3 4 3 2 3 2 3" xfId="19337" xr:uid="{19119215-2A2A-488C-8473-1D4806253AA8}"/>
    <cellStyle name="40% - Accent3 4 3 2 3 3" xfId="10987" xr:uid="{3437FBE9-5E34-44EE-9371-71433FD9B46F}"/>
    <cellStyle name="40% - Accent3 4 3 2 3 3 2" xfId="30225" xr:uid="{3011AF25-E822-4E78-96EE-BF461BA73534}"/>
    <cellStyle name="40% - Accent3 4 3 2 3 4" xfId="30222" xr:uid="{5F79A999-C1E0-4FA8-B9F6-1BE1AC033957}"/>
    <cellStyle name="40% - Accent3 4 3 2 4" xfId="12076" xr:uid="{8CF992C8-556D-40F2-B32A-6CD33565E744}"/>
    <cellStyle name="40% - Accent3 4 3 2 4 2" xfId="5855" xr:uid="{D5D08DE2-B1CD-4897-B586-8A327721A5D1}"/>
    <cellStyle name="40% - Accent3 4 3 2 4 2 2" xfId="30586" xr:uid="{49C8EC8E-A28E-42F3-AE70-DE8AF66371AC}"/>
    <cellStyle name="40% - Accent3 4 3 2 4 3" xfId="30083" xr:uid="{755B3275-5BCB-4D0F-8636-6D8887248A2A}"/>
    <cellStyle name="40% - Accent3 4 3 2 5" xfId="13414" xr:uid="{CC6DE707-C843-41B8-A5E0-010EC631CF4C}"/>
    <cellStyle name="40% - Accent3 4 3 2 5 2" xfId="29985" xr:uid="{E7D00169-725B-4C55-AAEE-C611F1588EC8}"/>
    <cellStyle name="40% - Accent3 4 3 2 6" xfId="32119" xr:uid="{16A3E3CB-D479-43D5-B46B-18D0CF2DD21F}"/>
    <cellStyle name="40% - Accent3 4 3 3" xfId="12074" xr:uid="{B975EE83-BA7E-49BA-A8EF-7509EA2946CF}"/>
    <cellStyle name="40% - Accent3 4 3 3 2" xfId="12071" xr:uid="{F6226C99-C62E-47E3-9637-B808B8543834}"/>
    <cellStyle name="40% - Accent3 4 3 3 2 2" xfId="5853" xr:uid="{36276BFE-3D09-4CB3-BD14-091B9832437F}"/>
    <cellStyle name="40% - Accent3 4 3 3 2 2 2" xfId="5851" xr:uid="{481370EC-A31E-4441-B34E-F77AEF25FD5F}"/>
    <cellStyle name="40% - Accent3 4 3 3 2 2 2 2" xfId="12321" xr:uid="{1C712D3C-B375-4CA2-8D66-2A1250FF311C}"/>
    <cellStyle name="40% - Accent3 4 3 3 2 2 3" xfId="29141" xr:uid="{26A44513-FAC0-4200-A23E-C82928C75848}"/>
    <cellStyle name="40% - Accent3 4 3 3 2 3" xfId="10973" xr:uid="{64ADEA22-F31C-460F-BED5-883F6DCFF4FF}"/>
    <cellStyle name="40% - Accent3 4 3 3 2 3 2" xfId="12069" xr:uid="{0BE41065-30A1-4902-884D-9427B1FF63B9}"/>
    <cellStyle name="40% - Accent3 4 3 3 2 4" xfId="12068" xr:uid="{D824AFCD-563D-4ACC-AC2B-48283F5FF98E}"/>
    <cellStyle name="40% - Accent3 4 3 3 3" xfId="12066" xr:uid="{DF5153C7-731E-4CD6-8F1D-D9FC59B3474A}"/>
    <cellStyle name="40% - Accent3 4 3 3 3 2" xfId="16864" xr:uid="{3B6758C2-34BC-4653-98AC-7B09199B9FEB}"/>
    <cellStyle name="40% - Accent3 4 3 3 3 2 2" xfId="29411" xr:uid="{FD98F5D9-65D8-4386-9DF0-287535DE13EE}"/>
    <cellStyle name="40% - Accent3 4 3 3 3 3" xfId="21706" xr:uid="{E488AE6E-7658-477F-95F2-914DACA40D24}"/>
    <cellStyle name="40% - Accent3 4 3 3 4" xfId="12064" xr:uid="{F10248FC-ADE6-44D4-8DB4-9A547F4383EF}"/>
    <cellStyle name="40% - Accent3 4 3 3 4 2" xfId="29649" xr:uid="{A9E1E430-E39A-42B4-81FF-DD78E9C5649E}"/>
    <cellStyle name="40% - Accent3 4 3 3 5" xfId="13406" xr:uid="{2A7FEACA-8581-4B49-9EE2-90435804397C}"/>
    <cellStyle name="40% - Accent3 4 3 4" xfId="12062" xr:uid="{107E8D48-3AD7-41CB-BFA9-5EF7BEE2309F}"/>
    <cellStyle name="40% - Accent3 4 3 4 2" xfId="12060" xr:uid="{6FA21E21-5B69-4A7E-913E-6906AEE7DB6B}"/>
    <cellStyle name="40% - Accent3 4 3 4 2 2" xfId="6763" xr:uid="{125DCE5A-8B1C-4F0C-BA8A-404FC15F27D2}"/>
    <cellStyle name="40% - Accent3 4 3 4 2 2 2" xfId="12058" xr:uid="{9C26B667-07E4-4880-B930-54BE4D612478}"/>
    <cellStyle name="40% - Accent3 4 3 4 2 3" xfId="12057" xr:uid="{CB2A2467-D2B5-4FD9-9A53-5C11D973B626}"/>
    <cellStyle name="40% - Accent3 4 3 4 3" xfId="5848" xr:uid="{7DED4B97-2A8E-4146-BBF5-13A11EEDCE99}"/>
    <cellStyle name="40% - Accent3 4 3 4 3 2" xfId="17968" xr:uid="{149824B2-DC08-439F-A0F4-2615F1B05F5D}"/>
    <cellStyle name="40% - Accent3 4 3 4 4" xfId="12055" xr:uid="{F01A4121-F7EE-4159-B048-80879E05C35B}"/>
    <cellStyle name="40% - Accent3 4 3 5" xfId="17035" xr:uid="{C1F18D95-1E67-40DF-8023-5A39875AE985}"/>
    <cellStyle name="40% - Accent3 4 3 5 2" xfId="12054" xr:uid="{4BE98DA4-2AFC-4763-9F0C-3824263C10FA}"/>
    <cellStyle name="40% - Accent3 4 3 5 2 2" xfId="12052" xr:uid="{5D9B8E5C-9F60-4119-BBE0-B9564DD76D87}"/>
    <cellStyle name="40% - Accent3 4 3 5 3" xfId="12049" xr:uid="{E2425514-BFA5-4963-9B2C-422E3579A1BE}"/>
    <cellStyle name="40% - Accent3 4 3 6" xfId="5846" xr:uid="{66114D27-934A-4AE5-A28C-87569DB0D190}"/>
    <cellStyle name="40% - Accent3 4 3 6 2" xfId="23680" xr:uid="{6F452E30-C026-40F6-B2F6-6E96ADAB37ED}"/>
    <cellStyle name="40% - Accent3 4 3 7" xfId="23103" xr:uid="{3FB98499-55DC-4E13-9205-25AC801A90B8}"/>
    <cellStyle name="40% - Accent3 4 3 8" xfId="34787" xr:uid="{36226133-0CF2-4F3C-AFA8-83030D795CF5}"/>
    <cellStyle name="40% - Accent3 4 4" xfId="12048" xr:uid="{0F7D6A1F-F9B0-4F44-B232-0E0FC6B3CC31}"/>
    <cellStyle name="40% - Accent3 4 4 2" xfId="12046" xr:uid="{A7F4D394-5BFD-48BF-8C31-404B22DF089F}"/>
    <cellStyle name="40% - Accent3 4 4 2 2" xfId="12042" xr:uid="{09068310-8C3B-434A-9929-A5C75269C836}"/>
    <cellStyle name="40% - Accent3 4 4 2 2 2" xfId="5843" xr:uid="{A168F056-6C31-4A77-89B6-5C4C76B41922}"/>
    <cellStyle name="40% - Accent3 4 4 2 2 2 2" xfId="5841" xr:uid="{F87736B1-58F2-42AB-8581-B3A108B1E6EE}"/>
    <cellStyle name="40% - Accent3 4 4 2 2 2 2 2" xfId="12036" xr:uid="{C2F9B287-660E-43A9-B590-C18DED382D2F}"/>
    <cellStyle name="40% - Accent3 4 4 2 2 2 3" xfId="29121" xr:uid="{249227C1-1B1C-4612-8017-7D444AB786CB}"/>
    <cellStyle name="40% - Accent3 4 4 2 2 3" xfId="12033" xr:uid="{D9B08A15-7DC2-43DC-BFE6-5304C875C218}"/>
    <cellStyle name="40% - Accent3 4 4 2 2 3 2" xfId="12028" xr:uid="{D8D13023-9019-4BE4-8A1D-AE8BFA81CDE7}"/>
    <cellStyle name="40% - Accent3 4 4 2 2 4" xfId="12021" xr:uid="{25A272DC-D3C6-45B9-9768-DAEE9462D9B5}"/>
    <cellStyle name="40% - Accent3 4 4 2 3" xfId="12018" xr:uid="{370C7DAC-4966-4B81-ABC0-036882C3E2DD}"/>
    <cellStyle name="40% - Accent3 4 4 2 3 2" xfId="28730" xr:uid="{691BE5EB-1BF2-4FDA-8619-A93BE6887B22}"/>
    <cellStyle name="40% - Accent3 4 4 2 3 2 2" xfId="28719" xr:uid="{4AC98931-2861-4FE5-A7C2-FCEDAAF68D9E}"/>
    <cellStyle name="40% - Accent3 4 4 2 3 3" xfId="28711" xr:uid="{2A71DEA7-F3CE-426F-9C99-22509888993B}"/>
    <cellStyle name="40% - Accent3 4 4 2 4" xfId="12014" xr:uid="{5599E9FF-424C-407A-929C-7E9318B7326C}"/>
    <cellStyle name="40% - Accent3 4 4 2 4 2" xfId="18269" xr:uid="{F8EF10B3-C449-44FE-B9E2-AFF273717E36}"/>
    <cellStyle name="40% - Accent3 4 4 2 5" xfId="13398" xr:uid="{4AA2B6A0-272B-43B4-881C-2BDBF71EF4BE}"/>
    <cellStyle name="40% - Accent3 4 4 3" xfId="12009" xr:uid="{FE06D2F0-9FDE-4B77-8501-6EAB425DB814}"/>
    <cellStyle name="40% - Accent3 4 4 3 2" xfId="12007" xr:uid="{CA504A28-4E92-46A5-8439-69ECC7573B9F}"/>
    <cellStyle name="40% - Accent3 4 4 3 2 2" xfId="8846" xr:uid="{B4F0A8A0-5488-42C2-ADA7-CD3681F00565}"/>
    <cellStyle name="40% - Accent3 4 4 3 2 2 2" xfId="12000" xr:uid="{335BE8C8-3C64-4C70-A23F-FBE13405A288}"/>
    <cellStyle name="40% - Accent3 4 4 3 2 3" xfId="11998" xr:uid="{32C2EDA1-9F89-4C12-81FC-0CE046A91CC2}"/>
    <cellStyle name="40% - Accent3 4 4 3 3" xfId="5838" xr:uid="{FF63FBBA-CFED-487A-8F54-D43D385ED12C}"/>
    <cellStyle name="40% - Accent3 4 4 3 3 2" xfId="28573" xr:uid="{7CECC305-15E1-4AEE-B921-F14BFB0E5AAE}"/>
    <cellStyle name="40% - Accent3 4 4 3 4" xfId="11989" xr:uid="{DFF32488-BE7E-4825-88CE-773F306353B1}"/>
    <cellStyle name="40% - Accent3 4 4 4" xfId="13663" xr:uid="{99379ED6-9BB7-44E3-845D-7040547E8E33}"/>
    <cellStyle name="40% - Accent3 4 4 4 2" xfId="5836" xr:uid="{08EDBD71-5D72-4F45-9D41-8B47A434BD2C}"/>
    <cellStyle name="40% - Accent3 4 4 4 2 2" xfId="16526" xr:uid="{040621CC-DCB6-4677-A092-7D1586DAE32E}"/>
    <cellStyle name="40% - Accent3 4 4 4 3" xfId="11985" xr:uid="{6E279877-D783-47A5-BAD0-10F558005733}"/>
    <cellStyle name="40% - Accent3 4 4 5" xfId="17026" xr:uid="{C5355E88-3987-4765-B2B0-074039D3B52C}"/>
    <cellStyle name="40% - Accent3 4 4 5 2" xfId="11977" xr:uid="{169384D6-FB47-42A2-B2E0-440C41ABA8D7}"/>
    <cellStyle name="40% - Accent3 4 4 6" xfId="31223" xr:uid="{80E4A5E6-3FED-46AB-B4CF-92D11F12EB2F}"/>
    <cellStyle name="40% - Accent3 4 4 7" xfId="34985" xr:uid="{3F07B064-4113-4DD1-B5F9-4A1AEFE222EE}"/>
    <cellStyle name="40% - Accent3 4 5" xfId="11974" xr:uid="{AAA8D639-BDE0-4EBD-9478-A9B0097F6070}"/>
    <cellStyle name="40% - Accent3 4 5 2" xfId="11972" xr:uid="{F9F8863F-E227-47A2-88AD-5FE27B324D70}"/>
    <cellStyle name="40% - Accent3 4 5 2 2" xfId="11970" xr:uid="{2C395FF3-0D90-4B8E-A2DF-FB4FC4B7B8FB}"/>
    <cellStyle name="40% - Accent3 4 5 2 2 2" xfId="5834" xr:uid="{0451399A-2564-4805-B271-E1471CCDC2FA}"/>
    <cellStyle name="40% - Accent3 4 5 2 2 2 2" xfId="11964" xr:uid="{261918BA-AE80-4CFF-A83E-DCFC172DBEB5}"/>
    <cellStyle name="40% - Accent3 4 5 2 2 3" xfId="11962" xr:uid="{3E0CDA43-0410-4A59-97CD-66BA6A964819}"/>
    <cellStyle name="40% - Accent3 4 5 2 3" xfId="5832" xr:uid="{A182B389-D97F-40D0-8A75-09738F723A7F}"/>
    <cellStyle name="40% - Accent3 4 5 2 3 2" xfId="28205" xr:uid="{A20DB5CD-D61E-46A9-8B16-A398FCACAFAE}"/>
    <cellStyle name="40% - Accent3 4 5 2 4" xfId="23209" xr:uid="{00FC268A-E34B-4D4A-AF9F-1D34F92450A5}"/>
    <cellStyle name="40% - Accent3 4 5 3" xfId="12254" xr:uid="{A0FE9774-C8F4-4433-8C10-A7C39708599D}"/>
    <cellStyle name="40% - Accent3 4 5 3 2" xfId="5830" xr:uid="{7E9FCD17-E20B-4017-AB34-1C1C8C4B16C3}"/>
    <cellStyle name="40% - Accent3 4 5 3 2 2" xfId="12247" xr:uid="{37E002C9-7560-4F7F-BCFC-1942DF28BECB}"/>
    <cellStyle name="40% - Accent3 4 5 3 3" xfId="12242" xr:uid="{C625D9AA-F9C1-4C08-A461-7F1C1BEDC58E}"/>
    <cellStyle name="40% - Accent3 4 5 4" xfId="13657" xr:uid="{F94AFAF5-9254-430B-8933-C6305B81BA2F}"/>
    <cellStyle name="40% - Accent3 4 5 4 2" xfId="12235" xr:uid="{B4762D7D-AA5C-45EE-82CB-47516BE6C7AD}"/>
    <cellStyle name="40% - Accent3 4 5 5" xfId="23226" xr:uid="{9EE7C145-C7CD-4E63-AF28-C4D732041661}"/>
    <cellStyle name="40% - Accent3 4 5 6" xfId="35190" xr:uid="{A3F99144-0653-4160-B6D6-6548F4B10190}"/>
    <cellStyle name="40% - Accent3 4 6" xfId="11956" xr:uid="{65864229-9B1A-4216-AB58-5B90694BF0AA}"/>
    <cellStyle name="40% - Accent3 4 6 2" xfId="14066" xr:uid="{744FD383-A3C7-452C-A847-C124CD932390}"/>
    <cellStyle name="40% - Accent3 4 6 2 2" xfId="11955" xr:uid="{5513F03F-568A-49B6-BEE9-BC5A8CBE08A7}"/>
    <cellStyle name="40% - Accent3 4 6 2 2 2" xfId="10211" xr:uid="{8E9002B8-2A66-4A59-B0D9-2A6CAF2C7916}"/>
    <cellStyle name="40% - Accent3 4 6 2 3" xfId="11949" xr:uid="{AA5958B6-09EE-48DA-BA1D-84D10486DEBC}"/>
    <cellStyle name="40% - Accent3 4 6 3" xfId="14059" xr:uid="{E29C2362-11AD-43CF-B786-EBB48EFA4BEA}"/>
    <cellStyle name="40% - Accent3 4 6 3 2" xfId="12260" xr:uid="{436E97CE-7F98-4627-81AB-9E62048C97FE}"/>
    <cellStyle name="40% - Accent3 4 6 4" xfId="12285" xr:uid="{27721E84-D278-47BB-9EAA-13B01B2D28D2}"/>
    <cellStyle name="40% - Accent3 4 6 5" xfId="35419" xr:uid="{8B12E093-96DB-4341-80E0-9C1659B26AC8}"/>
    <cellStyle name="40% - Accent3 4 7" xfId="11944" xr:uid="{412E7A3E-9D5B-4A65-AC64-E1CC28217AE9}"/>
    <cellStyle name="40% - Accent3 4 7 2" xfId="24473" xr:uid="{1DE44D7E-69C5-46F8-AF97-1CF72CFB59B0}"/>
    <cellStyle name="40% - Accent3 4 7 2 2" xfId="11942" xr:uid="{BD149E36-86C8-4DA0-9C23-1D5B9BF301AD}"/>
    <cellStyle name="40% - Accent3 4 7 3" xfId="12276" xr:uid="{1FCA1FF0-9ABD-448B-839A-DB4FA79FD573}"/>
    <cellStyle name="40% - Accent3 4 7 4" xfId="36291" xr:uid="{DE7BB83E-CCBA-45F9-89F8-DF12A70AA994}"/>
    <cellStyle name="40% - Accent3 4 8" xfId="15619" xr:uid="{4720C620-7EE1-4700-904C-5FAB354772DA}"/>
    <cellStyle name="40% - Accent3 4 8 2" xfId="11939" xr:uid="{DB6F6CB0-6B8D-46DF-A5B9-A9B7888A3F06}"/>
    <cellStyle name="40% - Accent3 4 8 3" xfId="36577" xr:uid="{1C2EE65B-33DA-41CE-B932-8EB79976576D}"/>
    <cellStyle name="40% - Accent3 4 9" xfId="22005" xr:uid="{FF5404D3-8E33-4907-9FF1-3A4D6C73A29E}"/>
    <cellStyle name="40% - Accent3 4 9 2" xfId="37462" xr:uid="{A8FD5632-0926-4C96-ADB3-61D802F7A41A}"/>
    <cellStyle name="40% - Accent3 40" xfId="36097" xr:uid="{80D2EBAD-B417-473C-9394-E26F348E4480}"/>
    <cellStyle name="40% - Accent3 40 2" xfId="37266" xr:uid="{DB33DA38-89E7-4EB5-8483-6C08B3AA000E}"/>
    <cellStyle name="40% - Accent3 40 3" xfId="38164" xr:uid="{EE67B788-7E9C-47CB-912D-42EF00CB1EBD}"/>
    <cellStyle name="40% - Accent3 41" xfId="36117" xr:uid="{0A0CE476-80C0-4C25-B6FD-F4A27A373527}"/>
    <cellStyle name="40% - Accent3 41 2" xfId="37286" xr:uid="{D936D097-7B44-4B96-983F-6940F6A8410C}"/>
    <cellStyle name="40% - Accent3 41 3" xfId="38184" xr:uid="{57CAD983-ECED-467E-AC6A-C31BBCC94A9A}"/>
    <cellStyle name="40% - Accent3 42" xfId="36137" xr:uid="{3771E46E-A135-487B-A050-96AFDB61942A}"/>
    <cellStyle name="40% - Accent3 42 2" xfId="37306" xr:uid="{EAE381D2-A12D-4E68-86FD-B5F82088720C}"/>
    <cellStyle name="40% - Accent3 42 3" xfId="38204" xr:uid="{12953F56-6045-415D-85D0-17242A84216B}"/>
    <cellStyle name="40% - Accent3 43" xfId="36157" xr:uid="{B4A839CC-2BB2-4746-BE20-415CC516F340}"/>
    <cellStyle name="40% - Accent3 43 2" xfId="37326" xr:uid="{40AE90DF-BBFB-4442-8D3C-929C80CF11BD}"/>
    <cellStyle name="40% - Accent3 43 3" xfId="38224" xr:uid="{44A35D2A-2FD5-4A26-A346-C02CB5AD7F90}"/>
    <cellStyle name="40% - Accent3 44" xfId="36177" xr:uid="{DAED13A5-B915-4D86-B383-DA8AA1E0D5D0}"/>
    <cellStyle name="40% - Accent3 44 2" xfId="37346" xr:uid="{ECE4B5F1-8CD5-4D2E-B93F-5BACF52DCD53}"/>
    <cellStyle name="40% - Accent3 44 3" xfId="38244" xr:uid="{82C1E803-38CD-43BE-92C2-F9BF8DDB0B15}"/>
    <cellStyle name="40% - Accent3 45" xfId="36197" xr:uid="{27D5AF20-C8D8-4CE5-9DE8-FEDFB0501759}"/>
    <cellStyle name="40% - Accent3 45 2" xfId="37366" xr:uid="{2B7DF8F1-D988-4310-B48E-2ECF9D2017EE}"/>
    <cellStyle name="40% - Accent3 45 3" xfId="38264" xr:uid="{B4887A45-6239-4E86-849F-0B888DBF8150}"/>
    <cellStyle name="40% - Accent3 46" xfId="36217" xr:uid="{9609D963-1692-47BF-A1E2-7BEF8F15E24D}"/>
    <cellStyle name="40% - Accent3 46 2" xfId="37384" xr:uid="{457D366D-C776-44BF-9E9B-A2CB99B26296}"/>
    <cellStyle name="40% - Accent3 46 3" xfId="38284" xr:uid="{B08A103C-F6EA-4998-820B-119E8CB4BA2C}"/>
    <cellStyle name="40% - Accent3 47" xfId="36518" xr:uid="{E7731A28-4E6E-400E-A86F-8BB292745EEF}"/>
    <cellStyle name="40% - Accent3 48" xfId="37403" xr:uid="{E3D23D2C-7D50-4953-8BE3-6AF288D9FF99}"/>
    <cellStyle name="40% - Accent3 5" xfId="266" xr:uid="{CFE86581-7006-4148-BC7F-B32597E26788}"/>
    <cellStyle name="40% - Accent3 5 10" xfId="13766" xr:uid="{8AFA3354-B000-4E41-93AE-4C5E8A72FD82}"/>
    <cellStyle name="40% - Accent3 5 2" xfId="33753" xr:uid="{F6C75495-FFFB-48AB-AD55-1C4057591C62}"/>
    <cellStyle name="40% - Accent3 5 2 2" xfId="11938" xr:uid="{63700EE0-DAF6-4DF7-93DA-102EEC7B8A9D}"/>
    <cellStyle name="40% - Accent3 5 2 2 2" xfId="27284" xr:uid="{2C4E84EB-F0E3-4259-B133-32EB8A064B00}"/>
    <cellStyle name="40% - Accent3 5 2 2 2 2" xfId="27282" xr:uid="{77947B7C-5B59-4B0B-8C6D-9E99DE02BC22}"/>
    <cellStyle name="40% - Accent3 5 2 2 2 2 2" xfId="11936" xr:uid="{AE9E259F-DB3A-4269-97C1-6026A8C2967B}"/>
    <cellStyle name="40% - Accent3 5 2 2 2 2 2 2" xfId="11935" xr:uid="{3763EC92-3809-46D6-B661-932AB15B2BD5}"/>
    <cellStyle name="40% - Accent3 5 2 2 2 2 2 2 2" xfId="11934" xr:uid="{726EA4DD-9C3C-49F1-B70E-CB84E47C7151}"/>
    <cellStyle name="40% - Accent3 5 2 2 2 2 2 3" xfId="11933" xr:uid="{DB6B86BC-5858-408E-9719-006FDF2C5FB1}"/>
    <cellStyle name="40% - Accent3 5 2 2 2 2 3" xfId="31255" xr:uid="{12555BCD-467D-438D-9865-5CDCF30298D7}"/>
    <cellStyle name="40% - Accent3 5 2 2 2 2 3 2" xfId="11932" xr:uid="{CAB69874-EFDF-439D-B55E-C7DAD7FC01B3}"/>
    <cellStyle name="40% - Accent3 5 2 2 2 2 4" xfId="5597" xr:uid="{55D9838B-DA38-48E6-8AA9-3972DAEA2AA8}"/>
    <cellStyle name="40% - Accent3 5 2 2 2 3" xfId="11931" xr:uid="{8D31CDD8-7964-478A-862C-109C14DA69C4}"/>
    <cellStyle name="40% - Accent3 5 2 2 2 3 2" xfId="11928" xr:uid="{4302269C-D313-40BF-9A39-47D6AA076983}"/>
    <cellStyle name="40% - Accent3 5 2 2 2 3 2 2" xfId="22282" xr:uid="{35429B8F-B5C0-4218-9580-CE17DA5B16CE}"/>
    <cellStyle name="40% - Accent3 5 2 2 2 3 3" xfId="29932" xr:uid="{BCE5F554-46A0-43AF-A329-199156EA7C28}"/>
    <cellStyle name="40% - Accent3 5 2 2 2 4" xfId="11927" xr:uid="{ABE29491-D483-40BC-B93A-EA58A4396C70}"/>
    <cellStyle name="40% - Accent3 5 2 2 2 4 2" xfId="11925" xr:uid="{83823F88-7355-403C-BE65-D004CFD302A6}"/>
    <cellStyle name="40% - Accent3 5 2 2 2 5" xfId="34336" xr:uid="{C8CE06EF-20DD-4F2C-8886-D751BCDE8894}"/>
    <cellStyle name="40% - Accent3 5 2 2 3" xfId="27280" xr:uid="{56247EC9-66E1-4766-8AF1-DA6FDD3D94E6}"/>
    <cellStyle name="40% - Accent3 5 2 2 3 2" xfId="11924" xr:uid="{E4829BE6-0969-431A-A41A-21D034136335}"/>
    <cellStyle name="40% - Accent3 5 2 2 3 2 2" xfId="11921" xr:uid="{8A331E02-9715-43C3-9F1D-793735478C40}"/>
    <cellStyle name="40% - Accent3 5 2 2 3 2 2 2" xfId="11919" xr:uid="{A89C3369-4AE7-40D5-BAFD-0405B76E938D}"/>
    <cellStyle name="40% - Accent3 5 2 2 3 2 3" xfId="18892" xr:uid="{6BB44928-8550-4DCD-8C99-550A62A45393}"/>
    <cellStyle name="40% - Accent3 5 2 2 3 3" xfId="11918" xr:uid="{E90DF954-8981-4D9D-9E7E-2885BA4500AA}"/>
    <cellStyle name="40% - Accent3 5 2 2 3 3 2" xfId="11915" xr:uid="{53505C9A-A1F4-4F63-B341-B8D9E89222CF}"/>
    <cellStyle name="40% - Accent3 5 2 2 3 4" xfId="11914" xr:uid="{C997E6D1-810C-40E5-AFF4-E2E9CCC428B9}"/>
    <cellStyle name="40% - Accent3 5 2 2 4" xfId="11913" xr:uid="{AF2F5C20-B18A-487C-ADC8-7C9911394E30}"/>
    <cellStyle name="40% - Accent3 5 2 2 4 2" xfId="11912" xr:uid="{3EEC92F6-12FE-401B-A003-90B71EBA745A}"/>
    <cellStyle name="40% - Accent3 5 2 2 4 2 2" xfId="11909" xr:uid="{E0A28B53-4CF2-4AEA-AD3F-DCBBB7860667}"/>
    <cellStyle name="40% - Accent3 5 2 2 4 3" xfId="12090" xr:uid="{DC980C01-9D0E-4AF1-A96F-75623F1ED6D6}"/>
    <cellStyle name="40% - Accent3 5 2 2 5" xfId="13389" xr:uid="{AA9AD084-2C89-4442-8485-7BDF89968C97}"/>
    <cellStyle name="40% - Accent3 5 2 2 5 2" xfId="11908" xr:uid="{DC554799-3FE7-4436-9458-45969730B291}"/>
    <cellStyle name="40% - Accent3 5 2 2 6" xfId="27703" xr:uid="{061AA54F-703B-4FA8-ADC5-BC415AD32F34}"/>
    <cellStyle name="40% - Accent3 5 2 3" xfId="31960" xr:uid="{2A1E2165-AD3B-4800-B0CD-37269550E914}"/>
    <cellStyle name="40% - Accent3 5 2 3 2" xfId="20987" xr:uid="{3DD7EE7F-5275-4DAE-8AE8-F5745992E100}"/>
    <cellStyle name="40% - Accent3 5 2 3 2 2" xfId="11907" xr:uid="{CD1B7966-EFDA-482C-9BFC-14EAB2D5E41F}"/>
    <cellStyle name="40% - Accent3 5 2 3 2 2 2" xfId="11904" xr:uid="{0B5A039C-933D-4E7E-9576-A4E0FD485FE4}"/>
    <cellStyle name="40% - Accent3 5 2 3 2 2 2 2" xfId="11901" xr:uid="{4D5D17D1-6512-405F-822E-24CF304492F1}"/>
    <cellStyle name="40% - Accent3 5 2 3 2 2 3" xfId="28845" xr:uid="{19752C5A-74EC-497D-A257-717D8EB6F256}"/>
    <cellStyle name="40% - Accent3 5 2 3 2 3" xfId="11900" xr:uid="{668BA80E-A780-4186-A5C5-978F4B86CD3B}"/>
    <cellStyle name="40% - Accent3 5 2 3 2 3 2" xfId="11897" xr:uid="{820B4A86-1A40-4AD3-A4DA-D3183600F073}"/>
    <cellStyle name="40% - Accent3 5 2 3 2 4" xfId="11894" xr:uid="{A0A04DB9-4EE9-4B0B-B8A6-3882DC32B190}"/>
    <cellStyle name="40% - Accent3 5 2 3 3" xfId="31950" xr:uid="{2227061B-0F8F-48E4-A23C-C6ADAACEF101}"/>
    <cellStyle name="40% - Accent3 5 2 3 3 2" xfId="11892" xr:uid="{F59EFF41-3FFA-4401-8E9A-A129F5E76B28}"/>
    <cellStyle name="40% - Accent3 5 2 3 3 2 2" xfId="11888" xr:uid="{F4C8467E-9C6F-49B5-A7EE-CF7674A6F35C}"/>
    <cellStyle name="40% - Accent3 5 2 3 3 3" xfId="11885" xr:uid="{3203260A-4CF9-40DE-8FDB-57E37EE9E882}"/>
    <cellStyle name="40% - Accent3 5 2 3 4" xfId="28500" xr:uid="{A9BE874B-DCA2-4B3A-B989-3629E1D4EC28}"/>
    <cellStyle name="40% - Accent3 5 2 3 4 2" xfId="11883" xr:uid="{3B70B867-8DBF-4A0E-8200-722E4EBDF2FE}"/>
    <cellStyle name="40% - Accent3 5 2 3 5" xfId="28495" xr:uid="{16E95588-395B-48CB-94CB-4B8E1D87D53A}"/>
    <cellStyle name="40% - Accent3 5 2 4" xfId="31934" xr:uid="{EDBDDEEC-3ED6-4AA9-8317-35B986388D8C}"/>
    <cellStyle name="40% - Accent3 5 2 4 2" xfId="31922" xr:uid="{D02C1174-590F-4685-96AA-D3973A39670B}"/>
    <cellStyle name="40% - Accent3 5 2 4 2 2" xfId="11881" xr:uid="{18D6EB87-1EC3-4539-A04B-C39C1348F67F}"/>
    <cellStyle name="40% - Accent3 5 2 4 2 2 2" xfId="11877" xr:uid="{6A789077-4F78-4E02-8226-04B9A44D5B25}"/>
    <cellStyle name="40% - Accent3 5 2 4 2 3" xfId="11874" xr:uid="{FA65E47E-C214-47B8-884C-974FE75CFA2A}"/>
    <cellStyle name="40% - Accent3 5 2 4 3" xfId="31771" xr:uid="{13D1B1E4-4CEE-4640-9CEA-4DC1DDEE4BA6}"/>
    <cellStyle name="40% - Accent3 5 2 4 3 2" xfId="11871" xr:uid="{8A75BE8B-B279-4706-A50D-4D3437E27E20}"/>
    <cellStyle name="40% - Accent3 5 2 4 4" xfId="28486" xr:uid="{B6F44D87-3096-466F-AB87-E7FCAA8B4831}"/>
    <cellStyle name="40% - Accent3 5 2 5" xfId="34301" xr:uid="{CEE52045-C03A-4C52-AFEE-68D3178DADFC}"/>
    <cellStyle name="40% - Accent3 5 2 5 2" xfId="31763" xr:uid="{919534E0-0331-427F-B224-020C30150BD0}"/>
    <cellStyle name="40% - Accent3 5 2 5 2 2" xfId="11868" xr:uid="{4898E158-BAE0-4195-AB81-EBEDF42AB059}"/>
    <cellStyle name="40% - Accent3 5 2 5 3" xfId="11864" xr:uid="{6D1C2778-3B19-4C5B-9FC7-CC627FC26821}"/>
    <cellStyle name="40% - Accent3 5 2 6" xfId="22857" xr:uid="{FFA98B46-811B-439D-B6AD-1B0F91CE2D6A}"/>
    <cellStyle name="40% - Accent3 5 2 6 2" xfId="11862" xr:uid="{F65759C1-ACE7-46CE-B92B-E60C71573F74}"/>
    <cellStyle name="40% - Accent3 5 2 7" xfId="19838" xr:uid="{5C68AAF0-561C-42EE-B4D1-9D99D87D8A90}"/>
    <cellStyle name="40% - Accent3 5 2 8" xfId="34802" xr:uid="{6839DA1D-BF5F-451E-ABAA-1C2CA1FF62D9}"/>
    <cellStyle name="40% - Accent3 5 3" xfId="31682" xr:uid="{3800149C-3E5C-4438-A692-4CAA650B3ECD}"/>
    <cellStyle name="40% - Accent3 5 3 2" xfId="11858" xr:uid="{64A0B1B5-A985-48D9-A947-34665F38D71E}"/>
    <cellStyle name="40% - Accent3 5 3 2 2" xfId="26969" xr:uid="{B6A57FA0-E560-4271-9CB1-1B7AACF2680E}"/>
    <cellStyle name="40% - Accent3 5 3 2 2 2" xfId="11856" xr:uid="{686FDBF3-388E-4BE3-902D-F77962057B04}"/>
    <cellStyle name="40% - Accent3 5 3 2 2 2 2" xfId="11854" xr:uid="{121EC898-58B5-45D7-9DAA-45555333C55D}"/>
    <cellStyle name="40% - Accent3 5 3 2 2 2 2 2" xfId="11853" xr:uid="{23F78BB2-DD41-4224-B7F3-2D4E438B2DD1}"/>
    <cellStyle name="40% - Accent3 5 3 2 2 2 3" xfId="28995" xr:uid="{C71FECCD-5AF6-4117-8505-1912C4671590}"/>
    <cellStyle name="40% - Accent3 5 3 2 2 3" xfId="11852" xr:uid="{34FC5CDD-E017-462C-A255-388669B94452}"/>
    <cellStyle name="40% - Accent3 5 3 2 2 3 2" xfId="11849" xr:uid="{D936AF1C-86B3-482B-A7B6-75F87BC11753}"/>
    <cellStyle name="40% - Accent3 5 3 2 2 4" xfId="11848" xr:uid="{51698EE3-A370-41A9-B948-76F11726FBCA}"/>
    <cellStyle name="40% - Accent3 5 3 2 3" xfId="33598" xr:uid="{20094858-9DC1-4D89-A9BC-903BEC023891}"/>
    <cellStyle name="40% - Accent3 5 3 2 3 2" xfId="15361" xr:uid="{CF03FF02-39F4-4FB9-B150-3B31188DFD7F}"/>
    <cellStyle name="40% - Accent3 5 3 2 3 2 2" xfId="30931" xr:uid="{1CABF161-569C-41E1-96B9-D02D922F35DC}"/>
    <cellStyle name="40% - Accent3 5 3 2 3 3" xfId="34058" xr:uid="{FD99BCAF-CA1F-49F6-8ED3-CD3B8CF2833F}"/>
    <cellStyle name="40% - Accent3 5 3 2 4" xfId="11846" xr:uid="{65FC2A4D-778D-4775-ADEC-D6F23FED4C5B}"/>
    <cellStyle name="40% - Accent3 5 3 2 4 2" xfId="26976" xr:uid="{98988468-7AC8-41BD-851E-34FC30B304A3}"/>
    <cellStyle name="40% - Accent3 5 3 2 5" xfId="13378" xr:uid="{352C5D62-B84F-44DD-9AAF-8DA33EAED977}"/>
    <cellStyle name="40% - Accent3 5 3 3" xfId="31890" xr:uid="{4B29691B-78BE-4AF7-A82C-0C7274FC780E}"/>
    <cellStyle name="40% - Accent3 5 3 3 2" xfId="31886" xr:uid="{95A58D04-20FC-4B0B-BC19-6476414A1039}"/>
    <cellStyle name="40% - Accent3 5 3 3 2 2" xfId="11845" xr:uid="{4A6D00BB-A318-43BB-A8C6-4E04A8B29CCD}"/>
    <cellStyle name="40% - Accent3 5 3 3 2 2 2" xfId="11841" xr:uid="{D4719E93-1B04-4F9D-815E-190CDBC7DBBD}"/>
    <cellStyle name="40% - Accent3 5 3 3 2 3" xfId="11838" xr:uid="{9AC8B484-A807-4CCA-8B27-4B1E795341DA}"/>
    <cellStyle name="40% - Accent3 5 3 3 3" xfId="31745" xr:uid="{12D30661-D66D-419F-B77C-51456BAD63AE}"/>
    <cellStyle name="40% - Accent3 5 3 3 3 2" xfId="26766" xr:uid="{B1CB78DA-B2E8-4E26-B68D-DA894D31C06A}"/>
    <cellStyle name="40% - Accent3 5 3 3 4" xfId="28475" xr:uid="{BEB7F3BB-52A8-4E6B-817F-2B042CAB3147}"/>
    <cellStyle name="40% - Accent3 5 3 4" xfId="31878" xr:uid="{84030567-8E24-4A6E-965B-1AB7B5E81429}"/>
    <cellStyle name="40% - Accent3 5 3 4 2" xfId="31740" xr:uid="{6408162B-3B8B-417A-A3D2-5193B0B45FC2}"/>
    <cellStyle name="40% - Accent3 5 3 4 2 2" xfId="11834" xr:uid="{56F22AED-6366-48C7-A22C-EBA7C4E080EA}"/>
    <cellStyle name="40% - Accent3 5 3 4 3" xfId="11830" xr:uid="{D30FA9BB-E14F-4162-AA04-D12E60434C6F}"/>
    <cellStyle name="40% - Accent3 5 3 5" xfId="31736" xr:uid="{BC946373-2B17-4062-8D3D-BA0E5CA92051}"/>
    <cellStyle name="40% - Accent3 5 3 5 2" xfId="11829" xr:uid="{BFBBA30E-7880-4E44-A5DB-0D05FBACF404}"/>
    <cellStyle name="40% - Accent3 5 3 6" xfId="22855" xr:uid="{899418A0-996E-4E93-8E89-35E13863B48E}"/>
    <cellStyle name="40% - Accent3 5 3 7" xfId="35004" xr:uid="{F403FBBA-F00B-4557-853F-588F3F559AD0}"/>
    <cellStyle name="40% - Accent3 5 4" xfId="11825" xr:uid="{C313AF8B-0393-4B21-8B60-67CFC4FBA70A}"/>
    <cellStyle name="40% - Accent3 5 4 2" xfId="11824" xr:uid="{FEA905EA-B7B6-4CA4-AECE-35B40FE2C252}"/>
    <cellStyle name="40% - Accent3 5 4 2 2" xfId="11823" xr:uid="{F30DCE72-094F-402C-B945-4FA7FEE11298}"/>
    <cellStyle name="40% - Accent3 5 4 2 2 2" xfId="11821" xr:uid="{14D0337E-CDBD-432F-B2A6-BCAA1D96A884}"/>
    <cellStyle name="40% - Accent3 5 4 2 2 2 2" xfId="27947" xr:uid="{A1663C6E-5D6C-4C07-A158-9A5217149B53}"/>
    <cellStyle name="40% - Accent3 5 4 2 2 3" xfId="11817" xr:uid="{0DE9350E-C700-4A42-819F-C3833FF040C4}"/>
    <cellStyle name="40% - Accent3 5 4 2 3" xfId="11813" xr:uid="{6867ECAD-77DD-4BDF-8860-EF2100A1EAB1}"/>
    <cellStyle name="40% - Accent3 5 4 2 3 2" xfId="33103" xr:uid="{3B666626-44F4-4149-8752-1F98C881AFCD}"/>
    <cellStyle name="40% - Accent3 5 4 2 4" xfId="11810" xr:uid="{3473F4A5-23B6-4E58-904E-DE533236FFCA}"/>
    <cellStyle name="40% - Accent3 5 4 3" xfId="34399" xr:uid="{38BC6C81-CA95-40F7-B221-91D8ED544790}"/>
    <cellStyle name="40% - Accent3 5 4 3 2" xfId="32769" xr:uid="{310F8E0D-646C-41BD-A232-BFB9D1540CE9}"/>
    <cellStyle name="40% - Accent3 5 4 3 2 2" xfId="11807" xr:uid="{2A218487-A006-4089-A86D-6473344CB307}"/>
    <cellStyle name="40% - Accent3 5 4 3 3" xfId="11801" xr:uid="{8D5794DB-BE27-45D2-AADD-08460BCFDAD2}"/>
    <cellStyle name="40% - Accent3 5 4 4" xfId="31730" xr:uid="{74C281A7-3767-4E4D-999E-3C40F122B53F}"/>
    <cellStyle name="40% - Accent3 5 4 4 2" xfId="11795" xr:uid="{EDA45FF4-FC7C-493F-9121-D19FF3083352}"/>
    <cellStyle name="40% - Accent3 5 4 5" xfId="11788" xr:uid="{49B6FCD6-8299-4358-809D-63E684973A48}"/>
    <cellStyle name="40% - Accent3 5 4 6" xfId="35210" xr:uid="{531A7B60-4034-499F-A86B-E122C7C47E83}"/>
    <cellStyle name="40% - Accent3 5 5" xfId="20502" xr:uid="{8C9E8438-B37A-4A6D-9D43-8F60CEF59C48}"/>
    <cellStyle name="40% - Accent3 5 5 2" xfId="11787" xr:uid="{6DFEA31E-8DC9-48E7-A8CF-BED755CE3FC4}"/>
    <cellStyle name="40% - Accent3 5 5 2 2" xfId="11785" xr:uid="{76599621-7D26-43B8-8A18-E8FD47343F63}"/>
    <cellStyle name="40% - Accent3 5 5 2 2 2" xfId="29137" xr:uid="{9ED87940-1788-4DCA-9A29-9F910DCF1DF8}"/>
    <cellStyle name="40% - Accent3 5 5 2 3" xfId="11783" xr:uid="{A511D39E-6B0B-49D4-B812-20343A27C73C}"/>
    <cellStyle name="40% - Accent3 5 5 3" xfId="33886" xr:uid="{A864599A-B958-41E0-B0A0-75D69CBAA227}"/>
    <cellStyle name="40% - Accent3 5 5 3 2" xfId="12229" xr:uid="{3CD7FB20-8238-483A-96AB-7CC22FFE2208}"/>
    <cellStyle name="40% - Accent3 5 5 4" xfId="12225" xr:uid="{9EA7C898-CA45-4993-B4A6-45AA16F2D82C}"/>
    <cellStyle name="40% - Accent3 5 5 5" xfId="35439" xr:uid="{B81C0B37-AD0D-4DBB-96E6-10413610E7DD}"/>
    <cellStyle name="40% - Accent3 5 6" xfId="18993" xr:uid="{830A8F04-DFA4-4057-A8FD-8614504A5C35}"/>
    <cellStyle name="40% - Accent3 5 6 2" xfId="14045" xr:uid="{EAE21DBC-FF9C-4E57-A795-E6B628368037}"/>
    <cellStyle name="40% - Accent3 5 6 2 2" xfId="11780" xr:uid="{C70F952A-C8E8-4099-8FDD-F7F2B950BAE0}"/>
    <cellStyle name="40% - Accent3 5 6 3" xfId="16083" xr:uid="{2FD80BF2-42EF-4B54-985C-C307D8A764A5}"/>
    <cellStyle name="40% - Accent3 5 6 4" xfId="36311" xr:uid="{A5CFB892-0FE3-4511-8730-C7CEB1AF4634}"/>
    <cellStyle name="40% - Accent3 5 7" xfId="11777" xr:uid="{7E873616-C8A9-4C08-9281-1547A3EB51BF}"/>
    <cellStyle name="40% - Accent3 5 7 2" xfId="11775" xr:uid="{DEF754C4-D1CD-454D-B955-BAD09462ED7F}"/>
    <cellStyle name="40% - Accent3 5 7 3" xfId="36597" xr:uid="{E9B6D315-618A-46A8-AAE7-03DF80124C4D}"/>
    <cellStyle name="40% - Accent3 5 8" xfId="27709" xr:uid="{58304F3B-432B-47F4-94FB-B35E6EF81A3D}"/>
    <cellStyle name="40% - Accent3 5 8 2" xfId="37482" xr:uid="{5048FB48-88C3-4A71-9128-AC2ABC34F3B9}"/>
    <cellStyle name="40% - Accent3 5 9" xfId="34581" xr:uid="{EBFA8831-CA8F-411B-A9D7-D0335EFE0DF5}"/>
    <cellStyle name="40% - Accent3 6" xfId="286" xr:uid="{4EF35E59-D7CB-4619-B7E0-10870DCBF2F0}"/>
    <cellStyle name="40% - Accent3 6 2" xfId="11774" xr:uid="{3FE4D45E-5471-49CB-81CF-434B7F7B01A6}"/>
    <cellStyle name="40% - Accent3 6 2 2" xfId="11773" xr:uid="{DC7E450D-FFEC-4247-8692-CA8BF1F33DFD}"/>
    <cellStyle name="40% - Accent3 6 2 2 2" xfId="22892" xr:uid="{B3EFF1F9-19DE-4279-AA2D-C176AEEB4B8B}"/>
    <cellStyle name="40% - Accent3 6 2 2 2 2" xfId="11771" xr:uid="{1ED28774-C0F3-4FDF-AED9-15F299764140}"/>
    <cellStyle name="40% - Accent3 6 2 2 2 2 2" xfId="11765" xr:uid="{91D63FB0-4058-4BF3-B527-E6963ECDFE14}"/>
    <cellStyle name="40% - Accent3 6 2 2 2 2 2 2" xfId="20975" xr:uid="{2D7D68E7-686B-4137-9FBD-6CAFB1D6178F}"/>
    <cellStyle name="40% - Accent3 6 2 2 2 2 3" xfId="23870" xr:uid="{39F1DCEF-24E0-4844-A73E-DA39FC45455D}"/>
    <cellStyle name="40% - Accent3 6 2 2 2 3" xfId="11762" xr:uid="{81950DAE-43D1-4952-91CF-48732875A3A0}"/>
    <cellStyle name="40% - Accent3 6 2 2 2 3 2" xfId="11758" xr:uid="{42F9DE41-621A-42F4-89CD-9CB4AB792B1D}"/>
    <cellStyle name="40% - Accent3 6 2 2 2 4" xfId="11757" xr:uid="{FF21573F-E840-4A60-A52A-41AE830663F9}"/>
    <cellStyle name="40% - Accent3 6 2 2 3" xfId="11756" xr:uid="{3FCD80D3-0465-4D68-B387-A7099FB4D494}"/>
    <cellStyle name="40% - Accent3 6 2 2 3 2" xfId="13494" xr:uid="{3AB3F1EC-D7BD-4EE6-B4E9-D77E616A8D14}"/>
    <cellStyle name="40% - Accent3 6 2 2 3 2 2" xfId="11752" xr:uid="{E6B1A0F4-7A6E-414C-99E5-7AF30D3516A7}"/>
    <cellStyle name="40% - Accent3 6 2 2 3 3" xfId="13481" xr:uid="{29A2C1CC-4338-4CB9-A4F9-7468F9875789}"/>
    <cellStyle name="40% - Accent3 6 2 2 4" xfId="11751" xr:uid="{BDBD87B7-17E4-46C1-8206-F7AE0F9F494B}"/>
    <cellStyle name="40% - Accent3 6 2 2 4 2" xfId="13460" xr:uid="{74F5029E-BC38-402E-9923-FA6B530486F8}"/>
    <cellStyle name="40% - Accent3 6 2 2 5" xfId="16755" xr:uid="{99BEFCCE-26D6-402E-A32B-1C2173771ADF}"/>
    <cellStyle name="40% - Accent3 6 2 3" xfId="31724" xr:uid="{B36B8AF0-F11E-4350-BFC2-4560D6734F87}"/>
    <cellStyle name="40% - Accent3 6 2 3 2" xfId="33882" xr:uid="{9E71FCA4-22E7-42FC-BDD7-AE1F5F6EE228}"/>
    <cellStyle name="40% - Accent3 6 2 3 2 2" xfId="11750" xr:uid="{0BFE50AB-1D1C-420E-89F6-4B186F4B9163}"/>
    <cellStyle name="40% - Accent3 6 2 3 2 2 2" xfId="11746" xr:uid="{3E2088A4-CBAE-4456-82A8-988AAA9F6588}"/>
    <cellStyle name="40% - Accent3 6 2 3 2 3" xfId="11745" xr:uid="{178C8720-39C4-4B93-BCE6-2D3B7C7DDD08}"/>
    <cellStyle name="40% - Accent3 6 2 3 3" xfId="32926" xr:uid="{0D7621BD-A514-42C7-BCD1-B34D03DE6854}"/>
    <cellStyle name="40% - Accent3 6 2 3 3 2" xfId="25472" xr:uid="{99077674-BF64-4A52-9190-CF5048A1CE6C}"/>
    <cellStyle name="40% - Accent3 6 2 3 4" xfId="28469" xr:uid="{94D3FA06-41D3-4DB5-B801-FE08BF9447A1}"/>
    <cellStyle name="40% - Accent3 6 2 4" xfId="30146" xr:uid="{4FC9D80F-6857-4986-B55B-852E508ABC1C}"/>
    <cellStyle name="40% - Accent3 6 2 4 2" xfId="32889" xr:uid="{B38D41BA-975F-4ECF-9693-665CF61A45B2}"/>
    <cellStyle name="40% - Accent3 6 2 4 2 2" xfId="11744" xr:uid="{5A1E882B-08D4-4007-9778-D093A6379138}"/>
    <cellStyle name="40% - Accent3 6 2 4 3" xfId="11741" xr:uid="{0256A8AE-F9E3-4CBD-B18E-539D5F51E574}"/>
    <cellStyle name="40% - Accent3 6 2 5" xfId="29330" xr:uid="{4FB08470-2787-4949-A30F-11F3C7ECF300}"/>
    <cellStyle name="40% - Accent3 6 2 5 2" xfId="11740" xr:uid="{34CD311D-A8B4-41B3-B3C4-E3F0AF6AF5BD}"/>
    <cellStyle name="40% - Accent3 6 2 6" xfId="22838" xr:uid="{5917E590-1D77-4D5D-85E4-F73B4F6CB05B}"/>
    <cellStyle name="40% - Accent3 6 2 7" xfId="34821" xr:uid="{42B108D6-675C-4A27-959D-A0A424FF8157}"/>
    <cellStyle name="40% - Accent3 6 3" xfId="21713" xr:uid="{38795013-6C24-4609-B4EE-BEEB65F95234}"/>
    <cellStyle name="40% - Accent3 6 3 2" xfId="11735" xr:uid="{C6ED0E9B-62F6-4EFB-99AE-574F621A05BE}"/>
    <cellStyle name="40% - Accent3 6 3 2 2" xfId="11733" xr:uid="{009DF285-8582-465B-A701-BE4368CC68D0}"/>
    <cellStyle name="40% - Accent3 6 3 2 2 2" xfId="11731" xr:uid="{B4096DFD-94EA-4816-9AE7-98975676F57B}"/>
    <cellStyle name="40% - Accent3 6 3 2 2 2 2" xfId="11727" xr:uid="{86D8E249-F501-4FA0-B286-6AD7BD630CC7}"/>
    <cellStyle name="40% - Accent3 6 3 2 2 3" xfId="11726" xr:uid="{290CCDFE-7D18-44A7-B852-345C6EB060FE}"/>
    <cellStyle name="40% - Accent3 6 3 2 3" xfId="11724" xr:uid="{A1EA590F-25D1-43FC-8FAB-0394EA8821E6}"/>
    <cellStyle name="40% - Accent3 6 3 2 3 2" xfId="33572" xr:uid="{9F7D5F9A-B685-435E-BE54-905040982196}"/>
    <cellStyle name="40% - Accent3 6 3 2 4" xfId="11723" xr:uid="{F9967AC6-DAAF-46FD-936D-C624132C7620}"/>
    <cellStyle name="40% - Accent3 6 3 3" xfId="26433" xr:uid="{0F1FBC6D-8F7A-4834-85F0-4EAAD476BD12}"/>
    <cellStyle name="40% - Accent3 6 3 3 2" xfId="32499" xr:uid="{8DF30CEF-EB7B-4BB6-A47A-33A5DC689BC2}"/>
    <cellStyle name="40% - Accent3 6 3 3 2 2" xfId="25517" xr:uid="{8356A944-E326-4C79-95E0-C68A7BE62EC6}"/>
    <cellStyle name="40% - Accent3 6 3 3 3" xfId="11722" xr:uid="{1ADFBF1F-C4DF-4C72-9A47-C69FADA0C393}"/>
    <cellStyle name="40% - Accent3 6 3 4" xfId="24697" xr:uid="{05C96739-0823-419E-8E90-56811248CC3E}"/>
    <cellStyle name="40% - Accent3 6 3 4 2" xfId="11721" xr:uid="{ACB3345F-3AA2-44B4-B53A-D66ADDA9EEBE}"/>
    <cellStyle name="40% - Accent3 6 3 5" xfId="11720" xr:uid="{2A89EEC6-81CD-490C-8E02-4DCB842EF558}"/>
    <cellStyle name="40% - Accent3 6 3 6" xfId="35023" xr:uid="{B358DF63-7B51-4B86-A004-D155166AAB51}"/>
    <cellStyle name="40% - Accent3 6 4" xfId="27759" xr:uid="{8FA7A264-1308-445D-95CF-9B3B4554B751}"/>
    <cellStyle name="40% - Accent3 6 4 2" xfId="11717" xr:uid="{1694E282-6676-4509-994C-FCD620BDC5C0}"/>
    <cellStyle name="40% - Accent3 6 4 2 2" xfId="11715" xr:uid="{2D8D868C-C5F4-4D6F-8363-90A8D58071CC}"/>
    <cellStyle name="40% - Accent3 6 4 2 2 2" xfId="11713" xr:uid="{C6237CCB-A68C-446B-8B11-5D6B3292511F}"/>
    <cellStyle name="40% - Accent3 6 4 2 3" xfId="30809" xr:uid="{698BA8D3-3629-4E3E-B740-1B1C993AA395}"/>
    <cellStyle name="40% - Accent3 6 4 3" xfId="24663" xr:uid="{1A813A6F-7006-4E1D-B776-42B82BADC458}"/>
    <cellStyle name="40% - Accent3 6 4 3 2" xfId="11710" xr:uid="{CF3E337A-F6FF-4833-834B-0F41C73678F2}"/>
    <cellStyle name="40% - Accent3 6 4 4" xfId="11707" xr:uid="{7085ED2A-7C01-4274-AF46-4E2C67DB795B}"/>
    <cellStyle name="40% - Accent3 6 4 5" xfId="35229" xr:uid="{0184F0D9-2814-40FF-A2B8-BD8EF1591475}"/>
    <cellStyle name="40% - Accent3 6 5" xfId="18987" xr:uid="{2315809E-ABFF-4FF8-9615-FD67FC43BEB9}"/>
    <cellStyle name="40% - Accent3 6 5 2" xfId="11705" xr:uid="{F63E1CCB-47D5-459D-9B8A-346CA01A667F}"/>
    <cellStyle name="40% - Accent3 6 5 2 2" xfId="11703" xr:uid="{D8BBA15B-3A63-49AE-BFD8-78B93143C5B4}"/>
    <cellStyle name="40% - Accent3 6 5 3" xfId="12223" xr:uid="{2A209F76-A6F8-4208-B492-B7EE2542E584}"/>
    <cellStyle name="40% - Accent3 6 5 4" xfId="35458" xr:uid="{84B836D4-D57A-44D5-A18D-7C6F4B2A5897}"/>
    <cellStyle name="40% - Accent3 6 6" xfId="21704" xr:uid="{F11D67C5-1F1F-40DC-8232-E7D4A326EF22}"/>
    <cellStyle name="40% - Accent3 6 6 2" xfId="24642" xr:uid="{354EADE6-76B9-4F90-B2F9-887FCD240E72}"/>
    <cellStyle name="40% - Accent3 6 6 3" xfId="36330" xr:uid="{A65E0B00-BF31-4A7D-AC89-57C4FE0F0450}"/>
    <cellStyle name="40% - Accent3 6 7" xfId="11701" xr:uid="{F869867A-5EB5-4B28-A719-644E6216406C}"/>
    <cellStyle name="40% - Accent3 6 7 2" xfId="36616" xr:uid="{2A9DB70E-A327-44F2-B79D-EE33E9DC9FA0}"/>
    <cellStyle name="40% - Accent3 6 8" xfId="34595" xr:uid="{4EC27130-8764-4E26-9FCF-4286C40E49FA}"/>
    <cellStyle name="40% - Accent3 6 9" xfId="17243" xr:uid="{00C01949-7505-4BCC-AD3A-D93147BF2BE3}"/>
    <cellStyle name="40% - Accent3 7" xfId="306" xr:uid="{F94A2746-1A1B-43F2-8775-69820B53CAC8}"/>
    <cellStyle name="40% - Accent3 7 2" xfId="29011" xr:uid="{C6B30BB3-3F30-440E-A68B-2919A13769A5}"/>
    <cellStyle name="40% - Accent3 7 2 2" xfId="11699" xr:uid="{CC1C44EA-77B0-4254-AFB1-EBBD64C49BE5}"/>
    <cellStyle name="40% - Accent3 7 2 2 2" xfId="11698" xr:uid="{B773CF5A-A378-447C-A632-1D4EDC482AF8}"/>
    <cellStyle name="40% - Accent3 7 2 2 2 2" xfId="20262" xr:uid="{F679FE5C-E7BA-4238-BAEF-844469429044}"/>
    <cellStyle name="40% - Accent3 7 2 2 2 2 2" xfId="11695" xr:uid="{0FF62213-A6A7-429C-A87A-6A03A1E14347}"/>
    <cellStyle name="40% - Accent3 7 2 2 2 3" xfId="11694" xr:uid="{FB5FDD2C-7E14-46AA-B6E9-70A7047B8F16}"/>
    <cellStyle name="40% - Accent3 7 2 2 3" xfId="11693" xr:uid="{1BF648C3-B1E5-41B7-A32D-076184106D34}"/>
    <cellStyle name="40% - Accent3 7 2 2 3 2" xfId="13032" xr:uid="{DEB01E57-375E-458D-BCAF-557D845AE198}"/>
    <cellStyle name="40% - Accent3 7 2 2 4" xfId="11692" xr:uid="{D04E4421-AB53-4FCC-801B-1E3FEFCA45F2}"/>
    <cellStyle name="40% - Accent3 7 2 3" xfId="32384" xr:uid="{0D0FDE42-A08B-440F-AA5C-755B18DA606D}"/>
    <cellStyle name="40% - Accent3 7 2 3 2" xfId="32060" xr:uid="{67484F27-CAF5-4425-904D-047B8AD56A42}"/>
    <cellStyle name="40% - Accent3 7 2 3 2 2" xfId="11691" xr:uid="{C1302226-136D-415A-ABA1-A9FA1BBAECBF}"/>
    <cellStyle name="40% - Accent3 7 2 3 3" xfId="11690" xr:uid="{F3BE87B8-6533-4D1E-8443-12ED427887FE}"/>
    <cellStyle name="40% - Accent3 7 2 4" xfId="29269" xr:uid="{780FB71A-3F03-4870-873F-C5A9928AA499}"/>
    <cellStyle name="40% - Accent3 7 2 4 2" xfId="9899" xr:uid="{993958A9-CB52-490E-8698-B08DB0813511}"/>
    <cellStyle name="40% - Accent3 7 2 5" xfId="11689" xr:uid="{4B1BB0C5-DF06-4951-AEFB-8B1980ABBC58}"/>
    <cellStyle name="40% - Accent3 7 2 6" xfId="34840" xr:uid="{72CB407F-403B-4797-9A6B-7D7FC5D74759}"/>
    <cellStyle name="40% - Accent3 7 3" xfId="21700" xr:uid="{8F15FFA6-BA08-4446-8451-70B86FEBEF82}"/>
    <cellStyle name="40% - Accent3 7 3 2" xfId="11688" xr:uid="{A76DD6EF-6B02-4711-8B33-91D92C0FDF71}"/>
    <cellStyle name="40% - Accent3 7 3 2 2" xfId="11686" xr:uid="{2E6B81AC-B606-4F5F-B82B-83DBBAF1AC49}"/>
    <cellStyle name="40% - Accent3 7 3 2 2 2" xfId="16421" xr:uid="{FBA7932A-3D7B-4226-B507-23E17208D505}"/>
    <cellStyle name="40% - Accent3 7 3 2 3" xfId="12082" xr:uid="{945EBF98-DBB0-4DE4-9BFA-2511F1484B68}"/>
    <cellStyle name="40% - Accent3 7 3 3" xfId="24624" xr:uid="{9C01FA39-7AC2-42D5-B4CA-10D97BEAE2E2}"/>
    <cellStyle name="40% - Accent3 7 3 3 2" xfId="11685" xr:uid="{839D0B00-86E9-49E5-A993-C1A9DD37C434}"/>
    <cellStyle name="40% - Accent3 7 3 4" xfId="11684" xr:uid="{89F1853E-2F12-4FF2-90B6-FF57AA1858EC}"/>
    <cellStyle name="40% - Accent3 7 3 5" xfId="35042" xr:uid="{22223375-7208-40DC-99AB-A5D035667C9B}"/>
    <cellStyle name="40% - Accent3 7 4" xfId="21694" xr:uid="{797DB625-A26D-4BA8-9276-2DEE19D796AF}"/>
    <cellStyle name="40% - Accent3 7 4 2" xfId="11681" xr:uid="{9412385E-6334-470B-BE38-5BC197584EA2}"/>
    <cellStyle name="40% - Accent3 7 4 2 2" xfId="11679" xr:uid="{86F17503-B266-46D0-A05D-EF6A46AEBA7D}"/>
    <cellStyle name="40% - Accent3 7 4 3" xfId="11678" xr:uid="{569FDB53-5917-4A9E-B7D1-B910436DE9FF}"/>
    <cellStyle name="40% - Accent3 7 4 4" xfId="35249" xr:uid="{11804F1D-156E-4A80-960B-7DBD0FA56B80}"/>
    <cellStyle name="40% - Accent3 7 5" xfId="33680" xr:uid="{94A941E8-B356-4F23-B130-D298F2EDE7BD}"/>
    <cellStyle name="40% - Accent3 7 5 2" xfId="21517" xr:uid="{368A0269-A840-4147-95BA-22359B88FEDD}"/>
    <cellStyle name="40% - Accent3 7 5 3" xfId="35478" xr:uid="{8B6CC51B-5EA8-4EC4-9698-F8753D50A67E}"/>
    <cellStyle name="40% - Accent3 7 6" xfId="11675" xr:uid="{80DDD056-F057-4532-A666-24E70A600B96}"/>
    <cellStyle name="40% - Accent3 7 6 2" xfId="36350" xr:uid="{6C10D623-CC14-4E86-96E9-E1C6AAC1A9C1}"/>
    <cellStyle name="40% - Accent3 7 7" xfId="34609" xr:uid="{6110D57D-E373-4241-8C92-8AE142C62B9B}"/>
    <cellStyle name="40% - Accent3 7 8" xfId="15203" xr:uid="{A1FF3893-047C-45ED-ABBD-3AFF2E587D05}"/>
    <cellStyle name="40% - Accent3 7 8 2" xfId="37508" xr:uid="{74161E26-4A7E-4A2B-B2F7-10E8BF2605B4}"/>
    <cellStyle name="40% - Accent3 8" xfId="326" xr:uid="{E7874D24-866D-4FE7-96D9-CEA9C2798DC4}"/>
    <cellStyle name="40% - Accent3 8 2" xfId="11673" xr:uid="{E74A8704-435B-4392-A29D-B03FB1FEB783}"/>
    <cellStyle name="40% - Accent3 8 2 2" xfId="11672" xr:uid="{B6C7D12E-E49B-4BDE-B8B3-9D2E94B4AD69}"/>
    <cellStyle name="40% - Accent3 8 2 2 2" xfId="32800" xr:uid="{D4643D98-8076-4DAB-A0F9-FDF6B1EE1E69}"/>
    <cellStyle name="40% - Accent3 8 2 2 2 2" xfId="31811" xr:uid="{FA26C45A-9506-4A07-957E-158562946D7B}"/>
    <cellStyle name="40% - Accent3 8 2 2 3" xfId="11669" xr:uid="{5D4AE428-17F5-4FFF-8055-87F92D5AD6FD}"/>
    <cellStyle name="40% - Accent3 8 2 3" xfId="33767" xr:uid="{9030B5ED-BC8B-43E9-B8FB-37E7A68016FC}"/>
    <cellStyle name="40% - Accent3 8 2 3 2" xfId="11668" xr:uid="{9E8D125B-26B1-4EBC-8002-418612A9F5D3}"/>
    <cellStyle name="40% - Accent3 8 2 4" xfId="11667" xr:uid="{2163079E-4F6A-4EEC-A75A-DB4050F74F50}"/>
    <cellStyle name="40% - Accent3 8 2 5" xfId="34859" xr:uid="{932352A2-3D60-47D7-8580-5C481061A403}"/>
    <cellStyle name="40% - Accent3 8 3" xfId="24743" xr:uid="{6FA690FE-387C-496B-B93A-5B8E830B1A9C}"/>
    <cellStyle name="40% - Accent3 8 3 2" xfId="11664" xr:uid="{04A5567D-FF76-49DC-8659-A8FB52CBCF0B}"/>
    <cellStyle name="40% - Accent3 8 3 2 2" xfId="20585" xr:uid="{B733331D-8A50-4429-B3F7-328D85DA9DAA}"/>
    <cellStyle name="40% - Accent3 8 3 3" xfId="11662" xr:uid="{2CBD25D3-FE10-446C-B50C-74A5308FE625}"/>
    <cellStyle name="40% - Accent3 8 3 4" xfId="35061" xr:uid="{880193C9-C279-405A-A52F-0E2E511F7652}"/>
    <cellStyle name="40% - Accent3 8 4" xfId="24542" xr:uid="{2E0DFEC8-A980-45B5-81E4-950E7194AA68}"/>
    <cellStyle name="40% - Accent3 8 4 2" xfId="11659" xr:uid="{99C30BD1-2126-4000-A6D2-38BE8E039D65}"/>
    <cellStyle name="40% - Accent3 8 4 3" xfId="35268" xr:uid="{DF3D4596-AD39-4376-8886-385BA13F8D62}"/>
    <cellStyle name="40% - Accent3 8 5" xfId="16369" xr:uid="{A74096F6-C982-452B-844C-37EB316FBFE4}"/>
    <cellStyle name="40% - Accent3 8 5 2" xfId="35497" xr:uid="{3AF78C7D-C44B-4DE6-9824-574BAEAE70A5}"/>
    <cellStyle name="40% - Accent3 8 6" xfId="34623" xr:uid="{51BEADC2-FE8C-43B4-ABF1-4F5AF2EB8017}"/>
    <cellStyle name="40% - Accent3 8 7" xfId="11674" xr:uid="{2C1C97CC-8F98-47B9-9E84-AFFDFDBB2CFC}"/>
    <cellStyle name="40% - Accent3 8 7 2" xfId="36642" xr:uid="{04D5A9E0-8639-433B-B664-F5E0FC383302}"/>
    <cellStyle name="40% - Accent3 8 8" xfId="37527" xr:uid="{E8250484-73E1-4FAE-B179-FDE4CD530A00}"/>
    <cellStyle name="40% - Accent3 9" xfId="346" xr:uid="{02110848-3A09-400B-9926-4215CE420655}"/>
    <cellStyle name="40% - Accent3 9 2" xfId="11656" xr:uid="{E7BEFB11-CB39-406B-A2A3-ACCDBA0D6E28}"/>
    <cellStyle name="40% - Accent3 9 2 2" xfId="11655" xr:uid="{A94BEDB8-1055-4FF6-94B1-2C60246EBE5F}"/>
    <cellStyle name="40% - Accent3 9 2 2 2" xfId="11654" xr:uid="{423BDC8A-5B20-4B72-BAA0-02FC41051767}"/>
    <cellStyle name="40% - Accent3 9 2 3" xfId="11651" xr:uid="{F1B6C7DA-DB0A-41EA-AA06-FF877C583815}"/>
    <cellStyle name="40% - Accent3 9 2 4" xfId="34879" xr:uid="{2BC8D8AB-F70F-4666-B38C-48173B8667C4}"/>
    <cellStyle name="40% - Accent3 9 3" xfId="31091" xr:uid="{7735E248-E71A-47E9-B3C9-1CFE1DC0478D}"/>
    <cellStyle name="40% - Accent3 9 3 2" xfId="11649" xr:uid="{CEE43048-4F35-4F02-BF9A-CA17E3B48D89}"/>
    <cellStyle name="40% - Accent3 9 3 3" xfId="35080" xr:uid="{E9D111A6-7FAD-448D-A64C-A001C7DEF3A1}"/>
    <cellStyle name="40% - Accent3 9 4" xfId="16361" xr:uid="{65C51C8E-65AF-4AA7-9B40-07908E114364}"/>
    <cellStyle name="40% - Accent3 9 4 2" xfId="35288" xr:uid="{AF87DF9A-EBD1-43FE-A20A-841EF901A6B5}"/>
    <cellStyle name="40% - Accent3 9 5" xfId="34637" xr:uid="{617D7F11-5009-4DE3-96D9-2AC8678387A0}"/>
    <cellStyle name="40% - Accent3 9 6" xfId="11657" xr:uid="{D6542CA9-BD82-4870-88C6-111193A7223A}"/>
    <cellStyle name="40% - Accent3 9 6 2" xfId="36376" xr:uid="{88124C2D-61D3-4255-91CA-10AE1F1B7CF2}"/>
    <cellStyle name="40% - Accent3 9 7" xfId="36662" xr:uid="{D978E83E-F323-4F61-A17D-A8879F6C84AC}"/>
    <cellStyle name="40% - Accent3 9 8" xfId="37547" xr:uid="{B0E217AA-3A4F-41A6-83FF-3AD6E0717542}"/>
    <cellStyle name="40% - Accent4" xfId="35" builtinId="43" customBuiltin="1"/>
    <cellStyle name="40% - Accent4 10" xfId="187" xr:uid="{3D19551F-3DF8-48FD-A4F6-BBA572CAC372}"/>
    <cellStyle name="40% - Accent4 10 2" xfId="11647" xr:uid="{65B1A9DC-084F-434A-B666-75115806CFFF}"/>
    <cellStyle name="40% - Accent4 10 2 2" xfId="11646" xr:uid="{07C2EDF7-EAB8-4D9B-9535-BE3B924FB8C5}"/>
    <cellStyle name="40% - Accent4 10 2 3" xfId="34900" xr:uid="{B9751EA6-10F8-4F24-BCD4-EA7FE3BF2651}"/>
    <cellStyle name="40% - Accent4 10 3" xfId="14597" xr:uid="{AC808E86-3A32-4166-BC3E-69CEE9670679}"/>
    <cellStyle name="40% - Accent4 10 3 2" xfId="35102" xr:uid="{9ADD8CCA-CD4B-49C7-BD85-2127EFCFE016}"/>
    <cellStyle name="40% - Accent4 10 4" xfId="34526" xr:uid="{2D168294-0C87-41C4-A595-BA1CEC6E6D1A}"/>
    <cellStyle name="40% - Accent4 10 5" xfId="29604" xr:uid="{00E35457-9C94-4E41-ABF0-EB5644909E67}"/>
    <cellStyle name="40% - Accent4 10 5 2" xfId="35525" xr:uid="{B87E01B2-D62B-4AE2-BB5C-08901335E688}"/>
    <cellStyle name="40% - Accent4 10 6" xfId="36398" xr:uid="{66B2D655-66AD-4CC3-BAB4-56E4D20234E8}"/>
    <cellStyle name="40% - Accent4 10 7" xfId="36684" xr:uid="{6463F9F8-968A-447E-9F89-A7CA89C90041}"/>
    <cellStyle name="40% - Accent4 10 8" xfId="37569" xr:uid="{B722F5CA-B10B-4E51-B8E7-8683C9BBF386}"/>
    <cellStyle name="40% - Accent4 11" xfId="30125" xr:uid="{218141E3-87E6-40CE-8833-0928083E7534}"/>
    <cellStyle name="40% - Accent4 11 2" xfId="11645" xr:uid="{DBBC36FE-F104-438D-ACE6-4FA69E3569E0}"/>
    <cellStyle name="40% - Accent4 11 2 2" xfId="35121" xr:uid="{616B2A6A-9746-4A0F-A586-E35AC816E815}"/>
    <cellStyle name="40% - Accent4 11 3" xfId="34695" xr:uid="{0B34AF91-BA38-42E1-810A-21B439E7D0A5}"/>
    <cellStyle name="40% - Accent4 11 4" xfId="35545" xr:uid="{89B57C2C-B974-465A-8CB1-1B65C2461BDA}"/>
    <cellStyle name="40% - Accent4 11 5" xfId="36418" xr:uid="{8AB4E639-D03D-46DD-9535-D466DB88EEBD}"/>
    <cellStyle name="40% - Accent4 11 6" xfId="36704" xr:uid="{BC77B919-CA27-49A4-9BEB-2A87B0ED3ECF}"/>
    <cellStyle name="40% - Accent4 11 7" xfId="37589" xr:uid="{65B65C62-7358-427E-9923-41B60258BD2D}"/>
    <cellStyle name="40% - Accent4 12" xfId="11644" xr:uid="{20C99D56-077C-422D-8E5E-0CC11A00FF63}"/>
    <cellStyle name="40% - Accent4 12 2" xfId="34711" xr:uid="{6F1644E3-0ECF-4E0C-8BFB-D8598F6E8EC4}"/>
    <cellStyle name="40% - Accent4 12 3" xfId="35324" xr:uid="{8F4AC94F-3038-476E-BB75-5F018FAA7B54}"/>
    <cellStyle name="40% - Accent4 12 4" xfId="35564" xr:uid="{621B36A1-9CB2-4011-B72B-3A7E48D9B70A}"/>
    <cellStyle name="40% - Accent4 12 5" xfId="36437" xr:uid="{D3EEC0A1-A677-4E7D-9FD2-A4E87D4B284E}"/>
    <cellStyle name="40% - Accent4 12 6" xfId="36723" xr:uid="{B667241F-2436-4DCB-8676-3D2930C05FC8}"/>
    <cellStyle name="40% - Accent4 12 7" xfId="37608" xr:uid="{BFDBFDE9-1FCA-4316-960F-4D1A1A295224}"/>
    <cellStyle name="40% - Accent4 13" xfId="11642" xr:uid="{CA255A63-ABFF-4518-BDA7-3380386670FC}"/>
    <cellStyle name="40% - Accent4 13 2" xfId="34739" xr:uid="{A1DAD38F-773C-4475-BF58-9C91B0F5D943}"/>
    <cellStyle name="40% - Accent4 13 3" xfId="35583" xr:uid="{C3E964D4-FBCD-4F38-B7B2-B7A8580EC8ED}"/>
    <cellStyle name="40% - Accent4 13 4" xfId="36458" xr:uid="{8DCE106A-8E94-439A-82C8-3008531657B1}"/>
    <cellStyle name="40% - Accent4 13 5" xfId="36744" xr:uid="{E579812C-6AC5-4FF3-A005-814C77597557}"/>
    <cellStyle name="40% - Accent4 13 6" xfId="37629" xr:uid="{C29DFB96-9ED3-4C9F-98CD-009A52D3648E}"/>
    <cellStyle name="40% - Accent4 14" xfId="13036" xr:uid="{31CBC5C7-5B59-4D11-86FD-8B2698E883A7}"/>
    <cellStyle name="40% - Accent4 14 2" xfId="34929" xr:uid="{0ACF7B79-D304-4527-B157-2B97F31BC395}"/>
    <cellStyle name="40% - Accent4 14 3" xfId="36761" xr:uid="{B2FB0FB4-88A0-42A7-9CF6-48F57CA863C8}"/>
    <cellStyle name="40% - Accent4 14 4" xfId="37646" xr:uid="{B1F812AB-ABE4-4F6D-949A-52E45E75A939}"/>
    <cellStyle name="40% - Accent4 15" xfId="34655" xr:uid="{06BDDAF8-C2AD-4F09-A250-CA862AF662FF}"/>
    <cellStyle name="40% - Accent4 15 2" xfId="36483" xr:uid="{0366AFDF-75BF-4A71-9E1D-2790C5CE0512}"/>
    <cellStyle name="40% - Accent4 15 3" xfId="36781" xr:uid="{8808C134-E460-47A2-94EC-B3B6EC9171FD}"/>
    <cellStyle name="40% - Accent4 15 4" xfId="37669" xr:uid="{E9846763-37D9-46D6-9842-5609E1723390}"/>
    <cellStyle name="40% - Accent4 16" xfId="35363" xr:uid="{0E1AAE48-151C-4B45-8874-2CC26CD3EB15}"/>
    <cellStyle name="40% - Accent4 16 2" xfId="36501" xr:uid="{623366F7-DF6F-44BB-8670-BA6C49169FF1}"/>
    <cellStyle name="40% - Accent4 16 3" xfId="36799" xr:uid="{135A7C52-BB3C-419A-AFB0-2EB4100BB823}"/>
    <cellStyle name="40% - Accent4 16 4" xfId="37688" xr:uid="{125C80F0-30ED-4D7F-8237-17025C69E1F6}"/>
    <cellStyle name="40% - Accent4 17" xfId="35650" xr:uid="{294303A6-C386-4639-9FDA-11C224671E61}"/>
    <cellStyle name="40% - Accent4 17 2" xfId="36818" xr:uid="{2AF23794-13F2-483E-AAEB-59E29DA2C6FD}"/>
    <cellStyle name="40% - Accent4 17 3" xfId="37708" xr:uid="{AB62CC50-C334-4EBE-BB01-8C7BCC5F3475}"/>
    <cellStyle name="40% - Accent4 18" xfId="35668" xr:uid="{297B35F4-833E-483A-9620-8BF631D8461A}"/>
    <cellStyle name="40% - Accent4 18 2" xfId="36837" xr:uid="{D65ED742-5F6E-4CDA-84F7-C2A978D2D994}"/>
    <cellStyle name="40% - Accent4 18 3" xfId="37727" xr:uid="{BD0F868C-BDA9-4DEF-B7DC-2F9A61F7FBCA}"/>
    <cellStyle name="40% - Accent4 19" xfId="35687" xr:uid="{30C3CA6A-D169-4CD8-871B-C2C2C23A218B}"/>
    <cellStyle name="40% - Accent4 19 2" xfId="36856" xr:uid="{D0BB49FB-7AD9-4789-BC71-025281A87ECB}"/>
    <cellStyle name="40% - Accent4 19 3" xfId="37746" xr:uid="{F12D27F4-D5D3-4B91-9EFB-332136F44FE2}"/>
    <cellStyle name="40% - Accent4 2" xfId="87" xr:uid="{86EEF629-BBDB-48AF-86F1-348FDFC209DA}"/>
    <cellStyle name="40% - Accent4 2 10" xfId="11639" xr:uid="{5F5E599B-A439-408E-A03D-D62328D45AAC}"/>
    <cellStyle name="40% - Accent4 2 10 2" xfId="18915" xr:uid="{D680B330-FF60-47C0-9FC5-ED9E9B90F613}"/>
    <cellStyle name="40% - Accent4 2 10 3" xfId="37427" xr:uid="{83F1656F-915A-4661-B8EF-FAF9F6DCD9FC}"/>
    <cellStyle name="40% - Accent4 2 11" xfId="11637" xr:uid="{F4870558-9B1B-4BCF-88C8-C891920D4D1D}"/>
    <cellStyle name="40% - Accent4 2 12" xfId="34444" xr:uid="{4A081766-9445-4102-8D61-FCFD21182A53}"/>
    <cellStyle name="40% - Accent4 2 13" xfId="11641" xr:uid="{F01967AA-8500-47E5-86D1-FAC5BADA830E}"/>
    <cellStyle name="40% - Accent4 2 2" xfId="148" xr:uid="{42B29730-E949-4A90-8E75-C7D3B39813F4}"/>
    <cellStyle name="40% - Accent4 2 2 10" xfId="19696" xr:uid="{2C5A7CBB-0756-4CD6-894F-B8288AC7B6DA}"/>
    <cellStyle name="40% - Accent4 2 2 11" xfId="34499" xr:uid="{1DBA9529-2275-4E80-ACA0-E912D2B4738A}"/>
    <cellStyle name="40% - Accent4 2 2 12" xfId="24240" xr:uid="{E1EA8A1D-81A6-4DC6-BF3B-A7818BC717C8}"/>
    <cellStyle name="40% - Accent4 2 2 2" xfId="18174" xr:uid="{5D781E17-DDA3-404E-8C7E-16002964BCB7}"/>
    <cellStyle name="40% - Accent4 2 2 2 2" xfId="11636" xr:uid="{29F5449D-5F90-4E8F-AA07-FF59DBD50515}"/>
    <cellStyle name="40% - Accent4 2 2 2 2 2" xfId="13589" xr:uid="{8F4CC7EE-F265-4EF9-A53E-D472CF994E3B}"/>
    <cellStyle name="40% - Accent4 2 2 2 2 2 2" xfId="11632" xr:uid="{8A2C2606-FE87-42EC-810B-4E7C944EF341}"/>
    <cellStyle name="40% - Accent4 2 2 2 2 2 2 2" xfId="26308" xr:uid="{09F68F62-5B12-464B-8855-54BCD7C8DB57}"/>
    <cellStyle name="40% - Accent4 2 2 2 2 2 2 2 2" xfId="29723" xr:uid="{5D878435-69AA-4CD6-9E86-A0B35EF011C1}"/>
    <cellStyle name="40% - Accent4 2 2 2 2 2 2 2 2 2" xfId="11653" xr:uid="{A27CE570-483D-4F47-A6FE-1F65B4C546DA}"/>
    <cellStyle name="40% - Accent4 2 2 2 2 2 2 2 2 2 2" xfId="11630" xr:uid="{3F057342-7189-4364-AB09-906A973441F3}"/>
    <cellStyle name="40% - Accent4 2 2 2 2 2 2 2 2 2 2 2" xfId="15604" xr:uid="{B1E0E615-34EC-4AFE-9957-53656AF9F289}"/>
    <cellStyle name="40% - Accent4 2 2 2 2 2 2 2 2 2 3" xfId="6257" xr:uid="{83ADDEB5-E9B0-4AEC-94A2-B885ADF699CC}"/>
    <cellStyle name="40% - Accent4 2 2 2 2 2 2 2 2 3" xfId="34291" xr:uid="{8656C020-C126-4733-BFAC-01E97FB12CCB}"/>
    <cellStyle name="40% - Accent4 2 2 2 2 2 2 2 2 3 2" xfId="11627" xr:uid="{35E70349-80F2-4F4B-8980-50AA0F290846}"/>
    <cellStyle name="40% - Accent4 2 2 2 2 2 2 2 2 4" xfId="25610" xr:uid="{D1E20647-9D16-4637-B423-80AD7C20998B}"/>
    <cellStyle name="40% - Accent4 2 2 2 2 2 2 2 3" xfId="11296" xr:uid="{4A4BB4D5-D12B-4EFD-B773-84BF4D939558}"/>
    <cellStyle name="40% - Accent4 2 2 2 2 2 2 2 3 2" xfId="11625" xr:uid="{8438C9E3-58A5-493E-8816-129A4DA14504}"/>
    <cellStyle name="40% - Accent4 2 2 2 2 2 2 2 3 2 2" xfId="11624" xr:uid="{4FB2AFAF-71ED-4958-B681-1BFBEE1AAFF9}"/>
    <cellStyle name="40% - Accent4 2 2 2 2 2 2 2 3 3" xfId="25598" xr:uid="{30ADF98D-2286-46A1-8BE6-E7FF77051131}"/>
    <cellStyle name="40% - Accent4 2 2 2 2 2 2 2 4" xfId="5581" xr:uid="{1FABC1EF-532B-4FD4-9C4F-B5FAF3F78A90}"/>
    <cellStyle name="40% - Accent4 2 2 2 2 2 2 2 4 2" xfId="11623" xr:uid="{DFFC88A0-C8A5-4B75-BD02-1DDB54C35D51}"/>
    <cellStyle name="40% - Accent4 2 2 2 2 2 2 2 5" xfId="21815" xr:uid="{8A655121-A5E0-47E1-AF97-4CF28CC9EA91}"/>
    <cellStyle name="40% - Accent4 2 2 2 2 2 2 3" xfId="25156" xr:uid="{A3C34757-2F70-48C4-8841-17148B71A5CA}"/>
    <cellStyle name="40% - Accent4 2 2 2 2 2 2 3 2" xfId="11291" xr:uid="{EDCECD88-8376-4FD0-9F5F-B7A338866F43}"/>
    <cellStyle name="40% - Accent4 2 2 2 2 2 2 3 2 2" xfId="11622" xr:uid="{7E034346-C96C-4477-A8B4-25A422AA52D0}"/>
    <cellStyle name="40% - Accent4 2 2 2 2 2 2 3 2 2 2" xfId="12153" xr:uid="{4EF52CCF-9A30-4314-8EAA-2E2C296354EC}"/>
    <cellStyle name="40% - Accent4 2 2 2 2 2 2 3 2 3" xfId="18699" xr:uid="{F1E672C9-0511-410F-B124-F1375A7A589B}"/>
    <cellStyle name="40% - Accent4 2 2 2 2 2 2 3 3" xfId="20336" xr:uid="{FB3EB13E-94A7-4915-8319-138141D11B89}"/>
    <cellStyle name="40% - Accent4 2 2 2 2 2 2 3 3 2" xfId="11621" xr:uid="{98082AD4-CCAC-4CDF-8799-23BD2A04645E}"/>
    <cellStyle name="40% - Accent4 2 2 2 2 2 2 3 4" xfId="5571" xr:uid="{22089D2B-1B3B-4C01-89C7-1D075DF4490A}"/>
    <cellStyle name="40% - Accent4 2 2 2 2 2 2 4" xfId="11620" xr:uid="{1B0488B6-9843-4B8A-8425-3D6E4755D244}"/>
    <cellStyle name="40% - Accent4 2 2 2 2 2 2 4 2" xfId="20326" xr:uid="{2C5A9DF1-E093-451B-AC96-420367714FB1}"/>
    <cellStyle name="40% - Accent4 2 2 2 2 2 2 4 2 2" xfId="9160" xr:uid="{DDCB2247-EC3B-4864-ACC5-745C8DE5AFC8}"/>
    <cellStyle name="40% - Accent4 2 2 2 2 2 2 4 3" xfId="16422" xr:uid="{7C05FC64-A9EF-47A0-98D3-AB687E6FF578}"/>
    <cellStyle name="40% - Accent4 2 2 2 2 2 2 5" xfId="11616" xr:uid="{FD68E08F-0BC7-4D2B-AF7E-BCD6AF25CDDF}"/>
    <cellStyle name="40% - Accent4 2 2 2 2 2 2 5 2" xfId="16418" xr:uid="{1A27133E-3920-474A-8F57-AF207F38B65D}"/>
    <cellStyle name="40% - Accent4 2 2 2 2 2 2 6" xfId="11613" xr:uid="{5B100DB3-FDF4-4629-A2BE-09905497A7C1}"/>
    <cellStyle name="40% - Accent4 2 2 2 2 2 3" xfId="11612" xr:uid="{EE35BA60-89E9-4790-BCA0-5FDD4D723F69}"/>
    <cellStyle name="40% - Accent4 2 2 2 2 2 3 2" xfId="11610" xr:uid="{99F339CC-16F5-4E60-8606-0102E1910BE9}"/>
    <cellStyle name="40% - Accent4 2 2 2 2 2 3 2 2" xfId="11277" xr:uid="{FD0CC3B7-5286-4B19-BBF1-ED72DA7EA3B1}"/>
    <cellStyle name="40% - Accent4 2 2 2 2 2 3 2 2 2" xfId="11609" xr:uid="{EBD4175D-F4E7-4408-9162-F90B27C5B867}"/>
    <cellStyle name="40% - Accent4 2 2 2 2 2 3 2 2 2 2" xfId="11607" xr:uid="{53CAD529-94E4-4E88-8388-3411AA72AC58}"/>
    <cellStyle name="40% - Accent4 2 2 2 2 2 3 2 2 3" xfId="28620" xr:uid="{A1015049-DFB2-4FBE-9C95-9B10922C3021}"/>
    <cellStyle name="40% - Accent4 2 2 2 2 2 3 2 3" xfId="29672" xr:uid="{6573351E-EE8E-4167-84F0-06A13774C7D2}"/>
    <cellStyle name="40% - Accent4 2 2 2 2 2 3 2 3 2" xfId="11606" xr:uid="{C5D67A86-D8BB-40D8-9902-E66FAB8DF03E}"/>
    <cellStyle name="40% - Accent4 2 2 2 2 2 3 2 4" xfId="5566" xr:uid="{65C233BD-DA31-443C-8750-AF8C5035816C}"/>
    <cellStyle name="40% - Accent4 2 2 2 2 2 3 3" xfId="11605" xr:uid="{25E88830-676D-4009-8E77-D082FF25A160}"/>
    <cellStyle name="40% - Accent4 2 2 2 2 2 3 3 2" xfId="28804" xr:uid="{A9871E9A-7ED4-439B-B130-9E6A75B57515}"/>
    <cellStyle name="40% - Accent4 2 2 2 2 2 3 3 2 2" xfId="11603" xr:uid="{1D23A106-315C-4502-936C-4F21853D0646}"/>
    <cellStyle name="40% - Accent4 2 2 2 2 2 3 3 3" xfId="28613" xr:uid="{8402DCF9-9278-4476-839D-7C882DE00B10}"/>
    <cellStyle name="40% - Accent4 2 2 2 2 2 3 4" xfId="11601" xr:uid="{7401677A-CF33-4E30-B1C3-C4922D1AE4D8}"/>
    <cellStyle name="40% - Accent4 2 2 2 2 2 3 4 2" xfId="28774" xr:uid="{B0F13F73-B814-4E5D-882B-598B8F64878C}"/>
    <cellStyle name="40% - Accent4 2 2 2 2 2 3 5" xfId="11599" xr:uid="{BFE08C54-3667-4CF4-B3D9-C1D768D05ADE}"/>
    <cellStyle name="40% - Accent4 2 2 2 2 2 4" xfId="11598" xr:uid="{721315F8-489C-40D8-A6BD-AE5EF570C967}"/>
    <cellStyle name="40% - Accent4 2 2 2 2 2 4 2" xfId="11596" xr:uid="{AFC8E93F-DB5F-47F6-80E5-B4487B6C6679}"/>
    <cellStyle name="40% - Accent4 2 2 2 2 2 4 2 2" xfId="29655" xr:uid="{5F848DA8-F64A-4091-B3BE-0510B4AAAB58}"/>
    <cellStyle name="40% - Accent4 2 2 2 2 2 4 2 2 2" xfId="11595" xr:uid="{70F2AB00-D6D1-47D4-B2D2-05FB0A4D6453}"/>
    <cellStyle name="40% - Accent4 2 2 2 2 2 4 2 3" xfId="11592" xr:uid="{2E6D290D-7C7D-4FFE-9444-A9313E3738FB}"/>
    <cellStyle name="40% - Accent4 2 2 2 2 2 4 3" xfId="11591" xr:uid="{6764DCD3-D51E-4E66-871C-1C64160BD928}"/>
    <cellStyle name="40% - Accent4 2 2 2 2 2 4 3 2" xfId="26835" xr:uid="{301E2736-A67E-40CA-8BCA-96E538908522}"/>
    <cellStyle name="40% - Accent4 2 2 2 2 2 4 4" xfId="11590" xr:uid="{D4CFFDB8-9051-4180-858B-89F713C97AEE}"/>
    <cellStyle name="40% - Accent4 2 2 2 2 2 5" xfId="11587" xr:uid="{3623BFA8-3183-461E-9BBE-6E8DD0231362}"/>
    <cellStyle name="40% - Accent4 2 2 2 2 2 5 2" xfId="11586" xr:uid="{E21D87BC-6CE2-47F2-B175-1D3A47359A00}"/>
    <cellStyle name="40% - Accent4 2 2 2 2 2 5 2 2" xfId="11584" xr:uid="{90E04261-F8D0-4869-AD84-CB49CFA0AB00}"/>
    <cellStyle name="40% - Accent4 2 2 2 2 2 5 3" xfId="11583" xr:uid="{7393DD24-2BB2-48D6-BE59-41455E7B5220}"/>
    <cellStyle name="40% - Accent4 2 2 2 2 2 6" xfId="11581" xr:uid="{3B13C7A8-F2BF-43E0-9A4F-691D65745506}"/>
    <cellStyle name="40% - Accent4 2 2 2 2 2 6 2" xfId="18772" xr:uid="{92CF571F-9896-40EA-942F-82C533BEA916}"/>
    <cellStyle name="40% - Accent4 2 2 2 2 2 7" xfId="11580" xr:uid="{F9A0EB32-7AE1-49E2-BD22-95180C7CA7B1}"/>
    <cellStyle name="40% - Accent4 2 2 2 2 3" xfId="11128" xr:uid="{73DD87B1-D235-4A97-BCEF-A65DBE928C7D}"/>
    <cellStyle name="40% - Accent4 2 2 2 2 3 2" xfId="11578" xr:uid="{17EEF1C9-0A8E-430F-A281-8C6558C21D1D}"/>
    <cellStyle name="40% - Accent4 2 2 2 2 3 2 2" xfId="28017" xr:uid="{92569D91-74FD-4446-8DCE-D82219A6098D}"/>
    <cellStyle name="40% - Accent4 2 2 2 2 3 2 2 2" xfId="11230" xr:uid="{CA10B940-D5A0-45DA-A972-A67E25FCF09F}"/>
    <cellStyle name="40% - Accent4 2 2 2 2 3 2 2 2 2" xfId="14295" xr:uid="{3DF3B775-30F6-4103-B6E5-40E27C250732}"/>
    <cellStyle name="40% - Accent4 2 2 2 2 3 2 2 2 2 2" xfId="12894" xr:uid="{A4E90F3A-97DA-4A7A-9BD4-10A38F7C3AD1}"/>
    <cellStyle name="40% - Accent4 2 2 2 2 3 2 2 2 3" xfId="14287" xr:uid="{E22FF94F-EF3B-4E65-B9F7-C4D491926575}"/>
    <cellStyle name="40% - Accent4 2 2 2 2 3 2 2 3" xfId="29638" xr:uid="{1EF14BD6-CDDF-4E37-983D-2F55E93186EE}"/>
    <cellStyle name="40% - Accent4 2 2 2 2 3 2 2 3 2" xfId="11576" xr:uid="{82646498-4E41-4F57-8908-8479A231E898}"/>
    <cellStyle name="40% - Accent4 2 2 2 2 3 2 2 4" xfId="11574" xr:uid="{670768E8-A82D-433B-9E6A-28CBAFEC8A33}"/>
    <cellStyle name="40% - Accent4 2 2 2 2 3 2 3" xfId="32328" xr:uid="{ABFA31FB-7577-4D26-8F98-D183E6A4D436}"/>
    <cellStyle name="40% - Accent4 2 2 2 2 3 2 3 2" xfId="29629" xr:uid="{DDC00BD4-AF8E-469A-AF36-98DE64DD8FD2}"/>
    <cellStyle name="40% - Accent4 2 2 2 2 3 2 3 2 2" xfId="11572" xr:uid="{DE6CA79F-8AD9-49B3-A13B-3D2811A6E737}"/>
    <cellStyle name="40% - Accent4 2 2 2 2 3 2 3 3" xfId="15445" xr:uid="{C8365B58-C549-4B30-8D29-F34D25846D51}"/>
    <cellStyle name="40% - Accent4 2 2 2 2 3 2 4" xfId="28041" xr:uid="{EBA71121-F4BB-4807-B66B-F499AA277FA0}"/>
    <cellStyle name="40% - Accent4 2 2 2 2 3 2 4 2" xfId="16394" xr:uid="{2F84A041-40EE-4C6F-89CC-19F0B65D9E5C}"/>
    <cellStyle name="40% - Accent4 2 2 2 2 3 2 5" xfId="11570" xr:uid="{BC1986A7-3956-420D-907E-7F8F94B7AF4B}"/>
    <cellStyle name="40% - Accent4 2 2 2 2 3 3" xfId="11567" xr:uid="{5BC08DF6-8BEC-4FE8-941C-16F863CF7EE7}"/>
    <cellStyle name="40% - Accent4 2 2 2 2 3 3 2" xfId="28016" xr:uid="{0CEE8517-6F89-4467-A51A-6E02DC064564}"/>
    <cellStyle name="40% - Accent4 2 2 2 2 3 3 2 2" xfId="24890" xr:uid="{F6D23C3C-0534-48CB-9C0C-6BBFA10DF0FA}"/>
    <cellStyle name="40% - Accent4 2 2 2 2 3 3 2 2 2" xfId="11566" xr:uid="{F617B9FE-FF9B-406A-B1EA-774CB270B55A}"/>
    <cellStyle name="40% - Accent4 2 2 2 2 3 3 2 3" xfId="11563" xr:uid="{A7E0426F-6158-48E0-840F-31771BD9E1EF}"/>
    <cellStyle name="40% - Accent4 2 2 2 2 3 3 3" xfId="11562" xr:uid="{7FD20261-BF98-41E9-A2C0-9C7CD5AC525D}"/>
    <cellStyle name="40% - Accent4 2 2 2 2 3 3 3 2" xfId="28617" xr:uid="{C8679452-BBA5-4CF1-ABD6-A2AF91287117}"/>
    <cellStyle name="40% - Accent4 2 2 2 2 3 3 4" xfId="11559" xr:uid="{9256A237-44E1-43C3-9AE0-B1E4279DAB33}"/>
    <cellStyle name="40% - Accent4 2 2 2 2 3 4" xfId="11556" xr:uid="{016CBC20-A0FE-4618-8A76-45A98527CC5C}"/>
    <cellStyle name="40% - Accent4 2 2 2 2 3 4 2" xfId="11555" xr:uid="{09B73EE2-755D-4198-81A2-B489090C08B8}"/>
    <cellStyle name="40% - Accent4 2 2 2 2 3 4 2 2" xfId="11553" xr:uid="{D5EBCFE0-F3D4-446F-8FFF-6DD10E562F0A}"/>
    <cellStyle name="40% - Accent4 2 2 2 2 3 4 3" xfId="11552" xr:uid="{ABBA9425-9AAA-4033-B8EA-3838D0D9EA96}"/>
    <cellStyle name="40% - Accent4 2 2 2 2 3 5" xfId="11548" xr:uid="{4DFE502F-CE96-4CB6-B322-550A3C49C9A6}"/>
    <cellStyle name="40% - Accent4 2 2 2 2 3 5 2" xfId="11547" xr:uid="{73A3B8D2-7ABD-4595-A337-3582C1CCAAF9}"/>
    <cellStyle name="40% - Accent4 2 2 2 2 3 6" xfId="11544" xr:uid="{171AD84D-16EF-4213-8725-8DF8DBD523FC}"/>
    <cellStyle name="40% - Accent4 2 2 2 2 4" xfId="11541" xr:uid="{EAD286B8-DF51-4920-9DD5-B4D533FEAB80}"/>
    <cellStyle name="40% - Accent4 2 2 2 2 4 2" xfId="33068" xr:uid="{D17EBA4B-4196-4277-8B80-2BE0C102A967}"/>
    <cellStyle name="40% - Accent4 2 2 2 2 4 2 2" xfId="28010" xr:uid="{CD207546-2107-4B6E-A0CF-2C4BBF2E5360}"/>
    <cellStyle name="40% - Accent4 2 2 2 2 4 2 2 2" xfId="24354" xr:uid="{87D40033-EC31-46E4-810F-9B73A775D9FD}"/>
    <cellStyle name="40% - Accent4 2 2 2 2 4 2 2 2 2" xfId="7132" xr:uid="{8DB6EED0-ADB9-4800-82A3-CFEB4095F193}"/>
    <cellStyle name="40% - Accent4 2 2 2 2 4 2 2 3" xfId="11539" xr:uid="{1651559F-9203-4427-88DC-E3D18CC2C9CB}"/>
    <cellStyle name="40% - Accent4 2 2 2 2 4 2 3" xfId="11538" xr:uid="{64364C19-1E36-441F-B49D-767F0F16ABB0}"/>
    <cellStyle name="40% - Accent4 2 2 2 2 4 2 3 2" xfId="18940" xr:uid="{F096C79B-172D-415F-BEB4-6AF40BB2CC21}"/>
    <cellStyle name="40% - Accent4 2 2 2 2 4 2 4" xfId="11535" xr:uid="{306DE167-E9E1-489B-95C6-C7DB45B439D0}"/>
    <cellStyle name="40% - Accent4 2 2 2 2 4 3" xfId="28437" xr:uid="{79138A95-D6A5-4DE9-85F8-58972EFA8C66}"/>
    <cellStyle name="40% - Accent4 2 2 2 2 4 3 2" xfId="11532" xr:uid="{9CAEEEC6-6075-49AC-AB43-A5A6EFC41115}"/>
    <cellStyle name="40% - Accent4 2 2 2 2 4 3 2 2" xfId="11531" xr:uid="{A4013A80-330A-40A8-9745-8260C76E1233}"/>
    <cellStyle name="40% - Accent4 2 2 2 2 4 3 3" xfId="11530" xr:uid="{0D7306C2-9B4E-4468-9FA8-4116FCEAB5FE}"/>
    <cellStyle name="40% - Accent4 2 2 2 2 4 4" xfId="28436" xr:uid="{F8C04184-5074-44F1-BC7E-29E79333A468}"/>
    <cellStyle name="40% - Accent4 2 2 2 2 4 4 2" xfId="11527" xr:uid="{AC3C5EBD-0DED-4A5A-AE73-52BA1B5C7A66}"/>
    <cellStyle name="40% - Accent4 2 2 2 2 4 5" xfId="11525" xr:uid="{529FCC10-03AB-49D9-A08C-1A77E4A5D457}"/>
    <cellStyle name="40% - Accent4 2 2 2 2 5" xfId="11524" xr:uid="{AA397423-DEE1-46D8-BCE7-66E3BF3E18ED}"/>
    <cellStyle name="40% - Accent4 2 2 2 2 5 2" xfId="32947" xr:uid="{0EE0728A-D435-4530-A9D1-2A30E87A6AB8}"/>
    <cellStyle name="40% - Accent4 2 2 2 2 5 2 2" xfId="11520" xr:uid="{8622F8FC-A806-4009-AA4A-2723778CB86D}"/>
    <cellStyle name="40% - Accent4 2 2 2 2 5 2 2 2" xfId="31387" xr:uid="{D559A0DA-7604-4DF6-82AF-662F4D3410C1}"/>
    <cellStyle name="40% - Accent4 2 2 2 2 5 2 3" xfId="11519" xr:uid="{5E69C074-E377-4FE5-BEC1-5EF4F0C4456D}"/>
    <cellStyle name="40% - Accent4 2 2 2 2 5 3" xfId="28431" xr:uid="{4EC94E54-A913-41C6-9BBF-BF93767226A6}"/>
    <cellStyle name="40% - Accent4 2 2 2 2 5 3 2" xfId="11516" xr:uid="{126628C7-4564-4EF9-AA3C-B2EED2D5D982}"/>
    <cellStyle name="40% - Accent4 2 2 2 2 5 4" xfId="11514" xr:uid="{8ABADA26-0AFA-4AF5-ACCD-5857288CCE85}"/>
    <cellStyle name="40% - Accent4 2 2 2 2 6" xfId="11513" xr:uid="{AA017C99-31B0-4993-BCE1-C15F79C582BE}"/>
    <cellStyle name="40% - Accent4 2 2 2 2 6 2" xfId="11512" xr:uid="{ECE3E399-1C28-4C5F-81A7-E422F63F218C}"/>
    <cellStyle name="40% - Accent4 2 2 2 2 6 2 2" xfId="8686" xr:uid="{44591F60-90B6-471D-BD6E-7343AB3C8E05}"/>
    <cellStyle name="40% - Accent4 2 2 2 2 6 3" xfId="11510" xr:uid="{EDFFFB53-61C5-4B91-8D7B-2BA4FEADF5F5}"/>
    <cellStyle name="40% - Accent4 2 2 2 2 7" xfId="11509" xr:uid="{2FD37FAF-2BB3-4EA2-BF10-08685B534950}"/>
    <cellStyle name="40% - Accent4 2 2 2 2 7 2" xfId="23132" xr:uid="{B4AD3588-8891-4BD0-80AD-C528902ABF67}"/>
    <cellStyle name="40% - Accent4 2 2 2 2 8" xfId="11508" xr:uid="{9FEAA538-C425-4FE3-88EB-7D689516458C}"/>
    <cellStyle name="40% - Accent4 2 2 2 3" xfId="11507" xr:uid="{914C9F9A-DB83-4596-986C-C84ACC5B9B67}"/>
    <cellStyle name="40% - Accent4 2 2 2 3 2" xfId="13550" xr:uid="{7FE044A1-99B5-48AA-8F89-8AE8945613CE}"/>
    <cellStyle name="40% - Accent4 2 2 2 3 2 2" xfId="11503" xr:uid="{0C42900F-7947-4477-822E-455C848020D0}"/>
    <cellStyle name="40% - Accent4 2 2 2 3 2 2 2" xfId="11499" xr:uid="{3854A0A6-6666-4BCD-A857-9768B29B3518}"/>
    <cellStyle name="40% - Accent4 2 2 2 3 2 2 2 2" xfId="11283" xr:uid="{34144A5E-B666-4ABB-96B8-5C68C38D421C}"/>
    <cellStyle name="40% - Accent4 2 2 2 3 2 2 2 2 2" xfId="26159" xr:uid="{EAE68DED-53A1-4C49-8CC1-A8A46C56CF2A}"/>
    <cellStyle name="40% - Accent4 2 2 2 3 2 2 2 2 2 2" xfId="8245" xr:uid="{1A3A64D1-DB97-41B6-8388-F9EE7FDBD2FB}"/>
    <cellStyle name="40% - Accent4 2 2 2 3 2 2 2 2 3" xfId="11158" xr:uid="{8E3F1F74-E46B-4230-8D1D-C158248933B4}"/>
    <cellStyle name="40% - Accent4 2 2 2 3 2 2 2 3" xfId="11272" xr:uid="{4DD6881F-9980-48AE-8333-D41B8F52FD66}"/>
    <cellStyle name="40% - Accent4 2 2 2 3 2 2 2 3 2" xfId="11496" xr:uid="{32A3F2A7-EBB1-432C-8096-4FD218D020E2}"/>
    <cellStyle name="40% - Accent4 2 2 2 3 2 2 2 4" xfId="11267" xr:uid="{14967F70-6157-4BE1-BD39-B81DD18150C0}"/>
    <cellStyle name="40% - Accent4 2 2 2 3 2 2 3" xfId="11495" xr:uid="{7E650034-4346-4011-9908-5E26C91B6263}"/>
    <cellStyle name="40% - Accent4 2 2 2 3 2 2 3 2" xfId="13235" xr:uid="{4BBC6D11-B0CD-43B6-963B-C94B436AEAB1}"/>
    <cellStyle name="40% - Accent4 2 2 2 3 2 2 3 2 2" xfId="11494" xr:uid="{1236C7FA-50A4-44E1-B682-B014CBA75BDE}"/>
    <cellStyle name="40% - Accent4 2 2 2 3 2 2 3 3" xfId="11205" xr:uid="{B1AA1B30-574F-4D05-B893-DCD05D2206CA}"/>
    <cellStyle name="40% - Accent4 2 2 2 3 2 2 4" xfId="11493" xr:uid="{80E7C5AD-16BD-451C-8799-8A33A8D4A7BB}"/>
    <cellStyle name="40% - Accent4 2 2 2 3 2 2 4 2" xfId="11172" xr:uid="{C59B9C70-D4BB-4996-94D0-34C6571DE21F}"/>
    <cellStyle name="40% - Accent4 2 2 2 3 2 2 5" xfId="6199" xr:uid="{A580F7A4-1D9F-4827-8C6C-4482FFF5149F}"/>
    <cellStyle name="40% - Accent4 2 2 2 3 2 3" xfId="11491" xr:uid="{85E159DB-3738-4A43-864A-57E330FBF57B}"/>
    <cellStyle name="40% - Accent4 2 2 2 3 2 3 2" xfId="11487" xr:uid="{846F0664-CDD1-481A-907E-07D0B86BE6F3}"/>
    <cellStyle name="40% - Accent4 2 2 2 3 2 3 2 2" xfId="27876" xr:uid="{414143CF-F07B-4D7F-8D9B-1E046EB530E2}"/>
    <cellStyle name="40% - Accent4 2 2 2 3 2 3 2 2 2" xfId="11486" xr:uid="{281CC365-DE32-4A94-81F5-4E2B6D93D63F}"/>
    <cellStyle name="40% - Accent4 2 2 2 3 2 3 2 3" xfId="11113" xr:uid="{EC7FA39C-CF14-4C84-8F0B-3FA5D1D691D5}"/>
    <cellStyle name="40% - Accent4 2 2 2 3 2 3 3" xfId="11485" xr:uid="{488D3C5A-6400-4AA4-A6C6-310F0219A683}"/>
    <cellStyle name="40% - Accent4 2 2 2 3 2 3 3 2" xfId="11069" xr:uid="{D9DE1C74-16D1-476A-99C3-415D67C9EB31}"/>
    <cellStyle name="40% - Accent4 2 2 2 3 2 3 4" xfId="11484" xr:uid="{A14BDD33-3FC2-4535-8D3F-670764CEF6E2}"/>
    <cellStyle name="40% - Accent4 2 2 2 3 2 4" xfId="11483" xr:uid="{5B83CEF6-6DD7-4EE4-AE4C-AF83CBE078C9}"/>
    <cellStyle name="40% - Accent4 2 2 2 3 2 4 2" xfId="11479" xr:uid="{2AB290E3-E476-455B-9E0C-467F7AE3C90D}"/>
    <cellStyle name="40% - Accent4 2 2 2 3 2 4 2 2" xfId="11015" xr:uid="{862700C7-C319-475D-B8A6-083FE70E5C63}"/>
    <cellStyle name="40% - Accent4 2 2 2 3 2 4 3" xfId="11478" xr:uid="{60474957-9247-4228-A5F2-35C8436D96DD}"/>
    <cellStyle name="40% - Accent4 2 2 2 3 2 5" xfId="11477" xr:uid="{E5B859E8-F1EE-4180-A9DB-34832D9BA4DE}"/>
    <cellStyle name="40% - Accent4 2 2 2 3 2 5 2" xfId="11472" xr:uid="{DBE630A7-72D7-4747-882C-21F714F91081}"/>
    <cellStyle name="40% - Accent4 2 2 2 3 2 6" xfId="11470" xr:uid="{BD187635-F744-4F6F-A95E-1C9661972219}"/>
    <cellStyle name="40% - Accent4 2 2 2 3 3" xfId="11466" xr:uid="{B774AF0C-69D0-457D-A9C1-BC777A58E0E3}"/>
    <cellStyle name="40% - Accent4 2 2 2 3 3 2" xfId="11462" xr:uid="{B1359561-B817-49AE-B228-7A0DEC17D46C}"/>
    <cellStyle name="40% - Accent4 2 2 2 3 3 2 2" xfId="27993" xr:uid="{8F593620-780A-495C-AFFA-BD3191CDD377}"/>
    <cellStyle name="40% - Accent4 2 2 2 3 3 2 2 2" xfId="10754" xr:uid="{3FD71523-F789-415F-ACFB-29ECBD49D420}"/>
    <cellStyle name="40% - Accent4 2 2 2 3 3 2 2 2 2" xfId="11458" xr:uid="{B988F1D5-85C4-46BD-850E-6F47B7E1E4A7}"/>
    <cellStyle name="40% - Accent4 2 2 2 3 3 2 2 3" xfId="10748" xr:uid="{40664F3E-AC9D-482A-A14A-F3D08C61B4FB}"/>
    <cellStyle name="40% - Accent4 2 2 2 3 3 2 3" xfId="11456" xr:uid="{061A6AD1-8386-46CF-A504-33BB48368023}"/>
    <cellStyle name="40% - Accent4 2 2 2 3 3 2 3 2" xfId="10713" xr:uid="{FA3FDA3F-DF19-45F1-BE69-0E58A4884DE6}"/>
    <cellStyle name="40% - Accent4 2 2 2 3 3 2 4" xfId="11453" xr:uid="{7813BFFA-8A3B-4AA1-A72E-B2ED978D5C28}"/>
    <cellStyle name="40% - Accent4 2 2 2 3 3 3" xfId="11450" xr:uid="{E7DF3414-B783-48F6-9F0A-6F0E0B9ED1F7}"/>
    <cellStyle name="40% - Accent4 2 2 2 3 3 3 2" xfId="11445" xr:uid="{7213D437-4A1E-42C5-89E5-F2C19449FA4C}"/>
    <cellStyle name="40% - Accent4 2 2 2 3 3 3 2 2" xfId="10665" xr:uid="{0E8AB9D1-A9CA-470C-967B-7A97195ABB54}"/>
    <cellStyle name="40% - Accent4 2 2 2 3 3 3 3" xfId="11444" xr:uid="{4FE3FB72-4231-4026-875D-D1D64B1F8D99}"/>
    <cellStyle name="40% - Accent4 2 2 2 3 3 4" xfId="11441" xr:uid="{BF2E9884-7BE5-4827-A5AB-4FC3B2CD4F39}"/>
    <cellStyle name="40% - Accent4 2 2 2 3 3 4 2" xfId="11437" xr:uid="{12920643-9189-45C7-BEB3-585A877E83E4}"/>
    <cellStyle name="40% - Accent4 2 2 2 3 3 5" xfId="11435" xr:uid="{C62CB364-F7E1-411B-880C-A3C417DF850F}"/>
    <cellStyle name="40% - Accent4 2 2 2 3 4" xfId="13251" xr:uid="{004E75CB-0DE1-4288-8BFD-0A8DA53E1680}"/>
    <cellStyle name="40% - Accent4 2 2 2 3 4 2" xfId="7124" xr:uid="{0EBDB798-440A-4623-9A1C-5676B62E8926}"/>
    <cellStyle name="40% - Accent4 2 2 2 3 4 2 2" xfId="11430" xr:uid="{1607E109-6D79-427E-8747-CB96B1D38B95}"/>
    <cellStyle name="40% - Accent4 2 2 2 3 4 2 2 2" xfId="10472" xr:uid="{2BA293D3-8A93-4793-8F6B-74BBDC0C2DD0}"/>
    <cellStyle name="40% - Accent4 2 2 2 3 4 2 3" xfId="11429" xr:uid="{D90ED6C7-43AE-4CAA-A854-E11D03661338}"/>
    <cellStyle name="40% - Accent4 2 2 2 3 4 3" xfId="22564" xr:uid="{81B389BE-A174-404A-8F09-2E58B520C350}"/>
    <cellStyle name="40% - Accent4 2 2 2 3 4 3 2" xfId="11426" xr:uid="{7FC3D5CD-6601-4FFF-AAD9-99265510BFB1}"/>
    <cellStyle name="40% - Accent4 2 2 2 3 4 4" xfId="6971" xr:uid="{676F58A0-D939-4699-B5EE-F9A401756B8A}"/>
    <cellStyle name="40% - Accent4 2 2 2 3 5" xfId="13246" xr:uid="{3B489AA0-5BDC-4E9C-9FBE-9D9D2A542C76}"/>
    <cellStyle name="40% - Accent4 2 2 2 3 5 2" xfId="11425" xr:uid="{49F7B6BD-2D38-48F4-861E-FECFFA952A2A}"/>
    <cellStyle name="40% - Accent4 2 2 2 3 5 2 2" xfId="11422" xr:uid="{5CB1C192-256A-4F1D-BB58-46836A94F9EC}"/>
    <cellStyle name="40% - Accent4 2 2 2 3 5 3" xfId="11421" xr:uid="{5FB71B59-1338-4699-BA29-5FA243B547F4}"/>
    <cellStyle name="40% - Accent4 2 2 2 3 6" xfId="11418" xr:uid="{4F8CE49B-376D-4A6F-B99F-7BFDAC0EC230}"/>
    <cellStyle name="40% - Accent4 2 2 2 3 6 2" xfId="11416" xr:uid="{69724B0E-0C55-4948-AFF5-F85989D24310}"/>
    <cellStyle name="40% - Accent4 2 2 2 3 7" xfId="11414" xr:uid="{FC25E112-CF3B-4A26-A13E-9CE3AC559564}"/>
    <cellStyle name="40% - Accent4 2 2 2 4" xfId="29299" xr:uid="{781BE2DE-611F-480B-B419-6738E86FE8FD}"/>
    <cellStyle name="40% - Accent4 2 2 2 4 2" xfId="11413" xr:uid="{AB857FA5-1C2D-4530-A0FA-079FAC50EA12}"/>
    <cellStyle name="40% - Accent4 2 2 2 4 2 2" xfId="11409" xr:uid="{FD06FEA0-1CCF-4DE3-8556-A7D0EE457AA9}"/>
    <cellStyle name="40% - Accent4 2 2 2 4 2 2 2" xfId="11406" xr:uid="{8CD803B4-94CF-4BDD-8A23-5E74854EAD2F}"/>
    <cellStyle name="40% - Accent4 2 2 2 4 2 2 2 2" xfId="10049" xr:uid="{67482200-6939-4677-AF7F-3A3B7F52B08E}"/>
    <cellStyle name="40% - Accent4 2 2 2 4 2 2 2 2 2" xfId="30335" xr:uid="{BA5E279C-13FC-4C14-90B2-AA92026C73BE}"/>
    <cellStyle name="40% - Accent4 2 2 2 4 2 2 2 3" xfId="10043" xr:uid="{67393473-3041-408B-95A3-0F837F3A1EAF}"/>
    <cellStyle name="40% - Accent4 2 2 2 4 2 2 3" xfId="11405" xr:uid="{A48ACC23-2CE9-4E0A-89C9-AD0B1389CD9E}"/>
    <cellStyle name="40% - Accent4 2 2 2 4 2 2 3 2" xfId="10014" xr:uid="{EBC75001-5360-48FF-BA19-A694CC2B38A9}"/>
    <cellStyle name="40% - Accent4 2 2 2 4 2 2 4" xfId="11404" xr:uid="{CFC68DB2-3E1F-4C00-9111-BAD91FD1E0BD}"/>
    <cellStyle name="40% - Accent4 2 2 2 4 2 3" xfId="7508" xr:uid="{153CF3F7-0FA9-4030-B209-0F8EE7133D09}"/>
    <cellStyle name="40% - Accent4 2 2 2 4 2 3 2" xfId="11401" xr:uid="{41281CE2-047F-4C95-9314-F47F318AB362}"/>
    <cellStyle name="40% - Accent4 2 2 2 4 2 3 2 2" xfId="9965" xr:uid="{23FC0660-F6B7-4912-9ACD-E6F959994968}"/>
    <cellStyle name="40% - Accent4 2 2 2 4 2 3 3" xfId="11400" xr:uid="{D0612F45-549A-4D05-A5C7-EE82FC478FE8}"/>
    <cellStyle name="40% - Accent4 2 2 2 4 2 4" xfId="11399" xr:uid="{D8081C1A-4A82-41BC-8397-F7F9245E17A4}"/>
    <cellStyle name="40% - Accent4 2 2 2 4 2 4 2" xfId="11394" xr:uid="{A15CEA39-9985-4C55-A1BD-DA098BB58102}"/>
    <cellStyle name="40% - Accent4 2 2 2 4 2 5" xfId="11393" xr:uid="{98A20481-9EDA-4C78-A0E6-D9B16070A148}"/>
    <cellStyle name="40% - Accent4 2 2 2 4 3" xfId="11387" xr:uid="{60DF4013-CC54-452F-9A16-55AB53F005E6}"/>
    <cellStyle name="40% - Accent4 2 2 2 4 3 2" xfId="17384" xr:uid="{5F7AA565-B7F4-48B0-A73C-89B4A392E94A}"/>
    <cellStyle name="40% - Accent4 2 2 2 4 3 2 2" xfId="11383" xr:uid="{9BC725C5-0434-486C-9776-071E9D9A4A43}"/>
    <cellStyle name="40% - Accent4 2 2 2 4 3 2 2 2" xfId="11382" xr:uid="{16AC3D41-E9C5-4253-BCF5-A48C53F88B41}"/>
    <cellStyle name="40% - Accent4 2 2 2 4 3 2 3" xfId="11379" xr:uid="{5984F6A6-88AD-42B2-8713-25785CB7C6BD}"/>
    <cellStyle name="40% - Accent4 2 2 2 4 3 3" xfId="17363" xr:uid="{85BA19FA-86F8-41BD-85CE-4E2841E650F4}"/>
    <cellStyle name="40% - Accent4 2 2 2 4 3 3 2" xfId="11376" xr:uid="{1332132C-868C-4495-BC64-3DA5DBE2DE98}"/>
    <cellStyle name="40% - Accent4 2 2 2 4 3 4" xfId="17350" xr:uid="{2D3067D0-507F-4F1E-A95D-C82E08585A93}"/>
    <cellStyle name="40% - Accent4 2 2 2 4 4" xfId="13242" xr:uid="{276E59C1-D290-45B5-BDD9-FD953D382252}"/>
    <cellStyle name="40% - Accent4 2 2 2 4 4 2" xfId="17329" xr:uid="{292CA5AC-B2BD-4A3F-9DAB-72F6A16755A5}"/>
    <cellStyle name="40% - Accent4 2 2 2 4 4 2 2" xfId="11375" xr:uid="{3341B0B2-04AC-4502-8E69-09E2EDEDEB47}"/>
    <cellStyle name="40% - Accent4 2 2 2 4 4 3" xfId="26864" xr:uid="{377C221B-B93D-4A98-A0DF-CD772884148C}"/>
    <cellStyle name="40% - Accent4 2 2 2 4 5" xfId="11374" xr:uid="{0FD7D9F9-F701-4ABC-A869-0550382275C9}"/>
    <cellStyle name="40% - Accent4 2 2 2 4 5 2" xfId="11643" xr:uid="{CFDB1D61-D185-43B7-980C-E7221AA6052F}"/>
    <cellStyle name="40% - Accent4 2 2 2 4 6" xfId="11370" xr:uid="{760B5670-E958-450B-B49D-900303D6978D}"/>
    <cellStyle name="40% - Accent4 2 2 2 5" xfId="8430" xr:uid="{E076547C-7098-4FDD-95C3-D25698729231}"/>
    <cellStyle name="40% - Accent4 2 2 2 5 2" xfId="11369" xr:uid="{58C0B6D8-DAA6-4BB7-8D10-2CBA39C3C04F}"/>
    <cellStyle name="40% - Accent4 2 2 2 5 2 2" xfId="11365" xr:uid="{9BBA5CFD-7905-41EA-B8B0-84C931BB00A3}"/>
    <cellStyle name="40% - Accent4 2 2 2 5 2 2 2" xfId="32574" xr:uid="{94687510-272A-4CA4-A42D-39BA387FD40E}"/>
    <cellStyle name="40% - Accent4 2 2 2 5 2 2 2 2" xfId="9457" xr:uid="{539F9F3A-DB8C-4733-8405-BB699616D7F3}"/>
    <cellStyle name="40% - Accent4 2 2 2 5 2 2 3" xfId="11361" xr:uid="{10AE1A3B-0DFE-47C0-8543-9E90426CCFBA}"/>
    <cellStyle name="40% - Accent4 2 2 2 5 2 3" xfId="12513" xr:uid="{B82DE7FF-EF53-456A-B205-A21C24773CE6}"/>
    <cellStyle name="40% - Accent4 2 2 2 5 2 3 2" xfId="11360" xr:uid="{717BBF48-BD41-4160-9423-BC29D87B38B7}"/>
    <cellStyle name="40% - Accent4 2 2 2 5 2 4" xfId="11359" xr:uid="{A39FBE47-788F-4FD0-86FF-82A16A6B21D5}"/>
    <cellStyle name="40% - Accent4 2 2 2 5 3" xfId="11354" xr:uid="{CE525AAC-EA5D-4CB7-A87A-7EF45B3E67C0}"/>
    <cellStyle name="40% - Accent4 2 2 2 5 3 2" xfId="17265" xr:uid="{2160B00F-1AF1-4438-9888-DE1C2A506492}"/>
    <cellStyle name="40% - Accent4 2 2 2 5 3 2 2" xfId="11351" xr:uid="{9AC60FDF-C888-4DEB-BA4C-BD7FD0A18BE3}"/>
    <cellStyle name="40% - Accent4 2 2 2 5 3 3" xfId="17254" xr:uid="{C9396F87-B0F8-41A2-8B26-4FA05C31749E}"/>
    <cellStyle name="40% - Accent4 2 2 2 5 4" xfId="11348" xr:uid="{DC5FFFAB-D19A-44AF-A98A-7040AF8CBB5F}"/>
    <cellStyle name="40% - Accent4 2 2 2 5 4 2" xfId="17234" xr:uid="{67631CD1-F428-433D-B4B4-88F0F254C32B}"/>
    <cellStyle name="40% - Accent4 2 2 2 5 5" xfId="11345" xr:uid="{3343A8A2-5F68-4D4A-8B27-B058EB11432C}"/>
    <cellStyle name="40% - Accent4 2 2 2 6" xfId="16686" xr:uid="{054FC35E-29B6-47A8-AC81-AE8BD5DAA406}"/>
    <cellStyle name="40% - Accent4 2 2 2 6 2" xfId="11340" xr:uid="{A783AD74-DA0D-4C9D-B54F-37F228664BD5}"/>
    <cellStyle name="40% - Accent4 2 2 2 6 2 2" xfId="11337" xr:uid="{1A852030-38A7-4D78-AA69-3D4CE7616895}"/>
    <cellStyle name="40% - Accent4 2 2 2 6 2 2 2" xfId="11333" xr:uid="{19756D68-BF3A-4BD0-8500-B0F68C73DA9B}"/>
    <cellStyle name="40% - Accent4 2 2 2 6 2 3" xfId="11331" xr:uid="{0B4B4F7A-2A27-4EE0-85BC-C7C9A14DCC33}"/>
    <cellStyle name="40% - Accent4 2 2 2 6 3" xfId="11327" xr:uid="{64A66DC8-6B09-4CC4-ACC8-2FCAF5F6D874}"/>
    <cellStyle name="40% - Accent4 2 2 2 6 3 2" xfId="7798" xr:uid="{F6F31866-CF5F-48DD-ABAC-DEECA9D96D33}"/>
    <cellStyle name="40% - Accent4 2 2 2 6 4" xfId="11323" xr:uid="{50B974A1-08EF-4806-A62C-6FD2DB0E3DC5}"/>
    <cellStyle name="40% - Accent4 2 2 2 7" xfId="13349" xr:uid="{17EA109E-49AB-426E-BA99-F458390C5378}"/>
    <cellStyle name="40% - Accent4 2 2 2 7 2" xfId="11321" xr:uid="{10B2256B-A6CE-43B3-A765-EEBBB8D1270A}"/>
    <cellStyle name="40% - Accent4 2 2 2 7 2 2" xfId="19749" xr:uid="{C292938E-5A32-4319-82F1-A84005BE1851}"/>
    <cellStyle name="40% - Accent4 2 2 2 7 3" xfId="11318" xr:uid="{80DC8191-86D8-4824-9E07-1AFB377D83D7}"/>
    <cellStyle name="40% - Accent4 2 2 2 8" xfId="13345" xr:uid="{474EAD11-55A5-4C50-855B-16289818FA68}"/>
    <cellStyle name="40% - Accent4 2 2 2 8 2" xfId="30174" xr:uid="{C507B212-A635-41FE-A7CE-692E9E50A520}"/>
    <cellStyle name="40% - Accent4 2 2 2 9" xfId="11317" xr:uid="{6A51D478-8BA1-4707-89C1-8C5A6A4F86EE}"/>
    <cellStyle name="40% - Accent4 2 2 3" xfId="11316" xr:uid="{EBE3F370-4923-45C1-A0B7-BF9A57377B89}"/>
    <cellStyle name="40% - Accent4 2 2 3 2" xfId="20843" xr:uid="{4C360AD9-0BE1-4FD0-A5E1-A7A7CABAB7F4}"/>
    <cellStyle name="40% - Accent4 2 2 3 2 2" xfId="13475" xr:uid="{4D4D891C-E95B-4F5A-961C-E7C59D609208}"/>
    <cellStyle name="40% - Accent4 2 2 3 2 2 2" xfId="11314" xr:uid="{7DDCAEA0-0BED-45C4-B345-92677C65201E}"/>
    <cellStyle name="40% - Accent4 2 2 3 2 2 2 2" xfId="16111" xr:uid="{4D920D03-7A1A-44BD-9751-8F94046237EF}"/>
    <cellStyle name="40% - Accent4 2 2 3 2 2 2 2 2" xfId="18266" xr:uid="{986D9EEC-CBE8-4C15-B358-09BC380919A1}"/>
    <cellStyle name="40% - Accent4 2 2 3 2 2 2 2 2 2" xfId="11313" xr:uid="{BB7493FB-5210-42CB-A0AF-1297A2A24D4C}"/>
    <cellStyle name="40% - Accent4 2 2 3 2 2 2 2 2 2 2" xfId="11312" xr:uid="{24A14AE5-F189-49A7-BC3D-55F627663F92}"/>
    <cellStyle name="40% - Accent4 2 2 3 2 2 2 2 2 3" xfId="11310" xr:uid="{42167177-AB68-4638-80EE-A57CFB892CB5}"/>
    <cellStyle name="40% - Accent4 2 2 3 2 2 2 2 3" xfId="18252" xr:uid="{0CB4048F-4014-427A-AB51-E9479E9275CC}"/>
    <cellStyle name="40% - Accent4 2 2 3 2 2 2 2 3 2" xfId="33876" xr:uid="{33FC4311-65E3-4827-BF1D-4133D32126D2}"/>
    <cellStyle name="40% - Accent4 2 2 3 2 2 2 2 4" xfId="18249" xr:uid="{92179E83-89AA-462A-8E50-AFDD8FBA0ED4}"/>
    <cellStyle name="40% - Accent4 2 2 3 2 2 2 3" xfId="32273" xr:uid="{7652A7B7-F62C-4382-A725-9B53BC7F153D}"/>
    <cellStyle name="40% - Accent4 2 2 3 2 2 2 3 2" xfId="18241" xr:uid="{6603B17D-44B4-4FEB-8E40-F458CC1265E7}"/>
    <cellStyle name="40% - Accent4 2 2 3 2 2 2 3 2 2" xfId="11309" xr:uid="{3DD9E0C5-A49A-486B-8096-36BDD6E18CC4}"/>
    <cellStyle name="40% - Accent4 2 2 3 2 2 2 3 3" xfId="18238" xr:uid="{61AFB7E4-6E35-43D0-80F9-2686F57B9CBE}"/>
    <cellStyle name="40% - Accent4 2 2 3 2 2 2 4" xfId="33668" xr:uid="{2983A3F3-C081-422E-A43A-66287BED1653}"/>
    <cellStyle name="40% - Accent4 2 2 3 2 2 2 4 2" xfId="18229" xr:uid="{05CC7684-0D88-4E05-A4FA-EA295C872589}"/>
    <cellStyle name="40% - Accent4 2 2 3 2 2 2 5" xfId="11308" xr:uid="{8B585869-7969-4648-B0D0-F7F0FC11EA3E}"/>
    <cellStyle name="40% - Accent4 2 2 3 2 2 3" xfId="11305" xr:uid="{4EA56FC1-1C1E-4918-8D70-85D85CFFA4E8}"/>
    <cellStyle name="40% - Accent4 2 2 3 2 2 3 2" xfId="22230" xr:uid="{4E2C0352-EC23-4D1A-847A-A982A387D9C2}"/>
    <cellStyle name="40% - Accent4 2 2 3 2 2 3 2 2" xfId="28553" xr:uid="{93248E00-0063-436D-AB5A-AE3D9010EED9}"/>
    <cellStyle name="40% - Accent4 2 2 3 2 2 3 2 2 2" xfId="11304" xr:uid="{28701224-205D-4C13-9830-88C2E5D5E0A1}"/>
    <cellStyle name="40% - Accent4 2 2 3 2 2 3 2 3" xfId="18167" xr:uid="{6CEC2F91-4681-4919-8E2F-194C57C357EF}"/>
    <cellStyle name="40% - Accent4 2 2 3 2 2 3 3" xfId="22225" xr:uid="{B3671249-DF28-48E3-A116-88B6E4A6492F}"/>
    <cellStyle name="40% - Accent4 2 2 3 2 2 3 3 2" xfId="25203" xr:uid="{57441232-4A16-4DB8-9932-DE1B7BF2F489}"/>
    <cellStyle name="40% - Accent4 2 2 3 2 2 3 4" xfId="19731" xr:uid="{4976FCC6-B63A-4C32-A796-11352063B92F}"/>
    <cellStyle name="40% - Accent4 2 2 3 2 2 4" xfId="11303" xr:uid="{B2008881-65C1-4098-9E8C-F08D7939FF5D}"/>
    <cellStyle name="40% - Accent4 2 2 3 2 2 4 2" xfId="22222" xr:uid="{2C881781-DB61-4B91-9FD7-1FC0436C718A}"/>
    <cellStyle name="40% - Accent4 2 2 3 2 2 4 2 2" xfId="18152" xr:uid="{04F92513-B258-4D3C-B5EF-D7A05374F28D}"/>
    <cellStyle name="40% - Accent4 2 2 3 2 2 4 3" xfId="29542" xr:uid="{F1647C6B-418F-4A96-AEB0-C49FBA454E5C}"/>
    <cellStyle name="40% - Accent4 2 2 3 2 2 5" xfId="11302" xr:uid="{B7E7C8CD-DA9E-457F-ACE8-8C5E7AC1ED41}"/>
    <cellStyle name="40% - Accent4 2 2 3 2 2 5 2" xfId="11301" xr:uid="{10AF2361-0B5F-4EB7-8FCD-C73E0BC43BEF}"/>
    <cellStyle name="40% - Accent4 2 2 3 2 2 6" xfId="11299" xr:uid="{9F245210-4A7C-4721-8C90-67D7D4DCB776}"/>
    <cellStyle name="40% - Accent4 2 2 3 2 3" xfId="11119" xr:uid="{CFB9A938-43E9-4AD3-8706-BC791C9F3C12}"/>
    <cellStyle name="40% - Accent4 2 2 3 2 3 2" xfId="11298" xr:uid="{BBB9E5F2-459A-41FB-A9B1-C746EC01AAB0}"/>
    <cellStyle name="40% - Accent4 2 2 3 2 3 2 2" xfId="27981" xr:uid="{1A602D9A-ACB0-48D1-8631-D11DEC48A26C}"/>
    <cellStyle name="40% - Accent4 2 2 3 2 3 2 2 2" xfId="24297" xr:uid="{5ED54262-A785-4773-B1B8-45B272E3EA8B}"/>
    <cellStyle name="40% - Accent4 2 2 3 2 3 2 2 2 2" xfId="20842" xr:uid="{CE8A634A-C81C-415D-829D-59E138EA0E1B}"/>
    <cellStyle name="40% - Accent4 2 2 3 2 3 2 2 3" xfId="18199" xr:uid="{47C69388-E7D1-4E72-B467-60C1FA20F0B3}"/>
    <cellStyle name="40% - Accent4 2 2 3 2 3 2 3" xfId="29722" xr:uid="{2D4B2ADC-F8BA-4AA2-BCE5-574AC51728A9}"/>
    <cellStyle name="40% - Accent4 2 2 3 2 3 2 3 2" xfId="18193" xr:uid="{1567DBA3-B632-47A8-B9BA-09FDFA2872B1}"/>
    <cellStyle name="40% - Accent4 2 2 3 2 3 2 4" xfId="11297" xr:uid="{E4A6705D-DD34-48C5-BAE6-9977476AA599}"/>
    <cellStyle name="40% - Accent4 2 2 3 2 3 3" xfId="11293" xr:uid="{B2FEA431-FDB8-4ED4-BF1A-B54746C51347}"/>
    <cellStyle name="40% - Accent4 2 2 3 2 3 3 2" xfId="22205" xr:uid="{7D3454BB-A1FB-498B-BA90-9E1E36625866}"/>
    <cellStyle name="40% - Accent4 2 2 3 2 3 3 2 2" xfId="22408" xr:uid="{EA362B90-4F1A-4033-B9E1-2A2820201F07}"/>
    <cellStyle name="40% - Accent4 2 2 3 2 3 3 3" xfId="11292" xr:uid="{ACD42953-D958-4E81-AA9C-BFCDB95530BA}"/>
    <cellStyle name="40% - Accent4 2 2 3 2 3 4" xfId="11288" xr:uid="{EE39C2D3-B1A1-44E0-918C-4E021F65F086}"/>
    <cellStyle name="40% - Accent4 2 2 3 2 3 4 2" xfId="11287" xr:uid="{AD2C5863-82BC-4F8A-9EF6-A11B1F03C171}"/>
    <cellStyle name="40% - Accent4 2 2 3 2 3 5" xfId="11285" xr:uid="{1F85DE8F-CBC5-4C3D-9FD6-79E3C0E6A6D9}"/>
    <cellStyle name="40% - Accent4 2 2 3 2 4" xfId="11284" xr:uid="{B275773E-BC18-4321-80E4-84FAFF7A9BDC}"/>
    <cellStyle name="40% - Accent4 2 2 3 2 4 2" xfId="32079" xr:uid="{370114B1-EA61-436E-947E-34AD194F60C8}"/>
    <cellStyle name="40% - Accent4 2 2 3 2 4 2 2" xfId="11279" xr:uid="{CB5AAADE-6F26-4F8C-8C54-46216930BB50}"/>
    <cellStyle name="40% - Accent4 2 2 3 2 4 2 2 2" xfId="18166" xr:uid="{9EC79167-3F00-49B7-909F-A793A77E410E}"/>
    <cellStyle name="40% - Accent4 2 2 3 2 4 2 3" xfId="11278" xr:uid="{0E5D900A-BF81-4B6B-8E15-ADA8FB3E1019}"/>
    <cellStyle name="40% - Accent4 2 2 3 2 4 3" xfId="28409" xr:uid="{775BB25E-2C63-4B65-882D-01C81817C5D6}"/>
    <cellStyle name="40% - Accent4 2 2 3 2 4 3 2" xfId="11274" xr:uid="{563CA790-C045-46F4-89D5-56CFE21BEC98}"/>
    <cellStyle name="40% - Accent4 2 2 3 2 4 4" xfId="33683" xr:uid="{44B4E80B-2D6C-4CA5-A6CC-134B1E9CC16C}"/>
    <cellStyle name="40% - Accent4 2 2 3 2 5" xfId="11273" xr:uid="{78FB20CB-171E-4D1C-BFB0-A87CE64F40BE}"/>
    <cellStyle name="40% - Accent4 2 2 3 2 5 2" xfId="31435" xr:uid="{666A7078-9D15-4BEB-B34A-9FFB625707FB}"/>
    <cellStyle name="40% - Accent4 2 2 3 2 5 2 2" xfId="11269" xr:uid="{20E83660-880C-442F-A6A2-0B18D69D680D}"/>
    <cellStyle name="40% - Accent4 2 2 3 2 5 3" xfId="18445" xr:uid="{AD46CB44-068E-4DA2-AE21-6238A11C21F5}"/>
    <cellStyle name="40% - Accent4 2 2 3 2 6" xfId="11268" xr:uid="{68A1FBBD-DFB3-48D8-B540-303BF8039DDB}"/>
    <cellStyle name="40% - Accent4 2 2 3 2 6 2" xfId="11266" xr:uid="{63785F86-BC9F-429B-B2AA-568DAB907FDB}"/>
    <cellStyle name="40% - Accent4 2 2 3 2 7" xfId="11265" xr:uid="{E1414C29-7D26-4E7A-AA6E-DFD057D3CA78}"/>
    <cellStyle name="40% - Accent4 2 2 3 3" xfId="11264" xr:uid="{A9634EDC-BA5E-4797-B57A-21F7DA6803FC}"/>
    <cellStyle name="40% - Accent4 2 2 3 3 2" xfId="11261" xr:uid="{B06C29AD-9B8E-4614-A3A4-C4739AC1632E}"/>
    <cellStyle name="40% - Accent4 2 2 3 3 2 2" xfId="19725" xr:uid="{8ABB9C52-EAD8-4821-9AFA-746C6370ABB2}"/>
    <cellStyle name="40% - Accent4 2 2 3 3 2 2 2" xfId="11258" xr:uid="{BACBE8AF-5B96-4687-AF73-C66A2C58DC52}"/>
    <cellStyle name="40% - Accent4 2 2 3 3 2 2 2 2" xfId="8652" xr:uid="{218C45DB-ABBD-4392-AF7A-3D47E29CBFD4}"/>
    <cellStyle name="40% - Accent4 2 2 3 3 2 2 2 2 2" xfId="11257" xr:uid="{AD02207F-A2EB-45EE-8FCD-44E0B62CAAF1}"/>
    <cellStyle name="40% - Accent4 2 2 3 3 2 2 2 3" xfId="8644" xr:uid="{8B4078CF-E6EF-4FD1-A30F-DC00DBF9863A}"/>
    <cellStyle name="40% - Accent4 2 2 3 3 2 2 3" xfId="33588" xr:uid="{31E0B2F8-94C9-4D6E-82E9-DFD023284131}"/>
    <cellStyle name="40% - Accent4 2 2 3 3 2 2 3 2" xfId="8775" xr:uid="{9D17F748-AE73-4701-8B71-6F04C0B6DBBB}"/>
    <cellStyle name="40% - Accent4 2 2 3 3 2 2 4" xfId="11256" xr:uid="{FADE9A41-51A4-4909-8D94-5C053D192A16}"/>
    <cellStyle name="40% - Accent4 2 2 3 3 2 3" xfId="11255" xr:uid="{077C710D-186A-48B4-A7E8-6C668F0C3F51}"/>
    <cellStyle name="40% - Accent4 2 2 3 3 2 3 2" xfId="20132" xr:uid="{33A2FDFE-6893-4DE4-9ED7-F0E83D4C2880}"/>
    <cellStyle name="40% - Accent4 2 2 3 3 2 3 2 2" xfId="8528" xr:uid="{F3AE23E8-9DF2-4C09-9B91-DAE7D623ABD8}"/>
    <cellStyle name="40% - Accent4 2 2 3 3 2 3 3" xfId="27548" xr:uid="{A077A23E-F6D9-48C4-BB8E-B400320CFD83}"/>
    <cellStyle name="40% - Accent4 2 2 3 3 2 4" xfId="29157" xr:uid="{3ED2FF5F-11A0-4455-9DAF-C2B6DB64B4D5}"/>
    <cellStyle name="40% - Accent4 2 2 3 3 2 4 2" xfId="20130" xr:uid="{7224387D-105F-4D20-B581-5B40B6BA50F3}"/>
    <cellStyle name="40% - Accent4 2 2 3 3 2 5" xfId="11249" xr:uid="{7965D0B1-BC22-4E4C-AF75-C6FDC13854ED}"/>
    <cellStyle name="40% - Accent4 2 2 3 3 3" xfId="11243" xr:uid="{215465D5-FC21-4925-806E-5F0355B2E02D}"/>
    <cellStyle name="40% - Accent4 2 2 3 3 3 2" xfId="11240" xr:uid="{341A2C10-EB87-4825-BD72-E083FB3D173D}"/>
    <cellStyle name="40% - Accent4 2 2 3 3 3 2 2" xfId="11233" xr:uid="{771E504C-7738-403F-BA46-DAECE38F6B59}"/>
    <cellStyle name="40% - Accent4 2 2 3 3 3 2 2 2" xfId="8284" xr:uid="{C54FFA51-257F-46EF-966E-D31AB38541C2}"/>
    <cellStyle name="40% - Accent4 2 2 3 3 3 2 3" xfId="11232" xr:uid="{C7FE4BC5-E4FC-4AFF-9307-6EA36583B5DB}"/>
    <cellStyle name="40% - Accent4 2 2 3 3 3 3" xfId="11228" xr:uid="{4CE287C5-CE89-484D-B01C-C206666BD59D}"/>
    <cellStyle name="40% - Accent4 2 2 3 3 3 3 2" xfId="33504" xr:uid="{4D299415-DB04-47D8-ABBC-89DC773DCE59}"/>
    <cellStyle name="40% - Accent4 2 2 3 3 3 4" xfId="11218" xr:uid="{90773FC9-CF0F-4083-911C-05DC66DF35EB}"/>
    <cellStyle name="40% - Accent4 2 2 3 3 4" xfId="13237" xr:uid="{ED1ADAA4-CC99-4974-A19F-D21BC68398FF}"/>
    <cellStyle name="40% - Accent4 2 2 3 3 4 2" xfId="11211" xr:uid="{48773722-5EDF-4E37-A72D-BE3C5613D60B}"/>
    <cellStyle name="40% - Accent4 2 2 3 3 4 2 2" xfId="11207" xr:uid="{DCA33F39-2BFF-4117-918F-3E31D44D27AB}"/>
    <cellStyle name="40% - Accent4 2 2 3 3 4 3" xfId="26803" xr:uid="{042DAA93-B62A-4459-B0E4-B7643A90F4CB}"/>
    <cellStyle name="40% - Accent4 2 2 3 3 5" xfId="11206" xr:uid="{8F835340-05A1-424C-9E75-6E06F133D18C}"/>
    <cellStyle name="40% - Accent4 2 2 3 3 5 2" xfId="11203" xr:uid="{467DC485-2C6B-496C-B235-AB15E5B9C40A}"/>
    <cellStyle name="40% - Accent4 2 2 3 3 6" xfId="11200" xr:uid="{BCA514D3-1D06-4504-A89A-2ECEC30F252F}"/>
    <cellStyle name="40% - Accent4 2 2 3 4" xfId="11199" xr:uid="{41757B5B-34ED-423A-9BB6-903ACEC23FD5}"/>
    <cellStyle name="40% - Accent4 2 2 3 4 2" xfId="11197" xr:uid="{3FFEF447-E561-40D2-9507-25C6C227CF4A}"/>
    <cellStyle name="40% - Accent4 2 2 3 4 2 2" xfId="11193" xr:uid="{20143C19-018C-4CFF-B24D-DE8DF6DFA8D6}"/>
    <cellStyle name="40% - Accent4 2 2 3 4 2 2 2" xfId="11189" xr:uid="{A2F97AA2-87A3-4490-A73A-375637824B9B}"/>
    <cellStyle name="40% - Accent4 2 2 3 4 2 2 2 2" xfId="18083" xr:uid="{6A779C9A-0041-4A78-840A-4F2F405415DB}"/>
    <cellStyle name="40% - Accent4 2 2 3 4 2 2 3" xfId="11188" xr:uid="{979F695F-7702-465B-A439-BD8E020942E1}"/>
    <cellStyle name="40% - Accent4 2 2 3 4 2 3" xfId="11184" xr:uid="{F6A89562-AEFE-4570-8269-CA37EEE9056F}"/>
    <cellStyle name="40% - Accent4 2 2 3 4 2 3 2" xfId="18046" xr:uid="{6D53C839-C072-4EA5-BBAF-CBFB84772214}"/>
    <cellStyle name="40% - Accent4 2 2 3 4 2 4" xfId="18982" xr:uid="{45395F9B-3A60-4D95-96DB-4EE481719DD4}"/>
    <cellStyle name="40% - Accent4 2 2 3 4 3" xfId="11178" xr:uid="{143350C3-8163-42B5-968B-76DEADB55EAE}"/>
    <cellStyle name="40% - Accent4 2 2 3 4 3 2" xfId="17140" xr:uid="{88FA0ED0-9CDD-4149-A00D-C9A6AF2A3467}"/>
    <cellStyle name="40% - Accent4 2 2 3 4 3 2 2" xfId="11174" xr:uid="{7A7BF1B6-2F0C-46E8-85E1-A58D7B8E067F}"/>
    <cellStyle name="40% - Accent4 2 2 3 4 3 3" xfId="17123" xr:uid="{80FDABFC-2141-4CAA-94F5-17F709AB7D04}"/>
    <cellStyle name="40% - Accent4 2 2 3 4 4" xfId="11173" xr:uid="{4052848F-569A-4159-8302-A0846FEB43E5}"/>
    <cellStyle name="40% - Accent4 2 2 3 4 4 2" xfId="17092" xr:uid="{8BBACD6B-4CE8-40B0-8F9F-EB4614EB30D7}"/>
    <cellStyle name="40% - Accent4 2 2 3 4 5" xfId="11169" xr:uid="{330DA6A9-B1E7-4132-85BD-3D73DE4A6EC7}"/>
    <cellStyle name="40% - Accent4 2 2 3 5" xfId="16682" xr:uid="{B3BED1BF-F895-496B-A6DB-5C71981C83C1}"/>
    <cellStyle name="40% - Accent4 2 2 3 5 2" xfId="11168" xr:uid="{8D769FFA-A7C1-4BA8-840D-60A3B3B93EA6}"/>
    <cellStyle name="40% - Accent4 2 2 3 5 2 2" xfId="11164" xr:uid="{0A906032-3119-4E42-B19C-9B4127676566}"/>
    <cellStyle name="40% - Accent4 2 2 3 5 2 2 2" xfId="11159" xr:uid="{FB5C7E36-DE49-4E9B-9479-64C265BA5C43}"/>
    <cellStyle name="40% - Accent4 2 2 3 5 2 3" xfId="11157" xr:uid="{EC5D6D75-67F6-4701-AA63-3BB6AB9BF00E}"/>
    <cellStyle name="40% - Accent4 2 2 3 5 3" xfId="11152" xr:uid="{49C81442-D254-4F53-9F65-E09FBE89DD7A}"/>
    <cellStyle name="40% - Accent4 2 2 3 5 3 2" xfId="17042" xr:uid="{D41DB9A8-6562-46E4-B8BC-EC7756F9F872}"/>
    <cellStyle name="40% - Accent4 2 2 3 5 4" xfId="11149" xr:uid="{26F32D5F-887E-4F8B-9BFA-8E245317BB4A}"/>
    <cellStyle name="40% - Accent4 2 2 3 6" xfId="13340" xr:uid="{7BA9C951-9887-474B-B4E7-4C13400B9BCD}"/>
    <cellStyle name="40% - Accent4 2 2 3 6 2" xfId="11146" xr:uid="{3555F6EE-2804-4020-9087-E7C2FFC193F2}"/>
    <cellStyle name="40% - Accent4 2 2 3 6 2 2" xfId="11143" xr:uid="{15B67106-256D-4C03-A641-FAEE6C2FD5E0}"/>
    <cellStyle name="40% - Accent4 2 2 3 6 3" xfId="11140" xr:uid="{AF81F7C6-5965-4B46-8E6E-B556DD0ABC78}"/>
    <cellStyle name="40% - Accent4 2 2 3 7" xfId="13334" xr:uid="{072B94CE-7346-4DFA-A3C3-E8738E1CD996}"/>
    <cellStyle name="40% - Accent4 2 2 3 7 2" xfId="11138" xr:uid="{523EB771-BB1E-46B7-B55F-15C0F8D765D2}"/>
    <cellStyle name="40% - Accent4 2 2 3 8" xfId="11137" xr:uid="{1423C279-405B-4601-9FCA-23282842360D}"/>
    <cellStyle name="40% - Accent4 2 2 4" xfId="11135" xr:uid="{20B4CB5E-DE87-4B39-8CFA-6B4A6C1C6F7D}"/>
    <cellStyle name="40% - Accent4 2 2 4 2" xfId="11134" xr:uid="{CA4BD1A4-BAB1-4DB9-A0EF-CBEBF62F7FBC}"/>
    <cellStyle name="40% - Accent4 2 2 4 2 2" xfId="33722" xr:uid="{7F874028-DEB5-475C-8661-2B0BA173DD20}"/>
    <cellStyle name="40% - Accent4 2 2 4 2 2 2" xfId="11132" xr:uid="{E5D5F810-7D52-4FB3-B2C3-20DDAD3AA82C}"/>
    <cellStyle name="40% - Accent4 2 2 4 2 2 2 2" xfId="11129" xr:uid="{DD98CBD0-1F81-4C42-B0EB-19FB9AC7BFBD}"/>
    <cellStyle name="40% - Accent4 2 2 4 2 2 2 2 2" xfId="6590" xr:uid="{0F6D7A7C-4A35-4FA6-8F51-159228FEA316}"/>
    <cellStyle name="40% - Accent4 2 2 4 2 2 2 2 2 2" xfId="11126" xr:uid="{44B9731A-7444-4088-83C2-D676502EB58F}"/>
    <cellStyle name="40% - Accent4 2 2 4 2 2 2 2 3" xfId="6575" xr:uid="{9CE6425D-4EDB-4C3F-B2CD-0EE2540EC6B5}"/>
    <cellStyle name="40% - Accent4 2 2 4 2 2 2 3" xfId="11540" xr:uid="{CC13BEC8-EF45-4B63-BCD0-9B7DB5B73D38}"/>
    <cellStyle name="40% - Accent4 2 2 4 2 2 2 3 2" xfId="30118" xr:uid="{27070E21-68E0-4ED0-856C-CA19D31DA7B9}"/>
    <cellStyle name="40% - Accent4 2 2 4 2 2 2 4" xfId="11523" xr:uid="{03A14FDF-DE93-49AA-B82E-3CAE019958C5}"/>
    <cellStyle name="40% - Accent4 2 2 4 2 2 3" xfId="11124" xr:uid="{FD5138E6-BA16-4E78-9620-CFB08064F7E1}"/>
    <cellStyle name="40% - Accent4 2 2 4 2 2 3 2" xfId="11465" xr:uid="{BF764051-643B-442D-85D0-113CEFA8DDB8}"/>
    <cellStyle name="40% - Accent4 2 2 4 2 2 3 2 2" xfId="6452" xr:uid="{B4C29D23-B40B-4E21-AD0E-1C484634827F}"/>
    <cellStyle name="40% - Accent4 2 2 4 2 2 3 3" xfId="13250" xr:uid="{C6384A74-FB62-4567-A3F7-5E3FD964DA88}"/>
    <cellStyle name="40% - Accent4 2 2 4 2 2 4" xfId="20491" xr:uid="{17DCA70D-6083-48A9-88BE-8279ABCE4A02}"/>
    <cellStyle name="40% - Accent4 2 2 4 2 2 4 2" xfId="11386" xr:uid="{F088878B-E6AA-462C-88B2-577A74A3E774}"/>
    <cellStyle name="40% - Accent4 2 2 4 2 2 5" xfId="18995" xr:uid="{68966EF8-16A7-406E-AEE1-B84C2FF445CA}"/>
    <cellStyle name="40% - Accent4 2 2 4 2 3" xfId="11115" xr:uid="{3BD75F9B-462F-4362-9BC5-864B2DD22737}"/>
    <cellStyle name="40% - Accent4 2 2 4 2 3 2" xfId="11122" xr:uid="{9D2FAF5E-99A7-4BFF-8F9C-87C8793265EE}"/>
    <cellStyle name="40% - Accent4 2 2 4 2 3 2 2" xfId="11120" xr:uid="{1441A023-55C9-4169-806E-EB7EBB4896B3}"/>
    <cellStyle name="40% - Accent4 2 2 4 2 3 2 2 2" xfId="21139" xr:uid="{69AD85DE-5814-41F8-BB94-A9A01E74542D}"/>
    <cellStyle name="40% - Accent4 2 2 4 2 3 2 3" xfId="11282" xr:uid="{572D8A89-E934-465A-96B3-269D24013C53}"/>
    <cellStyle name="40% - Accent4 2 2 4 2 3 3" xfId="11118" xr:uid="{1677CB33-AE06-4E6A-A655-53FB73FF6D32}"/>
    <cellStyle name="40% - Accent4 2 2 4 2 3 3 2" xfId="11242" xr:uid="{0250AACB-FA3D-4762-ABF6-820139C42176}"/>
    <cellStyle name="40% - Accent4 2 2 4 2 3 4" xfId="18972" xr:uid="{5E1BB72F-5980-4C1A-B333-8E7B2FF54C1E}"/>
    <cellStyle name="40% - Accent4 2 2 4 2 4" xfId="27877" xr:uid="{C2AC86B0-3737-4315-A781-0C54AD8E6E7B}"/>
    <cellStyle name="40% - Accent4 2 2 4 2 4 2" xfId="11117" xr:uid="{9530E12F-A070-4251-9971-DBF12F1BE7C1}"/>
    <cellStyle name="40% - Accent4 2 2 4 2 4 2 2" xfId="11116" xr:uid="{392A91F8-88A2-47FF-B437-4CB0B203FD6B}"/>
    <cellStyle name="40% - Accent4 2 2 4 2 4 3" xfId="33405" xr:uid="{DACEA95B-74BA-454B-9C9B-FDEFB3C8EF19}"/>
    <cellStyle name="40% - Accent4 2 2 4 2 5" xfId="11114" xr:uid="{C3FF0174-69AA-40A6-B80D-C9322CB4FFE7}"/>
    <cellStyle name="40% - Accent4 2 2 4 2 5 2" xfId="11112" xr:uid="{17A9D69C-0F89-45F4-AF7D-14BF49CDCC2D}"/>
    <cellStyle name="40% - Accent4 2 2 4 2 6" xfId="11110" xr:uid="{0D876B95-4143-4EEB-BB5F-B98DFB435873}"/>
    <cellStyle name="40% - Accent4 2 2 4 3" xfId="11108" xr:uid="{E816C8D1-01E3-4083-A2A5-7BDB544574AD}"/>
    <cellStyle name="40% - Accent4 2 2 4 3 2" xfId="11106" xr:uid="{210AEA97-07DE-4244-9367-C53AE1B0C9F3}"/>
    <cellStyle name="40% - Accent4 2 2 4 3 2 2" xfId="11104" xr:uid="{6D4023A9-2A99-498C-89F8-F9C5A4FF8AF4}"/>
    <cellStyle name="40% - Accent4 2 2 4 3 2 2 2" xfId="11096" xr:uid="{D7103CF0-08E7-431B-B19A-64D53432A849}"/>
    <cellStyle name="40% - Accent4 2 2 4 3 2 2 2 2" xfId="11094" xr:uid="{8BE226F4-1AC1-41E2-B044-53A2F915036D}"/>
    <cellStyle name="40% - Accent4 2 2 4 3 2 2 3" xfId="10894" xr:uid="{420BD020-450D-4548-B97D-032A7B5D8478}"/>
    <cellStyle name="40% - Accent4 2 2 4 3 2 3" xfId="11091" xr:uid="{896A389D-A86A-47FF-B62B-E9C0671B201E}"/>
    <cellStyle name="40% - Accent4 2 2 4 3 2 3 2" xfId="22197" xr:uid="{72CFC192-AD36-4E90-9F27-0A7DE6B656D8}"/>
    <cellStyle name="40% - Accent4 2 2 4 3 2 4" xfId="27448" xr:uid="{65F03A55-EB40-4D2C-A967-5379AE43872A}"/>
    <cellStyle name="40% - Accent4 2 2 4 3 3" xfId="11084" xr:uid="{43BA0F6C-A6CD-47FE-9291-32521AD097A9}"/>
    <cellStyle name="40% - Accent4 2 2 4 3 3 2" xfId="11082" xr:uid="{D4C7FF76-8C6C-45ED-B1E8-1993A671C8FB}"/>
    <cellStyle name="40% - Accent4 2 2 4 3 3 2 2" xfId="10763" xr:uid="{53FF827A-8E54-4DD8-835F-EF908936D5DF}"/>
    <cellStyle name="40% - Accent4 2 2 4 3 3 3" xfId="11076" xr:uid="{171D1BF1-A579-4C79-9BBA-F297744583AB}"/>
    <cellStyle name="40% - Accent4 2 2 4 3 4" xfId="11070" xr:uid="{EAA5C354-AC2C-4980-B8C0-BEDD6157B57E}"/>
    <cellStyle name="40% - Accent4 2 2 4 3 4 2" xfId="11067" xr:uid="{EDE63927-ABB8-4A0A-BF5D-1F5454EBAA5F}"/>
    <cellStyle name="40% - Accent4 2 2 4 3 5" xfId="12388" xr:uid="{EA0726D1-C085-44C5-A82A-8084552E4240}"/>
    <cellStyle name="40% - Accent4 2 2 4 4" xfId="11063" xr:uid="{C645FB3F-4CF1-4746-9ADF-8185B243B4EA}"/>
    <cellStyle name="40% - Accent4 2 2 4 4 2" xfId="11062" xr:uid="{0A84594E-FB91-44AD-BC77-B3A3F71E915A}"/>
    <cellStyle name="40% - Accent4 2 2 4 4 2 2" xfId="11059" xr:uid="{62975199-1AAE-4FC8-A042-D1C5A720D5A0}"/>
    <cellStyle name="40% - Accent4 2 2 4 4 2 2 2" xfId="10565" xr:uid="{F46FAD84-80C3-44E6-8309-8FB3CF98DFCC}"/>
    <cellStyle name="40% - Accent4 2 2 4 4 2 3" xfId="11052" xr:uid="{FD0CCD30-7866-43FA-AA32-F84222120702}"/>
    <cellStyle name="40% - Accent4 2 2 4 4 3" xfId="11045" xr:uid="{80C3ED77-05C9-4B1F-B645-6F91B2C26106}"/>
    <cellStyle name="40% - Accent4 2 2 4 4 3 2" xfId="16956" xr:uid="{B5598414-9DC9-46B5-BDC1-8AD51EDDFA05}"/>
    <cellStyle name="40% - Accent4 2 2 4 4 4" xfId="11042" xr:uid="{F9E7B292-542F-4515-B226-1C97AE340655}"/>
    <cellStyle name="40% - Accent4 2 2 4 5" xfId="13331" xr:uid="{756435BD-96D7-4101-B1A2-4208BD8E5129}"/>
    <cellStyle name="40% - Accent4 2 2 4 5 2" xfId="11041" xr:uid="{1B98FBEF-AEBD-440E-B706-69F9DA0249C5}"/>
    <cellStyle name="40% - Accent4 2 2 4 5 2 2" xfId="11037" xr:uid="{5B4FA24D-7533-42A7-83E8-83860AC1D1E0}"/>
    <cellStyle name="40% - Accent4 2 2 4 5 3" xfId="11030" xr:uid="{E9AE5D69-73A5-4C84-9012-3510E57AA612}"/>
    <cellStyle name="40% - Accent4 2 2 4 6" xfId="33025" xr:uid="{34756065-B18A-45BC-9792-4904B7A353D5}"/>
    <cellStyle name="40% - Accent4 2 2 4 6 2" xfId="13708" xr:uid="{6BB4B3A4-E318-4C5C-A9F3-3D08AE825559}"/>
    <cellStyle name="40% - Accent4 2 2 4 7" xfId="31970" xr:uid="{4B3F6846-E3C0-4A20-BF66-FE46D90A10AC}"/>
    <cellStyle name="40% - Accent4 2 2 5" xfId="11029" xr:uid="{5CF6F005-BC8B-4B9E-88D9-7901A5FA6BEB}"/>
    <cellStyle name="40% - Accent4 2 2 5 2" xfId="11028" xr:uid="{DF883492-4E0F-4970-B78C-BCA4C9AE3101}"/>
    <cellStyle name="40% - Accent4 2 2 5 2 2" xfId="11027" xr:uid="{39CA251D-621E-46C6-99A5-A3EC9A95DD3F}"/>
    <cellStyle name="40% - Accent4 2 2 5 2 2 2" xfId="11026" xr:uid="{7ACFDA92-4302-44BC-A407-BF271EB1B7CA}"/>
    <cellStyle name="40% - Accent4 2 2 5 2 2 2 2" xfId="27869" xr:uid="{3BC9B39B-900D-4D35-893B-1A9B99E82A8C}"/>
    <cellStyle name="40% - Accent4 2 2 5 2 2 2 2 2" xfId="11024" xr:uid="{D242A7C8-7B44-42AC-A648-7D4AC21D4781}"/>
    <cellStyle name="40% - Accent4 2 2 5 2 2 2 3" xfId="10196" xr:uid="{2E51A33B-55D9-4799-A3A6-EF27CCB90C8B}"/>
    <cellStyle name="40% - Accent4 2 2 5 2 2 3" xfId="11022" xr:uid="{DEBBA2C2-0613-48DB-8ED5-D449D4BFE6B3}"/>
    <cellStyle name="40% - Accent4 2 2 5 2 2 3 2" xfId="10160" xr:uid="{C4F73A9A-27DB-4540-9FFD-CE6133104A43}"/>
    <cellStyle name="40% - Accent4 2 2 5 2 2 4" xfId="18835" xr:uid="{3F72767D-F54B-4405-B587-987F6772FD68}"/>
    <cellStyle name="40% - Accent4 2 2 5 2 3" xfId="11021" xr:uid="{F72D8953-53E0-41F7-9250-C3E107503433}"/>
    <cellStyle name="40% - Accent4 2 2 5 2 3 2" xfId="11020" xr:uid="{E4AFF6C2-E1ED-4419-9FEC-18BEF22B263F}"/>
    <cellStyle name="40% - Accent4 2 2 5 2 3 2 2" xfId="10057" xr:uid="{AF7E3518-3125-487F-923A-79D85C33D9CA}"/>
    <cellStyle name="40% - Accent4 2 2 5 2 3 3" xfId="11017" xr:uid="{18EE4738-D70A-4B23-81AE-48A0F8857B34}"/>
    <cellStyle name="40% - Accent4 2 2 5 2 4" xfId="11016" xr:uid="{8264629D-4657-438D-8C5C-AD7ADC8F7D41}"/>
    <cellStyle name="40% - Accent4 2 2 5 2 4 2" xfId="11012" xr:uid="{AE01F321-A0AD-4C33-A7EB-4969C049DEFD}"/>
    <cellStyle name="40% - Accent4 2 2 5 2 5" xfId="20703" xr:uid="{CA983D38-8DC7-46C2-A93F-1D12D4925A6F}"/>
    <cellStyle name="40% - Accent4 2 2 5 3" xfId="11011" xr:uid="{CFB27A85-07BC-4889-BD0F-91325CB44C9C}"/>
    <cellStyle name="40% - Accent4 2 2 5 3 2" xfId="11010" xr:uid="{CFB15935-6C41-4192-B152-8103DD67AC63}"/>
    <cellStyle name="40% - Accent4 2 2 5 3 2 2" xfId="11008" xr:uid="{317C63FC-761E-4B26-A300-29B364896C56}"/>
    <cellStyle name="40% - Accent4 2 2 5 3 2 2 2" xfId="11002" xr:uid="{43FC1565-9C0B-4765-9EC0-AD162AE9376D}"/>
    <cellStyle name="40% - Accent4 2 2 5 3 2 3" xfId="11000" xr:uid="{0884474E-FA30-42DD-9977-8A82FB621B8F}"/>
    <cellStyle name="40% - Accent4 2 2 5 3 3" xfId="10993" xr:uid="{C5A34AB0-4974-43BA-A6C4-0F7EC0567ED4}"/>
    <cellStyle name="40% - Accent4 2 2 5 3 3 2" xfId="10989" xr:uid="{9BE68CF5-C25B-47F3-BA1F-903ACFF014FF}"/>
    <cellStyle name="40% - Accent4 2 2 5 3 4" xfId="10986" xr:uid="{B498BFAD-309C-4697-9A84-A9D35DA22860}"/>
    <cellStyle name="40% - Accent4 2 2 5 4" xfId="10984" xr:uid="{390A63AF-A8FE-41AE-B753-9F4E78582ECD}"/>
    <cellStyle name="40% - Accent4 2 2 5 4 2" xfId="10982" xr:uid="{9BFB531F-5872-4DC4-B5AC-418F5B394850}"/>
    <cellStyle name="40% - Accent4 2 2 5 4 2 2" xfId="10977" xr:uid="{02B08FC8-84B8-44AC-803F-78E9235E4636}"/>
    <cellStyle name="40% - Accent4 2 2 5 4 3" xfId="10971" xr:uid="{4F8035AD-3C44-4CE9-A291-02AA336C3D6E}"/>
    <cellStyle name="40% - Accent4 2 2 5 5" xfId="13327" xr:uid="{3869AA5A-4919-4F16-AD89-0CE791050E34}"/>
    <cellStyle name="40% - Accent4 2 2 5 5 2" xfId="10969" xr:uid="{F93883E5-36CF-4FC0-BB0F-FA9FE5271311}"/>
    <cellStyle name="40% - Accent4 2 2 5 6" xfId="13698" xr:uid="{24C29240-6657-4DCA-90AB-D434A7A1449E}"/>
    <cellStyle name="40% - Accent4 2 2 6" xfId="10967" xr:uid="{956ABAAB-4B99-4212-BFFE-2EBDD79E8392}"/>
    <cellStyle name="40% - Accent4 2 2 6 2" xfId="10965" xr:uid="{50B63459-F9F7-4E23-B646-DEA452190BFE}"/>
    <cellStyle name="40% - Accent4 2 2 6 2 2" xfId="10963" xr:uid="{A56ABE32-F443-4406-8708-DA345DDA64B8}"/>
    <cellStyle name="40% - Accent4 2 2 6 2 2 2" xfId="10961" xr:uid="{EC081304-79AE-4982-B9B3-704D20CCCA03}"/>
    <cellStyle name="40% - Accent4 2 2 6 2 2 2 2" xfId="9501" xr:uid="{F6B2FA48-405C-4B8D-BAFB-4016DC82F324}"/>
    <cellStyle name="40% - Accent4 2 2 6 2 2 3" xfId="10959" xr:uid="{8459CB6B-0868-4618-90DD-A5F473DC9F68}"/>
    <cellStyle name="40% - Accent4 2 2 6 2 3" xfId="10954" xr:uid="{63B228A6-D25D-4B1F-BA9D-E017F921E9C6}"/>
    <cellStyle name="40% - Accent4 2 2 6 2 3 2" xfId="11827" xr:uid="{2B94280F-51DB-4714-A90B-B7F05495227C}"/>
    <cellStyle name="40% - Accent4 2 2 6 2 4" xfId="10952" xr:uid="{F7A23EB0-6DDC-4563-9F31-20B73CE8F337}"/>
    <cellStyle name="40% - Accent4 2 2 6 3" xfId="10950" xr:uid="{52D3A7EC-0B2C-496A-8497-B1815416028A}"/>
    <cellStyle name="40% - Accent4 2 2 6 3 2" xfId="10948" xr:uid="{4A277A9B-DB31-4293-B18D-D4A6B04A8A9A}"/>
    <cellStyle name="40% - Accent4 2 2 6 3 2 2" xfId="11789" xr:uid="{2FDA49CB-EFF6-4F46-ABCF-7148F117503C}"/>
    <cellStyle name="40% - Accent4 2 2 6 3 3" xfId="10946" xr:uid="{894F06A4-C538-4C9F-B1D8-781709E4D837}"/>
    <cellStyle name="40% - Accent4 2 2 6 4" xfId="10944" xr:uid="{C69B086A-C63E-4BD7-A314-4D7B42A4EED9}"/>
    <cellStyle name="40% - Accent4 2 2 6 4 2" xfId="10942" xr:uid="{FD646521-EBB2-4CD1-B6A3-07A87674E759}"/>
    <cellStyle name="40% - Accent4 2 2 6 5" xfId="10940" xr:uid="{B64A81CA-8101-4613-93E7-23320F541870}"/>
    <cellStyle name="40% - Accent4 2 2 7" xfId="28552" xr:uid="{C11D1A66-A396-438D-BBC2-5ED9E8F9FFA8}"/>
    <cellStyle name="40% - Accent4 2 2 7 2" xfId="24239" xr:uid="{F7C5D9D5-FF04-4237-8E93-79928782461F}"/>
    <cellStyle name="40% - Accent4 2 2 7 2 2" xfId="18173" xr:uid="{A3C31609-5AF5-4211-A598-AFB28ED902FF}"/>
    <cellStyle name="40% - Accent4 2 2 7 2 2 2" xfId="10938" xr:uid="{F2833F73-10E2-4537-840B-D8C453D46CC1}"/>
    <cellStyle name="40% - Accent4 2 2 7 2 3" xfId="10937" xr:uid="{2FB6C174-A061-41CA-B1ED-BC576AC6BF5D}"/>
    <cellStyle name="40% - Accent4 2 2 7 3" xfId="21113" xr:uid="{0BE1804C-183B-4074-A8C1-BF263DCA156B}"/>
    <cellStyle name="40% - Accent4 2 2 7 3 2" xfId="10935" xr:uid="{C758CA3B-2261-49FE-86B1-FC80E8599C45}"/>
    <cellStyle name="40% - Accent4 2 2 7 4" xfId="10934" xr:uid="{680E5BD3-058F-40D0-B1D3-215A58E908FE}"/>
    <cellStyle name="40% - Accent4 2 2 8" xfId="18168" xr:uid="{DFD732F1-741C-41E9-B46E-8792ACEADE17}"/>
    <cellStyle name="40% - Accent4 2 2 8 2" xfId="18165" xr:uid="{D4396620-96D7-478E-9A5B-B424AC328059}"/>
    <cellStyle name="40% - Accent4 2 2 8 2 2" xfId="10932" xr:uid="{B67CBB71-B530-4EDA-8992-7D01AD5E8AA5}"/>
    <cellStyle name="40% - Accent4 2 2 8 3" xfId="10931" xr:uid="{B6983299-975B-47A0-9E2B-85D71EB1EB71}"/>
    <cellStyle name="40% - Accent4 2 2 9" xfId="18164" xr:uid="{760C247C-C135-4678-9100-476F7463CBEA}"/>
    <cellStyle name="40% - Accent4 2 2 9 2" xfId="10930" xr:uid="{D7BB035C-3006-4D15-80E5-A9B01BB315E6}"/>
    <cellStyle name="40% - Accent4 2 3" xfId="209" xr:uid="{6169F43F-6FDE-40C6-B747-BE1B10D4EABA}"/>
    <cellStyle name="40% - Accent4 2 3 10" xfId="34541" xr:uid="{D6469EEE-5493-405B-B5F1-3B52DF3026AA}"/>
    <cellStyle name="40% - Accent4 2 3 11" xfId="21114" xr:uid="{E74A04C4-6B0F-48A4-A35B-5BE889BE6E05}"/>
    <cellStyle name="40% - Accent4 2 3 2" xfId="11905" xr:uid="{1B95CBB4-8AED-486E-8556-4E2EE0FC03E4}"/>
    <cellStyle name="40% - Accent4 2 3 2 2" xfId="11903" xr:uid="{5E289CFD-0578-4D29-ACF5-3AE203996C4C}"/>
    <cellStyle name="40% - Accent4 2 3 2 2 2" xfId="5505" xr:uid="{8E80AA77-B7F0-497D-A339-7162251EA0E7}"/>
    <cellStyle name="40% - Accent4 2 3 2 2 2 2" xfId="32717" xr:uid="{8546A4B2-53B6-42B5-9DDA-53FD35A6525E}"/>
    <cellStyle name="40% - Accent4 2 3 2 2 2 2 2" xfId="17500" xr:uid="{BD251421-ED5B-45FC-BC8C-B449CEAE89B8}"/>
    <cellStyle name="40% - Accent4 2 3 2 2 2 2 2 2" xfId="10055" xr:uid="{928056AA-9907-4981-9963-5D31EA65D918}"/>
    <cellStyle name="40% - Accent4 2 3 2 2 2 2 2 2 2" xfId="10929" xr:uid="{B43E039C-9CC8-4882-9A22-61227DFBDC7B}"/>
    <cellStyle name="40% - Accent4 2 3 2 2 2 2 2 2 2 2" xfId="9312" xr:uid="{76A520EA-E654-4F99-815C-668771A43B34}"/>
    <cellStyle name="40% - Accent4 2 3 2 2 2 2 2 2 3" xfId="16254" xr:uid="{B117BC0E-2300-4D5F-8B64-EAF16B30DEBF}"/>
    <cellStyle name="40% - Accent4 2 3 2 2 2 2 2 3" xfId="26748" xr:uid="{1ACF6A19-6537-4A9E-801B-297B27573CE8}"/>
    <cellStyle name="40% - Accent4 2 3 2 2 2 2 2 3 2" xfId="10927" xr:uid="{3C7347A7-9F74-4554-A653-B64468853386}"/>
    <cellStyle name="40% - Accent4 2 3 2 2 2 2 2 4" xfId="20443" xr:uid="{75FF4E2D-28D2-40C5-9AEC-0CAA79ABC8BE}"/>
    <cellStyle name="40% - Accent4 2 3 2 2 2 2 3" xfId="10926" xr:uid="{BC34391C-861B-4966-9D41-048164069A77}"/>
    <cellStyle name="40% - Accent4 2 3 2 2 2 2 3 2" xfId="14696" xr:uid="{9C628178-A14C-491C-BA18-1D7FCEA2E245}"/>
    <cellStyle name="40% - Accent4 2 3 2 2 2 2 3 2 2" xfId="10925" xr:uid="{77727DCC-B1DF-4B9F-AA23-A8024D295975}"/>
    <cellStyle name="40% - Accent4 2 3 2 2 2 2 3 3" xfId="20434" xr:uid="{3B6464B1-5E8E-4B28-AD31-94DA94BBBC30}"/>
    <cellStyle name="40% - Accent4 2 3 2 2 2 2 4" xfId="10924" xr:uid="{8F3D7605-630E-4F3D-B4A4-9BFD35E3126C}"/>
    <cellStyle name="40% - Accent4 2 3 2 2 2 2 4 2" xfId="18861" xr:uid="{A9B69138-9AFE-43EB-9DA0-CB310C83206A}"/>
    <cellStyle name="40% - Accent4 2 3 2 2 2 2 5" xfId="10921" xr:uid="{B7779FCA-4806-4345-894A-7F6FDAE7F1B7}"/>
    <cellStyle name="40% - Accent4 2 3 2 2 2 3" xfId="10918" xr:uid="{850FF416-A0D2-4287-9D46-7EF53DCB1606}"/>
    <cellStyle name="40% - Accent4 2 3 2 2 2 3 2" xfId="34116" xr:uid="{FD51B31F-FC26-4BBB-9D22-1C3171025226}"/>
    <cellStyle name="40% - Accent4 2 3 2 2 2 3 2 2" xfId="20754" xr:uid="{33CB6CF6-B6B8-44F6-91E3-457B94816FC1}"/>
    <cellStyle name="40% - Accent4 2 3 2 2 2 3 2 2 2" xfId="10917" xr:uid="{780DB3B9-85FC-4A11-B34B-EFE1E5B8BED3}"/>
    <cellStyle name="40% - Accent4 2 3 2 2 2 3 2 3" xfId="20745" xr:uid="{54F9F0E8-33B2-4A21-B82F-A09DEE1FC60B}"/>
    <cellStyle name="40% - Accent4 2 3 2 2 2 3 3" xfId="33763" xr:uid="{BA2CD382-C9C0-4DCD-AB7E-915C5E5EEE8C}"/>
    <cellStyle name="40% - Accent4 2 3 2 2 2 3 3 2" xfId="27115" xr:uid="{F17DB7DB-5F72-48E4-8184-F53E4020ABB2}"/>
    <cellStyle name="40% - Accent4 2 3 2 2 2 3 4" xfId="33633" xr:uid="{32F08B99-63C0-439B-9955-5994D8E2DD40}"/>
    <cellStyle name="40% - Accent4 2 3 2 2 2 4" xfId="10913" xr:uid="{334CB537-3E86-4DE3-9545-56D3782EC3BC}"/>
    <cellStyle name="40% - Accent4 2 3 2 2 2 4 2" xfId="24881" xr:uid="{D9058569-AB98-4AB3-A284-B57662A87DE1}"/>
    <cellStyle name="40% - Accent4 2 3 2 2 2 4 2 2" xfId="20740" xr:uid="{AAA41ECB-761C-4EA1-9F73-CD2663EC5933}"/>
    <cellStyle name="40% - Accent4 2 3 2 2 2 4 3" xfId="29133" xr:uid="{7E0664AB-8E0E-4F9D-BC93-A499FF3602EC}"/>
    <cellStyle name="40% - Accent4 2 3 2 2 2 5" xfId="10912" xr:uid="{3DCBC257-CC92-4180-8EF1-FAA9FB80D1D9}"/>
    <cellStyle name="40% - Accent4 2 3 2 2 2 5 2" xfId="28282" xr:uid="{A6B98FA9-351E-45FB-BFA5-1D6AD5FFC313}"/>
    <cellStyle name="40% - Accent4 2 3 2 2 2 6" xfId="10911" xr:uid="{66BCD27F-AD13-46BD-8EE4-E8AF6D79BD5B}"/>
    <cellStyle name="40% - Accent4 2 3 2 2 3" xfId="11095" xr:uid="{6F594691-7DE6-44A1-8891-002A2398FD94}"/>
    <cellStyle name="40% - Accent4 2 3 2 2 3 2" xfId="10909" xr:uid="{ADCE85A3-414C-4E89-9445-299639E8DB5E}"/>
    <cellStyle name="40% - Accent4 2 3 2 2 3 2 2" xfId="31330" xr:uid="{9ACBAD83-5235-4C91-9B7F-A033D1C259BF}"/>
    <cellStyle name="40% - Accent4 2 3 2 2 3 2 2 2" xfId="18671" xr:uid="{15857A22-76E8-4982-9EBD-82E6CA924304}"/>
    <cellStyle name="40% - Accent4 2 3 2 2 3 2 2 2 2" xfId="24350" xr:uid="{92103081-9A3F-4DDD-BAA4-02DE5BC35805}"/>
    <cellStyle name="40% - Accent4 2 3 2 2 3 2 2 3" xfId="24709" xr:uid="{935A8884-7F1F-4761-9036-BE0BD5813446}"/>
    <cellStyle name="40% - Accent4 2 3 2 2 3 2 3" xfId="10908" xr:uid="{AF555870-8711-4B0E-81AB-C45BA8559D4E}"/>
    <cellStyle name="40% - Accent4 2 3 2 2 3 2 3 2" xfId="18657" xr:uid="{BF78EA6A-527D-420B-90C8-F5222F47F0F0}"/>
    <cellStyle name="40% - Accent4 2 3 2 2 3 2 4" xfId="10905" xr:uid="{3EE28619-D073-4A4C-B7BD-E369956676A0}"/>
    <cellStyle name="40% - Accent4 2 3 2 2 3 3" xfId="10901" xr:uid="{63BDDFB5-4A00-495A-9E1E-0860F285C922}"/>
    <cellStyle name="40% - Accent4 2 3 2 2 3 3 2" xfId="34075" xr:uid="{E3516901-797A-464D-A503-95F303747E40}"/>
    <cellStyle name="40% - Accent4 2 3 2 2 3 3 2 2" xfId="20730" xr:uid="{9EBE5816-20FF-481E-9AFD-03DFE1045E04}"/>
    <cellStyle name="40% - Accent4 2 3 2 2 3 3 3" xfId="10900" xr:uid="{0BE27623-3F1A-4B1D-806D-B4224C5A2950}"/>
    <cellStyle name="40% - Accent4 2 3 2 2 3 4" xfId="10897" xr:uid="{11FA5E3B-6D62-442C-8867-1E793B52CEFB}"/>
    <cellStyle name="40% - Accent4 2 3 2 2 3 4 2" xfId="24873" xr:uid="{B639DB89-237F-451B-A4CF-4FB56CB70FE5}"/>
    <cellStyle name="40% - Accent4 2 3 2 2 3 5" xfId="10896" xr:uid="{FA9DCB25-61B3-42BE-A230-1661543B1559}"/>
    <cellStyle name="40% - Accent4 2 3 2 2 4" xfId="10895" xr:uid="{ECAE78F8-A98C-45A3-A874-D9A8416BC7AF}"/>
    <cellStyle name="40% - Accent4 2 3 2 2 4 2" xfId="30025" xr:uid="{3AE63E59-66C1-44AD-91B5-AE630030910D}"/>
    <cellStyle name="40% - Accent4 2 3 2 2 4 2 2" xfId="25016" xr:uid="{054D0470-C3DE-4BAF-BA88-6EF8CFAAC9E0}"/>
    <cellStyle name="40% - Accent4 2 3 2 2 4 2 2 2" xfId="18554" xr:uid="{3A84BECE-F0E9-4DA5-9497-FAE04B326FF7}"/>
    <cellStyle name="40% - Accent4 2 3 2 2 4 2 3" xfId="10892" xr:uid="{508BEB82-DFB1-4BCD-8A2F-153900921ADD}"/>
    <cellStyle name="40% - Accent4 2 3 2 2 4 3" xfId="34295" xr:uid="{7ADCCC6E-B18F-4121-A8B5-379189D3D49C}"/>
    <cellStyle name="40% - Accent4 2 3 2 2 4 3 2" xfId="10890" xr:uid="{651A5201-AAF1-4C3C-A718-AC6366C59E44}"/>
    <cellStyle name="40% - Accent4 2 3 2 2 4 4" xfId="10889" xr:uid="{856AC585-3B33-49BA-895B-59EEB58C42BE}"/>
    <cellStyle name="40% - Accent4 2 3 2 2 5" xfId="10888" xr:uid="{69CAEB49-CA2A-48BF-A07F-71EE17FEE3F4}"/>
    <cellStyle name="40% - Accent4 2 3 2 2 5 2" xfId="10887" xr:uid="{DBD9BEDC-1237-43BA-97E5-C9F1C44AE7FA}"/>
    <cellStyle name="40% - Accent4 2 3 2 2 5 2 2" xfId="10886" xr:uid="{FA5CAE73-3B9E-4BDC-A3EC-06320AF86C31}"/>
    <cellStyle name="40% - Accent4 2 3 2 2 5 3" xfId="10885" xr:uid="{1F944CAA-70CE-404F-9C02-8EF19A91CF41}"/>
    <cellStyle name="40% - Accent4 2 3 2 2 6" xfId="10884" xr:uid="{071D9356-1BDE-47D6-AC89-30E1B88B2C05}"/>
    <cellStyle name="40% - Accent4 2 3 2 2 6 2" xfId="10882" xr:uid="{4AC11FF6-268B-48B5-861B-EDA44F32F09D}"/>
    <cellStyle name="40% - Accent4 2 3 2 2 7" xfId="10881" xr:uid="{30F642C6-C629-42A8-A31E-A5F8BBD40B56}"/>
    <cellStyle name="40% - Accent4 2 3 2 3" xfId="24467" xr:uid="{48D83C3E-B982-43F1-862A-054A8DBC5AF1}"/>
    <cellStyle name="40% - Accent4 2 3 2 3 2" xfId="24550" xr:uid="{2BC20B6D-CEE6-48DD-850A-89F26A8FBEF6}"/>
    <cellStyle name="40% - Accent4 2 3 2 3 2 2" xfId="10880" xr:uid="{E98F0FAF-192B-4526-9F72-36C5E4D2EA55}"/>
    <cellStyle name="40% - Accent4 2 3 2 3 2 2 2" xfId="10876" xr:uid="{488E1CF2-5C9A-47EE-A080-A04A5AB8B0EB}"/>
    <cellStyle name="40% - Accent4 2 3 2 3 2 2 2 2" xfId="18410" xr:uid="{5F41CDFA-BD5F-4948-BB41-EC135F6D7A4F}"/>
    <cellStyle name="40% - Accent4 2 3 2 3 2 2 2 2 2" xfId="10875" xr:uid="{CFBC6036-8830-48B7-AA3E-B709BA54F76C}"/>
    <cellStyle name="40% - Accent4 2 3 2 3 2 2 2 3" xfId="15753" xr:uid="{FE133E40-B1C7-46A6-8C50-083981E6D665}"/>
    <cellStyle name="40% - Accent4 2 3 2 3 2 2 3" xfId="25097" xr:uid="{669B4062-AC30-4C37-B724-9F37789ABDE1}"/>
    <cellStyle name="40% - Accent4 2 3 2 3 2 2 3 2" xfId="18403" xr:uid="{E9E9E541-2FC2-4E41-A580-56963E363DB0}"/>
    <cellStyle name="40% - Accent4 2 3 2 3 2 2 4" xfId="10872" xr:uid="{5CBE4E26-4199-4D2B-B01B-75D43463E626}"/>
    <cellStyle name="40% - Accent4 2 3 2 3 2 3" xfId="10870" xr:uid="{0593F494-7190-480D-97B2-2A26E6A2A5FC}"/>
    <cellStyle name="40% - Accent4 2 3 2 3 2 3 2" xfId="33952" xr:uid="{DC34331B-6C4C-4FE4-9A9B-64F0A5A34616}"/>
    <cellStyle name="40% - Accent4 2 3 2 3 2 3 2 2" xfId="15674" xr:uid="{EAA14A0A-1BEC-4A77-AA4E-EA422E10C378}"/>
    <cellStyle name="40% - Accent4 2 3 2 3 2 3 3" xfId="10866" xr:uid="{7D18ED11-D94C-438F-9648-27C7A8995B4F}"/>
    <cellStyle name="40% - Accent4 2 3 2 3 2 4" xfId="10865" xr:uid="{5DFBE160-A0AB-4E30-A969-EFC84555A6BC}"/>
    <cellStyle name="40% - Accent4 2 3 2 3 2 4 2" xfId="24853" xr:uid="{28DF2342-E467-4865-A05D-BB3212E91738}"/>
    <cellStyle name="40% - Accent4 2 3 2 3 2 5" xfId="10860" xr:uid="{1D8043F9-B451-4947-A59C-85A98F2BB317}"/>
    <cellStyle name="40% - Accent4 2 3 2 3 3" xfId="22198" xr:uid="{36AD2104-3276-47C5-9AF7-A4DCADC96726}"/>
    <cellStyle name="40% - Accent4 2 3 2 3 3 2" xfId="10855" xr:uid="{E7E3E126-1E95-43CC-A29B-0C236F7EEF32}"/>
    <cellStyle name="40% - Accent4 2 3 2 3 3 2 2" xfId="10852" xr:uid="{BA3C3095-7037-42B9-83BA-791E39952FBA}"/>
    <cellStyle name="40% - Accent4 2 3 2 3 3 2 2 2" xfId="11221" xr:uid="{B242BEF5-34D1-4CD7-B88A-0A29EEA4D282}"/>
    <cellStyle name="40% - Accent4 2 3 2 3 3 2 3" xfId="10851" xr:uid="{79A31E8E-1D6D-4986-AD5B-4B82A2C09B1D}"/>
    <cellStyle name="40% - Accent4 2 3 2 3 3 3" xfId="10848" xr:uid="{1308CD7C-CF43-47BC-859D-065B51107E35}"/>
    <cellStyle name="40% - Accent4 2 3 2 3 3 3 2" xfId="10844" xr:uid="{D02BAEA5-A7C1-431C-87B7-104B91D298DB}"/>
    <cellStyle name="40% - Accent4 2 3 2 3 3 4" xfId="10842" xr:uid="{329FB677-9EFD-4157-91E8-BE38B079BB7D}"/>
    <cellStyle name="40% - Accent4 2 3 2 3 4" xfId="13225" xr:uid="{5E700941-3102-48D8-B1D9-2D54FBD5FD3A}"/>
    <cellStyle name="40% - Accent4 2 3 2 3 4 2" xfId="10839" xr:uid="{98668FEE-3D74-489C-8221-E4CE5A19CFBD}"/>
    <cellStyle name="40% - Accent4 2 3 2 3 4 2 2" xfId="10836" xr:uid="{C130DA4A-2CF1-4716-A201-0E41E05603C5}"/>
    <cellStyle name="40% - Accent4 2 3 2 3 4 3" xfId="10835" xr:uid="{53B4C334-60E9-41A4-8CDC-40FEFED62437}"/>
    <cellStyle name="40% - Accent4 2 3 2 3 5" xfId="10832" xr:uid="{6B02FA03-93E9-49CF-89B9-2C069721C615}"/>
    <cellStyle name="40% - Accent4 2 3 2 3 5 2" xfId="10829" xr:uid="{CCB3E5CA-D9B4-476E-84C7-7632D0AAEC05}"/>
    <cellStyle name="40% - Accent4 2 3 2 3 6" xfId="10827" xr:uid="{ECB20C77-01E0-4C2E-9A93-DA9D2DE15C81}"/>
    <cellStyle name="40% - Accent4 2 3 2 4" xfId="10825" xr:uid="{B901BCAE-F4B7-4AEE-BF4D-1A33D9192B0F}"/>
    <cellStyle name="40% - Accent4 2 3 2 4 2" xfId="24015" xr:uid="{903E571A-A7D4-46C5-9A6B-5ECE8839C0DF}"/>
    <cellStyle name="40% - Accent4 2 3 2 4 2 2" xfId="10822" xr:uid="{EFA09E1A-7FF3-45B8-9DB9-F860365B672D}"/>
    <cellStyle name="40% - Accent4 2 3 2 4 2 2 2" xfId="10818" xr:uid="{5A17E334-792D-4158-B50D-F12F88F1AB28}"/>
    <cellStyle name="40% - Accent4 2 3 2 4 2 2 2 2" xfId="18248" xr:uid="{4C528355-44DA-4156-89C8-47DC17BD27EF}"/>
    <cellStyle name="40% - Accent4 2 3 2 4 2 2 3" xfId="10817" xr:uid="{0FE2CA74-286B-4F19-8B82-383FC84D6C3D}"/>
    <cellStyle name="40% - Accent4 2 3 2 4 2 3" xfId="10816" xr:uid="{BC0F105B-C5B3-4B40-9677-83CB19F8D692}"/>
    <cellStyle name="40% - Accent4 2 3 2 4 2 3 2" xfId="10812" xr:uid="{05B4E6B2-ABF6-4CAE-B4D1-71F20C897E16}"/>
    <cellStyle name="40% - Accent4 2 3 2 4 2 4" xfId="10811" xr:uid="{1A2559B9-18CA-4AB3-87C3-D8444ED5EA64}"/>
    <cellStyle name="40% - Accent4 2 3 2 4 3" xfId="32886" xr:uid="{7CAFC82A-1D1C-4514-B5FB-C5D47FDE7BD0}"/>
    <cellStyle name="40% - Accent4 2 3 2 4 3 2" xfId="16510" xr:uid="{CF7A94CB-ED44-4B4D-98C5-876DF8FD697B}"/>
    <cellStyle name="40% - Accent4 2 3 2 4 3 2 2" xfId="10808" xr:uid="{BA8C362C-DF61-4A4C-B8E1-DC2C056D99FE}"/>
    <cellStyle name="40% - Accent4 2 3 2 4 3 3" xfId="16499" xr:uid="{48B4AE17-DEFE-478A-93D8-70E71BA3F86D}"/>
    <cellStyle name="40% - Accent4 2 3 2 4 4" xfId="10807" xr:uid="{ECA32A5A-451C-4AF6-A60F-CF1D7A6B0AF6}"/>
    <cellStyle name="40% - Accent4 2 3 2 4 4 2" xfId="16476" xr:uid="{78D73634-2E19-4A55-93AB-B619666B05EA}"/>
    <cellStyle name="40% - Accent4 2 3 2 4 5" xfId="10803" xr:uid="{65F288B9-9764-4E2C-BEB8-5627102CBD82}"/>
    <cellStyle name="40% - Accent4 2 3 2 5" xfId="7552" xr:uid="{7671B685-C424-40B7-9304-98815D380EB5}"/>
    <cellStyle name="40% - Accent4 2 3 2 5 2" xfId="10801" xr:uid="{B8FE6E6A-BF1F-4501-994E-FF58DD873BC9}"/>
    <cellStyle name="40% - Accent4 2 3 2 5 2 2" xfId="13635" xr:uid="{A27C07A5-4E92-439E-862C-D593F34C75D3}"/>
    <cellStyle name="40% - Accent4 2 3 2 5 2 2 2" xfId="26565" xr:uid="{E643BF24-CCF0-4D02-84DD-75851E2969E8}"/>
    <cellStyle name="40% - Accent4 2 3 2 5 2 3" xfId="10796" xr:uid="{F204BB7F-77CE-41D7-8E22-09137B841134}"/>
    <cellStyle name="40% - Accent4 2 3 2 5 3" xfId="10791" xr:uid="{D2D83400-03EF-4FC2-9428-8B7B6774AC34}"/>
    <cellStyle name="40% - Accent4 2 3 2 5 3 2" xfId="16433" xr:uid="{C52A2952-BAA7-47FB-A5FA-E00EA036D275}"/>
    <cellStyle name="40% - Accent4 2 3 2 5 4" xfId="10786" xr:uid="{2EF5C797-6D6F-49AF-9287-341A997C48BF}"/>
    <cellStyle name="40% - Accent4 2 3 2 6" xfId="13319" xr:uid="{B9107F9E-CFB5-484E-A062-2B947543DF6B}"/>
    <cellStyle name="40% - Accent4 2 3 2 6 2" xfId="22881" xr:uid="{FD663410-7C12-433B-BC13-6573B2908483}"/>
    <cellStyle name="40% - Accent4 2 3 2 6 2 2" xfId="10783" xr:uid="{4125257A-4168-404E-82B9-94B090E47B20}"/>
    <cellStyle name="40% - Accent4 2 3 2 6 3" xfId="22873" xr:uid="{E97702EF-6429-42D6-B41C-D0DFD1D78065}"/>
    <cellStyle name="40% - Accent4 2 3 2 7" xfId="13315" xr:uid="{8B860E98-F1E2-4E2B-B47A-46956DBE572F}"/>
    <cellStyle name="40% - Accent4 2 3 2 7 2" xfId="28186" xr:uid="{72EE31B0-57C8-491B-9616-5C3333520EE0}"/>
    <cellStyle name="40% - Accent4 2 3 2 8" xfId="10780" xr:uid="{31F87BB4-4C2A-4A47-857B-CCDA9BCBE487}"/>
    <cellStyle name="40% - Accent4 2 3 3" xfId="11898" xr:uid="{FB89C9DE-AFC7-4E7D-9B70-3321CBAB8562}"/>
    <cellStyle name="40% - Accent4 2 3 3 2" xfId="11896" xr:uid="{2AF3AD17-087F-4FC0-91AF-C52D1905DEE6}"/>
    <cellStyle name="40% - Accent4 2 3 3 2 2" xfId="24164" xr:uid="{CA2EE73B-781F-477A-ABF6-C80B3A2AB8F0}"/>
    <cellStyle name="40% - Accent4 2 3 3 2 2 2" xfId="10779" xr:uid="{7C47DDA7-B586-43A2-B968-F3B168FECD93}"/>
    <cellStyle name="40% - Accent4 2 3 3 2 2 2 2" xfId="33120" xr:uid="{E35E32B1-06B7-4BF5-A237-53A9B7DA6426}"/>
    <cellStyle name="40% - Accent4 2 3 3 2 2 2 2 2" xfId="10778" xr:uid="{83D4B6E7-68AC-4CC5-9838-F53B0BCD55AD}"/>
    <cellStyle name="40% - Accent4 2 3 3 2 2 2 2 2 2" xfId="16007" xr:uid="{8C987A12-73B9-4405-B62C-902ACCE022FD}"/>
    <cellStyle name="40% - Accent4 2 3 3 2 2 2 2 3" xfId="10775" xr:uid="{A327E03E-178F-42DA-AA0C-ECA9B220849A}"/>
    <cellStyle name="40% - Accent4 2 3 3 2 2 2 3" xfId="26215" xr:uid="{6BCF9397-4BB1-4BC1-A568-D1483F822BA0}"/>
    <cellStyle name="40% - Accent4 2 3 3 2 2 2 3 2" xfId="10771" xr:uid="{537F92A5-E218-4727-81BD-114341ECE821}"/>
    <cellStyle name="40% - Accent4 2 3 3 2 2 2 4" xfId="26131" xr:uid="{21B68337-41DE-4404-AF08-E8A62CA7264D}"/>
    <cellStyle name="40% - Accent4 2 3 3 2 2 3" xfId="10769" xr:uid="{D0AC5D6E-E9C2-4AAC-94E2-714B13911504}"/>
    <cellStyle name="40% - Accent4 2 3 3 2 2 3 2" xfId="31654" xr:uid="{35A9603E-36BC-4615-B4B2-79F38E726115}"/>
    <cellStyle name="40% - Accent4 2 3 3 2 2 3 2 2" xfId="10768" xr:uid="{38A61E96-C695-4612-96CC-BE744B04F87A}"/>
    <cellStyle name="40% - Accent4 2 3 3 2 2 3 3" xfId="32995" xr:uid="{BE75BF79-192A-42A8-9AD0-BB0AAE8487C8}"/>
    <cellStyle name="40% - Accent4 2 3 3 2 2 4" xfId="10766" xr:uid="{495CF110-0765-42D5-8AA8-A3194C784471}"/>
    <cellStyle name="40% - Accent4 2 3 3 2 2 4 2" xfId="24806" xr:uid="{9672A9A8-60B6-4B7A-AF17-5A751086A71A}"/>
    <cellStyle name="40% - Accent4 2 3 3 2 2 5" xfId="10765" xr:uid="{47FD1DA9-4A0F-4E4C-A4EF-E7C455E178D6}"/>
    <cellStyle name="40% - Accent4 2 3 3 2 3" xfId="10764" xr:uid="{41EF6D3A-12B4-4E54-89AF-C110C2F165C1}"/>
    <cellStyle name="40% - Accent4 2 3 3 2 3 2" xfId="10761" xr:uid="{BE31CA9C-4D5B-4F9C-84F2-938673DC8493}"/>
    <cellStyle name="40% - Accent4 2 3 3 2 3 2 2" xfId="27599" xr:uid="{5062C491-8FB9-4003-8A81-D46AE4D1F181}"/>
    <cellStyle name="40% - Accent4 2 3 3 2 3 2 2 2" xfId="10760" xr:uid="{8F2D2E4A-0FE9-461F-AC6D-A5A54A12BBD3}"/>
    <cellStyle name="40% - Accent4 2 3 3 2 3 2 3" xfId="18265" xr:uid="{1EB36B97-C7E8-4845-ACBA-6F9CE2580074}"/>
    <cellStyle name="40% - Accent4 2 3 3 2 3 3" xfId="10758" xr:uid="{19AAAB56-15C7-445F-974C-5096925E6C93}"/>
    <cellStyle name="40% - Accent4 2 3 3 2 3 3 2" xfId="26027" xr:uid="{7E9B45C6-4252-42A9-B0EE-464B01A5C220}"/>
    <cellStyle name="40% - Accent4 2 3 3 2 3 4" xfId="10757" xr:uid="{15A243A9-E80E-4FD2-8BDC-E449B4D48080}"/>
    <cellStyle name="40% - Accent4 2 3 3 2 4" xfId="10756" xr:uid="{E7BCB042-39AC-49A8-98ED-4B4C3FDBA72F}"/>
    <cellStyle name="40% - Accent4 2 3 3 2 4 2" xfId="10751" xr:uid="{8CA64083-7076-45AD-8854-FCD0343C65A5}"/>
    <cellStyle name="40% - Accent4 2 3 3 2 4 2 2" xfId="10966" xr:uid="{0B23E2E4-C0E9-4DA4-852C-E1CF3F07EE5C}"/>
    <cellStyle name="40% - Accent4 2 3 3 2 4 3" xfId="32743" xr:uid="{327B998B-7D49-42BC-9F74-2F86DDFA1188}"/>
    <cellStyle name="40% - Accent4 2 3 3 2 5" xfId="10750" xr:uid="{FA8CA70E-04B5-439E-8126-470EF34E9448}"/>
    <cellStyle name="40% - Accent4 2 3 3 2 5 2" xfId="10747" xr:uid="{108217B0-844B-4F24-9919-0719E6832448}"/>
    <cellStyle name="40% - Accent4 2 3 3 2 6" xfId="29640" xr:uid="{FD5D4B4D-6F48-4CF8-B0DD-F3339E3B6F16}"/>
    <cellStyle name="40% - Accent4 2 3 3 3" xfId="10746" xr:uid="{1C1A4A43-9353-45C1-8727-3FF4AB02DCFD}"/>
    <cellStyle name="40% - Accent4 2 3 3 3 2" xfId="10742" xr:uid="{1920CA71-71B0-4EA4-8FF3-842B6C110232}"/>
    <cellStyle name="40% - Accent4 2 3 3 3 2 2" xfId="10739" xr:uid="{A22C1606-1498-40A0-A9D5-E6A2A23C6195}"/>
    <cellStyle name="40% - Accent4 2 3 3 3 2 2 2" xfId="31789" xr:uid="{2DDD00C3-B4D2-4F90-82CF-2DFCE76E3766}"/>
    <cellStyle name="40% - Accent4 2 3 3 3 2 2 2 2" xfId="9568" xr:uid="{D9033FF1-E976-433C-9A83-F1F3F63B0E4E}"/>
    <cellStyle name="40% - Accent4 2 3 3 3 2 2 3" xfId="31753" xr:uid="{2C008BDC-1D8B-4576-8E95-BD9A498C8CBE}"/>
    <cellStyle name="40% - Accent4 2 3 3 3 2 3" xfId="10734" xr:uid="{51CB6679-F630-46B9-81A8-4D70DA0C3BC0}"/>
    <cellStyle name="40% - Accent4 2 3 3 3 2 3 2" xfId="32253" xr:uid="{7B3D9F91-7E3C-47B2-AEA8-EADF45732E30}"/>
    <cellStyle name="40% - Accent4 2 3 3 3 2 4" xfId="14233" xr:uid="{320888C2-A051-49BE-B7EB-A3A8688CFC44}"/>
    <cellStyle name="40% - Accent4 2 3 3 3 3" xfId="10727" xr:uid="{52412AD9-73F4-42F9-A4D3-1F8FA571CECE}"/>
    <cellStyle name="40% - Accent4 2 3 3 3 3 2" xfId="10723" xr:uid="{40517203-8F24-4773-B8F3-48BD30F0920B}"/>
    <cellStyle name="40% - Accent4 2 3 3 3 3 2 2" xfId="25902" xr:uid="{4A0AE29F-BAC5-44F5-A803-D9D4551162C9}"/>
    <cellStyle name="40% - Accent4 2 3 3 3 3 3" xfId="10719" xr:uid="{F6581991-E418-4648-B9A1-167A81C1861C}"/>
    <cellStyle name="40% - Accent4 2 3 3 3 4" xfId="10714" xr:uid="{7B65E7AD-F358-499E-BB38-F43814021AB1}"/>
    <cellStyle name="40% - Accent4 2 3 3 3 4 2" xfId="10709" xr:uid="{5307CA13-2D77-433A-862D-D1406083E346}"/>
    <cellStyle name="40% - Accent4 2 3 3 3 5" xfId="10707" xr:uid="{16221764-27A6-4747-BA53-F2EF4630D583}"/>
    <cellStyle name="40% - Accent4 2 3 3 4" xfId="10705" xr:uid="{1D6F1B0D-5F8B-466E-B501-8E8E54472867}"/>
    <cellStyle name="40% - Accent4 2 3 3 4 2" xfId="13897" xr:uid="{3DF15C2F-2F7F-46FC-97A3-296058A2CEFE}"/>
    <cellStyle name="40% - Accent4 2 3 3 4 2 2" xfId="10703" xr:uid="{CAE1AF93-7133-474D-A674-2CE27E4B111B}"/>
    <cellStyle name="40% - Accent4 2 3 3 4 2 2 2" xfId="28396" xr:uid="{8B2272CC-7E14-4902-8EDC-74200855147F}"/>
    <cellStyle name="40% - Accent4 2 3 3 4 2 3" xfId="10699" xr:uid="{BEBAB6BC-C874-4C26-BE37-FF216A3F941A}"/>
    <cellStyle name="40% - Accent4 2 3 3 4 3" xfId="10695" xr:uid="{B921795A-1280-4CAC-98DB-CD50FD383629}"/>
    <cellStyle name="40% - Accent4 2 3 3 4 3 2" xfId="16356" xr:uid="{4BA1EC85-A48D-4338-B392-0B9E92DEB20B}"/>
    <cellStyle name="40% - Accent4 2 3 3 4 4" xfId="10690" xr:uid="{8A8998B4-8E6F-4BBA-9AC3-32238CE86E78}"/>
    <cellStyle name="40% - Accent4 2 3 3 5" xfId="13313" xr:uid="{D86CD918-F42D-4F39-9161-06B9616FB6E4}"/>
    <cellStyle name="40% - Accent4 2 3 3 5 2" xfId="10688" xr:uid="{391271E7-31A4-4748-8E40-894386526F36}"/>
    <cellStyle name="40% - Accent4 2 3 3 5 2 2" xfId="10683" xr:uid="{6E00824C-6668-47B9-8B95-26F654BAA368}"/>
    <cellStyle name="40% - Accent4 2 3 3 5 3" xfId="10680" xr:uid="{138DFE13-BCDA-447C-A9D9-26E16DA7FA55}"/>
    <cellStyle name="40% - Accent4 2 3 3 6" xfId="13309" xr:uid="{1829B86D-2B35-451A-BD44-A00F27C2E85D}"/>
    <cellStyle name="40% - Accent4 2 3 3 6 2" xfId="22867" xr:uid="{478E9F54-ADA5-45FC-8C5A-675195050A14}"/>
    <cellStyle name="40% - Accent4 2 3 3 7" xfId="10676" xr:uid="{A518F39A-6315-42A7-9BBC-BA4B30C8F85B}"/>
    <cellStyle name="40% - Accent4 2 3 4" xfId="11893" xr:uid="{DA0E0C81-E254-425E-A957-BF1B00039A56}"/>
    <cellStyle name="40% - Accent4 2 3 4 2" xfId="10675" xr:uid="{ADF9E943-10C5-41D8-BF1C-96B1ACE6AB19}"/>
    <cellStyle name="40% - Accent4 2 3 4 2 2" xfId="20029" xr:uid="{B348E658-F383-49AE-9B32-97FC8C80A7EB}"/>
    <cellStyle name="40% - Accent4 2 3 4 2 2 2" xfId="28706" xr:uid="{5F86B5D5-E777-4AED-BBED-B96F19188596}"/>
    <cellStyle name="40% - Accent4 2 3 4 2 2 2 2" xfId="10567" xr:uid="{8AC3D5A8-44DC-4B9B-9306-80CBB394F5D1}"/>
    <cellStyle name="40% - Accent4 2 3 4 2 2 2 2 2" xfId="19569" xr:uid="{A343FF02-2E88-44DA-83AA-2CCAEC6C45EC}"/>
    <cellStyle name="40% - Accent4 2 3 4 2 2 2 3" xfId="8884" xr:uid="{4D36B71C-6466-4B48-8D56-A520F67B97A5}"/>
    <cellStyle name="40% - Accent4 2 3 4 2 2 3" xfId="10674" xr:uid="{DCB63ADF-0652-4319-B46F-3D68D406334C}"/>
    <cellStyle name="40% - Accent4 2 3 4 2 2 3 2" xfId="8819" xr:uid="{8CE1F26B-525F-4EED-99D4-5C687F31737D}"/>
    <cellStyle name="40% - Accent4 2 3 4 2 2 4" xfId="18716" xr:uid="{3569B49E-E4E8-4225-B362-8E5DC2036688}"/>
    <cellStyle name="40% - Accent4 2 3 4 2 3" xfId="10673" xr:uid="{B9C7453E-2586-4882-B349-73A68A37D66F}"/>
    <cellStyle name="40% - Accent4 2 3 4 2 3 2" xfId="10670" xr:uid="{D3EC2F0F-846E-47AF-A53C-1E1F51ED26A9}"/>
    <cellStyle name="40% - Accent4 2 3 4 2 3 2 2" xfId="8672" xr:uid="{6D6053C4-8E06-4170-B47B-D726C8BBBB23}"/>
    <cellStyle name="40% - Accent4 2 3 4 2 3 3" xfId="10669" xr:uid="{321D8185-0F39-42C5-B826-01D4250F3F12}"/>
    <cellStyle name="40% - Accent4 2 3 4 2 4" xfId="10668" xr:uid="{177B624B-4CE0-47AE-93FC-4C3299B74C68}"/>
    <cellStyle name="40% - Accent4 2 3 4 2 4 2" xfId="10664" xr:uid="{7B26F1BA-2CBD-4B06-B20E-71F469A3B503}"/>
    <cellStyle name="40% - Accent4 2 3 4 2 5" xfId="10663" xr:uid="{A2DEDF4D-0161-4DCA-8AB5-4EF1F7E2870D}"/>
    <cellStyle name="40% - Accent4 2 3 4 3" xfId="10661" xr:uid="{F916E537-68A4-42D0-848D-E6322D0484B8}"/>
    <cellStyle name="40% - Accent4 2 3 4 3 2" xfId="10659" xr:uid="{26F31403-B731-4926-84BB-B2629B2191C3}"/>
    <cellStyle name="40% - Accent4 2 3 4 3 2 2" xfId="10654" xr:uid="{3F81EE6B-DDEF-410C-8969-62DD37A4B3D5}"/>
    <cellStyle name="40% - Accent4 2 3 4 3 2 2 2" xfId="8385" xr:uid="{940638C4-4674-4BE0-94D9-DD22AA7F46C0}"/>
    <cellStyle name="40% - Accent4 2 3 4 3 2 3" xfId="10649" xr:uid="{1D299953-D0C1-4D86-A154-B6D466255045}"/>
    <cellStyle name="40% - Accent4 2 3 4 3 3" xfId="10642" xr:uid="{FC2F91EF-A61F-48A3-B1D1-27A446B6CAA5}"/>
    <cellStyle name="40% - Accent4 2 3 4 3 3 2" xfId="10636" xr:uid="{C1B86426-49B2-42DD-A2C8-FF43C230FD84}"/>
    <cellStyle name="40% - Accent4 2 3 4 3 4" xfId="10633" xr:uid="{388936D0-9ACA-443F-9D89-003841A292CA}"/>
    <cellStyle name="40% - Accent4 2 3 4 4" xfId="10629" xr:uid="{948898DF-817B-4E79-9EBF-F9472FD89DBE}"/>
    <cellStyle name="40% - Accent4 2 3 4 4 2" xfId="10627" xr:uid="{2FBACF4D-FD87-47F1-9238-182BA46545A6}"/>
    <cellStyle name="40% - Accent4 2 3 4 4 2 2" xfId="10622" xr:uid="{86885CBA-AF72-4EFD-84DD-C14CE6D2A39A}"/>
    <cellStyle name="40% - Accent4 2 3 4 4 3" xfId="10618" xr:uid="{5504393C-7241-4934-951F-0AB3439112BC}"/>
    <cellStyle name="40% - Accent4 2 3 4 5" xfId="13307" xr:uid="{E80E1277-4726-487F-BD6B-35421B0C9DDD}"/>
    <cellStyle name="40% - Accent4 2 3 4 5 2" xfId="10614" xr:uid="{888AB932-3AD4-4360-BF6D-CF1C20378A20}"/>
    <cellStyle name="40% - Accent4 2 3 4 6" xfId="13691" xr:uid="{FAF9C3C0-BD28-4048-BFD8-A60AF0C49428}"/>
    <cellStyle name="40% - Accent4 2 3 5" xfId="10609" xr:uid="{7AEA938F-D1A6-4D4A-B7CF-CD59AEEAB970}"/>
    <cellStyle name="40% - Accent4 2 3 5 2" xfId="10608" xr:uid="{F65D9F9F-A016-4822-9E78-D49BD655ECC7}"/>
    <cellStyle name="40% - Accent4 2 3 5 2 2" xfId="10607" xr:uid="{EB6E72DC-7937-4074-8A16-B655FA429FE4}"/>
    <cellStyle name="40% - Accent4 2 3 5 2 2 2" xfId="28103" xr:uid="{661FC943-C567-4B91-9BD1-EFC211C3F737}"/>
    <cellStyle name="40% - Accent4 2 3 5 2 2 2 2" xfId="27418" xr:uid="{781144AD-EE79-4FB8-BB3A-D502E01CDC5F}"/>
    <cellStyle name="40% - Accent4 2 3 5 2 2 3" xfId="10606" xr:uid="{679B4A49-F974-490F-80E9-110F6C855C06}"/>
    <cellStyle name="40% - Accent4 2 3 5 2 3" xfId="10605" xr:uid="{C2682422-263F-4610-9BE8-E54521029EED}"/>
    <cellStyle name="40% - Accent4 2 3 5 2 3 2" xfId="10602" xr:uid="{237A2D34-CC7D-4483-9742-7AF42AC9C7B7}"/>
    <cellStyle name="40% - Accent4 2 3 5 2 4" xfId="10601" xr:uid="{04D38F18-4F31-4376-A55E-752FAFA72699}"/>
    <cellStyle name="40% - Accent4 2 3 5 3" xfId="10599" xr:uid="{60D39E0D-796F-4161-9B3F-5A1D0693894C}"/>
    <cellStyle name="40% - Accent4 2 3 5 3 2" xfId="10597" xr:uid="{448802FC-4D63-4609-AF8D-90551D37F6E8}"/>
    <cellStyle name="40% - Accent4 2 3 5 3 2 2" xfId="10595" xr:uid="{44C65745-4ED7-435C-85E3-7A7530D61BDB}"/>
    <cellStyle name="40% - Accent4 2 3 5 3 3" xfId="10591" xr:uid="{015F243A-B014-4F88-8AD5-06BF35B86CCC}"/>
    <cellStyle name="40% - Accent4 2 3 5 4" xfId="7300" xr:uid="{7A70B736-BB25-4D2A-9099-4A4FCA911FAF}"/>
    <cellStyle name="40% - Accent4 2 3 5 4 2" xfId="10589" xr:uid="{AFB575C5-960B-49CA-BD3B-B9378196BF95}"/>
    <cellStyle name="40% - Accent4 2 3 5 5" xfId="7296" xr:uid="{A871C6E8-6BEC-4AF8-8223-B2444673D6FE}"/>
    <cellStyle name="40% - Accent4 2 3 6" xfId="10586" xr:uid="{6BB11F90-4EE8-43BF-981D-CDBFE472D962}"/>
    <cellStyle name="40% - Accent4 2 3 6 2" xfId="10585" xr:uid="{41C2BDC4-3E2C-4035-8775-410C8BEE404F}"/>
    <cellStyle name="40% - Accent4 2 3 6 2 2" xfId="10583" xr:uid="{0D817720-ABA2-4A69-BE4E-3F7B40096322}"/>
    <cellStyle name="40% - Accent4 2 3 6 2 2 2" xfId="28669" xr:uid="{7B37206B-9181-49E7-9DE0-7EA4A827BCB9}"/>
    <cellStyle name="40% - Accent4 2 3 6 2 3" xfId="10582" xr:uid="{4994DFE4-99DF-42DE-B1BD-491AB05661FD}"/>
    <cellStyle name="40% - Accent4 2 3 6 3" xfId="10579" xr:uid="{CE9AE750-AB02-46C5-AA74-B330AB99DCEC}"/>
    <cellStyle name="40% - Accent4 2 3 6 3 2" xfId="10578" xr:uid="{5BD8CF17-1076-45F5-94D2-FD8A905AA93F}"/>
    <cellStyle name="40% - Accent4 2 3 6 4" xfId="9757" xr:uid="{1ACD1042-D53A-4CC5-BA78-20668D50730F}"/>
    <cellStyle name="40% - Accent4 2 3 7" xfId="25204" xr:uid="{42B9DF58-E2C5-40B3-BC36-65538BE8586F}"/>
    <cellStyle name="40% - Accent4 2 3 7 2" xfId="28575" xr:uid="{D9A02EAA-CD4D-4FED-B790-146E83746CED}"/>
    <cellStyle name="40% - Accent4 2 3 7 2 2" xfId="10574" xr:uid="{9F748C60-2DB6-4246-AE5A-1E342F747949}"/>
    <cellStyle name="40% - Accent4 2 3 7 3" xfId="10573" xr:uid="{0F5A6281-09CB-4DCC-915E-6B777A17A2E4}"/>
    <cellStyle name="40% - Accent4 2 3 8" xfId="28571" xr:uid="{73C3FAFF-F124-40BE-A499-72FCD9497FFF}"/>
    <cellStyle name="40% - Accent4 2 3 8 2" xfId="10572" xr:uid="{95E879BE-C075-4B50-A724-87D5B9CFCDB9}"/>
    <cellStyle name="40% - Accent4 2 3 9" xfId="10570" xr:uid="{A428EA32-3402-4B36-9282-D180A8C144B5}"/>
    <cellStyle name="40% - Accent4 2 4" xfId="31949" xr:uid="{2CF5B1ED-4F8B-4FED-8D05-1E8EAEED23C6}"/>
    <cellStyle name="40% - Accent4 2 4 2" xfId="11889" xr:uid="{F053A21D-E902-4505-A9BC-D0E7CCCB3B2E}"/>
    <cellStyle name="40% - Accent4 2 4 2 2" xfId="11887" xr:uid="{AAD4013A-F6DB-4C17-9254-FB3637C5E886}"/>
    <cellStyle name="40% - Accent4 2 4 2 2 2" xfId="30354" xr:uid="{2C8057E9-3FEF-43AF-BFF9-A8F136333E3B}"/>
    <cellStyle name="40% - Accent4 2 4 2 2 2 2" xfId="12681" xr:uid="{5591C7FF-8830-4B4D-9390-0EB5865BE13A}"/>
    <cellStyle name="40% - Accent4 2 4 2 2 2 2 2" xfId="8701" xr:uid="{4B6C09BA-42D1-433E-8F5C-6010C4055882}"/>
    <cellStyle name="40% - Accent4 2 4 2 2 2 2 2 2" xfId="23917" xr:uid="{E231BD12-27C8-4CFA-9402-1D05AFD2E5D6}"/>
    <cellStyle name="40% - Accent4 2 4 2 2 2 2 2 2 2" xfId="8577" xr:uid="{5EC6E925-F19A-4338-B770-9A500714DF98}"/>
    <cellStyle name="40% - Accent4 2 4 2 2 2 2 2 3" xfId="23903" xr:uid="{E05BBA97-FFAB-4BA5-9AD0-7114CAE99AFD}"/>
    <cellStyle name="40% - Accent4 2 4 2 2 2 2 3" xfId="8637" xr:uid="{A35BEB1D-2C8C-4443-9C66-5ECA25DFC3AD}"/>
    <cellStyle name="40% - Accent4 2 4 2 2 2 2 3 2" xfId="23896" xr:uid="{0EBED458-328F-4A85-A547-95867CA3B1C3}"/>
    <cellStyle name="40% - Accent4 2 4 2 2 2 2 4" xfId="8594" xr:uid="{D6F1B45B-9D62-473E-AE4B-02F7950C85AA}"/>
    <cellStyle name="40% - Accent4 2 4 2 2 2 3" xfId="12673" xr:uid="{8BCA745C-84F8-4C6E-B19F-41BC2F68EF64}"/>
    <cellStyle name="40% - Accent4 2 4 2 2 2 3 2" xfId="8564" xr:uid="{F5BF15BB-2102-4D14-B4B8-4433955381F3}"/>
    <cellStyle name="40% - Accent4 2 4 2 2 2 3 2 2" xfId="23884" xr:uid="{8118C440-CED9-40EF-A52B-6F93FB7E6BE4}"/>
    <cellStyle name="40% - Accent4 2 4 2 2 2 3 3" xfId="8519" xr:uid="{D1FEA216-CC06-46CE-8F9C-604A03C9AFA8}"/>
    <cellStyle name="40% - Accent4 2 4 2 2 2 4" xfId="12671" xr:uid="{BE46007E-03EB-4D53-9279-72C241B1DF81}"/>
    <cellStyle name="40% - Accent4 2 4 2 2 2 4 2" xfId="25414" xr:uid="{C0BE4275-0A78-4BFC-9531-148726C45F38}"/>
    <cellStyle name="40% - Accent4 2 4 2 2 2 5" xfId="10569" xr:uid="{58A9EF97-DBDF-4119-994B-72474489C30E}"/>
    <cellStyle name="40% - Accent4 2 4 2 2 3" xfId="10566" xr:uid="{5E2DC3FD-C47E-451A-9DC7-CB4EA24E5D7F}"/>
    <cellStyle name="40% - Accent4 2 4 2 2 3 2" xfId="12650" xr:uid="{29F16472-FCEA-47CC-BA68-3F3A1063FEDC}"/>
    <cellStyle name="40% - Accent4 2 4 2 2 3 2 2" xfId="8297" xr:uid="{BAF5F538-0C66-44DB-B43A-1644D2F88848}"/>
    <cellStyle name="40% - Accent4 2 4 2 2 3 2 2 2" xfId="26204" xr:uid="{EFB883B9-4DC1-4436-8681-6FCB844108E4}"/>
    <cellStyle name="40% - Accent4 2 4 2 2 3 2 3" xfId="8280" xr:uid="{8F09E1E6-C9AA-46E0-B0D2-F9FF5039AF58}"/>
    <cellStyle name="40% - Accent4 2 4 2 2 3 3" xfId="12646" xr:uid="{0BBBE6F5-44E1-467A-BDB5-B0F9C27A5D95}"/>
    <cellStyle name="40% - Accent4 2 4 2 2 3 3 2" xfId="10562" xr:uid="{7D45B885-4E9F-4CF5-B8E8-2F80B951FB79}"/>
    <cellStyle name="40% - Accent4 2 4 2 2 3 4" xfId="10560" xr:uid="{38BA5F4F-10B7-414B-A546-65B2D5D8F42A}"/>
    <cellStyle name="40% - Accent4 2 4 2 2 4" xfId="16494" xr:uid="{0C914197-7E8D-42E3-B891-CAFC9673C4D5}"/>
    <cellStyle name="40% - Accent4 2 4 2 2 4 2" xfId="12639" xr:uid="{7AA6F5FF-DF76-4C16-A797-62DBCD03FD06}"/>
    <cellStyle name="40% - Accent4 2 4 2 2 4 2 2" xfId="8126" xr:uid="{5F67A4EC-1EEF-4474-A08D-4BA2D1F4A749}"/>
    <cellStyle name="40% - Accent4 2 4 2 2 4 3" xfId="10557" xr:uid="{9B7AA17F-DB19-467B-8B7D-0BEE66C8BE17}"/>
    <cellStyle name="40% - Accent4 2 4 2 2 5" xfId="10556" xr:uid="{88C941A3-3CE5-4D7F-9FEA-6A329593C568}"/>
    <cellStyle name="40% - Accent4 2 4 2 2 5 2" xfId="10555" xr:uid="{A03FA477-94BC-4C3E-9E40-7060213CFA2A}"/>
    <cellStyle name="40% - Accent4 2 4 2 2 6" xfId="10554" xr:uid="{AB9AE22F-17DB-4EE4-BD72-86EC34057ABE}"/>
    <cellStyle name="40% - Accent4 2 4 2 3" xfId="10553" xr:uid="{99BA6F52-140E-4CB1-B78F-13DC6BC7DB16}"/>
    <cellStyle name="40% - Accent4 2 4 2 3 2" xfId="10549" xr:uid="{D0AE2A74-A9C1-4AC7-B728-3C5908714FE1}"/>
    <cellStyle name="40% - Accent4 2 4 2 3 2 2" xfId="12614" xr:uid="{0CC4A67A-447E-447A-9512-BD9B2B54E5A3}"/>
    <cellStyle name="40% - Accent4 2 4 2 3 2 2 2" xfId="7793" xr:uid="{E348D81F-DBE1-46B5-B958-4188D5E81B65}"/>
    <cellStyle name="40% - Accent4 2 4 2 3 2 2 2 2" xfId="26198" xr:uid="{360039B0-EB12-4E50-A51A-21EDFBE9D2F8}"/>
    <cellStyle name="40% - Accent4 2 4 2 3 2 2 3" xfId="7774" xr:uid="{2BE29FFB-D480-402F-B506-CE3466E4040B}"/>
    <cellStyle name="40% - Accent4 2 4 2 3 2 3" xfId="12606" xr:uid="{EED1C949-0556-4A94-9E8B-516865818F85}"/>
    <cellStyle name="40% - Accent4 2 4 2 3 2 3 2" xfId="7752" xr:uid="{EE6C2AFB-42B1-4791-B945-71D2C46F4DF6}"/>
    <cellStyle name="40% - Accent4 2 4 2 3 2 4" xfId="10543" xr:uid="{D71F2EFC-076F-4FA5-AFC3-E058975064C3}"/>
    <cellStyle name="40% - Accent4 2 4 2 3 3" xfId="10539" xr:uid="{AC670F6E-7CE2-480C-B9E2-D6047B09C70B}"/>
    <cellStyle name="40% - Accent4 2 4 2 3 3 2" xfId="12588" xr:uid="{F44289B7-BFF1-493A-9E3E-FA7D35948E62}"/>
    <cellStyle name="40% - Accent4 2 4 2 3 3 2 2" xfId="10533" xr:uid="{A50AC3A9-9C95-454B-BF0B-96B84C3D2296}"/>
    <cellStyle name="40% - Accent4 2 4 2 3 3 3" xfId="10530" xr:uid="{7ECC4B85-A74A-4BB7-A9B2-0A26B499B32D}"/>
    <cellStyle name="40% - Accent4 2 4 2 3 4" xfId="10527" xr:uid="{A9A51563-2B9E-4335-BAE4-2733148AD0B2}"/>
    <cellStyle name="40% - Accent4 2 4 2 3 4 2" xfId="14049" xr:uid="{8F905928-016E-41F4-B7E7-2AF628D00995}"/>
    <cellStyle name="40% - Accent4 2 4 2 3 5" xfId="10522" xr:uid="{C3F574C9-EE52-4887-B3DE-9496D1D80A2D}"/>
    <cellStyle name="40% - Accent4 2 4 2 4" xfId="10519" xr:uid="{3DEF7B91-4E78-40B2-BAA2-5F30935B371F}"/>
    <cellStyle name="40% - Accent4 2 4 2 4 2" xfId="10514" xr:uid="{7A4A7A91-F443-43F4-BD2C-83088E1B08B7}"/>
    <cellStyle name="40% - Accent4 2 4 2 4 2 2" xfId="12568" xr:uid="{F12106A0-6162-46DD-AF13-AE83D72FFD9D}"/>
    <cellStyle name="40% - Accent4 2 4 2 4 2 2 2" xfId="7543" xr:uid="{5047E4C5-FFB4-4CDA-AE43-06BBC26F0299}"/>
    <cellStyle name="40% - Accent4 2 4 2 4 2 3" xfId="6685" xr:uid="{2CB6A3B0-EFD5-4057-BDB3-B9E8C6C3278A}"/>
    <cellStyle name="40% - Accent4 2 4 2 4 3" xfId="10508" xr:uid="{21B680A0-0743-4884-9A71-87C951805420}"/>
    <cellStyle name="40% - Accent4 2 4 2 4 3 2" xfId="16038" xr:uid="{2A901B62-F2C3-4831-B8DC-0B94389ABDA5}"/>
    <cellStyle name="40% - Accent4 2 4 2 4 4" xfId="10502" xr:uid="{8E74F42B-F427-4EF7-AA17-AE6F8F4186DA}"/>
    <cellStyle name="40% - Accent4 2 4 2 5" xfId="14889" xr:uid="{88ED8140-D988-45D4-8A6D-AF1DA1BBEC29}"/>
    <cellStyle name="40% - Accent4 2 4 2 5 2" xfId="10499" xr:uid="{519A80BB-23EC-4BC9-BB9E-5EB18A85D065}"/>
    <cellStyle name="40% - Accent4 2 4 2 5 2 2" xfId="10492" xr:uid="{131787B8-F622-4A7C-A2DF-110CB7051D12}"/>
    <cellStyle name="40% - Accent4 2 4 2 5 3" xfId="10487" xr:uid="{B08C7E94-EDC4-416D-9D5E-89329EE29249}"/>
    <cellStyle name="40% - Accent4 2 4 2 6" xfId="13302" xr:uid="{2455C91F-09A4-47DC-888E-C545745FD6C0}"/>
    <cellStyle name="40% - Accent4 2 4 2 6 2" xfId="17394" xr:uid="{B40CD41D-1044-4238-BC71-D4AE909F6D8E}"/>
    <cellStyle name="40% - Accent4 2 4 2 7" xfId="12251" xr:uid="{B5865C04-4495-4DDF-A6FB-E2ABDB723AAE}"/>
    <cellStyle name="40% - Accent4 2 4 3" xfId="11884" xr:uid="{B13FCEED-ECFF-4161-A697-56B7F494E166}"/>
    <cellStyle name="40% - Accent4 2 4 3 2" xfId="13576" xr:uid="{58CD0A6E-1A75-474D-B407-F8131A098E76}"/>
    <cellStyle name="40% - Accent4 2 4 3 2 2" xfId="10482" xr:uid="{25CD8886-6679-4E4A-A3FB-9E5993CE8F18}"/>
    <cellStyle name="40% - Accent4 2 4 3 2 2 2" xfId="12540" xr:uid="{DE26BD46-CB70-4A94-8CD3-1F3A4D1C5BC1}"/>
    <cellStyle name="40% - Accent4 2 4 3 2 2 2 2" xfId="7975" xr:uid="{09ADA3EB-88B8-4BE1-82AE-98949755A65F}"/>
    <cellStyle name="40% - Accent4 2 4 3 2 2 2 2 2" xfId="23025" xr:uid="{8DD0B27F-51B8-47F2-9E92-1F684FC20E37}"/>
    <cellStyle name="40% - Accent4 2 4 3 2 2 2 3" xfId="25130" xr:uid="{8BAAF523-79AE-49DE-A887-08AC6FA9F4F3}"/>
    <cellStyle name="40% - Accent4 2 4 3 2 2 3" xfId="12537" xr:uid="{A56B3A9A-D797-4E4C-B139-4AAFE8DD00EC}"/>
    <cellStyle name="40% - Accent4 2 4 3 2 2 3 2" xfId="30478" xr:uid="{79442835-F78C-4506-BAE7-FB6E8C1DCC83}"/>
    <cellStyle name="40% - Accent4 2 4 3 2 2 4" xfId="10479" xr:uid="{EF6C7F31-C466-49C1-BA55-54C590682334}"/>
    <cellStyle name="40% - Accent4 2 4 3 2 3" xfId="10476" xr:uid="{E08E5893-C318-4528-B9DD-E74AB79BFA24}"/>
    <cellStyle name="40% - Accent4 2 4 3 2 3 2" xfId="12527" xr:uid="{AF18B0B7-1100-4201-91C8-52BC8A819806}"/>
    <cellStyle name="40% - Accent4 2 4 3 2 3 2 2" xfId="7963" xr:uid="{43F91F9B-7008-4E11-A9E1-970E921F3CB3}"/>
    <cellStyle name="40% - Accent4 2 4 3 2 3 3" xfId="10474" xr:uid="{01A848F1-42E9-4044-B099-3D37F6FE623A}"/>
    <cellStyle name="40% - Accent4 2 4 3 2 4" xfId="10473" xr:uid="{4120B031-2360-4FB3-BBB1-9ECCA6B06E7C}"/>
    <cellStyle name="40% - Accent4 2 4 3 2 4 2" xfId="10470" xr:uid="{EE807BCB-DF8F-477C-9D1B-E901DF6913FA}"/>
    <cellStyle name="40% - Accent4 2 4 3 2 5" xfId="10469" xr:uid="{F9A3E005-DE6F-48DB-9C38-01A134E75DF0}"/>
    <cellStyle name="40% - Accent4 2 4 3 3" xfId="10468" xr:uid="{127963ED-D565-4C7B-99AE-4C063040652B}"/>
    <cellStyle name="40% - Accent4 2 4 3 3 2" xfId="10465" xr:uid="{3BD238AA-EB9B-4901-8C53-FF4F0B9ECBFF}"/>
    <cellStyle name="40% - Accent4 2 4 3 3 2 2" xfId="12500" xr:uid="{B3499621-9703-462D-9E74-75DD7068D753}"/>
    <cellStyle name="40% - Accent4 2 4 3 3 2 2 2" xfId="7933" xr:uid="{1880DDBE-1F1B-403C-8AA4-E42CC1898EAF}"/>
    <cellStyle name="40% - Accent4 2 4 3 3 2 3" xfId="10461" xr:uid="{308B48C4-EEA9-4956-9B50-0D27054815BF}"/>
    <cellStyle name="40% - Accent4 2 4 3 3 3" xfId="10457" xr:uid="{81C8FDF1-68A3-4CE7-B63F-528DADA56F47}"/>
    <cellStyle name="40% - Accent4 2 4 3 3 3 2" xfId="10451" xr:uid="{77B34391-783D-4D78-A366-592E74E093C7}"/>
    <cellStyle name="40% - Accent4 2 4 3 3 4" xfId="10447" xr:uid="{340C4F59-24B9-44CF-919A-07137BC660B3}"/>
    <cellStyle name="40% - Accent4 2 4 3 4" xfId="10444" xr:uid="{B0B24FFB-887C-4D59-829D-6CD57D2B1325}"/>
    <cellStyle name="40% - Accent4 2 4 3 4 2" xfId="10442" xr:uid="{CFC7BE53-A4AD-4820-BB61-A5D9487E6FA4}"/>
    <cellStyle name="40% - Accent4 2 4 3 4 2 2" xfId="33582" xr:uid="{FE214D15-3556-42D2-9DE9-467E46B7B974}"/>
    <cellStyle name="40% - Accent4 2 4 3 4 3" xfId="10437" xr:uid="{B7C19BEE-DD55-4F05-A512-5F1D42347E63}"/>
    <cellStyle name="40% - Accent4 2 4 3 5" xfId="13300" xr:uid="{A22C3BCB-5CB9-45A2-A6B8-5EA816BCC485}"/>
    <cellStyle name="40% - Accent4 2 4 3 5 2" xfId="10434" xr:uid="{EF3942CE-2F8A-4635-A6BB-BE1C56FE6C15}"/>
    <cellStyle name="40% - Accent4 2 4 3 6" xfId="10429" xr:uid="{884F05F4-4033-4514-973B-8B04AE9C15F1}"/>
    <cellStyle name="40% - Accent4 2 4 4" xfId="10427" xr:uid="{1AB6843D-6CC7-4576-8218-2F2607A6B487}"/>
    <cellStyle name="40% - Accent4 2 4 4 2" xfId="33075" xr:uid="{26232DBD-BD82-495E-A55F-5421CE10CC93}"/>
    <cellStyle name="40% - Accent4 2 4 4 2 2" xfId="29076" xr:uid="{C16AF521-C3E5-4CDF-86B2-4613C957C0BF}"/>
    <cellStyle name="40% - Accent4 2 4 4 2 2 2" xfId="29071" xr:uid="{9361F614-EBD9-4D00-B922-29B17466C952}"/>
    <cellStyle name="40% - Accent4 2 4 4 2 2 2 2" xfId="7987" xr:uid="{6984A92B-7C2E-4EDD-8CC9-C6A260DCB89F}"/>
    <cellStyle name="40% - Accent4 2 4 4 2 2 3" xfId="10426" xr:uid="{3A63D877-0631-4F2D-AB9C-C523D869E2B0}"/>
    <cellStyle name="40% - Accent4 2 4 4 2 3" xfId="25623" xr:uid="{51C22731-F2A0-41DB-B0C4-430DBF1A40E3}"/>
    <cellStyle name="40% - Accent4 2 4 4 2 3 2" xfId="10423" xr:uid="{84BED6EB-3C40-4767-BCA5-CE5A2E3A5B2E}"/>
    <cellStyle name="40% - Accent4 2 4 4 2 4" xfId="10422" xr:uid="{6E18C0AF-3682-493E-86E5-8AC54F02BB03}"/>
    <cellStyle name="40% - Accent4 2 4 4 3" xfId="25828" xr:uid="{549D3B20-4834-4D8A-B259-04BB957FAC9C}"/>
    <cellStyle name="40% - Accent4 2 4 4 3 2" xfId="29053" xr:uid="{7915AA1B-9A5E-4269-AF9D-8B695D3232E6}"/>
    <cellStyle name="40% - Accent4 2 4 4 3 2 2" xfId="10417" xr:uid="{511DBAAD-5CF2-4D91-9D35-2D0B36C6E1B6}"/>
    <cellStyle name="40% - Accent4 2 4 4 3 3" xfId="10415" xr:uid="{E5729919-711E-4BEA-83BC-9376D72455B6}"/>
    <cellStyle name="40% - Accent4 2 4 4 4" xfId="28251" xr:uid="{D7C47C0C-8AF1-4F66-8AB1-EA6516EF35A6}"/>
    <cellStyle name="40% - Accent4 2 4 4 4 2" xfId="14313" xr:uid="{CEFBE2B8-AB60-4966-A6CB-3267C89CDC06}"/>
    <cellStyle name="40% - Accent4 2 4 4 5" xfId="10410" xr:uid="{5300B2B4-BA33-4F45-A1CF-A3ADD1C266EC}"/>
    <cellStyle name="40% - Accent4 2 4 5" xfId="10408" xr:uid="{E4E4DED7-B922-4AD2-ADDF-A693EF796698}"/>
    <cellStyle name="40% - Accent4 2 4 5 2" xfId="28957" xr:uid="{96946221-38E5-4437-B938-0CD4369A9AE1}"/>
    <cellStyle name="40% - Accent4 2 4 5 2 2" xfId="28944" xr:uid="{4ADF8ACD-C6F4-41F0-BF08-411491D539DC}"/>
    <cellStyle name="40% - Accent4 2 4 5 2 2 2" xfId="15359" xr:uid="{2CBEC890-B3DF-4C81-AE65-5C9672F4DFEA}"/>
    <cellStyle name="40% - Accent4 2 4 5 2 3" xfId="10405" xr:uid="{9B28171E-2217-421B-A1F9-35A6EFF19D2C}"/>
    <cellStyle name="40% - Accent4 2 4 5 3" xfId="28935" xr:uid="{D8F7571E-EEEB-443F-8FF0-FE5ECD7CC8CC}"/>
    <cellStyle name="40% - Accent4 2 4 5 3 2" xfId="13798" xr:uid="{C02727F2-17B5-49DE-A2B1-85ECFB779E0B}"/>
    <cellStyle name="40% - Accent4 2 4 5 4" xfId="7289" xr:uid="{7226DCD8-D1CA-4EB6-960B-D9628FE75A09}"/>
    <cellStyle name="40% - Accent4 2 4 6" xfId="10402" xr:uid="{58F0D026-AD13-4EDA-8A3F-A1B247E11FE6}"/>
    <cellStyle name="40% - Accent4 2 4 6 2" xfId="5545" xr:uid="{0E9D9B41-3D6A-4F2B-A3C8-F972EFA0A834}"/>
    <cellStyle name="40% - Accent4 2 4 6 2 2" xfId="10400" xr:uid="{B703461B-5EC7-4CEC-B06D-67D0264BAFB5}"/>
    <cellStyle name="40% - Accent4 2 4 6 3" xfId="20653" xr:uid="{946851F4-450E-49A6-B176-6DE8318CF2C3}"/>
    <cellStyle name="40% - Accent4 2 4 7" xfId="22026" xr:uid="{342047AD-9225-41BF-94DC-62019C26AF44}"/>
    <cellStyle name="40% - Accent4 2 4 7 2" xfId="16608" xr:uid="{D8A19555-6A98-4ED4-9041-A3A6292594C8}"/>
    <cellStyle name="40% - Accent4 2 4 8" xfId="10396" xr:uid="{23EFC75C-C4BE-4598-AB50-852826B34350}"/>
    <cellStyle name="40% - Accent4 2 4 9" xfId="34760" xr:uid="{5212F10F-6723-4C21-92B5-50FEA907CAB2}"/>
    <cellStyle name="40% - Accent4 2 5" xfId="28498" xr:uid="{95097CB2-4126-45A4-9A69-B29B74D53976}"/>
    <cellStyle name="40% - Accent4 2 5 2" xfId="11882" xr:uid="{5F080E67-0C1C-4D97-B757-B520D301FFFE}"/>
    <cellStyle name="40% - Accent4 2 5 2 2" xfId="10393" xr:uid="{91B87AFD-DAD2-4BB2-9484-1A9F4E398ED9}"/>
    <cellStyle name="40% - Accent4 2 5 2 2 2" xfId="11457" xr:uid="{7FAB13DE-B052-4AB3-881E-6EB84F754A9F}"/>
    <cellStyle name="40% - Accent4 2 5 2 2 2 2" xfId="17648" xr:uid="{CF97179F-AAF3-4558-BAB4-DB67B8FB6E56}"/>
    <cellStyle name="40% - Accent4 2 5 2 2 2 2 2" xfId="12406" xr:uid="{02D21E1D-80DD-48E1-8C77-AEA3FB3E4977}"/>
    <cellStyle name="40% - Accent4 2 5 2 2 2 2 2 2" xfId="17245" xr:uid="{9E5C3111-2E33-4FBE-B0FC-3DA5D90EDFC9}"/>
    <cellStyle name="40% - Accent4 2 5 2 2 2 2 3" xfId="10391" xr:uid="{F361F1DB-B72B-4EF6-8908-2FBD14752079}"/>
    <cellStyle name="40% - Accent4 2 5 2 2 2 3" xfId="26966" xr:uid="{12C696ED-4EFF-4C8F-9948-D1DB6A99FFF3}"/>
    <cellStyle name="40% - Accent4 2 5 2 2 2 3 2" xfId="10389" xr:uid="{65C46120-D2E1-413C-B743-70EBA378791B}"/>
    <cellStyle name="40% - Accent4 2 5 2 2 2 4" xfId="26951" xr:uid="{86E00556-6714-404D-8CF4-C663206FF0A0}"/>
    <cellStyle name="40% - Accent4 2 5 2 2 3" xfId="17647" xr:uid="{177542C5-3137-4CDB-8EAB-D1BE0A637582}"/>
    <cellStyle name="40% - Accent4 2 5 2 2 3 2" xfId="28914" xr:uid="{E89CA6F9-DDEB-4F40-A2A3-F310A441DFBA}"/>
    <cellStyle name="40% - Accent4 2 5 2 2 3 2 2" xfId="13678" xr:uid="{D00704ED-A4BE-4F28-BBDE-38FD897DE813}"/>
    <cellStyle name="40% - Accent4 2 5 2 2 3 3" xfId="26667" xr:uid="{EFE3B1B9-BAC5-4C71-BAFF-B0CB738E1BF5}"/>
    <cellStyle name="40% - Accent4 2 5 2 2 4" xfId="10388" xr:uid="{9CACCDFE-72F7-45D3-88B8-C443E30CC9DB}"/>
    <cellStyle name="40% - Accent4 2 5 2 2 4 2" xfId="31968" xr:uid="{FC7F9EB3-5FF3-4A68-BF77-A6D660482BD3}"/>
    <cellStyle name="40% - Accent4 2 5 2 2 5" xfId="10387" xr:uid="{D7468322-AE69-42FC-A247-60CC540AEF43}"/>
    <cellStyle name="40% - Accent4 2 5 2 3" xfId="10386" xr:uid="{B607DEEB-C177-40DA-92B7-9CEB3E2F95E8}"/>
    <cellStyle name="40% - Accent4 2 5 2 3 2" xfId="17623" xr:uid="{ED72DA3E-37D0-47F5-A2B0-E58949179808}"/>
    <cellStyle name="40% - Accent4 2 5 2 3 2 2" xfId="31834" xr:uid="{5B810BCF-F9B7-49C2-A506-C01DD10A6A00}"/>
    <cellStyle name="40% - Accent4 2 5 2 3 2 2 2" xfId="10382" xr:uid="{5ABC8FC4-9489-45BF-B4D2-6A0354F99821}"/>
    <cellStyle name="40% - Accent4 2 5 2 3 2 3" xfId="29420" xr:uid="{E8EE1938-AF7B-4735-8A93-80023EC7EFBC}"/>
    <cellStyle name="40% - Accent4 2 5 2 3 3" xfId="10381" xr:uid="{0DF9F107-3E5B-4086-92A2-6A17E428D410}"/>
    <cellStyle name="40% - Accent4 2 5 2 3 3 2" xfId="33414" xr:uid="{C9B4ADAE-CF81-4456-B1FD-6C0EC019D567}"/>
    <cellStyle name="40% - Accent4 2 5 2 3 4" xfId="10375" xr:uid="{0838A1BE-0673-4006-B5F3-AA8FD16DAA6A}"/>
    <cellStyle name="40% - Accent4 2 5 2 4" xfId="16950" xr:uid="{9D54620E-CBB5-43E1-ABF9-BCD20C9B91DE}"/>
    <cellStyle name="40% - Accent4 2 5 2 4 2" xfId="10372" xr:uid="{6238E61C-9885-4C6F-9BD7-07350C4D390F}"/>
    <cellStyle name="40% - Accent4 2 5 2 4 2 2" xfId="24165" xr:uid="{E974FBFB-2388-4BDF-8A32-EFC90150C75A}"/>
    <cellStyle name="40% - Accent4 2 5 2 4 3" xfId="10366" xr:uid="{F29E4850-57E7-43D5-AA50-6E868CB1976E}"/>
    <cellStyle name="40% - Accent4 2 5 2 5" xfId="13297" xr:uid="{DB343A81-863D-429F-BA9D-7B7113A896A6}"/>
    <cellStyle name="40% - Accent4 2 5 2 5 2" xfId="10363" xr:uid="{D03300E2-CDAA-42AB-9976-05EF564F2305}"/>
    <cellStyle name="40% - Accent4 2 5 2 6" xfId="10357" xr:uid="{3F19E925-34D9-4A06-BA3C-8E34A6F58BF6}"/>
    <cellStyle name="40% - Accent4 2 5 3" xfId="12039" xr:uid="{D649705C-127E-45F2-A5F3-9DB851A65B3E}"/>
    <cellStyle name="40% - Accent4 2 5 3 2" xfId="12038" xr:uid="{7C8A1DB7-1ADE-435D-B49C-2919954D99C4}"/>
    <cellStyle name="40% - Accent4 2 5 3 2 2" xfId="30928" xr:uid="{806287DB-6D3E-4525-A15C-26EE928B2DEB}"/>
    <cellStyle name="40% - Accent4 2 5 3 2 2 2" xfId="31093" xr:uid="{C21D1427-C371-4BED-B645-C83A6900A1C8}"/>
    <cellStyle name="40% - Accent4 2 5 3 2 2 2 2" xfId="27440" xr:uid="{B5D2F4D9-4B0F-49E3-A022-463DE4753087}"/>
    <cellStyle name="40% - Accent4 2 5 3 2 2 3" xfId="31028" xr:uid="{50EBCD40-E6AE-4073-911A-EDE502B29435}"/>
    <cellStyle name="40% - Accent4 2 5 3 2 3" xfId="25527" xr:uid="{4F1E40E7-F356-4784-890B-47C8A5A87847}"/>
    <cellStyle name="40% - Accent4 2 5 3 2 3 2" xfId="22242" xr:uid="{CB67BAE3-9BA3-410F-A6DA-5F4F34C8F6ED}"/>
    <cellStyle name="40% - Accent4 2 5 3 2 4" xfId="10355" xr:uid="{7EB23276-04E1-40F2-87E0-E3C92E44995E}"/>
    <cellStyle name="40% - Accent4 2 5 3 3" xfId="12031" xr:uid="{43F849A9-371E-4C0D-9054-921472685CD9}"/>
    <cellStyle name="40% - Accent4 2 5 3 3 2" xfId="12027" xr:uid="{00887CC3-5A4E-4BDB-A07F-338849B31FD0}"/>
    <cellStyle name="40% - Accent4 2 5 3 3 2 2" xfId="30996" xr:uid="{2F9BBDDC-365F-47F1-A7B8-D41456CD5448}"/>
    <cellStyle name="40% - Accent4 2 5 3 3 3" xfId="10351" xr:uid="{49F09A57-20CB-4E49-AC2F-D298894E262C}"/>
    <cellStyle name="40% - Accent4 2 5 3 4" xfId="12020" xr:uid="{AA670E52-ADE3-498E-B0B3-1DB6D4A3D0A5}"/>
    <cellStyle name="40% - Accent4 2 5 3 4 2" xfId="10347" xr:uid="{B3D047B4-50B1-4ED8-A761-61DCD29A92AD}"/>
    <cellStyle name="40% - Accent4 2 5 3 5" xfId="10345" xr:uid="{008982EC-4106-45B7-B3A1-9575D4CBCB2A}"/>
    <cellStyle name="40% - Accent4 2 5 4" xfId="12016" xr:uid="{91BFD6C6-FD59-4815-A357-46107A2855C9}"/>
    <cellStyle name="40% - Accent4 2 5 4 2" xfId="19999" xr:uid="{89D0D191-E185-4D11-9EDF-326D89D874DC}"/>
    <cellStyle name="40% - Accent4 2 5 4 2 2" xfId="28718" xr:uid="{2C743806-8F84-48F2-854A-8A78F52B298E}"/>
    <cellStyle name="40% - Accent4 2 5 4 2 2 2" xfId="30950" xr:uid="{4A3A2C22-BAE4-44E1-A80E-DF48657AC56C}"/>
    <cellStyle name="40% - Accent4 2 5 4 2 3" xfId="10342" xr:uid="{20951B8C-D7D3-4F71-8949-2C856FB025D4}"/>
    <cellStyle name="40% - Accent4 2 5 4 3" xfId="19993" xr:uid="{B719C131-4DAD-44B1-8E46-8173A5F4BF1C}"/>
    <cellStyle name="40% - Accent4 2 5 4 3 2" xfId="10338" xr:uid="{86329B6A-96D8-4DFE-8EC6-E46605CD0C66}"/>
    <cellStyle name="40% - Accent4 2 5 4 4" xfId="10334" xr:uid="{353BF85E-0C60-4B1C-8C43-EB204DBC2B09}"/>
    <cellStyle name="40% - Accent4 2 5 5" xfId="12011" xr:uid="{1E39EC45-1756-4399-9FE3-D21CF5E6CF0A}"/>
    <cellStyle name="40% - Accent4 2 5 5 2" xfId="27904" xr:uid="{60FA4EFC-FE62-49E7-9827-6B335ED25F4E}"/>
    <cellStyle name="40% - Accent4 2 5 5 2 2" xfId="30363" xr:uid="{82157146-B1E6-4C92-B711-3C7D420C3D87}"/>
    <cellStyle name="40% - Accent4 2 5 5 3" xfId="13771" xr:uid="{658C97BC-A36D-4016-937F-219B575167D0}"/>
    <cellStyle name="40% - Accent4 2 5 6" xfId="13397" xr:uid="{2897CBE5-7586-40C2-B8D5-7E0CDFD66689}"/>
    <cellStyle name="40% - Accent4 2 5 6 2" xfId="10333" xr:uid="{FAC9670A-181D-4A46-94E7-35146000D76D}"/>
    <cellStyle name="40% - Accent4 2 5 7" xfId="12419" xr:uid="{72607D22-FD67-462D-A9CF-8908AED64C98}"/>
    <cellStyle name="40% - Accent4 2 5 8" xfId="34950" xr:uid="{D5D4DABB-CA0B-4500-98D9-7F2413C5E7FD}"/>
    <cellStyle name="40% - Accent4 2 6" xfId="28493" xr:uid="{8732D2BD-9A13-4399-BB55-F692FB25FA7C}"/>
    <cellStyle name="40% - Accent4 2 6 2" xfId="13598" xr:uid="{39C8743F-8B81-4C90-9555-882ACED3E413}"/>
    <cellStyle name="40% - Accent4 2 6 2 2" xfId="10331" xr:uid="{22C8694B-7699-4C44-9C62-67358845FC97}"/>
    <cellStyle name="40% - Accent4 2 6 2 2 2" xfId="17228" xr:uid="{F0CB0063-82D2-4E0B-892E-8E690BF170C2}"/>
    <cellStyle name="40% - Accent4 2 6 2 2 2 2" xfId="12782" xr:uid="{6E511483-4155-4024-BC71-795881C63927}"/>
    <cellStyle name="40% - Accent4 2 6 2 2 2 2 2" xfId="5474" xr:uid="{E145F6BB-4BE7-4B89-91B0-7CB8EA0511D2}"/>
    <cellStyle name="40% - Accent4 2 6 2 2 2 3" xfId="10329" xr:uid="{A5877E8B-8BB9-430A-8BE9-24DDF4DECE34}"/>
    <cellStyle name="40% - Accent4 2 6 2 2 3" xfId="10327" xr:uid="{7476AE97-5D30-40AA-B841-374F949175EA}"/>
    <cellStyle name="40% - Accent4 2 6 2 2 3 2" xfId="10325" xr:uid="{14AF546E-E596-4829-8E94-F8D5B0435E6F}"/>
    <cellStyle name="40% - Accent4 2 6 2 2 4" xfId="10323" xr:uid="{803B6ABB-ECB5-4377-B1EC-1797A74A52BC}"/>
    <cellStyle name="40% - Accent4 2 6 2 3" xfId="10321" xr:uid="{D139978B-5558-4508-B2F9-440DA071042C}"/>
    <cellStyle name="40% - Accent4 2 6 2 3 2" xfId="10319" xr:uid="{D0EA6023-82EB-44C4-9307-6BFA6B8C26F8}"/>
    <cellStyle name="40% - Accent4 2 6 2 3 2 2" xfId="10314" xr:uid="{A09B8323-B5E9-451B-BEB0-BD4B8DB1A357}"/>
    <cellStyle name="40% - Accent4 2 6 2 3 3" xfId="10312" xr:uid="{E5C6F600-B0AB-4BDF-BCB7-21909DB3D116}"/>
    <cellStyle name="40% - Accent4 2 6 2 4" xfId="10308" xr:uid="{F966711B-CF02-4693-AD8E-6289670BC9F2}"/>
    <cellStyle name="40% - Accent4 2 6 2 4 2" xfId="10306" xr:uid="{78F735D5-FCD0-404C-B2CA-4D9F03FF32FF}"/>
    <cellStyle name="40% - Accent4 2 6 2 5" xfId="25832" xr:uid="{899DA851-3F5E-4B2E-96BB-8345893FAC8E}"/>
    <cellStyle name="40% - Accent4 2 6 3" xfId="12005" xr:uid="{5244B4A0-F9CF-468A-88B4-05587FF314A5}"/>
    <cellStyle name="40% - Accent4 2 6 3 2" xfId="12003" xr:uid="{42118ACE-17F9-4033-8932-15E8F87EFC87}"/>
    <cellStyle name="40% - Accent4 2 6 3 2 2" xfId="11999" xr:uid="{1847A61C-FE38-4A33-A20B-70E0BE478886}"/>
    <cellStyle name="40% - Accent4 2 6 3 2 2 2" xfId="10304" xr:uid="{7957B5E4-E5AC-4695-8ADF-FEAE58FC4C11}"/>
    <cellStyle name="40% - Accent4 2 6 3 2 3" xfId="10303" xr:uid="{3C7A280C-2462-419F-BD62-007CA004666D}"/>
    <cellStyle name="40% - Accent4 2 6 3 3" xfId="11996" xr:uid="{83CF8BCA-601A-4009-9780-56F54F6EF37B}"/>
    <cellStyle name="40% - Accent4 2 6 3 3 2" xfId="10300" xr:uid="{76667FB2-AD8F-44B0-B751-84EF5C1C3152}"/>
    <cellStyle name="40% - Accent4 2 6 3 4" xfId="10298" xr:uid="{1CA75D34-21B3-47EE-8B22-FE28AA1528B4}"/>
    <cellStyle name="40% - Accent4 2 6 4" xfId="11993" xr:uid="{52AD4C8E-5569-45F3-89AA-9808F9F2DECC}"/>
    <cellStyle name="40% - Accent4 2 6 4 2" xfId="26539" xr:uid="{5F8472A9-44D3-4D68-8F3B-1D350F1A1B43}"/>
    <cellStyle name="40% - Accent4 2 6 4 2 2" xfId="10297" xr:uid="{0636B8CE-C406-4A46-8C90-C0D934A09EF5}"/>
    <cellStyle name="40% - Accent4 2 6 4 3" xfId="10295" xr:uid="{69C937F2-3B30-4AC2-80E0-9B39987F9CE0}"/>
    <cellStyle name="40% - Accent4 2 6 5" xfId="11988" xr:uid="{D41A2EE0-CDD6-4CA0-86FB-31E3A6FE0FF4}"/>
    <cellStyle name="40% - Accent4 2 6 5 2" xfId="10294" xr:uid="{97F2BEE4-5C8A-4619-8F48-1F0DA9144576}"/>
    <cellStyle name="40% - Accent4 2 6 6" xfId="10293" xr:uid="{A7CB009A-1B9C-4F41-8C4C-A9AEE6605A06}"/>
    <cellStyle name="40% - Accent4 2 6 7" xfId="35155" xr:uid="{5A89A67D-90BD-4AA7-98D7-B2F3C2DC77B2}"/>
    <cellStyle name="40% - Accent4 2 7" xfId="26444" xr:uid="{439CC679-AC81-4719-9A59-388F686BB330}"/>
    <cellStyle name="40% - Accent4 2 7 2" xfId="15458" xr:uid="{9C89AEC1-CCDC-4B8B-8641-532CADBCC837}"/>
    <cellStyle name="40% - Accent4 2 7 2 2" xfId="15456" xr:uid="{DE102F67-51BE-44FA-A4FF-A1B1345DEBB9}"/>
    <cellStyle name="40% - Accent4 2 7 2 2 2" xfId="10290" xr:uid="{4AFABB7D-B86D-4593-975D-02090D0154C2}"/>
    <cellStyle name="40% - Accent4 2 7 2 2 2 2" xfId="10288" xr:uid="{D9B92569-B0D5-4204-934A-B1B2EE6B48A3}"/>
    <cellStyle name="40% - Accent4 2 7 2 2 3" xfId="10285" xr:uid="{E0FA053D-39F6-4B39-95E9-8B7C85820191}"/>
    <cellStyle name="40% - Accent4 2 7 2 3" xfId="10282" xr:uid="{FD63213F-9ABD-4618-BAA0-9AA31EE7F59C}"/>
    <cellStyle name="40% - Accent4 2 7 2 3 2" xfId="26644" xr:uid="{08BF0496-3E1A-43F5-A00A-0C781A3540A8}"/>
    <cellStyle name="40% - Accent4 2 7 2 4" xfId="10280" xr:uid="{9CB7BFC1-32D0-44EE-82A0-E172BF1BBF60}"/>
    <cellStyle name="40% - Accent4 2 7 3" xfId="15454" xr:uid="{F73C9FB8-98EA-45E4-B05B-CA69C33BD0DA}"/>
    <cellStyle name="40% - Accent4 2 7 3 2" xfId="15452" xr:uid="{AFB60868-F5D8-4206-955A-6E576800679B}"/>
    <cellStyle name="40% - Accent4 2 7 3 2 2" xfId="10279" xr:uid="{3FB352F6-5D64-4EB4-80AD-FA382111C27E}"/>
    <cellStyle name="40% - Accent4 2 7 3 3" xfId="10277" xr:uid="{90398038-0326-4367-BE4D-C72BAC920A9E}"/>
    <cellStyle name="40% - Accent4 2 7 4" xfId="11984" xr:uid="{00C80D13-7785-4EF8-B040-28F4F345D27F}"/>
    <cellStyle name="40% - Accent4 2 7 4 2" xfId="10276" xr:uid="{63C2CB21-1D06-4BE9-BD56-E67FF6D3E534}"/>
    <cellStyle name="40% - Accent4 2 7 5" xfId="10274" xr:uid="{4CBBBD97-0743-4CEE-A447-BD9AD751EA78}"/>
    <cellStyle name="40% - Accent4 2 7 6" xfId="35384" xr:uid="{4500198C-C0E9-49DD-B372-F1DCE1F3086D}"/>
    <cellStyle name="40% - Accent4 2 8" xfId="10270" xr:uid="{5D3BB43B-2258-4B63-BB97-D06DEFC8F3D4}"/>
    <cellStyle name="40% - Accent4 2 8 2" xfId="15432" xr:uid="{1C5C4AEE-38B8-4C57-BC35-8C0293F15337}"/>
    <cellStyle name="40% - Accent4 2 8 2 2" xfId="10269" xr:uid="{2BEAE3D3-1979-4EC8-ABB9-E74E1D008DEE}"/>
    <cellStyle name="40% - Accent4 2 8 2 2 2" xfId="10263" xr:uid="{8CED4F11-54B6-4FA7-ACC2-389DFEA7E040}"/>
    <cellStyle name="40% - Accent4 2 8 2 3" xfId="10259" xr:uid="{5AAFF296-FCCB-42E5-9811-378637365328}"/>
    <cellStyle name="40% - Accent4 2 8 3" xfId="11976" xr:uid="{9FF2D9AF-A234-45D5-8262-37BDE4875F05}"/>
    <cellStyle name="40% - Accent4 2 8 3 2" xfId="10257" xr:uid="{A251A126-6184-472B-B0E9-FB0D5BC9FA3D}"/>
    <cellStyle name="40% - Accent4 2 8 4" xfId="15630" xr:uid="{1610D32C-4E68-408F-B65B-94E6239945F0}"/>
    <cellStyle name="40% - Accent4 2 8 5" xfId="36256" xr:uid="{5E9FFD82-0E38-47B8-8609-A720A9405377}"/>
    <cellStyle name="40% - Accent4 2 9" xfId="10256" xr:uid="{E3F1F1E2-1FE1-48FF-892F-A17F0ED590DD}"/>
    <cellStyle name="40% - Accent4 2 9 2" xfId="10255" xr:uid="{2BF68796-24F4-40C2-A375-674606E21BD6}"/>
    <cellStyle name="40% - Accent4 2 9 2 2" xfId="10253" xr:uid="{E6EA5008-8569-4C12-B1D9-EFDE290055EA}"/>
    <cellStyle name="40% - Accent4 2 9 3" xfId="23662" xr:uid="{5F29EDA5-6466-4CA9-9241-4965B3982895}"/>
    <cellStyle name="40% - Accent4 2 9 4" xfId="36542" xr:uid="{A4DE14C4-252F-417D-A80C-AB6AA127EEE4}"/>
    <cellStyle name="40% - Accent4 20" xfId="35706" xr:uid="{F361D3C6-E2B3-4ACF-9349-BAFA793A67A4}"/>
    <cellStyle name="40% - Accent4 20 2" xfId="36875" xr:uid="{73DBEDAA-A38C-40B6-B0BD-EC2C3257AAB3}"/>
    <cellStyle name="40% - Accent4 20 3" xfId="37766" xr:uid="{3825C604-2F04-4B0F-A3A8-C0F5B4466CAD}"/>
    <cellStyle name="40% - Accent4 21" xfId="35725" xr:uid="{D991F8FD-6A00-43C9-83D5-8E3845DE6D68}"/>
    <cellStyle name="40% - Accent4 21 2" xfId="36895" xr:uid="{FDF5B5E0-F678-48FF-98F4-8B2AC94480AA}"/>
    <cellStyle name="40% - Accent4 21 3" xfId="37786" xr:uid="{BB184004-8570-4223-AD6B-EA0018FA4B9E}"/>
    <cellStyle name="40% - Accent4 22" xfId="35744" xr:uid="{156DBAD7-8F84-49F7-A575-A53ACAE61F67}"/>
    <cellStyle name="40% - Accent4 22 2" xfId="36915" xr:uid="{E00825B9-48B9-4407-8DA5-1396FC7C619E}"/>
    <cellStyle name="40% - Accent4 22 3" xfId="37806" xr:uid="{15320AC4-89B0-4C3D-B853-3E2FA767FA8D}"/>
    <cellStyle name="40% - Accent4 23" xfId="35764" xr:uid="{1878BAF2-999D-437B-93E7-1D7677A5319F}"/>
    <cellStyle name="40% - Accent4 23 2" xfId="36934" xr:uid="{C896A808-9E38-4FCA-A706-1F51787C668D}"/>
    <cellStyle name="40% - Accent4 23 3" xfId="37826" xr:uid="{9A1E08A6-9E3C-48B3-A7C1-A89AFE8C4F21}"/>
    <cellStyle name="40% - Accent4 24" xfId="35784" xr:uid="{99127903-26CA-4F87-A073-E20A5D95BD07}"/>
    <cellStyle name="40% - Accent4 24 2" xfId="36953" xr:uid="{254B4A6D-EEFE-483A-B9FA-17F52C566731}"/>
    <cellStyle name="40% - Accent4 24 3" xfId="37846" xr:uid="{9DA195EB-618D-4E47-9EF7-ADEC15F5FC3C}"/>
    <cellStyle name="40% - Accent4 25" xfId="35803" xr:uid="{D0F68B8C-60F3-46EB-878A-4A3B422609FA}"/>
    <cellStyle name="40% - Accent4 25 2" xfId="36973" xr:uid="{B9DB5A4D-2515-4413-9D7E-2CBB28CB2DC1}"/>
    <cellStyle name="40% - Accent4 25 3" xfId="37866" xr:uid="{95DE2DCB-2844-4092-9E3C-7036F5CD6DBC}"/>
    <cellStyle name="40% - Accent4 26" xfId="35822" xr:uid="{EC8DF407-1B3B-4D45-8793-419A4ADE087C}"/>
    <cellStyle name="40% - Accent4 26 2" xfId="36993" xr:uid="{7008EECF-5E17-4E2D-B5C0-0EE5A1C78E4A}"/>
    <cellStyle name="40% - Accent4 26 3" xfId="37886" xr:uid="{C720046B-2121-4C45-A1F8-9E67D4B802E9}"/>
    <cellStyle name="40% - Accent4 27" xfId="35841" xr:uid="{D4729D42-3128-4DBC-A495-E8B2FD95570B}"/>
    <cellStyle name="40% - Accent4 27 2" xfId="37013" xr:uid="{127FCA6F-AE25-4032-B659-1FF9FE6A198C}"/>
    <cellStyle name="40% - Accent4 27 3" xfId="37906" xr:uid="{6BEDB829-82FE-48D2-817C-286DEBA70B26}"/>
    <cellStyle name="40% - Accent4 28" xfId="35860" xr:uid="{DFAFC604-FFA9-476F-A0A3-12F414626432}"/>
    <cellStyle name="40% - Accent4 28 2" xfId="37033" xr:uid="{59000A4B-56AE-46AB-B505-9795B5D951D2}"/>
    <cellStyle name="40% - Accent4 28 3" xfId="37926" xr:uid="{D87F7C89-A631-4A2E-A15E-B894C6BFF4EA}"/>
    <cellStyle name="40% - Accent4 29" xfId="35878" xr:uid="{FC40DB06-02F1-4863-93A2-08F07FB84097}"/>
    <cellStyle name="40% - Accent4 29 2" xfId="37050" xr:uid="{268EBAF9-CF1A-4449-BDF2-11B002AAA9CB}"/>
    <cellStyle name="40% - Accent4 29 3" xfId="37944" xr:uid="{AB6F3601-3749-4EAB-AA33-953B66C0C5A7}"/>
    <cellStyle name="40% - Accent4 3" xfId="107" xr:uid="{A60DC84C-D795-4135-B53E-9F4BD0F25FEB}"/>
    <cellStyle name="40% - Accent4 3 10" xfId="10252" xr:uid="{B77AEAD6-153C-47D3-8B4E-A10559E3037E}"/>
    <cellStyle name="40% - Accent4 3 10 2" xfId="37446" xr:uid="{5D851224-F0C1-40EA-8641-B2F4DFE197F6}"/>
    <cellStyle name="40% - Accent4 3 11" xfId="34461" xr:uid="{ABFA494E-0AEF-4C9A-A61C-9015F0E8A18C}"/>
    <cellStyle name="40% - Accent4 3 12" xfId="18171" xr:uid="{FB0B0EA0-376D-4AD4-89B6-4F8E81C5D297}"/>
    <cellStyle name="40% - Accent4 3 2" xfId="168" xr:uid="{E7005038-CA65-4CC5-AB23-89B5F27992C8}"/>
    <cellStyle name="40% - Accent4 3 2 10" xfId="34513" xr:uid="{6E73527B-949F-43F5-B7D7-7C19D7E84C6F}"/>
    <cellStyle name="40% - Accent4 3 2 11" xfId="13763" xr:uid="{86D44B6B-6BBC-44C6-9C10-8C28E9F3DA72}"/>
    <cellStyle name="40% - Accent4 3 2 2" xfId="10248" xr:uid="{2D513EE7-AA2B-43A3-8A47-FE12563A8103}"/>
    <cellStyle name="40% - Accent4 3 2 2 2" xfId="10247" xr:uid="{C143DB95-4FC2-43AC-9927-D7F5DEE289DA}"/>
    <cellStyle name="40% - Accent4 3 2 2 2 2" xfId="13086" xr:uid="{14CDAF01-8330-4E7F-BE1D-AC54F861E6DA}"/>
    <cellStyle name="40% - Accent4 3 2 2 2 2 2" xfId="10246" xr:uid="{01731DB4-9B2A-4512-AD16-55764085D745}"/>
    <cellStyle name="40% - Accent4 3 2 2 2 2 2 2" xfId="22808" xr:uid="{60C588B0-CA1E-4E32-8133-1901A97F62E9}"/>
    <cellStyle name="40% - Accent4 3 2 2 2 2 2 2 2" xfId="8664" xr:uid="{3E6FEE5E-570A-4E65-AEB9-0109DB06E85B}"/>
    <cellStyle name="40% - Accent4 3 2 2 2 2 2 2 2 2" xfId="34392" xr:uid="{56830A51-007B-4E03-999F-069D88965091}"/>
    <cellStyle name="40% - Accent4 3 2 2 2 2 2 2 2 2 2" xfId="10244" xr:uid="{AD1988EE-C84B-4AA1-9E1E-9EA8BDF8A331}"/>
    <cellStyle name="40% - Accent4 3 2 2 2 2 2 2 2 3" xfId="10243" xr:uid="{49F549FE-683A-4C6E-9887-FB73E4DB56F3}"/>
    <cellStyle name="40% - Accent4 3 2 2 2 2 2 2 3" xfId="10242" xr:uid="{F7DF5D46-99C7-4461-A61D-2F4BB18A86D3}"/>
    <cellStyle name="40% - Accent4 3 2 2 2 2 2 2 3 2" xfId="10240" xr:uid="{EFEFB50C-AA01-497B-A7A9-95E803D0E61F}"/>
    <cellStyle name="40% - Accent4 3 2 2 2 2 2 2 4" xfId="10238" xr:uid="{780BE6CC-6172-4A7C-92A8-1DEB5DC1791D}"/>
    <cellStyle name="40% - Accent4 3 2 2 2 2 2 3" xfId="10237" xr:uid="{BBEA621F-DCF3-422C-8D5B-53BC0B93FA20}"/>
    <cellStyle name="40% - Accent4 3 2 2 2 2 2 3 2" xfId="8660" xr:uid="{E17A8886-2A43-427C-BB32-906C05475B17}"/>
    <cellStyle name="40% - Accent4 3 2 2 2 2 2 3 2 2" xfId="10233" xr:uid="{6CCA111F-DDEA-42BB-AB92-7146989F804C}"/>
    <cellStyle name="40% - Accent4 3 2 2 2 2 2 3 3" xfId="10232" xr:uid="{326D5F82-664F-4D87-82CC-FE19F48BE176}"/>
    <cellStyle name="40% - Accent4 3 2 2 2 2 2 4" xfId="10231" xr:uid="{DAB0C683-A432-4776-A654-A4F2A06BB9FD}"/>
    <cellStyle name="40% - Accent4 3 2 2 2 2 2 4 2" xfId="10229" xr:uid="{5C34556A-D4F9-4429-9B00-B1BF7D29D245}"/>
    <cellStyle name="40% - Accent4 3 2 2 2 2 2 5" xfId="20383" xr:uid="{D4874F45-A636-4231-82DC-5D96041DAA74}"/>
    <cellStyle name="40% - Accent4 3 2 2 2 2 3" xfId="10227" xr:uid="{4FF0256A-4312-4CBA-8C43-770A62A023D3}"/>
    <cellStyle name="40% - Accent4 3 2 2 2 2 3 2" xfId="10225" xr:uid="{95E14970-68A2-46D8-9B3F-7D479C5A8208}"/>
    <cellStyle name="40% - Accent4 3 2 2 2 2 3 2 2" xfId="8647" xr:uid="{D4DA5105-F30D-45A3-8F3E-A11F43F0D5A7}"/>
    <cellStyle name="40% - Accent4 3 2 2 2 2 3 2 2 2" xfId="10224" xr:uid="{D780F72A-221F-407A-8623-8254493D0162}"/>
    <cellStyle name="40% - Accent4 3 2 2 2 2 3 2 3" xfId="10223" xr:uid="{B16EE9D5-5F50-45FE-B547-2D26359FED0C}"/>
    <cellStyle name="40% - Accent4 3 2 2 2 2 3 3" xfId="10222" xr:uid="{7F238A9D-5A88-4D91-8F76-56A6E8341013}"/>
    <cellStyle name="40% - Accent4 3 2 2 2 2 3 3 2" xfId="10221" xr:uid="{091DF2ED-15DA-44EB-AF21-398D3B4D91DE}"/>
    <cellStyle name="40% - Accent4 3 2 2 2 2 3 4" xfId="10220" xr:uid="{DAF39E97-2E46-452F-A56A-EC43CED0EBE6}"/>
    <cellStyle name="40% - Accent4 3 2 2 2 2 4" xfId="20695" xr:uid="{966C30DD-3C6F-4C22-B717-1157B1638F5D}"/>
    <cellStyle name="40% - Accent4 3 2 2 2 2 4 2" xfId="10219" xr:uid="{623B0221-3D5B-47B3-9568-2ACA76FDA133}"/>
    <cellStyle name="40% - Accent4 3 2 2 2 2 4 2 2" xfId="10217" xr:uid="{F9695E61-3000-4619-A4E6-6FC9A5402B26}"/>
    <cellStyle name="40% - Accent4 3 2 2 2 2 4 3" xfId="10215" xr:uid="{1EE0ADC2-CD89-42B1-B444-98EC1FB0747E}"/>
    <cellStyle name="40% - Accent4 3 2 2 2 2 5" xfId="24681" xr:uid="{D4F5D835-20C7-4C7E-8CFE-D789C39399C5}"/>
    <cellStyle name="40% - Accent4 3 2 2 2 2 5 2" xfId="9633" xr:uid="{F15E82B3-7ECC-4CD0-A707-74A8BEE4140F}"/>
    <cellStyle name="40% - Accent4 3 2 2 2 2 6" xfId="24676" xr:uid="{6EF53F2F-B406-4875-8506-E71FE697D977}"/>
    <cellStyle name="40% - Accent4 3 2 2 2 3" xfId="27870" xr:uid="{C0C9A230-D7AF-425E-B10E-7091E04A33AF}"/>
    <cellStyle name="40% - Accent4 3 2 2 2 3 2" xfId="10209" xr:uid="{7011847E-D195-45AF-BD78-96227342C395}"/>
    <cellStyle name="40% - Accent4 3 2 2 2 3 2 2" xfId="25283" xr:uid="{D0C477DF-F4F4-4517-9AC2-DC0A176D42A9}"/>
    <cellStyle name="40% - Accent4 3 2 2 2 3 2 2 2" xfId="8607" xr:uid="{8050BBA0-B799-48AD-A8DB-FFCCFCF6DD42}"/>
    <cellStyle name="40% - Accent4 3 2 2 2 3 2 2 2 2" xfId="30767" xr:uid="{A15EDE1A-AF75-4200-ADAE-FE815835859E}"/>
    <cellStyle name="40% - Accent4 3 2 2 2 3 2 2 3" xfId="15405" xr:uid="{C2318E38-0D82-457E-9251-50128F510CCB}"/>
    <cellStyle name="40% - Accent4 3 2 2 2 3 2 3" xfId="25277" xr:uid="{C2598A3A-9C4D-4D68-9EE3-1B11A23892A0}"/>
    <cellStyle name="40% - Accent4 3 2 2 2 3 2 3 2" xfId="10206" xr:uid="{9211E69A-1805-49C9-8CC1-61923050EBB2}"/>
    <cellStyle name="40% - Accent4 3 2 2 2 3 2 4" xfId="25332" xr:uid="{68A0926F-020A-4AE9-9C43-0925B3771675}"/>
    <cellStyle name="40% - Accent4 3 2 2 2 3 3" xfId="10205" xr:uid="{E5AD19B2-A29D-4D94-A013-E0FC97AD7444}"/>
    <cellStyle name="40% - Accent4 3 2 2 2 3 3 2" xfId="25270" xr:uid="{FE1E5C3F-2177-40CD-BD60-138908FE55D0}"/>
    <cellStyle name="40% - Accent4 3 2 2 2 3 3 2 2" xfId="10202" xr:uid="{74220484-2CE9-41A3-A07C-45FD5966E6CC}"/>
    <cellStyle name="40% - Accent4 3 2 2 2 3 3 3" xfId="22107" xr:uid="{5AC207FD-C79F-494C-8B98-FBEBE1AC94F9}"/>
    <cellStyle name="40% - Accent4 3 2 2 2 3 4" xfId="24673" xr:uid="{24AF59A3-F45C-400B-9A80-2B7C04B3CC15}"/>
    <cellStyle name="40% - Accent4 3 2 2 2 3 4 2" xfId="10200" xr:uid="{DE60C0A4-E191-4875-B3F7-DB60CE9338A1}"/>
    <cellStyle name="40% - Accent4 3 2 2 2 3 5" xfId="24526" xr:uid="{95EB55C8-0808-48E0-93F4-D996CD98095E}"/>
    <cellStyle name="40% - Accent4 3 2 2 2 4" xfId="10197" xr:uid="{CF2F8F93-8892-467A-99BE-958AB6BF0B0F}"/>
    <cellStyle name="40% - Accent4 3 2 2 2 4 2" xfId="21970" xr:uid="{571BF10A-C096-4395-99EE-7510F2124628}"/>
    <cellStyle name="40% - Accent4 3 2 2 2 4 2 2" xfId="25258" xr:uid="{9AC5BDCA-EA5C-4EAF-A9E6-E73043DBFEA8}"/>
    <cellStyle name="40% - Accent4 3 2 2 2 4 2 2 2" xfId="10195" xr:uid="{10780E0C-C6E1-4EBE-AF6F-4347EAF156F4}"/>
    <cellStyle name="40% - Accent4 3 2 2 2 4 2 3" xfId="10194" xr:uid="{0C3B0297-6728-4CE0-BEC4-17D4AA7089C9}"/>
    <cellStyle name="40% - Accent4 3 2 2 2 4 3" xfId="26641" xr:uid="{149E38C1-FF77-4B0B-AED8-6D9F84BD5FB5}"/>
    <cellStyle name="40% - Accent4 3 2 2 2 4 3 2" xfId="10192" xr:uid="{36038194-6121-4041-82BB-3B4A6176C44D}"/>
    <cellStyle name="40% - Accent4 3 2 2 2 4 4" xfId="24661" xr:uid="{B2ACA79B-3AAF-4E24-BAB2-24F7DC728103}"/>
    <cellStyle name="40% - Accent4 3 2 2 2 5" xfId="10190" xr:uid="{CBBEA086-AB5A-4565-AC85-606D582FCEA0}"/>
    <cellStyle name="40% - Accent4 3 2 2 2 5 2" xfId="10189" xr:uid="{E878C52A-570D-4AC7-985E-AACA22E5A393}"/>
    <cellStyle name="40% - Accent4 3 2 2 2 5 2 2" xfId="10188" xr:uid="{7020C68B-C1D6-4EA0-8E6C-DF78C2F4FDFA}"/>
    <cellStyle name="40% - Accent4 3 2 2 2 5 3" xfId="10187" xr:uid="{4A274A3F-7AF2-4F5D-B1A8-C4F38BB6868D}"/>
    <cellStyle name="40% - Accent4 3 2 2 2 6" xfId="10186" xr:uid="{8B94A99C-0F55-43A5-92B9-CD07D3CCB57D}"/>
    <cellStyle name="40% - Accent4 3 2 2 2 6 2" xfId="10185" xr:uid="{8C61DF87-21AB-469B-B159-47ADE8098D33}"/>
    <cellStyle name="40% - Accent4 3 2 2 2 7" xfId="10184" xr:uid="{094A09F6-5836-475D-A857-644F7F5CB422}"/>
    <cellStyle name="40% - Accent4 3 2 2 3" xfId="10183" xr:uid="{F25FC975-B857-4311-A428-E0329DEF3A86}"/>
    <cellStyle name="40% - Accent4 3 2 2 3 2" xfId="10181" xr:uid="{B32835A8-E04F-4290-BB68-CF00DE80E048}"/>
    <cellStyle name="40% - Accent4 3 2 2 3 2 2" xfId="10178" xr:uid="{2B3AFB80-4D44-40F7-90FE-323CCEE3D01B}"/>
    <cellStyle name="40% - Accent4 3 2 2 3 2 2 2" xfId="10175" xr:uid="{DF300438-B615-400E-9F15-15599585B980}"/>
    <cellStyle name="40% - Accent4 3 2 2 3 2 2 2 2" xfId="8533" xr:uid="{19DD7F14-4A48-443C-BA97-9D1AFB31B06E}"/>
    <cellStyle name="40% - Accent4 3 2 2 3 2 2 2 2 2" xfId="10174" xr:uid="{9DE3B937-E135-432D-98A9-245E7D17BEA9}"/>
    <cellStyle name="40% - Accent4 3 2 2 3 2 2 2 3" xfId="17666" xr:uid="{8FE672BA-09B0-4A96-8C4E-2851371CA603}"/>
    <cellStyle name="40% - Accent4 3 2 2 3 2 2 3" xfId="10173" xr:uid="{03A681D1-F1E2-4184-9F9D-FE9C2B009F2C}"/>
    <cellStyle name="40% - Accent4 3 2 2 3 2 2 3 2" xfId="18257" xr:uid="{2316D896-18FB-4AE6-8D04-3A1628BAEE01}"/>
    <cellStyle name="40% - Accent4 3 2 2 3 2 2 4" xfId="10172" xr:uid="{89C0E298-1172-46AE-B375-23B5A4915863}"/>
    <cellStyle name="40% - Accent4 3 2 2 3 2 3" xfId="10171" xr:uid="{DE930DE7-20E8-4A47-B634-9DCFA2E0C3D2}"/>
    <cellStyle name="40% - Accent4 3 2 2 3 2 3 2" xfId="10166" xr:uid="{12F1947F-60EF-4CF5-9F56-F047997DCE6F}"/>
    <cellStyle name="40% - Accent4 3 2 2 3 2 3 2 2" xfId="17637" xr:uid="{211BA8FA-811A-49C6-A90D-456F79513BB9}"/>
    <cellStyle name="40% - Accent4 3 2 2 3 2 3 3" xfId="10165" xr:uid="{9A505659-36EA-4DA2-BC1F-D8EF2A388315}"/>
    <cellStyle name="40% - Accent4 3 2 2 3 2 4" xfId="28834" xr:uid="{29D839F0-A04D-4C50-A4A2-86BE7AFD91EB}"/>
    <cellStyle name="40% - Accent4 3 2 2 3 2 4 2" xfId="10163" xr:uid="{8D3EBD1F-7DAE-4068-B022-461CCADE7A7A}"/>
    <cellStyle name="40% - Accent4 3 2 2 3 2 5" xfId="25040" xr:uid="{A10B17DE-02AA-4972-B8FC-CD5E3DC33137}"/>
    <cellStyle name="40% - Accent4 3 2 2 3 3" xfId="10161" xr:uid="{E2BB7FB2-5554-408E-B25F-D555476565AC}"/>
    <cellStyle name="40% - Accent4 3 2 2 3 3 2" xfId="10158" xr:uid="{F5869D16-A2AF-4152-80B8-8B96C9E3210D}"/>
    <cellStyle name="40% - Accent4 3 2 2 3 3 2 2" xfId="25241" xr:uid="{F59E867C-DAE8-4E03-8D7E-CCF93A8508E1}"/>
    <cellStyle name="40% - Accent4 3 2 2 3 3 2 2 2" xfId="17561" xr:uid="{80F2895F-1803-4BED-A8F2-1AF0E6AA02D0}"/>
    <cellStyle name="40% - Accent4 3 2 2 3 3 2 3" xfId="10154" xr:uid="{1EE20689-B5D2-4034-9C2E-E8F727F02115}"/>
    <cellStyle name="40% - Accent4 3 2 2 3 3 3" xfId="10152" xr:uid="{5621D05F-A87C-4EDC-91C8-1321A3F1063D}"/>
    <cellStyle name="40% - Accent4 3 2 2 3 3 3 2" xfId="10147" xr:uid="{497F848E-202F-47E1-87E3-CF6858AFE130}"/>
    <cellStyle name="40% - Accent4 3 2 2 3 3 4" xfId="28824" xr:uid="{7B88B635-E9C8-4858-A460-6C5D1A8941A3}"/>
    <cellStyle name="40% - Accent4 3 2 2 3 4" xfId="6487" xr:uid="{1DEE6AC5-4EA9-4DE4-8060-8B397EEB10B8}"/>
    <cellStyle name="40% - Accent4 3 2 2 3 4 2" xfId="10146" xr:uid="{26B750DB-61E9-4E22-B4CA-6758D758CECC}"/>
    <cellStyle name="40% - Accent4 3 2 2 3 4 2 2" xfId="10142" xr:uid="{404FBD90-FA5C-43F8-A125-A1A812A1009C}"/>
    <cellStyle name="40% - Accent4 3 2 2 3 4 3" xfId="10141" xr:uid="{05D95025-2710-4AE5-AACB-DA921510C302}"/>
    <cellStyle name="40% - Accent4 3 2 2 3 5" xfId="10135" xr:uid="{CB70B5B4-5964-4274-AD3F-C7C53D7DD461}"/>
    <cellStyle name="40% - Accent4 3 2 2 3 5 2" xfId="10133" xr:uid="{6127A2AC-3596-46E4-8113-49C5E61540DB}"/>
    <cellStyle name="40% - Accent4 3 2 2 3 6" xfId="10130" xr:uid="{79850829-D3D5-423D-813A-843C54DDF54C}"/>
    <cellStyle name="40% - Accent4 3 2 2 4" xfId="29273" xr:uid="{C574E6B4-59F2-4612-8B66-F73B37067D36}"/>
    <cellStyle name="40% - Accent4 3 2 2 4 2" xfId="10128" xr:uid="{1BD8D148-B171-478C-9AD7-937A8A572B51}"/>
    <cellStyle name="40% - Accent4 3 2 2 4 2 2" xfId="10125" xr:uid="{4ADCCD1E-6399-46D2-8562-AFDCEBB1BBE7}"/>
    <cellStyle name="40% - Accent4 3 2 2 4 2 2 2" xfId="10122" xr:uid="{C8793F91-FD50-47EE-8855-64211524444B}"/>
    <cellStyle name="40% - Accent4 3 2 2 4 2 2 2 2" xfId="32907" xr:uid="{E5ECA74B-3C6D-4B0B-9013-EDC645FEAF0B}"/>
    <cellStyle name="40% - Accent4 3 2 2 4 2 2 3" xfId="13896" xr:uid="{0AE264D2-67AF-4840-9B2F-D3EF5CEDF8B1}"/>
    <cellStyle name="40% - Accent4 3 2 2 4 2 3" xfId="10121" xr:uid="{9FA50C34-24D7-4E40-BC89-3A9B9A901C6A}"/>
    <cellStyle name="40% - Accent4 3 2 2 4 2 3 2" xfId="10116" xr:uid="{A991082C-CEAF-4953-977B-2E099669E1DB}"/>
    <cellStyle name="40% - Accent4 3 2 2 4 2 4" xfId="28808" xr:uid="{89521FD4-474E-4FE4-877E-6D60DA67E6DF}"/>
    <cellStyle name="40% - Accent4 3 2 2 4 3" xfId="10115" xr:uid="{868B90C8-1242-4908-BC83-6ED1BC3CAC90}"/>
    <cellStyle name="40% - Accent4 3 2 2 4 3 2" xfId="15145" xr:uid="{50B53DCA-7F99-4490-A79D-8B46B5213066}"/>
    <cellStyle name="40% - Accent4 3 2 2 4 3 2 2" xfId="10112" xr:uid="{A23535C3-3B53-4260-A67A-39CBAD3F8503}"/>
    <cellStyle name="40% - Accent4 3 2 2 4 3 3" xfId="15137" xr:uid="{EC5C813A-AC9A-412B-BA85-5F92B9EEE4F2}"/>
    <cellStyle name="40% - Accent4 3 2 2 4 4" xfId="10111" xr:uid="{178BFB02-2041-451F-8149-8EFF6CAB4363}"/>
    <cellStyle name="40% - Accent4 3 2 2 4 4 2" xfId="15094" xr:uid="{88048BB3-19C5-4267-90E9-53110AB41E99}"/>
    <cellStyle name="40% - Accent4 3 2 2 4 5" xfId="10108" xr:uid="{15375A48-A537-4C20-91AD-CB7E1D2EAED3}"/>
    <cellStyle name="40% - Accent4 3 2 2 5" xfId="16655" xr:uid="{44070D76-AE96-4209-8AB7-31DB9AF9BE8F}"/>
    <cellStyle name="40% - Accent4 3 2 2 5 2" xfId="10105" xr:uid="{E92B9965-4FF0-4D26-9A92-30D3D0ED464D}"/>
    <cellStyle name="40% - Accent4 3 2 2 5 2 2" xfId="10102" xr:uid="{F018CD4E-8F94-42EC-8544-6D7902597A40}"/>
    <cellStyle name="40% - Accent4 3 2 2 5 2 2 2" xfId="28032" xr:uid="{59F66B99-0CB3-4F6F-9D37-2F83D71684C2}"/>
    <cellStyle name="40% - Accent4 3 2 2 5 2 3" xfId="10099" xr:uid="{29440267-5F83-4969-B072-C405301CB7BE}"/>
    <cellStyle name="40% - Accent4 3 2 2 5 3" xfId="10094" xr:uid="{22525BD6-06D8-4CBB-B9E5-B3EFE9C1215A}"/>
    <cellStyle name="40% - Accent4 3 2 2 5 3 2" xfId="15041" xr:uid="{3676F8AF-8C7F-4E35-9ADF-21B397ECD3BE}"/>
    <cellStyle name="40% - Accent4 3 2 2 5 4" xfId="10090" xr:uid="{6B792328-702C-4F38-BE08-92D0BFCF3866}"/>
    <cellStyle name="40% - Accent4 3 2 2 6" xfId="13281" xr:uid="{949702FB-E132-4C1E-AB2E-5B6C5982F346}"/>
    <cellStyle name="40% - Accent4 3 2 2 6 2" xfId="10087" xr:uid="{8D2DA4D9-2088-4A13-9DEC-7789EC3E4875}"/>
    <cellStyle name="40% - Accent4 3 2 2 6 2 2" xfId="33495" xr:uid="{C2648535-4410-4B0E-93F9-4CF67045121F}"/>
    <cellStyle name="40% - Accent4 3 2 2 6 3" xfId="10084" xr:uid="{8BA3B6C2-81FC-4D30-BCE6-803C5096189D}"/>
    <cellStyle name="40% - Accent4 3 2 2 7" xfId="13277" xr:uid="{2223B5E4-6D4C-44A3-8C34-6CF1632AF138}"/>
    <cellStyle name="40% - Accent4 3 2 2 7 2" xfId="10081" xr:uid="{1F3E9DE6-D1D3-4666-81B2-A057E9C7E46D}"/>
    <cellStyle name="40% - Accent4 3 2 2 8" xfId="10078" xr:uid="{1AD0C97E-704F-48FA-8E21-A0A87676EEC7}"/>
    <cellStyle name="40% - Accent4 3 2 3" xfId="10077" xr:uid="{7A3FDF93-E1F0-456E-9A07-B9020279C312}"/>
    <cellStyle name="40% - Accent4 3 2 3 2" xfId="10076" xr:uid="{B524ECE2-4EA9-4FD8-A1AE-89B1FBA9B2C2}"/>
    <cellStyle name="40% - Accent4 3 2 3 2 2" xfId="10074" xr:uid="{AA60B957-4154-4D1D-8B64-13FF9592E5CB}"/>
    <cellStyle name="40% - Accent4 3 2 3 2 2 2" xfId="5367" xr:uid="{E88FCB04-073A-40A3-AD4B-A9F429BBCEB5}"/>
    <cellStyle name="40% - Accent4 3 2 3 2 2 2 2" xfId="10073" xr:uid="{08C77A64-87AF-46B1-BC0A-11444102D3BA}"/>
    <cellStyle name="40% - Accent4 3 2 3 2 2 2 2 2" xfId="20940" xr:uid="{7FB5C4A5-F52A-4227-903D-5C7CA0C6A2F4}"/>
    <cellStyle name="40% - Accent4 3 2 3 2 2 2 2 2 2" xfId="10069" xr:uid="{80142220-CC9C-4D1F-AB20-6B80317E8F7E}"/>
    <cellStyle name="40% - Accent4 3 2 3 2 2 2 2 3" xfId="15029" xr:uid="{1E2F9304-210D-42B6-8EEC-BE35829851C8}"/>
    <cellStyle name="40% - Accent4 3 2 3 2 2 2 3" xfId="10067" xr:uid="{38412EC3-7512-4337-BDC6-CAE7419443F9}"/>
    <cellStyle name="40% - Accent4 3 2 3 2 2 2 3 2" xfId="15024" xr:uid="{92D209D5-4165-49E9-8447-E5CD6DD5AC09}"/>
    <cellStyle name="40% - Accent4 3 2 3 2 2 2 4" xfId="10064" xr:uid="{184780BA-3547-465F-9551-C6EC1DA3AF50}"/>
    <cellStyle name="40% - Accent4 3 2 3 2 2 3" xfId="10063" xr:uid="{F4BC495D-6912-4E8C-A377-6E6F928229D8}"/>
    <cellStyle name="40% - Accent4 3 2 3 2 2 3 2" xfId="10061" xr:uid="{17371120-36FD-4D40-8523-10D8A5750AF9}"/>
    <cellStyle name="40% - Accent4 3 2 3 2 2 3 2 2" xfId="15012" xr:uid="{F47530E5-F29B-4540-B002-7EBFEEF6838C}"/>
    <cellStyle name="40% - Accent4 3 2 3 2 2 3 3" xfId="10059" xr:uid="{B5A6B2FE-62FA-42E1-BB39-7F51ADAB4DF0}"/>
    <cellStyle name="40% - Accent4 3 2 3 2 2 4" xfId="24617" xr:uid="{5B1BA2A7-6AE9-4BAF-A0B8-1F4451FFF54A}"/>
    <cellStyle name="40% - Accent4 3 2 3 2 2 4 2" xfId="25983" xr:uid="{9AC44B84-454D-4B48-860B-7D591AF5DE8F}"/>
    <cellStyle name="40% - Accent4 3 2 3 2 2 5" xfId="24611" xr:uid="{4FB49D0A-ED95-4311-8767-CF71F0AB9B31}"/>
    <cellStyle name="40% - Accent4 3 2 3 2 3" xfId="10058" xr:uid="{09C76D06-8421-43D0-9F6B-3C539D9E97EF}"/>
    <cellStyle name="40% - Accent4 3 2 3 2 3 2" xfId="25770" xr:uid="{369195C2-3337-4055-8343-B4397ABDD8EE}"/>
    <cellStyle name="40% - Accent4 3 2 3 2 3 2 2" xfId="30912" xr:uid="{C1CDADEB-8668-4E0B-B724-7D94FC31B7F6}"/>
    <cellStyle name="40% - Accent4 3 2 3 2 3 2 2 2" xfId="14989" xr:uid="{2E3B95CB-DD2B-4EC2-BB8C-DC4603644A3A}"/>
    <cellStyle name="40% - Accent4 3 2 3 2 3 2 3" xfId="10056" xr:uid="{080E3F3F-B0BA-438A-A88E-62435D7D40F6}"/>
    <cellStyle name="40% - Accent4 3 2 3 2 3 3" xfId="10053" xr:uid="{30990583-E9E1-48D4-BC81-BFEE2717D32D}"/>
    <cellStyle name="40% - Accent4 3 2 3 2 3 3 2" xfId="10052" xr:uid="{56CB7783-110E-44D7-8EA1-339BD551E3AC}"/>
    <cellStyle name="40% - Accent4 3 2 3 2 3 4" xfId="24606" xr:uid="{8503D7B9-A49F-4EA9-9B0F-A326F4CAD4F7}"/>
    <cellStyle name="40% - Accent4 3 2 3 2 4" xfId="10050" xr:uid="{6E1AE71F-D3F1-4086-93E8-A6C006B96F4E}"/>
    <cellStyle name="40% - Accent4 3 2 3 2 4 2" xfId="30380" xr:uid="{495D23E3-14EA-46A9-927C-CB9C92529BC8}"/>
    <cellStyle name="40% - Accent4 3 2 3 2 4 2 2" xfId="10045" xr:uid="{9D2AA554-8BE0-4310-9BA1-DFBBF5B473F9}"/>
    <cellStyle name="40% - Accent4 3 2 3 2 4 3" xfId="29584" xr:uid="{8A070062-29B3-43CB-985D-50EDE989F23A}"/>
    <cellStyle name="40% - Accent4 3 2 3 2 5" xfId="10044" xr:uid="{546A234E-140B-4752-94A9-99B00399DC01}"/>
    <cellStyle name="40% - Accent4 3 2 3 2 5 2" xfId="10042" xr:uid="{E7742D3B-DBDD-4FC0-B083-4276BFF309D4}"/>
    <cellStyle name="40% - Accent4 3 2 3 2 6" xfId="10041" xr:uid="{736D0B36-E178-4E75-97B6-0FDAD8D65C28}"/>
    <cellStyle name="40% - Accent4 3 2 3 3" xfId="10040" xr:uid="{FCB31990-2D83-4238-AE09-68973EED20A9}"/>
    <cellStyle name="40% - Accent4 3 2 3 3 2" xfId="10038" xr:uid="{B45EECF8-1740-4991-8484-D90DC51B76ED}"/>
    <cellStyle name="40% - Accent4 3 2 3 3 2 2" xfId="10036" xr:uid="{80C6F493-7C95-429C-9BF9-1114903088FE}"/>
    <cellStyle name="40% - Accent4 3 2 3 3 2 2 2" xfId="24377" xr:uid="{E0B643D1-5CE8-4589-812C-A020F8A2BC5D}"/>
    <cellStyle name="40% - Accent4 3 2 3 3 2 2 2 2" xfId="10535" xr:uid="{4C235532-B08C-4952-B550-BBF18CDCF332}"/>
    <cellStyle name="40% - Accent4 3 2 3 3 2 2 3" xfId="10032" xr:uid="{CB3A3910-421B-4884-B92A-B860E79E4CC9}"/>
    <cellStyle name="40% - Accent4 3 2 3 3 2 3" xfId="10031" xr:uid="{D8F6A95C-2CA5-4E02-8AD8-546310BAA8CA}"/>
    <cellStyle name="40% - Accent4 3 2 3 3 2 3 2" xfId="10027" xr:uid="{C1BA3A11-BC91-495B-9D78-8C586B11121A}"/>
    <cellStyle name="40% - Accent4 3 2 3 3 2 4" xfId="31621" xr:uid="{6A9D0975-F51A-4534-8CBC-9467313A463D}"/>
    <cellStyle name="40% - Accent4 3 2 3 3 3" xfId="10026" xr:uid="{1D22FB1B-8093-4463-BFE3-AFB4D843213D}"/>
    <cellStyle name="40% - Accent4 3 2 3 3 3 2" xfId="10023" xr:uid="{B1EEF7EA-DC17-4643-AE21-A03F616039AF}"/>
    <cellStyle name="40% - Accent4 3 2 3 3 3 2 2" xfId="10020" xr:uid="{96ADA882-3F70-40C2-9646-F15E3080B6AB}"/>
    <cellStyle name="40% - Accent4 3 2 3 3 3 3" xfId="10019" xr:uid="{CB5186A1-87C0-450F-BF0A-286EAAC9FE94}"/>
    <cellStyle name="40% - Accent4 3 2 3 3 4" xfId="10015" xr:uid="{A0F2FF49-2441-4B34-9B62-E867D64638FA}"/>
    <cellStyle name="40% - Accent4 3 2 3 3 4 2" xfId="10012" xr:uid="{3AD05BDC-E971-47EC-A2CB-E72767FD843C}"/>
    <cellStyle name="40% - Accent4 3 2 3 3 5" xfId="10010" xr:uid="{D37324FB-37F0-4E17-94BD-8AF3893F8303}"/>
    <cellStyle name="40% - Accent4 3 2 3 4" xfId="10008" xr:uid="{C360829A-774F-4B7C-AFD0-6BE5FD86E65E}"/>
    <cellStyle name="40% - Accent4 3 2 3 4 2" xfId="10007" xr:uid="{11AF69A3-BD99-408C-BB1D-2BBBF44F16F8}"/>
    <cellStyle name="40% - Accent4 3 2 3 4 2 2" xfId="10003" xr:uid="{A5E31C4D-17F5-4ADD-8053-EB99C565B0A1}"/>
    <cellStyle name="40% - Accent4 3 2 3 4 2 2 2" xfId="10000" xr:uid="{BA4DD48D-BF2A-4E7B-B161-E7A256DBC82C}"/>
    <cellStyle name="40% - Accent4 3 2 3 4 2 3" xfId="9999" xr:uid="{776633D6-0D48-4737-9A07-6575E0DDE158}"/>
    <cellStyle name="40% - Accent4 3 2 3 4 3" xfId="9995" xr:uid="{6CE900E5-AC1F-4ABB-A96A-4FC83910F89E}"/>
    <cellStyle name="40% - Accent4 3 2 3 4 3 2" xfId="14927" xr:uid="{5B7B8E39-1590-4F08-8D9F-096C910E32CB}"/>
    <cellStyle name="40% - Accent4 3 2 3 4 4" xfId="9992" xr:uid="{5B1B792E-10CF-4491-88E2-B31695720E61}"/>
    <cellStyle name="40% - Accent4 3 2 3 5" xfId="13275" xr:uid="{811F76CE-CD55-41B8-8031-352E63DF5849}"/>
    <cellStyle name="40% - Accent4 3 2 3 5 2" xfId="9990" xr:uid="{BF8DDBC7-26D8-4CCD-9F0D-3175CE18F8F5}"/>
    <cellStyle name="40% - Accent4 3 2 3 5 2 2" xfId="9986" xr:uid="{CB0A05A8-2DEB-4226-A04E-A035802FA3D3}"/>
    <cellStyle name="40% - Accent4 3 2 3 5 3" xfId="9984" xr:uid="{39C0CE7A-249D-410C-96F4-13D5889FF6FE}"/>
    <cellStyle name="40% - Accent4 3 2 3 6" xfId="13272" xr:uid="{9B53772B-85D7-4043-9FEC-B7A2E753081C}"/>
    <cellStyle name="40% - Accent4 3 2 3 6 2" xfId="9981" xr:uid="{F30BB694-1AED-42A2-9BBC-DF68408CCA9E}"/>
    <cellStyle name="40% - Accent4 3 2 3 7" xfId="9978" xr:uid="{DE46F1A4-8579-4049-AFF9-7AC39A5C6218}"/>
    <cellStyle name="40% - Accent4 3 2 4" xfId="9976" xr:uid="{3EAF9DA0-BD53-42FC-811E-D317B5563F2D}"/>
    <cellStyle name="40% - Accent4 3 2 4 2" xfId="9975" xr:uid="{6D54EF8A-50AC-4547-A055-62018390D4DB}"/>
    <cellStyle name="40% - Accent4 3 2 4 2 2" xfId="9974" xr:uid="{E20BD623-709A-479B-8F90-4FDC8CF0A832}"/>
    <cellStyle name="40% - Accent4 3 2 4 2 2 2" xfId="9973" xr:uid="{B018FF8E-F5F8-4C61-88F2-4E0214448E06}"/>
    <cellStyle name="40% - Accent4 3 2 4 2 2 2 2" xfId="10923" xr:uid="{9111E952-0704-4C81-BE1A-B7BE3FA70DF0}"/>
    <cellStyle name="40% - Accent4 3 2 4 2 2 2 2 2" xfId="18859" xr:uid="{53EA98B1-E28A-4F52-8517-402789D6ABAB}"/>
    <cellStyle name="40% - Accent4 3 2 4 2 2 2 3" xfId="10920" xr:uid="{5F2622BD-C9E0-439E-B821-33EC006A4071}"/>
    <cellStyle name="40% - Accent4 3 2 4 2 2 3" xfId="9970" xr:uid="{A6C5096D-C5E3-4330-B7D7-D180E6CBF6B3}"/>
    <cellStyle name="40% - Accent4 3 2 4 2 2 3 2" xfId="28898" xr:uid="{EA9BC202-1D2D-4629-B990-F86119E186BC}"/>
    <cellStyle name="40% - Accent4 3 2 4 2 2 4" xfId="18482" xr:uid="{84B4E684-AFA7-4688-88C8-7FA9F878E31E}"/>
    <cellStyle name="40% - Accent4 3 2 4 2 3" xfId="9969" xr:uid="{17B7F17E-8D57-4F5B-9156-2BBA3D9B2730}"/>
    <cellStyle name="40% - Accent4 3 2 4 2 3 2" xfId="9968" xr:uid="{13DAD834-65A0-4A3C-AA2C-FE799E94F13C}"/>
    <cellStyle name="40% - Accent4 3 2 4 2 3 2 2" xfId="10903" xr:uid="{1C9513B7-53A4-4110-B62F-44A89696F3D1}"/>
    <cellStyle name="40% - Accent4 3 2 4 2 3 3" xfId="9967" xr:uid="{19F330D2-8360-466C-B864-F919CB923AE0}"/>
    <cellStyle name="40% - Accent4 3 2 4 2 4" xfId="9966" xr:uid="{740BEC7B-04F7-4A61-8C2F-C427F75FE6AD}"/>
    <cellStyle name="40% - Accent4 3 2 4 2 4 2" xfId="9964" xr:uid="{2221BA99-098A-470C-988B-90565124F832}"/>
    <cellStyle name="40% - Accent4 3 2 4 2 5" xfId="16611" xr:uid="{AFB79C71-EB46-40D8-9A3C-B70393545DB5}"/>
    <cellStyle name="40% - Accent4 3 2 4 3" xfId="9963" xr:uid="{24954F2C-8476-4075-B698-A68178BEF348}"/>
    <cellStyle name="40% - Accent4 3 2 4 3 2" xfId="9962" xr:uid="{E84E626A-BB41-4BD8-B81C-A47BED632238}"/>
    <cellStyle name="40% - Accent4 3 2 4 3 2 2" xfId="9960" xr:uid="{885CC96C-9308-4ADB-9CB5-734B6C668934}"/>
    <cellStyle name="40% - Accent4 3 2 4 3 2 2 2" xfId="10871" xr:uid="{262C55AB-0989-4C27-AAFF-4A049E550812}"/>
    <cellStyle name="40% - Accent4 3 2 4 3 2 3" xfId="9958" xr:uid="{D33C20FC-63CD-4F4E-9DB9-438143094D91}"/>
    <cellStyle name="40% - Accent4 3 2 4 3 3" xfId="12555" xr:uid="{FA774297-B82C-4EF7-BA64-F8E4825981ED}"/>
    <cellStyle name="40% - Accent4 3 2 4 3 3 2" xfId="9954" xr:uid="{E6C94715-96D9-4822-9F5E-7B0C7C915089}"/>
    <cellStyle name="40% - Accent4 3 2 4 3 4" xfId="12552" xr:uid="{6A71522B-08E4-4742-A496-8B89F9DC1B90}"/>
    <cellStyle name="40% - Accent4 3 2 4 4" xfId="9952" xr:uid="{9B3C8EF6-815D-4ABD-9731-7DE5E83B3D63}"/>
    <cellStyle name="40% - Accent4 3 2 4 4 2" xfId="21886" xr:uid="{5CDBEBCB-A93B-471A-9C7D-E96C86260A3F}"/>
    <cellStyle name="40% - Accent4 3 2 4 4 2 2" xfId="9951" xr:uid="{F8FE1A22-058F-4CDC-88B3-D8411CDF8DF7}"/>
    <cellStyle name="40% - Accent4 3 2 4 4 3" xfId="12548" xr:uid="{8EB13F24-F2D6-4F4E-9970-BE68971D48A6}"/>
    <cellStyle name="40% - Accent4 3 2 4 5" xfId="13269" xr:uid="{86CF67A7-6B2B-49F8-BED4-673686BC56C3}"/>
    <cellStyle name="40% - Accent4 3 2 4 5 2" xfId="9948" xr:uid="{A940202D-0E93-4B33-9D75-7F44B8055867}"/>
    <cellStyle name="40% - Accent4 3 2 4 6" xfId="11671" xr:uid="{C393CF3B-124B-41B1-AD32-B1EF7B59FBE4}"/>
    <cellStyle name="40% - Accent4 3 2 5" xfId="9945" xr:uid="{481BA515-B5A5-487F-B2B8-E5A67ED8575B}"/>
    <cellStyle name="40% - Accent4 3 2 5 2" xfId="9944" xr:uid="{87700004-E238-4D5F-94E5-C74BAA636CEE}"/>
    <cellStyle name="40% - Accent4 3 2 5 2 2" xfId="9943" xr:uid="{4889DF32-C127-408E-B29F-14C3F1468264}"/>
    <cellStyle name="40% - Accent4 3 2 5 2 2 2" xfId="9942" xr:uid="{E414C3F3-62CD-41E2-AC38-FA14382D8171}"/>
    <cellStyle name="40% - Accent4 3 2 5 2 2 2 2" xfId="27251" xr:uid="{C806A128-4166-4C70-BA7E-309AED908C62}"/>
    <cellStyle name="40% - Accent4 3 2 5 2 2 3" xfId="9940" xr:uid="{2496FC58-DFCF-4B6A-AEF8-55B1D16F3D52}"/>
    <cellStyle name="40% - Accent4 3 2 5 2 3" xfId="9939" xr:uid="{1C144F1F-95F3-43F5-9C23-0CD8790D6463}"/>
    <cellStyle name="40% - Accent4 3 2 5 2 3 2" xfId="9938" xr:uid="{DDE83D83-2CB0-4F87-8ACC-5FD19F49946A}"/>
    <cellStyle name="40% - Accent4 3 2 5 2 4" xfId="9937" xr:uid="{7D749102-44AF-4852-B3CA-4DE1EBD81988}"/>
    <cellStyle name="40% - Accent4 3 2 5 3" xfId="9936" xr:uid="{D65586C1-F550-4E2C-8C78-171D622F7641}"/>
    <cellStyle name="40% - Accent4 3 2 5 3 2" xfId="9935" xr:uid="{22A0711E-68F6-4341-8C31-80630AF2FA8F}"/>
    <cellStyle name="40% - Accent4 3 2 5 3 2 2" xfId="9933" xr:uid="{F587DAE6-35D0-42A0-BDB7-BBBED20A6227}"/>
    <cellStyle name="40% - Accent4 3 2 5 3 3" xfId="12544" xr:uid="{B112E0A8-5C04-4448-BBF5-B80922EC9536}"/>
    <cellStyle name="40% - Accent4 3 2 5 4" xfId="9931" xr:uid="{12F76DCC-5D0E-4F72-A0B3-93BA14ACFE55}"/>
    <cellStyle name="40% - Accent4 3 2 5 4 2" xfId="9930" xr:uid="{87B64A68-2A4D-432A-AF19-838F60A4D08A}"/>
    <cellStyle name="40% - Accent4 3 2 5 5" xfId="9926" xr:uid="{6F23E246-F7BB-456C-B080-E33AA609161C}"/>
    <cellStyle name="40% - Accent4 3 2 6" xfId="9925" xr:uid="{2DD9E0C4-1EE9-4F82-83EC-1B97CB29CDB7}"/>
    <cellStyle name="40% - Accent4 3 2 6 2" xfId="17400" xr:uid="{5DDF0508-6F0C-4956-B6F9-4E1E500D0FD8}"/>
    <cellStyle name="40% - Accent4 3 2 6 2 2" xfId="9924" xr:uid="{6C35B728-BD24-4A10-B75E-5F9ADAC4CD45}"/>
    <cellStyle name="40% - Accent4 3 2 6 2 2 2" xfId="9923" xr:uid="{2762E3DD-35AB-435F-9DCF-4AAF7EED3D93}"/>
    <cellStyle name="40% - Accent4 3 2 6 2 3" xfId="29797" xr:uid="{061B29FF-A58C-4584-9E40-2364F3D037F6}"/>
    <cellStyle name="40% - Accent4 3 2 6 3" xfId="9922" xr:uid="{F1225516-FE3F-4B9B-BD1E-ADD11BFA009D}"/>
    <cellStyle name="40% - Accent4 3 2 6 3 2" xfId="9921" xr:uid="{D420B74A-0C54-4554-9DCE-09DC2056E180}"/>
    <cellStyle name="40% - Accent4 3 2 6 4" xfId="9919" xr:uid="{9B3789E6-30E1-458D-8F09-855200DA8F34}"/>
    <cellStyle name="40% - Accent4 3 2 7" xfId="18153" xr:uid="{9799264E-0B86-4B99-A2C8-A5FEC1662DC8}"/>
    <cellStyle name="40% - Accent4 3 2 7 2" xfId="30392" xr:uid="{3580110D-BA6A-4703-AD06-429E37D6ACF4}"/>
    <cellStyle name="40% - Accent4 3 2 7 2 2" xfId="9918" xr:uid="{792B319A-EA3E-4A99-91A6-D7FB14880681}"/>
    <cellStyle name="40% - Accent4 3 2 7 3" xfId="23519" xr:uid="{EB01EBBF-F228-478D-9606-710D9CA334D1}"/>
    <cellStyle name="40% - Accent4 3 2 8" xfId="21901" xr:uid="{5FF7E001-318D-416F-9AA0-BE4DACDB1D96}"/>
    <cellStyle name="40% - Accent4 3 2 8 2" xfId="23499" xr:uid="{1B0EA8F1-CBF4-4ED6-94F3-82DB9B09283D}"/>
    <cellStyle name="40% - Accent4 3 2 9" xfId="32985" xr:uid="{A8435C16-5C97-45A1-B60B-406A7C859F3A}"/>
    <cellStyle name="40% - Accent4 3 3" xfId="229" xr:uid="{E18DDC61-8CAA-4280-821C-D08B2135329B}"/>
    <cellStyle name="40% - Accent4 3 3 10" xfId="31921" xr:uid="{2B39C846-0587-4E27-93EB-6FEA539C8808}"/>
    <cellStyle name="40% - Accent4 3 3 2" xfId="11878" xr:uid="{4788080A-AC0F-4372-AB36-CCFD83CB8602}"/>
    <cellStyle name="40% - Accent4 3 3 2 2" xfId="11875" xr:uid="{A968C630-84C1-4481-AA29-FEFA9D731B52}"/>
    <cellStyle name="40% - Accent4 3 3 2 2 2" xfId="33400" xr:uid="{90BBC885-06D3-4B0A-963C-8A532BF40380}"/>
    <cellStyle name="40% - Accent4 3 3 2 2 2 2" xfId="28798" xr:uid="{D280FE69-C600-42FF-AF2B-AA3D6AC2FD70}"/>
    <cellStyle name="40% - Accent4 3 3 2 2 2 2 2" xfId="14379" xr:uid="{1620A96F-8769-438F-8A65-A70FBEEC4E47}"/>
    <cellStyle name="40% - Accent4 3 3 2 2 2 2 2 2" xfId="9917" xr:uid="{F340AF97-8353-4600-9083-83377D7A8E7A}"/>
    <cellStyle name="40% - Accent4 3 3 2 2 2 2 2 2 2" xfId="9915" xr:uid="{F0BFA36F-8DA6-454D-9412-E2EC795C3987}"/>
    <cellStyle name="40% - Accent4 3 3 2 2 2 2 2 3" xfId="9908" xr:uid="{155FA245-26C9-46E4-A838-C8E706AC2008}"/>
    <cellStyle name="40% - Accent4 3 3 2 2 2 2 3" xfId="9907" xr:uid="{E1184C2E-F18E-4E1B-AA8B-3F79D234149A}"/>
    <cellStyle name="40% - Accent4 3 3 2 2 2 2 3 2" xfId="34085" xr:uid="{93213E58-36A6-4BE2-87F4-FDDCC096F95A}"/>
    <cellStyle name="40% - Accent4 3 3 2 2 2 2 4" xfId="9905" xr:uid="{B0A86603-03D8-48E8-8D2A-2F7FE6496B5B}"/>
    <cellStyle name="40% - Accent4 3 3 2 2 2 3" xfId="9902" xr:uid="{F5C33601-781F-4B43-BCA6-0DEA1C6D4558}"/>
    <cellStyle name="40% - Accent4 3 3 2 2 2 3 2" xfId="14353" xr:uid="{062B3967-0604-42BD-9BBF-79E1E5530896}"/>
    <cellStyle name="40% - Accent4 3 3 2 2 2 3 2 2" xfId="9900" xr:uid="{45333305-3886-4C1D-BBE3-F84CAC24CB67}"/>
    <cellStyle name="40% - Accent4 3 3 2 2 2 3 3" xfId="9898" xr:uid="{73CE0762-CFED-4547-ADD8-B20B8E0A9914}"/>
    <cellStyle name="40% - Accent4 3 3 2 2 2 4" xfId="24496" xr:uid="{5EBE959E-F952-4892-B0FA-2F572D861182}"/>
    <cellStyle name="40% - Accent4 3 3 2 2 2 4 2" xfId="20984" xr:uid="{DC461969-67DB-4FA9-AD13-5763AD794AAD}"/>
    <cellStyle name="40% - Accent4 3 3 2 2 2 5" xfId="17988" xr:uid="{6C706C71-E251-48A8-91AA-980CA64C0ED2}"/>
    <cellStyle name="40% - Accent4 3 3 2 2 3" xfId="11001" xr:uid="{AB871CFB-C474-4935-952D-67637BFE25F2}"/>
    <cellStyle name="40% - Accent4 3 3 2 2 3 2" xfId="9895" xr:uid="{6700392C-32D1-4EA6-8033-510AE736AF6A}"/>
    <cellStyle name="40% - Accent4 3 3 2 2 3 2 2" xfId="17260" xr:uid="{57B2BD8D-6CF3-4910-9F21-8284A865DD2F}"/>
    <cellStyle name="40% - Accent4 3 3 2 2 3 2 2 2" xfId="9893" xr:uid="{18532D6A-08D9-4EC4-AF0C-977BCAC2CE12}"/>
    <cellStyle name="40% - Accent4 3 3 2 2 3 2 3" xfId="9892" xr:uid="{6FF82997-0D06-49C6-81EC-7D0BC22AB690}"/>
    <cellStyle name="40% - Accent4 3 3 2 2 3 3" xfId="9889" xr:uid="{3327DAB1-F958-4B2E-AF8F-F63CB748B48F}"/>
    <cellStyle name="40% - Accent4 3 3 2 2 3 3 2" xfId="9887" xr:uid="{70C76928-52DB-4EC8-AFD7-7CA45C34D144}"/>
    <cellStyle name="40% - Accent4 3 3 2 2 3 4" xfId="24479" xr:uid="{4A9A7A53-16B6-45AE-B00B-11C95D0FE603}"/>
    <cellStyle name="40% - Accent4 3 3 2 2 4" xfId="9884" xr:uid="{FB8811CA-0D4B-46F2-88FC-DCDA06BCB27A}"/>
    <cellStyle name="40% - Accent4 3 3 2 2 4 2" xfId="9883" xr:uid="{AC5B10EB-4EBC-4579-A9C5-1AF77FF09FBD}"/>
    <cellStyle name="40% - Accent4 3 3 2 2 4 2 2" xfId="9881" xr:uid="{4DC3652F-0C8D-4D21-A1D1-7D9F2205F9FB}"/>
    <cellStyle name="40% - Accent4 3 3 2 2 4 3" xfId="9878" xr:uid="{E3D9F5CB-D052-4851-A1D9-89FA96A5304A}"/>
    <cellStyle name="40% - Accent4 3 3 2 2 5" xfId="9876" xr:uid="{89B93245-28D6-4A07-BF2D-4B4B5E475C32}"/>
    <cellStyle name="40% - Accent4 3 3 2 2 5 2" xfId="9875" xr:uid="{08DCAC4F-ACD9-455E-9387-DFD4FF49EDBF}"/>
    <cellStyle name="40% - Accent4 3 3 2 2 6" xfId="9873" xr:uid="{3168B4DF-16A3-456C-94BC-574771391914}"/>
    <cellStyle name="40% - Accent4 3 3 2 3" xfId="9872" xr:uid="{CE79D008-E7EE-4B3B-8AC7-C19575BF6C87}"/>
    <cellStyle name="40% - Accent4 3 3 2 3 2" xfId="33386" xr:uid="{114DDA4E-D5A2-49B4-990A-B6BC3715CF74}"/>
    <cellStyle name="40% - Accent4 3 3 2 3 2 2" xfId="9870" xr:uid="{59418B5F-1662-4CE1-834A-0E0291421DBB}"/>
    <cellStyle name="40% - Accent4 3 3 2 3 2 2 2" xfId="9865" xr:uid="{00F2719F-1F32-43EB-9B59-7FCF4F637859}"/>
    <cellStyle name="40% - Accent4 3 3 2 3 2 2 2 2" xfId="16849" xr:uid="{92E91647-907C-4C58-889A-9779CD17031D}"/>
    <cellStyle name="40% - Accent4 3 3 2 3 2 2 3" xfId="9863" xr:uid="{81462E63-03B0-440A-94CF-EA34514B3FAB}"/>
    <cellStyle name="40% - Accent4 3 3 2 3 2 3" xfId="9861" xr:uid="{C729C81D-9910-4ED4-96D0-7EABA27D72D1}"/>
    <cellStyle name="40% - Accent4 3 3 2 3 2 3 2" xfId="9853" xr:uid="{CF9889FF-4B54-45FD-A76C-90545FA2F32B}"/>
    <cellStyle name="40% - Accent4 3 3 2 3 2 4" xfId="31405" xr:uid="{9C7337DB-A0E0-4A54-A8D9-6BF5D2694251}"/>
    <cellStyle name="40% - Accent4 3 3 2 3 3" xfId="9850" xr:uid="{E0216828-4102-437D-9400-6B741F4E8074}"/>
    <cellStyle name="40% - Accent4 3 3 2 3 3 2" xfId="9846" xr:uid="{14C566C9-5AB1-4A8B-A7CF-A5CAB05853D5}"/>
    <cellStyle name="40% - Accent4 3 3 2 3 3 2 2" xfId="9840" xr:uid="{F6FAA39E-1510-4A36-96AF-29EC53A13929}"/>
    <cellStyle name="40% - Accent4 3 3 2 3 3 3" xfId="9838" xr:uid="{907B77FC-7C47-432E-9F6C-99888DAC1570}"/>
    <cellStyle name="40% - Accent4 3 3 2 3 4" xfId="9831" xr:uid="{1452766A-F5E8-4425-A99D-C1AFEA190164}"/>
    <cellStyle name="40% - Accent4 3 3 2 3 4 2" xfId="34043" xr:uid="{7BB61A74-604A-4EC4-9F71-965310988E91}"/>
    <cellStyle name="40% - Accent4 3 3 2 3 5" xfId="9827" xr:uid="{23C5BD75-3E23-4AD7-9865-31A29C5715DC}"/>
    <cellStyle name="40% - Accent4 3 3 2 4" xfId="9823" xr:uid="{C7F59EBB-33FC-42C8-A72C-B565D69D609E}"/>
    <cellStyle name="40% - Accent4 3 3 2 4 2" xfId="9822" xr:uid="{C355FE61-3E6E-445C-8726-94740D5967E0}"/>
    <cellStyle name="40% - Accent4 3 3 2 4 2 2" xfId="9818" xr:uid="{6F739C99-BAB4-4AE4-8A82-86FE79101FE9}"/>
    <cellStyle name="40% - Accent4 3 3 2 4 2 2 2" xfId="9814" xr:uid="{495299D8-7A37-461F-9C05-AE3CA30F645E}"/>
    <cellStyle name="40% - Accent4 3 3 2 4 2 3" xfId="9812" xr:uid="{AF3DC87A-AE2A-4539-A7DE-F6D0F628089F}"/>
    <cellStyle name="40% - Accent4 3 3 2 4 3" xfId="9806" xr:uid="{F11C5099-3443-42D7-89DB-21EC1706B73A}"/>
    <cellStyle name="40% - Accent4 3 3 2 4 3 2" xfId="14528" xr:uid="{820598DA-8FEE-451F-8DC4-A11327E7EA3F}"/>
    <cellStyle name="40% - Accent4 3 3 2 4 4" xfId="9802" xr:uid="{7AF7BFFB-E300-47FA-AC72-AE18B25652B4}"/>
    <cellStyle name="40% - Accent4 3 3 2 5" xfId="13267" xr:uid="{C0B8352F-1F19-4FE2-AA52-4042A10E8496}"/>
    <cellStyle name="40% - Accent4 3 3 2 5 2" xfId="9799" xr:uid="{91EC0BD2-173C-455F-B338-D9D553EEB348}"/>
    <cellStyle name="40% - Accent4 3 3 2 5 2 2" xfId="9795" xr:uid="{15147E58-9FF9-4B54-BA88-07832DEA9661}"/>
    <cellStyle name="40% - Accent4 3 3 2 5 3" xfId="9791" xr:uid="{BED3E3F7-897A-4798-AD3E-B183AC13637A}"/>
    <cellStyle name="40% - Accent4 3 3 2 6" xfId="13264" xr:uid="{021905D7-EEB7-4B3A-B4F7-2C5698FB392A}"/>
    <cellStyle name="40% - Accent4 3 3 2 6 2" xfId="33561" xr:uid="{53CE39CF-E988-4536-B291-EDE63C725B03}"/>
    <cellStyle name="40% - Accent4 3 3 2 7" xfId="9787" xr:uid="{3FE09F77-7514-4828-8486-07CD9009BF60}"/>
    <cellStyle name="40% - Accent4 3 3 3" xfId="11872" xr:uid="{F1174DB1-A322-47AB-B22C-F9BDB1D63B67}"/>
    <cellStyle name="40% - Accent4 3 3 3 2" xfId="14230" xr:uid="{51C0BF55-6965-431A-B2C2-684E7D80384B}"/>
    <cellStyle name="40% - Accent4 3 3 3 2 2" xfId="33355" xr:uid="{0E1C97DD-792E-44BF-84EB-45B4D023C6BA}"/>
    <cellStyle name="40% - Accent4 3 3 3 2 2 2" xfId="9786" xr:uid="{F11FB8A9-2308-4588-BDA1-E9E121707CA6}"/>
    <cellStyle name="40% - Accent4 3 3 3 2 2 2 2" xfId="9784" xr:uid="{6681B07E-1AE9-44D1-BF71-494DB9161424}"/>
    <cellStyle name="40% - Accent4 3 3 3 2 2 2 2 2" xfId="29376" xr:uid="{0EBC7E49-AC7A-4FFC-A7A8-DFE91E2F3A20}"/>
    <cellStyle name="40% - Accent4 3 3 3 2 2 2 3" xfId="9780" xr:uid="{8C783B5C-748E-4CBB-B8DF-95E847324CF6}"/>
    <cellStyle name="40% - Accent4 3 3 3 2 2 3" xfId="9778" xr:uid="{7AEE98E5-C760-4A53-AE85-2CB8AEB7B7D7}"/>
    <cellStyle name="40% - Accent4 3 3 3 2 2 3 2" xfId="9776" xr:uid="{4E9769CF-193B-4561-947B-1B6FB26C181B}"/>
    <cellStyle name="40% - Accent4 3 3 3 2 2 4" xfId="24447" xr:uid="{27147A8A-F2A3-4469-A799-0BE72CA2C70D}"/>
    <cellStyle name="40% - Accent4 3 3 3 2 3" xfId="9774" xr:uid="{11342BD7-4983-46A9-8675-E350A9D172A5}"/>
    <cellStyle name="40% - Accent4 3 3 3 2 3 2" xfId="9772" xr:uid="{0D22DF1E-F70C-4438-B23B-CAA5DBDC7FA7}"/>
    <cellStyle name="40% - Accent4 3 3 3 2 3 2 2" xfId="9770" xr:uid="{00E85650-BE04-4E4F-BDDD-DA5FCAFE1A5E}"/>
    <cellStyle name="40% - Accent4 3 3 3 2 3 3" xfId="9768" xr:uid="{C695D321-7B0D-4DA1-9224-9FD292594308}"/>
    <cellStyle name="40% - Accent4 3 3 3 2 4" xfId="11381" xr:uid="{805A016E-47E1-4A91-B6D5-F27CC5856FF2}"/>
    <cellStyle name="40% - Accent4 3 3 3 2 4 2" xfId="9766" xr:uid="{06288A90-35CC-4E66-868E-5EA72D0B4155}"/>
    <cellStyle name="40% - Accent4 3 3 3 2 5" xfId="17914" xr:uid="{0BE5F169-2282-41F5-95A2-324FEAFAEC3C}"/>
    <cellStyle name="40% - Accent4 3 3 3 3" xfId="14227" xr:uid="{248F369D-5524-47EC-B448-52084517661F}"/>
    <cellStyle name="40% - Accent4 3 3 3 3 2" xfId="9764" xr:uid="{3E4E3CF3-0BE3-4D84-9C76-2573A2985F83}"/>
    <cellStyle name="40% - Accent4 3 3 3 3 2 2" xfId="9761" xr:uid="{163C21D7-1EA2-449F-B61C-BE6D2109408C}"/>
    <cellStyle name="40% - Accent4 3 3 3 3 2 2 2" xfId="12013" xr:uid="{5060C2CA-1C26-424C-A077-E52468E1C5B1}"/>
    <cellStyle name="40% - Accent4 3 3 3 3 2 3" xfId="9755" xr:uid="{E69005A0-A86E-488F-BF3E-0A30B7F52F8E}"/>
    <cellStyle name="40% - Accent4 3 3 3 3 3" xfId="9750" xr:uid="{E79C12E4-0A0C-47F5-AF8D-F812411B53F2}"/>
    <cellStyle name="40% - Accent4 3 3 3 3 3 2" xfId="9745" xr:uid="{89A60637-727A-49CF-ADE1-8854E00C1D98}"/>
    <cellStyle name="40% - Accent4 3 3 3 3 4" xfId="17909" xr:uid="{C7692F10-7906-4F4A-AD34-142163C8659E}"/>
    <cellStyle name="40% - Accent4 3 3 3 4" xfId="9741" xr:uid="{0A7605C5-DE45-4AA2-933E-DAAA0FACDDBB}"/>
    <cellStyle name="40% - Accent4 3 3 3 4 2" xfId="9739" xr:uid="{39ECA63A-BA67-4EE8-B930-B9939B737F92}"/>
    <cellStyle name="40% - Accent4 3 3 3 4 2 2" xfId="9734" xr:uid="{4F9E51F3-59C0-4141-B306-FADC52434095}"/>
    <cellStyle name="40% - Accent4 3 3 3 4 3" xfId="9731" xr:uid="{B2D9537A-ED19-4345-AAA2-DEE88A84D178}"/>
    <cellStyle name="40% - Accent4 3 3 3 5" xfId="13262" xr:uid="{3B60B1D1-C996-4D84-8F56-E6BAEB6F9EE3}"/>
    <cellStyle name="40% - Accent4 3 3 3 5 2" xfId="9728" xr:uid="{1B95FA6B-C0DF-47EC-B511-0DD9979CB626}"/>
    <cellStyle name="40% - Accent4 3 3 3 6" xfId="9725" xr:uid="{8FE649E4-6D67-408C-BC93-8A8D7879E30C}"/>
    <cellStyle name="40% - Accent4 3 3 4" xfId="9723" xr:uid="{5FECC852-5E3B-4568-954D-1D37036310E5}"/>
    <cellStyle name="40% - Accent4 3 3 4 2" xfId="14219" xr:uid="{65432B84-51B9-49C5-99A6-F483158FB4E0}"/>
    <cellStyle name="40% - Accent4 3 3 4 2 2" xfId="9722" xr:uid="{CCE99A1F-FA2A-4708-806D-1B5580B69045}"/>
    <cellStyle name="40% - Accent4 3 3 4 2 2 2" xfId="9719" xr:uid="{129D93BC-D032-45DC-AD3D-D379F9E0905C}"/>
    <cellStyle name="40% - Accent4 3 3 4 2 2 2 2" xfId="9644" xr:uid="{A435604A-B241-423A-BEF1-DD6B2C0E5F5A}"/>
    <cellStyle name="40% - Accent4 3 3 4 2 2 3" xfId="9715" xr:uid="{51F199B3-07FD-44D1-862C-21BDE71FD6C0}"/>
    <cellStyle name="40% - Accent4 3 3 4 2 3" xfId="9712" xr:uid="{061FF20F-935B-4F77-B770-0F2ADB73E505}"/>
    <cellStyle name="40% - Accent4 3 3 4 2 3 2" xfId="9707" xr:uid="{758EB722-B65B-4BEB-A5E9-E278C9827E2C}"/>
    <cellStyle name="40% - Accent4 3 3 4 2 4" xfId="17887" xr:uid="{462238CE-460E-4060-945E-1897EBF1F211}"/>
    <cellStyle name="40% - Accent4 3 3 4 3" xfId="9704" xr:uid="{9D3FF846-CA6E-46CF-9F4F-00437B27F5E2}"/>
    <cellStyle name="40% - Accent4 3 3 4 3 2" xfId="9701" xr:uid="{F50104CC-BFDC-471A-9DD4-DF07FFC1B056}"/>
    <cellStyle name="40% - Accent4 3 3 4 3 2 2" xfId="9698" xr:uid="{E5CACB21-2644-4073-98D8-14013B65246F}"/>
    <cellStyle name="40% - Accent4 3 3 4 3 3" xfId="12534" xr:uid="{14916D46-3721-4158-93B3-E80D84DFE7A7}"/>
    <cellStyle name="40% - Accent4 3 3 4 4" xfId="9695" xr:uid="{C6C2DD77-2E62-4572-AF02-9B100619CAF7}"/>
    <cellStyle name="40% - Accent4 3 3 4 4 2" xfId="9693" xr:uid="{E4924BC9-A88A-4C57-8520-0ED7667965DC}"/>
    <cellStyle name="40% - Accent4 3 3 4 5" xfId="9691" xr:uid="{1A361A74-E7B7-4835-A0D8-C139B8DB01F2}"/>
    <cellStyle name="40% - Accent4 3 3 5" xfId="17012" xr:uid="{15D2C816-EA61-405B-B8C1-3966C1CCC108}"/>
    <cellStyle name="40% - Accent4 3 3 5 2" xfId="12311" xr:uid="{0560E9E1-8AEE-4ECD-9BE8-1DCB9514E8CC}"/>
    <cellStyle name="40% - Accent4 3 3 5 2 2" xfId="9690" xr:uid="{B7E93C07-E830-47BC-A860-D2BEA68B7A10}"/>
    <cellStyle name="40% - Accent4 3 3 5 2 2 2" xfId="9688" xr:uid="{ADC0F028-1F6F-40B8-8036-51225C403417}"/>
    <cellStyle name="40% - Accent4 3 3 5 2 3" xfId="9686" xr:uid="{91F4869F-F889-480E-997A-9FC72BFA16BF}"/>
    <cellStyle name="40% - Accent4 3 3 5 3" xfId="9684" xr:uid="{B1047444-D4E8-4141-AD98-32A1B700A69A}"/>
    <cellStyle name="40% - Accent4 3 3 5 3 2" xfId="9682" xr:uid="{7B909C54-CD9F-4DC4-A24F-155595281DD6}"/>
    <cellStyle name="40% - Accent4 3 3 5 4" xfId="7266" xr:uid="{CD827999-A116-4947-9658-A6336F7D9021}"/>
    <cellStyle name="40% - Accent4 3 3 6" xfId="17009" xr:uid="{9991999D-6633-448A-8607-2B09263C1CB4}"/>
    <cellStyle name="40% - Accent4 3 3 6 2" xfId="9679" xr:uid="{E7659593-1309-4B82-9B86-07078E815423}"/>
    <cellStyle name="40% - Accent4 3 3 6 2 2" xfId="32581" xr:uid="{044D948B-070F-47DD-B7A4-A6B6095BC4A3}"/>
    <cellStyle name="40% - Accent4 3 3 6 3" xfId="9677" xr:uid="{AC3ED782-0D81-4D39-8949-F0CFEBCCDED1}"/>
    <cellStyle name="40% - Accent4 3 3 7" xfId="29363" xr:uid="{C47C08BE-FB29-4891-8266-A2F2BDD78B64}"/>
    <cellStyle name="40% - Accent4 3 3 7 2" xfId="23340" xr:uid="{71E28141-6773-4F05-9636-D0B7B91AC6C7}"/>
    <cellStyle name="40% - Accent4 3 3 8" xfId="29354" xr:uid="{F065F35F-7603-4A95-8F99-6645307A1B5D}"/>
    <cellStyle name="40% - Accent4 3 3 9" xfId="34555" xr:uid="{EE83CB98-8164-45D6-B266-D5759E2E433A}"/>
    <cellStyle name="40% - Accent4 3 4" xfId="31770" xr:uid="{C6A9D161-C0CD-4271-8DAA-F349852CF80B}"/>
    <cellStyle name="40% - Accent4 3 4 2" xfId="11869" xr:uid="{DC3740B6-A2C6-47B2-9C1E-AA0E72C850A6}"/>
    <cellStyle name="40% - Accent4 3 4 2 2" xfId="9676" xr:uid="{572C5645-822C-4F8A-BEAB-A83BE07A406B}"/>
    <cellStyle name="40% - Accent4 3 4 2 2 2" xfId="22962" xr:uid="{0F6059B7-428C-43FF-A54D-0348EAABBBFF}"/>
    <cellStyle name="40% - Accent4 3 4 2 2 2 2" xfId="29864" xr:uid="{83FD9853-27D9-40ED-8842-172EC1E8073C}"/>
    <cellStyle name="40% - Accent4 3 4 2 2 2 2 2" xfId="9179" xr:uid="{AF0019DF-A35D-43C8-B046-F9C7C0E92CEB}"/>
    <cellStyle name="40% - Accent4 3 4 2 2 2 2 2 2" xfId="27060" xr:uid="{BBC5E414-B207-4019-9B19-0A6D7D9200EE}"/>
    <cellStyle name="40% - Accent4 3 4 2 2 2 2 3" xfId="9674" xr:uid="{A16CE5DD-C381-4B87-AA98-674A8939C082}"/>
    <cellStyle name="40% - Accent4 3 4 2 2 2 3" xfId="29235" xr:uid="{5EBEFE97-9F00-4B53-B398-2BA9F1ACCC26}"/>
    <cellStyle name="40% - Accent4 3 4 2 2 2 3 2" xfId="9129" xr:uid="{5C70A53C-1626-4DCD-8700-702AD1F4C76C}"/>
    <cellStyle name="40% - Accent4 3 4 2 2 2 4" xfId="24415" xr:uid="{5CF687E9-5365-407F-BD8E-A444196D6C8C}"/>
    <cellStyle name="40% - Accent4 3 4 2 2 3" xfId="9672" xr:uid="{4712F265-8B5E-44A4-99D9-E4CB3F8F7A45}"/>
    <cellStyle name="40% - Accent4 3 4 2 2 3 2" xfId="29223" xr:uid="{71E0F516-D961-4F36-9870-A08BF1FB4D19}"/>
    <cellStyle name="40% - Accent4 3 4 2 2 3 2 2" xfId="9067" xr:uid="{BD178C9D-DBE5-43F1-BE55-1AF4B94EC8CF}"/>
    <cellStyle name="40% - Accent4 3 4 2 2 3 3" xfId="9671" xr:uid="{9BC4FD7E-D81A-4C23-87BF-60109F8313B5}"/>
    <cellStyle name="40% - Accent4 3 4 2 2 4" xfId="9670" xr:uid="{92E2C627-5276-412B-A176-386579D549E0}"/>
    <cellStyle name="40% - Accent4 3 4 2 2 4 2" xfId="9669" xr:uid="{4921CFDD-A302-44CA-8EBB-BE09B83E20E7}"/>
    <cellStyle name="40% - Accent4 3 4 2 2 5" xfId="9668" xr:uid="{2E36D1E8-E2D7-44CA-8758-9F69876B409B}"/>
    <cellStyle name="40% - Accent4 3 4 2 3" xfId="9667" xr:uid="{BE35E354-EB36-4F89-AA8D-2330C9BD06DA}"/>
    <cellStyle name="40% - Accent4 3 4 2 3 2" xfId="9665" xr:uid="{1CE33C47-CF98-453C-A08D-3C2E18FCFEE7}"/>
    <cellStyle name="40% - Accent4 3 4 2 3 2 2" xfId="33936" xr:uid="{ABEF90F8-878D-4F89-BC93-7277B2710450}"/>
    <cellStyle name="40% - Accent4 3 4 2 3 2 2 2" xfId="9661" xr:uid="{72C7D573-D404-444E-A15A-C8678F722417}"/>
    <cellStyle name="40% - Accent4 3 4 2 3 2 3" xfId="9659" xr:uid="{4F3C6B14-D46D-468F-BDF4-EAE16D6B10AD}"/>
    <cellStyle name="40% - Accent4 3 4 2 3 3" xfId="9654" xr:uid="{1BC9089E-9394-4A59-8B9E-B15ED6BDA806}"/>
    <cellStyle name="40% - Accent4 3 4 2 3 3 2" xfId="9651" xr:uid="{8F50E031-3300-4700-A9FC-5246F62A3549}"/>
    <cellStyle name="40% - Accent4 3 4 2 3 4" xfId="9648" xr:uid="{6429968D-4337-4F93-9CDE-FBA75E60CDC5}"/>
    <cellStyle name="40% - Accent4 3 4 2 4" xfId="9645" xr:uid="{CAAED39A-A081-47C2-8DF8-70988261F967}"/>
    <cellStyle name="40% - Accent4 3 4 2 4 2" xfId="9643" xr:uid="{3CA753D6-4859-43CF-98DE-811F3572592E}"/>
    <cellStyle name="40% - Accent4 3 4 2 4 2 2" xfId="26892" xr:uid="{920028B4-67D9-47D6-9734-C00100FF3E6B}"/>
    <cellStyle name="40% - Accent4 3 4 2 4 3" xfId="9639" xr:uid="{FB2700C1-DB92-4030-BDFA-9AF7232D7F5E}"/>
    <cellStyle name="40% - Accent4 3 4 2 5" xfId="13259" xr:uid="{A1B997BC-FE83-4A60-AA8A-F4146D425B5F}"/>
    <cellStyle name="40% - Accent4 3 4 2 5 2" xfId="9638" xr:uid="{3BCB054D-4982-4CA6-870F-1D70521E0D55}"/>
    <cellStyle name="40% - Accent4 3 4 2 6" xfId="9635" xr:uid="{651957E5-1F06-4346-9784-8BA3756AABF5}"/>
    <cellStyle name="40% - Accent4 3 4 3" xfId="12572" xr:uid="{FE61D6B1-B66A-4009-9DDC-03DEF8D9494C}"/>
    <cellStyle name="40% - Accent4 3 4 3 2" xfId="14206" xr:uid="{454F36E0-D2F0-42D3-A402-DFE480289FB2}"/>
    <cellStyle name="40% - Accent4 3 4 3 2 2" xfId="9634" xr:uid="{4178E4F5-55CB-485F-8531-A07B015F4C55}"/>
    <cellStyle name="40% - Accent4 3 4 3 2 2 2" xfId="29187" xr:uid="{B79CF850-2865-40BE-B7B3-AC279F2A29D7}"/>
    <cellStyle name="40% - Accent4 3 4 3 2 2 2 2" xfId="9632" xr:uid="{3F974960-2A92-4174-BC13-74D1379C87ED}"/>
    <cellStyle name="40% - Accent4 3 4 3 2 2 3" xfId="16811" xr:uid="{FFA317E7-26A1-47E0-88BF-79FB1B41FF24}"/>
    <cellStyle name="40% - Accent4 3 4 3 2 3" xfId="9630" xr:uid="{E8CD3FE0-BB71-4532-A174-2729496D5ABE}"/>
    <cellStyle name="40% - Accent4 3 4 3 2 3 2" xfId="9627" xr:uid="{F3931F89-7556-4490-95A7-4E613CF0054B}"/>
    <cellStyle name="40% - Accent4 3 4 3 2 4" xfId="30383" xr:uid="{9A0BF140-68E2-4183-9AC7-4AD2254D1F6F}"/>
    <cellStyle name="40% - Accent4 3 4 3 3" xfId="9626" xr:uid="{5EE8E2D8-AF63-426A-B21A-03C2C56FB17D}"/>
    <cellStyle name="40% - Accent4 3 4 3 3 2" xfId="9623" xr:uid="{D53D97DC-66C2-4BA9-9D6F-A5B3B63A21C7}"/>
    <cellStyle name="40% - Accent4 3 4 3 3 2 2" xfId="9619" xr:uid="{3D632D5D-C0AE-4CA2-B765-1D1CDCD53C35}"/>
    <cellStyle name="40% - Accent4 3 4 3 3 3" xfId="9618" xr:uid="{0E67F831-3C3D-47CF-8E22-F73AF5E2467D}"/>
    <cellStyle name="40% - Accent4 3 4 3 4" xfId="9613" xr:uid="{E635A7E4-5CC3-4DE1-87B4-AB18B25B0442}"/>
    <cellStyle name="40% - Accent4 3 4 3 4 2" xfId="9612" xr:uid="{80EDFBAC-AE4F-44D9-B592-5B27B71C0D3F}"/>
    <cellStyle name="40% - Accent4 3 4 3 5" xfId="9608" xr:uid="{2B36F203-4A1C-4B17-AB5C-314E3B4D9751}"/>
    <cellStyle name="40% - Accent4 3 4 4" xfId="9606" xr:uid="{101B2247-5CCD-4F76-B8F4-EA7F79797AF5}"/>
    <cellStyle name="40% - Accent4 3 4 4 2" xfId="27779" xr:uid="{D89AD659-3E00-4E9F-B1A1-E73610EDE77A}"/>
    <cellStyle name="40% - Accent4 3 4 4 2 2" xfId="27765" xr:uid="{3CC723C6-DFDC-4269-B90E-4F3364301472}"/>
    <cellStyle name="40% - Accent4 3 4 4 2 2 2" xfId="9605" xr:uid="{8BA5BF1E-E221-4E3C-B875-747F91E91E47}"/>
    <cellStyle name="40% - Accent4 3 4 4 2 3" xfId="9604" xr:uid="{5F75D362-3D98-4C44-B2BC-EF28CBBCC6C3}"/>
    <cellStyle name="40% - Accent4 3 4 4 3" xfId="28348" xr:uid="{307EAEE1-7949-43DC-B680-6E862986377A}"/>
    <cellStyle name="40% - Accent4 3 4 4 3 2" xfId="9601" xr:uid="{56BDBE87-B0AC-4D10-BC1D-1634EB1251CB}"/>
    <cellStyle name="40% - Accent4 3 4 4 4" xfId="9597" xr:uid="{0BFC8D20-48DD-4629-B07C-38E73C1700EA}"/>
    <cellStyle name="40% - Accent4 3 4 5" xfId="17007" xr:uid="{E9164EC0-68C3-4880-842F-B6E8D86DF946}"/>
    <cellStyle name="40% - Accent4 3 4 5 2" xfId="27731" xr:uid="{468AAF6D-FFA0-43C5-B5C3-5C6E226A3821}"/>
    <cellStyle name="40% - Accent4 3 4 5 2 2" xfId="9596" xr:uid="{FBE29423-CDFA-4107-8DF9-09F098A7BCFA}"/>
    <cellStyle name="40% - Accent4 3 4 5 3" xfId="13743" xr:uid="{6BA18571-2FA3-47D8-83A4-C342E6F95E8D}"/>
    <cellStyle name="40% - Accent4 3 4 6" xfId="5529" xr:uid="{D1E77931-FDC5-4E41-8FC1-DF96ACAF6A02}"/>
    <cellStyle name="40% - Accent4 3 4 6 2" xfId="9595" xr:uid="{82D78B23-D173-4A08-9396-0D2BD189AAA8}"/>
    <cellStyle name="40% - Accent4 3 4 7" xfId="33914" xr:uid="{6C010419-A497-40B5-B25E-29EDEB7E89A3}"/>
    <cellStyle name="40% - Accent4 3 4 8" xfId="34776" xr:uid="{205B379E-077C-406C-AF79-21A275A6BC5A}"/>
    <cellStyle name="40% - Accent4 3 5" xfId="28484" xr:uid="{A275103B-BD57-4E6A-9F1E-5EE06A3E4191}"/>
    <cellStyle name="40% - Accent4 3 5 2" xfId="9593" xr:uid="{A0B8CBE8-FA44-41FE-9434-0BE31DAB38CC}"/>
    <cellStyle name="40% - Accent4 3 5 2 2" xfId="9592" xr:uid="{D95F8DC7-4769-405F-A3DF-8834B4219237}"/>
    <cellStyle name="40% - Accent4 3 5 2 2 2" xfId="16627" xr:uid="{BE13F6E4-D680-4963-9B64-8AE6AD6C0286}"/>
    <cellStyle name="40% - Accent4 3 5 2 2 2 2" xfId="31190" xr:uid="{A634D940-F922-4BB3-B14E-706737026099}"/>
    <cellStyle name="40% - Accent4 3 5 2 2 2 2 2" xfId="22482" xr:uid="{46827AAB-8F87-4A57-892B-8EAC49E3386B}"/>
    <cellStyle name="40% - Accent4 3 5 2 2 2 3" xfId="9590" xr:uid="{AF17899B-4F86-46E5-B12D-5F45BD7319CE}"/>
    <cellStyle name="40% - Accent4 3 5 2 2 3" xfId="9587" xr:uid="{58550BD6-651D-48DF-966F-15C3E526360E}"/>
    <cellStyle name="40% - Accent4 3 5 2 2 3 2" xfId="9586" xr:uid="{DA9B8C42-396F-4139-B1A4-D600EE69141B}"/>
    <cellStyle name="40% - Accent4 3 5 2 2 4" xfId="9584" xr:uid="{482A8B4F-F6D6-453C-80ED-D7A70DEFEB84}"/>
    <cellStyle name="40% - Accent4 3 5 2 3" xfId="9583" xr:uid="{FC46ED42-8CA4-4978-AA2C-9BF10BA2FA5B}"/>
    <cellStyle name="40% - Accent4 3 5 2 3 2" xfId="9581" xr:uid="{BC42EC20-E1EB-44CE-BEC7-3A7849E7C9E7}"/>
    <cellStyle name="40% - Accent4 3 5 2 3 2 2" xfId="9578" xr:uid="{F1DC79E2-B820-40DB-A9A6-0656854B7659}"/>
    <cellStyle name="40% - Accent4 3 5 2 3 3" xfId="9575" xr:uid="{599B8269-4828-4B03-BBFB-EEE59029A057}"/>
    <cellStyle name="40% - Accent4 3 5 2 4" xfId="32812" xr:uid="{3906B4B2-3255-43E7-A519-2923A12F1A38}"/>
    <cellStyle name="40% - Accent4 3 5 2 4 2" xfId="9572" xr:uid="{AE0C916F-C68D-4F3A-8BD7-392B29A6DAC7}"/>
    <cellStyle name="40% - Accent4 3 5 2 5" xfId="9569" xr:uid="{A58F9C02-3673-4862-A963-0232D708F39A}"/>
    <cellStyle name="40% - Accent4 3 5 3" xfId="11968" xr:uid="{430232C5-8D77-4CDD-8980-2D1D9EB3DE53}"/>
    <cellStyle name="40% - Accent4 3 5 3 2" xfId="11967" xr:uid="{04A56EF1-F2FA-4E37-9DFE-51A21D4CE723}"/>
    <cellStyle name="40% - Accent4 3 5 3 2 2" xfId="11963" xr:uid="{20BC5320-4BA6-48FA-AFBC-1BAB657C365B}"/>
    <cellStyle name="40% - Accent4 3 5 3 2 2 2" xfId="9563" xr:uid="{57D51716-69C5-45BD-90FB-72E874ED32C2}"/>
    <cellStyle name="40% - Accent4 3 5 3 2 3" xfId="17171" xr:uid="{62634015-3997-4381-8BDC-E658CF2D25BF}"/>
    <cellStyle name="40% - Accent4 3 5 3 3" xfId="11961" xr:uid="{DA14F201-CD15-4487-9FBC-F7266A08D651}"/>
    <cellStyle name="40% - Accent4 3 5 3 3 2" xfId="9562" xr:uid="{28A1E818-C6BC-4DCB-BADF-32FEB0D30407}"/>
    <cellStyle name="40% - Accent4 3 5 3 4" xfId="9558" xr:uid="{484838D9-2005-4658-AC7F-4B9D42E7AB10}"/>
    <cellStyle name="40% - Accent4 3 5 4" xfId="11958" xr:uid="{1437D13B-1823-4138-A322-0B5DEE304047}"/>
    <cellStyle name="40% - Accent4 3 5 4 2" xfId="19962" xr:uid="{590FBE6B-DA76-473A-8FD7-E3C98CDA60E0}"/>
    <cellStyle name="40% - Accent4 3 5 4 2 2" xfId="9557" xr:uid="{750AFC22-7C1E-401F-8A2D-78550E1C080F}"/>
    <cellStyle name="40% - Accent4 3 5 4 3" xfId="9555" xr:uid="{6527ED11-12D1-46B0-BC5A-1CA6400B7D9C}"/>
    <cellStyle name="40% - Accent4 3 5 5" xfId="23208" xr:uid="{20357040-205C-4CBB-838C-2B6974EDD6C3}"/>
    <cellStyle name="40% - Accent4 3 5 5 2" xfId="9554" xr:uid="{8A297D7F-6FDE-498C-9174-0C8B8C92B8AA}"/>
    <cellStyle name="40% - Accent4 3 5 6" xfId="9553" xr:uid="{13DC4FE8-4733-4F34-96F8-E48FA45FED93}"/>
    <cellStyle name="40% - Accent4 3 5 7" xfId="34969" xr:uid="{B9449264-50DB-4A41-A85F-32BD92301D47}"/>
    <cellStyle name="40% - Accent4 3 6" xfId="9550" xr:uid="{F08A03CB-3741-49E8-AEF5-838CB614BC2C}"/>
    <cellStyle name="40% - Accent4 3 6 2" xfId="9549" xr:uid="{87590B1C-89C4-4E0B-AD02-27F1D67E0B95}"/>
    <cellStyle name="40% - Accent4 3 6 2 2" xfId="9547" xr:uid="{F6EDFF26-0DBC-4E04-A7F8-2BC7AC0F47C2}"/>
    <cellStyle name="40% - Accent4 3 6 2 2 2" xfId="9544" xr:uid="{A56EF576-E182-4D7F-8AB5-A63D5E2BF08C}"/>
    <cellStyle name="40% - Accent4 3 6 2 2 2 2" xfId="10353" xr:uid="{E6886387-1DCA-4FDB-A8E7-A19A842DCA64}"/>
    <cellStyle name="40% - Accent4 3 6 2 2 3" xfId="9543" xr:uid="{99DC9A11-9AE2-4EA8-9227-D55BDA2F72A6}"/>
    <cellStyle name="40% - Accent4 3 6 2 3" xfId="9541" xr:uid="{65650901-64C7-4076-841F-88E810B98329}"/>
    <cellStyle name="40% - Accent4 3 6 2 3 2" xfId="9539" xr:uid="{47AF59A2-E880-4572-8AFC-FB5FA01351BF}"/>
    <cellStyle name="40% - Accent4 3 6 2 4" xfId="9536" xr:uid="{F77BAD05-2790-484C-B0B4-350857FD2ED6}"/>
    <cellStyle name="40% - Accent4 3 6 3" xfId="12250" xr:uid="{6BE701CB-29EB-4E59-B2CD-08E5494F772B}"/>
    <cellStyle name="40% - Accent4 3 6 3 2" xfId="12246" xr:uid="{B7210798-10B9-47EE-ACB6-CDC274F7E115}"/>
    <cellStyle name="40% - Accent4 3 6 3 2 2" xfId="9535" xr:uid="{9774801B-56C9-4E54-BCCD-9DB926033EC0}"/>
    <cellStyle name="40% - Accent4 3 6 3 3" xfId="9534" xr:uid="{BF74FA2D-672E-40D4-A8A0-650561CE5654}"/>
    <cellStyle name="40% - Accent4 3 6 4" xfId="12239" xr:uid="{41A7AEF5-A32F-49D7-89A4-3B195430FB3F}"/>
    <cellStyle name="40% - Accent4 3 6 4 2" xfId="9533" xr:uid="{3E3F6078-1181-4B00-9A03-C2EA8F874CD4}"/>
    <cellStyle name="40% - Accent4 3 6 5" xfId="9532" xr:uid="{CCABF131-B951-44A9-8C96-EEB3E59932B5}"/>
    <cellStyle name="40% - Accent4 3 6 6" xfId="35174" xr:uid="{8D4D789D-ECAB-4966-A062-48B0A8B7D1B7}"/>
    <cellStyle name="40% - Accent4 3 7" xfId="6387" xr:uid="{A74A1B1A-2C0B-4BBA-AE4D-53C32DA43825}"/>
    <cellStyle name="40% - Accent4 3 7 2" xfId="15349" xr:uid="{494508B1-58A3-49DD-89ED-4367EBD3C284}"/>
    <cellStyle name="40% - Accent4 3 7 2 2" xfId="9531" xr:uid="{F1C9A9B9-8484-4E46-B1B2-65309B897250}"/>
    <cellStyle name="40% - Accent4 3 7 2 2 2" xfId="9529" xr:uid="{5C97353C-2A1E-4330-AD35-A5171DCADBA2}"/>
    <cellStyle name="40% - Accent4 3 7 2 3" xfId="9527" xr:uid="{D055ED1B-3052-4792-9FFC-B39026A7ADB4}"/>
    <cellStyle name="40% - Accent4 3 7 3" xfId="12234" xr:uid="{4E6402ED-5E87-449F-B4CE-545FD99CEDD9}"/>
    <cellStyle name="40% - Accent4 3 7 3 2" xfId="9526" xr:uid="{E1667315-AF30-4238-B86F-998C64A4E23D}"/>
    <cellStyle name="40% - Accent4 3 7 4" xfId="9525" xr:uid="{983E4C0B-9DEA-4922-94B3-6B695C9AA4C4}"/>
    <cellStyle name="40% - Accent4 3 7 5" xfId="35403" xr:uid="{9BE2CFFB-5B5F-4A35-BCEA-5EF8BC98E3CF}"/>
    <cellStyle name="40% - Accent4 3 8" xfId="15610" xr:uid="{E1C7A2AB-167F-47EE-AA64-CF75C29305D1}"/>
    <cellStyle name="40% - Accent4 3 8 2" xfId="9521" xr:uid="{9BEA5715-5A3F-4B68-89B4-F90CCFB2B789}"/>
    <cellStyle name="40% - Accent4 3 8 2 2" xfId="27028" xr:uid="{5B97EB4B-E3DA-4623-B0B3-1ED2DCB6C9E4}"/>
    <cellStyle name="40% - Accent4 3 8 3" xfId="9519" xr:uid="{0598FB9D-275B-4DBD-BBC6-180A83832AC4}"/>
    <cellStyle name="40% - Accent4 3 8 4" xfId="36275" xr:uid="{267A17FB-185F-4F84-A846-783885D6A4BA}"/>
    <cellStyle name="40% - Accent4 3 9" xfId="23299" xr:uid="{4159E10F-45FE-42D3-B04A-2937970DEC11}"/>
    <cellStyle name="40% - Accent4 3 9 2" xfId="9518" xr:uid="{9C4A7AC7-CDA0-4B34-819F-643E03A468AE}"/>
    <cellStyle name="40% - Accent4 3 9 3" xfId="36561" xr:uid="{B1D64AA2-FB13-4AE8-9BBD-67B1015D7C7D}"/>
    <cellStyle name="40% - Accent4 30" xfId="35900" xr:uid="{2C5C6BB2-1AAC-4223-9039-67A27941208B}"/>
    <cellStyle name="40% - Accent4 30 2" xfId="37072" xr:uid="{3611D15E-3B15-4C08-9C3B-408B5B36A050}"/>
    <cellStyle name="40% - Accent4 30 3" xfId="37967" xr:uid="{9D43E7AF-7216-4158-B23C-3DD741E9D168}"/>
    <cellStyle name="40% - Accent4 31" xfId="35920" xr:uid="{5B55D7A0-B8EC-43EA-B2A3-A967B51C7307}"/>
    <cellStyle name="40% - Accent4 31 2" xfId="37091" xr:uid="{3CEF26A0-054E-4978-B259-BCB1249B1216}"/>
    <cellStyle name="40% - Accent4 31 3" xfId="37987" xr:uid="{29B2D80D-41E9-42A8-9A77-9300439A2098}"/>
    <cellStyle name="40% - Accent4 32" xfId="35940" xr:uid="{E1FDD048-DFB4-4CB8-B14B-1AC64D62A17D}"/>
    <cellStyle name="40% - Accent4 32 2" xfId="37110" xr:uid="{1558E3FD-8502-4556-AD9A-8B8E5585E48E}"/>
    <cellStyle name="40% - Accent4 32 3" xfId="38007" xr:uid="{6CE9FDEB-7F28-40B5-8E2C-95DF1AA782ED}"/>
    <cellStyle name="40% - Accent4 33" xfId="35960" xr:uid="{B5C995B4-45CC-4ADC-B7EE-4E973E7F1CEA}"/>
    <cellStyle name="40% - Accent4 33 2" xfId="37129" xr:uid="{739F1ED0-6C54-455B-B354-4A492A1219B6}"/>
    <cellStyle name="40% - Accent4 33 3" xfId="38027" xr:uid="{A9ADE948-B798-426D-A05F-A458473B6007}"/>
    <cellStyle name="40% - Accent4 34" xfId="35980" xr:uid="{8DF4D1B1-3C5F-4580-8067-546BE861419E}"/>
    <cellStyle name="40% - Accent4 34 2" xfId="37149" xr:uid="{DA624A66-6930-4711-8870-8D7294E95E6E}"/>
    <cellStyle name="40% - Accent4 34 3" xfId="38047" xr:uid="{55E2E923-3E1D-402B-9E1F-AD85F0709C64}"/>
    <cellStyle name="40% - Accent4 35" xfId="36000" xr:uid="{9D0E04E7-6161-4A48-8694-891DD0501511}"/>
    <cellStyle name="40% - Accent4 35 2" xfId="37169" xr:uid="{1D1C59BB-D63E-442A-8A18-2C3A5304DC84}"/>
    <cellStyle name="40% - Accent4 35 3" xfId="38067" xr:uid="{DF5003D7-22CB-4785-9799-9DC4BFF8AA86}"/>
    <cellStyle name="40% - Accent4 36" xfId="36020" xr:uid="{CFD9CC65-1446-461D-8E6A-C2B94E8C66DA}"/>
    <cellStyle name="40% - Accent4 36 2" xfId="37189" xr:uid="{F5A8F085-C1A3-47FA-B648-86063E6CFA83}"/>
    <cellStyle name="40% - Accent4 36 3" xfId="38087" xr:uid="{CF4A120E-6D86-4D58-A7BE-F60F11A92205}"/>
    <cellStyle name="40% - Accent4 37" xfId="36040" xr:uid="{58F63B7C-AB4E-43AF-B141-57D1C73B981E}"/>
    <cellStyle name="40% - Accent4 37 2" xfId="37209" xr:uid="{1DAC82F1-B384-4E96-8516-648CAB54E2F5}"/>
    <cellStyle name="40% - Accent4 37 3" xfId="38107" xr:uid="{33D8FBED-B52E-45FA-916A-9E19008B3464}"/>
    <cellStyle name="40% - Accent4 38" xfId="36060" xr:uid="{F93CA1B0-5B6C-4C59-8774-AD73EB3F3E71}"/>
    <cellStyle name="40% - Accent4 38 2" xfId="37229" xr:uid="{A95BF827-DD71-4389-B44E-E5BFF15BEDD4}"/>
    <cellStyle name="40% - Accent4 38 3" xfId="38127" xr:uid="{BE333F30-3A4B-44A8-A2D2-A28FDED41B6E}"/>
    <cellStyle name="40% - Accent4 39" xfId="36080" xr:uid="{81646AAB-2720-436E-A195-985E9422530A}"/>
    <cellStyle name="40% - Accent4 39 2" xfId="37249" xr:uid="{FB3D11D8-4075-40EB-BC89-78E34039A271}"/>
    <cellStyle name="40% - Accent4 39 3" xfId="38147" xr:uid="{B95BA217-EB94-47FF-87C1-27BD90C0AE1D}"/>
    <cellStyle name="40% - Accent4 4" xfId="126" xr:uid="{69D48296-797F-44D9-97CE-CB37FCBBFEE0}"/>
    <cellStyle name="40% - Accent4 4 10" xfId="34480" xr:uid="{37915E7C-A7EF-499E-AEA3-BEE7E8C9AEC6}"/>
    <cellStyle name="40% - Accent4 4 11" xfId="15199" xr:uid="{50C125C3-423B-4BA5-8875-BDA0C18FF8D5}"/>
    <cellStyle name="40% - Accent4 4 2" xfId="249" xr:uid="{459A22AE-7C98-46F4-9210-7D5FE087D0C3}"/>
    <cellStyle name="40% - Accent4 4 2 10" xfId="9517" xr:uid="{BB9D6CC7-C522-4760-8900-FFA2AD0C3000}"/>
    <cellStyle name="40% - Accent4 4 2 2" xfId="9516" xr:uid="{B4E037F8-608B-4209-8FFC-10A038C8F24F}"/>
    <cellStyle name="40% - Accent4 4 2 2 2" xfId="13553" xr:uid="{3C96E46A-F874-4B2C-9BF3-1FC993F9032C}"/>
    <cellStyle name="40% - Accent4 4 2 2 2 2" xfId="31339" xr:uid="{1EB3A469-A4A3-4F4B-8933-4F0EB492BF5D}"/>
    <cellStyle name="40% - Accent4 4 2 2 2 2 2" xfId="6581" xr:uid="{CC548DAD-7083-4A89-A4F3-8FB5D4F0517A}"/>
    <cellStyle name="40% - Accent4 4 2 2 2 2 2 2" xfId="9514" xr:uid="{CE4D8ADA-3E87-4EE3-9DE9-211FCE123B28}"/>
    <cellStyle name="40% - Accent4 4 2 2 2 2 2 2 2" xfId="9513" xr:uid="{832A3153-1A69-4AE1-82A7-73C20FF4D72C}"/>
    <cellStyle name="40% - Accent4 4 2 2 2 2 2 2 2 2" xfId="9511" xr:uid="{7D1264B2-F840-4F41-BA7B-618FC5895C8A}"/>
    <cellStyle name="40% - Accent4 4 2 2 2 2 2 2 3" xfId="6872" xr:uid="{FFE299D0-039C-49AF-9444-355911007D9D}"/>
    <cellStyle name="40% - Accent4 4 2 2 2 2 2 3" xfId="19007" xr:uid="{E7279B3C-AEF2-4F81-B688-C2D4C6F494C9}"/>
    <cellStyle name="40% - Accent4 4 2 2 2 2 2 3 2" xfId="9509" xr:uid="{F85DDD0F-F0C6-4E80-A3A0-2376DB2391E3}"/>
    <cellStyle name="40% - Accent4 4 2 2 2 2 2 4" xfId="23180" xr:uid="{DE3EDCC0-BDB8-4CF6-BE46-2BA4BE861F6E}"/>
    <cellStyle name="40% - Accent4 4 2 2 2 2 3" xfId="29164" xr:uid="{D1CF5EE2-D04F-4270-85E2-74B7C7FE0F7F}"/>
    <cellStyle name="40% - Accent4 4 2 2 2 2 3 2" xfId="9507" xr:uid="{08CAE350-0A92-463A-A5D2-FBAB17CF2129}"/>
    <cellStyle name="40% - Accent4 4 2 2 2 2 3 2 2" xfId="6861" xr:uid="{5538AC2C-7049-4F4F-9353-AE3D4C6177F7}"/>
    <cellStyle name="40% - Accent4 4 2 2 2 2 3 3" xfId="31692" xr:uid="{E4C8F10A-6F62-4DD6-9F5E-9DEF8600D83C}"/>
    <cellStyle name="40% - Accent4 4 2 2 2 2 4" xfId="14120" xr:uid="{4D046C96-2621-4FBA-9036-6994F04AC562}"/>
    <cellStyle name="40% - Accent4 4 2 2 2 2 4 2" xfId="9506" xr:uid="{4D867732-E1B0-4C48-8E33-E4099CA19791}"/>
    <cellStyle name="40% - Accent4 4 2 2 2 2 5" xfId="27347" xr:uid="{9C1F2C5A-7AFC-456A-A6D1-A43DE866F23C}"/>
    <cellStyle name="40% - Accent4 4 2 2 2 3" xfId="9502" xr:uid="{380028AE-5621-44A9-8689-1B870F94420B}"/>
    <cellStyle name="40% - Accent4 4 2 2 2 3 2" xfId="9498" xr:uid="{F77765C5-EF8B-4529-9EEC-287889CC9CB3}"/>
    <cellStyle name="40% - Accent4 4 2 2 2 3 2 2" xfId="33257" xr:uid="{F6D1F8F8-F38B-4C41-9B11-1FDEBE2DAE28}"/>
    <cellStyle name="40% - Accent4 4 2 2 2 3 2 2 2" xfId="6833" xr:uid="{C07F4D54-5A65-4D3D-9667-79C84C6C1CF1}"/>
    <cellStyle name="40% - Accent4 4 2 2 2 3 2 3" xfId="18838" xr:uid="{8B39EA86-5658-40CC-AB76-3BA3BDB1D1E7}"/>
    <cellStyle name="40% - Accent4 4 2 2 2 3 3" xfId="33704" xr:uid="{CC1BDF37-80BB-47C0-A593-24A962C58BE4}"/>
    <cellStyle name="40% - Accent4 4 2 2 2 3 3 2" xfId="33224" xr:uid="{0BD73FBE-3F06-4EC5-BAD2-8E0F0465343C}"/>
    <cellStyle name="40% - Accent4 4 2 2 2 3 4" xfId="21320" xr:uid="{36982977-E26D-479D-9791-0D38488ADA6F}"/>
    <cellStyle name="40% - Accent4 4 2 2 2 4" xfId="9497" xr:uid="{ED4B2185-CC35-418D-B453-9D89EA5E6665}"/>
    <cellStyle name="40% - Accent4 4 2 2 2 4 2" xfId="9495" xr:uid="{7D3EF476-9953-40CD-99B3-788ED6AE88A2}"/>
    <cellStyle name="40% - Accent4 4 2 2 2 4 2 2" xfId="31495" xr:uid="{300B5F2F-5742-4456-BF24-5EA6E8A6649D}"/>
    <cellStyle name="40% - Accent4 4 2 2 2 4 3" xfId="9494" xr:uid="{B1F0D21D-B14F-462F-A76E-76D463FD9D46}"/>
    <cellStyle name="40% - Accent4 4 2 2 2 5" xfId="9493" xr:uid="{9CC19934-DCAA-4951-8862-697C228D810E}"/>
    <cellStyle name="40% - Accent4 4 2 2 2 5 2" xfId="9492" xr:uid="{5C3FE704-5FE7-489D-8DB1-2B4660130B62}"/>
    <cellStyle name="40% - Accent4 4 2 2 2 6" xfId="9491" xr:uid="{732472CE-1DD3-4B03-912F-8B2646560559}"/>
    <cellStyle name="40% - Accent4 4 2 2 3" xfId="13548" xr:uid="{E8C76EB5-7767-4165-AF92-EB278F4BA47E}"/>
    <cellStyle name="40% - Accent4 4 2 2 3 2" xfId="11501" xr:uid="{B1C1FB37-9A10-4B94-BF98-849FC7674DB5}"/>
    <cellStyle name="40% - Accent4 4 2 2 3 2 2" xfId="9490" xr:uid="{05DBE29C-C81B-4139-92DE-F52E7D52983F}"/>
    <cellStyle name="40% - Accent4 4 2 2 3 2 2 2" xfId="9488" xr:uid="{01BDD36E-3E2A-47E0-8D9F-087C71D2911D}"/>
    <cellStyle name="40% - Accent4 4 2 2 3 2 2 2 2" xfId="6783" xr:uid="{530A4ED4-8A37-42D7-BF1C-11D6772E0268}"/>
    <cellStyle name="40% - Accent4 4 2 2 3 2 2 3" xfId="18719" xr:uid="{75A6232F-A7F8-47D5-AAAD-7BCF370512C2}"/>
    <cellStyle name="40% - Accent4 4 2 2 3 2 3" xfId="26352" xr:uid="{B2AFCBC8-219C-4DD2-87D2-2D531C08A901}"/>
    <cellStyle name="40% - Accent4 4 2 2 3 2 3 2" xfId="9487" xr:uid="{A4085BED-880C-4CE2-9564-1CAD10554144}"/>
    <cellStyle name="40% - Accent4 4 2 2 3 2 4" xfId="21185" xr:uid="{6069E93E-6E27-44A2-A3B1-33D57BCF0BC3}"/>
    <cellStyle name="40% - Accent4 4 2 2 3 3" xfId="11489" xr:uid="{856A36D9-75BB-4C2F-9A59-DA43B2E60478}"/>
    <cellStyle name="40% - Accent4 4 2 2 3 3 2" xfId="9485" xr:uid="{F98947BC-3EAF-48B2-96F3-A30BED8DB3E7}"/>
    <cellStyle name="40% - Accent4 4 2 2 3 3 2 2" xfId="32955" xr:uid="{A699E3CF-AA61-45BF-A849-661F95F9EF14}"/>
    <cellStyle name="40% - Accent4 4 2 2 3 3 3" xfId="9482" xr:uid="{9A727989-A0D3-4EA2-A1F5-9DF8F1B423BF}"/>
    <cellStyle name="40% - Accent4 4 2 2 3 4" xfId="11481" xr:uid="{64F32BCB-B8C2-4EA4-94AF-75A10F193240}"/>
    <cellStyle name="40% - Accent4 4 2 2 3 4 2" xfId="9478" xr:uid="{05F9FAB2-6FD2-4D85-B338-7F49132AB9AB}"/>
    <cellStyle name="40% - Accent4 4 2 2 3 5" xfId="11474" xr:uid="{283A38EA-1406-49D9-8723-EF931FFD6C59}"/>
    <cellStyle name="40% - Accent4 4 2 2 4" xfId="11463" xr:uid="{8486D14D-79B0-47D7-AC41-4A0814FA8E34}"/>
    <cellStyle name="40% - Accent4 4 2 2 4 2" xfId="11461" xr:uid="{63380045-5A50-4C7B-B487-A09F5EE40F82}"/>
    <cellStyle name="40% - Accent4 4 2 2 4 2 2" xfId="9476" xr:uid="{254351AE-A7A9-4841-8908-0C428004C4C8}"/>
    <cellStyle name="40% - Accent4 4 2 2 4 2 2 2" xfId="9474" xr:uid="{8874D3B9-7E82-4280-9514-717C2929B8CD}"/>
    <cellStyle name="40% - Accent4 4 2 2 4 2 3" xfId="28843" xr:uid="{3A78996B-B475-4658-8D59-FF5BCE312584}"/>
    <cellStyle name="40% - Accent4 4 2 2 4 3" xfId="11448" xr:uid="{6E8AED89-CF4F-467F-867B-F3FDE0FDCD85}"/>
    <cellStyle name="40% - Accent4 4 2 2 4 3 2" xfId="13065" xr:uid="{CFD56445-D753-4CDA-8BED-BED3D03F5EF2}"/>
    <cellStyle name="40% - Accent4 4 2 2 4 4" xfId="11439" xr:uid="{62424961-3EDB-4078-A68C-A6A36EF4198D}"/>
    <cellStyle name="40% - Accent4 4 2 2 5" xfId="13249" xr:uid="{E696DF30-C18B-4578-878B-FA3D0B721AE3}"/>
    <cellStyle name="40% - Accent4 4 2 2 5 2" xfId="14636" xr:uid="{42243A50-5C55-4584-AFB8-3DF679B46A3C}"/>
    <cellStyle name="40% - Accent4 4 2 2 5 2 2" xfId="9473" xr:uid="{0DB88C3D-3191-4A31-8D1B-C56C0001F0DF}"/>
    <cellStyle name="40% - Accent4 4 2 2 5 3" xfId="14990" xr:uid="{8A0D1C18-E077-4E9F-9CA4-FEBC5AFBE6C1}"/>
    <cellStyle name="40% - Accent4 4 2 2 6" xfId="13245" xr:uid="{669FD912-E4D1-4987-AF5F-CD08D88D19C6}"/>
    <cellStyle name="40% - Accent4 4 2 2 6 2" xfId="11424" xr:uid="{0B0D7877-C990-488C-88C9-5C6A9A6A5907}"/>
    <cellStyle name="40% - Accent4 4 2 2 7" xfId="11417" xr:uid="{46E53814-A47B-4A9C-93A2-7F7C8B5058E6}"/>
    <cellStyle name="40% - Accent4 4 2 3" xfId="9471" xr:uid="{1D298796-7B7A-4F56-9DE1-510F6397D876}"/>
    <cellStyle name="40% - Accent4 4 2 3 2" xfId="13533" xr:uid="{F2C6EEF8-3328-4433-AA83-9D22E96A032C}"/>
    <cellStyle name="40% - Accent4 4 2 3 2 2" xfId="9468" xr:uid="{4386CDF4-97EA-434E-922F-6378D6FAE672}"/>
    <cellStyle name="40% - Accent4 4 2 3 2 2 2" xfId="15087" xr:uid="{E1E76A92-E736-4F74-8C7F-2C0BBCAB09FC}"/>
    <cellStyle name="40% - Accent4 4 2 3 2 2 2 2" xfId="9467" xr:uid="{17299E77-82C6-4BB4-88B3-64DDAA144FA9}"/>
    <cellStyle name="40% - Accent4 4 2 3 2 2 2 2 2" xfId="9465" xr:uid="{AD57878C-BE8C-4E5A-ACC9-B26CA1B28B52}"/>
    <cellStyle name="40% - Accent4 4 2 3 2 2 2 3" xfId="18484" xr:uid="{4A64FB7E-0B01-46AA-B14F-5E463ED1275F}"/>
    <cellStyle name="40% - Accent4 4 2 3 2 2 3" xfId="34199" xr:uid="{481581CB-58D2-48FE-A41A-AC0AC8D40362}"/>
    <cellStyle name="40% - Accent4 4 2 3 2 2 3 2" xfId="9460" xr:uid="{37006D05-5CFA-4194-8C13-F7E0F8F91B2B}"/>
    <cellStyle name="40% - Accent4 4 2 3 2 2 4" xfId="20679" xr:uid="{A0E60204-D67C-40FE-A3F7-C9E31803127E}"/>
    <cellStyle name="40% - Accent4 4 2 3 2 3" xfId="9459" xr:uid="{A0247750-A16A-4202-9719-06D34932E2C0}"/>
    <cellStyle name="40% - Accent4 4 2 3 2 3 2" xfId="15014" xr:uid="{0D272F4F-D790-4709-A287-E3A7BBF3AAEC}"/>
    <cellStyle name="40% - Accent4 4 2 3 2 3 2 2" xfId="22529" xr:uid="{BACFAEF1-26F7-41E6-9116-5A3F9BBF8772}"/>
    <cellStyle name="40% - Accent4 4 2 3 2 3 3" xfId="15006" xr:uid="{BC4CD90E-D08A-4150-8CC4-ECB8E69B5D82}"/>
    <cellStyle name="40% - Accent4 4 2 3 2 4" xfId="9458" xr:uid="{E3B17F2E-B2DB-4239-85B0-99AEBAB5A762}"/>
    <cellStyle name="40% - Accent4 4 2 3 2 4 2" xfId="14981" xr:uid="{2EC594ED-9E56-47AB-90E1-D5FFD9EE0687}"/>
    <cellStyle name="40% - Accent4 4 2 3 2 5" xfId="9456" xr:uid="{1F750F7A-9CDF-40F7-8F2C-B65D3E248892}"/>
    <cellStyle name="40% - Accent4 4 2 3 3" xfId="11411" xr:uid="{575D344B-440F-43FA-8412-E3EBD850DC47}"/>
    <cellStyle name="40% - Accent4 4 2 3 3 2" xfId="11408" xr:uid="{00B73C90-60B8-4388-ACF8-E8747B134009}"/>
    <cellStyle name="40% - Accent4 4 2 3 3 2 2" xfId="14905" xr:uid="{40313DCA-05E3-4415-9CF2-0D228DC92F97}"/>
    <cellStyle name="40% - Accent4 4 2 3 3 2 2 2" xfId="9454" xr:uid="{4CBDC052-DF71-451C-B3FF-2AD48C92E38F}"/>
    <cellStyle name="40% - Accent4 4 2 3 3 2 3" xfId="14898" xr:uid="{B7C35BA6-CC32-449A-B760-7E823432749F}"/>
    <cellStyle name="40% - Accent4 4 2 3 3 3" xfId="11403" xr:uid="{4A469342-6C14-4F77-8516-8AF0D05E0F6D}"/>
    <cellStyle name="40% - Accent4 4 2 3 3 3 2" xfId="14874" xr:uid="{E2D9EE6B-BA3B-41CA-B5AA-DEAC2D929289}"/>
    <cellStyle name="40% - Accent4 4 2 3 3 4" xfId="11397" xr:uid="{E0E680AE-0658-423A-96BB-A5EFC5300C71}"/>
    <cellStyle name="40% - Accent4 4 2 3 4" xfId="11385" xr:uid="{FF492341-1446-471C-A7F3-F3999ED80CD3}"/>
    <cellStyle name="40% - Accent4 4 2 3 4 2" xfId="17383" xr:uid="{863233CB-3C31-4331-997F-CE78E1B9C358}"/>
    <cellStyle name="40% - Accent4 4 2 3 4 2 2" xfId="17379" xr:uid="{A346927A-D175-4540-A46F-0CA17C1E887F}"/>
    <cellStyle name="40% - Accent4 4 2 3 4 3" xfId="17361" xr:uid="{66C49D64-F5EF-469E-8B07-AD361225B4FA}"/>
    <cellStyle name="40% - Accent4 4 2 3 5" xfId="13241" xr:uid="{6CBE0B75-AD39-4983-9372-87EC35539C65}"/>
    <cellStyle name="40% - Accent4 4 2 3 5 2" xfId="17328" xr:uid="{2F154474-8C91-41D6-9442-841A0996436F}"/>
    <cellStyle name="40% - Accent4 4 2 3 6" xfId="11373" xr:uid="{5B0CB80B-8D42-48D5-904A-623D7CAA9A5D}"/>
    <cellStyle name="40% - Accent4 4 2 4" xfId="9453" xr:uid="{FF3D1AC1-1FA3-4135-9BB0-5C3B2F7B2893}"/>
    <cellStyle name="40% - Accent4 4 2 4 2" xfId="9451" xr:uid="{E4755BE1-4A5D-4A83-A349-7DA57AE4FE63}"/>
    <cellStyle name="40% - Accent4 4 2 4 2 2" xfId="9449" xr:uid="{CFEF3CE7-FE75-4BA7-B7E9-D400C312926B}"/>
    <cellStyle name="40% - Accent4 4 2 4 2 2 2" xfId="14495" xr:uid="{F03C2968-27C4-46A8-9E00-595DA6C0FE44}"/>
    <cellStyle name="40% - Accent4 4 2 4 2 2 2 2" xfId="9903" xr:uid="{D6F9E369-21F3-46F3-A19D-D2CCA32AFDDA}"/>
    <cellStyle name="40% - Accent4 4 2 4 2 2 3" xfId="14490" xr:uid="{479FF3D4-DA1C-4EF9-B477-FB7FF23D632E}"/>
    <cellStyle name="40% - Accent4 4 2 4 2 3" xfId="9448" xr:uid="{DA48BBF4-4C5B-401F-AA44-5336F800AB66}"/>
    <cellStyle name="40% - Accent4 4 2 4 2 3 2" xfId="14458" xr:uid="{64197B22-9ECC-4967-A5E4-FA5B8EC973C4}"/>
    <cellStyle name="40% - Accent4 4 2 4 2 4" xfId="9447" xr:uid="{88B6C1F0-74EA-4968-B03E-3D607E7C40E0}"/>
    <cellStyle name="40% - Accent4 4 2 4 3" xfId="11367" xr:uid="{12260ACB-D11F-4F8C-831C-31BA904D6CBB}"/>
    <cellStyle name="40% - Accent4 4 2 4 3 2" xfId="11364" xr:uid="{D5EFF010-B9A6-4993-8305-A9E64CA21946}"/>
    <cellStyle name="40% - Accent4 4 2 4 3 2 2" xfId="14377" xr:uid="{1A1C2DBE-F873-4196-AA10-97FCC7DA7F5B}"/>
    <cellStyle name="40% - Accent4 4 2 4 3 3" xfId="12511" xr:uid="{9D223971-530A-4DB8-B5B2-FB8513E912A7}"/>
    <cellStyle name="40% - Accent4 4 2 4 4" xfId="11353" xr:uid="{246656F3-CAFC-4783-A30E-8C2C64597F92}"/>
    <cellStyle name="40% - Accent4 4 2 4 4 2" xfId="17264" xr:uid="{8620DFEC-2402-46D7-84EE-1DF1AD1477A1}"/>
    <cellStyle name="40% - Accent4 4 2 4 5" xfId="11347" xr:uid="{8F2AE5ED-E5DF-4A8E-84E6-0F3BE9372202}"/>
    <cellStyle name="40% - Accent4 4 2 5" xfId="9446" xr:uid="{7BFC6E0D-BF53-49A2-B09A-63C8B0B26F38}"/>
    <cellStyle name="40% - Accent4 4 2 5 2" xfId="9443" xr:uid="{82164303-84C1-4274-8CE7-CB714A207386}"/>
    <cellStyle name="40% - Accent4 4 2 5 2 2" xfId="9441" xr:uid="{AAD9AE34-783E-400F-9CFA-F974A33B6D07}"/>
    <cellStyle name="40% - Accent4 4 2 5 2 2 2" xfId="13427" xr:uid="{ADA06C3E-5E18-4815-BB64-A83F3AE46B20}"/>
    <cellStyle name="40% - Accent4 4 2 5 2 3" xfId="9439" xr:uid="{DCC6C9D8-3FF7-4142-A63A-6CF1B883367A}"/>
    <cellStyle name="40% - Accent4 4 2 5 3" xfId="11339" xr:uid="{9538D4CC-A7E6-40DB-8EF4-F2B0681F4A8B}"/>
    <cellStyle name="40% - Accent4 4 2 5 3 2" xfId="11336" xr:uid="{2F51D1F5-9533-4AFD-97B6-C45B08E2244D}"/>
    <cellStyle name="40% - Accent4 4 2 5 4" xfId="11326" xr:uid="{AB2B6EC9-7B37-4412-8B42-E99BE42D7C50}"/>
    <cellStyle name="40% - Accent4 4 2 6" xfId="22371" xr:uid="{0CAD9337-BC3D-46FF-8337-4687EC934BF6}"/>
    <cellStyle name="40% - Accent4 4 2 6 2" xfId="9438" xr:uid="{4F52C065-B506-4EE8-8880-72B9D4C6FE97}"/>
    <cellStyle name="40% - Accent4 4 2 6 2 2" xfId="9436" xr:uid="{B2658B66-F60B-4AC6-B1D3-B82CB82F4C2A}"/>
    <cellStyle name="40% - Accent4 4 2 6 3" xfId="11320" xr:uid="{154FB67A-74EA-437C-8936-19DA9BB03C13}"/>
    <cellStyle name="40% - Accent4 4 2 7" xfId="18147" xr:uid="{56CB888E-64F2-46B8-80C9-E2D31C970173}"/>
    <cellStyle name="40% - Accent4 4 2 7 2" xfId="30441" xr:uid="{BBA53812-4D3D-4661-A26D-6FB4559D8B15}"/>
    <cellStyle name="40% - Accent4 4 2 8" xfId="26113" xr:uid="{7CD3A14F-4A08-4D94-932E-21DF9882A425}"/>
    <cellStyle name="40% - Accent4 4 2 9" xfId="34569" xr:uid="{5D8FBD39-AEF2-48F7-9863-DC2381AB651E}"/>
    <cellStyle name="40% - Accent4 4 3" xfId="31762" xr:uid="{2617231E-6D15-4E9D-81BE-390862F48121}"/>
    <cellStyle name="40% - Accent4 4 3 2" xfId="11866" xr:uid="{671D9043-76E9-4A82-8930-C1680BA1B473}"/>
    <cellStyle name="40% - Accent4 4 3 2 2" xfId="13453" xr:uid="{99C69673-28D9-4712-8787-538959FE980C}"/>
    <cellStyle name="40% - Accent4 4 3 2 2 2" xfId="19694" xr:uid="{F53BA113-9014-4758-843F-D1631A872D2F}"/>
    <cellStyle name="40% - Accent4 4 3 2 2 2 2" xfId="27563" xr:uid="{AFD0AEA8-0A82-4D2E-9643-6B8D89D9B7F4}"/>
    <cellStyle name="40% - Accent4 4 3 2 2 2 2 2" xfId="9435" xr:uid="{BE726490-9741-4AAC-9C3D-75F28E6DEC10}"/>
    <cellStyle name="40% - Accent4 4 3 2 2 2 2 2 2" xfId="6255" xr:uid="{9D88DFBC-11C8-4D47-8DC4-54C19414632E}"/>
    <cellStyle name="40% - Accent4 4 3 2 2 2 2 3" xfId="9433" xr:uid="{C8BB51E6-66D3-408D-95A9-2A5E030535E0}"/>
    <cellStyle name="40% - Accent4 4 3 2 2 2 3" xfId="34201" xr:uid="{FD8F43E2-5165-405A-8025-FADBFDAE5ED9}"/>
    <cellStyle name="40% - Accent4 4 3 2 2 2 3 2" xfId="9431" xr:uid="{745CC52A-2618-42E6-B085-68DA141B016E}"/>
    <cellStyle name="40% - Accent4 4 3 2 2 2 4" xfId="19196" xr:uid="{D2E00769-4D68-4FC1-856E-43BA60732781}"/>
    <cellStyle name="40% - Accent4 4 3 2 2 3" xfId="33213" xr:uid="{A21B622F-7FE8-4470-AD55-171C90647F86}"/>
    <cellStyle name="40% - Accent4 4 3 2 2 3 2" xfId="33599" xr:uid="{71DD9B4E-CCB1-42E8-8966-3CA3F865A4DB}"/>
    <cellStyle name="40% - Accent4 4 3 2 2 3 2 2" xfId="14974" xr:uid="{DD113E44-2C2D-4C54-8D50-9F77CD352710}"/>
    <cellStyle name="40% - Accent4 4 3 2 2 3 3" xfId="9429" xr:uid="{FDF62CF6-9A75-4013-A070-A00875513172}"/>
    <cellStyle name="40% - Accent4 4 3 2 2 4" xfId="9428" xr:uid="{E5305E14-0F8C-4C00-9F1B-5B597E7A2891}"/>
    <cellStyle name="40% - Accent4 4 3 2 2 4 2" xfId="9425" xr:uid="{3470268C-7629-4F2A-A846-F9C7F4C51588}"/>
    <cellStyle name="40% - Accent4 4 3 2 2 5" xfId="9422" xr:uid="{23785A4A-0ADD-4053-8C51-906E0BB93840}"/>
    <cellStyle name="40% - Accent4 4 3 2 3" xfId="11259" xr:uid="{F10D02E6-8A39-433F-9C83-6DEF48F24B5B}"/>
    <cellStyle name="40% - Accent4 4 3 2 3 2" xfId="19723" xr:uid="{D919145D-D5B4-47A6-AE75-F7C4CF82EEE2}"/>
    <cellStyle name="40% - Accent4 4 3 2 3 2 2" xfId="27555" xr:uid="{D0F2C39E-D3CF-432C-A0B7-045E1EC48FC2}"/>
    <cellStyle name="40% - Accent4 4 3 2 3 2 2 2" xfId="9419" xr:uid="{632AAA44-07EB-4181-B64A-8C26E0B4C778}"/>
    <cellStyle name="40% - Accent4 4 3 2 3 2 3" xfId="16879" xr:uid="{E959741C-C4FF-4EE2-BDDA-53FA3436ACAA}"/>
    <cellStyle name="40% - Accent4 4 3 2 3 3" xfId="11252" xr:uid="{C5E9A64C-2413-41E5-B625-7C75909B0D27}"/>
    <cellStyle name="40% - Accent4 4 3 2 3 3 2" xfId="16846" xr:uid="{8851B300-C8D2-4273-836D-62F5464CEA42}"/>
    <cellStyle name="40% - Accent4 4 3 2 3 4" xfId="33622" xr:uid="{F4A785EA-602C-434D-8A54-C15F83C0D1C8}"/>
    <cellStyle name="40% - Accent4 4 3 2 4" xfId="11241" xr:uid="{F3ED2E8A-740B-46B1-A72D-87E5CACEEA8B}"/>
    <cellStyle name="40% - Accent4 4 3 2 4 2" xfId="11239" xr:uid="{ABFF57AE-AE65-4A0B-A2D2-8C6118ED3B9E}"/>
    <cellStyle name="40% - Accent4 4 3 2 4 2 2" xfId="16234" xr:uid="{711F087B-E0DD-42DE-B19F-D57D1587C307}"/>
    <cellStyle name="40% - Accent4 4 3 2 4 3" xfId="11226" xr:uid="{A683BD55-71CA-4224-B1E1-02C5E141D691}"/>
    <cellStyle name="40% - Accent4 4 3 2 5" xfId="13232" xr:uid="{981770A8-2B57-4089-91E9-ACAF84024146}"/>
    <cellStyle name="40% - Accent4 4 3 2 5 2" xfId="11210" xr:uid="{C6CBC185-47DF-4A3C-8D5D-C266564DDAC4}"/>
    <cellStyle name="40% - Accent4 4 3 2 6" xfId="11204" xr:uid="{DC6B97E7-30A5-43C4-8BEE-283EAD9E0DF6}"/>
    <cellStyle name="40% - Accent4 4 3 3" xfId="9418" xr:uid="{D2CFB751-CCA2-4122-8552-2687DB0650F4}"/>
    <cellStyle name="40% - Accent4 4 3 3 2" xfId="14188" xr:uid="{5D3740A9-8D7C-4AA1-9025-287A9A7103B4}"/>
    <cellStyle name="40% - Accent4 4 3 3 2 2" xfId="33137" xr:uid="{3B6BEE63-9FC4-4343-AB36-0D11442D8082}"/>
    <cellStyle name="40% - Accent4 4 3 3 2 2 2" xfId="33298" xr:uid="{9E85A191-C708-4873-99B5-223D887EE5E8}"/>
    <cellStyle name="40% - Accent4 4 3 3 2 2 2 2" xfId="9416" xr:uid="{4082C899-BD21-4A1A-A367-0D597068D282}"/>
    <cellStyle name="40% - Accent4 4 3 3 2 2 3" xfId="13582" xr:uid="{46317C55-F139-4F72-84FE-2FEAC1CF8EB4}"/>
    <cellStyle name="40% - Accent4 4 3 3 2 3" xfId="9415" xr:uid="{8404E564-2435-4BF0-B0E3-F1B03A55AFCF}"/>
    <cellStyle name="40% - Accent4 4 3 3 2 3 2" xfId="12950" xr:uid="{3D6C8843-BAC5-4935-8E27-0FD7A2C39559}"/>
    <cellStyle name="40% - Accent4 4 3 3 2 4" xfId="17736" xr:uid="{E7CEEA6B-6788-4F0C-B96B-EE8A09EC6A8F}"/>
    <cellStyle name="40% - Accent4 4 3 3 3" xfId="11196" xr:uid="{C9B59582-0BFB-4807-9139-70BBF11F63D3}"/>
    <cellStyle name="40% - Accent4 4 3 3 3 2" xfId="11192" xr:uid="{412795B6-DDB8-4554-B66F-7AA227F2F299}"/>
    <cellStyle name="40% - Accent4 4 3 3 3 2 2" xfId="14730" xr:uid="{D2C8A755-2EF5-43E9-AF55-DB7D7591E4F8}"/>
    <cellStyle name="40% - Accent4 4 3 3 3 3" xfId="11182" xr:uid="{58C17280-5D6F-49CA-A17F-5DDF239EBEE5}"/>
    <cellStyle name="40% - Accent4 4 3 3 4" xfId="11176" xr:uid="{4FB7AD61-4FEB-408A-97BF-3FD84509A86D}"/>
    <cellStyle name="40% - Accent4 4 3 3 4 2" xfId="17139" xr:uid="{239610DE-36A5-4C73-BB39-293787C93EF5}"/>
    <cellStyle name="40% - Accent4 4 3 3 5" xfId="11171" xr:uid="{19E16C2C-5EAA-45B6-9A0C-B0187E441112}"/>
    <cellStyle name="40% - Accent4 4 3 4" xfId="9413" xr:uid="{B471EAA4-0938-4A3D-95F2-360A614CE553}"/>
    <cellStyle name="40% - Accent4 4 3 4 2" xfId="9411" xr:uid="{C30D5BEE-93DE-4CA5-8981-480670C8EFDB}"/>
    <cellStyle name="40% - Accent4 4 3 4 2 2" xfId="9408" xr:uid="{E7CD4EFB-8B22-4F7F-818D-3143C12FE095}"/>
    <cellStyle name="40% - Accent4 4 3 4 2 2 2" xfId="12380" xr:uid="{A5A0849D-C6FE-4EAE-A7FD-1DDCB11B9B98}"/>
    <cellStyle name="40% - Accent4 4 3 4 2 3" xfId="9406" xr:uid="{1051E887-BF14-4D32-B102-FA15E27B07A3}"/>
    <cellStyle name="40% - Accent4 4 3 4 3" xfId="11167" xr:uid="{4482B590-C9A3-4AF3-B958-8902E5770AD1}"/>
    <cellStyle name="40% - Accent4 4 3 4 3 2" xfId="11163" xr:uid="{07B8EFF9-D9D3-4025-9377-B470647D4CA5}"/>
    <cellStyle name="40% - Accent4 4 3 4 4" xfId="11151" xr:uid="{4ED3006C-21F1-43BE-979B-6FD541D27FCF}"/>
    <cellStyle name="40% - Accent4 4 3 5" xfId="17006" xr:uid="{2031BAFF-DCC4-4127-B860-CA7E5CD8CF66}"/>
    <cellStyle name="40% - Accent4 4 3 5 2" xfId="9404" xr:uid="{621AAA60-1AA8-48A1-83DE-2991FF6B5017}"/>
    <cellStyle name="40% - Accent4 4 3 5 2 2" xfId="9401" xr:uid="{C4E4A6C7-2162-4BB8-8604-C98CA7B4987D}"/>
    <cellStyle name="40% - Accent4 4 3 5 3" xfId="11145" xr:uid="{CA293B29-9171-4368-981C-140CF0DBE46F}"/>
    <cellStyle name="40% - Accent4 4 3 6" xfId="22806" xr:uid="{5A9EB7E9-C2FA-4E57-B203-12579A983D93}"/>
    <cellStyle name="40% - Accent4 4 3 6 2" xfId="29770" xr:uid="{1CE40E47-82C6-46C1-B2F2-FE3E857DB1C8}"/>
    <cellStyle name="40% - Accent4 4 3 7" xfId="27821" xr:uid="{FF0374CC-E776-4D85-8081-20DB253637F6}"/>
    <cellStyle name="40% - Accent4 4 3 8" xfId="34789" xr:uid="{D40708FB-1A67-4646-9F81-F41377ACB6F3}"/>
    <cellStyle name="40% - Accent4 4 4" xfId="11863" xr:uid="{AC1EEDE3-0EC6-4892-82CA-C5BF5CC0E490}"/>
    <cellStyle name="40% - Accent4 4 4 2" xfId="9400" xr:uid="{7AD062B9-911E-41F2-A008-9F86E0E2B2F9}"/>
    <cellStyle name="40% - Accent4 4 4 2 2" xfId="9399" xr:uid="{5FA68E7B-5773-4D7F-A334-9C27CA1C0D45}"/>
    <cellStyle name="40% - Accent4 4 4 2 2 2" xfId="18845" xr:uid="{6F558313-9641-478D-A1D4-C73C9E0170A1}"/>
    <cellStyle name="40% - Accent4 4 4 2 2 2 2" xfId="27403" xr:uid="{1E49B090-1B01-404C-AFF9-CA2F65A4654A}"/>
    <cellStyle name="40% - Accent4 4 4 2 2 2 2 2" xfId="9398" xr:uid="{E5DD0AAD-69CD-4CA4-8C66-6B8AA57203A9}"/>
    <cellStyle name="40% - Accent4 4 4 2 2 2 3" xfId="9396" xr:uid="{938BCCF7-6822-45B8-8129-07EF0CB0E246}"/>
    <cellStyle name="40% - Accent4 4 4 2 2 3" xfId="9395" xr:uid="{6FEB78B5-C197-4039-A9CD-B08366F494C5}"/>
    <cellStyle name="40% - Accent4 4 4 2 2 3 2" xfId="9394" xr:uid="{456E539B-B71E-48AB-B890-70F84B279862}"/>
    <cellStyle name="40% - Accent4 4 4 2 2 4" xfId="9392" xr:uid="{563AF7EE-B377-489E-BE2A-D49465D03807}"/>
    <cellStyle name="40% - Accent4 4 4 2 3" xfId="11105" xr:uid="{12D008F7-BF67-4E94-93B1-71DD30C1FBFB}"/>
    <cellStyle name="40% - Accent4 4 4 2 3 2" xfId="11100" xr:uid="{BA2EF074-FABE-4AD7-9AB9-4C5DB50EFBA2}"/>
    <cellStyle name="40% - Accent4 4 4 2 3 2 2" xfId="9391" xr:uid="{3743E0F7-3A94-4572-BA30-94E826B8AF45}"/>
    <cellStyle name="40% - Accent4 4 4 2 3 3" xfId="11088" xr:uid="{C53EE95F-7C9F-424E-9175-4D72DA27F1B0}"/>
    <cellStyle name="40% - Accent4 4 4 2 4" xfId="11083" xr:uid="{C2258C0C-37CD-48B2-8DB5-6991896C986F}"/>
    <cellStyle name="40% - Accent4 4 4 2 4 2" xfId="11080" xr:uid="{392F40F4-3453-469E-B8CE-707726A72597}"/>
    <cellStyle name="40% - Accent4 4 4 2 5" xfId="11068" xr:uid="{2B79FCD8-3167-4ACE-AC56-2436A3C5EF17}"/>
    <cellStyle name="40% - Accent4 4 4 3" xfId="9384" xr:uid="{CB0A0D1E-F7B1-4676-A04C-7D6BB01AA516}"/>
    <cellStyle name="40% - Accent4 4 4 3 2" xfId="9382" xr:uid="{F8366C60-E8CA-4810-83B4-341B74F395C6}"/>
    <cellStyle name="40% - Accent4 4 4 3 2 2" xfId="9380" xr:uid="{CA96DC17-3350-485C-8C34-C4AE54066ED1}"/>
    <cellStyle name="40% - Accent4 4 4 3 2 2 2" xfId="10823" xr:uid="{F2A2F09A-4F3D-420B-B21F-0A1B649EF75E}"/>
    <cellStyle name="40% - Accent4 4 4 3 2 3" xfId="9379" xr:uid="{7D10B676-D6FC-44C8-A127-A9BA23FD8744}"/>
    <cellStyle name="40% - Accent4 4 4 3 3" xfId="11061" xr:uid="{D9149B00-3E26-46A2-AE64-6FE6A737CDB9}"/>
    <cellStyle name="40% - Accent4 4 4 3 3 2" xfId="11056" xr:uid="{8969114C-296E-4B66-8776-FAAF5C454A6F}"/>
    <cellStyle name="40% - Accent4 4 4 3 4" xfId="11044" xr:uid="{6902915B-8215-440D-ABF1-ED15D0A4070B}"/>
    <cellStyle name="40% - Accent4 4 4 4" xfId="13650" xr:uid="{D44DDA6F-2007-42B1-A3CC-3595BA399A53}"/>
    <cellStyle name="40% - Accent4 4 4 4 2" xfId="28065" xr:uid="{49F54815-1EBA-48B8-BD10-3ED5B5BE9F83}"/>
    <cellStyle name="40% - Accent4 4 4 4 2 2" xfId="9378" xr:uid="{63FECF4E-C880-4668-A669-AF93E04CD632}"/>
    <cellStyle name="40% - Accent4 4 4 4 3" xfId="11040" xr:uid="{2AC38E28-20BD-4DA2-9DCB-EAB4A21E2CE5}"/>
    <cellStyle name="40% - Accent4 4 4 5" xfId="9376" xr:uid="{2E523874-2D8D-4BAE-A14B-EBF36C7EFBFB}"/>
    <cellStyle name="40% - Accent4 4 4 5 2" xfId="9372" xr:uid="{EA7F6CAE-1EEF-4F23-A435-2638E202167A}"/>
    <cellStyle name="40% - Accent4 4 4 6" xfId="5515" xr:uid="{B54F81D9-4A1C-4724-8AB0-10C9B992792F}"/>
    <cellStyle name="40% - Accent4 4 4 7" xfId="34988" xr:uid="{247F64B5-25C1-480B-9D0B-753AF25AA7E9}"/>
    <cellStyle name="40% - Accent4 4 5" xfId="9368" xr:uid="{F344D0FE-E61F-441F-98EC-21776CF885D6}"/>
    <cellStyle name="40% - Accent4 4 5 2" xfId="9367" xr:uid="{783C0BE9-B898-461A-A4DA-395B8F09058C}"/>
    <cellStyle name="40% - Accent4 4 5 2 2" xfId="9366" xr:uid="{A9C14D3A-8CE3-4F30-BA84-0325AF612318}"/>
    <cellStyle name="40% - Accent4 4 5 2 2 2" xfId="29832" xr:uid="{6B30A807-D907-428F-9622-BF7F8A61E254}"/>
    <cellStyle name="40% - Accent4 4 5 2 2 2 2" xfId="9364" xr:uid="{6F7A57C4-A1D8-4A98-9E4F-3A4A3EBC732B}"/>
    <cellStyle name="40% - Accent4 4 5 2 2 3" xfId="9363" xr:uid="{67A73306-E463-40DD-8F0D-6538EC746452}"/>
    <cellStyle name="40% - Accent4 4 5 2 3" xfId="11009" xr:uid="{72D9CDA5-2531-44E9-92D9-118CBC70B73D}"/>
    <cellStyle name="40% - Accent4 4 5 2 3 2" xfId="11006" xr:uid="{7A134479-F94D-4CE2-8FAD-138A68BA4DBC}"/>
    <cellStyle name="40% - Accent4 4 5 2 4" xfId="10991" xr:uid="{FADE496E-A6DB-4ACA-9765-E596DFDD4152}"/>
    <cellStyle name="40% - Accent4 4 5 3" xfId="11954" xr:uid="{7310E4BB-E24D-4AB0-B10F-E84549A18DCE}"/>
    <cellStyle name="40% - Accent4 4 5 3 2" xfId="11952" xr:uid="{335222C6-140A-41D5-9806-B0AC5C4FAF8F}"/>
    <cellStyle name="40% - Accent4 4 5 3 2 2" xfId="9361" xr:uid="{C1E40BCC-51F4-4067-B632-A97215F7865F}"/>
    <cellStyle name="40% - Accent4 4 5 3 3" xfId="10980" xr:uid="{0094F21A-DE41-4C2A-B27C-D21E0EAF2FC2}"/>
    <cellStyle name="40% - Accent4 4 5 4" xfId="11947" xr:uid="{7E788236-E24D-4B4D-8FDE-333FA8BFEBAB}"/>
    <cellStyle name="40% - Accent4 4 5 4 2" xfId="9360" xr:uid="{D81BB7F9-9BBF-4DDD-91A7-AC8CE79C6B33}"/>
    <cellStyle name="40% - Accent4 4 5 5" xfId="9358" xr:uid="{5F05E664-1BCD-4BAF-AFD6-A7A0D8DF87E2}"/>
    <cellStyle name="40% - Accent4 4 5 6" xfId="35193" xr:uid="{556C3F35-5EAE-4354-A9AD-F61E4B902A6C}"/>
    <cellStyle name="40% - Accent4 4 6" xfId="9356" xr:uid="{018346D1-4E18-4B8A-A864-984D566BE88B}"/>
    <cellStyle name="40% - Accent4 4 6 2" xfId="14030" xr:uid="{F4EB3A47-EF78-4C1D-9BB6-9BFCD3F9DFB4}"/>
    <cellStyle name="40% - Accent4 4 6 2 2" xfId="9355" xr:uid="{BCE5A9B6-278B-49C0-B183-94D41899390D}"/>
    <cellStyle name="40% - Accent4 4 6 2 2 2" xfId="8059" xr:uid="{37C7D4D9-FA97-4B71-AF19-B1A0BFF2923C}"/>
    <cellStyle name="40% - Accent4 4 6 2 3" xfId="10947" xr:uid="{D82DF0EF-007D-489B-A89F-65C4223676B3}"/>
    <cellStyle name="40% - Accent4 4 6 3" xfId="12259" xr:uid="{F528E673-2686-4D8A-A50D-D90AD685CB62}"/>
    <cellStyle name="40% - Accent4 4 6 3 2" xfId="9353" xr:uid="{6CD2850E-94D5-47C0-A1D5-869EAEECC046}"/>
    <cellStyle name="40% - Accent4 4 6 4" xfId="9351" xr:uid="{8749D815-F93C-49E3-80FD-752BF11D4DF7}"/>
    <cellStyle name="40% - Accent4 4 6 5" xfId="35422" xr:uid="{49A35D27-77C0-458A-9DF9-6ED63F9DF04D}"/>
    <cellStyle name="40% - Accent4 4 7" xfId="9349" xr:uid="{F70A270E-5818-4071-9206-DD7B881AADBE}"/>
    <cellStyle name="40% - Accent4 4 7 2" xfId="9347" xr:uid="{A1520608-B88C-4CE4-B42F-9C9831697524}"/>
    <cellStyle name="40% - Accent4 4 7 2 2" xfId="9345" xr:uid="{4C43DED7-F0F4-4D1F-909F-908DA0843584}"/>
    <cellStyle name="40% - Accent4 4 7 3" xfId="9344" xr:uid="{EE7E6814-0E6E-4E16-B50E-DC2C996B695A}"/>
    <cellStyle name="40% - Accent4 4 7 4" xfId="36294" xr:uid="{F2DF4A50-B061-4144-B906-D6595C311711}"/>
    <cellStyle name="40% - Accent4 4 8" xfId="31313" xr:uid="{38D01846-F64C-481B-B9AC-89D7941BD304}"/>
    <cellStyle name="40% - Accent4 4 8 2" xfId="9342" xr:uid="{888AD568-65C0-42E5-9EA1-A7E9209DEC8B}"/>
    <cellStyle name="40% - Accent4 4 8 3" xfId="36580" xr:uid="{59AAF18C-2CBF-4A64-8F20-02EC864D2019}"/>
    <cellStyle name="40% - Accent4 4 9" xfId="28449" xr:uid="{2E210789-AA1F-4673-AB0C-A1AF2E20A5BD}"/>
    <cellStyle name="40% - Accent4 4 9 2" xfId="37465" xr:uid="{0CEBAFE8-8885-4C50-8139-EA98B4F67F63}"/>
    <cellStyle name="40% - Accent4 40" xfId="36100" xr:uid="{C7DB8F9F-0C17-4B96-8049-6D964A7528EF}"/>
    <cellStyle name="40% - Accent4 40 2" xfId="37269" xr:uid="{DBAE02A6-F61B-47DD-B00F-B4917EC52985}"/>
    <cellStyle name="40% - Accent4 40 3" xfId="38167" xr:uid="{2AEF94D8-4254-4F97-9BC1-E96C1BA2CEB5}"/>
    <cellStyle name="40% - Accent4 41" xfId="36120" xr:uid="{C5C0D3F1-91CF-4C84-9579-A168B4E9F8EE}"/>
    <cellStyle name="40% - Accent4 41 2" xfId="37289" xr:uid="{5DD40D47-6D82-4AEC-824C-EBD0DD5ABCE2}"/>
    <cellStyle name="40% - Accent4 41 3" xfId="38187" xr:uid="{7444E46A-E28D-48CC-8D7A-98C87048802F}"/>
    <cellStyle name="40% - Accent4 42" xfId="36140" xr:uid="{18C5ABF9-73D9-44F6-AD04-A4A013EE405E}"/>
    <cellStyle name="40% - Accent4 42 2" xfId="37309" xr:uid="{B590437D-2CDE-4EDD-B7C1-D2BA478F2FC1}"/>
    <cellStyle name="40% - Accent4 42 3" xfId="38207" xr:uid="{BBF1A0E3-601B-4BF4-A503-153963A9E7A3}"/>
    <cellStyle name="40% - Accent4 43" xfId="36160" xr:uid="{3E25F7E9-3733-46B4-8888-E79683C7FA70}"/>
    <cellStyle name="40% - Accent4 43 2" xfId="37329" xr:uid="{08A46A2D-7371-47AC-B882-A9259870B9AD}"/>
    <cellStyle name="40% - Accent4 43 3" xfId="38227" xr:uid="{B1C82331-0ED4-4BC1-8FD3-11C8E601246B}"/>
    <cellStyle name="40% - Accent4 44" xfId="36180" xr:uid="{486CE5D0-2968-46C3-B457-A96B5EE4CA0F}"/>
    <cellStyle name="40% - Accent4 44 2" xfId="37349" xr:uid="{D9E188FA-B5FC-424F-81B4-F66CE95FC23D}"/>
    <cellStyle name="40% - Accent4 44 3" xfId="38247" xr:uid="{73342454-B0C4-4CE5-9F77-7B232CF596A6}"/>
    <cellStyle name="40% - Accent4 45" xfId="36200" xr:uid="{1992727F-124C-41D2-8F80-92496930559F}"/>
    <cellStyle name="40% - Accent4 45 2" xfId="37369" xr:uid="{B2461918-3890-4FA6-BB11-BCE19AF1F313}"/>
    <cellStyle name="40% - Accent4 45 3" xfId="38267" xr:uid="{14F169B4-A19B-4540-8897-C543C9B4D3A7}"/>
    <cellStyle name="40% - Accent4 46" xfId="36220" xr:uid="{63E285B7-EB54-40BF-B4EE-A4CE31912C27}"/>
    <cellStyle name="40% - Accent4 46 2" xfId="37387" xr:uid="{267F8052-4157-4CF8-BDF0-6A5B6F78A7E4}"/>
    <cellStyle name="40% - Accent4 46 3" xfId="38287" xr:uid="{F9066896-4487-48B5-A73E-B53CF2B03AEA}"/>
    <cellStyle name="40% - Accent4 47" xfId="36521" xr:uid="{8734F0D5-2433-4A3D-AA97-B87C06E8E20A}"/>
    <cellStyle name="40% - Accent4 48" xfId="37406" xr:uid="{149BFC8C-F4DD-4AFE-96B2-561464478BB9}"/>
    <cellStyle name="40% - Accent4 5" xfId="269" xr:uid="{6E667925-51B0-435E-B64A-9075457B5C0D}"/>
    <cellStyle name="40% - Accent4 5 10" xfId="15190" xr:uid="{3E2DD50B-E9E2-445D-906E-5EE812AA3469}"/>
    <cellStyle name="40% - Accent4 5 2" xfId="9341" xr:uid="{007D57A6-6266-41E9-B8E7-AA3CC92BE5BF}"/>
    <cellStyle name="40% - Accent4 5 2 2" xfId="9339" xr:uid="{74E97AB4-0920-4A22-B3D7-362F1D244F4D}"/>
    <cellStyle name="40% - Accent4 5 2 2 2" xfId="17936" xr:uid="{7D570216-1A52-4454-A953-4B3200D3018D}"/>
    <cellStyle name="40% - Accent4 5 2 2 2 2" xfId="24554" xr:uid="{534BE5D6-6C79-4EB6-9F93-C16CC04F6380}"/>
    <cellStyle name="40% - Accent4 5 2 2 2 2 2" xfId="9336" xr:uid="{1C7B1A07-C14E-45CB-AD5C-A811DAC32C5E}"/>
    <cellStyle name="40% - Accent4 5 2 2 2 2 2 2" xfId="9334" xr:uid="{93E2A459-B7E0-43D3-AFCE-D63823F2EC74}"/>
    <cellStyle name="40% - Accent4 5 2 2 2 2 2 2 2" xfId="9333" xr:uid="{5A4140CB-8DC2-4C45-861F-D87CC9654920}"/>
    <cellStyle name="40% - Accent4 5 2 2 2 2 2 3" xfId="9332" xr:uid="{446D0E61-4655-4662-B38E-B44A353969B4}"/>
    <cellStyle name="40% - Accent4 5 2 2 2 2 3" xfId="32660" xr:uid="{72476636-098F-40F4-A46F-E39089806DFB}"/>
    <cellStyle name="40% - Accent4 5 2 2 2 2 3 2" xfId="9331" xr:uid="{0D0DCB09-5ABD-4BDD-97B3-EA83518A2B12}"/>
    <cellStyle name="40% - Accent4 5 2 2 2 2 4" xfId="12127" xr:uid="{14D4683B-793F-41F3-816E-95C0DA04DF8D}"/>
    <cellStyle name="40% - Accent4 5 2 2 2 3" xfId="9329" xr:uid="{FEC10470-C031-48EA-A9B5-847077B26FE1}"/>
    <cellStyle name="40% - Accent4 5 2 2 2 3 2" xfId="9326" xr:uid="{9D6B1558-9D18-4E46-8023-92D766E99E51}"/>
    <cellStyle name="40% - Accent4 5 2 2 2 3 2 2" xfId="20292" xr:uid="{A06DFE9D-2897-4A2C-B61B-B994CE563021}"/>
    <cellStyle name="40% - Accent4 5 2 2 2 3 3" xfId="9324" xr:uid="{162FA302-F724-4D58-9604-CDC515FB4067}"/>
    <cellStyle name="40% - Accent4 5 2 2 2 4" xfId="9321" xr:uid="{F9ADC390-2052-4995-8826-6149FFEDCEF4}"/>
    <cellStyle name="40% - Accent4 5 2 2 2 4 2" xfId="9318" xr:uid="{12E837C3-2A35-4723-9203-E836A11A66C6}"/>
    <cellStyle name="40% - Accent4 5 2 2 2 5" xfId="9316" xr:uid="{28AC1C4B-72F1-47FB-82A8-83C0CDF5C874}"/>
    <cellStyle name="40% - Accent4 5 2 2 3" xfId="24548" xr:uid="{9A27FD19-15B9-4611-8050-56CAA197C780}"/>
    <cellStyle name="40% - Accent4 5 2 2 3 2" xfId="10879" xr:uid="{CD9EC7CC-A373-4B65-BB3F-452512105CD0}"/>
    <cellStyle name="40% - Accent4 5 2 2 3 2 2" xfId="9313" xr:uid="{17AC8CE0-7D6C-4D94-92D9-B468C584A7CD}"/>
    <cellStyle name="40% - Accent4 5 2 2 3 2 2 2" xfId="9309" xr:uid="{2CB8FD4E-3182-406B-9652-1CE65B648017}"/>
    <cellStyle name="40% - Accent4 5 2 2 3 2 3" xfId="9308" xr:uid="{D0BBC6EE-176C-4C4E-8CC1-F7CAD70A8689}"/>
    <cellStyle name="40% - Accent4 5 2 2 3 3" xfId="10868" xr:uid="{018DD45B-4742-4CED-BD6C-A1A0A4BEB439}"/>
    <cellStyle name="40% - Accent4 5 2 2 3 3 2" xfId="9303" xr:uid="{781C22E8-51A2-4E29-8DC8-515D55E99E2F}"/>
    <cellStyle name="40% - Accent4 5 2 2 3 4" xfId="10863" xr:uid="{FBB9CAA0-C6C4-4C10-9F1D-FED21227758A}"/>
    <cellStyle name="40% - Accent4 5 2 2 4" xfId="22196" xr:uid="{7DF87363-57B5-4424-81A3-88FCF497E6A4}"/>
    <cellStyle name="40% - Accent4 5 2 2 4 2" xfId="10854" xr:uid="{A39FA028-9943-4F38-8EB9-F098D3AA8871}"/>
    <cellStyle name="40% - Accent4 5 2 2 4 2 2" xfId="9301" xr:uid="{C72BD01F-DBD3-4B21-92CC-57C3E8083597}"/>
    <cellStyle name="40% - Accent4 5 2 2 4 3" xfId="10846" xr:uid="{DF7AA1F6-C542-41B7-8955-69351DE7C0F8}"/>
    <cellStyle name="40% - Accent4 5 2 2 5" xfId="13224" xr:uid="{46FC97E5-168D-4EA7-A7C1-D53447BF9E5D}"/>
    <cellStyle name="40% - Accent4 5 2 2 5 2" xfId="10838" xr:uid="{AFFB7F73-A9E8-4CEC-805A-9586EA4AAD80}"/>
    <cellStyle name="40% - Accent4 5 2 2 6" xfId="10831" xr:uid="{BB8B86C3-B572-44CD-85DA-19F2F988A886}"/>
    <cellStyle name="40% - Accent4 5 2 3" xfId="31702" xr:uid="{E1242A00-DA88-4F1B-8E85-E51D8F9690EC}"/>
    <cellStyle name="40% - Accent4 5 2 3 2" xfId="24433" xr:uid="{48F7C210-189B-40C9-B950-29088F9C25AD}"/>
    <cellStyle name="40% - Accent4 5 2 3 2 2" xfId="9299" xr:uid="{DCC8207A-1AD9-4161-B040-30743EB87FB8}"/>
    <cellStyle name="40% - Accent4 5 2 3 2 2 2" xfId="9295" xr:uid="{AE5AF200-2921-4A24-8822-394DA1CD889D}"/>
    <cellStyle name="40% - Accent4 5 2 3 2 2 2 2" xfId="9293" xr:uid="{ED346683-3D51-40DB-90A7-313A259E4AE4}"/>
    <cellStyle name="40% - Accent4 5 2 3 2 2 3" xfId="9292" xr:uid="{F8CCB709-B893-4743-9A16-294EC206D3D1}"/>
    <cellStyle name="40% - Accent4 5 2 3 2 3" xfId="9290" xr:uid="{59AFDAB9-097C-4352-BE79-06A848B719FC}"/>
    <cellStyle name="40% - Accent4 5 2 3 2 3 2" xfId="9288" xr:uid="{46833BE1-0F34-49E8-A378-07AA481C5988}"/>
    <cellStyle name="40% - Accent4 5 2 3 2 4" xfId="9284" xr:uid="{F031D20D-CDF0-4E55-A6BB-88A263B3FF60}"/>
    <cellStyle name="40% - Accent4 5 2 3 3" xfId="25742" xr:uid="{B3D80465-4268-4A3F-9FEF-A01242B41DAC}"/>
    <cellStyle name="40% - Accent4 5 2 3 3 2" xfId="10820" xr:uid="{704FC063-3DE9-4766-A021-00E7227BF2BA}"/>
    <cellStyle name="40% - Accent4 5 2 3 3 2 2" xfId="9281" xr:uid="{CB414650-3696-4553-B46D-02750FE0E469}"/>
    <cellStyle name="40% - Accent4 5 2 3 3 3" xfId="10814" xr:uid="{C90F2492-6A96-48D3-9001-F7A32FF67960}"/>
    <cellStyle name="40% - Accent4 5 2 3 4" xfId="32885" xr:uid="{CF56194E-48E2-4279-A48E-389ED78D3A70}"/>
    <cellStyle name="40% - Accent4 5 2 3 4 2" xfId="16509" xr:uid="{7AED3754-6A9E-48D7-9C1E-7DE7AABA3BB1}"/>
    <cellStyle name="40% - Accent4 5 2 3 5" xfId="10806" xr:uid="{C9E3E09A-96CF-4D16-A337-CA71ABAA8EBC}"/>
    <cellStyle name="40% - Accent4 5 2 4" xfId="31676" xr:uid="{84DF3FF6-D3C5-44DF-B1B8-C7B599A5AA8C}"/>
    <cellStyle name="40% - Accent4 5 2 4 2" xfId="31664" xr:uid="{BADD112A-F463-4151-AAAC-059AE6FCC65C}"/>
    <cellStyle name="40% - Accent4 5 2 4 2 2" xfId="13646" xr:uid="{6821E6BB-19F5-4C67-BC86-15F17173CB50}"/>
    <cellStyle name="40% - Accent4 5 2 4 2 2 2" xfId="9278" xr:uid="{BA14F190-7D97-4476-80E3-F498DBCA61AD}"/>
    <cellStyle name="40% - Accent4 5 2 4 2 3" xfId="13642" xr:uid="{0948C6DE-25A5-4437-9A19-1D21DB6445D1}"/>
    <cellStyle name="40% - Accent4 5 2 4 3" xfId="10800" xr:uid="{995B1DAE-A818-4556-A113-0C1711547440}"/>
    <cellStyle name="40% - Accent4 5 2 4 3 2" xfId="13634" xr:uid="{2A04CFD6-D012-4AFE-AD94-D784F4F7DEB2}"/>
    <cellStyle name="40% - Accent4 5 2 4 4" xfId="10790" xr:uid="{72ED34D3-CB83-439B-A84D-19D770B4FB5C}"/>
    <cellStyle name="40% - Accent4 5 2 5" xfId="22258" xr:uid="{9C7EAEEE-8F3A-47C0-89A1-2D75A0E204AA}"/>
    <cellStyle name="40% - Accent4 5 2 5 2" xfId="9274" xr:uid="{815008BC-2576-43DD-B7CD-E665004D26D6}"/>
    <cellStyle name="40% - Accent4 5 2 5 2 2" xfId="13608" xr:uid="{094F0E26-AA17-4FD8-B3DD-153B7275D95F}"/>
    <cellStyle name="40% - Accent4 5 2 5 3" xfId="22880" xr:uid="{0269172F-0602-44AC-A782-DA74CEBA0390}"/>
    <cellStyle name="40% - Accent4 5 2 6" xfId="22790" xr:uid="{B78C83CE-3359-4BFC-AFBB-65CE2DF1402C}"/>
    <cellStyle name="40% - Accent4 5 2 6 2" xfId="9272" xr:uid="{267D1FF1-6F37-4584-8EA9-45948DABE2BF}"/>
    <cellStyle name="40% - Accent4 5 2 7" xfId="27381" xr:uid="{6FB38051-80FB-400B-B9D1-3C3A4AFE93B8}"/>
    <cellStyle name="40% - Accent4 5 2 8" xfId="34805" xr:uid="{0093B4C0-4EFB-426E-B6C7-9A0AFAFD10EB}"/>
    <cellStyle name="40% - Accent4 5 3" xfId="11861" xr:uid="{1690C1B7-5EC7-4945-AF71-5DE199F89923}"/>
    <cellStyle name="40% - Accent4 5 3 2" xfId="9270" xr:uid="{C1EE68C4-DADD-414C-BBB0-33CF32D4F4C6}"/>
    <cellStyle name="40% - Accent4 5 3 2 2" xfId="24090" xr:uid="{89A32AE3-062A-41F6-AC0A-E2E6BDB1F899}"/>
    <cellStyle name="40% - Accent4 5 3 2 2 2" xfId="9268" xr:uid="{243C4543-7D63-4F75-9F7D-CD7A247EFD99}"/>
    <cellStyle name="40% - Accent4 5 3 2 2 2 2" xfId="34259" xr:uid="{BCAAE065-A5FB-4C30-8902-949C9064D95C}"/>
    <cellStyle name="40% - Accent4 5 3 2 2 2 2 2" xfId="9264" xr:uid="{B4FBDD9E-FE09-41B2-8D78-F130A102C0F2}"/>
    <cellStyle name="40% - Accent4 5 3 2 2 2 3" xfId="9263" xr:uid="{AA0C5220-EDE9-48A2-8080-6893A3796A0B}"/>
    <cellStyle name="40% - Accent4 5 3 2 2 3" xfId="9260" xr:uid="{540C5830-1B67-460F-BAAA-1ABD3FAF92F2}"/>
    <cellStyle name="40% - Accent4 5 3 2 2 3 2" xfId="9256" xr:uid="{39C54F7A-FA23-4296-9323-45407F1C5871}"/>
    <cellStyle name="40% - Accent4 5 3 2 2 4" xfId="9253" xr:uid="{B99F317A-C16A-4593-AF40-7DCDC94A004C}"/>
    <cellStyle name="40% - Accent4 5 3 2 3" xfId="10741" xr:uid="{1DD267D6-4B80-4953-88EF-188B57002619}"/>
    <cellStyle name="40% - Accent4 5 3 2 3 2" xfId="10738" xr:uid="{2168B65F-C79B-4ACE-9034-15C4856879E9}"/>
    <cellStyle name="40% - Accent4 5 3 2 3 2 2" xfId="9249" xr:uid="{3B424E42-3FEB-4F32-9CF6-F3FB5B5B7BF9}"/>
    <cellStyle name="40% - Accent4 5 3 2 3 3" xfId="10732" xr:uid="{C3B10934-A176-4FA9-8BC5-2199A1D99247}"/>
    <cellStyle name="40% - Accent4 5 3 2 4" xfId="10725" xr:uid="{E533A0B5-86B8-4238-88C8-AB85BB750737}"/>
    <cellStyle name="40% - Accent4 5 3 2 4 2" xfId="10722" xr:uid="{DA4033DB-FB31-4638-B53F-161692F0DF33}"/>
    <cellStyle name="40% - Accent4 5 3 2 5" xfId="10711" xr:uid="{EB68861E-C8C1-4A57-9D3E-6A158DEB1AA7}"/>
    <cellStyle name="40% - Accent4 5 3 3" xfId="31644" xr:uid="{BCB56A32-013E-4E16-BE42-2607F9B6AB81}"/>
    <cellStyle name="40% - Accent4 5 3 3 2" xfId="31145" xr:uid="{A123D77D-A41C-4468-85BD-C88A4FA1E0BE}"/>
    <cellStyle name="40% - Accent4 5 3 3 2 2" xfId="9246" xr:uid="{BD65E330-77BD-4799-B0C2-EDAF12E200AC}"/>
    <cellStyle name="40% - Accent4 5 3 3 2 2 2" xfId="9243" xr:uid="{0B350F8E-3970-41A7-AFBF-11D160689B5F}"/>
    <cellStyle name="40% - Accent4 5 3 3 2 3" xfId="9241" xr:uid="{0400DEEE-8670-4DDE-81B1-B98966001481}"/>
    <cellStyle name="40% - Accent4 5 3 3 3" xfId="14574" xr:uid="{7C2E3063-0233-4701-8E67-052AC209F443}"/>
    <cellStyle name="40% - Accent4 5 3 3 3 2" xfId="10702" xr:uid="{F83B2AD0-20DF-4F7E-8737-A999AD64E6A9}"/>
    <cellStyle name="40% - Accent4 5 3 3 4" xfId="10693" xr:uid="{C9BBC8AB-9232-48CA-A92C-CA9E5DF6C655}"/>
    <cellStyle name="40% - Accent4 5 3 4" xfId="30798" xr:uid="{C624CCC2-61AD-477B-80D6-B49C24264D4A}"/>
    <cellStyle name="40% - Accent4 5 3 4 2" xfId="14567" xr:uid="{AB4B8063-8D45-45E1-A51C-86E43236102B}"/>
    <cellStyle name="40% - Accent4 5 3 4 2 2" xfId="13569" xr:uid="{BB8B2DE9-9A01-4ACB-ACC9-51FB17894946}"/>
    <cellStyle name="40% - Accent4 5 3 4 3" xfId="10687" xr:uid="{6E24FC35-1FA1-4C20-BB36-B531B9AA157C}"/>
    <cellStyle name="40% - Accent4 5 3 5" xfId="9238" xr:uid="{E6E70921-FD83-4726-B3BD-72FC94989891}"/>
    <cellStyle name="40% - Accent4 5 3 5 2" xfId="9235" xr:uid="{2DA12F7B-697F-4E8F-921D-CC59D767623C}"/>
    <cellStyle name="40% - Accent4 5 3 6" xfId="9233" xr:uid="{ECD0BD2D-9F3C-4274-85D1-729433A30AFA}"/>
    <cellStyle name="40% - Accent4 5 3 7" xfId="35007" xr:uid="{0285AE02-A300-48A7-AE4A-E2FDEC4B44CE}"/>
    <cellStyle name="40% - Accent4 5 4" xfId="9230" xr:uid="{5CEACC1C-F009-4D12-BE8B-59F6419761DB}"/>
    <cellStyle name="40% - Accent4 5 4 2" xfId="10773" xr:uid="{D469FE2B-5029-484A-8AE8-3ED69B7A5A08}"/>
    <cellStyle name="40% - Accent4 5 4 2 2" xfId="20024" xr:uid="{E2A56068-C490-4B9A-86B5-74A7CB5B7492}"/>
    <cellStyle name="40% - Accent4 5 4 2 2 2" xfId="29886" xr:uid="{60F5514D-622E-4263-A146-51FC6EEF4C90}"/>
    <cellStyle name="40% - Accent4 5 4 2 2 2 2" xfId="9227" xr:uid="{9E0DEFCB-0DE0-48E4-BE69-A1512F6B0F40}"/>
    <cellStyle name="40% - Accent4 5 4 2 2 3" xfId="9224" xr:uid="{20913EC8-B207-4616-B48F-8E9C06240BD3}"/>
    <cellStyle name="40% - Accent4 5 4 2 3" xfId="10658" xr:uid="{68FAFB67-ABD6-41C1-8A56-47FBA3E18BDE}"/>
    <cellStyle name="40% - Accent4 5 4 2 3 2" xfId="10653" xr:uid="{D4237569-7D84-40AA-AC7A-E3C66B2EA9EA}"/>
    <cellStyle name="40% - Accent4 5 4 2 4" xfId="10639" xr:uid="{C6CEAEB5-47D9-414C-81E3-4A774BB340E5}"/>
    <cellStyle name="40% - Accent4 5 4 3" xfId="31624" xr:uid="{BF0B4F7A-6F3C-4635-8930-D82BF7D3CC2C}"/>
    <cellStyle name="40% - Accent4 5 4 3 2" xfId="14560" xr:uid="{06624CE0-BC97-40C1-931F-61120A3524AB}"/>
    <cellStyle name="40% - Accent4 5 4 3 2 2" xfId="9216" xr:uid="{BD0CF2E5-EEE4-49B0-AB19-929E3143F702}"/>
    <cellStyle name="40% - Accent4 5 4 3 3" xfId="10626" xr:uid="{A1C16615-BDEE-47E3-920E-7E9817DCD245}"/>
    <cellStyle name="40% - Accent4 5 4 4" xfId="18209" xr:uid="{FEDCD5AA-B476-4AAE-9E8B-C3BC7D05DDBA}"/>
    <cellStyle name="40% - Accent4 5 4 4 2" xfId="9213" xr:uid="{2DE8DAE4-3571-442C-B59F-B06C20A01A5B}"/>
    <cellStyle name="40% - Accent4 5 4 5" xfId="27714" xr:uid="{1C7208D8-4B4F-4A7A-AC78-D7521AE1BEF9}"/>
    <cellStyle name="40% - Accent4 5 4 6" xfId="35213" xr:uid="{1C6CE774-B9D6-4FC5-945B-BA8C293E1C83}"/>
    <cellStyle name="40% - Accent4 5 5" xfId="18979" xr:uid="{BCFE9801-2E6D-4971-B256-D44B94989B28}"/>
    <cellStyle name="40% - Accent4 5 5 2" xfId="9209" xr:uid="{7E2DEC79-9C34-4C21-80A0-59E6655D758C}"/>
    <cellStyle name="40% - Accent4 5 5 2 2" xfId="9208" xr:uid="{D20F7741-A47A-4C7F-91FD-BE4E91BA2D38}"/>
    <cellStyle name="40% - Accent4 5 5 2 2 2" xfId="31557" xr:uid="{AD9C1EB9-2507-4456-8E61-636030FAD830}"/>
    <cellStyle name="40% - Accent4 5 5 2 3" xfId="10596" xr:uid="{9456DC50-1AC8-40A6-BF63-C4EB4BE33550}"/>
    <cellStyle name="40% - Accent4 5 5 3" xfId="11941" xr:uid="{D3BADA52-F390-43C4-B8B4-1584FEDEFBA3}"/>
    <cellStyle name="40% - Accent4 5 5 3 2" xfId="12813" xr:uid="{08D494AC-D3E8-4B84-BBEC-5FA15761E09E}"/>
    <cellStyle name="40% - Accent4 5 5 4" xfId="18205" xr:uid="{15441A93-7D95-4D28-A85C-CB165721F9E0}"/>
    <cellStyle name="40% - Accent4 5 5 5" xfId="35442" xr:uid="{6888191E-16A0-42B5-BBEC-050355376FF2}"/>
    <cellStyle name="40% - Accent4 5 6" xfId="9204" xr:uid="{F105A0EB-9A67-42AA-8208-8B932251C66F}"/>
    <cellStyle name="40% - Accent4 5 6 2" xfId="9203" xr:uid="{90850115-A0A8-4018-9FC2-4BA2BCF0B8C6}"/>
    <cellStyle name="40% - Accent4 5 6 2 2" xfId="9199" xr:uid="{34F6D9C3-08EC-4698-959B-89207BD9079B}"/>
    <cellStyle name="40% - Accent4 5 6 3" xfId="9195" xr:uid="{190B5115-EC94-415D-8496-AF71BA551387}"/>
    <cellStyle name="40% - Accent4 5 6 4" xfId="36314" xr:uid="{E03E1332-CA88-4CDE-B485-36A84BBA6F86}"/>
    <cellStyle name="40% - Accent4 5 7" xfId="9191" xr:uid="{81C889E6-F9A9-49FD-87BF-4A276516D357}"/>
    <cellStyle name="40% - Accent4 5 7 2" xfId="9190" xr:uid="{CA5B1ADF-F251-490A-9E03-08A9C19A79F0}"/>
    <cellStyle name="40% - Accent4 5 7 3" xfId="36600" xr:uid="{5B26713A-1333-408C-BFAC-1462CADDE415}"/>
    <cellStyle name="40% - Accent4 5 8" xfId="9187" xr:uid="{FCE55EEF-B400-4F65-843C-AC88190196A4}"/>
    <cellStyle name="40% - Accent4 5 8 2" xfId="37485" xr:uid="{8850C865-D103-446D-A125-ACFCD504F574}"/>
    <cellStyle name="40% - Accent4 5 9" xfId="34583" xr:uid="{E179AD68-EB41-452F-B620-8CFCB67DBB21}"/>
    <cellStyle name="40% - Accent4 6" xfId="289" xr:uid="{8946F46B-D987-4664-97B9-370BE4679FB2}"/>
    <cellStyle name="40% - Accent4 6 2" xfId="9186" xr:uid="{BDD72B43-BE98-4869-BDA7-F10F3824C994}"/>
    <cellStyle name="40% - Accent4 6 2 2" xfId="9183" xr:uid="{489185DE-1727-4141-ADD5-B74D7217857C}"/>
    <cellStyle name="40% - Accent4 6 2 2 2" xfId="13666" xr:uid="{2B6EAFF4-EE1A-4EEC-AF03-8653678F438E}"/>
    <cellStyle name="40% - Accent4 6 2 2 2 2" xfId="9178" xr:uid="{121350E8-93C3-4DDA-BC56-DCAB2AE81B1A}"/>
    <cellStyle name="40% - Accent4 6 2 2 2 2 2" xfId="9171" xr:uid="{B5B3FCFA-47DE-461F-AF03-5F561DB06E21}"/>
    <cellStyle name="40% - Accent4 6 2 2 2 2 2 2" xfId="13648" xr:uid="{671F1EE6-606A-4B96-8733-D32C094CF513}"/>
    <cellStyle name="40% - Accent4 6 2 2 2 2 3" xfId="9169" xr:uid="{B8706032-02CF-4878-A8FB-74C1A47557C3}"/>
    <cellStyle name="40% - Accent4 6 2 2 2 3" xfId="9165" xr:uid="{52150F87-9A2D-4757-8E5D-A8582B5A4AEC}"/>
    <cellStyle name="40% - Accent4 6 2 2 2 3 2" xfId="9162" xr:uid="{A89FCF05-A4DB-42F4-993C-8F43E9D738B9}"/>
    <cellStyle name="40% - Accent4 6 2 2 2 4" xfId="9159" xr:uid="{18339E9B-AC65-4BD9-A764-87208AF09DF0}"/>
    <cellStyle name="40% - Accent4 6 2 2 3" xfId="10548" xr:uid="{79976BB6-58AE-45AA-8930-2CE24695679D}"/>
    <cellStyle name="40% - Accent4 6 2 2 3 2" xfId="12613" xr:uid="{5D18DCB7-2295-4F82-B5FA-3F8ACCCCD447}"/>
    <cellStyle name="40% - Accent4 6 2 2 3 2 2" xfId="9155" xr:uid="{73515B98-7C0F-418E-A731-E3A1223E565A}"/>
    <cellStyle name="40% - Accent4 6 2 2 3 3" xfId="12604" xr:uid="{AED37903-17F3-48E1-B95C-24F1BF4B4B4B}"/>
    <cellStyle name="40% - Accent4 6 2 2 4" xfId="10538" xr:uid="{3CF408A4-E69A-43EF-BA11-68F531419755}"/>
    <cellStyle name="40% - Accent4 6 2 2 4 2" xfId="12587" xr:uid="{E28C600D-B2D8-42A5-8B11-886B3C265754}"/>
    <cellStyle name="40% - Accent4 6 2 2 5" xfId="10526" xr:uid="{CD617C87-DACA-4646-BB55-07C12735CE71}"/>
    <cellStyle name="40% - Accent4 6 2 3" xfId="5633" xr:uid="{D050EB0F-DC53-4C56-A8F1-3EFE0980985F}"/>
    <cellStyle name="40% - Accent4 6 2 3 2" xfId="13514" xr:uid="{8F79D187-EF5B-48D7-9E3C-954EAD52802D}"/>
    <cellStyle name="40% - Accent4 6 2 3 2 2" xfId="9153" xr:uid="{D62E2C23-DCF4-47D7-801E-DA09DD22A9C1}"/>
    <cellStyle name="40% - Accent4 6 2 3 2 2 2" xfId="9150" xr:uid="{B0AC2E05-31E6-4630-B378-C782563BFC89}"/>
    <cellStyle name="40% - Accent4 6 2 3 2 3" xfId="9146" xr:uid="{70F1E78F-9E7A-436B-87C7-D1DF6EAFC2CB}"/>
    <cellStyle name="40% - Accent4 6 2 3 3" xfId="10513" xr:uid="{F7E2E5A4-6C0C-465D-A168-62305603392F}"/>
    <cellStyle name="40% - Accent4 6 2 3 3 2" xfId="12566" xr:uid="{483E0CF2-9B9B-4E6B-BAA7-C8D3B9C53CBB}"/>
    <cellStyle name="40% - Accent4 6 2 3 4" xfId="10507" xr:uid="{B97A2323-6B03-4CB2-9209-F5972DDDB3D2}"/>
    <cellStyle name="40% - Accent4 6 2 4" xfId="25486" xr:uid="{7D609B52-88C5-41CE-931B-A2D8166E8092}"/>
    <cellStyle name="40% - Accent4 6 2 4 2" xfId="9142" xr:uid="{BECFE137-AAAD-42AA-979B-787F9BD9929F}"/>
    <cellStyle name="40% - Accent4 6 2 4 2 2" xfId="13433" xr:uid="{79831000-793D-431C-BE95-09D43557F556}"/>
    <cellStyle name="40% - Accent4 6 2 4 3" xfId="10498" xr:uid="{490C8918-CEF5-447B-BE52-8C6F6D4C869F}"/>
    <cellStyle name="40% - Accent4 6 2 5" xfId="22546" xr:uid="{3B6BDEF1-6530-4956-B01D-D460DD6A4188}"/>
    <cellStyle name="40% - Accent4 6 2 5 2" xfId="9138" xr:uid="{3A5E7C46-D291-42D4-9CEF-BD8F9DEF6290}"/>
    <cellStyle name="40% - Accent4 6 2 6" xfId="18749" xr:uid="{26BE098F-08BF-4B54-AF81-3B2A57DF5638}"/>
    <cellStyle name="40% - Accent4 6 2 7" xfId="34824" xr:uid="{222A2EC0-75AD-4B6C-9B53-4531DF6D6D09}"/>
    <cellStyle name="40% - Accent4 6 3" xfId="13369" xr:uid="{4F6CB816-4CA5-4B52-8CFC-14B66E41AB02}"/>
    <cellStyle name="40% - Accent4 6 3 2" xfId="9133" xr:uid="{CC683364-0ABB-43EC-AA58-8AA513747D73}"/>
    <cellStyle name="40% - Accent4 6 3 2 2" xfId="9128" xr:uid="{4821973E-1772-4DDD-A0D9-F37B348E7168}"/>
    <cellStyle name="40% - Accent4 6 3 2 2 2" xfId="9123" xr:uid="{837DAB73-EA84-45E4-8BD3-2E5D446419ED}"/>
    <cellStyle name="40% - Accent4 6 3 2 2 2 2" xfId="9119" xr:uid="{E57C7BCA-D720-4768-B02C-B92A07483550}"/>
    <cellStyle name="40% - Accent4 6 3 2 2 3" xfId="9117" xr:uid="{9CF8B5DE-C35E-4AB6-B769-1F7CA7F25A6B}"/>
    <cellStyle name="40% - Accent4 6 3 2 3" xfId="10464" xr:uid="{DB04DB2B-5570-48D8-92B0-E255879559B3}"/>
    <cellStyle name="40% - Accent4 6 3 2 3 2" xfId="12499" xr:uid="{D065C345-0036-4741-B4E1-C37B0B8BF1BE}"/>
    <cellStyle name="40% - Accent4 6 3 2 4" xfId="10455" xr:uid="{01177782-A154-4503-961B-2E95CF1A0AB5}"/>
    <cellStyle name="40% - Accent4 6 3 3" xfId="13292" xr:uid="{AAF1D833-D29D-4C3F-B2D5-4C64FEB4B439}"/>
    <cellStyle name="40% - Accent4 6 3 3 2" xfId="13287" xr:uid="{C08D58F2-41AF-4B7F-BA1F-5EAB105AD482}"/>
    <cellStyle name="40% - Accent4 6 3 3 2 2" xfId="33810" xr:uid="{281C346E-D353-4023-B986-852033030671}"/>
    <cellStyle name="40% - Accent4 6 3 3 3" xfId="10441" xr:uid="{50DD6161-C1A2-45C4-A836-A156C752A796}"/>
    <cellStyle name="40% - Accent4 6 3 4" xfId="24504" xr:uid="{F9F60D96-8323-48A2-B8D8-9B71EE122E1F}"/>
    <cellStyle name="40% - Accent4 6 3 4 2" xfId="9113" xr:uid="{0CAEA119-217D-42C7-A6D2-76034881BE0D}"/>
    <cellStyle name="40% - Accent4 6 3 5" xfId="13627" xr:uid="{8DFFCFA9-3A18-42A5-B996-4480243EEB6F}"/>
    <cellStyle name="40% - Accent4 6 3 6" xfId="35026" xr:uid="{C7FE79D2-1DC9-4B96-9700-82B2CB305470}"/>
    <cellStyle name="40% - Accent4 6 4" xfId="13219" xr:uid="{6F078050-4FE9-4EB4-A878-DF80C256000D}"/>
    <cellStyle name="40% - Accent4 6 4 2" xfId="9109" xr:uid="{F7392B1C-1CC0-424F-9D63-4BFC8683A2D3}"/>
    <cellStyle name="40% - Accent4 6 4 2 2" xfId="9106" xr:uid="{B1D2BAA5-7953-475F-9802-9066950960C5}"/>
    <cellStyle name="40% - Accent4 6 4 2 2 2" xfId="9101" xr:uid="{8B048883-990C-4E0C-88ED-11810C4A3A2F}"/>
    <cellStyle name="40% - Accent4 6 4 2 3" xfId="13196" xr:uid="{B030CB51-C3AC-4D05-BB21-A34DE0C88C25}"/>
    <cellStyle name="40% - Accent4 6 4 3" xfId="19582" xr:uid="{D5F2674A-3111-4EEC-9C7C-E9A0DB1A1FBA}"/>
    <cellStyle name="40% - Accent4 6 4 3 2" xfId="9098" xr:uid="{94107254-0C8B-4563-BA0B-53F417CCFFB1}"/>
    <cellStyle name="40% - Accent4 6 4 4" xfId="13166" xr:uid="{5CB4D8AB-5722-4B23-97D7-7C512763E667}"/>
    <cellStyle name="40% - Accent4 6 4 5" xfId="35232" xr:uid="{F72CFBDD-E29E-4A99-894E-64482DD1A06C}"/>
    <cellStyle name="40% - Accent4 6 5" xfId="19100" xr:uid="{82FD994D-B1F4-4638-8289-44266583C5F5}"/>
    <cellStyle name="40% - Accent4 6 5 2" xfId="9093" xr:uid="{797A1A0E-B4DA-4C41-A8EF-3CCC287E3BB4}"/>
    <cellStyle name="40% - Accent4 6 5 2 2" xfId="9088" xr:uid="{D506340C-B2F8-4C2A-B6AE-BE3EE6891369}"/>
    <cellStyle name="40% - Accent4 6 5 3" xfId="13145" xr:uid="{AC36D0B9-883C-4DC9-920B-9DC0473D2792}"/>
    <cellStyle name="40% - Accent4 6 5 4" xfId="35461" xr:uid="{F9E58CF3-B209-443D-927D-AEAC0E2CE88F}"/>
    <cellStyle name="40% - Accent4 6 6" xfId="9085" xr:uid="{BF00986C-D5EB-40C6-B34A-07B5E32B2E74}"/>
    <cellStyle name="40% - Accent4 6 6 2" xfId="13125" xr:uid="{625645C8-88B0-4000-9BEA-212D540FBD25}"/>
    <cellStyle name="40% - Accent4 6 6 3" xfId="36333" xr:uid="{F2D16C5A-5C71-4F30-9961-35557674631B}"/>
    <cellStyle name="40% - Accent4 6 7" xfId="9081" xr:uid="{0D4E1052-4502-417A-AA96-DA3811E94C25}"/>
    <cellStyle name="40% - Accent4 6 7 2" xfId="36619" xr:uid="{8A6F6351-A7C3-426D-B4F8-AB56C395E857}"/>
    <cellStyle name="40% - Accent4 6 8" xfId="34597" xr:uid="{54364069-6957-4C96-9F3F-28C5D895FF7D}"/>
    <cellStyle name="40% - Accent4 6 9" xfId="13668" xr:uid="{6B23498A-CB81-4811-9BAF-2C367EA52CC7}"/>
    <cellStyle name="40% - Accent4 7" xfId="309" xr:uid="{AF362F2F-6DD9-4118-9339-A704F593BD8B}"/>
    <cellStyle name="40% - Accent4 7 2" xfId="9074" xr:uid="{D94EDF13-C9F5-42C9-B0F3-438053DE4AA8}"/>
    <cellStyle name="40% - Accent4 7 2 2" xfId="9071" xr:uid="{E59E030B-C76C-4196-B203-255D95303E9E}"/>
    <cellStyle name="40% - Accent4 7 2 2 2" xfId="17631" xr:uid="{C04C66F5-82ED-4B45-BC96-49D666DB0A63}"/>
    <cellStyle name="40% - Accent4 7 2 2 2 2" xfId="28055" xr:uid="{6F2A74E1-4259-48CD-A1D8-E531315092A1}"/>
    <cellStyle name="40% - Accent4 7 2 2 2 2 2" xfId="33047" xr:uid="{326FE0FD-A8D8-4536-AA28-8AD6D9E83D10}"/>
    <cellStyle name="40% - Accent4 7 2 2 2 3" xfId="31848" xr:uid="{C6DCBDF4-D373-483A-B7A4-A472A90F4324}"/>
    <cellStyle name="40% - Accent4 7 2 2 3" xfId="13084" xr:uid="{75ED1471-0DA3-446C-93D3-5DC070DFFEBA}"/>
    <cellStyle name="40% - Accent4 7 2 2 3 2" xfId="29617" xr:uid="{BE803827-CD0A-43E4-8F89-B2DA81C7D3E9}"/>
    <cellStyle name="40% - Accent4 7 2 2 4" xfId="10380" xr:uid="{2939FE80-B400-4232-8652-026B80B12EF1}"/>
    <cellStyle name="40% - Accent4 7 2 3" xfId="13051" xr:uid="{BB5A123A-9888-4AB6-99B2-E31FD9FCD487}"/>
    <cellStyle name="40% - Accent4 7 2 3 2" xfId="13048" xr:uid="{D8700733-AFB4-42C9-AA8B-EE164BA0D4C9}"/>
    <cellStyle name="40% - Accent4 7 2 3 2 2" xfId="29644" xr:uid="{B5694011-731A-40D8-8EA7-3E00020B92C0}"/>
    <cellStyle name="40% - Accent4 7 2 3 3" xfId="10371" xr:uid="{13213C63-759F-48DF-BCF5-C88F3B2B937E}"/>
    <cellStyle name="40% - Accent4 7 2 4" xfId="25459" xr:uid="{BE546448-0720-4BA1-BF0E-48E3271A739B}"/>
    <cellStyle name="40% - Accent4 7 2 4 2" xfId="9066" xr:uid="{C9BBC09D-6455-4D0F-AF7C-27B634060C19}"/>
    <cellStyle name="40% - Accent4 7 2 5" xfId="13583" xr:uid="{F9288A25-FEE4-4ADA-A40F-D3E640166636}"/>
    <cellStyle name="40% - Accent4 7 2 6" xfId="34843" xr:uid="{9DCCAA74-9587-46B3-AA9B-B2C3E26BA11B}"/>
    <cellStyle name="40% - Accent4 7 3" xfId="12989" xr:uid="{8B19DF56-5778-45FE-B80F-9FB27E6AD3D1}"/>
    <cellStyle name="40% - Accent4 7 3 2" xfId="9062" xr:uid="{485A80DB-5D9D-4B76-A215-E5218D69D386}"/>
    <cellStyle name="40% - Accent4 7 3 2 2" xfId="17517" xr:uid="{2A1B3DDB-CB01-4A0B-ACA7-2CC14D9738A7}"/>
    <cellStyle name="40% - Accent4 7 3 2 2 2" xfId="23466" xr:uid="{DE3C50B5-6BF7-4F24-AA46-D9AEB2991802}"/>
    <cellStyle name="40% - Accent4 7 3 2 3" xfId="12026" xr:uid="{BF65E336-DDF5-49A0-B82E-04FA2A9029A4}"/>
    <cellStyle name="40% - Accent4 7 3 3" xfId="12965" xr:uid="{94A072D6-2E4D-4042-8FFA-A92ECA7EB9C3}"/>
    <cellStyle name="40% - Accent4 7 3 3 2" xfId="9058" xr:uid="{9DA1F318-06F8-4795-93FD-CD31DE25D43D}"/>
    <cellStyle name="40% - Accent4 7 3 4" xfId="12953" xr:uid="{9A4AA56C-BDF3-4391-B5AE-0AC1D9CF90D4}"/>
    <cellStyle name="40% - Accent4 7 3 5" xfId="35045" xr:uid="{C78C088B-3471-4FF4-A3AA-AB8E971C964C}"/>
    <cellStyle name="40% - Accent4 7 4" xfId="12939" xr:uid="{0F259095-A7C3-43E9-88C5-3AB5E68E359D}"/>
    <cellStyle name="40% - Accent4 7 4 2" xfId="9054" xr:uid="{AF8B330D-0576-43ED-9710-00C9378E5BB7}"/>
    <cellStyle name="40% - Accent4 7 4 2 2" xfId="9049" xr:uid="{D2216BF4-B9CE-4F78-8A3D-D9036ED9B65D}"/>
    <cellStyle name="40% - Accent4 7 4 3" xfId="12929" xr:uid="{C95D7476-6095-4C4F-B3F6-5CD79905E056}"/>
    <cellStyle name="40% - Accent4 7 4 4" xfId="35252" xr:uid="{87FAFAF1-AC0C-425F-B731-E283EEB20297}"/>
    <cellStyle name="40% - Accent4 7 5" xfId="9044" xr:uid="{727A4CB0-C963-4018-8EAB-7C27C4120110}"/>
    <cellStyle name="40% - Accent4 7 5 2" xfId="9040" xr:uid="{A3105EBE-EA82-46F1-824D-43179BF11D66}"/>
    <cellStyle name="40% - Accent4 7 5 3" xfId="35481" xr:uid="{DD2E0528-8DC6-49EA-8EF5-12437A484CF2}"/>
    <cellStyle name="40% - Accent4 7 6" xfId="9035" xr:uid="{25516E90-3FBE-4364-AF2F-9A2CF5D876C4}"/>
    <cellStyle name="40% - Accent4 7 6 2" xfId="36353" xr:uid="{BB76C2A4-2AFF-47EF-8B3B-C01DD4361913}"/>
    <cellStyle name="40% - Accent4 7 7" xfId="34611" xr:uid="{92BD73ED-DCE7-45A9-B499-A7DF35D0710E}"/>
    <cellStyle name="40% - Accent4 7 8" xfId="13106" xr:uid="{0D40F073-21E1-4F13-A4D4-7B832F54B3CF}"/>
    <cellStyle name="40% - Accent4 7 8 2" xfId="37511" xr:uid="{1BDB4AD0-8B08-46CA-BCE8-523BD0BB822D}"/>
    <cellStyle name="40% - Accent4 8" xfId="329" xr:uid="{288E543C-FB66-4C4D-AF98-905AB40A1C6A}"/>
    <cellStyle name="40% - Accent4 8 2" xfId="9030" xr:uid="{CBD7D192-84D9-40FF-AAD0-528C7B119100}"/>
    <cellStyle name="40% - Accent4 8 2 2" xfId="11344" xr:uid="{B983CA70-B91E-47F1-BD19-22DE6916A627}"/>
    <cellStyle name="40% - Accent4 8 2 2 2" xfId="14787" xr:uid="{D782DF38-FEC8-4549-8DAC-A31F4916E316}"/>
    <cellStyle name="40% - Accent4 8 2 2 2 2" xfId="9027" xr:uid="{25B2DE3C-7083-4A67-A6AD-2D56FE9B96B5}"/>
    <cellStyle name="40% - Accent4 8 2 2 3" xfId="10318" xr:uid="{C0DB1E0B-B907-4618-B870-0105B312272A}"/>
    <cellStyle name="40% - Accent4 8 2 3" xfId="14747" xr:uid="{4482DD96-7B66-4F69-8525-A5D596F11EA9}"/>
    <cellStyle name="40% - Accent4 8 2 3 2" xfId="9024" xr:uid="{327CD5E0-8086-47C4-A0E2-B4939076946C}"/>
    <cellStyle name="40% - Accent4 8 2 4" xfId="14732" xr:uid="{5CC63F9F-6633-4180-8DA5-1AEDA9563691}"/>
    <cellStyle name="40% - Accent4 8 2 5" xfId="34862" xr:uid="{A4622068-8D8D-432C-8EC5-7043AA52CE86}"/>
    <cellStyle name="40% - Accent4 8 3" xfId="12844" xr:uid="{7BD8F341-20FB-46D3-8F3F-8799B7D5687A}"/>
    <cellStyle name="40% - Accent4 8 3 2" xfId="9019" xr:uid="{0761BDF8-EC1E-414F-950D-6D79DA53814C}"/>
    <cellStyle name="40% - Accent4 8 3 2 2" xfId="9014" xr:uid="{4FC7460E-DBE7-4982-88B1-43B14500ECB2}"/>
    <cellStyle name="40% - Accent4 8 3 3" xfId="14692" xr:uid="{96F1A26F-6D64-4F5E-AE10-99A36B7455F5}"/>
    <cellStyle name="40% - Accent4 8 3 4" xfId="35064" xr:uid="{887B3F06-5138-4FAC-B9E0-0360AD592D65}"/>
    <cellStyle name="40% - Accent4 8 4" xfId="12829" xr:uid="{928DBFF5-67CE-456F-8DC3-7FD374746FB5}"/>
    <cellStyle name="40% - Accent4 8 4 2" xfId="9011" xr:uid="{8D510CD9-1D24-43E0-92F2-C3048CA9C4B5}"/>
    <cellStyle name="40% - Accent4 8 4 3" xfId="35271" xr:uid="{99199854-A6B4-46B8-9BB3-A71407BF8F06}"/>
    <cellStyle name="40% - Accent4 8 5" xfId="12822" xr:uid="{440D4427-3D78-4804-BAE0-641CC0D9F531}"/>
    <cellStyle name="40% - Accent4 8 5 2" xfId="35500" xr:uid="{F02531B1-F6DD-4DD6-82C9-692F4D7DA57F}"/>
    <cellStyle name="40% - Accent4 8 6" xfId="34625" xr:uid="{1BD68DB5-4518-4329-945D-81405A22E47F}"/>
    <cellStyle name="40% - Accent4 8 7" xfId="12880" xr:uid="{5565341F-6885-4E03-BA44-9B2166448F67}"/>
    <cellStyle name="40% - Accent4 8 7 2" xfId="36645" xr:uid="{60B3D83D-B62D-4AFA-8BC4-39CC20D6AE3F}"/>
    <cellStyle name="40% - Accent4 8 8" xfId="37530" xr:uid="{2C80DA3B-2DB3-42CA-8153-BC2E898F61A1}"/>
    <cellStyle name="40% - Accent4 9" xfId="349" xr:uid="{F7BECD92-015F-45D0-8F97-EC0C1A53F4C5}"/>
    <cellStyle name="40% - Accent4 9 2" xfId="9003" xr:uid="{989BC99A-46DC-473D-A936-408CF8E03E01}"/>
    <cellStyle name="40% - Accent4 9 2 2" xfId="9000" xr:uid="{304622A5-B37B-41D2-B8C9-DB62DBCCBDF7}"/>
    <cellStyle name="40% - Accent4 9 2 2 2" xfId="14294" xr:uid="{8856A1FD-92D9-4820-B5A0-F25EDF15040C}"/>
    <cellStyle name="40% - Accent4 9 2 3" xfId="14281" xr:uid="{0B089F53-EEEE-4FD3-A875-3F1969D4E63F}"/>
    <cellStyle name="40% - Accent4 9 2 4" xfId="34882" xr:uid="{D71A8EAC-26E3-4DAF-AB89-CC7E21E07487}"/>
    <cellStyle name="40% - Accent4 9 3" xfId="8995" xr:uid="{25174216-E3FE-4B34-AC3A-D51A9CAEE8EA}"/>
    <cellStyle name="40% - Accent4 9 3 2" xfId="8992" xr:uid="{96B9AEEE-A7F6-435E-BAE2-32AC2AB09809}"/>
    <cellStyle name="40% - Accent4 9 3 3" xfId="35083" xr:uid="{3C974F30-C750-41D2-A581-D93C70E1A4D3}"/>
    <cellStyle name="40% - Accent4 9 4" xfId="12772" xr:uid="{A2CC8934-ED09-412E-BC70-5AD85253CCF7}"/>
    <cellStyle name="40% - Accent4 9 4 2" xfId="35291" xr:uid="{5D6243A4-21FD-4F1A-BD59-8B5328603158}"/>
    <cellStyle name="40% - Accent4 9 5" xfId="34639" xr:uid="{D4A4A5D2-6841-49A3-A8C2-C6CF65F09DC9}"/>
    <cellStyle name="40% - Accent4 9 6" xfId="9006" xr:uid="{16747D83-A3E6-4B60-AD2D-278D24176D17}"/>
    <cellStyle name="40% - Accent4 9 6 2" xfId="36379" xr:uid="{891F4CC2-BF87-483E-97A8-A5494E524665}"/>
    <cellStyle name="40% - Accent4 9 7" xfId="36665" xr:uid="{8EABA73F-EA5C-42E2-A8D0-7C706A93739E}"/>
    <cellStyle name="40% - Accent4 9 8" xfId="37550" xr:uid="{0A5597AD-BA95-4ACF-A679-ECAC1F0621B0}"/>
    <cellStyle name="40% - Accent5" xfId="39" builtinId="47" customBuiltin="1"/>
    <cellStyle name="40% - Accent5 10" xfId="190" xr:uid="{E42ECB8C-EDED-4A38-A4A6-35FB47284ED1}"/>
    <cellStyle name="40% - Accent5 10 2" xfId="34172" xr:uid="{03D18379-143D-4965-9870-D725A9F478A1}"/>
    <cellStyle name="40% - Accent5 10 2 2" xfId="8988" xr:uid="{92FEB1BF-95F1-4BD3-89CF-5B8A5BFD171C}"/>
    <cellStyle name="40% - Accent5 10 2 3" xfId="34903" xr:uid="{CBFD9C64-0095-444E-B095-7D654B8091CC}"/>
    <cellStyle name="40% - Accent5 10 3" xfId="21326" xr:uid="{5267A7B2-0613-4E99-A8DF-4576C8AA1583}"/>
    <cellStyle name="40% - Accent5 10 3 2" xfId="35105" xr:uid="{200AA3F6-C652-4604-B5C7-35FDA1711701}"/>
    <cellStyle name="40% - Accent5 10 4" xfId="34528" xr:uid="{DECB8306-F4E9-420B-9971-E95122DDAD32}"/>
    <cellStyle name="40% - Accent5 10 5" xfId="24315" xr:uid="{64460E64-27C9-4FB0-8E39-E26778CD8331}"/>
    <cellStyle name="40% - Accent5 10 5 2" xfId="35528" xr:uid="{A47C858A-0158-416A-A47B-F272DF02807E}"/>
    <cellStyle name="40% - Accent5 10 6" xfId="36401" xr:uid="{39A6B885-D158-40A5-84A3-CF7F46A5B82C}"/>
    <cellStyle name="40% - Accent5 10 7" xfId="36687" xr:uid="{D95F8942-BA19-4928-9E9C-509FD6FAFA26}"/>
    <cellStyle name="40% - Accent5 10 8" xfId="37572" xr:uid="{D124D6A6-A145-449F-A0E8-93414324B1AE}"/>
    <cellStyle name="40% - Accent5 11" xfId="21957" xr:uid="{CAF4B7FF-8C3C-4DF5-9F90-43003018ED23}"/>
    <cellStyle name="40% - Accent5 11 2" xfId="8984" xr:uid="{1D000844-2699-4F38-8DD3-EC7AD841ACD9}"/>
    <cellStyle name="40% - Accent5 11 2 2" xfId="35124" xr:uid="{9E6530C5-2ABF-4FC3-885F-A085E001FD06}"/>
    <cellStyle name="40% - Accent5 11 3" xfId="34697" xr:uid="{108F6878-6768-4E13-97C5-A854A2CA8FF0}"/>
    <cellStyle name="40% - Accent5 11 4" xfId="35548" xr:uid="{D09FACFC-1E65-4B35-8C6B-5133E001D90E}"/>
    <cellStyle name="40% - Accent5 11 5" xfId="36421" xr:uid="{F23AFDBB-1C6B-4DC7-96B4-2A808A162287}"/>
    <cellStyle name="40% - Accent5 11 6" xfId="36707" xr:uid="{BEEF6DA0-8BA9-43AC-82B1-1BFA6B73FFF3}"/>
    <cellStyle name="40% - Accent5 11 7" xfId="37592" xr:uid="{19879160-0D55-4B6B-A057-EA2B7F3614A5}"/>
    <cellStyle name="40% - Accent5 12" xfId="21950" xr:uid="{F20329DE-2C5A-4F21-AFCE-95F2FC2D41F4}"/>
    <cellStyle name="40% - Accent5 12 2" xfId="34714" xr:uid="{3A0AD46A-EDED-402D-BEB6-97B29B42DB0E}"/>
    <cellStyle name="40% - Accent5 12 3" xfId="35327" xr:uid="{A4E53C25-FAC2-4446-9662-E6A3C67AD1E0}"/>
    <cellStyle name="40% - Accent5 12 4" xfId="35567" xr:uid="{7D299EBB-9751-446C-A013-CB54EAB359C1}"/>
    <cellStyle name="40% - Accent5 12 5" xfId="36440" xr:uid="{2CE1DF19-294F-4A34-870F-4C72A7601A4D}"/>
    <cellStyle name="40% - Accent5 12 6" xfId="36726" xr:uid="{2888D945-3C3A-4870-AB3D-8CC4FECC9A2E}"/>
    <cellStyle name="40% - Accent5 12 7" xfId="37611" xr:uid="{95D0BC55-ED3E-4F4D-968E-876636678BE4}"/>
    <cellStyle name="40% - Accent5 13" xfId="14532" xr:uid="{C40E14F0-9AE6-4AED-82F5-1A44593B3622}"/>
    <cellStyle name="40% - Accent5 13 2" xfId="34742" xr:uid="{5E64BAA3-8A62-422A-B657-F9B55C4B7553}"/>
    <cellStyle name="40% - Accent5 13 3" xfId="35586" xr:uid="{633C75D7-46C7-49DD-B8B3-E1FE4E882B39}"/>
    <cellStyle name="40% - Accent5 13 4" xfId="36461" xr:uid="{93D0B05F-C8F6-488C-8B8A-4301F50BCC4A}"/>
    <cellStyle name="40% - Accent5 13 5" xfId="36747" xr:uid="{6589205E-F2A3-4C73-9F0A-37D2925E2D5A}"/>
    <cellStyle name="40% - Accent5 13 6" xfId="37632" xr:uid="{EB62F993-E1F9-42AC-9F52-817395C79CB1}"/>
    <cellStyle name="40% - Accent5 14" xfId="20411" xr:uid="{B89313C7-32CB-49F4-BD42-DADE5F1F8236}"/>
    <cellStyle name="40% - Accent5 14 2" xfId="34932" xr:uid="{27943BE4-FF78-4F2C-A53F-1C7564E8F9C9}"/>
    <cellStyle name="40% - Accent5 14 3" xfId="36762" xr:uid="{D1ACB21A-FD3F-4949-AA7B-899F926368EB}"/>
    <cellStyle name="40% - Accent5 14 4" xfId="37647" xr:uid="{13775F42-3F49-4871-947F-485E37F6C395}"/>
    <cellStyle name="40% - Accent5 15" xfId="34656" xr:uid="{3CDF514D-96AC-491B-9FDF-A16D624CB053}"/>
    <cellStyle name="40% - Accent5 15 2" xfId="36486" xr:uid="{A155FE01-B60A-45F4-80CE-A781686B7665}"/>
    <cellStyle name="40% - Accent5 15 3" xfId="36784" xr:uid="{73235533-88F5-4FE3-9D80-5199FE164BC4}"/>
    <cellStyle name="40% - Accent5 15 4" xfId="37672" xr:uid="{3E6910E5-154E-42B6-9B47-3DBEC5484A6D}"/>
    <cellStyle name="40% - Accent5 16" xfId="35366" xr:uid="{399DCC9B-2B65-4404-9061-8AC100EC8598}"/>
    <cellStyle name="40% - Accent5 16 2" xfId="36504" xr:uid="{C98EC456-DD4B-411F-A7B2-E8EEC0AF7464}"/>
    <cellStyle name="40% - Accent5 16 3" xfId="36802" xr:uid="{E3FBC9CB-AA34-4752-93B8-D40335B79AAF}"/>
    <cellStyle name="40% - Accent5 16 4" xfId="37691" xr:uid="{4C71807F-2861-4E40-A012-FF819DC3688F}"/>
    <cellStyle name="40% - Accent5 17" xfId="35653" xr:uid="{67C08499-B292-4AA9-9AF6-1D60D1FB2A93}"/>
    <cellStyle name="40% - Accent5 17 2" xfId="36821" xr:uid="{0810252C-D750-4034-A217-624E62946973}"/>
    <cellStyle name="40% - Accent5 17 3" xfId="37711" xr:uid="{566401EC-4BB3-41BE-9461-FD4D15E7D5EF}"/>
    <cellStyle name="40% - Accent5 18" xfId="35671" xr:uid="{D7E7C86B-63C6-4D5E-A4BC-5B71E91A56C3}"/>
    <cellStyle name="40% - Accent5 18 2" xfId="36840" xr:uid="{5E8D5E3A-A325-4D8A-82C9-0626F6EC73D4}"/>
    <cellStyle name="40% - Accent5 18 3" xfId="37730" xr:uid="{8AF43E10-058D-4B7A-9425-0EABEFC664F3}"/>
    <cellStyle name="40% - Accent5 19" xfId="35690" xr:uid="{665BCA32-A725-4021-8DC2-8CF77532A6DE}"/>
    <cellStyle name="40% - Accent5 19 2" xfId="36859" xr:uid="{754F9190-81A1-4457-91B6-8BC71546A027}"/>
    <cellStyle name="40% - Accent5 19 3" xfId="37749" xr:uid="{64C25386-E2E0-488F-80F6-AC6629B3BFC4}"/>
    <cellStyle name="40% - Accent5 2" xfId="90" xr:uid="{E57CD7EC-653B-4DB8-A692-E475CDC6ACB0}"/>
    <cellStyle name="40% - Accent5 2 10" xfId="8982" xr:uid="{AC7B728E-E068-4AD7-AC74-1569877EF372}"/>
    <cellStyle name="40% - Accent5 2 10 2" xfId="9102" xr:uid="{E82B5D06-4631-44D9-B22F-3B35FFDA00DD}"/>
    <cellStyle name="40% - Accent5 2 10 3" xfId="37430" xr:uid="{33A49D14-6D6B-4553-87E9-53CB83AA7149}"/>
    <cellStyle name="40% - Accent5 2 11" xfId="8980" xr:uid="{4120926C-0E8F-4C96-8445-002A856ABEF0}"/>
    <cellStyle name="40% - Accent5 2 12" xfId="34446" xr:uid="{767432CA-CD23-4748-A5DF-234A3965880F}"/>
    <cellStyle name="40% - Accent5 2 13" xfId="13377" xr:uid="{57167683-8F93-4DEF-A70D-5C2116279854}"/>
    <cellStyle name="40% - Accent5 2 2" xfId="151" xr:uid="{C16C9B20-6139-466E-93F3-4067D6DA2960}"/>
    <cellStyle name="40% - Accent5 2 2 10" xfId="16719" xr:uid="{EFF8A9A8-02AD-46C4-A1C5-C5EE583C2767}"/>
    <cellStyle name="40% - Accent5 2 2 11" xfId="34501" xr:uid="{95B97D38-7B6C-4019-8B2B-0ED26A1CA866}"/>
    <cellStyle name="40% - Accent5 2 2 12" xfId="28577" xr:uid="{1055DAF1-BBD4-48F5-9CD4-79F322163BD7}"/>
    <cellStyle name="40% - Accent5 2 2 2" xfId="7107" xr:uid="{BAB1BC92-1D5D-4297-9A9C-0AD3B77A25BE}"/>
    <cellStyle name="40% - Accent5 2 2 2 2" xfId="8978" xr:uid="{AAAD9383-059F-40D4-87D5-58299C76DEA2}"/>
    <cellStyle name="40% - Accent5 2 2 2 2 2" xfId="12670" xr:uid="{6B667C62-8980-435A-B169-54D1E485B7E4}"/>
    <cellStyle name="40% - Accent5 2 2 2 2 2 2" xfId="8977" xr:uid="{D818C625-D364-4C36-A8BA-F0395D7716E8}"/>
    <cellStyle name="40% - Accent5 2 2 2 2 2 2 2" xfId="27740" xr:uid="{30767F1E-A42D-41A8-8F72-92A35322E645}"/>
    <cellStyle name="40% - Accent5 2 2 2 2 2 2 2 2" xfId="8975" xr:uid="{1B47C7A6-7AAF-4553-8C38-8FEF829CA93E}"/>
    <cellStyle name="40% - Accent5 2 2 2 2 2 2 2 2 2" xfId="32815" xr:uid="{D79AF5BA-0FD7-4446-A061-FD88F1701B0D}"/>
    <cellStyle name="40% - Accent5 2 2 2 2 2 2 2 2 2 2" xfId="32855" xr:uid="{169B4E03-D252-4B13-897F-10814A843F59}"/>
    <cellStyle name="40% - Accent5 2 2 2 2 2 2 2 2 2 2 2" xfId="18486" xr:uid="{FB060C04-C298-4591-82F5-3D18D78F5300}"/>
    <cellStyle name="40% - Accent5 2 2 2 2 2 2 2 2 2 3" xfId="22509" xr:uid="{4066B0C8-6565-44D2-956F-A986401A60B3}"/>
    <cellStyle name="40% - Accent5 2 2 2 2 2 2 2 2 3" xfId="26741" xr:uid="{5BDB1A91-EB6C-41D3-BA32-1BC376DC3A83}"/>
    <cellStyle name="40% - Accent5 2 2 2 2 2 2 2 2 3 2" xfId="22491" xr:uid="{D7877A45-641F-4DC9-90E9-95C62C273715}"/>
    <cellStyle name="40% - Accent5 2 2 2 2 2 2 2 2 4" xfId="32919" xr:uid="{6A2B8C3F-ABC0-4488-961A-76032DEF5F77}"/>
    <cellStyle name="40% - Accent5 2 2 2 2 2 2 2 3" xfId="8973" xr:uid="{0862DE73-E79C-4AAB-8A88-ADA3C219EF84}"/>
    <cellStyle name="40% - Accent5 2 2 2 2 2 2 2 3 2" xfId="26712" xr:uid="{E6480786-4CF4-4614-A016-AD334513A3CE}"/>
    <cellStyle name="40% - Accent5 2 2 2 2 2 2 2 3 2 2" xfId="22467" xr:uid="{0F589B9C-8F55-4359-B77E-4DCE18B65E00}"/>
    <cellStyle name="40% - Accent5 2 2 2 2 2 2 2 3 3" xfId="26702" xr:uid="{DA6215C5-D437-44B3-8F5D-1CD14516C6E8}"/>
    <cellStyle name="40% - Accent5 2 2 2 2 2 2 2 4" xfId="8971" xr:uid="{8E5CABD8-8C9A-4707-9E43-102F8F348E3E}"/>
    <cellStyle name="40% - Accent5 2 2 2 2 2 2 2 4 2" xfId="26683" xr:uid="{6474AF13-13C3-455A-8912-8265C7511ED0}"/>
    <cellStyle name="40% - Accent5 2 2 2 2 2 2 2 5" xfId="31187" xr:uid="{A9CED809-8B89-4157-9D35-1B26F7963D19}"/>
    <cellStyle name="40% - Accent5 2 2 2 2 2 2 3" xfId="19229" xr:uid="{7274DAC9-AD13-4EE3-91EF-8E752F1ED2F3}"/>
    <cellStyle name="40% - Accent5 2 2 2 2 2 2 3 2" xfId="8969" xr:uid="{108D24F5-C47F-4CAA-9C1E-C6F0407FC981}"/>
    <cellStyle name="40% - Accent5 2 2 2 2 2 2 3 2 2" xfId="27392" xr:uid="{BBAAD30B-0DA6-47CB-B52E-31419853FAA4}"/>
    <cellStyle name="40% - Accent5 2 2 2 2 2 2 3 2 2 2" xfId="22339" xr:uid="{2B8ABB3D-9DB0-471F-84B3-58933304D6FC}"/>
    <cellStyle name="40% - Accent5 2 2 2 2 2 2 3 2 3" xfId="30679" xr:uid="{5CCE554A-F2D3-4EF7-9CEE-73098B9EFD37}"/>
    <cellStyle name="40% - Accent5 2 2 2 2 2 2 3 3" xfId="8965" xr:uid="{4919F936-F2CF-47DC-81BC-9BCED5D8A8D3}"/>
    <cellStyle name="40% - Accent5 2 2 2 2 2 2 3 3 2" xfId="6198" xr:uid="{D37ED41B-03D0-42F0-A5E3-411DDB8938D7}"/>
    <cellStyle name="40% - Accent5 2 2 2 2 2 2 3 4" xfId="8962" xr:uid="{8678F10C-A436-4D41-B4E0-09A41ED97BE0}"/>
    <cellStyle name="40% - Accent5 2 2 2 2 2 2 4" xfId="8960" xr:uid="{58AAC996-6D5B-46B2-901B-BC24AC688D44}"/>
    <cellStyle name="40% - Accent5 2 2 2 2 2 2 4 2" xfId="17926" xr:uid="{2AD1D84F-785C-43E3-A1CA-B43F03F24319}"/>
    <cellStyle name="40% - Accent5 2 2 2 2 2 2 4 2 2" xfId="26620" xr:uid="{3CB3E3A3-E400-47DE-833F-92EFD25BB165}"/>
    <cellStyle name="40% - Accent5 2 2 2 2 2 2 4 3" xfId="8955" xr:uid="{90547C0F-4CD5-46EA-B2F4-CAD3A1E2673B}"/>
    <cellStyle name="40% - Accent5 2 2 2 2 2 2 5" xfId="28427" xr:uid="{E56C008B-C815-4A2E-9AFF-AA026613A73E}"/>
    <cellStyle name="40% - Accent5 2 2 2 2 2 2 5 2" xfId="8952" xr:uid="{8D06B44F-835B-4665-98C8-F44610FB24BB}"/>
    <cellStyle name="40% - Accent5 2 2 2 2 2 2 6" xfId="25362" xr:uid="{830E8FEE-A659-48D0-8ABB-B274286E6695}"/>
    <cellStyle name="40% - Accent5 2 2 2 2 2 3" xfId="8949" xr:uid="{DB444A0E-F816-446D-8291-D308C339B5C8}"/>
    <cellStyle name="40% - Accent5 2 2 2 2 2 3 2" xfId="8948" xr:uid="{F739E1E0-75B0-4A1C-88C9-BED31F013E82}"/>
    <cellStyle name="40% - Accent5 2 2 2 2 2 3 2 2" xfId="20008" xr:uid="{18D51806-743B-4F9D-99A7-A787AE6059E4}"/>
    <cellStyle name="40% - Accent5 2 2 2 2 2 3 2 2 2" xfId="22671" xr:uid="{41F02951-5FBD-4487-83F0-A6FE394D2D02}"/>
    <cellStyle name="40% - Accent5 2 2 2 2 2 3 2 2 2 2" xfId="28831" xr:uid="{1783A105-A463-4C27-95B2-B4CEC779BF46}"/>
    <cellStyle name="40% - Accent5 2 2 2 2 2 3 2 2 3" xfId="22678" xr:uid="{B1AAC1C6-E24E-460F-AA81-52052B1515AB}"/>
    <cellStyle name="40% - Accent5 2 2 2 2 2 3 2 3" xfId="26021" xr:uid="{79B71A60-F19D-42F2-95B1-C6A517F2B3F3}"/>
    <cellStyle name="40% - Accent5 2 2 2 2 2 3 2 3 2" xfId="22639" xr:uid="{4983C65A-F4EA-4F7F-A78B-BB5B5B2BCFBF}"/>
    <cellStyle name="40% - Accent5 2 2 2 2 2 3 2 4" xfId="11498" xr:uid="{E8901750-1757-4442-844C-08BF2DD8A09A}"/>
    <cellStyle name="40% - Accent5 2 2 2 2 2 3 3" xfId="8946" xr:uid="{9B88CFB8-7796-4A4E-8F5D-043CCDF25CBD}"/>
    <cellStyle name="40% - Accent5 2 2 2 2 2 3 3 2" xfId="8944" xr:uid="{B58838C5-F540-428C-B94F-9EB4EDFC798A}"/>
    <cellStyle name="40% - Accent5 2 2 2 2 2 3 3 2 2" xfId="22505" xr:uid="{2B8DD9B1-2CDE-4FEF-8656-B1CBEE8A8F73}"/>
    <cellStyle name="40% - Accent5 2 2 2 2 2 3 3 3" xfId="8941" xr:uid="{E62C3661-5AFD-431A-8D72-9060E69E760E}"/>
    <cellStyle name="40% - Accent5 2 2 2 2 2 3 4" xfId="8939" xr:uid="{4725B1BB-6A5C-4642-A880-452120DA2A46}"/>
    <cellStyle name="40% - Accent5 2 2 2 2 2 3 4 2" xfId="8937" xr:uid="{952C0AF2-5D51-4E23-8FF1-8E6EAB699EF5}"/>
    <cellStyle name="40% - Accent5 2 2 2 2 2 3 5" xfId="25888" xr:uid="{8A30CF53-F273-4645-825E-CD1DE4275A2F}"/>
    <cellStyle name="40% - Accent5 2 2 2 2 2 4" xfId="15571" xr:uid="{43A31BC9-0658-4ADB-B1FE-56586802DBED}"/>
    <cellStyle name="40% - Accent5 2 2 2 2 2 4 2" xfId="25045" xr:uid="{25BC4461-CB35-48B5-A090-82C0FE2B6C96}"/>
    <cellStyle name="40% - Accent5 2 2 2 2 2 4 2 2" xfId="8934" xr:uid="{E36C812F-284F-4D06-B999-1004B87BF854}"/>
    <cellStyle name="40% - Accent5 2 2 2 2 2 4 2 2 2" xfId="20403" xr:uid="{AD79A47D-D680-4312-A9A7-A30A99DF4D12}"/>
    <cellStyle name="40% - Accent5 2 2 2 2 2 4 2 3" xfId="8932" xr:uid="{7F7BBD57-6F6E-4327-8D7B-36778880F57E}"/>
    <cellStyle name="40% - Accent5 2 2 2 2 2 4 3" xfId="16274" xr:uid="{EFF36020-84C0-4710-A3C1-A4DAF1A6D408}"/>
    <cellStyle name="40% - Accent5 2 2 2 2 2 4 3 2" xfId="8929" xr:uid="{B6491A19-D12B-4E78-9F3C-63729EE99E18}"/>
    <cellStyle name="40% - Accent5 2 2 2 2 2 4 4" xfId="8927" xr:uid="{FA1E8388-A624-437A-9910-59EEA58DB83E}"/>
    <cellStyle name="40% - Accent5 2 2 2 2 2 5" xfId="15567" xr:uid="{AFFB22D2-1657-4F44-BFC7-558B31A25B4D}"/>
    <cellStyle name="40% - Accent5 2 2 2 2 2 5 2" xfId="8924" xr:uid="{3E5438BB-CFB1-4022-8EB6-2A44C6CC479F}"/>
    <cellStyle name="40% - Accent5 2 2 2 2 2 5 2 2" xfId="22541" xr:uid="{88FC1E29-08E3-4E88-A87A-6D367CED43A6}"/>
    <cellStyle name="40% - Accent5 2 2 2 2 2 5 3" xfId="8923" xr:uid="{5DD5C2C9-EEF3-4C53-8011-A0857FD7A0F8}"/>
    <cellStyle name="40% - Accent5 2 2 2 2 2 6" xfId="8921" xr:uid="{DE2B8078-BE66-40AF-A7B2-087BA408F885}"/>
    <cellStyle name="40% - Accent5 2 2 2 2 2 6 2" xfId="14664" xr:uid="{89C74A38-0D53-407A-A44C-C376B8C5639B}"/>
    <cellStyle name="40% - Accent5 2 2 2 2 2 7" xfId="32372" xr:uid="{44C099A4-D6FB-4CE5-AAB2-9EEEBC46EA4B}"/>
    <cellStyle name="40% - Accent5 2 2 2 2 3" xfId="10568" xr:uid="{A21734FD-FD54-4009-994A-A5F33E42C7FA}"/>
    <cellStyle name="40% - Accent5 2 2 2 2 3 2" xfId="8920" xr:uid="{E905E77E-C57F-4DDE-9E0A-3AE6A7FC8429}"/>
    <cellStyle name="40% - Accent5 2 2 2 2 3 2 2" xfId="22658" xr:uid="{7AB140ED-8D97-46E0-963A-5E0A207862BB}"/>
    <cellStyle name="40% - Accent5 2 2 2 2 3 2 2 2" xfId="8919" xr:uid="{F8F36A1F-AB0B-4DC9-BD2D-CBA1DA3C15F4}"/>
    <cellStyle name="40% - Accent5 2 2 2 2 3 2 2 2 2" xfId="8917" xr:uid="{8802D33A-80FE-428B-BEC6-3E8AC6FDBFE1}"/>
    <cellStyle name="40% - Accent5 2 2 2 2 3 2 2 2 2 2" xfId="8916" xr:uid="{C70F91D6-5C83-41F3-BFE2-40D37A807D0B}"/>
    <cellStyle name="40% - Accent5 2 2 2 2 3 2 2 2 3" xfId="8913" xr:uid="{0486F9FC-72AA-47B0-9FB8-B24490ED54E5}"/>
    <cellStyle name="40% - Accent5 2 2 2 2 3 2 2 3" xfId="8912" xr:uid="{FBC50ED6-3657-4CAE-813D-8E99BFC2ED9A}"/>
    <cellStyle name="40% - Accent5 2 2 2 2 3 2 2 3 2" xfId="15064" xr:uid="{7096756F-104C-4EEA-AFD0-DFA96E4ACFA6}"/>
    <cellStyle name="40% - Accent5 2 2 2 2 3 2 2 4" xfId="8910" xr:uid="{FA70AA39-3089-4AE7-BE5C-74A115754CDC}"/>
    <cellStyle name="40% - Accent5 2 2 2 2 3 2 3" xfId="15763" xr:uid="{98BC6D29-93DD-4CD6-A421-78A82A98CBB1}"/>
    <cellStyle name="40% - Accent5 2 2 2 2 3 2 3 2" xfId="22304" xr:uid="{ECE34AF8-BE34-4225-B495-D43A44F4961D}"/>
    <cellStyle name="40% - Accent5 2 2 2 2 3 2 3 2 2" xfId="8908" xr:uid="{F099BA6F-A41D-4403-A357-6787D7B592B3}"/>
    <cellStyle name="40% - Accent5 2 2 2 2 3 2 3 3" xfId="18559" xr:uid="{833C25F0-6441-43B5-BC16-F3FDB6C46EDF}"/>
    <cellStyle name="40% - Accent5 2 2 2 2 3 2 4" xfId="26269" xr:uid="{DD93841C-53EB-4726-AC01-B43261A33021}"/>
    <cellStyle name="40% - Accent5 2 2 2 2 3 2 4 2" xfId="20527" xr:uid="{2ED77CCC-7B21-4036-8FA3-A904D1D2D5D7}"/>
    <cellStyle name="40% - Accent5 2 2 2 2 3 2 5" xfId="25314" xr:uid="{2935854D-B7C9-4B52-877B-3FEDC26F34C2}"/>
    <cellStyle name="40% - Accent5 2 2 2 2 3 3" xfId="8907" xr:uid="{39716D59-3D52-4991-AB94-1C1813D2A3DD}"/>
    <cellStyle name="40% - Accent5 2 2 2 2 3 3 2" xfId="26046" xr:uid="{3582EB8C-F6C4-4788-A661-74792F0BD20B}"/>
    <cellStyle name="40% - Accent5 2 2 2 2 3 3 2 2" xfId="8906" xr:uid="{549CEF45-84C2-4F6A-9379-0EC50859DB85}"/>
    <cellStyle name="40% - Accent5 2 2 2 2 3 3 2 2 2" xfId="8904" xr:uid="{5B0596F4-7AED-4577-8206-4D102DCB8C09}"/>
    <cellStyle name="40% - Accent5 2 2 2 2 3 3 2 3" xfId="8903" xr:uid="{3571CA5D-E535-4E73-BD3A-4E7C7A232B9A}"/>
    <cellStyle name="40% - Accent5 2 2 2 2 3 3 3" xfId="8901" xr:uid="{9F864819-E384-4BF9-9FFC-E95622C1638B}"/>
    <cellStyle name="40% - Accent5 2 2 2 2 3 3 3 2" xfId="20508" xr:uid="{5EA3F664-9707-4D18-ADC2-74734668BECB}"/>
    <cellStyle name="40% - Accent5 2 2 2 2 3 3 4" xfId="8899" xr:uid="{78ACC5A9-B267-4632-8CBB-A9ADA56D8FB4}"/>
    <cellStyle name="40% - Accent5 2 2 2 2 3 4" xfId="15565" xr:uid="{1F6F2A8D-1DE9-4325-97B5-0DA4F131410E}"/>
    <cellStyle name="40% - Accent5 2 2 2 2 3 4 2" xfId="8897" xr:uid="{07D59138-4B35-4D7E-8670-81F46145EC78}"/>
    <cellStyle name="40% - Accent5 2 2 2 2 3 4 2 2" xfId="8895" xr:uid="{F7438241-5417-4DD4-9106-A31C7CCECA13}"/>
    <cellStyle name="40% - Accent5 2 2 2 2 3 4 3" xfId="8892" xr:uid="{B0C1099C-67FB-4B44-B516-14F997709E36}"/>
    <cellStyle name="40% - Accent5 2 2 2 2 3 5" xfId="8889" xr:uid="{DCE0A042-77A8-4E15-B7CD-5D65C5BDEC96}"/>
    <cellStyle name="40% - Accent5 2 2 2 2 3 5 2" xfId="8888" xr:uid="{5939E7EA-68F1-4B12-AC65-52BFBB6183F6}"/>
    <cellStyle name="40% - Accent5 2 2 2 2 3 6" xfId="8886" xr:uid="{6B8738AB-7CD2-4D74-9E3C-6329C08060D2}"/>
    <cellStyle name="40% - Accent5 2 2 2 2 4" xfId="8885" xr:uid="{547306BA-BF7D-4F30-84A2-4EEA3A187351}"/>
    <cellStyle name="40% - Accent5 2 2 2 2 4 2" xfId="27259" xr:uid="{6A9C7509-09B5-401D-BE4F-8210EA0E88AB}"/>
    <cellStyle name="40% - Accent5 2 2 2 2 4 2 2" xfId="25600" xr:uid="{D0782B49-ED8D-4173-9533-E780335007B6}"/>
    <cellStyle name="40% - Accent5 2 2 2 2 4 2 2 2" xfId="8883" xr:uid="{4D65EEFC-813B-4EBF-B6AE-1D902A9975C8}"/>
    <cellStyle name="40% - Accent5 2 2 2 2 4 2 2 2 2" xfId="8881" xr:uid="{C336FF31-4CB9-4F6D-9198-FB5FAC7E2AD8}"/>
    <cellStyle name="40% - Accent5 2 2 2 2 4 2 2 3" xfId="8880" xr:uid="{FB9C8B77-251A-4BFC-BF39-E0D471521611}"/>
    <cellStyle name="40% - Accent5 2 2 2 2 4 2 3" xfId="8878" xr:uid="{BD67A2C6-CBE2-4826-9CA1-1B7874CA979E}"/>
    <cellStyle name="40% - Accent5 2 2 2 2 4 2 3 2" xfId="28326" xr:uid="{9F47AC72-B965-4BDC-A659-6F1CA397142F}"/>
    <cellStyle name="40% - Accent5 2 2 2 2 4 2 4" xfId="8876" xr:uid="{84DE8FE6-EB4B-49A1-86A1-6E53E0C6EDCF}"/>
    <cellStyle name="40% - Accent5 2 2 2 2 4 3" xfId="27257" xr:uid="{13FBF34B-0556-471A-B648-027EE041A50D}"/>
    <cellStyle name="40% - Accent5 2 2 2 2 4 3 2" xfId="8874" xr:uid="{2480B827-2E29-4733-9450-109371944EFD}"/>
    <cellStyle name="40% - Accent5 2 2 2 2 4 3 2 2" xfId="18587" xr:uid="{1DDDE4C4-BABB-41C8-B1D2-485088B5AE81}"/>
    <cellStyle name="40% - Accent5 2 2 2 2 4 3 3" xfId="8873" xr:uid="{39CB404E-9CE0-4450-86DA-2343FA748337}"/>
    <cellStyle name="40% - Accent5 2 2 2 2 4 4" xfId="22667" xr:uid="{0E8BAF0F-67E9-4E90-842C-B235005845F2}"/>
    <cellStyle name="40% - Accent5 2 2 2 2 4 4 2" xfId="8871" xr:uid="{78A1444D-713B-4F24-A1A4-ED4B95AADD53}"/>
    <cellStyle name="40% - Accent5 2 2 2 2 4 5" xfId="22660" xr:uid="{2AFE7616-4B5F-49FC-9C76-1A17015F7986}"/>
    <cellStyle name="40% - Accent5 2 2 2 2 5" xfId="8869" xr:uid="{B9CB0A83-F3C3-48F5-AE26-E27D2E19D752}"/>
    <cellStyle name="40% - Accent5 2 2 2 2 5 2" xfId="29099" xr:uid="{B5AD5F24-D1DD-4A02-993C-DE4B7A8336D7}"/>
    <cellStyle name="40% - Accent5 2 2 2 2 5 2 2" xfId="8868" xr:uid="{037E72EF-94F5-449A-AD82-8F85D865476F}"/>
    <cellStyle name="40% - Accent5 2 2 2 2 5 2 2 2" xfId="8864" xr:uid="{54B12B54-5BE1-47EF-9789-E2DE52BBC69F}"/>
    <cellStyle name="40% - Accent5 2 2 2 2 5 2 3" xfId="8862" xr:uid="{F77DF110-9CD9-446E-9600-A38133551BBE}"/>
    <cellStyle name="40% - Accent5 2 2 2 2 5 3" xfId="8860" xr:uid="{BE5C185D-0A96-4601-A507-9DCD465F1871}"/>
    <cellStyle name="40% - Accent5 2 2 2 2 5 3 2" xfId="8859" xr:uid="{EF8C138C-7429-49B9-B6E3-B708D90488A9}"/>
    <cellStyle name="40% - Accent5 2 2 2 2 5 4" xfId="22654" xr:uid="{1B34C55F-7073-4396-A990-0D2648C5B9BC}"/>
    <cellStyle name="40% - Accent5 2 2 2 2 6" xfId="8858" xr:uid="{E3178B13-F386-4687-9FA8-C64ED62ED4EC}"/>
    <cellStyle name="40% - Accent5 2 2 2 2 6 2" xfId="8857" xr:uid="{E071840F-1C30-432B-8766-4A5721E3286F}"/>
    <cellStyle name="40% - Accent5 2 2 2 2 6 2 2" xfId="6891" xr:uid="{B61E3CE2-81A1-492B-84FE-A51205CEFC80}"/>
    <cellStyle name="40% - Accent5 2 2 2 2 6 3" xfId="8856" xr:uid="{C34BC9F2-F22A-41A4-816C-EF392311A14D}"/>
    <cellStyle name="40% - Accent5 2 2 2 2 7" xfId="8855" xr:uid="{396F65B2-68A8-4D7B-BC34-F4B115A2B470}"/>
    <cellStyle name="40% - Accent5 2 2 2 2 7 2" xfId="20849" xr:uid="{25495B2E-B45C-4ABB-88AC-064B93D456B4}"/>
    <cellStyle name="40% - Accent5 2 2 2 2 8" xfId="8854" xr:uid="{B3596282-EC85-4B10-917B-39F9A92D615B}"/>
    <cellStyle name="40% - Accent5 2 2 2 3" xfId="8852" xr:uid="{BBB4D6C5-2AAD-4B28-8EB9-D7EE02760B0F}"/>
    <cellStyle name="40% - Accent5 2 2 2 3 2" xfId="10559" xr:uid="{8B4A4D98-9E94-4571-9B14-8726FD582883}"/>
    <cellStyle name="40% - Accent5 2 2 2 3 2 2" xfId="12948" xr:uid="{8846A164-6AE1-4463-8416-80C3D3354528}"/>
    <cellStyle name="40% - Accent5 2 2 2 3 2 2 2" xfId="8850" xr:uid="{B14C72EF-AD64-48FD-B614-77BBC6248250}"/>
    <cellStyle name="40% - Accent5 2 2 2 3 2 2 2 2" xfId="8849" xr:uid="{33F89A9E-75A1-4BF3-9026-E9626700F9D4}"/>
    <cellStyle name="40% - Accent5 2 2 2 3 2 2 2 2 2" xfId="13831" xr:uid="{CF58961B-5A14-4E6F-B12B-26DAF88E86FB}"/>
    <cellStyle name="40% - Accent5 2 2 2 3 2 2 2 2 2 2" xfId="8848" xr:uid="{19283895-EEE7-4A54-8BFD-1AD647BFAF7D}"/>
    <cellStyle name="40% - Accent5 2 2 2 3 2 2 2 2 3" xfId="31999" xr:uid="{6771995E-B2B0-4E2C-885C-C99ABF6A6C63}"/>
    <cellStyle name="40% - Accent5 2 2 2 3 2 2 2 3" xfId="26314" xr:uid="{31778293-B8E4-4E4C-B7C0-78D01A418578}"/>
    <cellStyle name="40% - Accent5 2 2 2 3 2 2 2 3 2" xfId="30150" xr:uid="{AF6CC0B1-8FA4-455A-AB75-7A1A9221D354}"/>
    <cellStyle name="40% - Accent5 2 2 2 3 2 2 2 4" xfId="8845" xr:uid="{AD17FBA8-FE3A-4BFE-AA49-EFEB15444843}"/>
    <cellStyle name="40% - Accent5 2 2 2 3 2 2 3" xfId="8844" xr:uid="{673EE1F9-4EAF-474F-B81F-5D15368FA11D}"/>
    <cellStyle name="40% - Accent5 2 2 2 3 2 2 3 2" xfId="8842" xr:uid="{5D0C1920-0F46-4C4D-B3BD-AA1FB50C8E75}"/>
    <cellStyle name="40% - Accent5 2 2 2 3 2 2 3 2 2" xfId="8840" xr:uid="{3D17472C-5458-414E-AEFA-BB518B503D79}"/>
    <cellStyle name="40% - Accent5 2 2 2 3 2 2 3 3" xfId="23203" xr:uid="{AD6E3A41-141E-4587-9201-553D38B894C8}"/>
    <cellStyle name="40% - Accent5 2 2 2 3 2 2 4" xfId="30907" xr:uid="{60563FA3-7797-4D17-B3AC-B651693845C6}"/>
    <cellStyle name="40% - Accent5 2 2 2 3 2 2 4 2" xfId="8839" xr:uid="{530A0E07-53C8-4D80-83D3-7CFA13BCFBFB}"/>
    <cellStyle name="40% - Accent5 2 2 2 3 2 2 5" xfId="30977" xr:uid="{9E74ECD7-0681-4AD2-B477-D4E65292433A}"/>
    <cellStyle name="40% - Accent5 2 2 2 3 2 3" xfId="8837" xr:uid="{40701956-2DFC-4CCE-ADC7-7770975D9827}"/>
    <cellStyle name="40% - Accent5 2 2 2 3 2 3 2" xfId="14092" xr:uid="{9FDE12AB-8BF2-43C8-8900-37C4766E33A3}"/>
    <cellStyle name="40% - Accent5 2 2 2 3 2 3 2 2" xfId="8832" xr:uid="{FFAFFF45-8A30-49B2-A3F9-0CC4A22DCE9E}"/>
    <cellStyle name="40% - Accent5 2 2 2 3 2 3 2 2 2" xfId="16870" xr:uid="{A231A655-3CD6-48B6-960F-8968B7B71BDB}"/>
    <cellStyle name="40% - Accent5 2 2 2 3 2 3 2 3" xfId="8831" xr:uid="{A7E35BC9-247F-43DA-A82B-EE3ACC31CCD9}"/>
    <cellStyle name="40% - Accent5 2 2 2 3 2 3 3" xfId="14086" xr:uid="{DF2BC6A9-D983-455B-BDA8-F1B47C0703CE}"/>
    <cellStyle name="40% - Accent5 2 2 2 3 2 3 3 2" xfId="8830" xr:uid="{3872B95F-8E99-4ED8-B0DD-DDAB08E5F96D}"/>
    <cellStyle name="40% - Accent5 2 2 2 3 2 3 4" xfId="8829" xr:uid="{3CB30286-3531-42BB-AE54-51802B59357C}"/>
    <cellStyle name="40% - Accent5 2 2 2 3 2 4" xfId="15558" xr:uid="{9047F00D-B4AB-4A00-957C-01E6C4B118C4}"/>
    <cellStyle name="40% - Accent5 2 2 2 3 2 4 2" xfId="14080" xr:uid="{D333CFCE-F3B4-440D-AEE4-DC910B83D145}"/>
    <cellStyle name="40% - Accent5 2 2 2 3 2 4 2 2" xfId="31283" xr:uid="{3DEA01F3-7CA0-45D6-9824-27B2330DB80F}"/>
    <cellStyle name="40% - Accent5 2 2 2 3 2 4 3" xfId="8827" xr:uid="{1A6166ED-A810-472C-AA87-BF74BAA43DEB}"/>
    <cellStyle name="40% - Accent5 2 2 2 3 2 5" xfId="8825" xr:uid="{BEA966F2-3CC3-4321-BAD0-F98B77EE78DB}"/>
    <cellStyle name="40% - Accent5 2 2 2 3 2 5 2" xfId="8822" xr:uid="{7ABF2A35-F438-48A5-9807-08825743033F}"/>
    <cellStyle name="40% - Accent5 2 2 2 3 2 6" xfId="8821" xr:uid="{5E30BBD8-ECA8-469B-9FC6-1973CB1AD80B}"/>
    <cellStyle name="40% - Accent5 2 2 2 3 3" xfId="8820" xr:uid="{FC991E92-AD14-4214-8601-BC004DC29DAD}"/>
    <cellStyle name="40% - Accent5 2 2 2 3 3 2" xfId="8818" xr:uid="{5191AB17-8F29-4A38-A245-002C6F8F7677}"/>
    <cellStyle name="40% - Accent5 2 2 2 3 3 2 2" xfId="26420" xr:uid="{2AB14817-F28C-43E5-8C4D-E90F4D172411}"/>
    <cellStyle name="40% - Accent5 2 2 2 3 3 2 2 2" xfId="8815" xr:uid="{0F9EEB9E-1A14-476D-99D3-96D766DCF38B}"/>
    <cellStyle name="40% - Accent5 2 2 2 3 3 2 2 2 2" xfId="8814" xr:uid="{391AC5E2-1C27-4A88-8828-BB4DB57D48E8}"/>
    <cellStyle name="40% - Accent5 2 2 2 3 3 2 2 3" xfId="8813" xr:uid="{583217E6-241E-403F-B9D9-49A2EFC1A240}"/>
    <cellStyle name="40% - Accent5 2 2 2 3 3 2 3" xfId="8812" xr:uid="{CE705D2D-59E1-4235-B464-4D58A00E33B7}"/>
    <cellStyle name="40% - Accent5 2 2 2 3 3 2 3 2" xfId="20445" xr:uid="{239D8297-926B-4AF5-A989-578943AF6576}"/>
    <cellStyle name="40% - Accent5 2 2 2 3 3 2 4" xfId="8810" xr:uid="{14F9DEAA-EE5C-45C3-9905-501BDBB92852}"/>
    <cellStyle name="40% - Accent5 2 2 2 3 3 3" xfId="8808" xr:uid="{54B80110-B049-41B4-A790-F9AD70558FA0}"/>
    <cellStyle name="40% - Accent5 2 2 2 3 3 3 2" xfId="22350" xr:uid="{E5DA4C93-C6D4-4EC0-A9FC-0B32A262BEBD}"/>
    <cellStyle name="40% - Accent5 2 2 2 3 3 3 2 2" xfId="8804" xr:uid="{63B93A9B-B863-483D-9B72-EBF89E783773}"/>
    <cellStyle name="40% - Accent5 2 2 2 3 3 3 3" xfId="22329" xr:uid="{3347DDA8-3736-4030-8C78-CE962A2223BC}"/>
    <cellStyle name="40% - Accent5 2 2 2 3 3 4" xfId="8803" xr:uid="{6223FA7B-5D6C-484B-9156-B83DF839CFD3}"/>
    <cellStyle name="40% - Accent5 2 2 2 3 3 4 2" xfId="22313" xr:uid="{5B1FF752-3574-4C02-9073-F49A638A3A18}"/>
    <cellStyle name="40% - Accent5 2 2 2 3 3 5" xfId="8800" xr:uid="{87C4AA07-2B47-4498-9028-CFECEE4E5396}"/>
    <cellStyle name="40% - Accent5 2 2 2 3 4" xfId="12947" xr:uid="{12A00F61-1A2D-46F1-8C22-806E14E379A8}"/>
    <cellStyle name="40% - Accent5 2 2 2 3 4 2" xfId="27249" xr:uid="{63314195-DE79-440D-BA76-7FD6C28A9C41}"/>
    <cellStyle name="40% - Accent5 2 2 2 3 4 2 2" xfId="8798" xr:uid="{4D36CBC5-C563-4795-A0F9-68DBC44AC226}"/>
    <cellStyle name="40% - Accent5 2 2 2 3 4 2 2 2" xfId="8796" xr:uid="{8EAE7158-C6AA-4B3E-A8FA-10AE1E679302}"/>
    <cellStyle name="40% - Accent5 2 2 2 3 4 2 3" xfId="8794" xr:uid="{81512993-F3B6-4092-A745-78B7A0B269E1}"/>
    <cellStyle name="40% - Accent5 2 2 2 3 4 3" xfId="8791" xr:uid="{A58E68E5-F64F-4EEE-95FF-413192B5878D}"/>
    <cellStyle name="40% - Accent5 2 2 2 3 4 3 2" xfId="22252" xr:uid="{903FE68F-47AE-4E84-962E-E8EE1A0EED54}"/>
    <cellStyle name="40% - Accent5 2 2 2 3 4 4" xfId="21989" xr:uid="{CED2E48A-D8D0-482A-BDC0-0A40FD698FB9}"/>
    <cellStyle name="40% - Accent5 2 2 2 3 5" xfId="8835" xr:uid="{00AB0A18-09C0-4F7A-ABFA-3A70F9C6EC8A}"/>
    <cellStyle name="40% - Accent5 2 2 2 3 5 2" xfId="8787" xr:uid="{90B178AD-83C9-4178-A449-DE7127706707}"/>
    <cellStyle name="40% - Accent5 2 2 2 3 5 2 2" xfId="8783" xr:uid="{069CCC6B-5955-4F2E-8455-08C0A3CD8E33}"/>
    <cellStyle name="40% - Accent5 2 2 2 3 5 3" xfId="8781" xr:uid="{A711D590-7593-4CB4-8E42-F46E5656E178}"/>
    <cellStyle name="40% - Accent5 2 2 2 3 6" xfId="13595" xr:uid="{5E98091E-410C-4E54-AED4-A5D412C6D583}"/>
    <cellStyle name="40% - Accent5 2 2 2 3 6 2" xfId="34170" xr:uid="{343F3D44-39DC-4E5E-A375-0FBE4636D5E0}"/>
    <cellStyle name="40% - Accent5 2 2 2 3 7" xfId="8823" xr:uid="{D39CEEAB-077E-4F74-BE9D-094B7107B880}"/>
    <cellStyle name="40% - Accent5 2 2 2 4" xfId="8780" xr:uid="{A07F0312-BA7E-40F4-BDD3-6841262DC7DE}"/>
    <cellStyle name="40% - Accent5 2 2 2 4 2" xfId="8778" xr:uid="{26E891B8-11EA-4C38-97F2-987EB177429A}"/>
    <cellStyle name="40% - Accent5 2 2 2 4 2 2" xfId="8777" xr:uid="{2CF83736-CDA5-4B74-821E-BC25B8F4B2D2}"/>
    <cellStyle name="40% - Accent5 2 2 2 4 2 2 2" xfId="8773" xr:uid="{A6245442-2C42-44B3-A52A-682F335078BE}"/>
    <cellStyle name="40% - Accent5 2 2 2 4 2 2 2 2" xfId="8772" xr:uid="{F310B7DA-8412-45BA-A45E-012F086053A3}"/>
    <cellStyle name="40% - Accent5 2 2 2 4 2 2 2 2 2" xfId="11847" xr:uid="{5B302CBB-48D1-4760-B4AC-10A6070774C2}"/>
    <cellStyle name="40% - Accent5 2 2 2 4 2 2 2 3" xfId="8867" xr:uid="{5B26AD87-82FD-49A7-B6B9-611B012EB41F}"/>
    <cellStyle name="40% - Accent5 2 2 2 4 2 2 3" xfId="8769" xr:uid="{0C020AA5-8CDA-4C14-AC0A-9AB04AB122F3}"/>
    <cellStyle name="40% - Accent5 2 2 2 4 2 2 3 2" xfId="8767" xr:uid="{66305C53-0BED-4F53-AC97-FF35BFACB195}"/>
    <cellStyle name="40% - Accent5 2 2 2 4 2 2 4" xfId="8764" xr:uid="{CA89D4E0-B676-49C6-AC0B-26881909B91B}"/>
    <cellStyle name="40% - Accent5 2 2 2 4 2 3" xfId="8762" xr:uid="{8D32DFEE-C2C3-4BB6-903D-1ED1AFE0D5C4}"/>
    <cellStyle name="40% - Accent5 2 2 2 4 2 3 2" xfId="13988" xr:uid="{D8788514-CB50-42A7-9C3A-5185376E39F0}"/>
    <cellStyle name="40% - Accent5 2 2 2 4 2 3 2 2" xfId="8757" xr:uid="{0FE6A6B7-4BD4-4FE2-A91D-4C301DEF4191}"/>
    <cellStyle name="40% - Accent5 2 2 2 4 2 3 3" xfId="8754" xr:uid="{2662A7A2-892A-4B32-A213-BEFFA61FEE5D}"/>
    <cellStyle name="40% - Accent5 2 2 2 4 2 4" xfId="8752" xr:uid="{6E56145D-FEB3-42E0-AF6A-A3FDE0316235}"/>
    <cellStyle name="40% - Accent5 2 2 2 4 2 4 2" xfId="8749" xr:uid="{4C2B9B99-557B-46C6-9820-BD392214F205}"/>
    <cellStyle name="40% - Accent5 2 2 2 4 2 5" xfId="8748" xr:uid="{5B040011-7A09-44AF-A2F3-5E19D4860E7B}"/>
    <cellStyle name="40% - Accent5 2 2 2 4 3" xfId="8746" xr:uid="{6F1EE28E-38D9-4BB6-8D12-791727384BC6}"/>
    <cellStyle name="40% - Accent5 2 2 2 4 3 2" xfId="8744" xr:uid="{AF9DABDA-E6EF-450B-A03C-BABD992BC278}"/>
    <cellStyle name="40% - Accent5 2 2 2 4 3 2 2" xfId="8742" xr:uid="{3BF41BDB-7FCB-4B8A-BC6E-E31ED6455773}"/>
    <cellStyle name="40% - Accent5 2 2 2 4 3 2 2 2" xfId="8741" xr:uid="{19625BF1-287B-42B8-9E21-D4962E1F1BA4}"/>
    <cellStyle name="40% - Accent5 2 2 2 4 3 2 3" xfId="26487" xr:uid="{4E38EFAF-1A9F-4DD2-AA40-676E6835821A}"/>
    <cellStyle name="40% - Accent5 2 2 2 4 3 3" xfId="8738" xr:uid="{25B21F41-6ADC-4CC9-9220-C2B759EAF6A3}"/>
    <cellStyle name="40% - Accent5 2 2 2 4 3 3 2" xfId="20195" xr:uid="{B3BD23F1-5422-4C68-9758-A06602BB47D1}"/>
    <cellStyle name="40% - Accent5 2 2 2 4 3 4" xfId="8734" xr:uid="{BFF356DC-A064-4381-A75C-B878516B02C2}"/>
    <cellStyle name="40% - Accent5 2 2 2 4 4" xfId="8817" xr:uid="{2BCC7F61-665A-4FBD-8260-AD5211AABB4D}"/>
    <cellStyle name="40% - Accent5 2 2 2 4 4 2" xfId="8733" xr:uid="{C4727723-70FE-4D37-AE1E-2D1CD41B2C89}"/>
    <cellStyle name="40% - Accent5 2 2 2 4 4 2 2" xfId="8729" xr:uid="{5A3813AB-871E-4F31-9E03-61BDE6A51BC2}"/>
    <cellStyle name="40% - Accent5 2 2 2 4 4 3" xfId="12415" xr:uid="{03D57408-66BF-4F6C-9EF3-B073EC2502AB}"/>
    <cellStyle name="40% - Accent5 2 2 2 4 5" xfId="8806" xr:uid="{F8F5389E-BF5E-4BED-A3C2-0A676A930E4E}"/>
    <cellStyle name="40% - Accent5 2 2 2 4 5 2" xfId="34138" xr:uid="{D13572ED-D6E8-4E20-921C-6470B27C74B0}"/>
    <cellStyle name="40% - Accent5 2 2 2 4 6" xfId="8801" xr:uid="{A94EBF92-2EE1-41D9-9A16-967614181170}"/>
    <cellStyle name="40% - Accent5 2 2 2 5" xfId="16637" xr:uid="{20EDA1C7-1358-4BCE-AB13-B98D1B3719B5}"/>
    <cellStyle name="40% - Accent5 2 2 2 5 2" xfId="8727" xr:uid="{5459B843-0ADE-4120-8169-6FB2354293CE}"/>
    <cellStyle name="40% - Accent5 2 2 2 5 2 2" xfId="8725" xr:uid="{46DE61A9-019A-4C64-967E-821C569E8E2F}"/>
    <cellStyle name="40% - Accent5 2 2 2 5 2 2 2" xfId="8722" xr:uid="{39ECAA54-1CB8-4648-ADBD-50403849D5BA}"/>
    <cellStyle name="40% - Accent5 2 2 2 5 2 2 2 2" xfId="8720" xr:uid="{7D2FD710-D03B-4327-AA6C-960BCC2B19C6}"/>
    <cellStyle name="40% - Accent5 2 2 2 5 2 2 3" xfId="8718" xr:uid="{A1C48A94-6E2D-41D3-AE5A-739909202884}"/>
    <cellStyle name="40% - Accent5 2 2 2 5 2 3" xfId="27379" xr:uid="{05DF4137-8EC9-45E2-9AC5-DBFC5FFA7089}"/>
    <cellStyle name="40% - Accent5 2 2 2 5 2 3 2" xfId="16773" xr:uid="{6864B0FA-3982-4A43-B531-522664B029F7}"/>
    <cellStyle name="40% - Accent5 2 2 2 5 2 4" xfId="27363" xr:uid="{F75A6502-916D-44CE-AA22-7DB7B7963E69}"/>
    <cellStyle name="40% - Accent5 2 2 2 5 3" xfId="19589" xr:uid="{1328ADFF-A547-4095-ACA6-C93AAA0C4282}"/>
    <cellStyle name="40% - Accent5 2 2 2 5 3 2" xfId="8716" xr:uid="{ED2DFF67-5A31-492E-AAB1-35AE9820AF38}"/>
    <cellStyle name="40% - Accent5 2 2 2 5 3 2 2" xfId="17453" xr:uid="{FA2A2666-83A5-4530-8EF2-77E587E9C9C6}"/>
    <cellStyle name="40% - Accent5 2 2 2 5 3 3" xfId="33991" xr:uid="{2DDC2E3B-E133-4614-AE3A-5900FEBF3D34}"/>
    <cellStyle name="40% - Accent5 2 2 2 5 4" xfId="27247" xr:uid="{66DE85F3-957E-4536-9439-345D11A50444}"/>
    <cellStyle name="40% - Accent5 2 2 2 5 4 2" xfId="11505" xr:uid="{FC9E0F2A-18A3-471C-9979-A83A27F6872B}"/>
    <cellStyle name="40% - Accent5 2 2 2 5 5" xfId="8789" xr:uid="{90081687-C8E2-4D08-8AAA-ACBAAB10D4DF}"/>
    <cellStyle name="40% - Accent5 2 2 2 6" xfId="13208" xr:uid="{0E60D529-45D9-4937-878A-E4CB149A2906}"/>
    <cellStyle name="40% - Accent5 2 2 2 6 2" xfId="21206" xr:uid="{39B2653A-518B-4999-81B2-14087282BE3F}"/>
    <cellStyle name="40% - Accent5 2 2 2 6 2 2" xfId="8713" xr:uid="{2FA52375-1ECA-43EB-B3AA-4CF1DCD5E945}"/>
    <cellStyle name="40% - Accent5 2 2 2 6 2 2 2" xfId="27930" xr:uid="{CEE9E8FC-53C1-4666-90DD-A32E53D71D28}"/>
    <cellStyle name="40% - Accent5 2 2 2 6 2 3" xfId="18650" xr:uid="{F05FE83A-1E5D-4E35-A50D-96CA42486B1F}"/>
    <cellStyle name="40% - Accent5 2 2 2 6 3" xfId="27239" xr:uid="{6EFD5CB7-17B6-4037-B3D4-3B50D4609481}"/>
    <cellStyle name="40% - Accent5 2 2 2 6 3 2" xfId="8710" xr:uid="{DB5C3FC1-D220-4A92-94F8-64DFF22C483C}"/>
    <cellStyle name="40% - Accent5 2 2 2 6 4" xfId="8786" xr:uid="{A0F82D6E-C799-4133-AE62-53DBBC092328}"/>
    <cellStyle name="40% - Accent5 2 2 2 7" xfId="13204" xr:uid="{91DFF7D4-DAD3-4CAA-AF30-A5FB6845BBE5}"/>
    <cellStyle name="40% - Accent5 2 2 2 7 2" xfId="7095" xr:uid="{1C68A80F-17EA-45E5-B45E-39CC4427DDC5}"/>
    <cellStyle name="40% - Accent5 2 2 2 7 2 2" xfId="8708" xr:uid="{DE6CF8D7-7B35-44F9-997F-BB677393CC5B}"/>
    <cellStyle name="40% - Accent5 2 2 2 7 3" xfId="8706" xr:uid="{2D73845B-BB9B-49A4-A837-54B8DF84641A}"/>
    <cellStyle name="40% - Accent5 2 2 2 8" xfId="26337" xr:uid="{D048E95C-E0DC-4974-BA4D-EC1CD3FB8F2F}"/>
    <cellStyle name="40% - Accent5 2 2 2 8 2" xfId="27155" xr:uid="{687D8FE7-7BD0-43A9-BACC-EE3C4118A511}"/>
    <cellStyle name="40% - Accent5 2 2 2 9" xfId="8704" xr:uid="{9A687385-024E-4BE2-A36B-6983E7B044DE}"/>
    <cellStyle name="40% - Accent5 2 2 3" xfId="8703" xr:uid="{7A15CD92-58BE-4515-B36A-3099E25883DD}"/>
    <cellStyle name="40% - Accent5 2 2 3 2" xfId="8702" xr:uid="{4C19EEFE-24E8-4F1E-90B1-9260BA5471D4}"/>
    <cellStyle name="40% - Accent5 2 2 3 2 2" xfId="10541" xr:uid="{0187AD1C-AF50-4154-9E18-00741680E826}"/>
    <cellStyle name="40% - Accent5 2 2 3 2 2 2" xfId="8699" xr:uid="{44A16074-63F8-471E-922D-E34B152EE930}"/>
    <cellStyle name="40% - Accent5 2 2 3 2 2 2 2" xfId="8698" xr:uid="{7828289A-11DE-47D0-A213-08FACECB287D}"/>
    <cellStyle name="40% - Accent5 2 2 3 2 2 2 2 2" xfId="8695" xr:uid="{D2873238-E2CA-465D-A742-024D5EDA01FC}"/>
    <cellStyle name="40% - Accent5 2 2 3 2 2 2 2 2 2" xfId="14517" xr:uid="{A04D0F81-688D-4D54-823E-4E67C7B5F53B}"/>
    <cellStyle name="40% - Accent5 2 2 3 2 2 2 2 2 2 2" xfId="8694" xr:uid="{7EE60C11-C2AA-4D45-8C81-85FB0A33E97E}"/>
    <cellStyle name="40% - Accent5 2 2 3 2 2 2 2 2 3" xfId="8693" xr:uid="{72442BEE-4E5F-41E7-B0C4-D0AC9590AB99}"/>
    <cellStyle name="40% - Accent5 2 2 3 2 2 2 2 3" xfId="8692" xr:uid="{AA4F9B22-5188-448F-A78D-029D5F5E3FF8}"/>
    <cellStyle name="40% - Accent5 2 2 3 2 2 2 2 3 2" xfId="8691" xr:uid="{474E4B59-2B6E-47F8-9CB6-D8E5A31A8348}"/>
    <cellStyle name="40% - Accent5 2 2 3 2 2 2 2 4" xfId="8690" xr:uid="{6436A0E6-EB4C-4EE2-93CE-0EEE0A9E39B7}"/>
    <cellStyle name="40% - Accent5 2 2 3 2 2 2 3" xfId="8688" xr:uid="{6B13AF86-79A9-40A9-ACF8-03CC7BC56055}"/>
    <cellStyle name="40% - Accent5 2 2 3 2 2 2 3 2" xfId="8687" xr:uid="{01D84DA5-BE84-48B4-AA91-18220AD89E6D}"/>
    <cellStyle name="40% - Accent5 2 2 3 2 2 2 3 2 2" xfId="22393" xr:uid="{591674B9-179C-4920-AFB4-734288287C87}"/>
    <cellStyle name="40% - Accent5 2 2 3 2 2 2 3 3" xfId="8684" xr:uid="{CB27D76B-2063-4AE6-A497-95455D1DE381}"/>
    <cellStyle name="40% - Accent5 2 2 3 2 2 2 4" xfId="8681" xr:uid="{0DD8D35C-226B-4952-8873-F1067991A6D0}"/>
    <cellStyle name="40% - Accent5 2 2 3 2 2 2 4 2" xfId="27929" xr:uid="{6DD66A2E-F06C-4808-B350-67254E4CE490}"/>
    <cellStyle name="40% - Accent5 2 2 3 2 2 2 5" xfId="27168" xr:uid="{63D3FF28-C3D3-4E28-AB81-5B7AC5552FDD}"/>
    <cellStyle name="40% - Accent5 2 2 3 2 2 3" xfId="8680" xr:uid="{C1DE9CC5-B195-47F6-BC88-4B29E2FF3917}"/>
    <cellStyle name="40% - Accent5 2 2 3 2 2 3 2" xfId="8679" xr:uid="{4D49A93C-7844-4255-BAB8-54F1B9C46AD0}"/>
    <cellStyle name="40% - Accent5 2 2 3 2 2 3 2 2" xfId="16566" xr:uid="{08D2B90B-B215-462B-89F6-724DBE5554AA}"/>
    <cellStyle name="40% - Accent5 2 2 3 2 2 3 2 2 2" xfId="8678" xr:uid="{61E2B9E3-BFB2-4F95-B31B-A98BE9683DC3}"/>
    <cellStyle name="40% - Accent5 2 2 3 2 2 3 2 3" xfId="26691" xr:uid="{4E0D88DF-2C1E-4FA1-91A8-1B5A1CE0078F}"/>
    <cellStyle name="40% - Accent5 2 2 3 2 2 3 3" xfId="8677" xr:uid="{30E4F34D-8797-4514-B74B-7D64ADCB9186}"/>
    <cellStyle name="40% - Accent5 2 2 3 2 2 3 3 2" xfId="16544" xr:uid="{83928726-08A4-4CFA-9323-25B8284F6784}"/>
    <cellStyle name="40% - Accent5 2 2 3 2 2 3 4" xfId="13304" xr:uid="{02A0A020-23CA-4382-A9D2-A81AA97FCC88}"/>
    <cellStyle name="40% - Accent5 2 2 3 2 2 4" xfId="15545" xr:uid="{1FFDBE6B-A41F-44F3-92D2-56C248637A0E}"/>
    <cellStyle name="40% - Accent5 2 2 3 2 2 4 2" xfId="5563" xr:uid="{CD6A077C-8377-4D9E-A618-BE50B051CB16}"/>
    <cellStyle name="40% - Accent5 2 2 3 2 2 4 2 2" xfId="16385" xr:uid="{E8D05D82-04C7-4C92-B3FD-CEBEE9EEE77F}"/>
    <cellStyle name="40% - Accent5 2 2 3 2 2 4 3" xfId="5772" xr:uid="{B0BC4F36-D5AB-4CF3-9C26-109CF8425418}"/>
    <cellStyle name="40% - Accent5 2 2 3 2 2 5" xfId="8676" xr:uid="{5356DAB2-144B-4EF6-A5B6-F5446A4E1952}"/>
    <cellStyle name="40% - Accent5 2 2 3 2 2 5 2" xfId="8675" xr:uid="{58686529-3251-4B8F-AC34-F849D5AFEAF0}"/>
    <cellStyle name="40% - Accent5 2 2 3 2 2 6" xfId="8674" xr:uid="{456D4227-44F9-4DF3-AF78-B68C11D449F7}"/>
    <cellStyle name="40% - Accent5 2 2 3 2 3" xfId="8673" xr:uid="{145C619C-E3DA-4251-8E1F-0314656E1E49}"/>
    <cellStyle name="40% - Accent5 2 2 3 2 3 2" xfId="8671" xr:uid="{9F306FA2-39FB-48BB-8BE4-5EF3B9078B00}"/>
    <cellStyle name="40% - Accent5 2 2 3 2 3 2 2" xfId="25906" xr:uid="{7C70EA75-D00E-40B8-BAE8-C0EC7A3D3D50}"/>
    <cellStyle name="40% - Accent5 2 2 3 2 3 2 2 2" xfId="8670" xr:uid="{5C2C7776-6DB3-46A7-AF63-027CCBBD0733}"/>
    <cellStyle name="40% - Accent5 2 2 3 2 3 2 2 2 2" xfId="8669" xr:uid="{0699CF7E-E092-4411-BB53-155895907547}"/>
    <cellStyle name="40% - Accent5 2 2 3 2 3 2 2 3" xfId="8666" xr:uid="{FA5676BB-EF13-43FF-B8B5-85FC9E6D4F03}"/>
    <cellStyle name="40% - Accent5 2 2 3 2 3 2 3" xfId="8665" xr:uid="{7199EA89-ECD6-4F81-ACE9-A0E8B8140080}"/>
    <cellStyle name="40% - Accent5 2 2 3 2 3 2 3 2" xfId="20348" xr:uid="{CE9350AC-1480-41EF-9167-5BB3DF89D617}"/>
    <cellStyle name="40% - Accent5 2 2 3 2 3 2 4" xfId="10241" xr:uid="{0E8AA196-4767-47B6-8866-43C720F698A3}"/>
    <cellStyle name="40% - Accent5 2 2 3 2 3 3" xfId="8663" xr:uid="{A0B45CD3-70E2-41C4-9B46-011198E7EAD0}"/>
    <cellStyle name="40% - Accent5 2 2 3 2 3 3 2" xfId="8662" xr:uid="{BB62097A-F5D7-4383-9605-51694FF4C489}"/>
    <cellStyle name="40% - Accent5 2 2 3 2 3 3 2 2" xfId="16061" xr:uid="{D221CD68-64FC-4648-B03D-6C1DB330EE81}"/>
    <cellStyle name="40% - Accent5 2 2 3 2 3 3 3" xfId="8661" xr:uid="{A8E43614-4B9E-4F42-BF24-AD5F1E396DCE}"/>
    <cellStyle name="40% - Accent5 2 2 3 2 3 4" xfId="8659" xr:uid="{55FF171D-7B38-4BEC-8C8C-93AA12C439A8}"/>
    <cellStyle name="40% - Accent5 2 2 3 2 3 4 2" xfId="8658" xr:uid="{0AFED01E-254C-4BA1-8B49-F84534727064}"/>
    <cellStyle name="40% - Accent5 2 2 3 2 3 5" xfId="8656" xr:uid="{AF638CFE-1D57-45A6-9CA3-9691FD7DBD8D}"/>
    <cellStyle name="40% - Accent5 2 2 3 2 4" xfId="8654" xr:uid="{A432B9C8-28BB-4CE0-B7E9-6F09B499237F}"/>
    <cellStyle name="40% - Accent5 2 2 3 2 4 2" xfId="27196" xr:uid="{1DE652D2-65CD-4E11-9330-E86B200E2EC4}"/>
    <cellStyle name="40% - Accent5 2 2 3 2 4 2 2" xfId="8651" xr:uid="{FA4645FA-67DC-4A69-8737-7A1B20894D91}"/>
    <cellStyle name="40% - Accent5 2 2 3 2 4 2 2 2" xfId="8649" xr:uid="{C1714DBE-B4B4-4716-A616-443E3E05D1E1}"/>
    <cellStyle name="40% - Accent5 2 2 3 2 4 2 3" xfId="8648" xr:uid="{F7643385-8DED-44D6-A0F0-BBC3F9FBF4C2}"/>
    <cellStyle name="40% - Accent5 2 2 3 2 4 3" xfId="28091" xr:uid="{09A80C05-F328-4054-A051-4F13E1D87418}"/>
    <cellStyle name="40% - Accent5 2 2 3 2 4 3 2" xfId="8646" xr:uid="{B9FCC30D-1D6B-48C8-B48A-2D206397D6DC}"/>
    <cellStyle name="40% - Accent5 2 2 3 2 4 4" xfId="25299" xr:uid="{E836D215-F41C-43E7-9154-63E9B5F07802}"/>
    <cellStyle name="40% - Accent5 2 2 3 2 5" xfId="8645" xr:uid="{9F538D85-EC53-456C-9A8B-21F7F93515DA}"/>
    <cellStyle name="40% - Accent5 2 2 3 2 5 2" xfId="8643" xr:uid="{C6D63667-E1F9-49CA-8251-49639C5C35D1}"/>
    <cellStyle name="40% - Accent5 2 2 3 2 5 2 2" xfId="8642" xr:uid="{264DA348-8169-4BE3-A3A0-B281E9384603}"/>
    <cellStyle name="40% - Accent5 2 2 3 2 5 3" xfId="32853" xr:uid="{8F4F9EB1-5E4D-4C82-A171-D6AA924D2AE7}"/>
    <cellStyle name="40% - Accent5 2 2 3 2 6" xfId="8641" xr:uid="{D8681A6B-9CDB-4B54-B8FF-C4AD0A6EA6F3}"/>
    <cellStyle name="40% - Accent5 2 2 3 2 6 2" xfId="8640" xr:uid="{A7AF8D21-51AF-47BD-AB6D-15433E6D8C6B}"/>
    <cellStyle name="40% - Accent5 2 2 3 2 7" xfId="8639" xr:uid="{DC6FCAE5-B3A4-4210-8DA0-BCFDD3AE1C0A}"/>
    <cellStyle name="40% - Accent5 2 2 3 3" xfId="8638" xr:uid="{85CA74E6-41A3-4DB9-B5EC-AFAB8CC6AE3B}"/>
    <cellStyle name="40% - Accent5 2 2 3 3 2" xfId="8635" xr:uid="{0BC788FF-085D-4243-8030-485E1E399E71}"/>
    <cellStyle name="40% - Accent5 2 2 3 3 2 2" xfId="8634" xr:uid="{83EC8988-17AE-435E-968C-54EC57C57929}"/>
    <cellStyle name="40% - Accent5 2 2 3 3 2 2 2" xfId="8631" xr:uid="{385AC921-956F-4004-AFEE-5230C40094DF}"/>
    <cellStyle name="40% - Accent5 2 2 3 3 2 2 2 2" xfId="34187" xr:uid="{0FB7C487-1FAD-450F-97FF-06526DE93F90}"/>
    <cellStyle name="40% - Accent5 2 2 3 3 2 2 2 2 2" xfId="19039" xr:uid="{6D7E8253-F032-4759-BEF1-44A831650BA9}"/>
    <cellStyle name="40% - Accent5 2 2 3 3 2 2 2 3" xfId="33429" xr:uid="{05340DF9-045D-4B5C-8049-26B9D2739E34}"/>
    <cellStyle name="40% - Accent5 2 2 3 3 2 2 3" xfId="8628" xr:uid="{4D3CF656-B1D5-47D3-A400-CD09BEA5B780}"/>
    <cellStyle name="40% - Accent5 2 2 3 3 2 2 3 2" xfId="33590" xr:uid="{014A821B-357A-4AF5-87E2-DDAFBF7FA43C}"/>
    <cellStyle name="40% - Accent5 2 2 3 3 2 2 4" xfId="6150" xr:uid="{AB6EA930-6DB5-43FD-87BE-5F2FD34B0756}"/>
    <cellStyle name="40% - Accent5 2 2 3 3 2 3" xfId="8627" xr:uid="{0B03A5EC-9D79-4A66-B535-C29E66164F37}"/>
    <cellStyle name="40% - Accent5 2 2 3 3 2 3 2" xfId="13837" xr:uid="{B36E8F76-7C4B-48C7-83B3-011E04A89980}"/>
    <cellStyle name="40% - Accent5 2 2 3 3 2 3 2 2" xfId="34318" xr:uid="{31F06C05-1E57-4C16-BB09-3EBE0F785643}"/>
    <cellStyle name="40% - Accent5 2 2 3 3 2 3 3" xfId="8622" xr:uid="{46999BA7-0234-409C-9015-ED38AF2B31E8}"/>
    <cellStyle name="40% - Accent5 2 2 3 3 2 4" xfId="8621" xr:uid="{46DB802C-EBE5-4E0E-AB75-C46E52826E22}"/>
    <cellStyle name="40% - Accent5 2 2 3 3 2 4 2" xfId="8617" xr:uid="{DD32EEDD-3194-4D46-BE96-D80AC398D2E8}"/>
    <cellStyle name="40% - Accent5 2 2 3 3 2 5" xfId="8616" xr:uid="{40D2B3E2-29D6-42A9-8506-1B2A43C8DBBC}"/>
    <cellStyle name="40% - Accent5 2 2 3 3 3" xfId="8614" xr:uid="{E3681D70-9C00-460D-8428-F7EA033AACFF}"/>
    <cellStyle name="40% - Accent5 2 2 3 3 3 2" xfId="8613" xr:uid="{6D28FAA7-11FD-4273-9534-66484727FBCD}"/>
    <cellStyle name="40% - Accent5 2 2 3 3 3 2 2" xfId="8610" xr:uid="{8BC5466F-47B7-4C01-AD94-DF28A1284926}"/>
    <cellStyle name="40% - Accent5 2 2 3 3 3 2 2 2" xfId="8609" xr:uid="{EB23D0EB-5CDD-4137-9667-4DF2FC50CA3E}"/>
    <cellStyle name="40% - Accent5 2 2 3 3 3 2 3" xfId="8608" xr:uid="{C1A12C17-0083-4461-BD06-C57D17886895}"/>
    <cellStyle name="40% - Accent5 2 2 3 3 3 3" xfId="8606" xr:uid="{86F55EB6-FCC2-4F2B-BDBC-657459CAE9FB}"/>
    <cellStyle name="40% - Accent5 2 2 3 3 3 3 2" xfId="32137" xr:uid="{50DDD80D-27AD-41DD-8928-545BDB5C9F8A}"/>
    <cellStyle name="40% - Accent5 2 2 3 3 3 4" xfId="8603" xr:uid="{0CE0F26B-3C40-4D82-A2A7-C7F6CD291D7A}"/>
    <cellStyle name="40% - Accent5 2 2 3 3 4" xfId="8776" xr:uid="{A154E476-6C8D-4D42-BCB2-D46C40C3AEED}"/>
    <cellStyle name="40% - Accent5 2 2 3 3 4 2" xfId="8601" xr:uid="{0FAC8767-614E-4487-9FAD-458C447A72EE}"/>
    <cellStyle name="40% - Accent5 2 2 3 3 4 2 2" xfId="8598" xr:uid="{3A8D282B-5816-42A2-A93E-0FF76310B792}"/>
    <cellStyle name="40% - Accent5 2 2 3 3 4 3" xfId="28085" xr:uid="{AC0DE213-0A87-4BFF-BCDC-A2DE8A7E51FC}"/>
    <cellStyle name="40% - Accent5 2 2 3 3 5" xfId="8759" xr:uid="{8E5E0616-6ED2-44A9-9C8B-A861405A0708}"/>
    <cellStyle name="40% - Accent5 2 2 3 3 5 2" xfId="8596" xr:uid="{D12E5745-450B-4B82-9880-617AAD68D18B}"/>
    <cellStyle name="40% - Accent5 2 2 3 3 6" xfId="8750" xr:uid="{5C5CABE8-8677-4AD1-8705-3FCCDEE0E291}"/>
    <cellStyle name="40% - Accent5 2 2 3 4" xfId="8595" xr:uid="{C2DBCB2F-33A4-4986-A10D-F08A5600B7ED}"/>
    <cellStyle name="40% - Accent5 2 2 3 4 2" xfId="8593" xr:uid="{8186D3F0-3AFC-4B4E-BAF0-4EF8907B2F5A}"/>
    <cellStyle name="40% - Accent5 2 2 3 4 2 2" xfId="8592" xr:uid="{388D9117-4641-485B-9582-4B700DD3720F}"/>
    <cellStyle name="40% - Accent5 2 2 3 4 2 2 2" xfId="8590" xr:uid="{81D42525-6440-49B3-9D57-70FC52C62787}"/>
    <cellStyle name="40% - Accent5 2 2 3 4 2 2 2 2" xfId="8589" xr:uid="{E2FCBEFC-4B02-4E10-AC3F-9C0BB420DEBA}"/>
    <cellStyle name="40% - Accent5 2 2 3 4 2 2 3" xfId="8587" xr:uid="{AB861E9A-537C-44E0-AE5E-B9BF6C3CB26A}"/>
    <cellStyle name="40% - Accent5 2 2 3 4 2 3" xfId="8586" xr:uid="{3AFA6495-B097-47D2-A692-FBCD1509D051}"/>
    <cellStyle name="40% - Accent5 2 2 3 4 2 3 2" xfId="8583" xr:uid="{481B3AC5-7B9D-4B9B-B340-C93675D21B36}"/>
    <cellStyle name="40% - Accent5 2 2 3 4 2 4" xfId="18451" xr:uid="{746593B0-8547-440A-A5E2-946CA77D3DEB}"/>
    <cellStyle name="40% - Accent5 2 2 3 4 3" xfId="14948" xr:uid="{BCB4FC19-82EF-4B90-9A01-716841D20282}"/>
    <cellStyle name="40% - Accent5 2 2 3 4 3 2" xfId="8582" xr:uid="{6A007CB7-DCB7-4431-84B8-4C311C704B9C}"/>
    <cellStyle name="40% - Accent5 2 2 3 4 3 2 2" xfId="8580" xr:uid="{83E0E80E-EED2-4627-AE3D-5CEFBC5C2946}"/>
    <cellStyle name="40% - Accent5 2 2 3 4 3 3" xfId="8579" xr:uid="{19422194-8DC1-4A7B-8530-910B448A34A1}"/>
    <cellStyle name="40% - Accent5 2 2 3 4 4" xfId="8743" xr:uid="{10BD6397-0AFD-476A-88C6-065F4DF544DC}"/>
    <cellStyle name="40% - Accent5 2 2 3 4 4 2" xfId="8578" xr:uid="{E6C99DC3-D83E-489C-9654-18B4AF05C312}"/>
    <cellStyle name="40% - Accent5 2 2 3 4 5" xfId="8736" xr:uid="{12641892-9D63-417E-85EF-4E0FC1C7C44B}"/>
    <cellStyle name="40% - Accent5 2 2 3 5" xfId="13202" xr:uid="{8EC9F4EC-449D-4566-A52B-2A35654B1FC9}"/>
    <cellStyle name="40% - Accent5 2 2 3 5 2" xfId="8575" xr:uid="{2031310E-90B3-4D96-AC11-779CD5B6A69F}"/>
    <cellStyle name="40% - Accent5 2 2 3 5 2 2" xfId="8573" xr:uid="{B544E7C6-8FA9-4006-A22D-790F56C68A17}"/>
    <cellStyle name="40% - Accent5 2 2 3 5 2 2 2" xfId="8569" xr:uid="{81AA917E-F7A7-47A3-8E55-D008B016D235}"/>
    <cellStyle name="40% - Accent5 2 2 3 5 2 3" xfId="27331" xr:uid="{B54BE8AB-7724-4FBA-856F-1FC34A0D1309}"/>
    <cellStyle name="40% - Accent5 2 2 3 5 3" xfId="19574" xr:uid="{3C89AFE3-B422-418D-89FB-936B2D2A69DA}"/>
    <cellStyle name="40% - Accent5 2 2 3 5 3 2" xfId="8568" xr:uid="{27BABA2C-69D3-4997-B4BD-AF2D164CF7C2}"/>
    <cellStyle name="40% - Accent5 2 2 3 5 4" xfId="8732" xr:uid="{C0ADCD0E-F17F-4C9E-AA94-3F75ACD6958F}"/>
    <cellStyle name="40% - Accent5 2 2 3 6" xfId="13200" xr:uid="{49B6CBB4-33AB-4C2B-88A7-1775116FBAF5}"/>
    <cellStyle name="40% - Accent5 2 2 3 6 2" xfId="34251" xr:uid="{81FD6559-5F7B-4221-B6CD-16DB4DD17F1D}"/>
    <cellStyle name="40% - Accent5 2 2 3 6 2 2" xfId="8567" xr:uid="{AFCF5D08-34D7-43B3-9BFC-57023C2A9D78}"/>
    <cellStyle name="40% - Accent5 2 2 3 6 3" xfId="19560" xr:uid="{E405C988-F173-4B84-86EE-CCE4A6793600}"/>
    <cellStyle name="40% - Accent5 2 2 3 7" xfId="5783" xr:uid="{39D07899-3D10-4733-A187-1A093BF1878F}"/>
    <cellStyle name="40% - Accent5 2 2 3 7 2" xfId="5780" xr:uid="{A73C9752-3718-4E39-8DA1-0F8D745A4065}"/>
    <cellStyle name="40% - Accent5 2 2 3 8" xfId="7477" xr:uid="{BA7BC5BF-AE1D-494D-999A-CE528EDD2495}"/>
    <cellStyle name="40% - Accent5 2 2 4" xfId="8566" xr:uid="{960437E3-B8E6-4948-B6F4-9AD781A67824}"/>
    <cellStyle name="40% - Accent5 2 2 4 2" xfId="8565" xr:uid="{B6392E41-CE84-41FF-B229-11BD6B26C913}"/>
    <cellStyle name="40% - Accent5 2 2 4 2 2" xfId="8561" xr:uid="{420B3CF5-CA52-46BF-AE9B-FC5A697C9C57}"/>
    <cellStyle name="40% - Accent5 2 2 4 2 2 2" xfId="8555" xr:uid="{146485AA-B502-4D53-B16E-5E935E935839}"/>
    <cellStyle name="40% - Accent5 2 2 4 2 2 2 2" xfId="8554" xr:uid="{3F2FB069-86A4-4D49-AAFC-E2D72A91B589}"/>
    <cellStyle name="40% - Accent5 2 2 4 2 2 2 2 2" xfId="31394" xr:uid="{C4E34D1B-0A23-4A36-B741-3598A2E1ED59}"/>
    <cellStyle name="40% - Accent5 2 2 4 2 2 2 2 2 2" xfId="27861" xr:uid="{C9D8BCA3-D1A3-425E-9CC5-473C887ED3CA}"/>
    <cellStyle name="40% - Accent5 2 2 4 2 2 2 2 3" xfId="8552" xr:uid="{785F076D-F7E2-4FCF-BBC8-3A34333AC9EE}"/>
    <cellStyle name="40% - Accent5 2 2 4 2 2 2 3" xfId="8548" xr:uid="{880D5767-48C5-462D-A0DE-88036F63B816}"/>
    <cellStyle name="40% - Accent5 2 2 4 2 2 2 3 2" xfId="8545" xr:uid="{788127D6-8BCF-4DCF-8270-5D5D17EF61F7}"/>
    <cellStyle name="40% - Accent5 2 2 4 2 2 2 4" xfId="8544" xr:uid="{60DC7D5D-CD82-454D-BA83-D4353EAE38C4}"/>
    <cellStyle name="40% - Accent5 2 2 4 2 2 3" xfId="8542" xr:uid="{DF0A17BD-5DFF-494F-AC81-BF8C050A5521}"/>
    <cellStyle name="40% - Accent5 2 2 4 2 2 3 2" xfId="18695" xr:uid="{4894EC0C-794A-4B15-923B-B658B4D78469}"/>
    <cellStyle name="40% - Accent5 2 2 4 2 2 3 2 2" xfId="8541" xr:uid="{057944C3-F0B0-4B13-89A4-5E0027B2DF75}"/>
    <cellStyle name="40% - Accent5 2 2 4 2 2 3 3" xfId="8540" xr:uid="{2D2D4646-1D0F-4AEA-AEFD-6CAFF5EA7DC0}"/>
    <cellStyle name="40% - Accent5 2 2 4 2 2 4" xfId="24756" xr:uid="{166A9CC0-213E-4ED9-A1BC-71E78611CD2F}"/>
    <cellStyle name="40% - Accent5 2 2 4 2 2 4 2" xfId="19535" xr:uid="{5746618C-DBC0-40AA-9CBE-9141B179137C}"/>
    <cellStyle name="40% - Accent5 2 2 4 2 2 5" xfId="24753" xr:uid="{95772CF6-BCD2-4D6A-A2B4-FE260DD11040}"/>
    <cellStyle name="40% - Accent5 2 2 4 2 3" xfId="8538" xr:uid="{705CE9B9-BB14-49D4-A19E-B31B3857BC75}"/>
    <cellStyle name="40% - Accent5 2 2 4 2 3 2" xfId="8537" xr:uid="{1CF36BA2-886D-42E6-B32C-248118DA9690}"/>
    <cellStyle name="40% - Accent5 2 2 4 2 3 2 2" xfId="8536" xr:uid="{243B0EAE-5D95-4CA3-B198-B5E7FBB5BED7}"/>
    <cellStyle name="40% - Accent5 2 2 4 2 3 2 2 2" xfId="25201" xr:uid="{C4EB3247-A452-44E0-B418-A575FA5564EB}"/>
    <cellStyle name="40% - Accent5 2 2 4 2 3 2 3" xfId="8534" xr:uid="{77E15D6B-EC0C-4C53-95A7-0B1AB8847896}"/>
    <cellStyle name="40% - Accent5 2 2 4 2 3 3" xfId="8531" xr:uid="{0BF1F686-1B24-4913-898E-B913DD1A3ACA}"/>
    <cellStyle name="40% - Accent5 2 2 4 2 3 3 2" xfId="8530" xr:uid="{F4E4F141-B83B-4AD3-89EB-16B8E8088938}"/>
    <cellStyle name="40% - Accent5 2 2 4 2 3 4" xfId="24751" xr:uid="{6AE44EC2-6CFF-4F51-9C4A-001171BB54CB}"/>
    <cellStyle name="40% - Accent5 2 2 4 2 4" xfId="8529" xr:uid="{19830D2E-0FD5-441F-A213-C6B7C050573D}"/>
    <cellStyle name="40% - Accent5 2 2 4 2 4 2" xfId="8527" xr:uid="{3023F6B6-0740-4148-9019-9B2B31C27FDE}"/>
    <cellStyle name="40% - Accent5 2 2 4 2 4 2 2" xfId="8526" xr:uid="{89B69C4B-0DDD-4781-B205-B3A1907EC7A0}"/>
    <cellStyle name="40% - Accent5 2 2 4 2 4 3" xfId="28048" xr:uid="{49AD56CC-9A34-40F0-98CF-CD3820A453CB}"/>
    <cellStyle name="40% - Accent5 2 2 4 2 5" xfId="8524" xr:uid="{F7D3FA21-7D1C-4315-B0DB-3C9E96BACB81}"/>
    <cellStyle name="40% - Accent5 2 2 4 2 5 2" xfId="8523" xr:uid="{D7E44D03-DBA7-4907-8676-4B2BCA46E77B}"/>
    <cellStyle name="40% - Accent5 2 2 4 2 6" xfId="8522" xr:uid="{D6283963-8F5B-4A89-B122-2867DFFD1028}"/>
    <cellStyle name="40% - Accent5 2 2 4 3" xfId="8520" xr:uid="{01F1E7FB-BBD6-4187-A061-420BE3FAE38E}"/>
    <cellStyle name="40% - Accent5 2 2 4 3 2" xfId="8516" xr:uid="{5F978B14-246C-4E01-B569-4D679189A0CB}"/>
    <cellStyle name="40% - Accent5 2 2 4 3 2 2" xfId="8515" xr:uid="{04493FC1-55BA-42CB-8636-070F3AB693D1}"/>
    <cellStyle name="40% - Accent5 2 2 4 3 2 2 2" xfId="8513" xr:uid="{2D5E90D7-43DD-4F90-8D20-5EF6985A84DC}"/>
    <cellStyle name="40% - Accent5 2 2 4 3 2 2 2 2" xfId="8511" xr:uid="{052A6216-C25F-4238-932C-271B7DFB04F6}"/>
    <cellStyle name="40% - Accent5 2 2 4 3 2 2 3" xfId="8509" xr:uid="{7EA1DC52-EC09-4B84-A557-A79297717784}"/>
    <cellStyle name="40% - Accent5 2 2 4 3 2 3" xfId="8507" xr:uid="{CE994BB5-A739-4DFD-9D37-E97B0ADEBC5B}"/>
    <cellStyle name="40% - Accent5 2 2 4 3 2 3 2" xfId="8504" xr:uid="{53CD4F8C-4F2C-459D-99D7-EF7493D0F34E}"/>
    <cellStyle name="40% - Accent5 2 2 4 3 2 4" xfId="24749" xr:uid="{12C73A5F-4F72-40D7-86BC-CDD4BDD5A565}"/>
    <cellStyle name="40% - Accent5 2 2 4 3 3" xfId="8503" xr:uid="{70847D13-C542-4B58-8D25-9164DA7D2751}"/>
    <cellStyle name="40% - Accent5 2 2 4 3 3 2" xfId="8502" xr:uid="{325E139D-2AB6-4479-911A-18A525B50982}"/>
    <cellStyle name="40% - Accent5 2 2 4 3 3 2 2" xfId="8500" xr:uid="{2C67A5F0-5290-4FAA-A470-CC78A8A18D8F}"/>
    <cellStyle name="40% - Accent5 2 2 4 3 3 3" xfId="8498" xr:uid="{3B344EF2-C119-480F-A790-3FADA813D99A}"/>
    <cellStyle name="40% - Accent5 2 2 4 3 4" xfId="8723" xr:uid="{F333BE71-928D-463A-8ECB-8E6C64256CF4}"/>
    <cellStyle name="40% - Accent5 2 2 4 3 4 2" xfId="8497" xr:uid="{F5677F2C-D630-42F1-A0E5-5AB3A1AEA8A2}"/>
    <cellStyle name="40% - Accent5 2 2 4 3 5" xfId="27376" xr:uid="{6B2CA139-D29C-4619-B2B7-284B7C72234C}"/>
    <cellStyle name="40% - Accent5 2 2 4 4" xfId="8496" xr:uid="{31D1A463-633B-4DE9-B3E4-2A3FC5C9DD98}"/>
    <cellStyle name="40% - Accent5 2 2 4 4 2" xfId="8495" xr:uid="{0B146E7F-294B-4786-BFA4-EEA506662339}"/>
    <cellStyle name="40% - Accent5 2 2 4 4 2 2" xfId="8494" xr:uid="{D7A385D2-0652-41FC-AFFE-981DAE0645C9}"/>
    <cellStyle name="40% - Accent5 2 2 4 4 2 2 2" xfId="8491" xr:uid="{BA96361C-0DA6-46C6-BA4B-F19FC375BDA6}"/>
    <cellStyle name="40% - Accent5 2 2 4 4 2 3" xfId="8490" xr:uid="{F4646F62-9894-4B78-9CF8-A72C144A11E4}"/>
    <cellStyle name="40% - Accent5 2 2 4 4 3" xfId="8489" xr:uid="{B4D53B93-0E45-4812-ABAD-984155A4AD1D}"/>
    <cellStyle name="40% - Accent5 2 2 4 4 3 2" xfId="8488" xr:uid="{C2D90A15-1C61-4218-A073-98963EBF6685}"/>
    <cellStyle name="40% - Accent5 2 2 4 4 4" xfId="8714" xr:uid="{637D7089-91AF-49A2-8218-CEFB4CB6A528}"/>
    <cellStyle name="40% - Accent5 2 2 4 5" xfId="13198" xr:uid="{478C39D8-4C74-4100-99C8-7AD3D314E00A}"/>
    <cellStyle name="40% - Accent5 2 2 4 5 2" xfId="10957" xr:uid="{0B3DFB3E-D173-4809-B6C2-55F39135E49E}"/>
    <cellStyle name="40% - Accent5 2 2 4 5 2 2" xfId="8486" xr:uid="{7BC204D0-4A9E-4E1F-8EBB-D608DDF64702}"/>
    <cellStyle name="40% - Accent5 2 2 4 5 3" xfId="11635" xr:uid="{8F1ECE92-6A96-4896-ABA5-F2D12EF270F5}"/>
    <cellStyle name="40% - Accent5 2 2 4 6" xfId="8484" xr:uid="{614CCEAD-A838-44F0-A134-88103175CB97}"/>
    <cellStyle name="40% - Accent5 2 2 4 6 2" xfId="33959" xr:uid="{40438443-5735-4B2D-9439-87740E3C4074}"/>
    <cellStyle name="40% - Accent5 2 2 4 7" xfId="5763" xr:uid="{2B7D7C74-4559-4C8A-805E-1ED2E7A36074}"/>
    <cellStyle name="40% - Accent5 2 2 5" xfId="33901" xr:uid="{6B5971F6-CC3D-4B04-A4E9-5CC4D2807B04}"/>
    <cellStyle name="40% - Accent5 2 2 5 2" xfId="25415" xr:uid="{BC70EEA5-C45E-4896-A6A7-C4887479EE96}"/>
    <cellStyle name="40% - Accent5 2 2 5 2 2" xfId="8482" xr:uid="{C524E618-A69C-4B26-8C46-EA43D0BA4140}"/>
    <cellStyle name="40% - Accent5 2 2 5 2 2 2" xfId="8481" xr:uid="{2933565D-C322-44E8-8ABC-AADF216524B8}"/>
    <cellStyle name="40% - Accent5 2 2 5 2 2 2 2" xfId="22601" xr:uid="{D1F376EE-550F-4B00-8F8A-80453E16C3AC}"/>
    <cellStyle name="40% - Accent5 2 2 5 2 2 2 2 2" xfId="7994" xr:uid="{05E57992-EE94-4F82-93D3-9FD2F7710737}"/>
    <cellStyle name="40% - Accent5 2 2 5 2 2 2 3" xfId="30186" xr:uid="{D6A62A0A-D318-4134-9D55-45179B70B4D1}"/>
    <cellStyle name="40% - Accent5 2 2 5 2 2 3" xfId="8480" xr:uid="{8B959BB3-0C54-4751-A65D-C895EC01CF21}"/>
    <cellStyle name="40% - Accent5 2 2 5 2 2 3 2" xfId="31819" xr:uid="{A10EDD70-0C99-4766-9CC1-FF5F18F602C8}"/>
    <cellStyle name="40% - Accent5 2 2 5 2 2 4" xfId="24558" xr:uid="{EBC50E15-032B-4AA1-89BE-C9F26C933D34}"/>
    <cellStyle name="40% - Accent5 2 2 5 2 3" xfId="8478" xr:uid="{02BC2EC6-CCF4-441A-9872-CBDF2CA49F39}"/>
    <cellStyle name="40% - Accent5 2 2 5 2 3 2" xfId="8477" xr:uid="{7FD53526-56A4-4F17-8C24-99180F38430E}"/>
    <cellStyle name="40% - Accent5 2 2 5 2 3 2 2" xfId="24031" xr:uid="{02E8CA14-985A-43FA-AB38-E3626171AD98}"/>
    <cellStyle name="40% - Accent5 2 2 5 2 3 3" xfId="8476" xr:uid="{A12A2E2B-C1AB-486E-9054-24FF6C8661B1}"/>
    <cellStyle name="40% - Accent5 2 2 5 2 4" xfId="8474" xr:uid="{75E9AA4A-2B32-4803-B068-8C6D73B439C4}"/>
    <cellStyle name="40% - Accent5 2 2 5 2 4 2" xfId="8472" xr:uid="{10D264A0-D9CE-4BCD-8697-9735973BE288}"/>
    <cellStyle name="40% - Accent5 2 2 5 2 5" xfId="18652" xr:uid="{CF425AB6-379D-499B-B199-F48325210695}"/>
    <cellStyle name="40% - Accent5 2 2 5 3" xfId="29902" xr:uid="{45F65F1E-4981-4791-BE8C-1E0051717C48}"/>
    <cellStyle name="40% - Accent5 2 2 5 3 2" xfId="8471" xr:uid="{D30B0DA4-0276-4EE4-9033-68BE26F8D1CD}"/>
    <cellStyle name="40% - Accent5 2 2 5 3 2 2" xfId="8470" xr:uid="{D2A8A6ED-32B7-4B8D-AA25-C15B55225F6E}"/>
    <cellStyle name="40% - Accent5 2 2 5 3 2 2 2" xfId="8466" xr:uid="{06F6BEDA-0867-4BFD-B424-CCA84327370F}"/>
    <cellStyle name="40% - Accent5 2 2 5 3 2 3" xfId="8465" xr:uid="{78EC95E2-85F8-4F64-9BDE-8A2E3F71AE10}"/>
    <cellStyle name="40% - Accent5 2 2 5 3 3" xfId="8463" xr:uid="{1D1A7C5C-0DFF-49E3-A1EE-C65BB9E8B937}"/>
    <cellStyle name="40% - Accent5 2 2 5 3 3 2" xfId="8462" xr:uid="{3661C852-1559-4BFD-8B88-F43CA7C359C4}"/>
    <cellStyle name="40% - Accent5 2 2 5 3 4" xfId="8711" xr:uid="{A1D75E79-8368-4021-BF97-3963C248F8AF}"/>
    <cellStyle name="40% - Accent5 2 2 5 4" xfId="8461" xr:uid="{3950641D-9FC8-4162-9F94-CCE856B58E18}"/>
    <cellStyle name="40% - Accent5 2 2 5 4 2" xfId="27842" xr:uid="{F524DEE1-B101-470E-8A3D-D5DB4545E5CB}"/>
    <cellStyle name="40% - Accent5 2 2 5 4 2 2" xfId="8460" xr:uid="{F09BECEE-8843-48E8-9DF7-F7FE5D54D5FC}"/>
    <cellStyle name="40% - Accent5 2 2 5 4 3" xfId="28425" xr:uid="{66BD122D-F89F-4C1C-8ACC-E08EB5E39996}"/>
    <cellStyle name="40% - Accent5 2 2 5 5" xfId="32738" xr:uid="{015C5960-0480-4E6C-9CF8-EB30D835D546}"/>
    <cellStyle name="40% - Accent5 2 2 5 5 2" xfId="32134" xr:uid="{06222B78-544E-47FB-9413-3D496ECF464F}"/>
    <cellStyle name="40% - Accent5 2 2 5 6" xfId="8459" xr:uid="{D92109C8-3C8B-4B40-AEF2-38B27E0BD6C6}"/>
    <cellStyle name="40% - Accent5 2 2 6" xfId="15246" xr:uid="{D7A8360F-E0B2-4E35-8BB6-67A185109D83}"/>
    <cellStyle name="40% - Accent5 2 2 6 2" xfId="25402" xr:uid="{BF56D040-D240-42EB-9F85-7FFC4512EA09}"/>
    <cellStyle name="40% - Accent5 2 2 6 2 2" xfId="10250" xr:uid="{2A10FAA4-F068-4028-8CFC-6E7861F7901C}"/>
    <cellStyle name="40% - Accent5 2 2 6 2 2 2" xfId="8458" xr:uid="{46EC1933-CAF7-4F23-BC76-9890E1B68DDE}"/>
    <cellStyle name="40% - Accent5 2 2 6 2 2 2 2" xfId="8456" xr:uid="{6AF75B49-8D8B-4AC1-B0E2-56515401EF2E}"/>
    <cellStyle name="40% - Accent5 2 2 6 2 2 3" xfId="8455" xr:uid="{E778618F-3BE9-4D80-BF57-BB6638E29319}"/>
    <cellStyle name="40% - Accent5 2 2 6 2 3" xfId="8453" xr:uid="{3E6D9045-BE53-4CB8-A953-6DD0DBC7A923}"/>
    <cellStyle name="40% - Accent5 2 2 6 2 3 2" xfId="31419" xr:uid="{4F52710C-E5F6-4D00-B76B-3699AE361C8A}"/>
    <cellStyle name="40% - Accent5 2 2 6 2 4" xfId="8451" xr:uid="{F0469F2B-57B8-4AE2-BE17-CEFD9D434291}"/>
    <cellStyle name="40% - Accent5 2 2 6 3" xfId="8449" xr:uid="{A9FF69F8-FDA9-4845-AC15-A12DEC2812C6}"/>
    <cellStyle name="40% - Accent5 2 2 6 3 2" xfId="8448" xr:uid="{743765A1-3828-4F08-8F36-079DD973BA9F}"/>
    <cellStyle name="40% - Accent5 2 2 6 3 2 2" xfId="32611" xr:uid="{4788B981-2B21-4EA0-AB32-AAF22ED517DE}"/>
    <cellStyle name="40% - Accent5 2 2 6 3 3" xfId="18867" xr:uid="{B304C192-35F1-4C34-9597-514717BE89D9}"/>
    <cellStyle name="40% - Accent5 2 2 6 4" xfId="8446" xr:uid="{809F5B27-8797-479D-B8B2-98EE65B266E4}"/>
    <cellStyle name="40% - Accent5 2 2 6 4 2" xfId="28407" xr:uid="{53B3925F-1BFA-4844-81CE-BF8D3D3CA293}"/>
    <cellStyle name="40% - Accent5 2 2 6 5" xfId="8445" xr:uid="{6091E6D5-C145-4C4E-9359-784D47B46DD1}"/>
    <cellStyle name="40% - Accent5 2 2 7" xfId="22409" xr:uid="{B3B565AA-02E9-4A9A-BA4D-64BD5DE30969}"/>
    <cellStyle name="40% - Accent5 2 2 7 2" xfId="22405" xr:uid="{0026CC5F-13F5-4C2C-AE7F-8C29A5A985FD}"/>
    <cellStyle name="40% - Accent5 2 2 7 2 2" xfId="8444" xr:uid="{642B284B-711F-4EA4-913F-004336152502}"/>
    <cellStyle name="40% - Accent5 2 2 7 2 2 2" xfId="8442" xr:uid="{D3DFFE4D-6D02-4439-8898-C4356DD0DC11}"/>
    <cellStyle name="40% - Accent5 2 2 7 2 3" xfId="8440" xr:uid="{E0D370A9-B02B-437C-9890-6768454AF8B9}"/>
    <cellStyle name="40% - Accent5 2 2 7 3" xfId="8438" xr:uid="{1B4A63DB-6B27-4D07-AE47-682C08CE2A14}"/>
    <cellStyle name="40% - Accent5 2 2 7 3 2" xfId="8436" xr:uid="{AAEE524D-1045-4C7B-BB91-0A32C74A949F}"/>
    <cellStyle name="40% - Accent5 2 2 7 4" xfId="8434" xr:uid="{0186A352-C101-4585-9122-B8CEC0721BA8}"/>
    <cellStyle name="40% - Accent5 2 2 8" xfId="22358" xr:uid="{DFC5FEE2-B059-41A5-97CB-6B8CDECF47C3}"/>
    <cellStyle name="40% - Accent5 2 2 8 2" xfId="8432" xr:uid="{725ED423-30C6-4038-8E6B-E0377B1400C5}"/>
    <cellStyle name="40% - Accent5 2 2 8 2 2" xfId="8431" xr:uid="{288E31C1-D9B8-4509-9DFD-04A4772872D9}"/>
    <cellStyle name="40% - Accent5 2 2 8 3" xfId="8428" xr:uid="{EA7C55A5-3C02-4EC7-A035-958DA1C8575C}"/>
    <cellStyle name="40% - Accent5 2 2 9" xfId="8426" xr:uid="{57757983-BBE5-42E1-B168-184B3F2CC727}"/>
    <cellStyle name="40% - Accent5 2 2 9 2" xfId="8425" xr:uid="{4A07CD52-46AB-49FB-A08F-930072DB053A}"/>
    <cellStyle name="40% - Accent5 2 3" xfId="212" xr:uid="{47919735-03C0-44C3-8813-59EB5D7C1F1A}"/>
    <cellStyle name="40% - Accent5 2 3 10" xfId="34543" xr:uid="{9F41AF18-A789-415D-8A15-95BC69D0B838}"/>
    <cellStyle name="40% - Accent5 2 3 11" xfId="31885" xr:uid="{534AD047-F16A-4A3E-AADE-A4CC2D6583C4}"/>
    <cellStyle name="40% - Accent5 2 3 2" xfId="11843" xr:uid="{093A1FAE-767B-4DE6-BE95-AF68E8DE02B3}"/>
    <cellStyle name="40% - Accent5 2 3 2 2" xfId="11840" xr:uid="{9521F6FC-4CE3-4B35-89EA-AD939AE8FF2B}"/>
    <cellStyle name="40% - Accent5 2 3 2 2 2" xfId="10478" xr:uid="{626032BE-F99B-4F16-AAA4-523F76BB2837}"/>
    <cellStyle name="40% - Accent5 2 3 2 2 2 2" xfId="24830" xr:uid="{1C3F5946-DB47-4B43-B37B-3F0667BFA790}"/>
    <cellStyle name="40% - Accent5 2 3 2 2 2 2 2" xfId="8424" xr:uid="{A0A164A1-BE35-4FB4-BCE8-E6374820844D}"/>
    <cellStyle name="40% - Accent5 2 3 2 2 2 2 2 2" xfId="8422" xr:uid="{DCF47E2A-5D5B-49F8-9C2D-3A5F0C4DC51A}"/>
    <cellStyle name="40% - Accent5 2 3 2 2 2 2 2 2 2" xfId="11980" xr:uid="{4C12814C-7833-4666-A988-A33FFFA19784}"/>
    <cellStyle name="40% - Accent5 2 3 2 2 2 2 2 2 2 2" xfId="8421" xr:uid="{DF80629D-504F-4F06-BECC-D0C54A936FB8}"/>
    <cellStyle name="40% - Accent5 2 3 2 2 2 2 2 2 3" xfId="10272" xr:uid="{3E524617-FF84-4651-9B00-DFBD10277A60}"/>
    <cellStyle name="40% - Accent5 2 3 2 2 2 2 2 3" xfId="26557" xr:uid="{ADBD0D35-35B1-48E7-8F27-778C3855BB94}"/>
    <cellStyle name="40% - Accent5 2 3 2 2 2 2 2 3 2" xfId="15628" xr:uid="{C84BF9A1-58F1-4473-84F8-47F158FB5238}"/>
    <cellStyle name="40% - Accent5 2 3 2 2 2 2 2 4" xfId="25804" xr:uid="{9E910FCE-7D45-4C39-82AF-204B258097D4}"/>
    <cellStyle name="40% - Accent5 2 3 2 2 2 2 3" xfId="8420" xr:uid="{ECC07120-280D-4607-8928-822AA42361A9}"/>
    <cellStyle name="40% - Accent5 2 3 2 2 2 2 3 2" xfId="8418" xr:uid="{7E9A2AD1-625F-4874-9937-A1AF03E78C12}"/>
    <cellStyle name="40% - Accent5 2 3 2 2 2 2 3 2 2" xfId="9523" xr:uid="{88936E6B-3C3C-42D6-AA43-6F9631F2D75E}"/>
    <cellStyle name="40% - Accent5 2 3 2 2 2 2 3 3" xfId="25798" xr:uid="{DE0BA04E-15B8-4360-B1FF-E586E02A3439}"/>
    <cellStyle name="40% - Accent5 2 3 2 2 2 2 4" xfId="8416" xr:uid="{D5C69A5B-7630-4F9C-907C-AE8A5FD1BEEA}"/>
    <cellStyle name="40% - Accent5 2 3 2 2 2 2 4 2" xfId="8412" xr:uid="{3754B65A-C84E-4092-890F-C2342E1BD7FE}"/>
    <cellStyle name="40% - Accent5 2 3 2 2 2 2 5" xfId="26509" xr:uid="{08ACDD17-93E7-4B1B-BB4B-7DBB6F895823}"/>
    <cellStyle name="40% - Accent5 2 3 2 2 2 3" xfId="29499" xr:uid="{8451168B-5CC7-46D8-8447-4577DCEDBC35}"/>
    <cellStyle name="40% - Accent5 2 3 2 2 2 3 2" xfId="13915" xr:uid="{1E2EE541-82D1-4EA7-AB49-44DCDFE8A25E}"/>
    <cellStyle name="40% - Accent5 2 3 2 2 2 3 2 2" xfId="24055" xr:uid="{20803135-CF27-476D-9CEC-3C0738961672}"/>
    <cellStyle name="40% - Accent5 2 3 2 2 2 3 2 2 2" xfId="8409" xr:uid="{087CBD4B-330E-4192-A54F-74E01E109E2D}"/>
    <cellStyle name="40% - Accent5 2 3 2 2 2 3 2 3" xfId="22729" xr:uid="{051DED21-84A1-46A3-9122-B4C7C8F1DBEF}"/>
    <cellStyle name="40% - Accent5 2 3 2 2 2 3 3" xfId="8403" xr:uid="{A3E00BA7-74F1-4024-BE38-D4340AAD052A}"/>
    <cellStyle name="40% - Accent5 2 3 2 2 2 3 3 2" xfId="8401" xr:uid="{89073BC6-44A8-4A22-BA0C-BF6A55850CE1}"/>
    <cellStyle name="40% - Accent5 2 3 2 2 2 3 4" xfId="8400" xr:uid="{C21D5C07-5315-4E88-9131-EE67CE8392B2}"/>
    <cellStyle name="40% - Accent5 2 3 2 2 2 4" xfId="32364" xr:uid="{894C768F-F4CA-4498-BA53-292D6A206B33}"/>
    <cellStyle name="40% - Accent5 2 3 2 2 2 4 2" xfId="25212" xr:uid="{92707148-DF3B-484B-98B6-32F7BBECA3F0}"/>
    <cellStyle name="40% - Accent5 2 3 2 2 2 4 2 2" xfId="8397" xr:uid="{910343F2-3DB8-48CF-8CF3-FD0CEE6DFCDE}"/>
    <cellStyle name="40% - Accent5 2 3 2 2 2 4 3" xfId="8396" xr:uid="{439C61A6-6947-4BAB-B57F-71A7F963FD64}"/>
    <cellStyle name="40% - Accent5 2 3 2 2 2 5" xfId="24961" xr:uid="{D4A3858E-2BBD-423E-A15B-AAAD5CF2E3F2}"/>
    <cellStyle name="40% - Accent5 2 3 2 2 2 5 2" xfId="8393" xr:uid="{BB740683-D4A2-4E48-B1BF-70ED130834EB}"/>
    <cellStyle name="40% - Accent5 2 3 2 2 2 6" xfId="8390" xr:uid="{F2AB5AAD-C148-4661-A400-71516EC6CDA7}"/>
    <cellStyle name="40% - Accent5 2 3 2 2 3" xfId="8387" xr:uid="{AA8619A4-8C00-4013-828C-AA3C47175189}"/>
    <cellStyle name="40% - Accent5 2 3 2 2 3 2" xfId="29486" xr:uid="{A061F994-2865-4C59-A11A-6A856817244D}"/>
    <cellStyle name="40% - Accent5 2 3 2 2 3 2 2" xfId="25578" xr:uid="{22F93E11-D727-4A85-997E-79E3F7DAADF4}"/>
    <cellStyle name="40% - Accent5 2 3 2 2 3 2 2 2" xfId="8384" xr:uid="{909D5D05-48B2-4242-AC27-FAE972F60A63}"/>
    <cellStyle name="40% - Accent5 2 3 2 2 3 2 2 2 2" xfId="11038" xr:uid="{806A6C57-2E73-40E6-882E-9CC154C3FEC4}"/>
    <cellStyle name="40% - Accent5 2 3 2 2 3 2 2 3" xfId="25790" xr:uid="{0906AF44-AB3C-45D5-932D-1EF61B95660A}"/>
    <cellStyle name="40% - Accent5 2 3 2 2 3 2 3" xfId="25146" xr:uid="{99C64CC2-DC92-42E5-9CFC-EE4193D0A264}"/>
    <cellStyle name="40% - Accent5 2 3 2 2 3 2 3 2" xfId="27150" xr:uid="{79AF139E-0D58-41FE-949A-70DE9C21228E}"/>
    <cellStyle name="40% - Accent5 2 3 2 2 3 2 4" xfId="33082" xr:uid="{A476C747-2DC7-4F70-933E-6DD26A8CD8C4}"/>
    <cellStyle name="40% - Accent5 2 3 2 2 3 3" xfId="32355" xr:uid="{B3D640FF-DAC9-44EB-A6D4-66EBDCC81325}"/>
    <cellStyle name="40% - Accent5 2 3 2 2 3 3 2" xfId="8383" xr:uid="{60EBF3D6-EB76-4C3F-A002-1E1DAF3E4627}"/>
    <cellStyle name="40% - Accent5 2 3 2 2 3 3 2 2" xfId="8381" xr:uid="{566D0696-6B8F-4CB2-A109-25F4911B0024}"/>
    <cellStyle name="40% - Accent5 2 3 2 2 3 3 3" xfId="33064" xr:uid="{670D6435-9F15-495B-A36F-74DF0C2DA623}"/>
    <cellStyle name="40% - Accent5 2 3 2 2 3 4" xfId="24949" xr:uid="{60ACDE68-CACE-416F-A848-6C49A29E435F}"/>
    <cellStyle name="40% - Accent5 2 3 2 2 3 4 2" xfId="30704" xr:uid="{C8EE5782-AEEF-4AAC-9567-82F954BEE97D}"/>
    <cellStyle name="40% - Accent5 2 3 2 2 3 5" xfId="8380" xr:uid="{0D8B6A43-5D2B-46E4-99FE-C2059E37F30A}"/>
    <cellStyle name="40% - Accent5 2 3 2 2 4" xfId="8377" xr:uid="{DEC199C2-DCE6-49CE-B83E-ABD0F0BEBC27}"/>
    <cellStyle name="40% - Accent5 2 3 2 2 4 2" xfId="26954" xr:uid="{C1411A92-9C0F-43E5-A2A6-7747B93B08F8}"/>
    <cellStyle name="40% - Accent5 2 3 2 2 4 2 2" xfId="8376" xr:uid="{BC5CB764-A9D9-4F59-9FCE-91CDFDE4A0F2}"/>
    <cellStyle name="40% - Accent5 2 3 2 2 4 2 2 2" xfId="8374" xr:uid="{7E0481EE-C443-426E-9B45-50371D913D1E}"/>
    <cellStyle name="40% - Accent5 2 3 2 2 4 2 3" xfId="33000" xr:uid="{778561BE-9482-4508-A102-6B9698B5DF78}"/>
    <cellStyle name="40% - Accent5 2 3 2 2 4 3" xfId="33177" xr:uid="{E1F0B8C6-6C71-42EF-9DD3-74657EF8BB37}"/>
    <cellStyle name="40% - Accent5 2 3 2 2 4 3 2" xfId="8373" xr:uid="{53580C31-2F7B-4866-817D-F23454B62519}"/>
    <cellStyle name="40% - Accent5 2 3 2 2 4 4" xfId="22496" xr:uid="{EBB4E28A-8AF1-48A7-9BE6-9BBE8DB3C3BF}"/>
    <cellStyle name="40% - Accent5 2 3 2 2 5" xfId="8371" xr:uid="{DFF2F339-C30D-4C16-9EE3-4874AFF80608}"/>
    <cellStyle name="40% - Accent5 2 3 2 2 5 2" xfId="33015" xr:uid="{DC4B89CF-EF2B-49C6-8F87-71D52352ECDC}"/>
    <cellStyle name="40% - Accent5 2 3 2 2 5 2 2" xfId="8370" xr:uid="{040397F2-58B3-4AD6-8DEF-56B7DA5E0B51}"/>
    <cellStyle name="40% - Accent5 2 3 2 2 5 3" xfId="8367" xr:uid="{9DDE5ADF-9478-417B-8FC6-775017FC8348}"/>
    <cellStyle name="40% - Accent5 2 3 2 2 6" xfId="8365" xr:uid="{CCC221AA-253B-4841-8E3A-AFC77AE79E3B}"/>
    <cellStyle name="40% - Accent5 2 3 2 2 6 2" xfId="8364" xr:uid="{FDDD7771-B652-4064-945D-72D1C01944F9}"/>
    <cellStyle name="40% - Accent5 2 3 2 2 7" xfId="8362" xr:uid="{6105974A-53FF-4282-9824-AF97FD0B6D9B}"/>
    <cellStyle name="40% - Accent5 2 3 2 3" xfId="8361" xr:uid="{6D71455C-4261-44E6-A7EF-263FF08162CF}"/>
    <cellStyle name="40% - Accent5 2 3 2 3 2" xfId="8359" xr:uid="{F95EE66A-AACF-4DFB-B5DE-4245350C256C}"/>
    <cellStyle name="40% - Accent5 2 3 2 3 2 2" xfId="26587" xr:uid="{C60ED1D5-F00E-4E4B-9FE6-8B4777C52217}"/>
    <cellStyle name="40% - Accent5 2 3 2 3 2 2 2" xfId="8357" xr:uid="{96DD9E8B-C2F9-4CF7-AF82-480509971FF6}"/>
    <cellStyle name="40% - Accent5 2 3 2 3 2 2 2 2" xfId="8355" xr:uid="{CCDE62AE-8DFD-428E-8389-769FE2E34659}"/>
    <cellStyle name="40% - Accent5 2 3 2 3 2 2 2 2 2" xfId="8354" xr:uid="{93C63531-8F6A-4135-B82A-F1EAC6A77740}"/>
    <cellStyle name="40% - Accent5 2 3 2 3 2 2 2 3" xfId="23504" xr:uid="{876E8B94-CC3B-49BB-8404-FB77FB039D2D}"/>
    <cellStyle name="40% - Accent5 2 3 2 3 2 2 3" xfId="8352" xr:uid="{4CB9F61F-D54E-46DB-9FA5-58C8DA469579}"/>
    <cellStyle name="40% - Accent5 2 3 2 3 2 2 3 2" xfId="8350" xr:uid="{BEB20EBF-75BD-4C91-8D8C-D676D9DCD1F5}"/>
    <cellStyle name="40% - Accent5 2 3 2 3 2 2 4" xfId="8349" xr:uid="{FB161DF4-8EFD-4709-953B-26A46F9AA140}"/>
    <cellStyle name="40% - Accent5 2 3 2 3 2 3" xfId="28342" xr:uid="{FB938F2B-3167-4904-B568-38F98675F901}"/>
    <cellStyle name="40% - Accent5 2 3 2 3 2 3 2" xfId="12114" xr:uid="{CEA8B3A2-C533-4597-B462-765B64DC404F}"/>
    <cellStyle name="40% - Accent5 2 3 2 3 2 3 2 2" xfId="8346" xr:uid="{7FCDB19D-6C3A-420E-B660-FE0F0CE494D3}"/>
    <cellStyle name="40% - Accent5 2 3 2 3 2 3 3" xfId="12109" xr:uid="{F352AF14-F961-455D-B697-871F789A2C99}"/>
    <cellStyle name="40% - Accent5 2 3 2 3 2 4" xfId="24932" xr:uid="{FD9EFE77-BC1D-4D0C-BDD7-C512D763BBA5}"/>
    <cellStyle name="40% - Accent5 2 3 2 3 2 4 2" xfId="12107" xr:uid="{D7E95B34-5E99-4B74-9D00-9C09638C1A98}"/>
    <cellStyle name="40% - Accent5 2 3 2 3 2 5" xfId="8345" xr:uid="{36BDBC22-DB58-4826-A0DD-19EFA9204F00}"/>
    <cellStyle name="40% - Accent5 2 3 2 3 3" xfId="8342" xr:uid="{DE66738A-EA68-40CF-A9C9-9F4FA1CDAA3D}"/>
    <cellStyle name="40% - Accent5 2 3 2 3 3 2" xfId="32315" xr:uid="{4D9E22F4-3732-4746-973F-F50614DB5086}"/>
    <cellStyle name="40% - Accent5 2 3 2 3 3 2 2" xfId="8341" xr:uid="{7FAD5C75-9A7F-4DD8-8B82-82F72DB9D094}"/>
    <cellStyle name="40% - Accent5 2 3 2 3 3 2 2 2" xfId="8338" xr:uid="{E6879CD4-7259-4B88-8176-2A8B0F16C710}"/>
    <cellStyle name="40% - Accent5 2 3 2 3 3 2 3" xfId="29993" xr:uid="{497D9B44-6DAA-48E4-802A-70F807861AA1}"/>
    <cellStyle name="40% - Accent5 2 3 2 3 3 3" xfId="24918" xr:uid="{ECDEA0A2-49E6-4716-ACF2-097C0664C4F2}"/>
    <cellStyle name="40% - Accent5 2 3 2 3 3 3 2" xfId="12102" xr:uid="{45BFFEA2-373A-43FE-B841-2EE0BC2FC550}"/>
    <cellStyle name="40% - Accent5 2 3 2 3 3 4" xfId="8337" xr:uid="{BA67AC5A-4B4E-4B5E-A19F-370EF8412273}"/>
    <cellStyle name="40% - Accent5 2 3 2 3 4" xfId="8633" xr:uid="{914D6A59-1461-43D3-B37A-A084CD9A3C13}"/>
    <cellStyle name="40% - Accent5 2 3 2 3 4 2" xfId="23681" xr:uid="{AC51BFF7-A883-44B3-BDCE-B448D1EAC137}"/>
    <cellStyle name="40% - Accent5 2 3 2 3 4 2 2" xfId="8334" xr:uid="{A20F3787-ED5D-4C9C-99BF-2E5E806E218F}"/>
    <cellStyle name="40% - Accent5 2 3 2 3 4 3" xfId="8331" xr:uid="{F2F11811-F973-43D3-BF67-EBC961ACA4BA}"/>
    <cellStyle name="40% - Accent5 2 3 2 3 5" xfId="8624" xr:uid="{53A646D3-9208-4137-9358-25083DC9AFF4}"/>
    <cellStyle name="40% - Accent5 2 3 2 3 5 2" xfId="8328" xr:uid="{B04A3D84-4BAE-4E03-ABA0-443416710AA9}"/>
    <cellStyle name="40% - Accent5 2 3 2 3 6" xfId="8618" xr:uid="{AB5379FF-9CC2-45D0-9D46-8FA9E5F0E054}"/>
    <cellStyle name="40% - Accent5 2 3 2 4" xfId="8326" xr:uid="{92F27336-7E5C-446E-A176-A53CF468E578}"/>
    <cellStyle name="40% - Accent5 2 3 2 4 2" xfId="8325" xr:uid="{AE887964-5E1C-449F-BA42-F13FA6D90935}"/>
    <cellStyle name="40% - Accent5 2 3 2 4 2 2" xfId="29040" xr:uid="{3FE307C9-12EE-4623-BBDD-6DE7EBE12ABE}"/>
    <cellStyle name="40% - Accent5 2 3 2 4 2 2 2" xfId="8324" xr:uid="{A6105237-FEFF-498C-A06C-0E4A6534A1C1}"/>
    <cellStyle name="40% - Accent5 2 3 2 4 2 2 2 2" xfId="8689" xr:uid="{4B3BA9C4-C3DE-4302-A1B6-970D97D486DE}"/>
    <cellStyle name="40% - Accent5 2 3 2 4 2 2 3" xfId="8322" xr:uid="{CF4ABEB9-BF9F-4F38-A151-AA37364CC936}"/>
    <cellStyle name="40% - Accent5 2 3 2 4 2 3" xfId="25752" xr:uid="{E2C8874F-0BF9-40DB-B23C-AB40250F75CD}"/>
    <cellStyle name="40% - Accent5 2 3 2 4 2 3 2" xfId="12051" xr:uid="{94F2A584-48D2-4601-857A-59F00448775C}"/>
    <cellStyle name="40% - Accent5 2 3 2 4 2 4" xfId="8320" xr:uid="{47C5801D-B77C-4D8A-87CE-BC0AE08E29FF}"/>
    <cellStyle name="40% - Accent5 2 3 2 4 3" xfId="8316" xr:uid="{33E573D0-C084-45B5-A7D9-B2BEA28706D0}"/>
    <cellStyle name="40% - Accent5 2 3 2 4 3 2" xfId="32321" xr:uid="{4E21E793-9C96-4BA3-8256-C2C044572A91}"/>
    <cellStyle name="40% - Accent5 2 3 2 4 3 2 2" xfId="16208" xr:uid="{232B8376-10A6-40B5-ADCA-2C42BE499C89}"/>
    <cellStyle name="40% - Accent5 2 3 2 4 3 3" xfId="8314" xr:uid="{290928DA-7E2E-4299-AAE1-8BDA20B7E8C1}"/>
    <cellStyle name="40% - Accent5 2 3 2 4 4" xfId="8612" xr:uid="{BCB6D202-BADB-4F69-AF2C-D6A8C30E032B}"/>
    <cellStyle name="40% - Accent5 2 3 2 4 4 2" xfId="8311" xr:uid="{60D93BFE-8D36-45D3-9828-D7D3BDF7CD4B}"/>
    <cellStyle name="40% - Accent5 2 3 2 4 5" xfId="8604" xr:uid="{9A0209E2-6319-4D78-B7F8-912BE1183231}"/>
    <cellStyle name="40% - Accent5 2 3 2 5" xfId="13192" xr:uid="{D40EB63B-3103-466F-B7AC-11FC649091D2}"/>
    <cellStyle name="40% - Accent5 2 3 2 5 2" xfId="8309" xr:uid="{2CB1B85C-AD96-4230-BBBE-747F21EB7F38}"/>
    <cellStyle name="40% - Accent5 2 3 2 5 2 2" xfId="22966" xr:uid="{038CF328-8256-49D6-85ED-8F424722E3FB}"/>
    <cellStyle name="40% - Accent5 2 3 2 5 2 2 2" xfId="10266" xr:uid="{DE9181C9-EE4C-4DD8-9394-779D7CEF0D2D}"/>
    <cellStyle name="40% - Accent5 2 3 2 5 2 3" xfId="22948" xr:uid="{C431C94E-5026-4B8D-851D-B62840489B14}"/>
    <cellStyle name="40% - Accent5 2 3 2 5 3" xfId="14160" xr:uid="{78A83F11-8910-410E-93B3-20E449FD6CAF}"/>
    <cellStyle name="40% - Accent5 2 3 2 5 3 2" xfId="8307" xr:uid="{D52A7B81-8890-4C08-9474-58C7A3403B7B}"/>
    <cellStyle name="40% - Accent5 2 3 2 5 4" xfId="8600" xr:uid="{09AC8F05-E803-412F-874B-AF94C7FC96A3}"/>
    <cellStyle name="40% - Accent5 2 3 2 6" xfId="13190" xr:uid="{0B746933-9895-48C9-B85F-DF6310E14CDA}"/>
    <cellStyle name="40% - Accent5 2 3 2 6 2" xfId="22755" xr:uid="{E65E3464-F894-4B37-B9B9-EB502D2E6175}"/>
    <cellStyle name="40% - Accent5 2 3 2 6 2 2" xfId="8305" xr:uid="{FFA6434F-6419-4134-BCD5-3DADAE2F35E1}"/>
    <cellStyle name="40% - Accent5 2 3 2 6 3" xfId="8303" xr:uid="{6BB3B47A-6ACF-478D-957A-F3D56B1AD080}"/>
    <cellStyle name="40% - Accent5 2 3 2 7" xfId="8301" xr:uid="{371DD48B-89EC-4699-AA67-769BDE7D9B4C}"/>
    <cellStyle name="40% - Accent5 2 3 2 7 2" xfId="8300" xr:uid="{2F450A8C-A284-4325-AE57-CCE83283F7DB}"/>
    <cellStyle name="40% - Accent5 2 3 2 8" xfId="8299" xr:uid="{45AE7648-23A6-46A2-AE0D-B7038501D335}"/>
    <cellStyle name="40% - Accent5 2 3 3" xfId="11835" xr:uid="{BF52BFF5-BCBA-425E-8533-81FDC41D4DDF}"/>
    <cellStyle name="40% - Accent5 2 3 3 2" xfId="8298" xr:uid="{E0F3C407-001A-4552-8769-F3208B374485}"/>
    <cellStyle name="40% - Accent5 2 3 3 2 2" xfId="8296" xr:uid="{3800695D-F339-42F9-B13D-CB1389651622}"/>
    <cellStyle name="40% - Accent5 2 3 3 2 2 2" xfId="32210" xr:uid="{611788B2-F9D7-4AD0-8271-B38C67C5CC1A}"/>
    <cellStyle name="40% - Accent5 2 3 3 2 2 2 2" xfId="12217" xr:uid="{5EF5CFD5-406E-4FA5-B7A8-6E14ADEB2448}"/>
    <cellStyle name="40% - Accent5 2 3 3 2 2 2 2 2" xfId="29337" xr:uid="{22556193-558E-44E8-94D0-7CA92BFA7F9B}"/>
    <cellStyle name="40% - Accent5 2 3 3 2 2 2 2 2 2" xfId="31240" xr:uid="{13C879BF-33C7-49A8-B377-0B2D31BC2B27}"/>
    <cellStyle name="40% - Accent5 2 3 3 2 2 2 2 3" xfId="25554" xr:uid="{F9BF3D86-75DD-474A-B4B4-D4A7584D6FC3}"/>
    <cellStyle name="40% - Accent5 2 3 3 2 2 2 3" xfId="22448" xr:uid="{D88D3346-CD3F-43D8-A191-D59439DE070E}"/>
    <cellStyle name="40% - Accent5 2 3 3 2 2 2 3 2" xfId="8294" xr:uid="{E4497ACD-FAE6-4494-AF23-709667CE3A4A}"/>
    <cellStyle name="40% - Accent5 2 3 3 2 2 2 4" xfId="12126" xr:uid="{B38272BC-DC29-4CC3-B8D3-B4E54DEA6F52}"/>
    <cellStyle name="40% - Accent5 2 3 3 2 2 3" xfId="22158" xr:uid="{7E3F53E0-CBBB-45C3-A770-D8888DDAB5D3}"/>
    <cellStyle name="40% - Accent5 2 3 3 2 2 3 2" xfId="12093" xr:uid="{72FA996A-A660-442F-8599-56AFDEA7C668}"/>
    <cellStyle name="40% - Accent5 2 3 3 2 2 3 2 2" xfId="8293" xr:uid="{1C7520D1-10C4-487A-A4D0-90AA3C57097F}"/>
    <cellStyle name="40% - Accent5 2 3 3 2 2 3 3" xfId="12072" xr:uid="{674B13CA-0A14-43EE-A8BD-322DE200DA32}"/>
    <cellStyle name="40% - Accent5 2 3 3 2 2 4" xfId="22150" xr:uid="{C584E1EF-E90D-44E0-B737-122A388474A9}"/>
    <cellStyle name="40% - Accent5 2 3 3 2 2 4 2" xfId="12044" xr:uid="{D42E8915-1F2F-47DE-9D8F-CFBC6ACA153A}"/>
    <cellStyle name="40% - Accent5 2 3 3 2 2 5" xfId="8292" xr:uid="{548C5F84-A603-48C3-8A48-2BECFC211259}"/>
    <cellStyle name="40% - Accent5 2 3 3 2 3" xfId="8290" xr:uid="{8D54D245-E0F6-498C-88CC-6D4B9CB8B301}"/>
    <cellStyle name="40% - Accent5 2 3 3 2 3 2" xfId="32194" xr:uid="{E194DDE0-3D7C-4C4C-B94B-F4142D63681E}"/>
    <cellStyle name="40% - Accent5 2 3 3 2 3 2 2" xfId="11937" xr:uid="{7F02B430-73CA-44AD-A8E5-A377A2147261}"/>
    <cellStyle name="40% - Accent5 2 3 3 2 3 2 2 2" xfId="25880" xr:uid="{7780B495-6A9C-441B-B480-9AA0E8CA5EEB}"/>
    <cellStyle name="40% - Accent5 2 3 3 2 3 2 3" xfId="20939" xr:uid="{A35C9C48-BD4D-4577-B165-182AD44D99C3}"/>
    <cellStyle name="40% - Accent5 2 3 3 2 3 3" xfId="22146" xr:uid="{58BED95A-35D5-47FF-AA61-CBE0C8356969}"/>
    <cellStyle name="40% - Accent5 2 3 3 2 3 3 2" xfId="11857" xr:uid="{C21D2EC0-C6F7-40D4-AC6C-7C2378F0F306}"/>
    <cellStyle name="40% - Accent5 2 3 3 2 3 4" xfId="8288" xr:uid="{11C4617E-18DA-480F-A16C-EAC6A968A10A}"/>
    <cellStyle name="40% - Accent5 2 3 3 2 4" xfId="8286" xr:uid="{D8F188B4-60E3-4DFD-92D1-280F6467F120}"/>
    <cellStyle name="40% - Accent5 2 3 3 2 4 2" xfId="18561" xr:uid="{F6BA7F59-8B1D-4799-B9F9-676834F8B6E7}"/>
    <cellStyle name="40% - Accent5 2 3 3 2 4 2 2" xfId="11772" xr:uid="{D8EF9694-EAD2-444C-96CC-562B861E1638}"/>
    <cellStyle name="40% - Accent5 2 3 3 2 4 3" xfId="19913" xr:uid="{F0707885-0A6E-4C02-9757-60526C9ADD1C}"/>
    <cellStyle name="40% - Accent5 2 3 3 2 5" xfId="8283" xr:uid="{E20B9636-3D85-4322-B474-AE0C99CF1F48}"/>
    <cellStyle name="40% - Accent5 2 3 3 2 5 2" xfId="8282" xr:uid="{F2115A98-3C35-45E2-9F9B-72691BCD50C1}"/>
    <cellStyle name="40% - Accent5 2 3 3 2 6" xfId="18459" xr:uid="{7E0F19E2-DDE7-4453-9CDF-DE4804AA9D53}"/>
    <cellStyle name="40% - Accent5 2 3 3 3" xfId="8281" xr:uid="{03C9D70E-BF16-469B-BF16-40E1FDBF1AFD}"/>
    <cellStyle name="40% - Accent5 2 3 3 3 2" xfId="8277" xr:uid="{316E2D97-CC93-40DD-B3ED-059FD318168E}"/>
    <cellStyle name="40% - Accent5 2 3 3 3 2 2" xfId="23798" xr:uid="{2D2B03AF-9C9F-43A7-8294-EE567E62C823}"/>
    <cellStyle name="40% - Accent5 2 3 3 3 2 2 2" xfId="9515" xr:uid="{8A20B623-553F-4F3F-98C9-2E0184E8EF2C}"/>
    <cellStyle name="40% - Accent5 2 3 3 3 2 2 2 2" xfId="11718" xr:uid="{4C953E92-287E-4A73-AD27-E4F9E80D5BC0}"/>
    <cellStyle name="40% - Accent5 2 3 3 3 2 2 3" xfId="9469" xr:uid="{03867928-93DD-4F5D-B85E-27A05330D694}"/>
    <cellStyle name="40% - Accent5 2 3 3 3 2 3" xfId="22123" xr:uid="{B0019F40-C0E4-49C0-9084-B13589348CF6}"/>
    <cellStyle name="40% - Accent5 2 3 3 3 2 3 2" xfId="11865" xr:uid="{B668A328-5E76-4AE3-8C15-908912BB6A82}"/>
    <cellStyle name="40% - Accent5 2 3 3 3 2 4" xfId="8275" xr:uid="{FE9B6B66-0482-4270-B8A5-8562CC6CAB26}"/>
    <cellStyle name="40% - Accent5 2 3 3 3 3" xfId="8270" xr:uid="{2654DCD1-592B-48EC-9DE5-78BAEADA8154}"/>
    <cellStyle name="40% - Accent5 2 3 3 3 3 2" xfId="16155" xr:uid="{ADAF862A-D873-49E1-832B-1638837CFBC0}"/>
    <cellStyle name="40% - Accent5 2 3 3 3 3 2 2" xfId="9338" xr:uid="{B96D22AA-8B5A-4ED5-9930-A8DAE43C4C76}"/>
    <cellStyle name="40% - Accent5 2 3 3 3 3 3" xfId="8267" xr:uid="{A83BCC19-D797-4959-9A16-0C4C40E5465D}"/>
    <cellStyle name="40% - Accent5 2 3 3 3 4" xfId="8591" xr:uid="{3D04542C-D9A2-4B98-8B12-E8D4671C5253}"/>
    <cellStyle name="40% - Accent5 2 3 3 3 4 2" xfId="8263" xr:uid="{7278C034-0CB1-41C2-AA72-0412A8843045}"/>
    <cellStyle name="40% - Accent5 2 3 3 3 5" xfId="8584" xr:uid="{D9312AC0-373F-4EC3-9F05-706E1F219898}"/>
    <cellStyle name="40% - Accent5 2 3 3 4" xfId="8262" xr:uid="{6694004A-A74F-4D0D-A206-AAC3C20B68FB}"/>
    <cellStyle name="40% - Accent5 2 3 3 4 2" xfId="8259" xr:uid="{0C1FEDE7-C342-4FD3-8D96-75F631F65A3A}"/>
    <cellStyle name="40% - Accent5 2 3 3 4 2 2" xfId="22969" xr:uid="{82CB52F9-76C7-4CD3-8D5E-349F06D16316}"/>
    <cellStyle name="40% - Accent5 2 3 3 4 2 2 2" xfId="8257" xr:uid="{39FD1164-421A-4125-A724-E87850461697}"/>
    <cellStyle name="40% - Accent5 2 3 3 4 2 3" xfId="8255" xr:uid="{D55EBBDF-E4BC-4042-9FEA-D6B897EBAB33}"/>
    <cellStyle name="40% - Accent5 2 3 3 4 3" xfId="8252" xr:uid="{0B35E787-0E0C-4553-AA4F-31A2DAF1677E}"/>
    <cellStyle name="40% - Accent5 2 3 3 4 3 2" xfId="8250" xr:uid="{487489D2-B5F2-4B4D-8B01-B63B039891D7}"/>
    <cellStyle name="40% - Accent5 2 3 3 4 4" xfId="8581" xr:uid="{BF97E14E-747E-4CC4-91B6-A5AB960CAE12}"/>
    <cellStyle name="40% - Accent5 2 3 3 5" xfId="13188" xr:uid="{942E5A6A-E787-46E4-BD0A-8D5B49DD3E02}"/>
    <cellStyle name="40% - Accent5 2 3 3 5 2" xfId="8249" xr:uid="{D1F608D7-7533-4FA8-81F9-880062AD7910}"/>
    <cellStyle name="40% - Accent5 2 3 3 5 2 2" xfId="8247" xr:uid="{66208FA1-9198-4635-A876-9F781DF22FC8}"/>
    <cellStyle name="40% - Accent5 2 3 3 5 3" xfId="8246" xr:uid="{F4F55366-3113-45A5-9731-17DCCD6AD006}"/>
    <cellStyle name="40% - Accent5 2 3 3 6" xfId="8243" xr:uid="{B72BC7E8-EC9C-466D-8F04-79B69435B75A}"/>
    <cellStyle name="40% - Accent5 2 3 3 6 2" xfId="34019" xr:uid="{F8AF99DE-BD4C-4905-BF56-739462F8A973}"/>
    <cellStyle name="40% - Accent5 2 3 3 7" xfId="8242" xr:uid="{2C04B5FD-0BDD-45A4-8F9B-15D2F65CDF11}"/>
    <cellStyle name="40% - Accent5 2 3 4" xfId="8240" xr:uid="{197F2BF8-F406-423B-A448-05ABFFD5FE7C}"/>
    <cellStyle name="40% - Accent5 2 3 4 2" xfId="10561" xr:uid="{D661CA3E-EE81-4966-AB3B-5D61995FEE45}"/>
    <cellStyle name="40% - Accent5 2 3 4 2 2" xfId="8239" xr:uid="{AA194819-3E36-4F6D-8480-F738E12CA9F6}"/>
    <cellStyle name="40% - Accent5 2 3 4 2 2 2" xfId="24792" xr:uid="{EAF540D6-EE8E-4E4A-85AB-55EE2AE013CC}"/>
    <cellStyle name="40% - Accent5 2 3 4 2 2 2 2" xfId="11589" xr:uid="{2AB94B5F-1FBD-4059-B3D1-8A8E3548783F}"/>
    <cellStyle name="40% - Accent5 2 3 4 2 2 2 2 2" xfId="26466" xr:uid="{2AEB949B-453F-4959-A3BD-640CA7D3E448}"/>
    <cellStyle name="40% - Accent5 2 3 4 2 2 2 3" xfId="8238" xr:uid="{20C77CC0-F6E1-4900-B3AC-7E34AEF36AED}"/>
    <cellStyle name="40% - Accent5 2 3 4 2 2 3" xfId="22100" xr:uid="{BED85530-85A9-44B6-9EFE-476D0CCFF217}"/>
    <cellStyle name="40% - Accent5 2 3 4 2 2 3 2" xfId="8236" xr:uid="{E23EB2B5-ADE5-4F75-9D43-8FC7DE2BBC1D}"/>
    <cellStyle name="40% - Accent5 2 3 4 2 2 4" xfId="24171" xr:uid="{F0F990BB-6CD7-495E-A340-6D64AFE33F86}"/>
    <cellStyle name="40% - Accent5 2 3 4 2 3" xfId="8234" xr:uid="{F616CFCC-8EDC-4C08-91A5-C9EA40B33BFD}"/>
    <cellStyle name="40% - Accent5 2 3 4 2 3 2" xfId="31633" xr:uid="{58063599-B097-4EFE-A235-94B89D1D3573}"/>
    <cellStyle name="40% - Accent5 2 3 4 2 3 2 2" xfId="8231" xr:uid="{F640C42E-79E9-4F4D-ABE9-FBA07820CB59}"/>
    <cellStyle name="40% - Accent5 2 3 4 2 3 3" xfId="8228" xr:uid="{84D48C10-173B-4322-A2B3-3054A175D9B1}"/>
    <cellStyle name="40% - Accent5 2 3 4 2 4" xfId="8226" xr:uid="{2DED6709-C1C2-49FF-9BAE-D20C67CBC676}"/>
    <cellStyle name="40% - Accent5 2 3 4 2 4 2" xfId="8930" xr:uid="{46225AC9-8F78-448D-B165-93513228EF68}"/>
    <cellStyle name="40% - Accent5 2 3 4 2 5" xfId="8224" xr:uid="{93448840-7617-4022-9921-8621695D7310}"/>
    <cellStyle name="40% - Accent5 2 3 4 3" xfId="8223" xr:uid="{40445B2E-B656-4EBC-90CF-18C9206C8BA2}"/>
    <cellStyle name="40% - Accent5 2 3 4 3 2" xfId="8220" xr:uid="{3568FD19-F877-4771-A3F7-EF3DBD560E07}"/>
    <cellStyle name="40% - Accent5 2 3 4 3 2 2" xfId="24190" xr:uid="{8D85816F-E648-45B7-9800-41A6C152CF9E}"/>
    <cellStyle name="40% - Accent5 2 3 4 3 2 2 2" xfId="8218" xr:uid="{5FFCBF0A-4E35-4368-9B55-C35F9A021612}"/>
    <cellStyle name="40% - Accent5 2 3 4 3 2 3" xfId="22082" xr:uid="{20D75331-41E5-463C-A354-D97D0B3FAA0E}"/>
    <cellStyle name="40% - Accent5 2 3 4 3 3" xfId="8216" xr:uid="{992AD152-71B6-4138-8E21-822063FB0A31}"/>
    <cellStyle name="40% - Accent5 2 3 4 3 3 2" xfId="34136" xr:uid="{1C57DDB4-A370-43CB-9020-D9F9E343A293}"/>
    <cellStyle name="40% - Accent5 2 3 4 3 4" xfId="8570" xr:uid="{09B6072E-C272-48EC-966E-3336AB2F9D96}"/>
    <cellStyle name="40% - Accent5 2 3 4 4" xfId="8214" xr:uid="{3E2F85A8-6637-4606-AEF9-BB1342A0D0A4}"/>
    <cellStyle name="40% - Accent5 2 3 4 4 2" xfId="8212" xr:uid="{717CED6B-8DBA-4F8C-A3AC-1281AA59245A}"/>
    <cellStyle name="40% - Accent5 2 3 4 4 2 2" xfId="24173" xr:uid="{B386F4BC-8BDE-4619-BA63-AB7DCF42BE62}"/>
    <cellStyle name="40% - Accent5 2 3 4 4 3" xfId="20751" xr:uid="{6FF503D7-B0E6-4B96-8C9B-0ADA653329CC}"/>
    <cellStyle name="40% - Accent5 2 3 4 5" xfId="13366" xr:uid="{3E5C15C6-FADC-4CF1-8896-6E09770FA618}"/>
    <cellStyle name="40% - Accent5 2 3 4 5 2" xfId="8211" xr:uid="{04BC0F03-43ED-4BE5-B974-E8C20AD26B0A}"/>
    <cellStyle name="40% - Accent5 2 3 4 6" xfId="13362" xr:uid="{75458487-E0F6-4550-A475-89EA50D27DD8}"/>
    <cellStyle name="40% - Accent5 2 3 5" xfId="8210" xr:uid="{68E67264-240C-41F4-A987-02558E65413A}"/>
    <cellStyle name="40% - Accent5 2 3 5 2" xfId="25381" xr:uid="{279FD83B-CF79-44DC-AB86-E5F11E224509}"/>
    <cellStyle name="40% - Accent5 2 3 5 2 2" xfId="8208" xr:uid="{EF26B5E1-1316-456C-9C65-DC38ED2C98DC}"/>
    <cellStyle name="40% - Accent5 2 3 5 2 2 2" xfId="24763" xr:uid="{0000F941-55D7-4422-8BC5-073B1B20B6ED}"/>
    <cellStyle name="40% - Accent5 2 3 5 2 2 2 2" xfId="23482" xr:uid="{DFA0C5E5-690F-4BC0-9A46-530A1DA240FC}"/>
    <cellStyle name="40% - Accent5 2 3 5 2 2 3" xfId="8207" xr:uid="{A73429DF-5427-443C-96A0-D94E24CEF465}"/>
    <cellStyle name="40% - Accent5 2 3 5 2 3" xfId="8203" xr:uid="{C032BFD5-ED62-4522-916E-2ED75639F6CF}"/>
    <cellStyle name="40% - Accent5 2 3 5 2 3 2" xfId="8201" xr:uid="{7F9C634F-D3D1-47A1-B7FA-6370B460BCE3}"/>
    <cellStyle name="40% - Accent5 2 3 5 2 4" xfId="8199" xr:uid="{A81EDDDE-8D0A-4F99-BD43-106DDDC38C3A}"/>
    <cellStyle name="40% - Accent5 2 3 5 3" xfId="8197" xr:uid="{084D8D33-2350-4833-8CA5-3DB9FE42E208}"/>
    <cellStyle name="40% - Accent5 2 3 5 3 2" xfId="8195" xr:uid="{2946E345-1168-470B-868D-FED0F2139016}"/>
    <cellStyle name="40% - Accent5 2 3 5 3 2 2" xfId="16808" xr:uid="{B19521F4-16A0-4FE2-9E58-D6BB25D9D349}"/>
    <cellStyle name="40% - Accent5 2 3 5 3 3" xfId="8194" xr:uid="{456AA57F-846E-4A4B-8DAB-3275C96B2590}"/>
    <cellStyle name="40% - Accent5 2 3 5 4" xfId="7202" xr:uid="{4883B51A-C13D-4F5C-816D-B87BD882F6EA}"/>
    <cellStyle name="40% - Accent5 2 3 5 4 2" xfId="25238" xr:uid="{1AAD4BDC-40DF-415F-8CB5-AFCABC237206}"/>
    <cellStyle name="40% - Accent5 2 3 5 5" xfId="7198" xr:uid="{82A4F08F-07F9-4320-A079-FBA407E32FAC}"/>
    <cellStyle name="40% - Accent5 2 3 6" xfId="8193" xr:uid="{0BA19047-640D-41FB-B4CC-4C49F5318D3E}"/>
    <cellStyle name="40% - Accent5 2 3 6 2" xfId="8191" xr:uid="{593328C2-FCFF-49F2-860E-EB9C5DDB5900}"/>
    <cellStyle name="40% - Accent5 2 3 6 2 2" xfId="8190" xr:uid="{E34C796F-A060-4594-BCD7-E65F13B04FF1}"/>
    <cellStyle name="40% - Accent5 2 3 6 2 2 2" xfId="8188" xr:uid="{F62C0FFC-479C-43CB-82EE-BF048290D130}"/>
    <cellStyle name="40% - Accent5 2 3 6 2 3" xfId="8185" xr:uid="{94C7861A-2490-4163-AA49-2E28545D2101}"/>
    <cellStyle name="40% - Accent5 2 3 6 3" xfId="8183" xr:uid="{B7A2005A-1913-4FBE-AC4F-C5854C58C8FF}"/>
    <cellStyle name="40% - Accent5 2 3 6 3 2" xfId="8181" xr:uid="{7AE6E6EF-C274-4109-A8CD-E00DAF35C6A7}"/>
    <cellStyle name="40% - Accent5 2 3 6 4" xfId="8179" xr:uid="{6421F406-F467-4955-9971-84F5FE1E826A}"/>
    <cellStyle name="40% - Accent5 2 3 7" xfId="28152" xr:uid="{BAC18A2A-0B8D-449E-84F4-3213FF7047D1}"/>
    <cellStyle name="40% - Accent5 2 3 7 2" xfId="8174" xr:uid="{527A7374-BC30-4030-A325-3A92FBB341E4}"/>
    <cellStyle name="40% - Accent5 2 3 7 2 2" xfId="8173" xr:uid="{F3F0F116-57D5-4E9F-BC0A-AFD9D23ADAF9}"/>
    <cellStyle name="40% - Accent5 2 3 7 3" xfId="8171" xr:uid="{E8FE64F4-B7D0-423F-879F-433C546EB133}"/>
    <cellStyle name="40% - Accent5 2 3 8" xfId="15165" xr:uid="{B54E180F-8976-4664-8625-647E59FA2F6E}"/>
    <cellStyle name="40% - Accent5 2 3 8 2" xfId="8168" xr:uid="{39DE3D61-2B6B-4B67-BD4D-0E21EC5D8AE8}"/>
    <cellStyle name="40% - Accent5 2 3 9" xfId="15161" xr:uid="{CB051AA8-0357-491F-8276-493B39CE8D6F}"/>
    <cellStyle name="40% - Accent5 2 4" xfId="31744" xr:uid="{3CBB4063-522C-46BB-ACA4-E32613A6CFB3}"/>
    <cellStyle name="40% - Accent5 2 4 2" xfId="26765" xr:uid="{A52137EE-9B03-4F5F-8F8C-ECAB12AC1B5D}"/>
    <cellStyle name="40% - Accent5 2 4 2 2" xfId="26762" xr:uid="{70CD598E-AF7D-48BE-A458-8AE268E23137}"/>
    <cellStyle name="40% - Accent5 2 4 2 2 2" xfId="8167" xr:uid="{AC594AC8-3590-44CE-8FD9-8F51A65D9A11}"/>
    <cellStyle name="40% - Accent5 2 4 2 2 2 2" xfId="24688" xr:uid="{F139B001-351F-400F-8700-204D18E68E54}"/>
    <cellStyle name="40% - Accent5 2 4 2 2 2 2 2" xfId="10218" xr:uid="{796AE895-9EA9-45A7-889D-B783C32B76F4}"/>
    <cellStyle name="40% - Accent5 2 4 2 2 2 2 2 2" xfId="10216" xr:uid="{FBA0E295-BAC7-4F6B-9E74-651BCC84EE25}"/>
    <cellStyle name="40% - Accent5 2 4 2 2 2 2 2 2 2" xfId="8164" xr:uid="{68EC1213-2292-4AB6-8DD7-1F84248FE315}"/>
    <cellStyle name="40% - Accent5 2 4 2 2 2 2 2 3" xfId="8162" xr:uid="{845FF0D1-8077-415F-881C-A81EF6142998}"/>
    <cellStyle name="40% - Accent5 2 4 2 2 2 2 3" xfId="10213" xr:uid="{17F1705C-D3B5-4C06-BBDD-061E5AB2CFB0}"/>
    <cellStyle name="40% - Accent5 2 4 2 2 2 2 3 2" xfId="8161" xr:uid="{73FCA39F-3DDF-4D8A-8260-173AD25C99D7}"/>
    <cellStyle name="40% - Accent5 2 4 2 2 2 2 4" xfId="8160" xr:uid="{66CF498D-E886-4211-8EAA-FC9DDCFF8FC9}"/>
    <cellStyle name="40% - Accent5 2 4 2 2 2 3" xfId="24680" xr:uid="{5CE2A595-00B2-4D92-B643-AD51C0E9CBC1}"/>
    <cellStyle name="40% - Accent5 2 4 2 2 2 3 2" xfId="10212" xr:uid="{3CA0892A-AAED-4277-B784-135611938115}"/>
    <cellStyle name="40% - Accent5 2 4 2 2 2 3 2 2" xfId="20108" xr:uid="{26F97A1A-D5C8-4BC8-BED0-D71F0F53460A}"/>
    <cellStyle name="40% - Accent5 2 4 2 2 2 3 3" xfId="8158" xr:uid="{366AC0E6-7885-475C-B347-9F3DDD6CC050}"/>
    <cellStyle name="40% - Accent5 2 4 2 2 2 4" xfId="24675" xr:uid="{B579F5EF-3C79-4658-BEF7-CF905E843E29}"/>
    <cellStyle name="40% - Accent5 2 4 2 2 2 4 2" xfId="8157" xr:uid="{8FCD706F-C2F2-44FC-B440-7604668E96E3}"/>
    <cellStyle name="40% - Accent5 2 4 2 2 2 5" xfId="31504" xr:uid="{7FF699C9-8F42-48A1-BD19-7F0986A16478}"/>
    <cellStyle name="40% - Accent5 2 4 2 2 3" xfId="8153" xr:uid="{9140D36C-2277-4ABE-A0E1-1F21D2D04142}"/>
    <cellStyle name="40% - Accent5 2 4 2 2 3 2" xfId="24672" xr:uid="{016CB36F-9554-44BD-BC49-3F1E1429BDBE}"/>
    <cellStyle name="40% - Accent5 2 4 2 2 3 2 2" xfId="10198" xr:uid="{FA3D18C8-4CA1-4AC9-8742-E739E2C0CADF}"/>
    <cellStyle name="40% - Accent5 2 4 2 2 3 2 2 2" xfId="18777" xr:uid="{7A48420F-F9E4-4BFE-8763-F96AB89DB797}"/>
    <cellStyle name="40% - Accent5 2 4 2 2 3 2 3" xfId="22096" xr:uid="{CBF02EF9-85E4-49FD-A429-5E4947F95696}"/>
    <cellStyle name="40% - Accent5 2 4 2 2 3 3" xfId="24666" xr:uid="{B1AC68DE-F886-48B6-AABF-21B442B12B21}"/>
    <cellStyle name="40% - Accent5 2 4 2 2 3 3 2" xfId="8152" xr:uid="{6E3A2F90-753A-40E1-86C5-5C197E5025AA}"/>
    <cellStyle name="40% - Accent5 2 4 2 2 3 4" xfId="31437" xr:uid="{09E8771A-CC48-48FE-9DA0-4FB15117F25A}"/>
    <cellStyle name="40% - Accent5 2 4 2 2 4" xfId="8151" xr:uid="{7A5280B3-0945-4675-8B68-529740BD2BA8}"/>
    <cellStyle name="40% - Accent5 2 4 2 2 4 2" xfId="24660" xr:uid="{A5A0DCAC-2B28-4B5B-AB11-3087310462D2}"/>
    <cellStyle name="40% - Accent5 2 4 2 2 4 2 2" xfId="8150" xr:uid="{40BC9D1C-5751-4715-89DE-E6B9D8854414}"/>
    <cellStyle name="40% - Accent5 2 4 2 2 4 3" xfId="8149" xr:uid="{8DB4B525-1B5D-4952-86F1-51467A90777F}"/>
    <cellStyle name="40% - Accent5 2 4 2 2 5" xfId="27288" xr:uid="{7587AB31-31FA-402C-B248-7A7E2ED6E03B}"/>
    <cellStyle name="40% - Accent5 2 4 2 2 5 2" xfId="25083" xr:uid="{BF7D8CDD-5584-4FBA-B0A0-E8616088B612}"/>
    <cellStyle name="40% - Accent5 2 4 2 2 6" xfId="25072" xr:uid="{FB938AA0-D6D9-4269-A428-68B08E1DF514}"/>
    <cellStyle name="40% - Accent5 2 4 2 3" xfId="8148" xr:uid="{73EC369E-C066-4E45-BA4C-B050A2D221C7}"/>
    <cellStyle name="40% - Accent5 2 4 2 3 2" xfId="8146" xr:uid="{E7D27D11-004C-4660-82A3-CACBA51AD8E7}"/>
    <cellStyle name="40% - Accent5 2 4 2 3 2 2" xfId="34397" xr:uid="{276A4053-F3D8-4791-A3F8-2DCC60E7C7E2}"/>
    <cellStyle name="40% - Accent5 2 4 2 3 2 2 2" xfId="10162" xr:uid="{CD2AD946-38B3-4E24-851D-635D77FF48B9}"/>
    <cellStyle name="40% - Accent5 2 4 2 3 2 2 2 2" xfId="32082" xr:uid="{7A438368-A78A-4249-B6D4-82825BD4BA8D}"/>
    <cellStyle name="40% - Accent5 2 4 2 3 2 2 3" xfId="8145" xr:uid="{B8CD27C9-29CD-4911-81CE-0292D7A91624}"/>
    <cellStyle name="40% - Accent5 2 4 2 3 2 3" xfId="25043" xr:uid="{CE14BBC4-91EA-4067-B889-A980BE163304}"/>
    <cellStyle name="40% - Accent5 2 4 2 3 2 3 2" xfId="9440" xr:uid="{7CEBAF95-6963-402B-ADEC-F3B8BC1F422F}"/>
    <cellStyle name="40% - Accent5 2 4 2 3 2 4" xfId="31323" xr:uid="{DE66A703-5744-46F6-8550-C6FD186B57BA}"/>
    <cellStyle name="40% - Accent5 2 4 2 3 3" xfId="8144" xr:uid="{995DBEB2-0AA4-4FFB-BB7B-1A750D39612B}"/>
    <cellStyle name="40% - Accent5 2 4 2 3 3 2" xfId="33884" xr:uid="{E911FE4F-6178-4D35-8469-E59975785263}"/>
    <cellStyle name="40% - Accent5 2 4 2 3 3 2 2" xfId="8143" xr:uid="{5B90605D-ACEE-4346-9EF6-A4E452FEEADB}"/>
    <cellStyle name="40% - Accent5 2 4 2 3 3 3" xfId="8142" xr:uid="{85A4891D-F40D-44EA-AEF5-AA286B21F120}"/>
    <cellStyle name="40% - Accent5 2 4 2 3 4" xfId="8514" xr:uid="{27B3AC05-BAA0-4F4A-886E-70E6ED8A9CB2}"/>
    <cellStyle name="40% - Accent5 2 4 2 3 4 2" xfId="8140" xr:uid="{D91D7E94-C806-4DB4-8C67-3F61E8B5453A}"/>
    <cellStyle name="40% - Accent5 2 4 2 3 5" xfId="8505" xr:uid="{71D4447A-A48E-4CCF-902F-4664103F59EA}"/>
    <cellStyle name="40% - Accent5 2 4 2 4" xfId="8139" xr:uid="{C11492A7-E738-4E18-B762-D380128FA197}"/>
    <cellStyle name="40% - Accent5 2 4 2 4 2" xfId="8138" xr:uid="{5C426F3A-AD55-4E37-9DB3-9724A95B63BD}"/>
    <cellStyle name="40% - Accent5 2 4 2 4 2 2" xfId="26320" xr:uid="{1624991E-34AC-4ADD-B32B-3A4C8ED907A0}"/>
    <cellStyle name="40% - Accent5 2 4 2 4 2 2 2" xfId="34140" xr:uid="{5B34DAA6-2ECD-4158-8563-0F690EE4BD0F}"/>
    <cellStyle name="40% - Accent5 2 4 2 4 2 3" xfId="8137" xr:uid="{B74A80E3-0A32-4DBB-9F76-27A0F6FFA13A}"/>
    <cellStyle name="40% - Accent5 2 4 2 4 3" xfId="8134" xr:uid="{18AD3126-FB0F-470D-96B1-0CED38B583B2}"/>
    <cellStyle name="40% - Accent5 2 4 2 4 3 2" xfId="15131" xr:uid="{0D465881-D79D-41F4-9679-8E062DE385C4}"/>
    <cellStyle name="40% - Accent5 2 4 2 4 4" xfId="8501" xr:uid="{8D9D06AA-C4DF-4527-A9A7-E484E9CFFA9E}"/>
    <cellStyle name="40% - Accent5 2 4 2 5" xfId="13185" xr:uid="{B480DF26-1534-4546-96CA-44561890C1AA}"/>
    <cellStyle name="40% - Accent5 2 4 2 5 2" xfId="8132" xr:uid="{E81EBE7A-911C-4C9F-8DBD-827BC4E1B810}"/>
    <cellStyle name="40% - Accent5 2 4 2 5 2 2" xfId="17992" xr:uid="{28799D74-C815-473E-884B-A3AD0AB8FB28}"/>
    <cellStyle name="40% - Accent5 2 4 2 5 3" xfId="8130" xr:uid="{E4632D7D-D49A-4E54-AB05-58880ED68965}"/>
    <cellStyle name="40% - Accent5 2 4 2 6" xfId="16778" xr:uid="{C26448A6-07AB-4EA6-95A2-EF9D48FC507A}"/>
    <cellStyle name="40% - Accent5 2 4 2 6 2" xfId="8128" xr:uid="{5DDE9709-6DA9-4524-92CA-062091813A9B}"/>
    <cellStyle name="40% - Accent5 2 4 2 7" xfId="10210" xr:uid="{0EDE7F57-507A-4C06-B2D4-0525192BCEF7}"/>
    <cellStyle name="40% - Accent5 2 4 3" xfId="26753" xr:uid="{0E2B4A13-70CF-4FA0-8CDD-74DD62357B2B}"/>
    <cellStyle name="40% - Accent5 2 4 3 2" xfId="8127" xr:uid="{4F93CE5F-7AD9-43B6-AAC0-1BFBDE29A3C0}"/>
    <cellStyle name="40% - Accent5 2 4 3 2 2" xfId="8125" xr:uid="{5E361AF3-CB4E-4C59-98E0-00679874B619}"/>
    <cellStyle name="40% - Accent5 2 4 3 2 2 2" xfId="24616" xr:uid="{33603560-FD24-4344-8DF1-00ECC8FA9EFE}"/>
    <cellStyle name="40% - Accent5 2 4 3 2 2 2 2" xfId="25982" xr:uid="{7B9043CC-0E6F-4862-BB7E-8D5392B00861}"/>
    <cellStyle name="40% - Accent5 2 4 3 2 2 2 2 2" xfId="15004" xr:uid="{3489F98D-F388-4891-97A7-955D1F908DD7}"/>
    <cellStyle name="40% - Accent5 2 4 3 2 2 2 3" xfId="8124" xr:uid="{6A54491A-CBBD-456A-A02A-99BEDE6BAFAE}"/>
    <cellStyle name="40% - Accent5 2 4 3 2 2 3" xfId="22031" xr:uid="{E934A832-D105-4C5E-97F0-89341B477556}"/>
    <cellStyle name="40% - Accent5 2 4 3 2 2 3 2" xfId="8123" xr:uid="{09FD9FE2-BB4B-44C4-9635-7779E1B8D355}"/>
    <cellStyle name="40% - Accent5 2 4 3 2 2 4" xfId="21649" xr:uid="{E93B476C-6ABF-4910-8AC9-02CA6CFFC0B8}"/>
    <cellStyle name="40% - Accent5 2 4 3 2 3" xfId="8121" xr:uid="{E7BCA11E-E47A-4486-B67C-BBC1E0A12E30}"/>
    <cellStyle name="40% - Accent5 2 4 3 2 3 2" xfId="24605" xr:uid="{756193B4-E3EF-4BAD-8E8C-5E5C94377561}"/>
    <cellStyle name="40% - Accent5 2 4 3 2 3 2 2" xfId="8119" xr:uid="{435F312F-9CE3-4339-9010-8D576199CC6D}"/>
    <cellStyle name="40% - Accent5 2 4 3 2 3 3" xfId="8118" xr:uid="{5B54CB59-C72C-4B5C-AE84-E2E0AEBC78DD}"/>
    <cellStyle name="40% - Accent5 2 4 3 2 4" xfId="8116" xr:uid="{07622AAB-6835-4AA6-9058-D25F948B003E}"/>
    <cellStyle name="40% - Accent5 2 4 3 2 4 2" xfId="31304" xr:uid="{8B377899-CE19-4EC6-8B90-8FC2F6609D53}"/>
    <cellStyle name="40% - Accent5 2 4 3 2 5" xfId="22211" xr:uid="{1936D184-133B-4E6F-9B4B-29D2BE4A62E2}"/>
    <cellStyle name="40% - Accent5 2 4 3 3" xfId="8115" xr:uid="{D503AF90-3791-45C4-AD01-C874E1A71B11}"/>
    <cellStyle name="40% - Accent5 2 4 3 3 2" xfId="8112" xr:uid="{0ADBDA56-F7A5-4D28-8587-3643890C5852}"/>
    <cellStyle name="40% - Accent5 2 4 3 3 2 2" xfId="31619" xr:uid="{73D4F09F-CFF5-4114-9AA5-675F69BDE69E}"/>
    <cellStyle name="40% - Accent5 2 4 3 3 2 2 2" xfId="13615" xr:uid="{7A160FDC-D3FF-4D07-999E-CF797DBC29A5}"/>
    <cellStyle name="40% - Accent5 2 4 3 3 2 3" xfId="8110" xr:uid="{91B45E9F-62F3-432C-850D-8592CD3A2E89}"/>
    <cellStyle name="40% - Accent5 2 4 3 3 3" xfId="8107" xr:uid="{B8A297BA-69E0-44AD-B98D-9B26B32C6360}"/>
    <cellStyle name="40% - Accent5 2 4 3 3 3 2" xfId="8106" xr:uid="{110A7013-CD29-4327-BEDC-8C69F54FD3BF}"/>
    <cellStyle name="40% - Accent5 2 4 3 3 4" xfId="8492" xr:uid="{8CBE0257-BDDD-4F9C-BA9D-AF6538743E38}"/>
    <cellStyle name="40% - Accent5 2 4 3 4" xfId="8105" xr:uid="{18EA0DD8-50A5-4CA5-AED0-C883F0390185}"/>
    <cellStyle name="40% - Accent5 2 4 3 4 2" xfId="8103" xr:uid="{32FBAD13-469D-49FE-B1BD-BF9BB49B4C2E}"/>
    <cellStyle name="40% - Accent5 2 4 3 4 2 2" xfId="18689" xr:uid="{A96FDE3A-B9C8-471B-93AC-8399E56C128E}"/>
    <cellStyle name="40% - Accent5 2 4 3 4 3" xfId="8102" xr:uid="{4572CFED-C009-40F8-9E11-A095D9502589}"/>
    <cellStyle name="40% - Accent5 2 4 3 5" xfId="8101" xr:uid="{686DFC04-2D52-4B18-969E-60DB3D18AB98}"/>
    <cellStyle name="40% - Accent5 2 4 3 5 2" xfId="8099" xr:uid="{0CB2D502-1BCE-4985-86F8-62F03C6E02F4}"/>
    <cellStyle name="40% - Accent5 2 4 3 6" xfId="16765" xr:uid="{897B31B6-0EE4-438E-AE56-7A98B387E60A}"/>
    <cellStyle name="40% - Accent5 2 4 4" xfId="33344" xr:uid="{DBBE66E8-1B40-43D0-B8BF-415378F23581}"/>
    <cellStyle name="40% - Accent5 2 4 4 2" xfId="32032" xr:uid="{5219A4BC-4E8C-4206-B2F5-AF55AF129F30}"/>
    <cellStyle name="40% - Accent5 2 4 4 2 2" xfId="32025" xr:uid="{382B88C1-5AA4-4EF7-A86D-2DD057E7796A}"/>
    <cellStyle name="40% - Accent5 2 4 4 2 2 2" xfId="24569" xr:uid="{BEC547F8-FCBD-450A-8ACD-8B9112AE3DC0}"/>
    <cellStyle name="40% - Accent5 2 4 4 2 2 2 2" xfId="8098" xr:uid="{DD12E2E0-DA2B-4ABB-8143-BEB19089FB5F}"/>
    <cellStyle name="40% - Accent5 2 4 4 2 2 3" xfId="8096" xr:uid="{1D052A5D-4917-4F91-B85C-BD728C82F385}"/>
    <cellStyle name="40% - Accent5 2 4 4 2 3" xfId="24485" xr:uid="{795D2F3F-8F45-42AE-A42E-E55862A29042}"/>
    <cellStyle name="40% - Accent5 2 4 4 2 3 2" xfId="8094" xr:uid="{7F0D3203-A527-41ED-A7CF-1E9337E5BD98}"/>
    <cellStyle name="40% - Accent5 2 4 4 2 4" xfId="8093" xr:uid="{0C2C7D77-768E-4382-8010-A646375209E2}"/>
    <cellStyle name="40% - Accent5 2 4 4 3" xfId="31914" xr:uid="{424190CE-EB21-4306-9D10-F1C334671022}"/>
    <cellStyle name="40% - Accent5 2 4 4 3 2" xfId="31904" xr:uid="{A084131D-3E08-4DAB-B791-089646F252DD}"/>
    <cellStyle name="40% - Accent5 2 4 4 3 2 2" xfId="8091" xr:uid="{9B06B187-C829-47A4-9476-98EA7BFC568D}"/>
    <cellStyle name="40% - Accent5 2 4 4 3 3" xfId="8090" xr:uid="{90A3125A-06A7-472D-A8FD-636AEC3ABFFE}"/>
    <cellStyle name="40% - Accent5 2 4 4 4" xfId="31203" xr:uid="{A659BA9D-108A-43C6-B5F3-A1D579306C4D}"/>
    <cellStyle name="40% - Accent5 2 4 4 4 2" xfId="13603" xr:uid="{AF9DE904-6C75-45EA-9A1A-B9000FFAF2F3}"/>
    <cellStyle name="40% - Accent5 2 4 4 5" xfId="13355" xr:uid="{44EE5CC3-01D3-4202-B521-BEFDF6E35291}"/>
    <cellStyle name="40% - Accent5 2 4 5" xfId="8084" xr:uid="{8FE78F83-3A00-48CC-9B91-76E9A74618C9}"/>
    <cellStyle name="40% - Accent5 2 4 5 2" xfId="31792" xr:uid="{EC19E65E-7EE5-4C69-98AC-8DC59203B014}"/>
    <cellStyle name="40% - Accent5 2 4 5 2 2" xfId="31786" xr:uid="{20A88316-ECDD-442A-836C-BF55D2D259A5}"/>
    <cellStyle name="40% - Accent5 2 4 5 2 2 2" xfId="8082" xr:uid="{A4A828AC-3677-407C-A820-1C59EC067F3D}"/>
    <cellStyle name="40% - Accent5 2 4 5 2 3" xfId="8079" xr:uid="{AE5488B7-E230-4769-8EEF-D563829E0FF4}"/>
    <cellStyle name="40% - Accent5 2 4 5 3" xfId="31711" xr:uid="{3640A02A-A387-408F-893B-147DB1C951CF}"/>
    <cellStyle name="40% - Accent5 2 4 5 3 2" xfId="11767" xr:uid="{0E90E0B8-E5EA-4820-B030-7AD5498B931E}"/>
    <cellStyle name="40% - Accent5 2 4 5 4" xfId="11755" xr:uid="{BA5F2C31-7F4B-4683-8D8E-4EC32049DD72}"/>
    <cellStyle name="40% - Accent5 2 4 6" xfId="14200" xr:uid="{D42A9E77-0064-416D-9929-ADAD6935BE55}"/>
    <cellStyle name="40% - Accent5 2 4 6 2" xfId="20717" xr:uid="{CD0D588A-3C8B-44F0-9B04-56EC2D33D9DF}"/>
    <cellStyle name="40% - Accent5 2 4 6 2 2" xfId="8073" xr:uid="{099E396B-AC41-4541-A954-40F1F38A7E1B}"/>
    <cellStyle name="40% - Accent5 2 4 6 3" xfId="33881" xr:uid="{30A3AE76-E289-40CF-81E8-71E913395F8F}"/>
    <cellStyle name="40% - Accent5 2 4 7" xfId="8069" xr:uid="{86D94C29-AA01-4FCA-B829-D1C9C309366A}"/>
    <cellStyle name="40% - Accent5 2 4 7 2" xfId="8066" xr:uid="{FCD4AC87-8704-499F-8F7E-6C4FCFA41DFC}"/>
    <cellStyle name="40% - Accent5 2 4 8" xfId="15152" xr:uid="{862D65D3-3E1E-4C0D-9C6A-0FBA422F3647}"/>
    <cellStyle name="40% - Accent5 2 4 9" xfId="34763" xr:uid="{E0EBE6F6-8974-4D6F-BC1F-8D8A7862FC52}"/>
    <cellStyle name="40% - Accent5 2 5" xfId="28473" xr:uid="{55248F6E-367F-436E-8984-A2EF2059C2F3}"/>
    <cellStyle name="40% - Accent5 2 5 2" xfId="26669" xr:uid="{AD9F7290-A85B-4E58-880F-81943F13E366}"/>
    <cellStyle name="40% - Accent5 2 5 2 2" xfId="8065" xr:uid="{A730844C-F496-4644-8FE5-5E2A12979593}"/>
    <cellStyle name="40% - Accent5 2 5 2 2 2" xfId="15348" xr:uid="{10EBBC03-EE64-455D-A6B5-A7CC98D29251}"/>
    <cellStyle name="40% - Accent5 2 5 2 2 2 2" xfId="24494" xr:uid="{286E3A48-456A-437D-832B-B8F78A23C7B3}"/>
    <cellStyle name="40% - Accent5 2 5 2 2 2 2 2" xfId="24273" xr:uid="{CF464CD5-639F-478F-A78A-F48C3E683C01}"/>
    <cellStyle name="40% - Accent5 2 5 2 2 2 2 2 2" xfId="8064" xr:uid="{1E12BD1D-F679-4020-930D-BEDCC46028D2}"/>
    <cellStyle name="40% - Accent5 2 5 2 2 2 2 3" xfId="8062" xr:uid="{C6F1549C-C934-41D4-96BF-37AB3BAE68E4}"/>
    <cellStyle name="40% - Accent5 2 5 2 2 2 3" xfId="17986" xr:uid="{38592FCF-C795-48C4-9246-FA0FEA321BCC}"/>
    <cellStyle name="40% - Accent5 2 5 2 2 2 3 2" xfId="8060" xr:uid="{421E27B9-15D3-4118-8F80-AFD0D746B4E9}"/>
    <cellStyle name="40% - Accent5 2 5 2 2 2 4" xfId="32515" xr:uid="{9395153C-D14A-41C0-A153-F39AA0C36A2D}"/>
    <cellStyle name="40% - Accent5 2 5 2 2 3" xfId="15347" xr:uid="{2039E444-DB5C-4004-9230-FCDA3F1875FC}"/>
    <cellStyle name="40% - Accent5 2 5 2 2 3 2" xfId="24477" xr:uid="{E166E72F-A021-497A-907E-B95EF07673AF}"/>
    <cellStyle name="40% - Accent5 2 5 2 2 3 2 2" xfId="8058" xr:uid="{CFBFEFC5-D8BB-42F1-8DEA-1A916CBA28AA}"/>
    <cellStyle name="40% - Accent5 2 5 2 2 3 3" xfId="8057" xr:uid="{9FFA9A54-9423-4CCB-9D25-EB52A2545F5C}"/>
    <cellStyle name="40% - Accent5 2 5 2 2 4" xfId="8056" xr:uid="{E2F958A7-2238-4AA5-B6C2-93FDD656D23B}"/>
    <cellStyle name="40% - Accent5 2 5 2 2 4 2" xfId="8055" xr:uid="{B4E8AFE9-424A-44AC-820E-9F269AA115C9}"/>
    <cellStyle name="40% - Accent5 2 5 2 2 5" xfId="8054" xr:uid="{928A29F1-8D98-43FC-97B7-284F23F7B443}"/>
    <cellStyle name="40% - Accent5 2 5 2 3" xfId="8053" xr:uid="{2ACD1D6A-8F48-40D8-8661-FBE8F7F1F4AC}"/>
    <cellStyle name="40% - Accent5 2 5 2 3 2" xfId="15328" xr:uid="{15CFCE94-ABBF-4206-BDBE-824FF47AFC51}"/>
    <cellStyle name="40% - Accent5 2 5 2 3 2 2" xfId="31402" xr:uid="{A56539B8-0EAA-42E0-85D3-5874E8895F42}"/>
    <cellStyle name="40% - Accent5 2 5 2 3 2 2 2" xfId="8052" xr:uid="{640C053A-3B79-4348-8A51-9704F382D919}"/>
    <cellStyle name="40% - Accent5 2 5 2 3 2 3" xfId="30602" xr:uid="{3AD3DC6D-2B8B-41A7-B055-0D2B92AF68D1}"/>
    <cellStyle name="40% - Accent5 2 5 2 3 3" xfId="8050" xr:uid="{914734EE-C4A4-4A25-BC7B-3BEE3BE23E0D}"/>
    <cellStyle name="40% - Accent5 2 5 2 3 3 2" xfId="8048" xr:uid="{77431FD3-C69F-4A27-A81F-77BADF0232D2}"/>
    <cellStyle name="40% - Accent5 2 5 2 3 4" xfId="8468" xr:uid="{D1CB6579-7E13-4349-8020-1A4D0A3E02A1}"/>
    <cellStyle name="40% - Accent5 2 5 2 4" xfId="8047" xr:uid="{D8BEFDA6-AB35-4051-A2DB-9F2C8210978B}"/>
    <cellStyle name="40% - Accent5 2 5 2 4 2" xfId="8046" xr:uid="{6885E24C-1A42-4CF0-A7CF-D1F30A6D46BA}"/>
    <cellStyle name="40% - Accent5 2 5 2 4 2 2" xfId="8044" xr:uid="{BEA174F7-FCB0-4A5C-BFC8-E7F51FF027EC}"/>
    <cellStyle name="40% - Accent5 2 5 2 4 3" xfId="8043" xr:uid="{27385DE5-7313-4A4C-A1B7-2C3F16F274A8}"/>
    <cellStyle name="40% - Accent5 2 5 2 5" xfId="8041" xr:uid="{29ADB748-714E-44C0-8745-7ECD568B1444}"/>
    <cellStyle name="40% - Accent5 2 5 2 5 2" xfId="8039" xr:uid="{650B6BC1-5070-4695-9C9A-DCD212639946}"/>
    <cellStyle name="40% - Accent5 2 5 2 6" xfId="16729" xr:uid="{B8790E2E-3F0A-48F3-9EEB-FB65FF26558A}"/>
    <cellStyle name="40% - Accent5 2 5 3" xfId="11822" xr:uid="{5A047CBD-E5AC-45F0-9AAC-9836F95BFE11}"/>
    <cellStyle name="40% - Accent5 2 5 3 2" xfId="11819" xr:uid="{786BBB22-2A0D-47CB-99A9-BDBE576DB718}"/>
    <cellStyle name="40% - Accent5 2 5 3 2 2" xfId="27946" xr:uid="{5A49E36A-90BE-4592-8BA2-BEDD0E656DAD}"/>
    <cellStyle name="40% - Accent5 2 5 3 2 2 2" xfId="24445" xr:uid="{FAA3044D-262F-4201-A1BD-8B6BB483BC92}"/>
    <cellStyle name="40% - Accent5 2 5 3 2 2 2 2" xfId="8038" xr:uid="{0A45A283-9F8C-47B5-A156-ACF74C1C7769}"/>
    <cellStyle name="40% - Accent5 2 5 3 2 2 3" xfId="8037" xr:uid="{4E789FA7-811A-4D07-9E9E-40ECDF7D4DED}"/>
    <cellStyle name="40% - Accent5 2 5 3 2 3" xfId="8035" xr:uid="{E111A9A3-59B0-495B-B8D4-05E3E92F5AE5}"/>
    <cellStyle name="40% - Accent5 2 5 3 2 3 2" xfId="8033" xr:uid="{D3FE21C5-54F7-42A3-9389-6C7380AAF7BE}"/>
    <cellStyle name="40% - Accent5 2 5 3 2 4" xfId="8031" xr:uid="{153F251C-ED3B-43F6-8CBF-30DFA76B7E60}"/>
    <cellStyle name="40% - Accent5 2 5 3 3" xfId="11816" xr:uid="{65D09294-5ACC-4145-8753-0BCE775EFA57}"/>
    <cellStyle name="40% - Accent5 2 5 3 3 2" xfId="8029" xr:uid="{0E800107-203B-4594-B963-187BFC2E38CD}"/>
    <cellStyle name="40% - Accent5 2 5 3 3 2 2" xfId="8028" xr:uid="{EB9CEA56-DBF0-43F5-96E4-1D4C978DE5CF}"/>
    <cellStyle name="40% - Accent5 2 5 3 3 3" xfId="8027" xr:uid="{7C925F14-0C17-4C20-81F3-738A7ABFB34D}"/>
    <cellStyle name="40% - Accent5 2 5 3 4" xfId="8024" xr:uid="{C2688321-255D-4506-AA8E-E5934B14F06E}"/>
    <cellStyle name="40% - Accent5 2 5 3 4 2" xfId="12174" xr:uid="{28215966-7062-4E15-9533-7F97E83FFBC1}"/>
    <cellStyle name="40% - Accent5 2 5 3 5" xfId="8023" xr:uid="{DFB00E41-9846-44C1-B4D8-B0E841B4ED33}"/>
    <cellStyle name="40% - Accent5 2 5 4" xfId="11812" xr:uid="{806E3C2C-D49F-401A-8A4F-C4BFBFD242B3}"/>
    <cellStyle name="40% - Accent5 2 5 4 2" xfId="19858" xr:uid="{8023E664-1A98-4657-91B0-866FDE6D47AF}"/>
    <cellStyle name="40% - Accent5 2 5 4 2 2" xfId="31245" xr:uid="{F4AC2328-4302-4BDC-B06D-EA451504A3F5}"/>
    <cellStyle name="40% - Accent5 2 5 4 2 2 2" xfId="8022" xr:uid="{9EF9445B-EE68-4219-AB81-8FE0710E422B}"/>
    <cellStyle name="40% - Accent5 2 5 4 2 3" xfId="8020" xr:uid="{DC224E7C-50B5-4FA9-8368-79C223DFB2EB}"/>
    <cellStyle name="40% - Accent5 2 5 4 3" xfId="31502" xr:uid="{40265BB4-B51D-421C-B0C1-FCA755B0F0D6}"/>
    <cellStyle name="40% - Accent5 2 5 4 3 2" xfId="8013" xr:uid="{3FE34BC9-A573-47E1-85E5-5869C95D6D3C}"/>
    <cellStyle name="40% - Accent5 2 5 4 4" xfId="33581" xr:uid="{C0740524-1B80-42B5-AACF-61B5B54D069C}"/>
    <cellStyle name="40% - Accent5 2 5 5" xfId="11809" xr:uid="{AB03C3F3-0EFD-44EB-8749-BEA9068B1659}"/>
    <cellStyle name="40% - Accent5 2 5 5 2" xfId="31433" xr:uid="{3F2CB163-057C-495B-BD23-F0B535D26D80}"/>
    <cellStyle name="40% - Accent5 2 5 5 2 2" xfId="8010" xr:uid="{CFEF4771-415D-4F39-AFD2-82498C15A7B9}"/>
    <cellStyle name="40% - Accent5 2 5 5 3" xfId="11732" xr:uid="{F8222BF6-91C0-4871-AD43-EA2D542AE7FB}"/>
    <cellStyle name="40% - Accent5 2 5 6" xfId="8007" xr:uid="{40A0FA22-5CD3-468C-A5FA-FE1187F41F24}"/>
    <cellStyle name="40% - Accent5 2 5 6 2" xfId="8006" xr:uid="{517097E2-99B9-49B6-BA91-0752E9D7064A}"/>
    <cellStyle name="40% - Accent5 2 5 7" xfId="12401" xr:uid="{0C4B0316-C956-4274-9EC4-0CC5453EE39D}"/>
    <cellStyle name="40% - Accent5 2 5 8" xfId="34953" xr:uid="{72EE19EC-36FD-45BA-BBC4-34D81503FC7A}"/>
    <cellStyle name="40% - Accent5 2 6" xfId="8005" xr:uid="{49F571B2-F6C1-4268-BD95-DE115652B867}"/>
    <cellStyle name="40% - Accent5 2 6 2" xfId="8002" xr:uid="{8824D233-BE79-49F6-A25E-D52E9E7F295E}"/>
    <cellStyle name="40% - Accent5 2 6 2 2" xfId="7996" xr:uid="{66CD0E04-6956-429E-A1EE-E7E8695961C8}"/>
    <cellStyle name="40% - Accent5 2 6 2 2 2" xfId="15018" xr:uid="{0B0FE08D-53CC-4E75-A4F5-F66CBF7A8506}"/>
    <cellStyle name="40% - Accent5 2 6 2 2 2 2" xfId="24414" xr:uid="{FF6CD737-1FF7-41AF-BFA5-247031D2178D}"/>
    <cellStyle name="40% - Accent5 2 6 2 2 2 2 2" xfId="7990" xr:uid="{020EC485-E040-4CDE-8642-7C3E901FD1CC}"/>
    <cellStyle name="40% - Accent5 2 6 2 2 2 3" xfId="7989" xr:uid="{7269AFFE-1A22-40ED-BB18-5A018D53652E}"/>
    <cellStyle name="40% - Accent5 2 6 2 2 3" xfId="13882" xr:uid="{066C6CFC-7922-4253-983D-CAE180DAF8E7}"/>
    <cellStyle name="40% - Accent5 2 6 2 2 3 2" xfId="7985" xr:uid="{AC9E2AE5-7DB6-4656-9949-04B82EEAF40A}"/>
    <cellStyle name="40% - Accent5 2 6 2 2 4" xfId="13877" xr:uid="{340705B8-9A22-4E91-9B90-BC67523DBC79}"/>
    <cellStyle name="40% - Accent5 2 6 2 3" xfId="7981" xr:uid="{7A3E9B07-7590-42BD-80FE-E04511C37783}"/>
    <cellStyle name="40% - Accent5 2 6 2 3 2" xfId="7977" xr:uid="{63631789-AB0C-4861-9300-0DA10DA31309}"/>
    <cellStyle name="40% - Accent5 2 6 2 3 2 2" xfId="7974" xr:uid="{1BB505DA-F078-4273-A502-6F10D4813A99}"/>
    <cellStyle name="40% - Accent5 2 6 2 3 3" xfId="13873" xr:uid="{99CD04E6-842C-48A8-B205-8CD220BCA937}"/>
    <cellStyle name="40% - Accent5 2 6 2 4" xfId="30940" xr:uid="{C0C20CB3-3C34-4A1A-B4CF-7C3449650D4B}"/>
    <cellStyle name="40% - Accent5 2 6 2 4 2" xfId="32632" xr:uid="{BB42093E-5BE1-4202-A190-7F2D98C40C6B}"/>
    <cellStyle name="40% - Accent5 2 6 2 5" xfId="22199" xr:uid="{93D244A4-40BC-4700-BCAD-C13D990721E2}"/>
    <cellStyle name="40% - Accent5 2 6 3" xfId="15132" xr:uid="{EC628879-A964-4DD2-9E3E-6A1381A7A13D}"/>
    <cellStyle name="40% - Accent5 2 6 3 2" xfId="11806" xr:uid="{5D858BCB-2337-4502-BDEA-F5A6877ED50F}"/>
    <cellStyle name="40% - Accent5 2 6 3 2 2" xfId="7970" xr:uid="{10DE2DA9-3F42-469D-B329-05940F0EE549}"/>
    <cellStyle name="40% - Accent5 2 6 3 2 2 2" xfId="16807" xr:uid="{528DA7DF-5E53-4CCC-8CF9-005FC5CAE55D}"/>
    <cellStyle name="40% - Accent5 2 6 3 2 3" xfId="13857" xr:uid="{F5B5C678-6EB1-40B4-8B3E-26BC0D646A1D}"/>
    <cellStyle name="40% - Accent5 2 6 3 3" xfId="7967" xr:uid="{41768FCF-1A24-4DB6-9C69-6E3FD4C6205C}"/>
    <cellStyle name="40% - Accent5 2 6 3 3 2" xfId="7965" xr:uid="{AE748085-2809-4274-A5DE-BDF11CEFC07F}"/>
    <cellStyle name="40% - Accent5 2 6 3 4" xfId="30668" xr:uid="{FA9A19BA-FE32-4A56-9F42-B1EA4DDFA1E3}"/>
    <cellStyle name="40% - Accent5 2 6 4" xfId="11800" xr:uid="{F9C6ED42-A3CE-475D-98F0-C0B78376370F}"/>
    <cellStyle name="40% - Accent5 2 6 4 2" xfId="31320" xr:uid="{C7502CAB-4E2A-45A5-BF95-5E650EA3A5AD}"/>
    <cellStyle name="40% - Accent5 2 6 4 2 2" xfId="7961" xr:uid="{07A014A9-E40A-401A-9DEA-5A11D5E335A3}"/>
    <cellStyle name="40% - Accent5 2 6 4 3" xfId="7955" xr:uid="{56633522-0032-4820-A52D-E7CF0A042E6D}"/>
    <cellStyle name="40% - Accent5 2 6 5" xfId="7953" xr:uid="{F57DF7DC-3063-423F-BB0B-D6EE2CBAFCF7}"/>
    <cellStyle name="40% - Accent5 2 6 5 2" xfId="7951" xr:uid="{DE42D282-1597-4D8C-9546-0468ACA9BCF7}"/>
    <cellStyle name="40% - Accent5 2 6 6" xfId="7949" xr:uid="{3632EEB5-B79A-4CCF-B209-8F3CC8AF8B97}"/>
    <cellStyle name="40% - Accent5 2 6 7" xfId="35158" xr:uid="{7E992BCA-394C-436C-B5FA-5EE78D1CCA6F}"/>
    <cellStyle name="40% - Accent5 2 7" xfId="7946" xr:uid="{23D596D1-B061-4FC8-B57E-A73555F84414}"/>
    <cellStyle name="40% - Accent5 2 7 2" xfId="15089" xr:uid="{06D7B093-2860-485F-B8AE-F973778392F2}"/>
    <cellStyle name="40% - Accent5 2 7 2 2" xfId="7943" xr:uid="{8153C661-2F69-4561-90EA-94A4E25E192E}"/>
    <cellStyle name="40% - Accent5 2 7 2 2 2" xfId="7939" xr:uid="{010C0E4C-1D70-468E-83C2-30CBF97D6559}"/>
    <cellStyle name="40% - Accent5 2 7 2 2 2 2" xfId="15081" xr:uid="{08745A73-8331-4520-BD9B-6719A1DE0487}"/>
    <cellStyle name="40% - Accent5 2 7 2 2 3" xfId="13828" xr:uid="{4066B1F2-8997-4B1A-A8A7-BFB0DCF20EC9}"/>
    <cellStyle name="40% - Accent5 2 7 2 3" xfId="7937" xr:uid="{15EE6160-A6C7-4B1F-9E10-A53DD8D5F6A8}"/>
    <cellStyle name="40% - Accent5 2 7 2 3 2" xfId="7935" xr:uid="{023088EC-E624-4CD8-A459-2D6E6E8519B2}"/>
    <cellStyle name="40% - Accent5 2 7 2 4" xfId="30659" xr:uid="{794415A5-7082-4424-9D31-FEF6021E310B}"/>
    <cellStyle name="40% - Accent5 2 7 3" xfId="11794" xr:uid="{CAF9652A-31F4-442C-A660-B1D5F79BCA8F}"/>
    <cellStyle name="40% - Accent5 2 7 3 2" xfId="7932" xr:uid="{6AFF32C5-8588-4D6B-9451-A27272697BFF}"/>
    <cellStyle name="40% - Accent5 2 7 3 2 2" xfId="7930" xr:uid="{EA82B71F-490C-49FD-9CC3-FD679E95185A}"/>
    <cellStyle name="40% - Accent5 2 7 3 3" xfId="7927" xr:uid="{7366DFF2-EDC0-427F-BF12-C3C3AA5D8C7F}"/>
    <cellStyle name="40% - Accent5 2 7 4" xfId="8406" xr:uid="{ABCBAA49-5E20-42FF-94AC-F1D63DA052C2}"/>
    <cellStyle name="40% - Accent5 2 7 4 2" xfId="7925" xr:uid="{A24A9D32-74AC-44D7-B135-F4F55613ADC9}"/>
    <cellStyle name="40% - Accent5 2 7 5" xfId="7922" xr:uid="{E6B157FB-C357-4608-AD82-FC882CACCFEB}"/>
    <cellStyle name="40% - Accent5 2 7 6" xfId="35387" xr:uid="{1AC317BD-C64D-4316-8556-CE577F8CBF1D}"/>
    <cellStyle name="40% - Accent5 2 8" xfId="15173" xr:uid="{EA3A0809-741A-4FB8-B7AF-717DC2A394D7}"/>
    <cellStyle name="40% - Accent5 2 8 2" xfId="7918" xr:uid="{CE84204B-4161-4DF4-8683-6CAE68AF44FF}"/>
    <cellStyle name="40% - Accent5 2 8 2 2" xfId="7914" xr:uid="{C3665BAF-BA65-4994-AA0E-1F61E06F85C7}"/>
    <cellStyle name="40% - Accent5 2 8 2 2 2" xfId="7912" xr:uid="{A91CB631-99DC-47D6-8B72-A86DD7F340EF}"/>
    <cellStyle name="40% - Accent5 2 8 2 3" xfId="7910" xr:uid="{D0641F47-F1A3-42A1-873D-0F77C627FFFA}"/>
    <cellStyle name="40% - Accent5 2 8 3" xfId="7907" xr:uid="{BD1A337F-E033-4ABD-9589-F737F3CF55CA}"/>
    <cellStyle name="40% - Accent5 2 8 3 2" xfId="7904" xr:uid="{2C3B21BF-732D-45B5-A387-7F5C515C4A8E}"/>
    <cellStyle name="40% - Accent5 2 8 4" xfId="15602" xr:uid="{F1B2B6E3-7064-4BBF-9EB1-2C8E65820579}"/>
    <cellStyle name="40% - Accent5 2 8 5" xfId="36259" xr:uid="{E9C93A08-9B95-46B1-87B7-AF5635DC1903}"/>
    <cellStyle name="40% - Accent5 2 9" xfId="7901" xr:uid="{8BAF3CF2-3621-42B0-9405-5CE32B735C55}"/>
    <cellStyle name="40% - Accent5 2 9 2" xfId="7900" xr:uid="{BB025F06-3872-4AC2-AD6D-3FB281D5339C}"/>
    <cellStyle name="40% - Accent5 2 9 2 2" xfId="7898" xr:uid="{DD9CC396-1E8A-45EF-A600-4DFC0428E1C3}"/>
    <cellStyle name="40% - Accent5 2 9 3" xfId="7896" xr:uid="{7F7F4992-0B5A-484B-98D6-5A058D0E867D}"/>
    <cellStyle name="40% - Accent5 2 9 4" xfId="36545" xr:uid="{4F0F0D9A-B0F3-4462-9A29-25D8BC64F0A0}"/>
    <cellStyle name="40% - Accent5 20" xfId="35709" xr:uid="{3A7A3334-EC5A-4D1B-905E-C26AC0E20ED7}"/>
    <cellStyle name="40% - Accent5 20 2" xfId="36878" xr:uid="{958B29A1-C5BA-4E5B-903C-66250525D6E0}"/>
    <cellStyle name="40% - Accent5 20 3" xfId="37769" xr:uid="{5B2C7141-C5B5-4B02-A260-1BAFA676348E}"/>
    <cellStyle name="40% - Accent5 21" xfId="35728" xr:uid="{6CFE7D30-A574-4E48-9A5A-888644087154}"/>
    <cellStyle name="40% - Accent5 21 2" xfId="36898" xr:uid="{1B0C1276-95D1-4366-8486-CDBAE587F146}"/>
    <cellStyle name="40% - Accent5 21 3" xfId="37789" xr:uid="{377FE52B-0A46-45E1-9D4B-4C0F830D791F}"/>
    <cellStyle name="40% - Accent5 22" xfId="35747" xr:uid="{396266D1-9ADB-4418-B276-4D6F5F053F1D}"/>
    <cellStyle name="40% - Accent5 22 2" xfId="36918" xr:uid="{653D88D9-CA8B-4997-8674-8145BC49E62B}"/>
    <cellStyle name="40% - Accent5 22 3" xfId="37809" xr:uid="{0A4C4830-428C-4A3E-9804-16A124B54AC4}"/>
    <cellStyle name="40% - Accent5 23" xfId="35767" xr:uid="{0B37A84A-97DE-4BA3-8B03-5C196B2FE2EE}"/>
    <cellStyle name="40% - Accent5 23 2" xfId="36937" xr:uid="{F8ED23EE-759A-439F-9468-404FE7BADE6B}"/>
    <cellStyle name="40% - Accent5 23 3" xfId="37829" xr:uid="{8DD005CB-D399-404D-A638-62001A946798}"/>
    <cellStyle name="40% - Accent5 24" xfId="35787" xr:uid="{027B0703-6088-4E47-9FEA-848F83A65243}"/>
    <cellStyle name="40% - Accent5 24 2" xfId="36956" xr:uid="{33F3211B-7C02-4FFA-8267-51E0A4B5FD29}"/>
    <cellStyle name="40% - Accent5 24 3" xfId="37849" xr:uid="{90DCBAE4-716F-4B3C-B9DD-D8F72E5E8411}"/>
    <cellStyle name="40% - Accent5 25" xfId="35806" xr:uid="{108042FD-0262-4733-948E-773524E576D5}"/>
    <cellStyle name="40% - Accent5 25 2" xfId="36976" xr:uid="{7FFC8DC9-613E-4239-A36B-3215CD91AA46}"/>
    <cellStyle name="40% - Accent5 25 3" xfId="37869" xr:uid="{AC121449-7CEF-472F-AC4A-4F9CC4E39ADB}"/>
    <cellStyle name="40% - Accent5 26" xfId="35825" xr:uid="{FC5DCC7E-AD12-4980-91FD-0201339BC06B}"/>
    <cellStyle name="40% - Accent5 26 2" xfId="36996" xr:uid="{7CF6D2C4-0D7B-4F86-AF08-45025E637DB2}"/>
    <cellStyle name="40% - Accent5 26 3" xfId="37889" xr:uid="{C6836F79-DECE-4489-AF54-889C928433F8}"/>
    <cellStyle name="40% - Accent5 27" xfId="35844" xr:uid="{DD15609B-2119-4F58-A855-771F89764BA5}"/>
    <cellStyle name="40% - Accent5 27 2" xfId="37016" xr:uid="{E37427BB-BB1B-4631-A581-386FA05F31BB}"/>
    <cellStyle name="40% - Accent5 27 3" xfId="37909" xr:uid="{FF845BAC-0115-42CC-8248-287749611D73}"/>
    <cellStyle name="40% - Accent5 28" xfId="35863" xr:uid="{73B528EF-4153-407A-A3C1-45E47ECF7F50}"/>
    <cellStyle name="40% - Accent5 28 2" xfId="37036" xr:uid="{E75C929E-1E5B-4E40-A89A-2978F71C10BB}"/>
    <cellStyle name="40% - Accent5 28 3" xfId="37929" xr:uid="{E755383C-59A4-4630-983F-BE114B29E74B}"/>
    <cellStyle name="40% - Accent5 29" xfId="35879" xr:uid="{B66593B3-4EF3-4316-AE35-07EABD32D225}"/>
    <cellStyle name="40% - Accent5 29 2" xfId="37051" xr:uid="{2A9E114E-64F6-4D22-8656-0512D8017F0E}"/>
    <cellStyle name="40% - Accent5 29 3" xfId="37945" xr:uid="{571A482C-B5E7-4652-82FA-D2E1AD3E4AC4}"/>
    <cellStyle name="40% - Accent5 3" xfId="110" xr:uid="{249A884C-4BD6-48F5-B85D-1BB6A7F296C2}"/>
    <cellStyle name="40% - Accent5 3 10" xfId="7889" xr:uid="{416D1CFA-51EE-4D3C-95DE-14593F68D7D7}"/>
    <cellStyle name="40% - Accent5 3 10 2" xfId="37449" xr:uid="{AACFDF11-F9DE-4851-AE95-D8BB563563D0}"/>
    <cellStyle name="40% - Accent5 3 11" xfId="34464" xr:uid="{0B068F20-97B5-471B-9674-50F0DCC33C3B}"/>
    <cellStyle name="40% - Accent5 3 12" xfId="7893" xr:uid="{A359C33D-87C7-4C94-8247-88A5A07384AD}"/>
    <cellStyle name="40% - Accent5 3 2" xfId="171" xr:uid="{49A5882A-9545-4557-9142-533717DA0DFD}"/>
    <cellStyle name="40% - Accent5 3 2 10" xfId="34515" xr:uid="{5C146269-0E34-446B-8917-AD4A4CB6E3E8}"/>
    <cellStyle name="40% - Accent5 3 2 11" xfId="7888" xr:uid="{250682CC-D357-49AE-AA78-8CDDE7F6F001}"/>
    <cellStyle name="40% - Accent5 3 2 2" xfId="7883" xr:uid="{8F98CAC4-F841-47F3-AFF2-544F5CA1EE42}"/>
    <cellStyle name="40% - Accent5 3 2 2 2" xfId="7882" xr:uid="{4930BE28-18F3-4A66-848B-AEF4CF8FA9EA}"/>
    <cellStyle name="40% - Accent5 3 2 2 2 2" xfId="26949" xr:uid="{32CCA818-B4D4-4491-AEC0-9F263D707E19}"/>
    <cellStyle name="40% - Accent5 3 2 2 2 2 2" xfId="26946" xr:uid="{2E2D1C29-70ED-4E10-AED9-06CEE983EF39}"/>
    <cellStyle name="40% - Accent5 3 2 2 2 2 2 2" xfId="23489" xr:uid="{FEF9C380-14F0-4803-98CA-47C6782DB7C2}"/>
    <cellStyle name="40% - Accent5 3 2 2 2 2 2 2 2" xfId="7881" xr:uid="{A75DB10E-B0D1-4F25-8C4D-4AA00CE448D4}"/>
    <cellStyle name="40% - Accent5 3 2 2 2 2 2 2 2 2" xfId="7878" xr:uid="{BFAFA579-042C-4AA2-8BF0-E03C752B409D}"/>
    <cellStyle name="40% - Accent5 3 2 2 2 2 2 2 2 2 2" xfId="31412" xr:uid="{084223B1-C37E-46C4-AD48-4F0E2C9D78E4}"/>
    <cellStyle name="40% - Accent5 3 2 2 2 2 2 2 2 3" xfId="18872" xr:uid="{9728F79C-C2C9-4E26-8977-52E5B8E30476}"/>
    <cellStyle name="40% - Accent5 3 2 2 2 2 2 2 3" xfId="7874" xr:uid="{C3AC39A1-3772-46B2-8475-6B0C737B9071}"/>
    <cellStyle name="40% - Accent5 3 2 2 2 2 2 2 3 2" xfId="7872" xr:uid="{2DAA40B9-CF28-469D-B71B-93E8792464FC}"/>
    <cellStyle name="40% - Accent5 3 2 2 2 2 2 2 4" xfId="28966" xr:uid="{4C6E407C-D32C-4A4F-A10E-6780E65B4532}"/>
    <cellStyle name="40% - Accent5 3 2 2 2 2 2 3" xfId="21284" xr:uid="{1021034C-4080-4FB6-A9EC-DFB39303048C}"/>
    <cellStyle name="40% - Accent5 3 2 2 2 2 2 3 2" xfId="7870" xr:uid="{311181CE-E711-448E-9E92-E5113BE7EED8}"/>
    <cellStyle name="40% - Accent5 3 2 2 2 2 2 3 2 2" xfId="7867" xr:uid="{57C85B26-97F7-4421-930F-B258A1BD63BF}"/>
    <cellStyle name="40% - Accent5 3 2 2 2 2 2 3 3" xfId="7866" xr:uid="{3403FFF3-1C76-427A-A9FC-9EAC151E1357}"/>
    <cellStyle name="40% - Accent5 3 2 2 2 2 2 4" xfId="33423" xr:uid="{F6DA5D2A-1EEB-48E5-8A0A-4CE65534E7FA}"/>
    <cellStyle name="40% - Accent5 3 2 2 2 2 2 4 2" xfId="6600" xr:uid="{1F9C8749-2752-43F9-A8F0-ED1C2F2C79ED}"/>
    <cellStyle name="40% - Accent5 3 2 2 2 2 2 5" xfId="26475" xr:uid="{4464EC37-F9FF-4E95-9ACE-1C43E3CBCC73}"/>
    <cellStyle name="40% - Accent5 3 2 2 2 2 3" xfId="26944" xr:uid="{13D47EB8-9C1C-4C1D-8CD3-E7B469C2D21D}"/>
    <cellStyle name="40% - Accent5 3 2 2 2 2 3 2" xfId="7864" xr:uid="{1765E6CB-9FA6-4208-BD7F-DAD1989B505D}"/>
    <cellStyle name="40% - Accent5 3 2 2 2 2 3 2 2" xfId="7862" xr:uid="{ECF52F99-A347-4E2F-B7E7-42C7CAB1EAD3}"/>
    <cellStyle name="40% - Accent5 3 2 2 2 2 3 2 2 2" xfId="8473" xr:uid="{FB4B6E22-2BBD-4E3B-B453-ACFEDA928445}"/>
    <cellStyle name="40% - Accent5 3 2 2 2 2 3 2 3" xfId="25094" xr:uid="{8C266460-1B5A-43F2-A52B-36BBE23894CD}"/>
    <cellStyle name="40% - Accent5 3 2 2 2 2 3 3" xfId="33402" xr:uid="{5398D801-753B-4CF9-89AC-492760305EF1}"/>
    <cellStyle name="40% - Accent5 3 2 2 2 2 3 3 2" xfId="7859" xr:uid="{ED7C1B21-0E11-40F5-87A1-60636E1B5DDC}"/>
    <cellStyle name="40% - Accent5 3 2 2 2 2 3 4" xfId="33397" xr:uid="{0477C104-DB51-420E-BC45-3DCFE8E58D83}"/>
    <cellStyle name="40% - Accent5 3 2 2 2 2 4" xfId="23420" xr:uid="{E5A502AC-E008-4FA4-A47B-7CD4E95C080A}"/>
    <cellStyle name="40% - Accent5 3 2 2 2 2 4 2" xfId="7855" xr:uid="{F826E71E-A934-467E-8043-0A9CD69C76D2}"/>
    <cellStyle name="40% - Accent5 3 2 2 2 2 4 2 2" xfId="7852" xr:uid="{55ABC42A-739D-4451-844B-C92D93EFAFA3}"/>
    <cellStyle name="40% - Accent5 3 2 2 2 2 4 3" xfId="28632" xr:uid="{EA164566-779B-485C-BEF2-F27F437E75A6}"/>
    <cellStyle name="40% - Accent5 3 2 2 2 2 5" xfId="19431" xr:uid="{7F15AD9B-FEE0-4F15-A035-982478DD29BA}"/>
    <cellStyle name="40% - Accent5 3 2 2 2 2 5 2" xfId="7848" xr:uid="{F13DA387-13C6-4080-9B82-D415ADF6B6DB}"/>
    <cellStyle name="40% - Accent5 3 2 2 2 2 6" xfId="7886" xr:uid="{82942F4E-3837-4316-86C2-F86725A01B54}"/>
    <cellStyle name="40% - Accent5 3 2 2 2 3" xfId="27419" xr:uid="{9D61B59B-44D3-4BCF-96A4-6D8A6B6E6BE5}"/>
    <cellStyle name="40% - Accent5 3 2 2 2 3 2" xfId="26934" xr:uid="{EE5379E1-7123-45A1-8E6D-94EC0F5AEC11}"/>
    <cellStyle name="40% - Accent5 3 2 2 2 3 2 2" xfId="23192" xr:uid="{6CFEAA0C-74F2-4CC8-A329-A6957383C548}"/>
    <cellStyle name="40% - Accent5 3 2 2 2 3 2 2 2" xfId="19849" xr:uid="{ADD32FDF-B4FD-4B8F-8F83-CB579AD6CC66}"/>
    <cellStyle name="40% - Accent5 3 2 2 2 3 2 2 2 2" xfId="7845" xr:uid="{34A17008-09E5-4AAF-B5D3-0578DFAAF4D6}"/>
    <cellStyle name="40% - Accent5 3 2 2 2 3 2 2 3" xfId="19834" xr:uid="{58BB8BD6-69A0-47F1-BED6-91979849255D}"/>
    <cellStyle name="40% - Accent5 3 2 2 2 3 2 3" xfId="15533" xr:uid="{A8E51F8E-4ACE-43B6-913A-1F1211EAC301}"/>
    <cellStyle name="40% - Accent5 3 2 2 2 3 2 3 2" xfId="19813" xr:uid="{48B7077A-9658-444B-A9FB-58C156DD361F}"/>
    <cellStyle name="40% - Accent5 3 2 2 2 3 2 4" xfId="23370" xr:uid="{B9F20542-7AAA-410C-8908-125AA31D7EA6}"/>
    <cellStyle name="40% - Accent5 3 2 2 2 3 3" xfId="26932" xr:uid="{169CE2AD-58AD-4F8D-94D7-34846848915B}"/>
    <cellStyle name="40% - Accent5 3 2 2 2 3 3 2" xfId="27734" xr:uid="{975EE32F-1215-4EC3-8C43-71C4FD9F3981}"/>
    <cellStyle name="40% - Accent5 3 2 2 2 3 3 2 2" xfId="20306" xr:uid="{1D629827-32D0-45D6-82C0-9B97C378E41B}"/>
    <cellStyle name="40% - Accent5 3 2 2 2 3 3 3" xfId="21055" xr:uid="{0917D40E-0934-49A2-9760-75CE36232EC4}"/>
    <cellStyle name="40% - Accent5 3 2 2 2 3 4" xfId="19427" xr:uid="{5895457D-9820-421D-A51B-876398D8E4C0}"/>
    <cellStyle name="40% - Accent5 3 2 2 2 3 4 2" xfId="7844" xr:uid="{E9F44E84-D769-4D98-906A-CA8083BC2A26}"/>
    <cellStyle name="40% - Accent5 3 2 2 2 3 5" xfId="19419" xr:uid="{B62FB47C-E0FF-41F5-9D26-2406F97628B7}"/>
    <cellStyle name="40% - Accent5 3 2 2 2 4" xfId="27415" xr:uid="{1E780772-0B19-4EA1-9009-E53572D5D18B}"/>
    <cellStyle name="40% - Accent5 3 2 2 2 4 2" xfId="26174" xr:uid="{5A4B544A-D306-41D2-94B0-66A1FA811CAF}"/>
    <cellStyle name="40% - Accent5 3 2 2 2 4 2 2" xfId="23169" xr:uid="{ED6F39B3-5061-4BE7-8A17-0F3DD99F86FF}"/>
    <cellStyle name="40% - Accent5 3 2 2 2 4 2 2 2" xfId="26055" xr:uid="{BD5F5593-B1B2-4DEF-B1DB-256CDC7AD182}"/>
    <cellStyle name="40% - Accent5 3 2 2 2 4 2 3" xfId="21421" xr:uid="{E39744BB-603A-4836-A12B-D8DEB3464A58}"/>
    <cellStyle name="40% - Accent5 3 2 2 2 4 3" xfId="26911" xr:uid="{7C647696-CF08-4201-A9F8-1A53550384B1}"/>
    <cellStyle name="40% - Accent5 3 2 2 2 4 3 2" xfId="7839" xr:uid="{773C826A-0325-45C5-AE02-A6F415934BA9}"/>
    <cellStyle name="40% - Accent5 3 2 2 2 4 4" xfId="19413" xr:uid="{D9D0609A-46BB-4929-973A-C87D687D70F8}"/>
    <cellStyle name="40% - Accent5 3 2 2 2 5" xfId="26906" xr:uid="{CBF18BC5-9CB1-42BC-B8B0-475B28AC2F42}"/>
    <cellStyle name="40% - Accent5 3 2 2 2 5 2" xfId="26903" xr:uid="{A299C8C3-E3FC-4842-A265-5E1C994213FD}"/>
    <cellStyle name="40% - Accent5 3 2 2 2 5 2 2" xfId="7837" xr:uid="{0761C0BE-A1F5-435C-8021-62277BEC7329}"/>
    <cellStyle name="40% - Accent5 3 2 2 2 5 3" xfId="7835" xr:uid="{2EA4C44B-4E64-4442-B705-423962BE0C1F}"/>
    <cellStyle name="40% - Accent5 3 2 2 2 6" xfId="25850" xr:uid="{41CD7B59-787E-48D5-B8C5-9596DA319DB6}"/>
    <cellStyle name="40% - Accent5 3 2 2 2 6 2" xfId="7834" xr:uid="{BEB67EBE-3165-4032-A15A-54B573F6185A}"/>
    <cellStyle name="40% - Accent5 3 2 2 2 7" xfId="7833" xr:uid="{0826B004-CCBD-4E24-8C0B-F027E2453E87}"/>
    <cellStyle name="40% - Accent5 3 2 2 3" xfId="7832" xr:uid="{B688B4FD-51D0-4F5C-B1CF-0CA50EB93F43}"/>
    <cellStyle name="40% - Accent5 3 2 2 3 2" xfId="18027" xr:uid="{5C275F2D-46CD-43A0-9E4D-64C35A96D532}"/>
    <cellStyle name="40% - Accent5 3 2 2 3 2 2" xfId="18024" xr:uid="{DBBA8BAB-E2FB-45F4-A347-B761E86FE015}"/>
    <cellStyle name="40% - Accent5 3 2 2 3 2 2 2" xfId="22810" xr:uid="{AE2718F9-EF05-451D-9858-CAF3F4172862}"/>
    <cellStyle name="40% - Accent5 3 2 2 3 2 2 2 2" xfId="7830" xr:uid="{A10CCABE-C00E-4DA0-B85C-13F17CD0303E}"/>
    <cellStyle name="40% - Accent5 3 2 2 3 2 2 2 2 2" xfId="7828" xr:uid="{505C7345-F7D3-4AEE-9BA7-7741F6D107FA}"/>
    <cellStyle name="40% - Accent5 3 2 2 3 2 2 2 3" xfId="7827" xr:uid="{D8268881-A48D-4AEE-A779-95D0419C5F32}"/>
    <cellStyle name="40% - Accent5 3 2 2 3 2 2 3" xfId="32609" xr:uid="{1243F75F-5026-4486-A53A-451EC3006958}"/>
    <cellStyle name="40% - Accent5 3 2 2 3 2 2 3 2" xfId="7824" xr:uid="{D1353EAA-C666-4D10-8622-1CC0D385B176}"/>
    <cellStyle name="40% - Accent5 3 2 2 3 2 2 4" xfId="29433" xr:uid="{5816175B-D48A-49E0-9AAF-31218A66403C}"/>
    <cellStyle name="40% - Accent5 3 2 2 3 2 3" xfId="18012" xr:uid="{9D29452A-E08B-4BF9-8FA5-46F1EAD73187}"/>
    <cellStyle name="40% - Accent5 3 2 2 3 2 3 2" xfId="30728" xr:uid="{0755198B-3488-4ACE-90AE-04FDE4D1CFD9}"/>
    <cellStyle name="40% - Accent5 3 2 2 3 2 3 2 2" xfId="7821" xr:uid="{BF4F1A5F-0FE5-4E56-9506-2A7CCB758A3E}"/>
    <cellStyle name="40% - Accent5 3 2 2 3 2 3 3" xfId="33264" xr:uid="{EAFEF351-187F-46C5-951E-1CBAA752A59D}"/>
    <cellStyle name="40% - Accent5 3 2 2 3 2 4" xfId="19174" xr:uid="{57C1AAE9-C5B2-4D21-B80A-592A3783A04F}"/>
    <cellStyle name="40% - Accent5 3 2 2 3 2 4 2" xfId="13134" xr:uid="{E95DE733-EFC5-4D0B-8F67-88287605A862}"/>
    <cellStyle name="40% - Accent5 3 2 2 3 2 5" xfId="19169" xr:uid="{257804CA-17F8-414C-9135-E6AB3ECF98A4}"/>
    <cellStyle name="40% - Accent5 3 2 2 3 3" xfId="18008" xr:uid="{F4076F62-AD8D-4CB9-A852-2B3F50112569}"/>
    <cellStyle name="40% - Accent5 3 2 2 3 3 2" xfId="18005" xr:uid="{A66AB9F9-629F-4C5A-AF2D-80FA276C91E6}"/>
    <cellStyle name="40% - Accent5 3 2 2 3 3 2 2" xfId="28073" xr:uid="{72DDC57F-AEEB-44DA-A861-5EC24D5E001D}"/>
    <cellStyle name="40% - Accent5 3 2 2 3 3 2 2 2" xfId="19350" xr:uid="{DB6CE289-8FB5-4A7D-A7EA-52FD0EFE1034}"/>
    <cellStyle name="40% - Accent5 3 2 2 3 3 2 3" xfId="28061" xr:uid="{97F5ABF5-D125-4B31-AF81-96F987FBF661}"/>
    <cellStyle name="40% - Accent5 3 2 2 3 3 3" xfId="25774" xr:uid="{94A19D3D-7956-403E-8E38-A5FC1887EE29}"/>
    <cellStyle name="40% - Accent5 3 2 2 3 3 3 2" xfId="13118" xr:uid="{376949C4-729D-4C8F-BC91-A37D2FF10209}"/>
    <cellStyle name="40% - Accent5 3 2 2 3 3 4" xfId="19167" xr:uid="{EEB1C560-7810-43EB-B137-6BA1055EE461}"/>
    <cellStyle name="40% - Accent5 3 2 2 3 4" xfId="26585" xr:uid="{1C3AE1D8-200D-4DC4-8109-648D604EB2FC}"/>
    <cellStyle name="40% - Accent5 3 2 2 3 4 2" xfId="26582" xr:uid="{450667FE-AF2B-4536-BDC9-29BC004424D0}"/>
    <cellStyle name="40% - Accent5 3 2 2 3 4 2 2" xfId="7817" xr:uid="{AEE011C7-62EC-4AD5-B98D-D2C79E745B6E}"/>
    <cellStyle name="40% - Accent5 3 2 2 3 4 3" xfId="31266" xr:uid="{C9EFDACE-A0C0-4308-92FF-46B08FA8F670}"/>
    <cellStyle name="40% - Accent5 3 2 2 3 5" xfId="13484" xr:uid="{9DDDF037-6409-4619-980D-A562FBACDA70}"/>
    <cellStyle name="40% - Accent5 3 2 2 3 5 2" xfId="7814" xr:uid="{E77F9C9B-A88D-4C26-BB83-FCDDE5BC8542}"/>
    <cellStyle name="40% - Accent5 3 2 2 3 6" xfId="24928" xr:uid="{E51D17DD-2E22-4611-9A4D-C0191A902A79}"/>
    <cellStyle name="40% - Accent5 3 2 2 4" xfId="11511" xr:uid="{60069CE0-4651-493E-9B48-316DD98F69E0}"/>
    <cellStyle name="40% - Accent5 3 2 2 4 2" xfId="26511" xr:uid="{50EABFC3-A14A-4917-BC38-07A835502BA3}"/>
    <cellStyle name="40% - Accent5 3 2 2 4 2 2" xfId="29082" xr:uid="{D857EFDA-6268-47A3-9294-8F305FBF8F8E}"/>
    <cellStyle name="40% - Accent5 3 2 2 4 2 2 2" xfId="30716" xr:uid="{3AA4CFC2-4A7B-4805-AC63-C44A039AC3B2}"/>
    <cellStyle name="40% - Accent5 3 2 2 4 2 2 2 2" xfId="7811" xr:uid="{86B41F76-0BDC-4441-A535-CD0F8B994CEA}"/>
    <cellStyle name="40% - Accent5 3 2 2 4 2 2 3" xfId="31512" xr:uid="{4BDAE2DD-7276-45FA-B0CD-0413DE58CF93}"/>
    <cellStyle name="40% - Accent5 3 2 2 4 2 3" xfId="26504" xr:uid="{82EF41CD-148F-4A8C-AF13-F3926935F17A}"/>
    <cellStyle name="40% - Accent5 3 2 2 4 2 3 2" xfId="12903" xr:uid="{67C06CA6-BE94-4B5E-ABD0-058EF452418E}"/>
    <cellStyle name="40% - Accent5 3 2 2 4 2 4" xfId="19062" xr:uid="{7C565D4A-F03F-46E7-AD4C-0A4108138595}"/>
    <cellStyle name="40% - Accent5 3 2 2 4 3" xfId="26497" xr:uid="{2C39C98F-5563-4FB0-8C96-4959D374B4B6}"/>
    <cellStyle name="40% - Accent5 3 2 2 4 3 2" xfId="26494" xr:uid="{BA244BB4-646E-4D6A-8D69-F5B05D065A1E}"/>
    <cellStyle name="40% - Accent5 3 2 2 4 3 2 2" xfId="7810" xr:uid="{E58F8641-6610-4DCA-91DB-F06E8EBF3D48}"/>
    <cellStyle name="40% - Accent5 3 2 2 4 3 3" xfId="31211" xr:uid="{D4CDEDE5-FBFA-47B2-B454-9E4B86F974F0}"/>
    <cellStyle name="40% - Accent5 3 2 2 4 4" xfId="32313" xr:uid="{53DB9BD9-2BA6-4B01-A795-404E00D74133}"/>
    <cellStyle name="40% - Accent5 3 2 2 4 4 2" xfId="7808" xr:uid="{FFD0346E-F210-47DD-A173-C4E87EDF14CA}"/>
    <cellStyle name="40% - Accent5 3 2 2 4 5" xfId="24914" xr:uid="{6F3A709C-031F-4DA7-84FB-A5BB453B3209}"/>
    <cellStyle name="40% - Accent5 3 2 2 5" xfId="13179" xr:uid="{F5A5BB5F-94EC-4AC4-9B60-29B5894CF7D7}"/>
    <cellStyle name="40% - Accent5 3 2 2 5 2" xfId="26455" xr:uid="{5C41A618-992E-424C-8590-36CF6959D71E}"/>
    <cellStyle name="40% - Accent5 3 2 2 5 2 2" xfId="32407" xr:uid="{8EA95048-187A-4604-A9F5-5486BDDE6BFC}"/>
    <cellStyle name="40% - Accent5 3 2 2 5 2 2 2" xfId="7806" xr:uid="{D31842E8-C0F1-43E1-8827-58AAD2EEDF9C}"/>
    <cellStyle name="40% - Accent5 3 2 2 5 2 3" xfId="27005" xr:uid="{0E137102-37F8-4D2C-80F9-BD1177FA236C}"/>
    <cellStyle name="40% - Accent5 3 2 2 5 3" xfId="18722" xr:uid="{8E3511CE-6118-4482-8A5C-E2E54E2E1039}"/>
    <cellStyle name="40% - Accent5 3 2 2 5 3 2" xfId="7804" xr:uid="{4925F25B-34C5-4AB1-8F34-AD1FF85BF379}"/>
    <cellStyle name="40% - Accent5 3 2 2 5 4" xfId="24901" xr:uid="{12DADAB5-64CA-40BB-8D0F-0579D51D99E5}"/>
    <cellStyle name="40% - Accent5 3 2 2 6" xfId="13175" xr:uid="{7C46CDD1-AA58-468D-A32B-EA0534F803AA}"/>
    <cellStyle name="40% - Accent5 3 2 2 6 2" xfId="26424" xr:uid="{19757A4D-88AC-4618-9BE3-CE550A39CD98}"/>
    <cellStyle name="40% - Accent5 3 2 2 6 2 2" xfId="29491" xr:uid="{4186681D-14CE-45B8-B979-FB1F2ECA6DFE}"/>
    <cellStyle name="40% - Accent5 3 2 2 6 3" xfId="7802" xr:uid="{B669F113-A474-4CDF-8BB1-4D7DAFFAA5D6}"/>
    <cellStyle name="40% - Accent5 3 2 2 7" xfId="7799" xr:uid="{F899AD40-37EE-492F-A84E-66CEB121A683}"/>
    <cellStyle name="40% - Accent5 3 2 2 7 2" xfId="7797" xr:uid="{3C30DF00-05F3-4B0E-8E60-9B608DBF9416}"/>
    <cellStyle name="40% - Accent5 3 2 2 8" xfId="7796" xr:uid="{51E1FFA0-6C74-4179-A9E1-85376AAE42BE}"/>
    <cellStyle name="40% - Accent5 3 2 3" xfId="7795" xr:uid="{44346120-BAE6-413B-A830-E99AF93E4BBC}"/>
    <cellStyle name="40% - Accent5 3 2 3 2" xfId="7794" xr:uid="{A07AB3B7-1E1F-40CF-BE06-EB4A390A790B}"/>
    <cellStyle name="40% - Accent5 3 2 3 2 2" xfId="32109" xr:uid="{FA0F6F6D-9926-4468-965C-298472243D6B}"/>
    <cellStyle name="40% - Accent5 3 2 3 2 2 2" xfId="25969" xr:uid="{A031CC54-6041-49F8-A6FD-5EA3A9CB4EE8}"/>
    <cellStyle name="40% - Accent5 3 2 3 2 2 2 2" xfId="25464" xr:uid="{C80C7926-B46C-42EA-8F63-2B82573F058E}"/>
    <cellStyle name="40% - Accent5 3 2 3 2 2 2 2 2" xfId="7792" xr:uid="{188AE085-5D56-48F3-BFAD-F970359E13E1}"/>
    <cellStyle name="40% - Accent5 3 2 3 2 2 2 2 2 2" xfId="7791" xr:uid="{DF6D20CE-E4F8-4501-B451-81D58FF6DA9F}"/>
    <cellStyle name="40% - Accent5 3 2 3 2 2 2 2 3" xfId="7789" xr:uid="{E20F2633-6D95-4F97-8BB4-DC88FED98216}"/>
    <cellStyle name="40% - Accent5 3 2 3 2 2 2 3" xfId="28439" xr:uid="{D2C24147-7E47-4CB2-95A2-BDED2C2DC296}"/>
    <cellStyle name="40% - Accent5 3 2 3 2 2 2 3 2" xfId="6892" xr:uid="{A1C748F0-DD41-49BB-BD58-F20F5D036A93}"/>
    <cellStyle name="40% - Accent5 3 2 3 2 2 2 4" xfId="33798" xr:uid="{92EC54E3-FDC8-40DF-A94E-F5855D969581}"/>
    <cellStyle name="40% - Accent5 3 2 3 2 2 3" xfId="7074" xr:uid="{78969D32-FD9B-49D0-8B65-82A7E392F32D}"/>
    <cellStyle name="40% - Accent5 3 2 3 2 2 3 2" xfId="28095" xr:uid="{589DAC20-7FE4-4337-96DF-9463AE5641D3}"/>
    <cellStyle name="40% - Accent5 3 2 3 2 2 3 2 2" xfId="7787" xr:uid="{A1D11D68-6629-4109-8220-B4776271C83E}"/>
    <cellStyle name="40% - Accent5 3 2 3 2 2 3 3" xfId="17694" xr:uid="{72597F2F-BF25-49D9-83C6-978280F18C08}"/>
    <cellStyle name="40% - Accent5 3 2 3 2 2 4" xfId="7071" xr:uid="{EE563EB4-2A9C-4AA2-AE43-3647582EA375}"/>
    <cellStyle name="40% - Accent5 3 2 3 2 2 4 2" xfId="28501" xr:uid="{B2CEC8F2-9B7B-4B79-81F4-BE20E37AFA1D}"/>
    <cellStyle name="40% - Accent5 3 2 3 2 2 5" xfId="7785" xr:uid="{CD2A7981-4525-4448-B03C-2220D6F27B9E}"/>
    <cellStyle name="40% - Accent5 3 2 3 2 3" xfId="27409" xr:uid="{BF1865EA-65F2-41EF-A8FA-C3855A743DB2}"/>
    <cellStyle name="40% - Accent5 3 2 3 2 3 2" xfId="25944" xr:uid="{FCBE2319-FDD6-42E8-9F37-174C14C87DF9}"/>
    <cellStyle name="40% - Accent5 3 2 3 2 3 2 2" xfId="23054" xr:uid="{9BC82C9F-F523-4D55-A3EB-D48DE8C40CB2}"/>
    <cellStyle name="40% - Accent5 3 2 3 2 3 2 2 2" xfId="29705" xr:uid="{B11F14B6-6057-49DE-A849-D00B6B9133D8}"/>
    <cellStyle name="40% - Accent5 3 2 3 2 3 2 3" xfId="9916" xr:uid="{5BBF3229-5A5D-4A80-8053-E69A9DEB965B}"/>
    <cellStyle name="40% - Accent5 3 2 3 2 3 3" xfId="23828" xr:uid="{0EB2FBF5-3A8C-46B9-A3A3-A75FCF30B6CF}"/>
    <cellStyle name="40% - Accent5 3 2 3 2 3 3 2" xfId="30567" xr:uid="{BF61501C-391E-4733-B76D-C119188F1532}"/>
    <cellStyle name="40% - Accent5 3 2 3 2 3 4" xfId="7781" xr:uid="{262F60C4-B37C-4F6B-940C-B1589C018593}"/>
    <cellStyle name="40% - Accent5 3 2 3 2 4" xfId="18082" xr:uid="{27838380-BA10-4357-937D-F5D207519A1C}"/>
    <cellStyle name="40% - Accent5 3 2 3 2 4 2" xfId="25932" xr:uid="{545BA2E2-CE79-4E6D-B7D7-F00A1CAC8EDB}"/>
    <cellStyle name="40% - Accent5 3 2 3 2 4 2 2" xfId="22917" xr:uid="{72E05928-4B44-4268-88F0-B618330D2E3D}"/>
    <cellStyle name="40% - Accent5 3 2 3 2 4 3" xfId="27924" xr:uid="{B80FA9C6-A452-420A-918C-0FEB7815C730}"/>
    <cellStyle name="40% - Accent5 3 2 3 2 5" xfId="25930" xr:uid="{87ED51ED-DBCA-42C6-9A5D-A6E1AD1FFE73}"/>
    <cellStyle name="40% - Accent5 3 2 3 2 5 2" xfId="7778" xr:uid="{6C3E90C9-509D-4D4C-9DD1-5781A5C14B94}"/>
    <cellStyle name="40% - Accent5 3 2 3 2 6" xfId="7776" xr:uid="{DECAB958-7610-489D-8D0A-5C8B79A41795}"/>
    <cellStyle name="40% - Accent5 3 2 3 3" xfId="7775" xr:uid="{43C1E2C4-0309-4CAB-8A7F-F5069B96DABB}"/>
    <cellStyle name="40% - Accent5 3 2 3 3 2" xfId="26851" xr:uid="{21E91168-75D3-4977-9851-0177058DD85D}"/>
    <cellStyle name="40% - Accent5 3 2 3 3 2 2" xfId="26845" xr:uid="{458A38D8-3DB8-4716-8BDE-6A426F070D7D}"/>
    <cellStyle name="40% - Accent5 3 2 3 3 2 2 2" xfId="30678" xr:uid="{EF454FCF-EE03-4AF2-8EF3-E5A843506342}"/>
    <cellStyle name="40% - Accent5 3 2 3 3 2 2 2 2" xfId="7773" xr:uid="{6BFDF14E-3DA5-46E8-BCCC-F61F61DF7DA2}"/>
    <cellStyle name="40% - Accent5 3 2 3 3 2 2 3" xfId="29221" xr:uid="{C4CCF394-73F8-48CD-B765-F8A7F315CF7C}"/>
    <cellStyle name="40% - Accent5 3 2 3 3 2 3" xfId="26829" xr:uid="{EF41FA3E-B33D-4E28-85AA-589D0BD3CA29}"/>
    <cellStyle name="40% - Accent5 3 2 3 3 2 3 2" xfId="12444" xr:uid="{7C61E219-27DE-4C08-9318-91328475C3C9}"/>
    <cellStyle name="40% - Accent5 3 2 3 3 2 4" xfId="30529" xr:uid="{402D57A1-F235-4AFC-B127-B28097787E67}"/>
    <cellStyle name="40% - Accent5 3 2 3 3 3" xfId="26819" xr:uid="{38724167-9F71-4E68-A1CB-06D0BBA7CA28}"/>
    <cellStyle name="40% - Accent5 3 2 3 3 3 2" xfId="26809" xr:uid="{9027F68D-95BB-49DD-9BF5-BC9553506F9F}"/>
    <cellStyle name="40% - Accent5 3 2 3 3 3 2 2" xfId="31822" xr:uid="{67002EAD-125B-4C27-9241-EE712CABCBF5}"/>
    <cellStyle name="40% - Accent5 3 2 3 3 3 3" xfId="33117" xr:uid="{70B07F72-2C88-494A-A083-3F8090E0413B}"/>
    <cellStyle name="40% - Accent5 3 2 3 3 4" xfId="29038" xr:uid="{E9E39DBC-D94A-4DEB-B829-5DE17272D533}"/>
    <cellStyle name="40% - Accent5 3 2 3 3 4 2" xfId="7771" xr:uid="{4F10C0DD-6487-4F09-B3BA-403C9A823AA5}"/>
    <cellStyle name="40% - Accent5 3 2 3 3 5" xfId="29322" xr:uid="{68074DB4-8AC2-4977-85CB-6F07CA4006F1}"/>
    <cellStyle name="40% - Accent5 3 2 3 4" xfId="7769" xr:uid="{682FEA84-C664-4421-87F2-CA7A5F6E298B}"/>
    <cellStyle name="40% - Accent5 3 2 3 4 2" xfId="26787" xr:uid="{30A4B50F-B4BA-455C-AA6E-194C1BD4A4D7}"/>
    <cellStyle name="40% - Accent5 3 2 3 4 2 2" xfId="26784" xr:uid="{C7C96C5A-79CB-472F-A8D0-16B84659D876}"/>
    <cellStyle name="40% - Accent5 3 2 3 4 2 2 2" xfId="7768" xr:uid="{D06713EA-EA12-45DB-826F-3D272E64991C}"/>
    <cellStyle name="40% - Accent5 3 2 3 4 2 3" xfId="33071" xr:uid="{7201FAF2-AB83-488E-B992-CEC11BF4353D}"/>
    <cellStyle name="40% - Accent5 3 2 3 4 3" xfId="26778" xr:uid="{14FB7C48-9BB6-4258-999B-2CC6AE5E9E41}"/>
    <cellStyle name="40% - Accent5 3 2 3 4 3 2" xfId="7767" xr:uid="{38250CED-F1B0-4745-AC66-13D1188F64B0}"/>
    <cellStyle name="40% - Accent5 3 2 3 4 4" xfId="32319" xr:uid="{3D321AAA-89AE-487E-ADD9-BBCCFA10A6C8}"/>
    <cellStyle name="40% - Accent5 3 2 3 5" xfId="6111" xr:uid="{FCEE4C25-3E99-42E5-A900-2543AECBEE4B}"/>
    <cellStyle name="40% - Accent5 3 2 3 5 2" xfId="29855" xr:uid="{CF732B8E-C16D-44D3-8B17-4FAC72E3D5AC}"/>
    <cellStyle name="40% - Accent5 3 2 3 5 2 2" xfId="7765" xr:uid="{9D707201-F6BF-4AF8-87B8-FF7BE5948C09}"/>
    <cellStyle name="40% - Accent5 3 2 3 5 3" xfId="7762" xr:uid="{68CCEEB3-1CA2-4579-B528-C3447B26F12D}"/>
    <cellStyle name="40% - Accent5 3 2 3 6" xfId="7759" xr:uid="{03073BA4-7E17-4B3D-AB74-85D776F852F2}"/>
    <cellStyle name="40% - Accent5 3 2 3 6 2" xfId="31522" xr:uid="{990FD57D-6018-4BD3-AD6C-91B77CCCC79B}"/>
    <cellStyle name="40% - Accent5 3 2 3 7" xfId="7757" xr:uid="{508DB698-2AA5-4886-A17D-664415F99F95}"/>
    <cellStyle name="40% - Accent5 3 2 4" xfId="7755" xr:uid="{ACDB8833-16CA-4A97-8D81-56730FA3E54A}"/>
    <cellStyle name="40% - Accent5 3 2 4 2" xfId="7753" xr:uid="{9CBB8271-DE92-49F1-9E5A-BAB37FE086C2}"/>
    <cellStyle name="40% - Accent5 3 2 4 2 2" xfId="10856" xr:uid="{088AD5A2-3575-48C8-9F75-571B58C80E76}"/>
    <cellStyle name="40% - Accent5 3 2 4 2 2 2" xfId="34334" xr:uid="{4B9E65C0-6A89-4AFE-A870-25199C7E106D}"/>
    <cellStyle name="40% - Accent5 3 2 4 2 2 2 2" xfId="8413" xr:uid="{ADCDC509-FF00-4989-AAD8-C19A02832F34}"/>
    <cellStyle name="40% - Accent5 3 2 4 2 2 2 2 2" xfId="8411" xr:uid="{A05CCCDA-A4AD-4953-9DA2-5D7AAFDBD7F2}"/>
    <cellStyle name="40% - Accent5 3 2 4 2 2 2 3" xfId="26507" xr:uid="{47941F12-EDFE-464C-ADCA-BA01306B7860}"/>
    <cellStyle name="40% - Accent5 3 2 4 2 2 3" xfId="7057" xr:uid="{7B91BDF3-569B-4309-AD65-A76F1F3D4CE5}"/>
    <cellStyle name="40% - Accent5 3 2 4 2 2 3 2" xfId="8398" xr:uid="{1A9F6727-3B20-4E64-9A3D-EAA4E8ADBDC0}"/>
    <cellStyle name="40% - Accent5 3 2 4 2 2 4" xfId="23476" xr:uid="{746E337D-2BED-4D8A-8327-B6F697EEDE4D}"/>
    <cellStyle name="40% - Accent5 3 2 4 2 3" xfId="32773" xr:uid="{9251C43B-16FB-4C38-9761-689B9C802EDF}"/>
    <cellStyle name="40% - Accent5 3 2 4 2 3 2" xfId="25504" xr:uid="{31D7660E-3C4A-4766-B0BE-61E4E7A1F085}"/>
    <cellStyle name="40% - Accent5 3 2 4 2 3 2 2" xfId="25005" xr:uid="{7280F253-755D-4D79-BC6F-89B4FCB5A933}"/>
    <cellStyle name="40% - Accent5 3 2 4 2 3 3" xfId="7749" xr:uid="{A3B62237-E52F-4594-938C-CE105850533D}"/>
    <cellStyle name="40% - Accent5 3 2 4 2 4" xfId="25498" xr:uid="{143092C3-48F5-4F63-8D79-D014F0E744EE}"/>
    <cellStyle name="40% - Accent5 3 2 4 2 4 2" xfId="7748" xr:uid="{21B6A71C-5592-431C-A52E-6E00978B755A}"/>
    <cellStyle name="40% - Accent5 3 2 4 2 5" xfId="16074" xr:uid="{33BAF045-E89E-44AB-BE47-281D98171D7A}"/>
    <cellStyle name="40% - Accent5 3 2 4 3" xfId="7747" xr:uid="{E7C88A23-C1CD-409B-BD01-9092C7734498}"/>
    <cellStyle name="40% - Accent5 3 2 4 3 2" xfId="32917" xr:uid="{29A2EA74-8167-456D-80FD-32BC5D4EDEF8}"/>
    <cellStyle name="40% - Accent5 3 2 4 3 2 2" xfId="26730" xr:uid="{068CA747-6B66-4E37-9C53-D2BA1D672535}"/>
    <cellStyle name="40% - Accent5 3 2 4 3 2 2 2" xfId="8347" xr:uid="{7A069E3B-1D6F-4362-820A-D22582C91E51}"/>
    <cellStyle name="40% - Accent5 3 2 4 3 2 3" xfId="32196" xr:uid="{3FDEECF3-1475-4024-9D1D-C29B01A1467E}"/>
    <cellStyle name="40% - Accent5 3 2 4 3 3" xfId="26718" xr:uid="{27D8338A-C1C1-414A-9E0F-75CC02D4B8F2}"/>
    <cellStyle name="40% - Accent5 3 2 4 3 3 2" xfId="7746" xr:uid="{8D05E4FB-841B-4C0D-A2BD-9462FE42195E}"/>
    <cellStyle name="40% - Accent5 3 2 4 3 4" xfId="32284" xr:uid="{0AC46DE3-203D-4F30-92CF-65A88C6585CB}"/>
    <cellStyle name="40% - Accent5 3 2 4 4" xfId="7744" xr:uid="{C68CF721-0564-4018-9070-76D4F462891D}"/>
    <cellStyle name="40% - Accent5 3 2 4 4 2" xfId="26693" xr:uid="{CBFF874E-7CAF-4A9F-83A0-8660C6A0E8CB}"/>
    <cellStyle name="40% - Accent5 3 2 4 4 2 2" xfId="7743" xr:uid="{DB1FD4EF-67A0-42D8-8E17-3A7E54C0C234}"/>
    <cellStyle name="40% - Accent5 3 2 4 4 3" xfId="7740" xr:uid="{F18A61A9-4603-4337-9D77-1F6442761422}"/>
    <cellStyle name="40% - Accent5 3 2 4 5" xfId="7739" xr:uid="{E4E168BE-0FD0-406B-BCB9-28A90AF34ECD}"/>
    <cellStyle name="40% - Accent5 3 2 4 5 2" xfId="7738" xr:uid="{1A77EB80-C108-4BD0-9D68-D80FD16E8C58}"/>
    <cellStyle name="40% - Accent5 3 2 4 6" xfId="7737" xr:uid="{7E584BFA-484D-45EE-AF8B-D80EF2ECE022}"/>
    <cellStyle name="40% - Accent5 3 2 5" xfId="7735" xr:uid="{E7A1CF1C-6398-4A70-80CD-46565A17D0A9}"/>
    <cellStyle name="40% - Accent5 3 2 5 2" xfId="25346" xr:uid="{5C03FAEF-00F9-42AD-8084-7A924869FB80}"/>
    <cellStyle name="40% - Accent5 3 2 5 2 2" xfId="32878" xr:uid="{A7F42C08-5691-48A0-8C48-2E797CE64D3A}"/>
    <cellStyle name="40% - Accent5 3 2 5 2 2 2" xfId="25218" xr:uid="{43258A82-16E7-47A9-B53D-47EF64510D55}"/>
    <cellStyle name="40% - Accent5 3 2 5 2 2 2 2" xfId="12125" xr:uid="{16481EA2-C78E-44E1-A327-52312952A5FB}"/>
    <cellStyle name="40% - Accent5 3 2 5 2 2 3" xfId="5560" xr:uid="{29459C69-4987-4702-B75D-7856B5814579}"/>
    <cellStyle name="40% - Accent5 3 2 5 2 3" xfId="33317" xr:uid="{F569E7B1-D389-40C5-BAC4-2EC4A647560B}"/>
    <cellStyle name="40% - Accent5 3 2 5 2 3 2" xfId="5556" xr:uid="{4504DD3C-7F6A-405B-99C9-1F86788FDA37}"/>
    <cellStyle name="40% - Accent5 3 2 5 2 4" xfId="7732" xr:uid="{2C5C4187-4CF3-4B61-94ED-2A158DD85803}"/>
    <cellStyle name="40% - Accent5 3 2 5 3" xfId="7731" xr:uid="{83D852B5-ECB6-4A45-BC2E-69678DAA0C78}"/>
    <cellStyle name="40% - Accent5 3 2 5 3 2" xfId="33228" xr:uid="{4D9B09EF-58B1-45DD-8318-141EA10BD25E}"/>
    <cellStyle name="40% - Accent5 3 2 5 3 2 2" xfId="7730" xr:uid="{5209DB03-8340-4ED6-A9AD-DECE5F8F37FA}"/>
    <cellStyle name="40% - Accent5 3 2 5 3 3" xfId="7728" xr:uid="{9C007292-8437-4634-B75B-269507BD97A0}"/>
    <cellStyle name="40% - Accent5 3 2 5 4" xfId="7727" xr:uid="{BFA3BBEE-6AC0-4713-BE59-5FD0A50E2822}"/>
    <cellStyle name="40% - Accent5 3 2 5 4 2" xfId="26615" xr:uid="{6A81AEB2-3439-495A-886D-6D20AE0226DC}"/>
    <cellStyle name="40% - Accent5 3 2 5 5" xfId="7726" xr:uid="{171DAAAE-28BD-4F43-BCF0-E39F26118177}"/>
    <cellStyle name="40% - Accent5 3 2 6" xfId="7725" xr:uid="{593D0A85-00A3-4F30-81F2-2214A6C4E810}"/>
    <cellStyle name="40% - Accent5 3 2 6 2" xfId="7724" xr:uid="{A71BA11D-88F9-41C4-B1DE-2C387FCCD99A}"/>
    <cellStyle name="40% - Accent5 3 2 6 2 2" xfId="33115" xr:uid="{0B79AB17-DC90-4E84-B8E4-4EB437442342}"/>
    <cellStyle name="40% - Accent5 3 2 6 2 2 2" xfId="7723" xr:uid="{2302D35E-E56E-4511-B192-9AED30A4F1C0}"/>
    <cellStyle name="40% - Accent5 3 2 6 2 3" xfId="28337" xr:uid="{8C1B07F4-40B5-425A-8558-542DB049676F}"/>
    <cellStyle name="40% - Accent5 3 2 6 3" xfId="7721" xr:uid="{FF2BC14B-3EA7-49CB-8702-EB8C9E25C0A0}"/>
    <cellStyle name="40% - Accent5 3 2 6 3 2" xfId="7720" xr:uid="{922F0A9B-01EF-4C81-956C-FEFF68F34EFC}"/>
    <cellStyle name="40% - Accent5 3 2 6 4" xfId="7718" xr:uid="{1FB551BE-15C2-4C9C-A891-8035E06CCCCD}"/>
    <cellStyle name="40% - Accent5 3 2 7" xfId="20208" xr:uid="{9460B9A3-19AD-475F-A699-8E295A534C22}"/>
    <cellStyle name="40% - Accent5 3 2 7 2" xfId="22847" xr:uid="{AC7C1D6E-03DA-4F82-B7F2-FDFD8CD8F406}"/>
    <cellStyle name="40% - Accent5 3 2 7 2 2" xfId="29494" xr:uid="{2AEAB511-F4B4-4AE7-98E8-56EA297CF329}"/>
    <cellStyle name="40% - Accent5 3 2 7 3" xfId="23551" xr:uid="{824607BB-A1D0-462B-9BF8-ECAA416CC545}"/>
    <cellStyle name="40% - Accent5 3 2 8" xfId="32294" xr:uid="{6FC27180-7DBA-421F-B0EF-D4F8E48D4DA6}"/>
    <cellStyle name="40% - Accent5 3 2 8 2" xfId="21245" xr:uid="{E1623AA6-6932-48AE-BF6C-7BD1E16E5B67}"/>
    <cellStyle name="40% - Accent5 3 2 9" xfId="21242" xr:uid="{B767BE79-891F-4F0E-BD68-92F7F1699923}"/>
    <cellStyle name="40% - Accent5 3 3" xfId="232" xr:uid="{9E8B8EA4-76EC-4E5C-82F2-7BE4397F3370}"/>
    <cellStyle name="40% - Accent5 3 3 10" xfId="10960" xr:uid="{362124DF-14E9-4807-B207-C16DAEB3FEF1}"/>
    <cellStyle name="40% - Accent5 3 3 2" xfId="11832" xr:uid="{EFFD2773-0641-49C6-9405-54C4FE7469EB}"/>
    <cellStyle name="40% - Accent5 3 3 2 2" xfId="7717" xr:uid="{00CD4E5B-2999-41C2-8133-B99F2A5910A6}"/>
    <cellStyle name="40% - Accent5 3 3 2 2 2" xfId="14966" xr:uid="{B5F6D242-AE6B-4037-8AB3-D2D3A1A059CD}"/>
    <cellStyle name="40% - Accent5 3 3 2 2 2 2" xfId="14964" xr:uid="{E95B1DED-8EF5-40E0-83D2-03B660E7BDCF}"/>
    <cellStyle name="40% - Accent5 3 3 2 2 2 2 2" xfId="16917" xr:uid="{8CA67A61-3A0C-4BE0-AB50-4EC3F7B9BAE8}"/>
    <cellStyle name="40% - Accent5 3 3 2 2 2 2 2 2" xfId="7716" xr:uid="{FBD25C3A-4554-4B8C-9427-0F34CD24FFB3}"/>
    <cellStyle name="40% - Accent5 3 3 2 2 2 2 2 2 2" xfId="7711" xr:uid="{CF8E02B0-5B33-4125-8A7A-73EDF8561B5B}"/>
    <cellStyle name="40% - Accent5 3 3 2 2 2 2 2 3" xfId="7709" xr:uid="{2179ECE1-BD16-44EE-AC45-7A99CE2D9409}"/>
    <cellStyle name="40% - Accent5 3 3 2 2 2 2 3" xfId="23444" xr:uid="{0008B9CB-46FD-4CA6-986D-E5D86AF8DF1E}"/>
    <cellStyle name="40% - Accent5 3 3 2 2 2 2 3 2" xfId="13215" xr:uid="{4F5A18EF-F5EF-4789-90CB-C6B798B025D1}"/>
    <cellStyle name="40% - Accent5 3 3 2 2 2 2 4" xfId="32237" xr:uid="{99C12EA3-42EF-434E-A85D-E775AE003DF0}"/>
    <cellStyle name="40% - Accent5 3 3 2 2 2 3" xfId="24307" xr:uid="{67EEBBC9-BAE3-45EC-8FDC-696A95E650DA}"/>
    <cellStyle name="40% - Accent5 3 3 2 2 2 3 2" xfId="7705" xr:uid="{958EC0C0-90CF-4D21-8306-5B2172AACEA5}"/>
    <cellStyle name="40% - Accent5 3 3 2 2 2 3 2 2" xfId="7702" xr:uid="{38C3AC98-B894-44C6-9BCE-1B5A123251B2}"/>
    <cellStyle name="40% - Accent5 3 3 2 2 2 3 3" xfId="34144" xr:uid="{A1F2962F-3173-40B4-9BC6-5AA7EAE1CD43}"/>
    <cellStyle name="40% - Accent5 3 3 2 2 2 4" xfId="23295" xr:uid="{66BFBA53-463A-49F4-A2DD-29CFBAA11CD2}"/>
    <cellStyle name="40% - Accent5 3 3 2 2 2 4 2" xfId="9566" xr:uid="{219EDB68-AFB3-4C25-BD2B-5B451B5B66AB}"/>
    <cellStyle name="40% - Accent5 3 3 2 2 2 5" xfId="24063" xr:uid="{E381032A-A47B-43D7-9EFA-ACB1D1862332}"/>
    <cellStyle name="40% - Accent5 3 3 2 2 3" xfId="14962" xr:uid="{816E3FE2-1933-4478-B69C-274EC3D4C5A0}"/>
    <cellStyle name="40% - Accent5 3 3 2 2 3 2" xfId="24304" xr:uid="{4895B49C-4DD8-408A-B81C-4F1304CB7180}"/>
    <cellStyle name="40% - Accent5 3 3 2 2 3 2 2" xfId="22752" xr:uid="{90A63520-C3E3-45FB-B98B-A99E5F794B0F}"/>
    <cellStyle name="40% - Accent5 3 3 2 2 3 2 2 2" xfId="24956" xr:uid="{55DDC761-8470-40D1-BE9E-CDAE658D304D}"/>
    <cellStyle name="40% - Accent5 3 3 2 2 3 2 3" xfId="32215" xr:uid="{106B8E72-DD09-430E-8A7C-3BAFE7A1342B}"/>
    <cellStyle name="40% - Accent5 3 3 2 2 3 3" xfId="24300" xr:uid="{7C786A21-FA29-48B5-9F2F-60EB3D265007}"/>
    <cellStyle name="40% - Accent5 3 3 2 2 3 3 2" xfId="7696" xr:uid="{C3F826B3-6EE6-4ECF-9B30-F39859C27ED0}"/>
    <cellStyle name="40% - Accent5 3 3 2 2 3 4" xfId="24048" xr:uid="{52B81FDF-25B2-45E6-B3AD-A6AC3AB6FED3}"/>
    <cellStyle name="40% - Accent5 3 3 2 2 4" xfId="24045" xr:uid="{C555D68E-FAB6-400A-8257-34CF639A684A}"/>
    <cellStyle name="40% - Accent5 3 3 2 2 4 2" xfId="24042" xr:uid="{7B853CA4-674A-4DAB-9681-671233094111}"/>
    <cellStyle name="40% - Accent5 3 3 2 2 4 2 2" xfId="7695" xr:uid="{50A71274-5940-4A05-A662-F3DD61F67761}"/>
    <cellStyle name="40% - Accent5 3 3 2 2 4 3" xfId="24040" xr:uid="{54224E40-5FFF-480B-A4E0-7418F49A99EB}"/>
    <cellStyle name="40% - Accent5 3 3 2 2 5" xfId="28259" xr:uid="{EF46BEE4-DC8D-45E3-8EFE-2BCC8D5E5EB2}"/>
    <cellStyle name="40% - Accent5 3 3 2 2 5 2" xfId="34022" xr:uid="{04CB8602-DF3F-4371-93C6-4FF2FE7B821F}"/>
    <cellStyle name="40% - Accent5 3 3 2 2 6" xfId="24038" xr:uid="{C2446404-1B5D-430A-9794-642A1DEE4480}"/>
    <cellStyle name="40% - Accent5 3 3 2 3" xfId="7694" xr:uid="{AE5EF3A0-1679-4D4C-B0F1-F61957A18050}"/>
    <cellStyle name="40% - Accent5 3 3 2 3 2" xfId="14953" xr:uid="{35482607-9F78-4272-835C-1E2D25B0EDD7}"/>
    <cellStyle name="40% - Accent5 3 3 2 3 2 2" xfId="28766" xr:uid="{F28E2A64-7FAD-4737-A04A-F605E5CB3275}"/>
    <cellStyle name="40% - Accent5 3 3 2 3 2 2 2" xfId="25640" xr:uid="{F18F8642-DA4B-41DB-97FE-614711983BD4}"/>
    <cellStyle name="40% - Accent5 3 3 2 3 2 2 2 2" xfId="7693" xr:uid="{75B6EF29-62B1-4BCB-B89D-7B820D217EE5}"/>
    <cellStyle name="40% - Accent5 3 3 2 3 2 2 3" xfId="25964" xr:uid="{DB29BFB8-11CF-4562-A155-ABD8E4ACA09F}"/>
    <cellStyle name="40% - Accent5 3 3 2 3 2 3" xfId="28198" xr:uid="{871AFE1A-A519-4010-9D5A-BF0AC0CAF2A7}"/>
    <cellStyle name="40% - Accent5 3 3 2 3 2 3 2" xfId="11014" xr:uid="{48924AF6-FD09-4379-A498-70A24348AE35}"/>
    <cellStyle name="40% - Accent5 3 3 2 3 2 4" xfId="23818" xr:uid="{EA56CE22-5F07-44C1-B0A3-E76A48C1AB92}"/>
    <cellStyle name="40% - Accent5 3 3 2 3 3" xfId="23812" xr:uid="{F5B8CA02-D9AD-47EF-B3F9-6DEAD4EA6123}"/>
    <cellStyle name="40% - Accent5 3 3 2 3 3 2" xfId="23808" xr:uid="{EBA8EC4C-2D27-4B69-B566-832754E4DD72}"/>
    <cellStyle name="40% - Accent5 3 3 2 3 3 2 2" xfId="7689" xr:uid="{95CCC846-3E6F-42FC-886D-6D969BBA7278}"/>
    <cellStyle name="40% - Accent5 3 3 2 3 3 3" xfId="23802" xr:uid="{08CC418D-9378-4A27-AA1F-02FB8BABF875}"/>
    <cellStyle name="40% - Accent5 3 3 2 3 4" xfId="23796" xr:uid="{B86EAE6F-F4FD-450A-979E-21D712C68539}"/>
    <cellStyle name="40% - Accent5 3 3 2 3 4 2" xfId="23794" xr:uid="{36138C06-E318-483A-BE71-1BA6CC2DB81E}"/>
    <cellStyle name="40% - Accent5 3 3 2 3 5" xfId="26187" xr:uid="{5F881702-7BF6-46D5-9A45-69D018ED62F8}"/>
    <cellStyle name="40% - Accent5 3 3 2 4" xfId="7687" xr:uid="{E74AECFA-FF09-4FAD-AD83-1DF7E4D4651B}"/>
    <cellStyle name="40% - Accent5 3 3 2 4 2" xfId="23776" xr:uid="{4383ABAF-FF6A-4601-8AB6-068A31AE39FB}"/>
    <cellStyle name="40% - Accent5 3 3 2 4 2 2" xfId="23771" xr:uid="{AE16748A-2343-45DA-ACFC-F6E0C43E45F0}"/>
    <cellStyle name="40% - Accent5 3 3 2 4 2 2 2" xfId="7686" xr:uid="{DE162C03-FD9D-4B1B-8330-865888893912}"/>
    <cellStyle name="40% - Accent5 3 3 2 4 2 3" xfId="23765" xr:uid="{46183E34-CEA4-4EE5-BA36-74225D9E906F}"/>
    <cellStyle name="40% - Accent5 3 3 2 4 3" xfId="23761" xr:uid="{A0406FA5-EA10-42F3-AA8A-B392082385AF}"/>
    <cellStyle name="40% - Accent5 3 3 2 4 3 2" xfId="30856" xr:uid="{30516660-E011-4DE5-8495-E2B7825D85E2}"/>
    <cellStyle name="40% - Accent5 3 3 2 4 4" xfId="23756" xr:uid="{5794F98C-7D89-4844-8A56-CB5769823766}"/>
    <cellStyle name="40% - Accent5 3 3 2 5" xfId="13171" xr:uid="{B7C34C37-350C-4A47-AA34-5ACEC5C59065}"/>
    <cellStyle name="40% - Accent5 3 3 2 5 2" xfId="23733" xr:uid="{F927383A-4653-4900-8E24-34AE91E695A3}"/>
    <cellStyle name="40% - Accent5 3 3 2 5 2 2" xfId="23729" xr:uid="{5B4D684A-8E5A-4278-998D-81FD1489D2D6}"/>
    <cellStyle name="40% - Accent5 3 3 2 5 3" xfId="20568" xr:uid="{F5B08394-875A-4A53-A9F6-A6E55123ADD3}"/>
    <cellStyle name="40% - Accent5 3 3 2 6" xfId="7683" xr:uid="{DB05BDF3-2ECD-4F5F-8CDA-557014B63D9E}"/>
    <cellStyle name="40% - Accent5 3 3 2 6 2" xfId="30566" xr:uid="{DA88A621-7EE3-4AC4-B264-EBEF891A2CF2}"/>
    <cellStyle name="40% - Accent5 3 3 2 7" xfId="7682" xr:uid="{778066D7-C249-4EA6-85F8-FE41AEEE6FFF}"/>
    <cellStyle name="40% - Accent5 3 3 3" xfId="7681" xr:uid="{712CF749-AC54-4439-BE26-A4F5DB5286E4}"/>
    <cellStyle name="40% - Accent5 3 3 3 2" xfId="10532" xr:uid="{BD2E98EE-C0F6-4F55-9B63-3645F1C8EDAF}"/>
    <cellStyle name="40% - Accent5 3 3 3 2 2" xfId="14834" xr:uid="{8B63EAC9-3E4A-475D-AE6D-5A57160C50EC}"/>
    <cellStyle name="40% - Accent5 3 3 3 2 2 2" xfId="24252" xr:uid="{5DC17CDC-B6EF-419C-9D8B-6BEA5A52A34A}"/>
    <cellStyle name="40% - Accent5 3 3 3 2 2 2 2" xfId="7680" xr:uid="{80F9FF27-074E-47AD-AAEE-BD165B28CDCF}"/>
    <cellStyle name="40% - Accent5 3 3 3 2 2 2 2 2" xfId="7678" xr:uid="{614FBBF3-1789-49C0-9CE7-2144EBF40C97}"/>
    <cellStyle name="40% - Accent5 3 3 3 2 2 2 3" xfId="32106" xr:uid="{DF4CE972-52BD-4053-9F51-D46A951DAF79}"/>
    <cellStyle name="40% - Accent5 3 3 3 2 2 3" xfId="17071" xr:uid="{F2D0CB6C-236F-40A4-BD66-2D76A8AE8C5E}"/>
    <cellStyle name="40% - Accent5 3 3 3 2 2 3 2" xfId="7676" xr:uid="{13296659-6242-4348-A121-2037D0E9BE1B}"/>
    <cellStyle name="40% - Accent5 3 3 3 2 2 4" xfId="23093" xr:uid="{ABAF6A9E-FE7D-454E-A302-ED1B63E79BDD}"/>
    <cellStyle name="40% - Accent5 3 3 3 2 3" xfId="25452" xr:uid="{17D7171E-15B8-4867-9B27-8CCA5BEC7CC6}"/>
    <cellStyle name="40% - Accent5 3 3 3 2 3 2" xfId="24242" xr:uid="{419D1E0B-346E-45EA-B28F-F03E30E2CDE0}"/>
    <cellStyle name="40% - Accent5 3 3 3 2 3 2 2" xfId="30371" xr:uid="{A2CA76A5-24B7-4EB2-9CBB-7A069AE7BFCB}"/>
    <cellStyle name="40% - Accent5 3 3 3 2 3 3" xfId="21890" xr:uid="{644D6A6D-A529-43D9-9931-4F5414AF3412}"/>
    <cellStyle name="40% - Accent5 3 3 3 2 4" xfId="23085" xr:uid="{7DF3F9E6-A47F-4E96-8FB3-CC5ACB567265}"/>
    <cellStyle name="40% - Accent5 3 3 3 2 4 2" xfId="23082" xr:uid="{6E91731A-9E9E-4091-BC3A-E9A82E9A65EF}"/>
    <cellStyle name="40% - Accent5 3 3 3 2 5" xfId="23279" xr:uid="{3DDCB1A9-3840-4A1F-A303-86286B53411A}"/>
    <cellStyle name="40% - Accent5 3 3 3 3" xfId="7675" xr:uid="{18800916-2266-4D93-873B-0C08E4B74737}"/>
    <cellStyle name="40% - Accent5 3 3 3 3 2" xfId="19888" xr:uid="{3F443CF3-3018-4A3C-AA22-3FCC1A721A45}"/>
    <cellStyle name="40% - Accent5 3 3 3 3 2 2" xfId="28584" xr:uid="{1ACC10CB-7D31-48E1-9DAB-2E8D92BE0C1E}"/>
    <cellStyle name="40% - Accent5 3 3 3 3 2 2 2" xfId="7672" xr:uid="{05B95DAE-B773-4D51-B826-708AC263A1F3}"/>
    <cellStyle name="40% - Accent5 3 3 3 3 2 3" xfId="21879" xr:uid="{C63AE0F9-5CD7-47C9-B5C0-0A751D632C78}"/>
    <cellStyle name="40% - Accent5 3 3 3 3 3" xfId="19871" xr:uid="{B44831CE-9904-4FC8-80D3-12AAF7E50D27}"/>
    <cellStyle name="40% - Accent5 3 3 3 3 3 2" xfId="22971" xr:uid="{BA37060C-1E3C-4A71-A97C-95C651A359B1}"/>
    <cellStyle name="40% - Accent5 3 3 3 3 4" xfId="22968" xr:uid="{578F8AA2-F451-4631-A68A-26172834C9FA}"/>
    <cellStyle name="40% - Accent5 3 3 3 4" xfId="7671" xr:uid="{5DB07884-23F6-4A3E-8BF1-0E62C9230480}"/>
    <cellStyle name="40% - Accent5 3 3 3 4 2" xfId="19836" xr:uid="{A596A0BE-4250-4594-9615-A78BC97091D3}"/>
    <cellStyle name="40% - Accent5 3 3 3 4 2 2" xfId="18820" xr:uid="{BE44BA68-CE1B-4959-A4E7-42A040535941}"/>
    <cellStyle name="40% - Accent5 3 3 3 4 3" xfId="22957" xr:uid="{8DD869FA-698B-405A-AC1A-4ADC04454518}"/>
    <cellStyle name="40% - Accent5 3 3 3 5" xfId="7669" xr:uid="{C1B33C88-42B1-4F22-BDD8-5C04E4B5EB5A}"/>
    <cellStyle name="40% - Accent5 3 3 3 5 2" xfId="29708" xr:uid="{9D794630-214A-4B61-B7DF-E434DE4B79DC}"/>
    <cellStyle name="40% - Accent5 3 3 3 6" xfId="7668" xr:uid="{1E0210D3-A52C-4C16-8F45-19828A90646C}"/>
    <cellStyle name="40% - Accent5 3 3 4" xfId="7666" xr:uid="{43462AAE-2681-46D2-9F80-45A138FAD4FF}"/>
    <cellStyle name="40% - Accent5 3 3 4 2" xfId="7665" xr:uid="{7D0F4D85-77FD-476A-91C2-FCCABF3ACFEC}"/>
    <cellStyle name="40% - Accent5 3 3 4 2 2" xfId="22710" xr:uid="{FC83E1AE-DB2C-4645-B03D-3253B858D07C}"/>
    <cellStyle name="40% - Accent5 3 3 4 2 2 2" xfId="32457" xr:uid="{677799FA-E60C-43A8-80B2-E72F80690255}"/>
    <cellStyle name="40% - Accent5 3 3 4 2 2 2 2" xfId="8159" xr:uid="{C103DE50-9273-4088-9F1F-4541794D5B88}"/>
    <cellStyle name="40% - Accent5 3 3 4 2 2 3" xfId="21857" xr:uid="{278D77E2-19C0-4398-A424-EAD3E4A21F0F}"/>
    <cellStyle name="40% - Accent5 3 3 4 2 3" xfId="22698" xr:uid="{30D41F41-6F49-4379-A439-4C0167394162}"/>
    <cellStyle name="40% - Accent5 3 3 4 2 3 2" xfId="33226" xr:uid="{8001B98E-24F9-474F-8A86-96EE73F80FCC}"/>
    <cellStyle name="40% - Accent5 3 3 4 2 4" xfId="11577" xr:uid="{02EB0BA8-080A-49D4-B636-DBAFBD311CE6}"/>
    <cellStyle name="40% - Accent5 3 3 4 3" xfId="7663" xr:uid="{E8D02FF8-8356-412E-9CEF-8DA38FBE25E0}"/>
    <cellStyle name="40% - Accent5 3 3 4 3 2" xfId="21944" xr:uid="{64F51DB5-2BBD-425D-85DD-4D10B4780EAA}"/>
    <cellStyle name="40% - Accent5 3 3 4 3 2 2" xfId="33111" xr:uid="{C20D4353-C16F-4D4B-BE6F-15ED959C3971}"/>
    <cellStyle name="40% - Accent5 3 3 4 3 3" xfId="22644" xr:uid="{46C0DC1B-AB03-4B6D-A547-42ED3BB77773}"/>
    <cellStyle name="40% - Accent5 3 3 4 4" xfId="7660" xr:uid="{B5991A99-0784-4B19-9881-066AD90F08B7}"/>
    <cellStyle name="40% - Accent5 3 3 4 4 2" xfId="22631" xr:uid="{E334A233-1AB7-4543-AD37-1DED2B0F43FB}"/>
    <cellStyle name="40% - Accent5 3 3 4 5" xfId="13342" xr:uid="{0EBFFEDF-8CC8-484A-BA30-5DAAC0B99601}"/>
    <cellStyle name="40% - Accent5 3 3 5" xfId="16992" xr:uid="{595D56E0-56A1-4BD5-A738-84BB2DFF8522}"/>
    <cellStyle name="40% - Accent5 3 3 5 2" xfId="7659" xr:uid="{CA495907-D745-452E-99EE-175F1910EB1C}"/>
    <cellStyle name="40% - Accent5 3 3 5 2 2" xfId="22560" xr:uid="{8F668A98-E10C-40AC-BD00-AC3BD9226047}"/>
    <cellStyle name="40% - Accent5 3 3 5 2 2 2" xfId="16688" xr:uid="{9CDA28A8-C867-48F3-A36D-F77F32D15C34}"/>
    <cellStyle name="40% - Accent5 3 3 5 2 3" xfId="22554" xr:uid="{3A5132C1-4B15-4A74-A7F8-68B8EA8B6C77}"/>
    <cellStyle name="40% - Accent5 3 3 5 3" xfId="7657" xr:uid="{4BF471AF-D012-479C-8BF9-4CD4B189DFB4}"/>
    <cellStyle name="40% - Accent5 3 3 5 3 2" xfId="22477" xr:uid="{1C96B927-B67D-4EC7-BF50-9C676C9884D5}"/>
    <cellStyle name="40% - Accent5 3 3 5 4" xfId="7183" xr:uid="{DB058643-5AC7-4EF7-AF4C-E5D31B811718}"/>
    <cellStyle name="40% - Accent5 3 3 6" xfId="7654" xr:uid="{9980E08F-427B-445A-BD49-B118341589CE}"/>
    <cellStyle name="40% - Accent5 3 3 6 2" xfId="7653" xr:uid="{5BCC2414-CA40-4BD8-B163-750B9E863222}"/>
    <cellStyle name="40% - Accent5 3 3 6 2 2" xfId="22363" xr:uid="{F03C3B40-20B3-4585-8226-9ADBF063BA6F}"/>
    <cellStyle name="40% - Accent5 3 3 6 3" xfId="7652" xr:uid="{5F1CB1C2-2DD0-4BC7-A9CA-D24EEDD1100E}"/>
    <cellStyle name="40% - Accent5 3 3 7" xfId="28754" xr:uid="{1CEF6C40-445F-41C7-A122-CC848C5F1345}"/>
    <cellStyle name="40% - Accent5 3 3 7 2" xfId="5823" xr:uid="{3972D0D6-136B-4AE0-B8BD-2FFDB379BB94}"/>
    <cellStyle name="40% - Accent5 3 3 8" xfId="21225" xr:uid="{A21138C1-E3D4-4A5A-96FE-9DA4ABD9A310}"/>
    <cellStyle name="40% - Accent5 3 3 9" xfId="34557" xr:uid="{E1144682-B483-458C-9445-E59FB7135849}"/>
    <cellStyle name="40% - Accent5 3 4" xfId="10958" xr:uid="{E304967C-AF54-43B9-8DDE-B28297B5D288}"/>
    <cellStyle name="40% - Accent5 3 4 2" xfId="26544" xr:uid="{C825C6E4-6282-4C0B-8946-7EFB7DBD3226}"/>
    <cellStyle name="40% - Accent5 3 4 2 2" xfId="7650" xr:uid="{FE51E5E7-98A8-466B-ACD4-BA2A5D685A66}"/>
    <cellStyle name="40% - Accent5 3 4 2 2 2" xfId="14412" xr:uid="{3572AC9B-18D3-40E0-AA6A-9ABB15B24806}"/>
    <cellStyle name="40% - Accent5 3 4 2 2 2 2" xfId="22524" xr:uid="{BFD6960E-90EB-447E-B300-BA6E8D407E5B}"/>
    <cellStyle name="40% - Accent5 3 4 2 2 2 2 2" xfId="9504" xr:uid="{43A82C70-AB2E-49ED-8307-D184E8122E8D}"/>
    <cellStyle name="40% - Accent5 3 4 2 2 2 2 2 2" xfId="7649" xr:uid="{31B316E2-291B-4D55-8232-3B9732457B11}"/>
    <cellStyle name="40% - Accent5 3 4 2 2 2 2 3" xfId="26110" xr:uid="{5E5B7EE9-DC3C-43E6-A93F-E79B59812370}"/>
    <cellStyle name="40% - Accent5 3 4 2 2 2 3" xfId="27346" xr:uid="{967069BF-F471-4F73-863C-AA5F16BF97D3}"/>
    <cellStyle name="40% - Accent5 3 4 2 2 2 3 2" xfId="7877" xr:uid="{04D89980-BAEE-496B-AC47-38915414501E}"/>
    <cellStyle name="40% - Accent5 3 4 2 2 2 4" xfId="21330" xr:uid="{D3F66A9F-99C2-488F-AC52-A951D787C7E7}"/>
    <cellStyle name="40% - Accent5 3 4 2 2 3" xfId="22518" xr:uid="{9E0FEE07-F671-4D27-A55D-41653B2B7BB2}"/>
    <cellStyle name="40% - Accent5 3 4 2 2 3 2" xfId="21319" xr:uid="{D02B1B48-6049-43DA-97E6-F8F4CD16C768}"/>
    <cellStyle name="40% - Accent5 3 4 2 2 3 2 2" xfId="25946" xr:uid="{C1B09360-AA66-49BF-B678-1D1F7BBEA4C3}"/>
    <cellStyle name="40% - Accent5 3 4 2 2 3 3" xfId="21313" xr:uid="{CCD3A207-C620-4DFD-9618-D6F6D7FD9306}"/>
    <cellStyle name="40% - Accent5 3 4 2 2 4" xfId="24216" xr:uid="{A24AB332-F912-4385-BD54-254C78A695C2}"/>
    <cellStyle name="40% - Accent5 3 4 2 2 4 2" xfId="21309" xr:uid="{29DA6F3A-C53E-4C86-B149-222D0B236178}"/>
    <cellStyle name="40% - Accent5 3 4 2 2 5" xfId="24204" xr:uid="{2BEA8287-576B-43C6-A3DD-11A957D23497}"/>
    <cellStyle name="40% - Accent5 3 4 2 3" xfId="7648" xr:uid="{AA06A687-5C8D-460B-AAF6-1B449291B1CF}"/>
    <cellStyle name="40% - Accent5 3 4 2 3 2" xfId="22511" xr:uid="{370BC454-A155-47DB-9DF0-D5BE36AFE461}"/>
    <cellStyle name="40% - Accent5 3 4 2 3 2 2" xfId="21183" xr:uid="{FFAA7526-8BD1-44BE-BC0C-FAAD0758B1E7}"/>
    <cellStyle name="40% - Accent5 3 4 2 3 2 2 2" xfId="7647" xr:uid="{88F56E13-D797-4A0E-8112-E0FFC1C48328}"/>
    <cellStyle name="40% - Accent5 3 4 2 3 2 3" xfId="21175" xr:uid="{75ED9D74-9DAF-4DFC-B7FD-372F14913769}"/>
    <cellStyle name="40% - Accent5 3 4 2 3 3" xfId="21165" xr:uid="{011AD5A9-C390-4F4E-8757-FBDDB7171DA8}"/>
    <cellStyle name="40% - Accent5 3 4 2 3 3 2" xfId="21163" xr:uid="{E87A1CAE-E430-422F-BC1C-17A5376B7C8F}"/>
    <cellStyle name="40% - Accent5 3 4 2 3 4" xfId="24189" xr:uid="{FD9B35DF-C8EB-42FA-9D09-77C9508298DB}"/>
    <cellStyle name="40% - Accent5 3 4 2 4" xfId="7644" xr:uid="{57338BEF-5B90-4BAF-911D-804B78C3F5D6}"/>
    <cellStyle name="40% - Accent5 3 4 2 4 2" xfId="34248" xr:uid="{B1155312-D4F0-419E-AE0A-76CA51FF70EC}"/>
    <cellStyle name="40% - Accent5 3 4 2 4 2 2" xfId="21147" xr:uid="{30AB3379-EF11-4C6B-AA63-72E157DE1E76}"/>
    <cellStyle name="40% - Accent5 3 4 2 4 3" xfId="34155" xr:uid="{E0E22F9B-B1FB-40D4-AF8B-156E70C0CB2D}"/>
    <cellStyle name="40% - Accent5 3 4 2 5" xfId="7643" xr:uid="{A590F6B0-AAF6-4D32-9662-FA51257C2E88}"/>
    <cellStyle name="40% - Accent5 3 4 2 5 2" xfId="34151" xr:uid="{DA70F185-D54A-4E92-8933-B21B84354806}"/>
    <cellStyle name="40% - Accent5 3 4 2 6" xfId="16658" xr:uid="{FF2CB0D7-601C-4A51-90AC-D55DC9365B90}"/>
    <cellStyle name="40% - Accent5 3 4 3" xfId="7642" xr:uid="{63B2C253-A872-4B31-862C-4E25911F209A}"/>
    <cellStyle name="40% - Accent5 3 4 3 2" xfId="7641" xr:uid="{6E1C6F01-6EB0-41C8-9F4C-0BDED18E2BD0}"/>
    <cellStyle name="40% - Accent5 3 4 3 2 2" xfId="22493" xr:uid="{56791738-B81B-488A-8049-BA9CD622F00F}"/>
    <cellStyle name="40% - Accent5 3 4 3 2 2 2" xfId="20678" xr:uid="{867DF1DB-457F-4596-B11E-F92175A71671}"/>
    <cellStyle name="40% - Accent5 3 4 3 2 2 2 2" xfId="33032" xr:uid="{CC0CC620-D4E2-4390-BD40-5995E760F89B}"/>
    <cellStyle name="40% - Accent5 3 4 3 2 2 3" xfId="20672" xr:uid="{C318A789-02CF-413F-A038-15485370D6DF}"/>
    <cellStyle name="40% - Accent5 3 4 3 2 3" xfId="20664" xr:uid="{00C1E71B-E91E-45AB-9FB7-77210D6A741A}"/>
    <cellStyle name="40% - Accent5 3 4 3 2 3 2" xfId="20661" xr:uid="{E16806D8-B3E0-41A0-8C43-3DE5D25BA1B8}"/>
    <cellStyle name="40% - Accent5 3 4 3 2 4" xfId="32571" xr:uid="{ED4B2529-38AD-4064-879F-FE215F0C0DFD}"/>
    <cellStyle name="40% - Accent5 3 4 3 3" xfId="21907" xr:uid="{04E1C9DE-7CDC-41A7-93C8-F545EF309F45}"/>
    <cellStyle name="40% - Accent5 3 4 3 3 2" xfId="20614" xr:uid="{F22810A1-38DD-4AB6-9D04-4C96F1F9BEA3}"/>
    <cellStyle name="40% - Accent5 3 4 3 3 2 2" xfId="20610" xr:uid="{3CAC543B-9EA2-4A74-AD46-B19C8CBD1058}"/>
    <cellStyle name="40% - Accent5 3 4 3 3 3" xfId="20602" xr:uid="{EC972D65-7CB5-47AA-9D17-393850FCF8A8}"/>
    <cellStyle name="40% - Accent5 3 4 3 4" xfId="21899" xr:uid="{96ED9743-391B-4EE7-A446-59D9C03A9381}"/>
    <cellStyle name="40% - Accent5 3 4 3 4 2" xfId="33956" xr:uid="{8C973E81-B9F0-4037-8275-94C7F43D5761}"/>
    <cellStyle name="40% - Accent5 3 4 3 5" xfId="7640" xr:uid="{B11D36EB-4BED-454E-AADC-0BBD99C821B2}"/>
    <cellStyle name="40% - Accent5 3 4 4" xfId="7639" xr:uid="{A2B42212-2190-43FB-A0CD-20E877E1D98F}"/>
    <cellStyle name="40% - Accent5 3 4 4 2" xfId="33791" xr:uid="{889DF6E1-B19C-49D1-8D0E-8A6D7BB1FF6B}"/>
    <cellStyle name="40% - Accent5 3 4 4 2 2" xfId="22421" xr:uid="{3A859611-F159-4F5C-898C-84637F803A72}"/>
    <cellStyle name="40% - Accent5 3 4 4 2 2 2" xfId="32976" xr:uid="{C7D1DF9B-CF67-44B1-8F52-A27C03BC0A8F}"/>
    <cellStyle name="40% - Accent5 3 4 4 2 3" xfId="20415" xr:uid="{A33A99C8-576E-4DBC-B592-78F397C78A6E}"/>
    <cellStyle name="40% - Accent5 3 4 4 3" xfId="21894" xr:uid="{F3E5F855-14AC-4296-BA53-C273EB09DE2A}"/>
    <cellStyle name="40% - Accent5 3 4 4 3 2" xfId="20399" xr:uid="{06C3DB79-4E94-443A-A6B6-35D1D775B366}"/>
    <cellStyle name="40% - Accent5 3 4 4 4" xfId="7638" xr:uid="{FA326AB2-E5B4-4DAE-9DC8-6ED8474A03C8}"/>
    <cellStyle name="40% - Accent5 3 4 5" xfId="7637" xr:uid="{048EFB61-B418-4778-9210-0623B65702F5}"/>
    <cellStyle name="40% - Accent5 3 4 5 2" xfId="33779" xr:uid="{E47D457E-B299-4647-B4B9-ED73CA2E268B}"/>
    <cellStyle name="40% - Accent5 3 4 5 2 2" xfId="20276" xr:uid="{FAD44BC2-2C90-45B8-8C46-4B475E0810BD}"/>
    <cellStyle name="40% - Accent5 3 4 5 3" xfId="11696" xr:uid="{8C7A9F45-F352-473C-95AC-F12AC362C16A}"/>
    <cellStyle name="40% - Accent5 3 4 6" xfId="7635" xr:uid="{486B40D3-A792-481F-8EF7-4E8CB104CD41}"/>
    <cellStyle name="40% - Accent5 3 4 6 2" xfId="7633" xr:uid="{4F8B0815-22D6-4546-98E6-BFB9460066D6}"/>
    <cellStyle name="40% - Accent5 3 4 7" xfId="21218" xr:uid="{D512CB20-0E7C-401D-BE2A-F8313EDE73A4}"/>
    <cellStyle name="40% - Accent5 3 4 8" xfId="34778" xr:uid="{3870F1CE-77E1-4723-B219-D1509C180F95}"/>
    <cellStyle name="40% - Accent5 3 5" xfId="7632" xr:uid="{9034D4D2-7E3B-447A-843D-62577219675C}"/>
    <cellStyle name="40% - Accent5 3 5 2" xfId="7630" xr:uid="{9F9C6021-0563-4C87-A082-6E968A302612}"/>
    <cellStyle name="40% - Accent5 3 5 2 2" xfId="29178" xr:uid="{317C620D-B614-4C7E-B0F6-C462A4D21FB6}"/>
    <cellStyle name="40% - Accent5 3 5 2 2 2" xfId="25154" xr:uid="{F5ACF547-5FF0-436E-BFD9-8BB7BAAD5BBC}"/>
    <cellStyle name="40% - Accent5 3 5 2 2 2 2" xfId="19195" xr:uid="{16E77C88-C3DB-457D-B781-92E26BC36605}"/>
    <cellStyle name="40% - Accent5 3 5 2 2 2 2 2" xfId="7629" xr:uid="{CA8F9F08-7779-44AF-8EE3-555C4A8079C2}"/>
    <cellStyle name="40% - Accent5 3 5 2 2 2 3" xfId="19186" xr:uid="{15EE63D3-101B-469B-A878-6DA378576BA3}"/>
    <cellStyle name="40% - Accent5 3 5 2 2 3" xfId="19180" xr:uid="{01275EB6-B451-4E60-9310-C9AA6B1DB85E}"/>
    <cellStyle name="40% - Accent5 3 5 2 2 3 2" xfId="19178" xr:uid="{2A165685-A5B7-4B87-993C-051B550F60F5}"/>
    <cellStyle name="40% - Accent5 3 5 2 2 4" xfId="24109" xr:uid="{CA2C2DCA-8D49-44D6-80C6-175ED491F01F}"/>
    <cellStyle name="40% - Accent5 3 5 2 3" xfId="29167" xr:uid="{DB51AE78-87D9-4545-A4A5-E5A22D6204AF}"/>
    <cellStyle name="40% - Accent5 3 5 2 3 2" xfId="19085" xr:uid="{64837930-BB1F-418A-A82F-F109D1DC477B}"/>
    <cellStyle name="40% - Accent5 3 5 2 3 2 2" xfId="19083" xr:uid="{B3B90FAA-A245-42A3-A57D-B800A9C50509}"/>
    <cellStyle name="40% - Accent5 3 5 2 3 3" xfId="19071" xr:uid="{0E55F39E-8788-4FEB-9A2D-FDD7F8DB7E9A}"/>
    <cellStyle name="40% - Accent5 3 5 2 4" xfId="7626" xr:uid="{D6EAA318-0BCB-49AC-9A1A-274AEB9BCCEB}"/>
    <cellStyle name="40% - Accent5 3 5 2 4 2" xfId="34016" xr:uid="{707C8905-1730-4D74-BF49-B0EE5D7B9E03}"/>
    <cellStyle name="40% - Accent5 3 5 2 5" xfId="7625" xr:uid="{883CC53D-A80D-474E-9C65-684861A58FE2}"/>
    <cellStyle name="40% - Accent5 3 5 3" xfId="11784" xr:uid="{8D6F1675-E3A1-4D2F-8528-1797B3E81F1B}"/>
    <cellStyle name="40% - Accent5 3 5 3 2" xfId="29136" xr:uid="{1B800383-1CF3-498B-A8DA-043501A907C0}"/>
    <cellStyle name="40% - Accent5 3 5 3 2 2" xfId="33237" xr:uid="{4134225A-E6E7-4912-ADFD-B31F5DA810AD}"/>
    <cellStyle name="40% - Accent5 3 5 3 2 2 2" xfId="18607" xr:uid="{7CE07E35-66C7-4CEC-8F9B-705B967201DB}"/>
    <cellStyle name="40% - Accent5 3 5 3 2 3" xfId="18242" xr:uid="{AB6C0E4A-5EDE-4101-B581-1A02D4BF84EE}"/>
    <cellStyle name="40% - Accent5 3 5 3 3" xfId="21892" xr:uid="{46541A04-7319-4218-87ED-70BA6738A277}"/>
    <cellStyle name="40% - Accent5 3 5 3 3 2" xfId="18524" xr:uid="{8725E584-3D59-4D28-8222-6FD253C93F8B}"/>
    <cellStyle name="40% - Accent5 3 5 3 4" xfId="7623" xr:uid="{D992AEFF-F983-49F9-9053-E7636EA53570}"/>
    <cellStyle name="40% - Accent5 3 5 4" xfId="11782" xr:uid="{DD7C36B2-5B1A-4589-8F2C-2E08CF21CEE0}"/>
    <cellStyle name="40% - Accent5 3 5 4 2" xfId="34107" xr:uid="{6D425527-7F87-4804-8100-52ECB6BB0F22}"/>
    <cellStyle name="40% - Accent5 3 5 4 2 2" xfId="18348" xr:uid="{BA1E1E10-6677-49C7-9C46-A50355AF1288}"/>
    <cellStyle name="40% - Accent5 3 5 4 3" xfId="7622" xr:uid="{0B963E17-6F6B-4016-9C67-4462FC817D12}"/>
    <cellStyle name="40% - Accent5 3 5 5" xfId="7621" xr:uid="{B83EC83D-A140-43CB-8463-7E40EE8C3C43}"/>
    <cellStyle name="40% - Accent5 3 5 5 2" xfId="7619" xr:uid="{FBB49AC0-41C0-40DF-8DA7-FFA6E9EED7FF}"/>
    <cellStyle name="40% - Accent5 3 5 6" xfId="7618" xr:uid="{1FB709F2-5B11-40A9-81A3-211C171DB740}"/>
    <cellStyle name="40% - Accent5 3 5 7" xfId="34972" xr:uid="{EF803AA0-F44B-4D08-8DDB-4C17FDF5E35C}"/>
    <cellStyle name="40% - Accent5 3 6" xfId="7617" xr:uid="{A9E733AC-A14A-40A7-9325-C4562D851711}"/>
    <cellStyle name="40% - Accent5 3 6 2" xfId="7615" xr:uid="{886980E1-E53E-42CF-A0CF-A50C00B4032B}"/>
    <cellStyle name="40% - Accent5 3 6 2 2" xfId="24427" xr:uid="{7F594D1C-62E1-478A-A480-6B38BC4D083B}"/>
    <cellStyle name="40% - Accent5 3 6 2 2 2" xfId="7613" xr:uid="{D78928B9-DC16-4CA8-AD79-34350FFA1445}"/>
    <cellStyle name="40% - Accent5 3 6 2 2 2 2" xfId="7612" xr:uid="{2670B43D-4F72-4C92-BEBC-7524C507DA15}"/>
    <cellStyle name="40% - Accent5 3 6 2 2 3" xfId="13791" xr:uid="{65EA609F-CC45-4A1A-8C2D-49A8429DA3C4}"/>
    <cellStyle name="40% - Accent5 3 6 2 3" xfId="7611" xr:uid="{39AE7638-6CB3-43AF-B86E-F982543AD747}"/>
    <cellStyle name="40% - Accent5 3 6 2 3 2" xfId="7610" xr:uid="{A103BD73-E241-49D1-98D8-05C8FCE610A0}"/>
    <cellStyle name="40% - Accent5 3 6 2 4" xfId="30289" xr:uid="{666405EC-F9E7-4BAE-BAB0-3532AC148455}"/>
    <cellStyle name="40% - Accent5 3 6 3" xfId="12228" xr:uid="{7441A1C9-4678-4F1D-BF40-E47202D5EF15}"/>
    <cellStyle name="40% - Accent5 3 6 3 2" xfId="7609" xr:uid="{7E21B877-11A5-4BAC-81B5-D5B58AD21EE3}"/>
    <cellStyle name="40% - Accent5 3 6 3 2 2" xfId="7608" xr:uid="{D1A33543-D7B5-4E51-8475-D4A2F82878FC}"/>
    <cellStyle name="40% - Accent5 3 6 3 3" xfId="7607" xr:uid="{9170D991-F9E6-4C65-8941-FD8E373D22E9}"/>
    <cellStyle name="40% - Accent5 3 6 4" xfId="7606" xr:uid="{16E144A6-216F-4D4E-8584-4BCB8E608CF1}"/>
    <cellStyle name="40% - Accent5 3 6 4 2" xfId="7605" xr:uid="{DE98086D-A82C-4724-BC2A-C224CC8FFE14}"/>
    <cellStyle name="40% - Accent5 3 6 5" xfId="7604" xr:uid="{97BC799E-D516-45BD-A6EF-32AE59A03787}"/>
    <cellStyle name="40% - Accent5 3 6 6" xfId="35177" xr:uid="{D2CF0A7C-C7AF-4DF1-89DF-0E3AEA5D0EA6}"/>
    <cellStyle name="40% - Accent5 3 7" xfId="7603" xr:uid="{FAC78078-4923-4912-B194-71FDA7C987F2}"/>
    <cellStyle name="40% - Accent5 3 7 2" xfId="7601" xr:uid="{3875B349-D684-4644-82DB-7ADC435F06A6}"/>
    <cellStyle name="40% - Accent5 3 7 2 2" xfId="21212" xr:uid="{0D60DB42-D9F6-4444-9B66-78F64F7B3918}"/>
    <cellStyle name="40% - Accent5 3 7 2 2 2" xfId="7599" xr:uid="{1A7B4A72-14D3-4877-AC16-29F93C2829D1}"/>
    <cellStyle name="40% - Accent5 3 7 2 3" xfId="7597" xr:uid="{E16E4F0D-AD90-47FB-A2F7-2A4F78337311}"/>
    <cellStyle name="40% - Accent5 3 7 3" xfId="7596" xr:uid="{03305A3A-F6D4-4588-9794-578352E1900D}"/>
    <cellStyle name="40% - Accent5 3 7 3 2" xfId="7595" xr:uid="{CE806568-9C47-4DF7-8D7A-19672C7F95A9}"/>
    <cellStyle name="40% - Accent5 3 7 4" xfId="7593" xr:uid="{7C211DD0-F2F4-4294-99A5-0C054C3546BC}"/>
    <cellStyle name="40% - Accent5 3 7 5" xfId="35406" xr:uid="{E22A7021-1D7C-499A-9194-3CDA2EF50DC9}"/>
    <cellStyle name="40% - Accent5 3 8" xfId="24033" xr:uid="{8BD727C9-A3DA-4B54-AAB6-0A3AB54A1E21}"/>
    <cellStyle name="40% - Accent5 3 8 2" xfId="7591" xr:uid="{169EA972-FF50-408B-8C60-DE550CC77B59}"/>
    <cellStyle name="40% - Accent5 3 8 2 2" xfId="7590" xr:uid="{06771FD4-233F-40EE-ACD6-EEAAA547E682}"/>
    <cellStyle name="40% - Accent5 3 8 3" xfId="25194" xr:uid="{D24787F1-9AF8-4264-BC55-0C798D5B7690}"/>
    <cellStyle name="40% - Accent5 3 8 4" xfId="36278" xr:uid="{FB963EF6-462C-4A18-A6B6-1BB53FA49EE0}"/>
    <cellStyle name="40% - Accent5 3 9" xfId="33067" xr:uid="{DB6BF645-121B-4D8C-800C-2D9787EF4F09}"/>
    <cellStyle name="40% - Accent5 3 9 2" xfId="7589" xr:uid="{7C001E74-1ADF-4140-A9A8-D4EEFF546482}"/>
    <cellStyle name="40% - Accent5 3 9 3" xfId="36564" xr:uid="{A36B3924-7A2A-4F46-979B-E7D60566A52C}"/>
    <cellStyle name="40% - Accent5 30" xfId="35903" xr:uid="{1C8D538C-A8A8-4FE2-AB66-CCB6A4B21CD9}"/>
    <cellStyle name="40% - Accent5 30 2" xfId="37075" xr:uid="{767A0D27-B923-4F96-A0D3-26DFF552A369}"/>
    <cellStyle name="40% - Accent5 30 3" xfId="37970" xr:uid="{8A11B921-9954-4CB7-B4AD-E8F31BCE5C00}"/>
    <cellStyle name="40% - Accent5 31" xfId="35923" xr:uid="{2E2A85C3-4BCF-4FFC-B65F-73E8AA036F5B}"/>
    <cellStyle name="40% - Accent5 31 2" xfId="37094" xr:uid="{C701EF71-3B97-41DF-AA6B-80ECA7CFC3C2}"/>
    <cellStyle name="40% - Accent5 31 3" xfId="37990" xr:uid="{80C6DDB4-343B-4885-9DEB-8646FC3D50F0}"/>
    <cellStyle name="40% - Accent5 32" xfId="35943" xr:uid="{BC050076-FFFA-4503-A339-8435765A63B4}"/>
    <cellStyle name="40% - Accent5 32 2" xfId="37113" xr:uid="{4D1D98F3-2FC8-453B-B7BC-CEA71D7C5780}"/>
    <cellStyle name="40% - Accent5 32 3" xfId="38010" xr:uid="{918A9262-5DD9-4B34-B82E-0C491839329D}"/>
    <cellStyle name="40% - Accent5 33" xfId="35963" xr:uid="{710221E7-E98E-4412-AAE3-522FE5CB2B67}"/>
    <cellStyle name="40% - Accent5 33 2" xfId="37132" xr:uid="{679FB0F1-00BF-4A49-93BC-622B150B81EB}"/>
    <cellStyle name="40% - Accent5 33 3" xfId="38030" xr:uid="{8CC152D4-A0A0-4E1B-BE48-D261AC41DCD0}"/>
    <cellStyle name="40% - Accent5 34" xfId="35983" xr:uid="{1FB4C644-1D54-491F-B0C0-9D9B58E6B725}"/>
    <cellStyle name="40% - Accent5 34 2" xfId="37152" xr:uid="{371FF686-2CFA-4E0A-A17D-2488C99DEE64}"/>
    <cellStyle name="40% - Accent5 34 3" xfId="38050" xr:uid="{8CBD40F1-12A9-4CC2-855E-4398107F89F1}"/>
    <cellStyle name="40% - Accent5 35" xfId="36003" xr:uid="{FB1B94E9-E08A-4719-9BD9-4911FC6D82B9}"/>
    <cellStyle name="40% - Accent5 35 2" xfId="37172" xr:uid="{0FC4EF95-F920-4674-83BA-AEE8D1CF3FE7}"/>
    <cellStyle name="40% - Accent5 35 3" xfId="38070" xr:uid="{2ED79653-76C2-4012-8779-888F9A439A10}"/>
    <cellStyle name="40% - Accent5 36" xfId="36023" xr:uid="{915A339A-0C9E-4094-AB9D-4D83B4FA204E}"/>
    <cellStyle name="40% - Accent5 36 2" xfId="37192" xr:uid="{DCA35D12-979A-49F0-991B-05B4684BAC89}"/>
    <cellStyle name="40% - Accent5 36 3" xfId="38090" xr:uid="{3C149A3C-6A4C-434A-A82E-20913AAA1A9E}"/>
    <cellStyle name="40% - Accent5 37" xfId="36043" xr:uid="{1E564A85-C5E9-44E7-A73A-BA88FD1AA577}"/>
    <cellStyle name="40% - Accent5 37 2" xfId="37212" xr:uid="{FEA6B7F9-0F2B-4CA8-886B-1EA2C8EF1256}"/>
    <cellStyle name="40% - Accent5 37 3" xfId="38110" xr:uid="{95A634FA-7744-4606-A2DC-9C2F981C3083}"/>
    <cellStyle name="40% - Accent5 38" xfId="36063" xr:uid="{D9CE64D5-D5A5-4DFF-897F-1F4F309CC0E5}"/>
    <cellStyle name="40% - Accent5 38 2" xfId="37232" xr:uid="{10DD18F1-54FB-4247-B6F9-31A87A730F69}"/>
    <cellStyle name="40% - Accent5 38 3" xfId="38130" xr:uid="{F3AA4CF0-188B-465A-B8DF-25CE4F9B72B3}"/>
    <cellStyle name="40% - Accent5 39" xfId="36083" xr:uid="{A464D9EF-44C3-4113-AB75-43EB3DC71C7C}"/>
    <cellStyle name="40% - Accent5 39 2" xfId="37252" xr:uid="{8651264D-B06B-43B3-8F78-050EC2EA40D1}"/>
    <cellStyle name="40% - Accent5 39 3" xfId="38150" xr:uid="{8656D29A-E9D1-4475-ADD5-42C4C2376EAA}"/>
    <cellStyle name="40% - Accent5 4" xfId="129" xr:uid="{83A9C658-8E6D-4EA9-B2E5-75850F1E2841}"/>
    <cellStyle name="40% - Accent5 4 10" xfId="34483" xr:uid="{7285B98B-1E8F-45FE-8C76-88231E91D6D9}"/>
    <cellStyle name="40% - Accent5 4 11" xfId="15179" xr:uid="{E627E3E9-BC3D-4784-80AE-78A34AAC2335}"/>
    <cellStyle name="40% - Accent5 4 2" xfId="252" xr:uid="{E1BBD4F2-289F-429D-9403-508288B7C9E5}"/>
    <cellStyle name="40% - Accent5 4 2 10" xfId="7588" xr:uid="{ED51F8F1-0F64-43F7-995D-82CB73D9AF8C}"/>
    <cellStyle name="40% - Accent5 4 2 2" xfId="8256" xr:uid="{F8608B5B-CFC7-419A-8FD2-94009636A22E}"/>
    <cellStyle name="40% - Accent5 4 2 2 2" xfId="13067" xr:uid="{062FBE74-6042-4735-BEB9-362DE5E4BC6C}"/>
    <cellStyle name="40% - Accent5 4 2 2 2 2" xfId="15339" xr:uid="{7EC7EF4E-7223-4B6D-B98A-06E526512A27}"/>
    <cellStyle name="40% - Accent5 4 2 2 2 2 2" xfId="7585" xr:uid="{3F278E23-890D-46F3-805B-F22D1FDE78EB}"/>
    <cellStyle name="40% - Accent5 4 2 2 2 2 2 2" xfId="33997" xr:uid="{408B0041-BF0C-4D2C-ABA3-64EB2D018BFA}"/>
    <cellStyle name="40% - Accent5 4 2 2 2 2 2 2 2" xfId="16594" xr:uid="{654583E1-65E5-4FAB-B574-F1B8AB45B35E}"/>
    <cellStyle name="40% - Accent5 4 2 2 2 2 2 2 2 2" xfId="7584" xr:uid="{D32E89C3-CDB8-4D6F-8567-95269BC0DDC0}"/>
    <cellStyle name="40% - Accent5 4 2 2 2 2 2 2 3" xfId="16584" xr:uid="{2C102D08-173F-42A8-A63E-8FB21C1DD331}"/>
    <cellStyle name="40% - Accent5 4 2 2 2 2 2 3" xfId="7582" xr:uid="{2735ADEC-FD4F-422A-863B-FD923943D865}"/>
    <cellStyle name="40% - Accent5 4 2 2 2 2 2 3 2" xfId="16576" xr:uid="{8899C182-7E08-4F12-AC0D-AB505014FDDF}"/>
    <cellStyle name="40% - Accent5 4 2 2 2 2 2 4" xfId="7580" xr:uid="{60D3307D-50BF-4BFF-A10D-E5C63BA2221F}"/>
    <cellStyle name="40% - Accent5 4 2 2 2 2 3" xfId="34340" xr:uid="{901C9A91-B571-42EF-8D33-A16E045CABC9}"/>
    <cellStyle name="40% - Accent5 4 2 2 2 2 3 2" xfId="7579" xr:uid="{E6DD45A8-D4E4-4313-8D6B-ADF56DC4F4EF}"/>
    <cellStyle name="40% - Accent5 4 2 2 2 2 3 2 2" xfId="16555" xr:uid="{1256ED78-61B3-49F7-A7C6-206645095E3D}"/>
    <cellStyle name="40% - Accent5 4 2 2 2 2 3 3" xfId="7578" xr:uid="{8BD814BA-EE71-419B-B271-46A7150695BA}"/>
    <cellStyle name="40% - Accent5 4 2 2 2 2 4" xfId="23138" xr:uid="{B914152D-84FB-4196-91A2-E54C838F741A}"/>
    <cellStyle name="40% - Accent5 4 2 2 2 2 4 2" xfId="21793" xr:uid="{B807EE19-6B38-426F-8D16-B346F0068067}"/>
    <cellStyle name="40% - Accent5 4 2 2 2 2 5" xfId="7576" xr:uid="{8C3E43BA-4E69-4D4C-B709-07601962AFDE}"/>
    <cellStyle name="40% - Accent5 4 2 2 2 3" xfId="7572" xr:uid="{D612AF06-8170-442B-9065-553758ECB43B}"/>
    <cellStyle name="40% - Accent5 4 2 2 2 3 2" xfId="15617" xr:uid="{BE71E508-D5E8-4A6C-8EDA-9B165A5C26DA}"/>
    <cellStyle name="40% - Accent5 4 2 2 2 3 2 2" xfId="20723" xr:uid="{620FC76E-7CE4-482C-AADB-3AFD7E6C5EFE}"/>
    <cellStyle name="40% - Accent5 4 2 2 2 3 2 2 2" xfId="16397" xr:uid="{34F86E12-5D42-4450-A6DD-BD80B5B981A7}"/>
    <cellStyle name="40% - Accent5 4 2 2 2 3 2 3" xfId="20719" xr:uid="{4B272401-F461-48A1-99FD-333D4F399A16}"/>
    <cellStyle name="40% - Accent5 4 2 2 2 3 3" xfId="7571" xr:uid="{087C5F7C-B543-45D1-92BB-55E8EB49E8BC}"/>
    <cellStyle name="40% - Accent5 4 2 2 2 3 3 2" xfId="27170" xr:uid="{A3ABB3F4-22DF-4B58-B1C9-3A1960E23030}"/>
    <cellStyle name="40% - Accent5 4 2 2 2 3 4" xfId="7570" xr:uid="{00D8C169-52F6-4B67-8F7B-0EDFB4B8F73E}"/>
    <cellStyle name="40% - Accent5 4 2 2 2 4" xfId="7565" xr:uid="{F8B47B0C-FEAC-41D7-9C45-9743A99B9A1D}"/>
    <cellStyle name="40% - Accent5 4 2 2 2 4 2" xfId="7564" xr:uid="{9D2CE9C5-6D12-48C8-BEE3-46FC3F6A4B12}"/>
    <cellStyle name="40% - Accent5 4 2 2 2 4 2 2" xfId="20708" xr:uid="{33C0E7F5-2B9C-421C-9286-473220F866DE}"/>
    <cellStyle name="40% - Accent5 4 2 2 2 4 3" xfId="7563" xr:uid="{4BF4D985-80F4-45BF-90FB-C085242B7E11}"/>
    <cellStyle name="40% - Accent5 4 2 2 2 5" xfId="7562" xr:uid="{C5963132-E13B-46D8-860A-50EB3A9AA50E}"/>
    <cellStyle name="40% - Accent5 4 2 2 2 5 2" xfId="7561" xr:uid="{33F4F457-52BB-41AB-8BE6-2387570C12ED}"/>
    <cellStyle name="40% - Accent5 4 2 2 2 6" xfId="32710" xr:uid="{AF3EF491-1FDE-4CB2-AB7E-C941C21184D9}"/>
    <cellStyle name="40% - Accent5 4 2 2 3" xfId="10179" xr:uid="{1BFC948E-6CC7-4889-9417-E537C9270C93}"/>
    <cellStyle name="40% - Accent5 4 2 2 3 2" xfId="10176" xr:uid="{6F04A0F7-A976-41AA-A527-36762E28DD6D}"/>
    <cellStyle name="40% - Accent5 4 2 2 3 2 2" xfId="7560" xr:uid="{03F44EE5-E3DD-435B-8B32-36061DDCCD60}"/>
    <cellStyle name="40% - Accent5 4 2 2 3 2 2 2" xfId="21850" xr:uid="{E2D438A5-E5D5-4AFB-9067-125964EB806A}"/>
    <cellStyle name="40% - Accent5 4 2 2 3 2 2 2 2" xfId="16067" xr:uid="{6C6B0EB0-1317-4304-AE6D-38916B7D357E}"/>
    <cellStyle name="40% - Accent5 4 2 2 3 2 2 3" xfId="7558" xr:uid="{FAA89B51-FC79-4BD2-91D6-478AB219163D}"/>
    <cellStyle name="40% - Accent5 4 2 2 3 2 3" xfId="7556" xr:uid="{695E575C-8D3C-477B-B993-08579D91DB8D}"/>
    <cellStyle name="40% - Accent5 4 2 2 3 2 3 2" xfId="7553" xr:uid="{D40936CE-8A73-412D-998F-57E00D0F6B57}"/>
    <cellStyle name="40% - Accent5 4 2 2 3 2 4" xfId="16340" xr:uid="{8BF8DC67-5297-46B3-85E2-31F3BFD748DA}"/>
    <cellStyle name="40% - Accent5 4 2 2 3 3" xfId="10168" xr:uid="{200E8880-569C-46F5-9A02-DC9B1937814A}"/>
    <cellStyle name="40% - Accent5 4 2 2 3 3 2" xfId="7551" xr:uid="{8CB8F7FB-EF71-48A5-9F81-91BD076CA9DD}"/>
    <cellStyle name="40% - Accent5 4 2 2 3 3 2 2" xfId="27178" xr:uid="{844DA01B-CCAE-44D6-B48A-D96CB19D3034}"/>
    <cellStyle name="40% - Accent5 4 2 2 3 3 3" xfId="7549" xr:uid="{E02CC286-FFCA-4507-A2E9-AC428AC79D84}"/>
    <cellStyle name="40% - Accent5 4 2 2 3 4" xfId="17835" xr:uid="{330C7741-03F1-4F27-972F-8C78062B2683}"/>
    <cellStyle name="40% - Accent5 4 2 2 3 4 2" xfId="7548" xr:uid="{DA6C376A-A8C2-4057-878E-27314395F4EF}"/>
    <cellStyle name="40% - Accent5 4 2 2 3 5" xfId="17832" xr:uid="{A541BA57-DCC9-4C6C-9507-0D92CF15C560}"/>
    <cellStyle name="40% - Accent5 4 2 2 4" xfId="10159" xr:uid="{E1824B72-B78E-480D-A6D6-541C4985762A}"/>
    <cellStyle name="40% - Accent5 4 2 2 4 2" xfId="10155" xr:uid="{024856DD-5E6E-424E-82D8-BDECFA3C2865}"/>
    <cellStyle name="40% - Accent5 4 2 2 4 2 2" xfId="30386" xr:uid="{A36F2020-B05F-4C91-8316-1DEA0A31510E}"/>
    <cellStyle name="40% - Accent5 4 2 2 4 2 2 2" xfId="7547" xr:uid="{CFED5B39-E80F-4552-AFCC-8A7156F2C90E}"/>
    <cellStyle name="40% - Accent5 4 2 2 4 2 3" xfId="31037" xr:uid="{E3C36053-5EA3-4C0E-AA4C-DDAC045EBE6B}"/>
    <cellStyle name="40% - Accent5 4 2 2 4 3" xfId="10149" xr:uid="{1ED17030-CFC3-459E-AEDA-7D78977A4BBC}"/>
    <cellStyle name="40% - Accent5 4 2 2 4 3 2" xfId="31880" xr:uid="{999EB41F-9E3C-41E4-B0C6-1CEA1007643B}"/>
    <cellStyle name="40% - Accent5 4 2 2 4 4" xfId="31169" xr:uid="{043D6137-C3D7-458F-A0EE-643600A5F172}"/>
    <cellStyle name="40% - Accent5 4 2 2 5" xfId="13161" xr:uid="{E3C2A523-A6C5-4B25-B5F9-3EC0415F9B82}"/>
    <cellStyle name="40% - Accent5 4 2 2 5 2" xfId="10144" xr:uid="{99B0AB26-8636-4448-86C3-F355174942D7}"/>
    <cellStyle name="40% - Accent5 4 2 2 5 2 2" xfId="31719" xr:uid="{936D1B9F-5D0F-4817-8725-80D7A047C281}"/>
    <cellStyle name="40% - Accent5 4 2 2 5 3" xfId="10139" xr:uid="{899FE955-7CB5-43A8-8741-3701653EA932}"/>
    <cellStyle name="40% - Accent5 4 2 2 6" xfId="10134" xr:uid="{C9BC6937-9061-49CD-A320-8F099FB4F566}"/>
    <cellStyle name="40% - Accent5 4 2 2 6 2" xfId="10131" xr:uid="{E7F47466-2E2B-4039-8118-FD5B06F3AB50}"/>
    <cellStyle name="40% - Accent5 4 2 2 7" xfId="10129" xr:uid="{3CB381DA-0EEB-4772-A0EF-51835F36D18D}"/>
    <cellStyle name="40% - Accent5 4 2 3" xfId="7546" xr:uid="{EA61F63D-22F1-4B76-8BCA-1FDABCC4EDFE}"/>
    <cellStyle name="40% - Accent5 4 2 3 2" xfId="7544" xr:uid="{23995379-A613-4E50-AB3C-0259113B7C43}"/>
    <cellStyle name="40% - Accent5 4 2 3 2 2" xfId="7541" xr:uid="{EE90895C-EE78-44E3-8C62-81EFF44A7349}"/>
    <cellStyle name="40% - Accent5 4 2 3 2 2 2" xfId="11136" xr:uid="{78B59E0E-21C3-4712-B3C6-2271D2ADF812}"/>
    <cellStyle name="40% - Accent5 4 2 3 2 2 2 2" xfId="29466" xr:uid="{6C0181A8-41DF-419C-B485-8583D3FC65E7}"/>
    <cellStyle name="40% - Accent5 4 2 3 2 2 2 2 2" xfId="15294" xr:uid="{7782B194-19EF-4660-80D3-8D4D6BC49254}"/>
    <cellStyle name="40% - Accent5 4 2 3 2 2 2 3" xfId="33039" xr:uid="{09F10B2B-9E0F-4F4F-9729-744BFCB1F751}"/>
    <cellStyle name="40% - Accent5 4 2 3 2 2 3" xfId="7540" xr:uid="{533762A0-9F1A-4ED5-A355-3FCC98B460AC}"/>
    <cellStyle name="40% - Accent5 4 2 3 2 2 3 2" xfId="34012" xr:uid="{09C0802A-9822-485A-8464-ACB0341FEFAA}"/>
    <cellStyle name="40% - Accent5 4 2 3 2 2 4" xfId="7538" xr:uid="{97A387AB-9352-4045-B045-1E3B9502245A}"/>
    <cellStyle name="40% - Accent5 4 2 3 2 3" xfId="7534" xr:uid="{C025A6BE-275A-41BA-A075-F39A98D67534}"/>
    <cellStyle name="40% - Accent5 4 2 3 2 3 2" xfId="30182" xr:uid="{0D86CD21-5D5A-41B6-A480-79C5DBAAECE1}"/>
    <cellStyle name="40% - Accent5 4 2 3 2 3 2 2" xfId="20641" xr:uid="{57D2FCED-F5A0-4FCC-9453-159706E5DB3F}"/>
    <cellStyle name="40% - Accent5 4 2 3 2 3 3" xfId="7533" xr:uid="{99A577BE-3DC2-4FA6-B91C-B5E812FE41E1}"/>
    <cellStyle name="40% - Accent5 4 2 3 2 4" xfId="7532" xr:uid="{A8C9D468-E6FC-4B9E-8560-B0CB1878881B}"/>
    <cellStyle name="40% - Accent5 4 2 3 2 4 2" xfId="7531" xr:uid="{588A0A14-5BA2-4297-964E-A3799889E2F4}"/>
    <cellStyle name="40% - Accent5 4 2 3 2 5" xfId="7530" xr:uid="{9A9EFE83-9150-4A2D-B34A-48434098C06E}"/>
    <cellStyle name="40% - Accent5 4 2 3 3" xfId="10127" xr:uid="{D961B0ED-EE95-40C9-A6AE-A6ABE71318E2}"/>
    <cellStyle name="40% - Accent5 4 2 3 3 2" xfId="10123" xr:uid="{AB5341DC-875B-4B3E-9771-6ECE748A5B71}"/>
    <cellStyle name="40% - Accent5 4 2 3 3 2 2" xfId="7528" xr:uid="{E92FB6DB-74B4-4B29-BED9-522E1A835FB2}"/>
    <cellStyle name="40% - Accent5 4 2 3 3 2 2 2" xfId="29353" xr:uid="{6F20C9CF-629F-405C-AC21-126B9F89E83E}"/>
    <cellStyle name="40% - Accent5 4 2 3 3 2 3" xfId="7526" xr:uid="{38E259BF-B59C-40F1-925D-F7D08F246E6F}"/>
    <cellStyle name="40% - Accent5 4 2 3 3 3" xfId="10118" xr:uid="{59A68E53-EB7C-4A83-813A-7A6B0595DDB7}"/>
    <cellStyle name="40% - Accent5 4 2 3 3 3 2" xfId="7525" xr:uid="{4D7D67B3-F307-4BAC-ACCA-5F14691A8272}"/>
    <cellStyle name="40% - Accent5 4 2 3 3 4" xfId="25895" xr:uid="{5B65E24D-3ADC-4795-B8AC-9DC9B7AE6379}"/>
    <cellStyle name="40% - Accent5 4 2 3 4" xfId="10114" xr:uid="{4F215CBB-4F1D-4445-8F5F-863C7DCF8798}"/>
    <cellStyle name="40% - Accent5 4 2 3 4 2" xfId="15143" xr:uid="{6A434550-D193-469D-9338-32D4D8154452}"/>
    <cellStyle name="40% - Accent5 4 2 3 4 2 2" xfId="31667" xr:uid="{38AB49FC-4A56-40A6-9212-EA5C123817EC}"/>
    <cellStyle name="40% - Accent5 4 2 3 4 3" xfId="15135" xr:uid="{3C6C1E64-DEB3-4E1B-BA67-43F29BD2D42D}"/>
    <cellStyle name="40% - Accent5 4 2 3 5" xfId="10110" xr:uid="{7919DDC2-C2D4-4CC9-953E-001134871304}"/>
    <cellStyle name="40% - Accent5 4 2 3 5 2" xfId="15093" xr:uid="{9CDDBF62-F96C-4FFA-A0F9-EE811F243943}"/>
    <cellStyle name="40% - Accent5 4 2 3 6" xfId="10107" xr:uid="{D17C666F-3578-4A58-A020-7B4C1B51C22B}"/>
    <cellStyle name="40% - Accent5 4 2 4" xfId="7524" xr:uid="{17FE4C7D-E667-47C8-B9AC-50A24353A5D4}"/>
    <cellStyle name="40% - Accent5 4 2 4 2" xfId="7522" xr:uid="{B4F275BD-ABFC-4B0A-9299-34E510981040}"/>
    <cellStyle name="40% - Accent5 4 2 4 2 2" xfId="7520" xr:uid="{9B0135D7-39AB-4AE0-84AE-36034ABF8B53}"/>
    <cellStyle name="40% - Accent5 4 2 4 2 2 2" xfId="7519" xr:uid="{E64E21FE-5082-4CF6-81EE-679FD18BC36E}"/>
    <cellStyle name="40% - Accent5 4 2 4 2 2 2 2" xfId="32236" xr:uid="{D7932A5B-4456-4CEF-85D5-52A94C391351}"/>
    <cellStyle name="40% - Accent5 4 2 4 2 2 3" xfId="7518" xr:uid="{7DACDAFF-5564-4A45-92B5-C2050F5348E1}"/>
    <cellStyle name="40% - Accent5 4 2 4 2 3" xfId="13044" xr:uid="{4B0DFD73-A02B-4B40-AD02-EA61634ADAB6}"/>
    <cellStyle name="40% - Accent5 4 2 4 2 3 2" xfId="11666" xr:uid="{93440C39-BD12-45B8-AF25-8CD15026CCC7}"/>
    <cellStyle name="40% - Accent5 4 2 4 2 4" xfId="7517" xr:uid="{B14EBB61-B7FE-4619-92AD-FE8821661A62}"/>
    <cellStyle name="40% - Accent5 4 2 4 3" xfId="10104" xr:uid="{BC22CF93-3469-4AFF-B2EE-E7029C57FB98}"/>
    <cellStyle name="40% - Accent5 4 2 4 3 2" xfId="10100" xr:uid="{7BB3C053-1B16-48E5-9D25-A4EAF2CE4EE4}"/>
    <cellStyle name="40% - Accent5 4 2 4 3 2 2" xfId="7515" xr:uid="{8284488D-EF66-445A-927D-18E4DF7E085C}"/>
    <cellStyle name="40% - Accent5 4 2 4 3 3" xfId="10096" xr:uid="{95E60C67-34BA-4724-8544-94B9595559D1}"/>
    <cellStyle name="40% - Accent5 4 2 4 4" xfId="10092" xr:uid="{8797981D-08BC-470D-9DBB-42945EFB4AD6}"/>
    <cellStyle name="40% - Accent5 4 2 4 4 2" xfId="15040" xr:uid="{7B38E05E-8829-446B-8089-3240003FA5C2}"/>
    <cellStyle name="40% - Accent5 4 2 4 5" xfId="10088" xr:uid="{0967CCAA-9F51-48E9-A313-806EE1E03C1E}"/>
    <cellStyle name="40% - Accent5 4 2 5" xfId="7514" xr:uid="{2D07A11B-14D4-447B-9C2E-C0F86BDFBD48}"/>
    <cellStyle name="40% - Accent5 4 2 5 2" xfId="7512" xr:uid="{6C5763B0-7140-4CBC-AB50-F3823AEAA4C3}"/>
    <cellStyle name="40% - Accent5 4 2 5 2 2" xfId="7510" xr:uid="{97CA9DB5-2C6B-42DE-98C8-6E91FA9BED40}"/>
    <cellStyle name="40% - Accent5 4 2 5 2 2 2" xfId="7509" xr:uid="{A77E0520-75BE-43BC-BAA4-26A351037D7F}"/>
    <cellStyle name="40% - Accent5 4 2 5 2 3" xfId="7506" xr:uid="{B1778E0B-427A-496E-8432-1C66171744EA}"/>
    <cellStyle name="40% - Accent5 4 2 5 3" xfId="10086" xr:uid="{39FBF253-EB44-41F8-BE3E-6EAF78FA01AC}"/>
    <cellStyle name="40% - Accent5 4 2 5 3 2" xfId="33493" xr:uid="{B0489244-5B72-4DAD-BBF9-1C52AE641BC5}"/>
    <cellStyle name="40% - Accent5 4 2 5 4" xfId="10082" xr:uid="{0572B2CE-AAE1-479B-8F31-C913DEB3D5CD}"/>
    <cellStyle name="40% - Accent5 4 2 6" xfId="20072" xr:uid="{EC9127B8-F8B6-4C39-89F4-FBC9FA804F74}"/>
    <cellStyle name="40% - Accent5 4 2 6 2" xfId="7505" xr:uid="{AF363E66-A9ED-4EA0-AB06-5F297190CA80}"/>
    <cellStyle name="40% - Accent5 4 2 6 2 2" xfId="7503" xr:uid="{EADCE8E2-4F5E-45F2-95F5-88830C3FC6FA}"/>
    <cellStyle name="40% - Accent5 4 2 6 3" xfId="10079" xr:uid="{DC109C75-5EA1-4E20-A8C5-B31938B14584}"/>
    <cellStyle name="40% - Accent5 4 2 7" xfId="17638" xr:uid="{C1843411-E846-4389-A1E5-2C8700E9D5D7}"/>
    <cellStyle name="40% - Accent5 4 2 7 2" xfId="23353" xr:uid="{12C2520A-70CB-4B78-9125-66B95F81037C}"/>
    <cellStyle name="40% - Accent5 4 2 8" xfId="28850" xr:uid="{30D81F29-A56E-4BB0-8B19-2A0E19CDE030}"/>
    <cellStyle name="40% - Accent5 4 2 9" xfId="34571" xr:uid="{F13C3A27-4F8D-439E-889C-3951245F5088}"/>
    <cellStyle name="40% - Accent5 4 3" xfId="11828" xr:uid="{94DFAF8D-6E52-4F24-ACA4-3D0BD2E87F03}"/>
    <cellStyle name="40% - Accent5 4 3 2" xfId="7501" xr:uid="{323B889B-2924-46EC-A298-084C1A0A49E5}"/>
    <cellStyle name="40% - Accent5 4 3 2 2" xfId="7499" xr:uid="{FC5ACFB2-2BA9-452D-8F67-FBBD50E8DBA3}"/>
    <cellStyle name="40% - Accent5 4 3 2 2 2" xfId="7497" xr:uid="{76A879C2-CBD6-438B-BCFD-D751EEDDEF39}"/>
    <cellStyle name="40% - Accent5 4 3 2 2 2 2" xfId="12892" xr:uid="{F273B77F-C059-41A7-9D0E-01DB40036993}"/>
    <cellStyle name="40% - Accent5 4 3 2 2 2 2 2" xfId="14780" xr:uid="{5312B49A-05D1-4BA8-B09C-6730F50A8093}"/>
    <cellStyle name="40% - Accent5 4 3 2 2 2 2 2 2" xfId="10998" xr:uid="{76666FDB-97C5-4750-B5B6-857AA3505CE9}"/>
    <cellStyle name="40% - Accent5 4 3 2 2 2 2 3" xfId="7495" xr:uid="{DDBB0229-E9B2-4E5C-A633-B30BDE6B0BE5}"/>
    <cellStyle name="40% - Accent5 4 3 2 2 2 3" xfId="23992" xr:uid="{DB0CD40A-7B6C-4B2A-A258-B9428A079F41}"/>
    <cellStyle name="40% - Accent5 4 3 2 2 2 3 2" xfId="7494" xr:uid="{634F1325-10B9-45A1-A2BB-9F5AEAA2F910}"/>
    <cellStyle name="40% - Accent5 4 3 2 2 2 4" xfId="7493" xr:uid="{B5C36367-E71A-40D8-A96E-DBA271C04293}"/>
    <cellStyle name="40% - Accent5 4 3 2 2 3" xfId="7490" xr:uid="{52D626E0-44D4-4FA6-B209-59908F8B6A66}"/>
    <cellStyle name="40% - Accent5 4 3 2 2 3 2" xfId="23989" xr:uid="{257479FA-6C93-40C3-97E1-58D40851ACE7}"/>
    <cellStyle name="40% - Accent5 4 3 2 2 3 2 2" xfId="20449" xr:uid="{516F88C8-91BC-4737-9128-E8A578FF0253}"/>
    <cellStyle name="40% - Accent5 4 3 2 2 3 3" xfId="7488" xr:uid="{3F2EE497-3DF7-46C1-BADB-8DFA6285CDB8}"/>
    <cellStyle name="40% - Accent5 4 3 2 2 4" xfId="7486" xr:uid="{C81D506F-193D-4A73-96E9-3BBEE07EDD97}"/>
    <cellStyle name="40% - Accent5 4 3 2 2 4 2" xfId="7485" xr:uid="{28C033C2-D219-4DE9-8906-5FFB606312CF}"/>
    <cellStyle name="40% - Accent5 4 3 2 2 5" xfId="7483" xr:uid="{D620A386-9444-48B1-9324-EB0545714C56}"/>
    <cellStyle name="40% - Accent5 4 3 2 3" xfId="10037" xr:uid="{53FA5617-F734-4D21-B610-29334277CC1B}"/>
    <cellStyle name="40% - Accent5 4 3 2 3 2" xfId="10034" xr:uid="{BFD6FDB9-3A30-4DC8-9D70-D875BFC890CF}"/>
    <cellStyle name="40% - Accent5 4 3 2 3 2 2" xfId="30355" xr:uid="{B674A302-F60C-48C3-946C-FA07539DCD49}"/>
    <cellStyle name="40% - Accent5 4 3 2 3 2 2 2" xfId="7482" xr:uid="{8E849EAA-F02A-4396-AD00-78764AB40248}"/>
    <cellStyle name="40% - Accent5 4 3 2 3 2 3" xfId="7480" xr:uid="{A5858650-5951-4287-A5EB-9AE1873A5386}"/>
    <cellStyle name="40% - Accent5 4 3 2 3 3" xfId="10029" xr:uid="{18806529-8220-45AC-BD4C-AF824F35B4CA}"/>
    <cellStyle name="40% - Accent5 4 3 2 3 3 2" xfId="7479" xr:uid="{0B706BFB-D4ED-42CA-9FDF-48C793B8C62C}"/>
    <cellStyle name="40% - Accent5 4 3 2 3 4" xfId="26914" xr:uid="{2DE03C6F-D3F5-44CF-88E4-70C3536B2A4B}"/>
    <cellStyle name="40% - Accent5 4 3 2 4" xfId="10024" xr:uid="{3E3104CD-E83B-488D-976C-C8AD455F02BA}"/>
    <cellStyle name="40% - Accent5 4 3 2 4 2" xfId="10021" xr:uid="{7FF8F5B2-4C4B-4D65-8DB4-1BBCEC99317D}"/>
    <cellStyle name="40% - Accent5 4 3 2 4 2 2" xfId="27777" xr:uid="{BCE24CB1-343F-458A-BF6E-4BED08665375}"/>
    <cellStyle name="40% - Accent5 4 3 2 4 3" xfId="10017" xr:uid="{C2ACE066-A3FA-45CE-89FF-33DBDE1A19E6}"/>
    <cellStyle name="40% - Accent5 4 3 2 5" xfId="10013" xr:uid="{5769CA43-4B5A-42AA-BFFC-567E4EB2C90C}"/>
    <cellStyle name="40% - Accent5 4 3 2 5 2" xfId="10011" xr:uid="{21D77B58-C25F-4D2D-B7C6-977A2E8F4B47}"/>
    <cellStyle name="40% - Accent5 4 3 2 6" xfId="10009" xr:uid="{ADAE974A-3123-4178-B3BF-CEDD8F52D2E6}"/>
    <cellStyle name="40% - Accent5 4 3 3" xfId="7476" xr:uid="{BF7BE35B-0F49-47DA-9A25-AF6C7A00F5A5}"/>
    <cellStyle name="40% - Accent5 4 3 3 2" xfId="7473" xr:uid="{51C3FD32-D72D-4EB7-8EB6-E74E3D76949E}"/>
    <cellStyle name="40% - Accent5 4 3 3 2 2" xfId="7471" xr:uid="{4415C0CA-9AF2-447E-9072-42311FC59217}"/>
    <cellStyle name="40% - Accent5 4 3 3 2 2 2" xfId="31171" xr:uid="{D5B4D7FB-AA9D-44DB-A77A-0DA72F507625}"/>
    <cellStyle name="40% - Accent5 4 3 3 2 2 2 2" xfId="31767" xr:uid="{8661AC95-3727-41BF-82EA-8CC32259FFB2}"/>
    <cellStyle name="40% - Accent5 4 3 3 2 2 3" xfId="12666" xr:uid="{8CF9DF03-7571-4D8F-B263-996D7CF3E26B}"/>
    <cellStyle name="40% - Accent5 4 3 3 2 3" xfId="7469" xr:uid="{2B8423FE-3655-4329-85CC-7E368513149B}"/>
    <cellStyle name="40% - Accent5 4 3 3 2 3 2" xfId="7468" xr:uid="{EF88B95C-C06C-43DF-A6CB-5C7195F258A2}"/>
    <cellStyle name="40% - Accent5 4 3 3 2 4" xfId="30519" xr:uid="{138614B2-C9BC-4F56-A5BF-046B03EACD22}"/>
    <cellStyle name="40% - Accent5 4 3 3 3" xfId="10006" xr:uid="{4E514D1E-5A48-46EF-B028-B360A150DAEB}"/>
    <cellStyle name="40% - Accent5 4 3 3 3 2" xfId="10002" xr:uid="{9BD8D2AD-5A75-4382-B478-EAAA3FE24798}"/>
    <cellStyle name="40% - Accent5 4 3 3 3 2 2" xfId="7467" xr:uid="{B231E6CB-DEC2-43CC-B212-78F762F9038B}"/>
    <cellStyle name="40% - Accent5 4 3 3 3 3" xfId="9997" xr:uid="{60E3A8FE-9DB0-4CA1-BF90-CC339A6FA67D}"/>
    <cellStyle name="40% - Accent5 4 3 3 4" xfId="9994" xr:uid="{12263A76-9AA4-4BFB-98DC-82727E1D6758}"/>
    <cellStyle name="40% - Accent5 4 3 3 4 2" xfId="14926" xr:uid="{69241F83-85C1-4CB9-9DE0-C3FC1A4C2F62}"/>
    <cellStyle name="40% - Accent5 4 3 3 5" xfId="9991" xr:uid="{03F6E364-6C7C-4F36-AEC6-82EF15F064B9}"/>
    <cellStyle name="40% - Accent5 4 3 4" xfId="7466" xr:uid="{22C0E019-B081-4E58-A205-D5ED2E706E82}"/>
    <cellStyle name="40% - Accent5 4 3 4 2" xfId="7464" xr:uid="{B8FFA6F2-08C9-46D2-BAC5-9E2019882E89}"/>
    <cellStyle name="40% - Accent5 4 3 4 2 2" xfId="7461" xr:uid="{9B06F07F-ECCF-4203-9274-FE9C8E07D869}"/>
    <cellStyle name="40% - Accent5 4 3 4 2 2 2" xfId="30689" xr:uid="{002070E2-1629-47F1-861E-3165009D19A9}"/>
    <cellStyle name="40% - Accent5 4 3 4 2 3" xfId="7460" xr:uid="{D0652E0C-EDAC-4911-853D-97F822282FAB}"/>
    <cellStyle name="40% - Accent5 4 3 4 3" xfId="9989" xr:uid="{8EA09FDF-D98F-4539-AC96-550FCAC261B9}"/>
    <cellStyle name="40% - Accent5 4 3 4 3 2" xfId="9985" xr:uid="{2537D1AE-B83C-44A9-87EC-A3C2069016A6}"/>
    <cellStyle name="40% - Accent5 4 3 4 4" xfId="9982" xr:uid="{1E5A3C03-EE00-4A87-BF90-D69AA267DCA6}"/>
    <cellStyle name="40% - Accent5 4 3 5" xfId="7459" xr:uid="{35BDA895-648E-4E01-AC34-464B4FDAA7D7}"/>
    <cellStyle name="40% - Accent5 4 3 5 2" xfId="7457" xr:uid="{5E0EADCE-810F-4891-B1DE-6910400CEDB7}"/>
    <cellStyle name="40% - Accent5 4 3 5 2 2" xfId="7455" xr:uid="{020F81B3-B5F6-4F34-B0C5-407480BFBB29}"/>
    <cellStyle name="40% - Accent5 4 3 5 3" xfId="9980" xr:uid="{ED26D39A-004C-4AF8-A8A7-004961F09D26}"/>
    <cellStyle name="40% - Accent5 4 3 6" xfId="7454" xr:uid="{AD1769D3-A252-4786-A851-6E51DA7CC459}"/>
    <cellStyle name="40% - Accent5 4 3 6 2" xfId="7452" xr:uid="{BF7BFF2B-3133-4D70-9A09-365FDB904240}"/>
    <cellStyle name="40% - Accent5 4 3 7" xfId="28840" xr:uid="{F6AB3BED-658F-4A1D-879E-5A988F75355A}"/>
    <cellStyle name="40% - Accent5 4 3 8" xfId="34791" xr:uid="{19E0CF77-78F4-4EBF-B927-971EA6D4C85F}"/>
    <cellStyle name="40% - Accent5 4 4" xfId="7451" xr:uid="{5CCB2D6B-2CA4-41E1-B3E9-D615C2C4015A}"/>
    <cellStyle name="40% - Accent5 4 4 2" xfId="7449" xr:uid="{1480AD93-00C5-4501-B111-CDBE0A0CED1A}"/>
    <cellStyle name="40% - Accent5 4 4 2 2" xfId="7447" xr:uid="{5E96A13D-3676-43C4-934F-4E7949A65957}"/>
    <cellStyle name="40% - Accent5 4 4 2 2 2" xfId="7446" xr:uid="{F7C9A998-49CA-4101-A83B-67DA5DE71791}"/>
    <cellStyle name="40% - Accent5 4 4 2 2 2 2" xfId="23892" xr:uid="{E6A6B942-9F2A-48EA-BB93-6C0E21E71EFA}"/>
    <cellStyle name="40% - Accent5 4 4 2 2 2 2 2" xfId="7444" xr:uid="{5F8C2BB5-8A27-4002-AE26-6D2F1C459C82}"/>
    <cellStyle name="40% - Accent5 4 4 2 2 2 3" xfId="27613" xr:uid="{C3EEDA59-49A1-482E-B70A-FC1850015948}"/>
    <cellStyle name="40% - Accent5 4 4 2 2 3" xfId="7441" xr:uid="{8484A15E-9D71-47BC-866C-60A365EF8F86}"/>
    <cellStyle name="40% - Accent5 4 4 2 2 3 2" xfId="7440" xr:uid="{08BB9021-ED57-4334-92F6-EE8F79AE074A}"/>
    <cellStyle name="40% - Accent5 4 4 2 2 4" xfId="7437" xr:uid="{CC660C30-E7D5-47C6-9475-9E3AF91639EF}"/>
    <cellStyle name="40% - Accent5 4 4 2 3" xfId="9961" xr:uid="{C68056C9-766B-4210-91D9-9C9E719C1534}"/>
    <cellStyle name="40% - Accent5 4 4 2 3 2" xfId="9959" xr:uid="{3F237DD2-8514-40FE-AFE5-4CD455354C23}"/>
    <cellStyle name="40% - Accent5 4 4 2 3 2 2" xfId="7436" xr:uid="{7650DD08-F5F6-44E1-A5F4-6CD49A6B4463}"/>
    <cellStyle name="40% - Accent5 4 4 2 3 3" xfId="9956" xr:uid="{BC857573-2DF3-4A7C-9AFA-9CC673A37A9F}"/>
    <cellStyle name="40% - Accent5 4 4 2 4" xfId="12554" xr:uid="{9F813195-07DC-43CD-981D-9CE92768AFF0}"/>
    <cellStyle name="40% - Accent5 4 4 2 4 2" xfId="9953" xr:uid="{659C3356-DF06-4FCD-BBEA-063B2BD7F3C1}"/>
    <cellStyle name="40% - Accent5 4 4 2 5" xfId="12551" xr:uid="{463E22B9-B8D2-4B34-ADAF-18B7DBB70DA6}"/>
    <cellStyle name="40% - Accent5 4 4 3" xfId="7429" xr:uid="{D2F701F1-3758-440E-B141-84211ADBDBAC}"/>
    <cellStyle name="40% - Accent5 4 4 3 2" xfId="7427" xr:uid="{86F5024E-55BF-4E2D-ACE6-2CD8F68FFE0C}"/>
    <cellStyle name="40% - Accent5 4 4 3 2 2" xfId="7425" xr:uid="{F6CE8F0E-1F96-4ADA-8EC5-542CCA652376}"/>
    <cellStyle name="40% - Accent5 4 4 3 2 2 2" xfId="7424" xr:uid="{3FEB5F30-DB79-4A04-B6FE-CBED91D04A13}"/>
    <cellStyle name="40% - Accent5 4 4 3 2 3" xfId="32935" xr:uid="{2740F715-949C-4729-9E99-A661AFCACAB6}"/>
    <cellStyle name="40% - Accent5 4 4 3 3" xfId="21885" xr:uid="{D3FD9D89-8EB0-4DF3-BB98-BE9C43D80141}"/>
    <cellStyle name="40% - Accent5 4 4 3 3 2" xfId="9949" xr:uid="{98CDD773-21D8-4BFF-8FA3-6228658C2282}"/>
    <cellStyle name="40% - Accent5 4 4 3 4" xfId="12547" xr:uid="{FC23CBC2-8D51-421A-A6C5-5CB6BAD5A1AE}"/>
    <cellStyle name="40% - Accent5 4 4 4" xfId="7422" xr:uid="{37B6F75C-2244-43AA-A8B6-055A27B9AEC7}"/>
    <cellStyle name="40% - Accent5 4 4 4 2" xfId="32198" xr:uid="{C36C8CEB-5360-48EF-B0DA-18B978D6DA75}"/>
    <cellStyle name="40% - Accent5 4 4 4 2 2" xfId="7420" xr:uid="{8CD71FBC-1C37-4A5F-AE62-25BC998D4E25}"/>
    <cellStyle name="40% - Accent5 4 4 4 3" xfId="9947" xr:uid="{74EA8EE0-426A-4898-B15A-4571AC89CB25}"/>
    <cellStyle name="40% - Accent5 4 4 5" xfId="7418" xr:uid="{77D9EB49-EA34-42A6-A1F7-2A35B50370F1}"/>
    <cellStyle name="40% - Accent5 4 4 5 2" xfId="29729" xr:uid="{A5416488-558D-4E3D-A9CF-8016999E298A}"/>
    <cellStyle name="40% - Accent5 4 4 6" xfId="7415" xr:uid="{3C931D02-1844-4235-9A26-00A186840568}"/>
    <cellStyle name="40% - Accent5 4 4 7" xfId="34991" xr:uid="{077D42AB-9A18-4E33-85AC-6A857E09DDEB}"/>
    <cellStyle name="40% - Accent5 4 5" xfId="7414" xr:uid="{17AAC130-919F-4425-8298-15A5C226B127}"/>
    <cellStyle name="40% - Accent5 4 5 2" xfId="7411" xr:uid="{E628EB1C-DE2B-48AE-B73E-CC103D18C700}"/>
    <cellStyle name="40% - Accent5 4 5 2 2" xfId="28799" xr:uid="{AE9D7D0D-D538-440A-9A51-6402FF4BA963}"/>
    <cellStyle name="40% - Accent5 4 5 2 2 2" xfId="7410" xr:uid="{C62D44B3-19B3-45F8-B51C-AFFFB5143DF4}"/>
    <cellStyle name="40% - Accent5 4 5 2 2 2 2" xfId="7409" xr:uid="{EDB48A39-2938-42C0-AAFA-2CAB90E43ED4}"/>
    <cellStyle name="40% - Accent5 4 5 2 2 3" xfId="7406" xr:uid="{5180CE7E-418B-4BD5-A371-84967368DFBC}"/>
    <cellStyle name="40% - Accent5 4 5 2 3" xfId="9934" xr:uid="{0186BDD1-AE14-4FB4-94E4-524D56A6C73D}"/>
    <cellStyle name="40% - Accent5 4 5 2 3 2" xfId="9932" xr:uid="{30467E80-B2CC-42A1-A72B-862B92A44031}"/>
    <cellStyle name="40% - Accent5 4 5 2 4" xfId="12543" xr:uid="{BB26FAEC-60AB-4DDA-A52D-A6D1169EEDDF}"/>
    <cellStyle name="40% - Accent5 4 5 3" xfId="11779" xr:uid="{AA0BA2D8-0D6C-4308-8E08-98FD86A87FB6}"/>
    <cellStyle name="40% - Accent5 4 5 3 2" xfId="7404" xr:uid="{6DD7441D-04A9-4F87-B36B-E75933C8DC4D}"/>
    <cellStyle name="40% - Accent5 4 5 3 2 2" xfId="7401" xr:uid="{585BFAF4-20A3-4075-AA25-7ABA51F7114D}"/>
    <cellStyle name="40% - Accent5 4 5 3 3" xfId="9929" xr:uid="{43ADC496-3E9E-470F-8CF3-699574887FDB}"/>
    <cellStyle name="40% - Accent5 4 5 4" xfId="7399" xr:uid="{149A71DA-A3E2-4CE2-8051-BE66B473CA7D}"/>
    <cellStyle name="40% - Accent5 4 5 4 2" xfId="7397" xr:uid="{989FB0A5-7342-4D69-AA32-C9D552D4A822}"/>
    <cellStyle name="40% - Accent5 4 5 5" xfId="7395" xr:uid="{5D39C027-653E-4A17-A1D9-A7D926F03EAD}"/>
    <cellStyle name="40% - Accent5 4 5 6" xfId="35196" xr:uid="{B6B838EB-B6D6-41B7-83B4-2A4D674D3D7E}"/>
    <cellStyle name="40% - Accent5 4 6" xfId="7394" xr:uid="{6C9013B5-69BB-4A8C-AC2A-78E8B5A21C8C}"/>
    <cellStyle name="40% - Accent5 4 6 2" xfId="7392" xr:uid="{66B62BD9-2D50-4A89-9BEE-FBAB309AAFB2}"/>
    <cellStyle name="40% - Accent5 4 6 2 2" xfId="7390" xr:uid="{099B6C68-CD99-4794-A111-A7D3966B0469}"/>
    <cellStyle name="40% - Accent5 4 6 2 2 2" xfId="28254" xr:uid="{BEDA0D3D-D08F-4AEA-8B5C-9080AB027494}"/>
    <cellStyle name="40% - Accent5 4 6 2 3" xfId="9920" xr:uid="{35D53CAD-69CB-4D2D-B49E-DA9EDE339410}"/>
    <cellStyle name="40% - Accent5 4 6 3" xfId="7389" xr:uid="{4388872D-2C24-4EA2-BC41-0E2F24A44314}"/>
    <cellStyle name="40% - Accent5 4 6 3 2" xfId="7387" xr:uid="{9B625649-E3E3-4717-8322-C8963353ADB2}"/>
    <cellStyle name="40% - Accent5 4 6 4" xfId="7385" xr:uid="{098FD3AC-F2CA-4AC4-9FFE-601F727C04AD}"/>
    <cellStyle name="40% - Accent5 4 6 5" xfId="35425" xr:uid="{65D30267-F25F-4811-ADEF-F70846220341}"/>
    <cellStyle name="40% - Accent5 4 7" xfId="7384" xr:uid="{6061B26F-DF9F-4862-9B3F-F9AD2684CBF1}"/>
    <cellStyle name="40% - Accent5 4 7 2" xfId="17436" xr:uid="{AB6E9743-ACE2-427A-A3F7-D5D109379747}"/>
    <cellStyle name="40% - Accent5 4 7 2 2" xfId="7383" xr:uid="{7FFDE03B-C5B2-48FF-A475-ED69F89D29FA}"/>
    <cellStyle name="40% - Accent5 4 7 3" xfId="7382" xr:uid="{1577971B-72AE-460A-9E54-8AC48B3F3A41}"/>
    <cellStyle name="40% - Accent5 4 7 4" xfId="36297" xr:uid="{05C7713A-14FF-4229-927E-520619ECB036}"/>
    <cellStyle name="40% - Accent5 4 8" xfId="7381" xr:uid="{08AF6955-78E7-46BB-96DB-51C6B961519C}"/>
    <cellStyle name="40% - Accent5 4 8 2" xfId="7380" xr:uid="{558B83F9-B8DC-4A93-9926-BE34047047AC}"/>
    <cellStyle name="40% - Accent5 4 8 3" xfId="36583" xr:uid="{C3009E81-66DC-4B12-A621-E651C6463F24}"/>
    <cellStyle name="40% - Accent5 4 9" xfId="26981" xr:uid="{69F22030-BAB4-4309-828B-75411703853D}"/>
    <cellStyle name="40% - Accent5 4 9 2" xfId="37468" xr:uid="{04C98D53-28A0-48D2-84FF-E5C5AE73D46A}"/>
    <cellStyle name="40% - Accent5 40" xfId="36103" xr:uid="{721549C4-12D3-4C59-A321-35DD7BC6E228}"/>
    <cellStyle name="40% - Accent5 40 2" xfId="37272" xr:uid="{F1681614-CDB3-42F3-BDCF-90495D6552A7}"/>
    <cellStyle name="40% - Accent5 40 3" xfId="38170" xr:uid="{9DB8C31E-53FD-434A-A9F1-9FF4F667CDB2}"/>
    <cellStyle name="40% - Accent5 41" xfId="36123" xr:uid="{C06D489F-5C36-4607-BF62-FC2EF174F2D8}"/>
    <cellStyle name="40% - Accent5 41 2" xfId="37292" xr:uid="{E710AEF6-2223-4AD0-B800-BA930455040C}"/>
    <cellStyle name="40% - Accent5 41 3" xfId="38190" xr:uid="{C302F756-2524-4626-AC5A-ED949466203C}"/>
    <cellStyle name="40% - Accent5 42" xfId="36143" xr:uid="{3C9EED7E-54A5-4664-A02E-4C0136699B70}"/>
    <cellStyle name="40% - Accent5 42 2" xfId="37312" xr:uid="{1C56A0A9-FA86-475B-86BC-9B906C3B992F}"/>
    <cellStyle name="40% - Accent5 42 3" xfId="38210" xr:uid="{21E522D4-05FA-4988-B11B-6C6323967A6D}"/>
    <cellStyle name="40% - Accent5 43" xfId="36163" xr:uid="{E91F65DE-54BC-4EF2-BA64-41D41167F0E4}"/>
    <cellStyle name="40% - Accent5 43 2" xfId="37332" xr:uid="{C340D381-F254-4A78-825C-4644D5FE96C9}"/>
    <cellStyle name="40% - Accent5 43 3" xfId="38230" xr:uid="{B2C021AB-6950-42E0-98AA-1068190A700F}"/>
    <cellStyle name="40% - Accent5 44" xfId="36183" xr:uid="{5F2FA6AD-B9A2-476C-9729-02D700663D34}"/>
    <cellStyle name="40% - Accent5 44 2" xfId="37352" xr:uid="{18694994-6819-4FD5-AC78-84FC2A0621CF}"/>
    <cellStyle name="40% - Accent5 44 3" xfId="38250" xr:uid="{4F3DA2B8-2CE3-435B-8B05-283F70B5FAD6}"/>
    <cellStyle name="40% - Accent5 45" xfId="36203" xr:uid="{8CF55119-9C57-462E-9577-38BCD68839BA}"/>
    <cellStyle name="40% - Accent5 45 2" xfId="37372" xr:uid="{86C14116-32F8-41AD-BAA2-BB73FC3B3F8F}"/>
    <cellStyle name="40% - Accent5 45 3" xfId="38270" xr:uid="{CBEF2001-D883-4B99-9C1A-42D00BB459C1}"/>
    <cellStyle name="40% - Accent5 46" xfId="36223" xr:uid="{0D1D7D9B-D7D5-44DA-9A85-E5A5EFFC4D47}"/>
    <cellStyle name="40% - Accent5 46 2" xfId="37390" xr:uid="{D9B01379-0424-46CD-AEAE-65018B21767F}"/>
    <cellStyle name="40% - Accent5 46 3" xfId="38290" xr:uid="{3DA25DE0-F6FB-45D0-B813-D5B9B192DD38}"/>
    <cellStyle name="40% - Accent5 47" xfId="36524" xr:uid="{1DAB7B5F-7580-4C24-AFC0-7EA28A1CC4E3}"/>
    <cellStyle name="40% - Accent5 48" xfId="37409" xr:uid="{DEFA4CD4-8F8E-4080-8D8C-8672BB7D5382}"/>
    <cellStyle name="40% - Accent5 5" xfId="272" xr:uid="{2397BBD0-8FB9-4FAC-B3E7-0F08CC2D5FA9}"/>
    <cellStyle name="40% - Accent5 5 10" xfId="15176" xr:uid="{580F80D2-2C1E-4BF6-88A6-8B98D29CA70B}"/>
    <cellStyle name="40% - Accent5 5 2" xfId="7379" xr:uid="{BB68DDB3-AA8D-467D-A8C9-475A46109491}"/>
    <cellStyle name="40% - Accent5 5 2 2" xfId="7377" xr:uid="{F4954CA4-83BF-4B56-B59A-A750464ACDCA}"/>
    <cellStyle name="40% - Accent5 5 2 2 2" xfId="28388" xr:uid="{F311130B-B6C5-48D0-9981-ECF8556A0418}"/>
    <cellStyle name="40% - Accent5 5 2 2 2 2" xfId="21728" xr:uid="{86ADF0E8-C7F1-49E7-B48D-699C3154B827}"/>
    <cellStyle name="40% - Accent5 5 2 2 2 2 2" xfId="7374" xr:uid="{6B8A4DD0-798D-4E20-9273-9BB9D5DF0E90}"/>
    <cellStyle name="40% - Accent5 5 2 2 2 2 2 2" xfId="15048" xr:uid="{628BCD23-8350-4FA2-B1DB-078344D08A77}"/>
    <cellStyle name="40% - Accent5 5 2 2 2 2 2 2 2" xfId="33745" xr:uid="{67EF9CC9-C3DC-4B62-959E-85D9D3E62596}"/>
    <cellStyle name="40% - Accent5 5 2 2 2 2 2 3" xfId="7371" xr:uid="{CA34E8BF-C921-40F7-A03A-B5E6732D3B6B}"/>
    <cellStyle name="40% - Accent5 5 2 2 2 2 3" xfId="7369" xr:uid="{1FA95997-FFE7-44DE-A848-4409EDACEFC5}"/>
    <cellStyle name="40% - Accent5 5 2 2 2 2 3 2" xfId="27098" xr:uid="{DD7984A5-A910-45FD-AADC-410825BAA288}"/>
    <cellStyle name="40% - Accent5 5 2 2 2 2 4" xfId="7366" xr:uid="{841E5812-8E31-4E41-86B8-3AAEC18F5D89}"/>
    <cellStyle name="40% - Accent5 5 2 2 2 3" xfId="7360" xr:uid="{A26A9609-D6D9-4C4C-9407-678B0C15162D}"/>
    <cellStyle name="40% - Accent5 5 2 2 2 3 2" xfId="7358" xr:uid="{35936394-F85F-41EB-A9E2-FFAE573BEAF7}"/>
    <cellStyle name="40% - Accent5 5 2 2 2 3 2 2" xfId="34245" xr:uid="{35CDE008-CB93-4FFF-9386-6C1466A02ADB}"/>
    <cellStyle name="40% - Accent5 5 2 2 2 3 3" xfId="7354" xr:uid="{1C4DA7A7-655B-4C91-A247-0D5D684AA4AC}"/>
    <cellStyle name="40% - Accent5 5 2 2 2 4" xfId="15331" xr:uid="{F6DB8847-B525-4520-ABFB-37C591651272}"/>
    <cellStyle name="40% - Accent5 5 2 2 2 4 2" xfId="7350" xr:uid="{20471076-DDA6-43C7-934C-C8216D331FBD}"/>
    <cellStyle name="40% - Accent5 5 2 2 2 5" xfId="22604" xr:uid="{754E576A-3634-46D2-AC77-CE0D1FBFC37A}"/>
    <cellStyle name="40% - Accent5 5 2 2 3" xfId="33385" xr:uid="{7F516C27-AFED-44FD-B95F-6EE7C2E085FB}"/>
    <cellStyle name="40% - Accent5 5 2 2 3 2" xfId="9868" xr:uid="{C49C646F-0BEF-45D6-8361-9BD4BD4F7E77}"/>
    <cellStyle name="40% - Accent5 5 2 2 3 2 2" xfId="7346" xr:uid="{CB9CE009-C044-4436-BDE4-DD07DF673D79}"/>
    <cellStyle name="40% - Accent5 5 2 2 3 2 2 2" xfId="7342" xr:uid="{E75AD84F-6FA4-453A-A7C0-F2B7F7415DF5}"/>
    <cellStyle name="40% - Accent5 5 2 2 3 2 3" xfId="29862" xr:uid="{4C095EE9-0B76-4A46-8C1D-8392A95123B5}"/>
    <cellStyle name="40% - Accent5 5 2 2 3 3" xfId="9858" xr:uid="{6674AF81-9FB7-4882-9AEB-4806A190AA25}"/>
    <cellStyle name="40% - Accent5 5 2 2 3 3 2" xfId="7341" xr:uid="{9A1F0FFE-79FA-4721-ABED-E3BEF40129EA}"/>
    <cellStyle name="40% - Accent5 5 2 2 3 4" xfId="17684" xr:uid="{5A4CABC2-DC2E-4416-B7B7-663FFE4A90A1}"/>
    <cellStyle name="40% - Accent5 5 2 2 4" xfId="9849" xr:uid="{167BACCF-46BE-46CF-B23E-87430D5BD1C3}"/>
    <cellStyle name="40% - Accent5 5 2 2 4 2" xfId="9843" xr:uid="{734D4B19-C7B5-40D2-98F9-1A28FF3BA75B}"/>
    <cellStyle name="40% - Accent5 5 2 2 4 2 2" xfId="30370" xr:uid="{91FBD146-1886-4911-B97A-6A0FF4B73325}"/>
    <cellStyle name="40% - Accent5 5 2 2 4 3" xfId="9835" xr:uid="{68803C52-96F8-4B21-8695-8B3C8CC9F5F9}"/>
    <cellStyle name="40% - Accent5 5 2 2 5" xfId="9830" xr:uid="{C1F88F96-45B0-4E25-8A80-0054046955DF}"/>
    <cellStyle name="40% - Accent5 5 2 2 5 2" xfId="34041" xr:uid="{B1B2E4A8-D3FE-49FA-B0DB-09F4FD4CA976}"/>
    <cellStyle name="40% - Accent5 5 2 2 6" xfId="9826" xr:uid="{0B57F464-F68D-4185-A823-8DF0790F67A9}"/>
    <cellStyle name="40% - Accent5 5 2 3" xfId="22619" xr:uid="{DF5D6461-C156-4CF0-A904-503B72F733D4}"/>
    <cellStyle name="40% - Accent5 5 2 3 2" xfId="21627" xr:uid="{0BF7DB8E-462A-4A74-A5BF-F882CF059FDE}"/>
    <cellStyle name="40% - Accent5 5 2 3 2 2" xfId="7337" xr:uid="{7A6C3763-BA16-453C-8098-7FCE975C33EB}"/>
    <cellStyle name="40% - Accent5 5 2 3 2 2 2" xfId="7334" xr:uid="{8C1E60B9-9C04-4213-99C3-AD71C27CC1AA}"/>
    <cellStyle name="40% - Accent5 5 2 3 2 2 2 2" xfId="15233" xr:uid="{FB5DD15C-FA45-4ADE-B87D-21620416CCBE}"/>
    <cellStyle name="40% - Accent5 5 2 3 2 2 3" xfId="7332" xr:uid="{E1234D3D-1C2E-4505-9413-A70BD203C601}"/>
    <cellStyle name="40% - Accent5 5 2 3 2 3" xfId="7330" xr:uid="{5DD9EEBF-B51C-4FC1-A2B2-3A6214784E37}"/>
    <cellStyle name="40% - Accent5 5 2 3 2 3 2" xfId="25809" xr:uid="{8CAFF0E8-3742-4B7C-86CD-F38469F5A382}"/>
    <cellStyle name="40% - Accent5 5 2 3 2 4" xfId="7327" xr:uid="{D5A89807-F923-49FC-9D12-3FEF2956052E}"/>
    <cellStyle name="40% - Accent5 5 2 3 3" xfId="9821" xr:uid="{0787CC12-3116-4B10-90DA-CCCF9BC5F6F3}"/>
    <cellStyle name="40% - Accent5 5 2 3 3 2" xfId="9816" xr:uid="{880FD46B-15A5-47D1-8C49-388A281B3567}"/>
    <cellStyle name="40% - Accent5 5 2 3 3 2 2" xfId="7324" xr:uid="{F2E5331F-E2F2-4E6B-A2EC-D3891521C2E0}"/>
    <cellStyle name="40% - Accent5 5 2 3 3 3" xfId="9809" xr:uid="{9B062284-2CD8-4636-BA55-5989AB86A47E}"/>
    <cellStyle name="40% - Accent5 5 2 3 4" xfId="9805" xr:uid="{1321F1E2-2CD1-4954-B40A-92F6C8E9808B}"/>
    <cellStyle name="40% - Accent5 5 2 3 4 2" xfId="14526" xr:uid="{0C6D199F-5738-43AF-B67F-1B2BC7AA42A4}"/>
    <cellStyle name="40% - Accent5 5 2 3 5" xfId="9801" xr:uid="{830AAA4D-8F6B-4CCA-AADB-31B806B549F0}"/>
    <cellStyle name="40% - Accent5 5 2 4" xfId="22613" xr:uid="{F8E3275E-2CA7-48F6-9D6D-7C4CB8F00347}"/>
    <cellStyle name="40% - Accent5 5 2 4 2" xfId="7322" xr:uid="{2ABFDA6A-CD8E-4583-B2B1-9A6745C1E636}"/>
    <cellStyle name="40% - Accent5 5 2 4 2 2" xfId="13353" xr:uid="{D93872AF-0032-40B6-8B16-E429F02A0063}"/>
    <cellStyle name="40% - Accent5 5 2 4 2 2 2" xfId="7319" xr:uid="{F27C1751-1872-4EFC-BF00-61A291BEE260}"/>
    <cellStyle name="40% - Accent5 5 2 4 2 3" xfId="7317" xr:uid="{4F02FF64-65D8-4681-BA3C-1B6FE6139E54}"/>
    <cellStyle name="40% - Accent5 5 2 4 3" xfId="9798" xr:uid="{FA3EBF6F-1425-4214-B532-ADC430AB8146}"/>
    <cellStyle name="40% - Accent5 5 2 4 3 2" xfId="9793" xr:uid="{F2D34415-F797-4EB2-A8C0-95EBA18B3B2F}"/>
    <cellStyle name="40% - Accent5 5 2 4 4" xfId="9789" xr:uid="{C6103305-F9D8-4797-BF65-317CFE4282EB}"/>
    <cellStyle name="40% - Accent5 5 2 5" xfId="7315" xr:uid="{F9E67E0A-60C2-4ADB-AF60-8E4E41C797B8}"/>
    <cellStyle name="40% - Accent5 5 2 5 2" xfId="6319" xr:uid="{4A849E75-856B-4053-B58E-6A6FA28EF201}"/>
    <cellStyle name="40% - Accent5 5 2 5 2 2" xfId="7311" xr:uid="{BA11C69D-430D-4767-A6F8-8F89175781A0}"/>
    <cellStyle name="40% - Accent5 5 2 5 3" xfId="33560" xr:uid="{C406F019-9A15-4886-8ED0-FD9CEFF5B042}"/>
    <cellStyle name="40% - Accent5 5 2 6" xfId="7310" xr:uid="{225AE610-8D53-4B15-B1C9-953088EBBDE7}"/>
    <cellStyle name="40% - Accent5 5 2 6 2" xfId="7307" xr:uid="{0D21CDF9-7D16-45DD-B2C1-2B3BB520E6A7}"/>
    <cellStyle name="40% - Accent5 5 2 7" xfId="28653" xr:uid="{7FD05DB9-3DE9-4E73-A483-A5A8A5E7819E}"/>
    <cellStyle name="40% - Accent5 5 2 8" xfId="34808" xr:uid="{9629C336-8743-454E-B45C-5714A0FD8EBA}"/>
    <cellStyle name="40% - Accent5 5 3" xfId="23643" xr:uid="{C4CC23F1-5B6F-4EF3-8A1C-1059F6C4F88E}"/>
    <cellStyle name="40% - Accent5 5 3 2" xfId="7304" xr:uid="{9274D7B2-D4DD-4D8F-8694-E171166CFB6B}"/>
    <cellStyle name="40% - Accent5 5 3 2 2" xfId="21369" xr:uid="{8CD9D08B-3F4A-41DF-B05A-3B3E2642D9BB}"/>
    <cellStyle name="40% - Accent5 5 3 2 2 2" xfId="7301" xr:uid="{C7C3A624-1AFB-4DA2-B090-1EE598DCF609}"/>
    <cellStyle name="40% - Accent5 5 3 2 2 2 2" xfId="10588" xr:uid="{A7D55F57-EB0B-4018-865A-89FCE5B27445}"/>
    <cellStyle name="40% - Accent5 5 3 2 2 2 2 2" xfId="12791" xr:uid="{499EE868-192C-4B52-B403-1C4A85C7AC18}"/>
    <cellStyle name="40% - Accent5 5 3 2 2 2 3" xfId="7298" xr:uid="{4A5C2F47-B2DF-4A89-BAE8-62BF68F98678}"/>
    <cellStyle name="40% - Accent5 5 3 2 2 3" xfId="7297" xr:uid="{C50ACBEB-F965-4055-87FE-0D3F88B3915C}"/>
    <cellStyle name="40% - Accent5 5 3 2 2 3 2" xfId="7294" xr:uid="{9967621A-7DCB-48A9-AEAF-FE369882ED63}"/>
    <cellStyle name="40% - Accent5 5 3 2 2 4" xfId="7293" xr:uid="{41A49ECF-663B-4BBA-B954-06DF5F4CC806}"/>
    <cellStyle name="40% - Accent5 5 3 2 3" xfId="9763" xr:uid="{4982CAD0-6A31-4D65-9027-232B32E68816}"/>
    <cellStyle name="40% - Accent5 5 3 2 3 2" xfId="9758" xr:uid="{BC4A961F-B208-4251-B2CE-FF32E4433B11}"/>
    <cellStyle name="40% - Accent5 5 3 2 3 2 2" xfId="7291" xr:uid="{D5411433-DE2F-4675-AD8F-09ECDCB7ACFB}"/>
    <cellStyle name="40% - Accent5 5 3 2 3 3" xfId="9752" xr:uid="{3B660FBC-0A06-409C-B00F-2EA6A556F049}"/>
    <cellStyle name="40% - Accent5 5 3 2 4" xfId="9748" xr:uid="{92E5AB42-C4E0-4206-9D77-7DBA9D429D43}"/>
    <cellStyle name="40% - Accent5 5 3 2 4 2" xfId="9743" xr:uid="{077513C0-F3AD-4FE0-8D12-A461B6EC26BF}"/>
    <cellStyle name="40% - Accent5 5 3 2 5" xfId="17908" xr:uid="{6543CAF5-F910-41CD-BB54-5AE64009F611}"/>
    <cellStyle name="40% - Accent5 5 3 3" xfId="23361" xr:uid="{21467ECD-03FB-4EFA-9EF7-A54C6B94132C}"/>
    <cellStyle name="40% - Accent5 5 3 3 2" xfId="14510" xr:uid="{E1B52FF7-4BF1-4788-9B9A-D80968D9DFA1}"/>
    <cellStyle name="40% - Accent5 5 3 3 2 2" xfId="7290" xr:uid="{B3EF856D-041E-4B00-8F3A-4D6F3EEBA724}"/>
    <cellStyle name="40% - Accent5 5 3 3 2 2 2" xfId="7287" xr:uid="{DE20DFBD-C642-4A6F-B134-5B9A6F3C50A9}"/>
    <cellStyle name="40% - Accent5 5 3 3 2 3" xfId="7286" xr:uid="{5B7EE66A-B4BD-4D56-8702-B6D191464F83}"/>
    <cellStyle name="40% - Accent5 5 3 3 3" xfId="9738" xr:uid="{4E5225E8-73E4-4363-B3C1-870C9CA684D4}"/>
    <cellStyle name="40% - Accent5 5 3 3 3 2" xfId="9732" xr:uid="{FCCF280A-0789-45BE-A3E5-2EA20E40CDE3}"/>
    <cellStyle name="40% - Accent5 5 3 3 4" xfId="9730" xr:uid="{A5DBCC27-FC65-4390-9344-2B16D18EEFC9}"/>
    <cellStyle name="40% - Accent5 5 3 4" xfId="7285" xr:uid="{5996A45B-41E7-4835-9001-D7647B6FFB08}"/>
    <cellStyle name="40% - Accent5 5 3 4 2" xfId="7282" xr:uid="{42B3958B-3C29-434C-B147-78F1EC70C9D2}"/>
    <cellStyle name="40% - Accent5 5 3 4 2 2" xfId="7279" xr:uid="{D4BF1962-4C60-4991-86A8-135C8C74E842}"/>
    <cellStyle name="40% - Accent5 5 3 4 3" xfId="9727" xr:uid="{D24D0BA7-970C-4DD2-95AC-1C03CB5B4A76}"/>
    <cellStyle name="40% - Accent5 5 3 5" xfId="7278" xr:uid="{00359659-5C8B-4E66-B8A8-DBFF69E8DA88}"/>
    <cellStyle name="40% - Accent5 5 3 5 2" xfId="7276" xr:uid="{48D195A9-B0CA-4080-B3CA-4E6065E672D7}"/>
    <cellStyle name="40% - Accent5 5 3 6" xfId="7272" xr:uid="{BF1D4D50-DACE-4A32-AC3D-17B9AA024224}"/>
    <cellStyle name="40% - Accent5 5 3 7" xfId="35010" xr:uid="{5CB1772F-912F-4663-A7A3-E9704E0942BB}"/>
    <cellStyle name="40% - Accent5 5 4" xfId="7271" xr:uid="{71B89994-A7BB-4C65-858A-A9F954D39841}"/>
    <cellStyle name="40% - Accent5 5 4 2" xfId="7269" xr:uid="{DBF7FDE7-DC66-455C-827B-E4BCF1E98762}"/>
    <cellStyle name="40% - Accent5 5 4 2 2" xfId="7268" xr:uid="{FB4C49C0-7B57-4967-9841-0E1536F53748}"/>
    <cellStyle name="40% - Accent5 5 4 2 2 2" xfId="7267" xr:uid="{AC0CD470-9A7B-430A-A82B-E2BC621B41E0}"/>
    <cellStyle name="40% - Accent5 5 4 2 2 2 2" xfId="7265" xr:uid="{69CB3889-9051-485A-AF7C-B3F0406FF015}"/>
    <cellStyle name="40% - Accent5 5 4 2 2 3" xfId="7262" xr:uid="{DD457460-5470-44F6-A61E-4B5B3D207CA1}"/>
    <cellStyle name="40% - Accent5 5 4 2 3" xfId="9699" xr:uid="{5F2E4511-5CCD-482E-A130-E9E7CA0C5591}"/>
    <cellStyle name="40% - Accent5 5 4 2 3 2" xfId="9696" xr:uid="{CE1F9A6E-B05F-47C3-B313-74F5FC33DCC2}"/>
    <cellStyle name="40% - Accent5 5 4 2 4" xfId="12532" xr:uid="{A6079FBE-5D4E-46A4-B1F6-740800E6391B}"/>
    <cellStyle name="40% - Accent5 5 4 3" xfId="7261" xr:uid="{9D374031-6406-480A-A04D-B1479E0C1820}"/>
    <cellStyle name="40% - Accent5 5 4 3 2" xfId="7259" xr:uid="{1D97C979-1191-4299-9541-7B338F8843EB}"/>
    <cellStyle name="40% - Accent5 5 4 3 2 2" xfId="7257" xr:uid="{F3B66A26-2491-459F-A9A6-F9F6CA093CBC}"/>
    <cellStyle name="40% - Accent5 5 4 3 3" xfId="9692" xr:uid="{8C8B3738-7FFD-4A1F-B5E0-32004BEBD30B}"/>
    <cellStyle name="40% - Accent5 5 4 4" xfId="28737" xr:uid="{0A4D2166-C5BC-4F68-AE8E-88A164BBCD35}"/>
    <cellStyle name="40% - Accent5 5 4 4 2" xfId="7256" xr:uid="{70197F69-52D7-4FAE-82AB-1620FF2BA329}"/>
    <cellStyle name="40% - Accent5 5 4 5" xfId="7255" xr:uid="{314AA710-CB5D-4B16-846E-8E07F297B707}"/>
    <cellStyle name="40% - Accent5 5 4 6" xfId="35216" xr:uid="{626BD6FB-34B3-44E3-9868-35A1733C6A60}"/>
    <cellStyle name="40% - Accent5 5 5" xfId="7254" xr:uid="{8321CA02-33A1-41F5-9287-89F21F3F765C}"/>
    <cellStyle name="40% - Accent5 5 5 2" xfId="7252" xr:uid="{CDC1D721-B86A-42EC-BC59-CC06E4FDD7DC}"/>
    <cellStyle name="40% - Accent5 5 5 2 2" xfId="7250" xr:uid="{A0F8540C-EB76-43B3-972C-90B9F45C676D}"/>
    <cellStyle name="40% - Accent5 5 5 2 2 2" xfId="7248" xr:uid="{7093ED61-B017-49D1-9361-804D15DD9239}"/>
    <cellStyle name="40% - Accent5 5 5 2 3" xfId="9681" xr:uid="{FD87A3AA-C672-4296-A5BD-ADC566A3D2E9}"/>
    <cellStyle name="40% - Accent5 5 5 3" xfId="7246" xr:uid="{558CCFC8-64BE-4C1C-AC48-A1DB4C601A33}"/>
    <cellStyle name="40% - Accent5 5 5 3 2" xfId="7243" xr:uid="{AB789841-0929-4418-97C8-E2C8268879B3}"/>
    <cellStyle name="40% - Accent5 5 5 4" xfId="7240" xr:uid="{35BF2F90-7CE6-4290-9AF0-E5B5CC85D3D9}"/>
    <cellStyle name="40% - Accent5 5 5 5" xfId="35445" xr:uid="{E0D10696-FC8A-4A8F-9788-F5C964901A9A}"/>
    <cellStyle name="40% - Accent5 5 6" xfId="7238" xr:uid="{7E070DC5-948C-4EBC-A7CD-8A52AA829528}"/>
    <cellStyle name="40% - Accent5 5 6 2" xfId="7237" xr:uid="{22CF3B42-0ABA-4229-84C2-F201F840CB92}"/>
    <cellStyle name="40% - Accent5 5 6 2 2" xfId="33162" xr:uid="{15C2B522-9FD6-4A40-9A44-FBCB16117143}"/>
    <cellStyle name="40% - Accent5 5 6 3" xfId="7236" xr:uid="{FA518CFC-8736-400B-89E3-EEB59D25794C}"/>
    <cellStyle name="40% - Accent5 5 6 4" xfId="36317" xr:uid="{FACDF5E4-CE7B-4A38-B801-EF060B8B6D75}"/>
    <cellStyle name="40% - Accent5 5 7" xfId="7235" xr:uid="{BDD32C21-038D-41D7-85F5-1D3A02633282}"/>
    <cellStyle name="40% - Accent5 5 7 2" xfId="7234" xr:uid="{DF9CD5FA-93E6-46C5-9D4A-C4CCA9945E59}"/>
    <cellStyle name="40% - Accent5 5 7 3" xfId="36603" xr:uid="{15EB275C-07EF-4F6F-8E5C-2AA1D7F175A2}"/>
    <cellStyle name="40% - Accent5 5 8" xfId="8770" xr:uid="{0F772376-DF70-4181-A145-59F8AF1C448B}"/>
    <cellStyle name="40% - Accent5 5 8 2" xfId="37488" xr:uid="{1A632D2D-DBC1-4EC8-8018-AEB48FB1C110}"/>
    <cellStyle name="40% - Accent5 5 9" xfId="34585" xr:uid="{918AD0B7-20B6-4899-BE1D-AF4FDF1728C0}"/>
    <cellStyle name="40% - Accent5 6" xfId="292" xr:uid="{C58358AD-6498-417A-BFE6-28A31037CF51}"/>
    <cellStyle name="40% - Accent5 6 2" xfId="12706" xr:uid="{DC746A15-F23C-4015-AC1F-B02BA71A29FB}"/>
    <cellStyle name="40% - Accent5 6 2 2" xfId="7233" xr:uid="{E7ED0D06-1FF7-471E-BA94-4B59F2A72A97}"/>
    <cellStyle name="40% - Accent5 6 2 2 2" xfId="12703" xr:uid="{225AB3F5-DF4C-4C1B-82F7-FF144F4D17AE}"/>
    <cellStyle name="40% - Accent5 6 2 2 2 2" xfId="7231" xr:uid="{7986BA29-404A-4D00-B575-C3124B2D3F8C}"/>
    <cellStyle name="40% - Accent5 6 2 2 2 2 2" xfId="7636" xr:uid="{86A491E9-9425-41C8-BC1B-B92640E95C65}"/>
    <cellStyle name="40% - Accent5 6 2 2 2 2 2 2" xfId="32656" xr:uid="{ABB996AC-1C73-428F-9EC6-3E8099314945}"/>
    <cellStyle name="40% - Accent5 6 2 2 2 2 3" xfId="7634" xr:uid="{1A2565A5-92F8-49EB-9BEB-B7F76CB6F393}"/>
    <cellStyle name="40% - Accent5 6 2 2 2 3" xfId="7228" xr:uid="{6E3B9ABC-695E-4CC6-B11B-E9F7163A5A46}"/>
    <cellStyle name="40% - Accent5 6 2 2 2 3 2" xfId="7620" xr:uid="{2DD173F0-7FDA-4B74-8C7D-3C0DBEF44C02}"/>
    <cellStyle name="40% - Accent5 6 2 2 2 4" xfId="7226" xr:uid="{490EB60B-3EA3-4615-83B2-D4ACA1BCCC1D}"/>
    <cellStyle name="40% - Accent5 6 2 2 3" xfId="9663" xr:uid="{C10A1D09-7640-4F5E-A193-E29574BC8A91}"/>
    <cellStyle name="40% - Accent5 6 2 2 3 2" xfId="12668" xr:uid="{536C64DC-B43A-4667-A77F-B573C615E9D9}"/>
    <cellStyle name="40% - Accent5 6 2 2 3 2 2" xfId="7417" xr:uid="{2762C5AA-710D-42E9-B528-162EC9D98749}"/>
    <cellStyle name="40% - Accent5 6 2 2 3 3" xfId="9657" xr:uid="{0CF47B7B-894A-4D27-9563-BF1FF184AD44}"/>
    <cellStyle name="40% - Accent5 6 2 2 4" xfId="9653" xr:uid="{078075B9-B262-403C-AE60-213DBEA4FA5C}"/>
    <cellStyle name="40% - Accent5 6 2 2 4 2" xfId="9650" xr:uid="{9D73D825-9714-428A-9C1A-C37095090898}"/>
    <cellStyle name="40% - Accent5 6 2 2 5" xfId="9647" xr:uid="{609C5022-15BD-4CC2-A047-AC66A1C7BDE9}"/>
    <cellStyle name="40% - Accent5 6 2 3" xfId="12633" xr:uid="{D3344EE0-ECCD-49DA-81DC-4E984C677A9E}"/>
    <cellStyle name="40% - Accent5 6 2 3 2" xfId="7223" xr:uid="{4EF99CEF-19B0-4070-847C-D80DADF338B9}"/>
    <cellStyle name="40% - Accent5 6 2 3 2 2" xfId="7220" xr:uid="{294C1B97-7312-411B-8CDC-6123255AC5FB}"/>
    <cellStyle name="40% - Accent5 6 2 3 2 2 2" xfId="25307" xr:uid="{6B239100-F52D-4F26-B4DA-804154649341}"/>
    <cellStyle name="40% - Accent5 6 2 3 2 3" xfId="7218" xr:uid="{612D351F-D4DE-4294-9E5E-E655415C1EAB}"/>
    <cellStyle name="40% - Accent5 6 2 3 3" xfId="9642" xr:uid="{5D61590D-D749-47D2-BF16-A6C66496410F}"/>
    <cellStyle name="40% - Accent5 6 2 3 3 2" xfId="12600" xr:uid="{10D6390D-F328-472F-8B01-83F8EDBBDB98}"/>
    <cellStyle name="40% - Accent5 6 2 3 4" xfId="6670" xr:uid="{0583485C-3C0B-43C6-8371-AA6A65DAF75C}"/>
    <cellStyle name="40% - Accent5 6 2 4" xfId="25445" xr:uid="{3808F91B-79C8-420C-B6C7-DD142040708F}"/>
    <cellStyle name="40% - Accent5 6 2 4 2" xfId="7215" xr:uid="{D53BA74F-AA0C-493E-A23D-E1A783B02F05}"/>
    <cellStyle name="40% - Accent5 6 2 4 2 2" xfId="12576" xr:uid="{D0EB48E0-6BF0-49F3-85B2-6C2AAD1B48A5}"/>
    <cellStyle name="40% - Accent5 6 2 4 3" xfId="9637" xr:uid="{9F5F73E6-A273-4CAA-9A47-C0CB6FC6EAF4}"/>
    <cellStyle name="40% - Accent5 6 2 5" xfId="21809" xr:uid="{26E22DED-0808-4E32-A838-786D51FE7D89}"/>
    <cellStyle name="40% - Accent5 6 2 5 2" xfId="7212" xr:uid="{580E6AD7-F7C5-44B2-88F3-ED93D7A71E45}"/>
    <cellStyle name="40% - Accent5 6 2 6" xfId="30515" xr:uid="{B4A9EE78-5F8A-44D1-BE51-711CD68699C4}"/>
    <cellStyle name="40% - Accent5 6 2 7" xfId="34827" xr:uid="{231969C4-661B-478E-8343-DEB685973962}"/>
    <cellStyle name="40% - Accent5 6 3" xfId="12558" xr:uid="{AA721D2C-67FB-4488-87D1-67E31B9B9F6B}"/>
    <cellStyle name="40% - Accent5 6 3 2" xfId="7209" xr:uid="{7E679506-2037-43EF-B59A-D815C585B4A0}"/>
    <cellStyle name="40% - Accent5 6 3 2 2" xfId="7205" xr:uid="{9B35375C-CF58-4595-B508-69404C81DEE0}"/>
    <cellStyle name="40% - Accent5 6 3 2 2 2" xfId="7203" xr:uid="{7DA49754-7183-4379-9C68-F5E37CA5B4FD}"/>
    <cellStyle name="40% - Accent5 6 3 2 2 2 2" xfId="25239" xr:uid="{4665F25D-9E2B-42F7-8115-C852C1D54032}"/>
    <cellStyle name="40% - Accent5 6 3 2 2 3" xfId="7200" xr:uid="{521660BC-FDD1-4CB0-9BF8-1F4F651B4E7C}"/>
    <cellStyle name="40% - Accent5 6 3 2 3" xfId="9622" xr:uid="{4767BEB5-E544-4D56-8B5C-2A6F5A47ACA6}"/>
    <cellStyle name="40% - Accent5 6 3 2 3 2" xfId="8178" xr:uid="{0C61016B-E3F1-4120-B38B-58BB530AF56A}"/>
    <cellStyle name="40% - Accent5 6 3 2 4" xfId="9616" xr:uid="{45A69C7C-65D4-4311-A3E3-27BAA96269ED}"/>
    <cellStyle name="40% - Accent5 6 3 3" xfId="12519" xr:uid="{8294DA06-8895-4794-9DB2-E57DAD2D0D36}"/>
    <cellStyle name="40% - Accent5 6 3 3 2" xfId="7197" xr:uid="{ADB8A9AC-A898-488B-9A43-D49928FF5449}"/>
    <cellStyle name="40% - Accent5 6 3 3 2 2" xfId="11753" xr:uid="{517C41FD-2D6E-4D1A-990D-BC2A33FD7DE2}"/>
    <cellStyle name="40% - Accent5 6 3 3 3" xfId="9611" xr:uid="{34A07247-E6A2-4359-B7EA-B42792505D87}"/>
    <cellStyle name="40% - Accent5 6 3 4" xfId="21803" xr:uid="{742629CE-ED39-4FE6-8678-0928B8F305C9}"/>
    <cellStyle name="40% - Accent5 6 3 4 2" xfId="7194" xr:uid="{5BC68507-7CB7-41DC-8CE3-5B919DCF3356}"/>
    <cellStyle name="40% - Accent5 6 3 5" xfId="7192" xr:uid="{DD4BCA00-0F3A-42E1-A627-18B64ECF5A94}"/>
    <cellStyle name="40% - Accent5 6 3 6" xfId="35029" xr:uid="{E3723512-5CA5-4152-B9F1-C5AEFC148055}"/>
    <cellStyle name="40% - Accent5 6 4" xfId="12477" xr:uid="{13E62C2C-92B5-4EA7-8C7B-E5C56F181F92}"/>
    <cellStyle name="40% - Accent5 6 4 2" xfId="7190" xr:uid="{488EF4EA-8276-4DA6-8DCE-FB926391D51E}"/>
    <cellStyle name="40% - Accent5 6 4 2 2" xfId="7187" xr:uid="{9D421EBB-B5FB-4642-BC27-F5E8B3CF0608}"/>
    <cellStyle name="40% - Accent5 6 4 2 2 2" xfId="7184" xr:uid="{28AC2C9D-4AE5-481C-A832-0DD744DEF931}"/>
    <cellStyle name="40% - Accent5 6 4 2 3" xfId="9600" xr:uid="{D41547CA-75B2-4DA2-BB04-8EAF9670E447}"/>
    <cellStyle name="40% - Accent5 6 4 3" xfId="12465" xr:uid="{07BF07C7-911F-4F70-93E1-4A3EADF20138}"/>
    <cellStyle name="40% - Accent5 6 4 3 2" xfId="7181" xr:uid="{A655A619-37A5-4269-B77C-F3AD93F6F151}"/>
    <cellStyle name="40% - Accent5 6 4 4" xfId="8697" xr:uid="{EF69DE93-EA29-4477-82AB-8FCD88A39704}"/>
    <cellStyle name="40% - Accent5 6 4 5" xfId="35235" xr:uid="{00466B84-E6A6-4152-ADFD-88124B65C4A4}"/>
    <cellStyle name="40% - Accent5 6 5" xfId="7178" xr:uid="{2FB8A504-EA29-4E34-83A5-AF419FDF22A9}"/>
    <cellStyle name="40% - Accent5 6 5 2" xfId="7176" xr:uid="{81BA1065-BD9D-482E-966B-8F4492C40C9F}"/>
    <cellStyle name="40% - Accent5 6 5 2 2" xfId="7174" xr:uid="{F896A29D-C6C7-449E-8401-16BA654ED441}"/>
    <cellStyle name="40% - Accent5 6 5 3" xfId="7171" xr:uid="{757AC1A0-665B-4248-86AC-76202237C886}"/>
    <cellStyle name="40% - Accent5 6 5 4" xfId="35464" xr:uid="{F932AF83-0637-4AE0-8D7A-1353E07482EF}"/>
    <cellStyle name="40% - Accent5 6 6" xfId="7169" xr:uid="{418D6966-DE7F-4251-A678-56EDB3D75D4F}"/>
    <cellStyle name="40% - Accent5 6 6 2" xfId="7167" xr:uid="{1E2490BE-84DD-4884-8EF0-8EFEDD6B1B78}"/>
    <cellStyle name="40% - Accent5 6 6 3" xfId="36336" xr:uid="{BDFDF59F-7C8B-467A-84B9-4B053BF73A94}"/>
    <cellStyle name="40% - Accent5 6 7" xfId="7164" xr:uid="{84CEBD08-B1FE-4F32-86CE-0631BB883EC3}"/>
    <cellStyle name="40% - Accent5 6 7 2" xfId="36622" xr:uid="{633DCA6E-C4EC-4ADE-BFC3-265CBB39471D}"/>
    <cellStyle name="40% - Accent5 6 8" xfId="34599" xr:uid="{C067CCF1-F553-441E-AD49-14FB30C36748}"/>
    <cellStyle name="40% - Accent5 6 9" xfId="12826" xr:uid="{55ACDC33-92C0-4D6A-8A06-7925088F37EE}"/>
    <cellStyle name="40% - Accent5 7" xfId="312" xr:uid="{22ECA6BF-310C-40C7-A9E1-0C5533F37487}"/>
    <cellStyle name="40% - Accent5 7 2" xfId="12427" xr:uid="{60030A2B-D171-4876-9F74-88359AB74AB5}"/>
    <cellStyle name="40% - Accent5 7 2 2" xfId="12424" xr:uid="{0E73752D-83C0-443A-B2D1-4002552F4CF8}"/>
    <cellStyle name="40% - Accent5 7 2 2 2" xfId="16218" xr:uid="{1D6759F7-BA90-4625-8972-08EA209EAAA9}"/>
    <cellStyle name="40% - Accent5 7 2 2 2 2" xfId="33153" xr:uid="{F4FD03B6-76FF-4C13-91E4-88FCC0A23700}"/>
    <cellStyle name="40% - Accent5 7 2 2 2 2 2" xfId="7161" xr:uid="{E72A11A7-528F-4024-91A1-D77B9C59A55D}"/>
    <cellStyle name="40% - Accent5 7 2 2 2 3" xfId="7159" xr:uid="{8D2A1EEA-EB53-4DEF-8109-3EF35949AF7D}"/>
    <cellStyle name="40% - Accent5 7 2 2 3" xfId="9580" xr:uid="{B8243989-33DF-4F1B-9DF9-F2917EC18427}"/>
    <cellStyle name="40% - Accent5 7 2 2 3 2" xfId="9577" xr:uid="{7E9F7E6F-5724-4559-B9FF-14287199B63C}"/>
    <cellStyle name="40% - Accent5 7 2 2 4" xfId="9574" xr:uid="{01BA0743-8474-405B-9490-32C5006E51DE}"/>
    <cellStyle name="40% - Accent5 7 2 3" xfId="12393" xr:uid="{8559FD1B-7C57-4FFB-AB8D-7968A48A6085}"/>
    <cellStyle name="40% - Accent5 7 2 3 2" xfId="7157" xr:uid="{4EC72BBB-E2A0-46E0-B8ED-B69A32E012A6}"/>
    <cellStyle name="40% - Accent5 7 2 3 2 2" xfId="7154" xr:uid="{5F216976-33BD-48BB-9450-D4E65CD8B778}"/>
    <cellStyle name="40% - Accent5 7 2 3 3" xfId="9571" xr:uid="{2547D3F0-C85E-4D6E-977D-2BD70B2DEFA9}"/>
    <cellStyle name="40% - Accent5 7 2 4" xfId="12382" xr:uid="{694BCCB6-13F5-4FA0-BC6A-3E9458EF242E}"/>
    <cellStyle name="40% - Accent5 7 2 4 2" xfId="7152" xr:uid="{B1674415-9B48-4C98-B902-6E2502469042}"/>
    <cellStyle name="40% - Accent5 7 2 5" xfId="13471" xr:uid="{70E96C52-6527-494F-BA5C-3D743204757A}"/>
    <cellStyle name="40% - Accent5 7 2 6" xfId="34846" xr:uid="{5C2822D7-4731-4BDF-ADF0-6F7A33E1F07E}"/>
    <cellStyle name="40% - Accent5 7 3" xfId="12375" xr:uid="{E07BF53D-AD1F-43FC-90CD-5DB4ED539897}"/>
    <cellStyle name="40% - Accent5 7 3 2" xfId="12372" xr:uid="{21C0F367-4C80-451A-8E57-AC92FAF98F8D}"/>
    <cellStyle name="40% - Accent5 7 3 2 2" xfId="7150" xr:uid="{A23D1EE5-254E-4E9F-BAF3-8CCEF12F8243}"/>
    <cellStyle name="40% - Accent5 7 3 2 2 2" xfId="6522" xr:uid="{A661DEA7-BB1E-446B-9BE3-79BCDD833B5D}"/>
    <cellStyle name="40% - Accent5 7 3 2 3" xfId="9561" xr:uid="{6DCC2853-728B-47E0-BF37-90B01AE3FC68}"/>
    <cellStyle name="40% - Accent5 7 3 3" xfId="16967" xr:uid="{6AE79264-3CA6-4EF3-98C8-4070E3401E73}"/>
    <cellStyle name="40% - Accent5 7 3 3 2" xfId="7148" xr:uid="{21B529D6-A7C5-4AC7-8776-23A47A254232}"/>
    <cellStyle name="40% - Accent5 7 3 4" xfId="12356" xr:uid="{0CC02908-56B4-46C2-A297-30E546FC3AB1}"/>
    <cellStyle name="40% - Accent5 7 3 5" xfId="35048" xr:uid="{2AEC80B9-EBEF-4162-83C9-FFF4A33C7CC6}"/>
    <cellStyle name="40% - Accent5 7 4" xfId="12350" xr:uid="{8F43626F-33A9-4C64-A463-A1E9F2888B2C}"/>
    <cellStyle name="40% - Accent5 7 4 2" xfId="12348" xr:uid="{36A7C0A3-E277-48A7-AED2-A9F761617B35}"/>
    <cellStyle name="40% - Accent5 7 4 2 2" xfId="7146" xr:uid="{05EE2C7D-3335-491F-9FE1-29BB414C8370}"/>
    <cellStyle name="40% - Accent5 7 4 3" xfId="12336" xr:uid="{CFF1CD49-98BD-4481-9E5C-796238291130}"/>
    <cellStyle name="40% - Accent5 7 4 4" xfId="35255" xr:uid="{1E3C6F2E-C056-46F1-A7E9-C2D1AB8DF50C}"/>
    <cellStyle name="40% - Accent5 7 5" xfId="17062" xr:uid="{64EEA213-01B7-4743-AFFD-4E795A7A31ED}"/>
    <cellStyle name="40% - Accent5 7 5 2" xfId="12327" xr:uid="{A5246713-2C3D-4E8A-86E2-161BBE51C067}"/>
    <cellStyle name="40% - Accent5 7 5 3" xfId="35484" xr:uid="{0ECFA6F2-DA01-48E9-96EF-0611F90F5B2E}"/>
    <cellStyle name="40% - Accent5 7 6" xfId="17058" xr:uid="{5D941209-E3C3-4483-A687-B87D397ED61C}"/>
    <cellStyle name="40% - Accent5 7 6 2" xfId="36356" xr:uid="{F4123A1C-54E2-4E4A-8F71-7D3C923A8E74}"/>
    <cellStyle name="40% - Accent5 7 7" xfId="34613" xr:uid="{C385C427-C418-456B-95BD-D29D251D22F5}"/>
    <cellStyle name="40% - Accent5 7 8" xfId="12430" xr:uid="{9AB2ED1B-9EC1-4932-B412-6D350200CCE0}"/>
    <cellStyle name="40% - Accent5 7 8 2" xfId="37514" xr:uid="{5B39DB2C-3A8A-4FF7-A6C8-2C217F25B86E}"/>
    <cellStyle name="40% - Accent5 8" xfId="332" xr:uid="{DBAEA018-EB84-4CB0-AC4D-F848C71992A5}"/>
    <cellStyle name="40% - Accent5 8 2" xfId="12313" xr:uid="{4899478D-9873-4366-881D-FB240123DE3D}"/>
    <cellStyle name="40% - Accent5 8 2 2" xfId="12795" xr:uid="{453CBA25-F13E-4DF4-8EEF-1A74B4F902AA}"/>
    <cellStyle name="40% - Accent5 8 2 2 2" xfId="7143" xr:uid="{44E8440F-C193-4928-8A76-5E96B9A487A7}"/>
    <cellStyle name="40% - Accent5 8 2 2 2 2" xfId="7141" xr:uid="{6503844D-E876-4246-BFA3-868450791FFD}"/>
    <cellStyle name="40% - Accent5 8 2 2 3" xfId="9538" xr:uid="{1EE0EDE9-506A-48A8-934B-8389BE8B4969}"/>
    <cellStyle name="40% - Accent5 8 2 3" xfId="12770" xr:uid="{715CD9B2-9240-418D-93AB-43513B8901C3}"/>
    <cellStyle name="40% - Accent5 8 2 3 2" xfId="7139" xr:uid="{D11B270E-2A38-43E1-B5C2-5A227055CC1A}"/>
    <cellStyle name="40% - Accent5 8 2 4" xfId="9782" xr:uid="{3B4773E8-9DCD-4721-9E8A-4D87E56B84C9}"/>
    <cellStyle name="40% - Accent5 8 2 5" xfId="34865" xr:uid="{14D86784-CEAD-422A-B625-CFB8748D3B33}"/>
    <cellStyle name="40% - Accent5 8 3" xfId="12306" xr:uid="{CAC7B1AF-9418-448C-A404-73774A7559C0}"/>
    <cellStyle name="40% - Accent5 8 3 2" xfId="13617" xr:uid="{F672C78C-D052-4815-BAD8-4261E63AC3A2}"/>
    <cellStyle name="40% - Accent5 8 3 2 2" xfId="7136" xr:uid="{F410F6D9-1756-424A-89C6-D715B2764C7F}"/>
    <cellStyle name="40% - Accent5 8 3 3" xfId="12736" xr:uid="{3651654C-3C56-4E5B-8E55-EE4B5D28A119}"/>
    <cellStyle name="40% - Accent5 8 3 4" xfId="35067" xr:uid="{0094B5C0-15FF-4681-95F9-51CAD5E499C5}"/>
    <cellStyle name="40% - Accent5 8 4" xfId="12302" xr:uid="{C51552BB-83D3-468F-BBF4-C920C9ED5ACE}"/>
    <cellStyle name="40% - Accent5 8 4 2" xfId="28374" xr:uid="{940507A0-33C1-426C-9FFC-3D18F12E9F53}"/>
    <cellStyle name="40% - Accent5 8 4 3" xfId="35274" xr:uid="{3B6CC000-9A21-4A3A-8EB3-5293764CA614}"/>
    <cellStyle name="40% - Accent5 8 5" xfId="17050" xr:uid="{8B6A302C-8F54-4BEC-AFAB-AA37551645BD}"/>
    <cellStyle name="40% - Accent5 8 5 2" xfId="35503" xr:uid="{E8A37A12-5002-476E-8A1C-55A08CDCB681}"/>
    <cellStyle name="40% - Accent5 8 6" xfId="34627" xr:uid="{2CF3A2A7-46C4-4640-84FF-460093E4A6FD}"/>
    <cellStyle name="40% - Accent5 8 7" xfId="12316" xr:uid="{33B1914B-D1AD-449D-BCFB-0AA5F6F63541}"/>
    <cellStyle name="40% - Accent5 8 7 2" xfId="36648" xr:uid="{063529F9-D8D4-4C33-950C-3657E408C5BD}"/>
    <cellStyle name="40% - Accent5 8 8" xfId="37533" xr:uid="{E274A469-7023-40AD-8D4B-FDF999323DCB}"/>
    <cellStyle name="40% - Accent5 9" xfId="352" xr:uid="{B0C33143-742D-4E19-ADC6-807898F5BB86}"/>
    <cellStyle name="40% - Accent5 9 2" xfId="19610" xr:uid="{D072CD04-373A-4E69-8674-5B91263BCC4A}"/>
    <cellStyle name="40% - Accent5 9 2 2" xfId="12297" xr:uid="{C4DFA98C-A592-4545-AA4A-E9A4C51464A1}"/>
    <cellStyle name="40% - Accent5 9 2 2 2" xfId="7134" xr:uid="{DDE626C9-9D88-478C-ADD7-7AEB0BBE19EE}"/>
    <cellStyle name="40% - Accent5 9 2 3" xfId="12273" xr:uid="{6AA5685B-ED2A-4FEB-912B-FADC2090E4FA}"/>
    <cellStyle name="40% - Accent5 9 2 4" xfId="34885" xr:uid="{F42E5FB4-D91A-4081-AF03-5C11E0AB0A35}"/>
    <cellStyle name="40% - Accent5 9 3" xfId="12295" xr:uid="{89C21FE0-1EB4-4709-8A57-86870C5EDC94}"/>
    <cellStyle name="40% - Accent5 9 3 2" xfId="12292" xr:uid="{8F916A03-47FB-4CAC-A50D-24A165553633}"/>
    <cellStyle name="40% - Accent5 9 3 3" xfId="35086" xr:uid="{05D03AEB-F3CD-4734-AC41-A4057A8702AB}"/>
    <cellStyle name="40% - Accent5 9 4" xfId="12271" xr:uid="{0BAFE23B-A579-4E34-9268-8776060A6A99}"/>
    <cellStyle name="40% - Accent5 9 4 2" xfId="35294" xr:uid="{470AFEA9-8469-471E-8886-3889FBC18802}"/>
    <cellStyle name="40% - Accent5 9 5" xfId="34641" xr:uid="{44E501D1-3F1E-43AF-A58A-C2C01A5E8A9E}"/>
    <cellStyle name="40% - Accent5 9 6" xfId="12300" xr:uid="{0A145211-EDF9-4573-B151-7DF4432044BB}"/>
    <cellStyle name="40% - Accent5 9 6 2" xfId="36382" xr:uid="{BD462EB6-A665-4D17-A597-C5213571C117}"/>
    <cellStyle name="40% - Accent5 9 7" xfId="36668" xr:uid="{3E11E2C1-F926-4A46-8276-C5550878CBD0}"/>
    <cellStyle name="40% - Accent5 9 8" xfId="37553" xr:uid="{D57772C4-02B0-4059-80E4-FD8635B8C7AD}"/>
    <cellStyle name="40% - Accent6" xfId="43" builtinId="51" customBuiltin="1"/>
    <cellStyle name="40% - Accent6 10" xfId="193" xr:uid="{34FD6ED1-67A8-49C8-B0E5-E74C623417FA}"/>
    <cellStyle name="40% - Accent6 10 2" xfId="26844" xr:uid="{92173F7A-D28C-4420-8A21-585FA0537CA1}"/>
    <cellStyle name="40% - Accent6 10 2 2" xfId="25853" xr:uid="{B74A89BE-EB75-4D8B-816C-3910B558B3D4}"/>
    <cellStyle name="40% - Accent6 10 2 3" xfId="34906" xr:uid="{FC6A0A26-676F-4F96-8A44-0837F9ED0F1F}"/>
    <cellStyle name="40% - Accent6 10 3" xfId="26826" xr:uid="{47421D7D-2358-47F5-AEA5-CACB09C11EE6}"/>
    <cellStyle name="40% - Accent6 10 3 2" xfId="35108" xr:uid="{885E214B-45FC-4E27-9CE7-D3EE09929693}"/>
    <cellStyle name="40% - Accent6 10 4" xfId="34530" xr:uid="{91637493-640D-45C1-86BB-6028769F2E6D}"/>
    <cellStyle name="40% - Accent6 10 5" xfId="26850" xr:uid="{F77B22AC-0A91-4582-AA71-0977D59DBEE3}"/>
    <cellStyle name="40% - Accent6 10 5 2" xfId="35531" xr:uid="{5C396461-1479-4268-8E08-79DD96267F98}"/>
    <cellStyle name="40% - Accent6 10 6" xfId="36404" xr:uid="{42485059-8F29-40CE-8D80-67EEA91662A4}"/>
    <cellStyle name="40% - Accent6 10 7" xfId="36690" xr:uid="{8A587990-AC96-4581-888D-1E4899355FB5}"/>
    <cellStyle name="40% - Accent6 10 8" xfId="37575" xr:uid="{47F753F5-7026-4C73-BDA8-F51227E30F1D}"/>
    <cellStyle name="40% - Accent6 11" xfId="26818" xr:uid="{6D234CB7-653E-4475-94D0-FD29CB89D695}"/>
    <cellStyle name="40% - Accent6 11 2" xfId="26808" xr:uid="{11CA90BD-D1BA-48F4-87EA-45DD002C244C}"/>
    <cellStyle name="40% - Accent6 11 2 2" xfId="35127" xr:uid="{48DDFC66-4ED8-4839-9611-C46E8C41C970}"/>
    <cellStyle name="40% - Accent6 11 3" xfId="34699" xr:uid="{FEB398C7-3AE1-460F-AB90-7306E59BB4AC}"/>
    <cellStyle name="40% - Accent6 11 4" xfId="35551" xr:uid="{51F035BA-7137-491A-83D6-C1DB611997AD}"/>
    <cellStyle name="40% - Accent6 11 5" xfId="36424" xr:uid="{DFDC1EE1-C779-4C42-B429-C08A9900EE81}"/>
    <cellStyle name="40% - Accent6 11 6" xfId="36710" xr:uid="{BCB32A19-5428-4D40-B8F8-D8E8300CD142}"/>
    <cellStyle name="40% - Accent6 11 7" xfId="37595" xr:uid="{729B753E-DD33-4D4D-9FD7-2937CBBF613F}"/>
    <cellStyle name="40% - Accent6 12" xfId="29037" xr:uid="{25669476-6692-4256-A318-212E939BD35C}"/>
    <cellStyle name="40% - Accent6 12 2" xfId="34717" xr:uid="{6FDD28A5-409E-4293-8F68-947792487F1D}"/>
    <cellStyle name="40% - Accent6 12 3" xfId="35330" xr:uid="{29FCA2FC-45AF-4D98-A344-63B2358FA077}"/>
    <cellStyle name="40% - Accent6 12 4" xfId="35570" xr:uid="{2318AE5D-1F89-4D38-B90B-14FE7450F3D9}"/>
    <cellStyle name="40% - Accent6 12 5" xfId="36443" xr:uid="{0C655913-61F1-48A5-9E80-5B7AE6167A7D}"/>
    <cellStyle name="40% - Accent6 12 6" xfId="36729" xr:uid="{9F6AEBC5-45A3-437C-9A34-062719D9EED9}"/>
    <cellStyle name="40% - Accent6 12 7" xfId="37614" xr:uid="{D2651580-32DD-4F67-9E84-0878EE6DA233}"/>
    <cellStyle name="40% - Accent6 13" xfId="29321" xr:uid="{94C56D1E-0F02-4E5F-AB14-510157003333}"/>
    <cellStyle name="40% - Accent6 13 2" xfId="34745" xr:uid="{37847D04-41DB-403E-8DDC-5DD17EA75FC3}"/>
    <cellStyle name="40% - Accent6 13 3" xfId="35589" xr:uid="{D3EE138D-8217-4183-8C8F-64FE271B5417}"/>
    <cellStyle name="40% - Accent6 13 4" xfId="36464" xr:uid="{03A94CF0-C8BF-426D-8410-643A69F1057C}"/>
    <cellStyle name="40% - Accent6 13 5" xfId="36750" xr:uid="{BD3533CC-9ACB-42B8-930D-1D06ECFC0591}"/>
    <cellStyle name="40% - Accent6 13 6" xfId="37635" xr:uid="{18E7B1C0-E414-4DD2-8227-F00656809BD6}"/>
    <cellStyle name="40% - Accent6 14" xfId="8317" xr:uid="{E6C106BF-0D1D-4C2B-8BBD-CA06E317B43B}"/>
    <cellStyle name="40% - Accent6 14 2" xfId="34935" xr:uid="{FA372DAF-FC36-4888-B8CF-8FBA416BFC87}"/>
    <cellStyle name="40% - Accent6 14 3" xfId="36763" xr:uid="{9955515B-8574-4BF8-87A4-9338D59A0560}"/>
    <cellStyle name="40% - Accent6 14 4" xfId="37648" xr:uid="{C3B0CF84-8CDB-467E-B618-AE328EC75A32}"/>
    <cellStyle name="40% - Accent6 15" xfId="34657" xr:uid="{8520AD3D-C707-4542-A3A8-E6BC577ACAED}"/>
    <cellStyle name="40% - Accent6 15 2" xfId="36489" xr:uid="{5184D63D-592D-461F-BFDE-56C8CF56D730}"/>
    <cellStyle name="40% - Accent6 15 3" xfId="36787" xr:uid="{FBC2CB48-768D-42DF-BADB-FC6065E8DC76}"/>
    <cellStyle name="40% - Accent6 15 4" xfId="37675" xr:uid="{6EEC7E7F-9AC2-400F-AAC9-954A2B664ED0}"/>
    <cellStyle name="40% - Accent6 16" xfId="35369" xr:uid="{2ED6722C-B468-4C29-9687-2F849882A3D2}"/>
    <cellStyle name="40% - Accent6 16 2" xfId="36507" xr:uid="{E55A8E9E-FB05-4325-A160-D2388E8EB921}"/>
    <cellStyle name="40% - Accent6 16 3" xfId="36805" xr:uid="{E175C9E9-D0FF-4FB2-8FDE-70A812F831A0}"/>
    <cellStyle name="40% - Accent6 16 4" xfId="37694" xr:uid="{B5A4D43B-31A5-4266-9255-A8C77CF709FD}"/>
    <cellStyle name="40% - Accent6 17" xfId="35656" xr:uid="{2A6696F4-38DE-481F-86C1-1EC9F82A0244}"/>
    <cellStyle name="40% - Accent6 17 2" xfId="36824" xr:uid="{D7BFD9B3-FB40-4473-A6C1-89FE0F273901}"/>
    <cellStyle name="40% - Accent6 17 3" xfId="37714" xr:uid="{7FD1D966-E198-42F5-B1F0-8BB3BF8E5C76}"/>
    <cellStyle name="40% - Accent6 18" xfId="35674" xr:uid="{D91AF259-7A84-4180-A3F8-9CB24C8291FD}"/>
    <cellStyle name="40% - Accent6 18 2" xfId="36843" xr:uid="{01FF6170-73A5-4B3D-A797-5937292654B3}"/>
    <cellStyle name="40% - Accent6 18 3" xfId="37733" xr:uid="{FE2C76C5-558B-442B-85F9-9679D2C2A173}"/>
    <cellStyle name="40% - Accent6 19" xfId="35693" xr:uid="{6C625798-B451-4210-B1DB-73F169D1EB3D}"/>
    <cellStyle name="40% - Accent6 19 2" xfId="36862" xr:uid="{FB6FD5BA-0D77-4A5B-9246-D2B4B01485C5}"/>
    <cellStyle name="40% - Accent6 19 3" xfId="37752" xr:uid="{2B18832A-351C-4482-B898-A22DFA054262}"/>
    <cellStyle name="40% - Accent6 2" xfId="93" xr:uid="{7C485976-FCE4-48E5-B33B-E5CB904B4FE9}"/>
    <cellStyle name="40% - Accent6 2 10" xfId="7131" xr:uid="{2FD38E89-0F7A-46F4-A5EF-8E3938130033}"/>
    <cellStyle name="40% - Accent6 2 10 2" xfId="7130" xr:uid="{EA2E13E6-8E34-473D-8C68-0B183598EC92}"/>
    <cellStyle name="40% - Accent6 2 10 3" xfId="37433" xr:uid="{61B89BE4-6452-49B3-BA92-4EAC94E67979}"/>
    <cellStyle name="40% - Accent6 2 11" xfId="7128" xr:uid="{E9446107-80F7-4888-AEBB-D31A3B1E728A}"/>
    <cellStyle name="40% - Accent6 2 12" xfId="34448" xr:uid="{AA26609E-C527-4AF0-86B5-31320DC531FF}"/>
    <cellStyle name="40% - Accent6 2 13" xfId="8004" xr:uid="{A3A3DE07-9D4A-4CB9-8891-ACD60BE4E17C}"/>
    <cellStyle name="40% - Accent6 2 2" xfId="154" xr:uid="{77FBEF96-4CCB-456D-8DDB-4326C63549C8}"/>
    <cellStyle name="40% - Accent6 2 2 10" xfId="31074" xr:uid="{D583C462-BA24-40E3-BA5F-E101DB13EA94}"/>
    <cellStyle name="40% - Accent6 2 2 11" xfId="34503" xr:uid="{E06C4813-B760-4106-945E-57A7C130DA52}"/>
    <cellStyle name="40% - Accent6 2 2 12" xfId="8000" xr:uid="{9CB7BFF5-18E0-4AA7-B73A-3F50BD77F8DA}"/>
    <cellStyle name="40% - Accent6 2 2 2" xfId="7993" xr:uid="{1963CA51-FD50-43E1-9C36-8F18707EFEB4}"/>
    <cellStyle name="40% - Accent6 2 2 2 2" xfId="15017" xr:uid="{D60B51AF-99B2-41DE-84B3-72C6BE306DEC}"/>
    <cellStyle name="40% - Accent6 2 2 2 2 2" xfId="24413" xr:uid="{785D6697-EA03-4017-8B24-FAE6BCDAD4A4}"/>
    <cellStyle name="40% - Accent6 2 2 2 2 2 2" xfId="20720" xr:uid="{96105864-41ED-40A2-8733-3C4EF7FEBD51}"/>
    <cellStyle name="40% - Accent6 2 2 2 2 2 2 2" xfId="19877" xr:uid="{462237E3-C761-42B2-A2ED-0DD09CF4576C}"/>
    <cellStyle name="40% - Accent6 2 2 2 2 2 2 2 2" xfId="7127" xr:uid="{98586928-64E1-40BA-8DAE-8DC6719533FC}"/>
    <cellStyle name="40% - Accent6 2 2 2 2 2 2 2 2 2" xfId="7126" xr:uid="{730BCB46-EAFE-419A-BF81-4BCDCA9F075A}"/>
    <cellStyle name="40% - Accent6 2 2 2 2 2 2 2 2 2 2" xfId="24194" xr:uid="{757205A5-A6EE-4C86-806D-6E877A3EF12B}"/>
    <cellStyle name="40% - Accent6 2 2 2 2 2 2 2 2 2 2 2" xfId="7125" xr:uid="{DB99F5D7-C483-4BA2-A57A-4024A8C3D107}"/>
    <cellStyle name="40% - Accent6 2 2 2 2 2 2 2 2 2 3" xfId="21896" xr:uid="{B605EF16-91D1-40A4-8C79-589739FED61D}"/>
    <cellStyle name="40% - Accent6 2 2 2 2 2 2 2 2 3" xfId="7123" xr:uid="{542493C6-749F-4382-A07A-284EF8D5826A}"/>
    <cellStyle name="40% - Accent6 2 2 2 2 2 2 2 2 3 2" xfId="33780" xr:uid="{00B51E1A-0C9E-4931-A9B2-E9C3AB318FF8}"/>
    <cellStyle name="40% - Accent6 2 2 2 2 2 2 2 2 4" xfId="7119" xr:uid="{29C2BA9F-858B-4A60-B392-EC77ED8C83A4}"/>
    <cellStyle name="40% - Accent6 2 2 2 2 2 2 2 3" xfId="7117" xr:uid="{E8B647C1-0C33-45D9-9300-988F52E67A11}"/>
    <cellStyle name="40% - Accent6 2 2 2 2 2 2 2 3 2" xfId="21979" xr:uid="{F83C1538-25DD-4CA6-B4B3-3BD22E5F70DB}"/>
    <cellStyle name="40% - Accent6 2 2 2 2 2 2 2 3 2 2" xfId="24175" xr:uid="{4EFBE67E-EAD3-425A-A1DF-2E84A51081FF}"/>
    <cellStyle name="40% - Accent6 2 2 2 2 2 2 2 3 3" xfId="21348" xr:uid="{7E586A7D-10A7-4FC3-9AD8-D06AE2EC634F}"/>
    <cellStyle name="40% - Accent6 2 2 2 2 2 2 2 4" xfId="22877" xr:uid="{C5A6592D-6232-45DF-BC08-16826DAE1A0E}"/>
    <cellStyle name="40% - Accent6 2 2 2 2 2 2 2 4 2" xfId="21977" xr:uid="{6F276DEB-FB9C-4D00-BC04-D4D7421968B5}"/>
    <cellStyle name="40% - Accent6 2 2 2 2 2 2 2 5" xfId="19081" xr:uid="{CE745AF5-3777-4C2D-97C4-F422BD4BEAF5}"/>
    <cellStyle name="40% - Accent6 2 2 2 2 2 2 3" xfId="6604" xr:uid="{EDF67252-9431-4F37-BE99-CC2E21582CF8}"/>
    <cellStyle name="40% - Accent6 2 2 2 2 2 2 3 2" xfId="12855" xr:uid="{56CD7DF9-1019-48CC-BC08-F0ABEB65DA8F}"/>
    <cellStyle name="40% - Accent6 2 2 2 2 2 2 3 2 2" xfId="7115" xr:uid="{F65A4346-48CF-4901-A1DE-3945FAF0E5B1}"/>
    <cellStyle name="40% - Accent6 2 2 2 2 2 2 3 2 2 2" xfId="24096" xr:uid="{E1105DC0-31C5-4DEC-8AAB-0828CA58E5EE}"/>
    <cellStyle name="40% - Accent6 2 2 2 2 2 2 3 2 3" xfId="7114" xr:uid="{3C02D9F3-3D52-4DD5-82FC-FA08B95AECA8}"/>
    <cellStyle name="40% - Accent6 2 2 2 2 2 2 3 3" xfId="7112" xr:uid="{2392C6B4-3F91-4081-A911-4945E8C24689}"/>
    <cellStyle name="40% - Accent6 2 2 2 2 2 2 3 3 2" xfId="21976" xr:uid="{282E8E2C-CC70-4EDC-B503-FAB168E95BF6}"/>
    <cellStyle name="40% - Accent6 2 2 2 2 2 2 3 4" xfId="7108" xr:uid="{0F897306-191A-4D6A-9E67-B57853DA6333}"/>
    <cellStyle name="40% - Accent6 2 2 2 2 2 2 4" xfId="29066" xr:uid="{335B3857-890B-4E79-AF99-BA84E4EFA51B}"/>
    <cellStyle name="40% - Accent6 2 2 2 2 2 2 4 2" xfId="7104" xr:uid="{7A9ACE4F-3E14-4D0D-BD71-6E7F21415467}"/>
    <cellStyle name="40% - Accent6 2 2 2 2 2 2 4 2 2" xfId="7100" xr:uid="{23E2B324-3DC3-45B6-8E88-19C473C4A704}"/>
    <cellStyle name="40% - Accent6 2 2 2 2 2 2 4 3" xfId="7099" xr:uid="{ED97B6E0-82B9-499F-8C41-78D9FA41B4E5}"/>
    <cellStyle name="40% - Accent6 2 2 2 2 2 2 5" xfId="10420" xr:uid="{DA603AAE-E0C3-4B43-BEE4-BABE393D3570}"/>
    <cellStyle name="40% - Accent6 2 2 2 2 2 2 5 2" xfId="12216" xr:uid="{7FBD8215-5470-4DD7-833F-776408B4FFE3}"/>
    <cellStyle name="40% - Accent6 2 2 2 2 2 2 6" xfId="7096" xr:uid="{A7CA212A-C6D2-41C6-8D10-CDBCFBDFE3A0}"/>
    <cellStyle name="40% - Accent6 2 2 2 2 2 3" xfId="33477" xr:uid="{5E99DF68-C51A-410D-AFAF-123E780C6A2C}"/>
    <cellStyle name="40% - Accent6 2 2 2 2 2 3 2" xfId="9104" xr:uid="{4D54E74A-0A0A-4F4B-8A35-B81A6D51828E}"/>
    <cellStyle name="40% - Accent6 2 2 2 2 2 3 2 2" xfId="8655" xr:uid="{19B3910A-C4C2-4FDE-91F9-C6C6E9391C4D}"/>
    <cellStyle name="40% - Accent6 2 2 2 2 2 3 2 2 2" xfId="7093" xr:uid="{C00AB867-DDFF-4699-9AE9-5DEA4675D7D4}"/>
    <cellStyle name="40% - Accent6 2 2 2 2 2 3 2 2 2 2" xfId="27794" xr:uid="{7813335C-41ED-46CE-AC90-5788EAC3F710}"/>
    <cellStyle name="40% - Accent6 2 2 2 2 2 3 2 2 3" xfId="8986" xr:uid="{0CEE2FDF-6F3A-4059-AC92-FFB8BBD15E70}"/>
    <cellStyle name="40% - Accent6 2 2 2 2 2 3 2 3" xfId="7091" xr:uid="{CBAC2C8B-C6AB-4A62-9F7D-02C6616A9B84}"/>
    <cellStyle name="40% - Accent6 2 2 2 2 2 3 2 3 2" xfId="21973" xr:uid="{DAFF144B-55A3-485C-AFA3-87A34377BC92}"/>
    <cellStyle name="40% - Accent6 2 2 2 2 2 3 2 4" xfId="7089" xr:uid="{2B8317B3-85F6-4444-A340-D188153BF51B}"/>
    <cellStyle name="40% - Accent6 2 2 2 2 2 3 3" xfId="29052" xr:uid="{1E979D12-53FB-42D9-B390-B60A30EC899B}"/>
    <cellStyle name="40% - Accent6 2 2 2 2 2 3 3 2" xfId="22765" xr:uid="{C2800721-ECD2-4B34-BBD4-C04092372F94}"/>
    <cellStyle name="40% - Accent6 2 2 2 2 2 3 3 2 2" xfId="7086" xr:uid="{752683A3-4B52-41CE-96EC-BE32B60692D2}"/>
    <cellStyle name="40% - Accent6 2 2 2 2 2 3 3 3" xfId="7120" xr:uid="{1B36CD85-C2AE-4269-AE56-D6B3775359DC}"/>
    <cellStyle name="40% - Accent6 2 2 2 2 2 3 4" xfId="10413" xr:uid="{79E03376-CD1C-42C2-9EA2-CE8A4D117AAE}"/>
    <cellStyle name="40% - Accent6 2 2 2 2 2 3 4 2" xfId="25481" xr:uid="{FFA3C24D-6EA2-405D-A6BB-D92BBE4A2C8D}"/>
    <cellStyle name="40% - Accent6 2 2 2 2 2 3 5" xfId="7085" xr:uid="{FB6B46EE-7D4C-46B9-B415-F5E843DA6426}"/>
    <cellStyle name="40% - Accent6 2 2 2 2 2 4" xfId="30574" xr:uid="{F5F37FC9-418F-4C85-BDA5-7BFC1DF71B7D}"/>
    <cellStyle name="40% - Accent6 2 2 2 2 2 4 2" xfId="9095" xr:uid="{8159D240-3B84-464B-8E2A-9B0119491EAB}"/>
    <cellStyle name="40% - Accent6 2 2 2 2 2 4 2 2" xfId="7083" xr:uid="{2868A5E6-0023-4F8F-B7E1-5B40B91B0D7B}"/>
    <cellStyle name="40% - Accent6 2 2 2 2 2 4 2 2 2" xfId="7081" xr:uid="{168A506F-098F-4D1D-952F-7EF683218A1D}"/>
    <cellStyle name="40% - Accent6 2 2 2 2 2 4 2 3" xfId="5451" xr:uid="{510230CB-9F9B-4E7E-8CA5-1B22E114787E}"/>
    <cellStyle name="40% - Accent6 2 2 2 2 2 4 3" xfId="14312" xr:uid="{02B00DB5-5C58-4BB2-B5C6-8AB0AC95EC2A}"/>
    <cellStyle name="40% - Accent6 2 2 2 2 2 4 3 2" xfId="28035" xr:uid="{A0B07C13-8020-4AC9-819A-407012396A56}"/>
    <cellStyle name="40% - Accent6 2 2 2 2 2 4 4" xfId="7080" xr:uid="{4D7CB50A-DEC7-4CA6-9187-A2D525CC6BD4}"/>
    <cellStyle name="40% - Accent6 2 2 2 2 2 5" xfId="15808" xr:uid="{9E8F5815-EF22-4DB1-9093-664E5A785090}"/>
    <cellStyle name="40% - Accent6 2 2 2 2 2 5 2" xfId="7079" xr:uid="{26FAB863-BD9A-41CA-B064-063F1ED53D62}"/>
    <cellStyle name="40% - Accent6 2 2 2 2 2 5 2 2" xfId="6623" xr:uid="{693E7A1F-696E-47F4-A150-0ADE6B030915}"/>
    <cellStyle name="40% - Accent6 2 2 2 2 2 5 3" xfId="7077" xr:uid="{AC716447-38A9-48CD-8618-0C9CE629B6CD}"/>
    <cellStyle name="40% - Accent6 2 2 2 2 2 6" xfId="15803" xr:uid="{461F6026-CE0B-469B-B6E0-7E1744EBA853}"/>
    <cellStyle name="40% - Accent6 2 2 2 2 2 6 2" xfId="7076" xr:uid="{DD2340DA-CAEC-4DC8-AF9A-5EB79910B715}"/>
    <cellStyle name="40% - Accent6 2 2 2 2 2 7" xfId="28779" xr:uid="{ED7EE372-600F-4D24-A61D-502D64D6B3AE}"/>
    <cellStyle name="40% - Accent6 2 2 2 2 3" xfId="7988" xr:uid="{277569E2-4AB8-4B8A-A608-9BF0A1F13CCF}"/>
    <cellStyle name="40% - Accent6 2 2 2 2 3 2" xfId="32504" xr:uid="{39EC561C-29C0-4E56-A92A-81FCD72324DA}"/>
    <cellStyle name="40% - Accent6 2 2 2 2 3 2 2" xfId="31108" xr:uid="{1EDB824E-B632-452B-BA96-E88315421161}"/>
    <cellStyle name="40% - Accent6 2 2 2 2 3 2 2 2" xfId="24758" xr:uid="{35D677DA-A96E-4A8D-86E1-0794396C38B1}"/>
    <cellStyle name="40% - Accent6 2 2 2 2 3 2 2 2 2" xfId="7075" xr:uid="{71F30F9B-CF01-48A2-AE36-91255CB4B570}"/>
    <cellStyle name="40% - Accent6 2 2 2 2 3 2 2 2 2 2" xfId="23161" xr:uid="{F9F88387-8EBA-474E-A56D-0DD427E38A29}"/>
    <cellStyle name="40% - Accent6 2 2 2 2 3 2 2 2 3" xfId="7072" xr:uid="{0CD6284D-20F2-4271-A642-654FF87C2F8A}"/>
    <cellStyle name="40% - Accent6 2 2 2 2 3 2 2 3" xfId="9134" xr:uid="{AA1DF853-95DA-4452-B7B0-E9C06D81B11D}"/>
    <cellStyle name="40% - Accent6 2 2 2 2 3 2 2 3 2" xfId="23829" xr:uid="{259A893E-B94D-4084-9772-B16D4391D75E}"/>
    <cellStyle name="40% - Accent6 2 2 2 2 3 2 2 4" xfId="7068" xr:uid="{D2F8B00C-F4CC-49F2-A615-77EA35E58A4C}"/>
    <cellStyle name="40% - Accent6 2 2 2 2 3 2 3" xfId="28943" xr:uid="{3923E2F8-8E9E-4B6A-943C-8D0C81C1DB65}"/>
    <cellStyle name="40% - Accent6 2 2 2 2 3 2 3 2" xfId="28566" xr:uid="{D905D662-5D66-4AD3-9542-6342E5736206}"/>
    <cellStyle name="40% - Accent6 2 2 2 2 3 2 3 2 2" xfId="26827" xr:uid="{F76E0C55-A8CE-4B65-BA3F-7F4ADD28D36F}"/>
    <cellStyle name="40% - Accent6 2 2 2 2 3 2 3 3" xfId="5400" xr:uid="{C3AA261B-C717-4A8D-90DE-0AA36A14FD0B}"/>
    <cellStyle name="40% - Accent6 2 2 2 2 3 2 4" xfId="10403" xr:uid="{9B084C0E-8A87-4753-B359-D8E6513A486B}"/>
    <cellStyle name="40% - Accent6 2 2 2 2 3 2 4 2" xfId="7064" xr:uid="{FF46FA42-0D32-4C5E-A39A-69C2871644C7}"/>
    <cellStyle name="40% - Accent6 2 2 2 2 3 2 5" xfId="7062" xr:uid="{4E38F19F-DC84-489D-BD66-5BE250311C39}"/>
    <cellStyle name="40% - Accent6 2 2 2 2 3 3" xfId="7059" xr:uid="{B675B8C3-70D3-48D6-AF57-BA8A68F85264}"/>
    <cellStyle name="40% - Accent6 2 2 2 2 3 3 2" xfId="9086" xr:uid="{EE61C020-DFED-4776-84D5-EE6DDB9B3FD9}"/>
    <cellStyle name="40% - Accent6 2 2 2 2 3 3 2 2" xfId="27137" xr:uid="{347FD4E5-D1C8-4DA3-8A99-87A9FD6E4FFE}"/>
    <cellStyle name="40% - Accent6 2 2 2 2 3 3 2 2 2" xfId="7058" xr:uid="{BE5CB4A3-0DF2-4224-B27E-809DDBF0F7F8}"/>
    <cellStyle name="40% - Accent6 2 2 2 2 3 3 2 3" xfId="5386" xr:uid="{1F622C99-0CF3-4370-ACDB-DB463357BDD2}"/>
    <cellStyle name="40% - Accent6 2 2 2 2 3 3 3" xfId="13797" xr:uid="{78B5E597-8CCD-426C-9265-CF575E18CE56}"/>
    <cellStyle name="40% - Accent6 2 2 2 2 3 3 3 2" xfId="25466" xr:uid="{21ACA020-480F-4573-A5FE-812630697B61}"/>
    <cellStyle name="40% - Accent6 2 2 2 2 3 3 4" xfId="13795" xr:uid="{65F475C3-23C2-4124-B506-613419719F81}"/>
    <cellStyle name="40% - Accent6 2 2 2 2 3 4" xfId="7055" xr:uid="{B8020607-ABE8-4019-BBAF-A151AE06B1DF}"/>
    <cellStyle name="40% - Accent6 2 2 2 2 3 4 2" xfId="7053" xr:uid="{98CE2C77-ABAA-4114-8F1C-0FAF6773B9B6}"/>
    <cellStyle name="40% - Accent6 2 2 2 2 3 4 2 2" xfId="7051" xr:uid="{04E986BF-5316-4E8C-B91A-CB3EF039FC97}"/>
    <cellStyle name="40% - Accent6 2 2 2 2 3 4 3" xfId="13790" xr:uid="{19B82ED8-254D-4469-84A7-B3C03AF50FAF}"/>
    <cellStyle name="40% - Accent6 2 2 2 2 3 5" xfId="15799" xr:uid="{1BF0B752-118E-4F1D-A070-B50D4EACED32}"/>
    <cellStyle name="40% - Accent6 2 2 2 2 3 5 2" xfId="7050" xr:uid="{06DEBD45-16DC-4D2D-A05D-6B254B5F256A}"/>
    <cellStyle name="40% - Accent6 2 2 2 2 3 6" xfId="7048" xr:uid="{A026C154-01F6-49DC-B881-B3F4CAE4B435}"/>
    <cellStyle name="40% - Accent6 2 2 2 2 4" xfId="28927" xr:uid="{4EEAB793-5DDB-4751-9AA7-1C90393923E0}"/>
    <cellStyle name="40% - Accent6 2 2 2 2 4 2" xfId="24456" xr:uid="{C11B141A-F6E9-4F28-83C9-F15F530EE45E}"/>
    <cellStyle name="40% - Accent6 2 2 2 2 4 2 2" xfId="7046" xr:uid="{64391664-E714-4C14-8CD2-95442A82F1BE}"/>
    <cellStyle name="40% - Accent6 2 2 2 2 4 2 2 2" xfId="26927" xr:uid="{562DB4C5-BF0B-4653-855C-1734F42807DD}"/>
    <cellStyle name="40% - Accent6 2 2 2 2 4 2 2 2 2" xfId="17073" xr:uid="{C748851F-75C8-4802-BD74-0083034D2F4F}"/>
    <cellStyle name="40% - Accent6 2 2 2 2 4 2 2 3" xfId="7044" xr:uid="{B2D84044-DECE-480E-8A8D-7B5917A9A90A}"/>
    <cellStyle name="40% - Accent6 2 2 2 2 4 2 3" xfId="10398" xr:uid="{8CA4764C-2E13-413D-9F4A-88F3EC874953}"/>
    <cellStyle name="40% - Accent6 2 2 2 2 4 2 3 2" xfId="7042" xr:uid="{0585A380-EF8E-4448-986E-55A2FEC16227}"/>
    <cellStyle name="40% - Accent6 2 2 2 2 4 2 4" xfId="7041" xr:uid="{D9826119-642D-4F6A-B43C-136CF1BA1ABF}"/>
    <cellStyle name="40% - Accent6 2 2 2 2 4 3" xfId="24451" xr:uid="{19960EE0-E104-46DF-95FB-07B71F27DEE9}"/>
    <cellStyle name="40% - Accent6 2 2 2 2 4 3 2" xfId="7039" xr:uid="{B1CCE059-6BF4-42BC-87A8-83F533A78EC2}"/>
    <cellStyle name="40% - Accent6 2 2 2 2 4 3 2 2" xfId="7035" xr:uid="{B2640982-5078-4727-A9E8-208A73A3D7E8}"/>
    <cellStyle name="40% - Accent6 2 2 2 2 4 3 3" xfId="13782" xr:uid="{2F02E8A3-9982-4462-8821-DCA548A92024}"/>
    <cellStyle name="40% - Accent6 2 2 2 2 4 4" xfId="21562" xr:uid="{8AA76091-58E1-454E-B709-F0B6B4AE5D8E}"/>
    <cellStyle name="40% - Accent6 2 2 2 2 4 4 2" xfId="7034" xr:uid="{2EBE979B-E569-42F5-AC80-23A29274D32E}"/>
    <cellStyle name="40% - Accent6 2 2 2 2 4 5" xfId="7031" xr:uid="{E4B26BB7-A134-48ED-B8E2-892AE534A7AB}"/>
    <cellStyle name="40% - Accent6 2 2 2 2 5" xfId="26649" xr:uid="{C57C28E4-795C-4D9D-B6B7-EE846E69369B}"/>
    <cellStyle name="40% - Accent6 2 2 2 2 5 2" xfId="26647" xr:uid="{782C2058-8F6C-42AB-A030-2AF16DC53ED7}"/>
    <cellStyle name="40% - Accent6 2 2 2 2 5 2 2" xfId="7028" xr:uid="{32A005A0-7AFB-46AA-8FD6-0AAAD1F0C4D5}"/>
    <cellStyle name="40% - Accent6 2 2 2 2 5 2 2 2" xfId="30765" xr:uid="{4538DC26-083C-41B1-AF99-67C55C99D496}"/>
    <cellStyle name="40% - Accent6 2 2 2 2 5 2 3" xfId="7025" xr:uid="{3651096B-5A95-444E-853D-0320D04EB8E9}"/>
    <cellStyle name="40% - Accent6 2 2 2 2 5 3" xfId="30675" xr:uid="{7EC1423B-2770-4299-926F-19C81569BC6B}"/>
    <cellStyle name="40% - Accent6 2 2 2 2 5 3 2" xfId="7022" xr:uid="{82D18CB6-754B-465A-A3E2-92D6EEF9A0C2}"/>
    <cellStyle name="40% - Accent6 2 2 2 2 5 4" xfId="7019" xr:uid="{090CE6F3-EE47-42DB-B7DC-3F4C81A0A49A}"/>
    <cellStyle name="40% - Accent6 2 2 2 2 6" xfId="26634" xr:uid="{9BBDA451-721A-42C0-B8D4-5209E4BD4941}"/>
    <cellStyle name="40% - Accent6 2 2 2 2 6 2" xfId="26628" xr:uid="{BBEBA76C-4672-4072-A0EA-6B94A5BF8DA1}"/>
    <cellStyle name="40% - Accent6 2 2 2 2 6 2 2" xfId="7016" xr:uid="{775617A6-D4E6-494C-BF8F-8D0ECF72F252}"/>
    <cellStyle name="40% - Accent6 2 2 2 2 6 3" xfId="7012" xr:uid="{BA969112-C014-4E98-867A-E37912EA52CB}"/>
    <cellStyle name="40% - Accent6 2 2 2 2 7" xfId="31611" xr:uid="{98C0F2F1-FDEC-4698-9808-A6E8E4409ABD}"/>
    <cellStyle name="40% - Accent6 2 2 2 2 7 2" xfId="7010" xr:uid="{47D56044-D82C-427B-85FF-BF2A7AC9E9D9}"/>
    <cellStyle name="40% - Accent6 2 2 2 2 8" xfId="7997" xr:uid="{7CCA2985-0B8C-42CF-89B4-2220DB46F39E}"/>
    <cellStyle name="40% - Accent6 2 2 2 3" xfId="25141" xr:uid="{6ABC86CD-40DD-4DCB-B97C-7AC039F9473F}"/>
    <cellStyle name="40% - Accent6 2 2 2 3 2" xfId="7983" xr:uid="{8740AE92-B748-4661-B859-FFC0381B0AAA}"/>
    <cellStyle name="40% - Accent6 2 2 2 3 2 2" xfId="33757" xr:uid="{1F96AC5D-96F8-46BB-B7AD-5F5B0F71E630}"/>
    <cellStyle name="40% - Accent6 2 2 2 3 2 2 2" xfId="19792" xr:uid="{A49CB6AF-8C83-490C-86BD-FC6424EBFE00}"/>
    <cellStyle name="40% - Accent6 2 2 2 3 2 2 2 2" xfId="7009" xr:uid="{BD8D0366-71FC-4706-9C1C-97EB47FD8622}"/>
    <cellStyle name="40% - Accent6 2 2 2 3 2 2 2 2 2" xfId="34388" xr:uid="{7041962B-6C17-41CB-8744-5B98487658EC}"/>
    <cellStyle name="40% - Accent6 2 2 2 3 2 2 2 2 2 2" xfId="21435" xr:uid="{3B3EFB7A-FBA7-4123-B01B-33C76957F680}"/>
    <cellStyle name="40% - Accent6 2 2 2 3 2 2 2 2 3" xfId="31638" xr:uid="{915137B6-FF6D-4EF8-BEE7-CFFDD9246EC4}"/>
    <cellStyle name="40% - Accent6 2 2 2 3 2 2 2 3" xfId="7008" xr:uid="{B1D5FF8C-9684-4DDD-86DB-CE4E318BFC81}"/>
    <cellStyle name="40% - Accent6 2 2 2 3 2 2 2 3 2" xfId="33565" xr:uid="{0D09B5C9-A300-47A4-B097-0B0B828B9EE2}"/>
    <cellStyle name="40% - Accent6 2 2 2 3 2 2 2 4" xfId="7006" xr:uid="{0F61C938-9040-4F06-87FC-E390DD6F12A0}"/>
    <cellStyle name="40% - Accent6 2 2 2 3 2 2 3" xfId="28716" xr:uid="{C59D0332-F6B1-4D97-B586-B84228B437F3}"/>
    <cellStyle name="40% - Accent6 2 2 2 3 2 2 3 2" xfId="11619" xr:uid="{975F08CD-0F7F-4AB5-8ED6-2921AB3422B3}"/>
    <cellStyle name="40% - Accent6 2 2 2 3 2 2 3 2 2" xfId="29603" xr:uid="{0600E553-D819-4381-90B9-E57975AE100A}"/>
    <cellStyle name="40% - Accent6 2 2 2 3 2 2 3 3" xfId="11615" xr:uid="{5421F40E-A33E-4227-87A0-716B577B4F8C}"/>
    <cellStyle name="40% - Accent6 2 2 2 3 2 2 4" xfId="10339" xr:uid="{7101BFA7-365C-4883-94BB-2B1916FD7FB9}"/>
    <cellStyle name="40% - Accent6 2 2 2 3 2 2 4 2" xfId="11600" xr:uid="{BD38776A-C5E3-4190-9DFE-783439F1E63B}"/>
    <cellStyle name="40% - Accent6 2 2 2 3 2 2 5" xfId="7003" xr:uid="{F8A65FA4-3A16-45AC-BF15-6496E943974C}"/>
    <cellStyle name="40% - Accent6 2 2 2 3 2 3" xfId="7001" xr:uid="{5D4ED201-9C9F-4BBB-89F3-8BED94B140F9}"/>
    <cellStyle name="40% - Accent6 2 2 2 3 2 3 2" xfId="9047" xr:uid="{CF2630ED-6F1E-491A-A75B-01427C2CAA40}"/>
    <cellStyle name="40% - Accent6 2 2 2 3 2 3 2 2" xfId="6999" xr:uid="{B7A62889-B0B0-467D-B67F-FD2808B061B6}"/>
    <cellStyle name="40% - Accent6 2 2 2 3 2 3 2 2 2" xfId="27953" xr:uid="{61CCD53B-2B4D-4E19-A0C8-0A6318DABBC4}"/>
    <cellStyle name="40% - Accent6 2 2 2 3 2 3 2 3" xfId="6998" xr:uid="{E367F16B-60FF-4ADC-B2EA-20BF69EF211A}"/>
    <cellStyle name="40% - Accent6 2 2 2 3 2 3 3" xfId="10337" xr:uid="{1DF9DD19-5D99-4EC9-88BF-CCCFE9A669F6}"/>
    <cellStyle name="40% - Accent6 2 2 2 3 2 3 3 2" xfId="28038" xr:uid="{0FB6BD5A-45CE-45BE-B7BE-3551D81ABF6B}"/>
    <cellStyle name="40% - Accent6 2 2 2 3 2 3 4" xfId="6996" xr:uid="{C92C37C1-5DD9-4D83-82D3-83319D409A1B}"/>
    <cellStyle name="40% - Accent6 2 2 2 3 2 4" xfId="6995" xr:uid="{C0B78497-2CDE-4BB4-BCBC-6634FE70E0DD}"/>
    <cellStyle name="40% - Accent6 2 2 2 3 2 4 2" xfId="32488" xr:uid="{7AC4D45E-8597-4029-82A0-3C29472E79B4}"/>
    <cellStyle name="40% - Accent6 2 2 2 3 2 4 2 2" xfId="6993" xr:uid="{117D51E8-2F6E-4A15-A5D0-F44824A6C8E0}"/>
    <cellStyle name="40% - Accent6 2 2 2 3 2 4 3" xfId="6992" xr:uid="{C0B2E013-9836-4B0A-BBA5-34B10A2C3C5D}"/>
    <cellStyle name="40% - Accent6 2 2 2 3 2 5" xfId="31012" xr:uid="{E67FAD8F-2D70-485C-A56C-6CFA527703D5}"/>
    <cellStyle name="40% - Accent6 2 2 2 3 2 5 2" xfId="6991" xr:uid="{265E0784-C5E0-434C-8EEB-53DF7D040D94}"/>
    <cellStyle name="40% - Accent6 2 2 2 3 2 6" xfId="6990" xr:uid="{1C697069-8406-43C7-A259-2AED77829302}"/>
    <cellStyle name="40% - Accent6 2 2 2 3 3" xfId="6988" xr:uid="{F99DD867-AF2C-4764-8BE7-ECBEAC55DE06}"/>
    <cellStyle name="40% - Accent6 2 2 2 3 3 2" xfId="6987" xr:uid="{70BA52D2-7EA4-43E6-80FA-BCF8D81B7391}"/>
    <cellStyle name="40% - Accent6 2 2 2 3 3 2 2" xfId="30409" xr:uid="{4E149ADC-064D-45F7-B277-134AA23B07E4}"/>
    <cellStyle name="40% - Accent6 2 2 2 3 3 2 2 2" xfId="26098" xr:uid="{A96E5790-22D6-4647-AD4A-096DDC5CEAE8}"/>
    <cellStyle name="40% - Accent6 2 2 2 3 3 2 2 2 2" xfId="7539" xr:uid="{3596F3FD-0998-43F8-95F9-9311A68F2D68}"/>
    <cellStyle name="40% - Accent6 2 2 2 3 3 2 2 3" xfId="6986" xr:uid="{2D809074-F57C-46A0-861F-99D8EA934D17}"/>
    <cellStyle name="40% - Accent6 2 2 2 3 3 2 3" xfId="30362" xr:uid="{27697DDE-EF84-4398-9E5C-2D4C265F47C3}"/>
    <cellStyle name="40% - Accent6 2 2 2 3 3 2 3 2" xfId="11492" xr:uid="{43DB7D1E-71E2-4E25-8739-1FD538D5E734}"/>
    <cellStyle name="40% - Accent6 2 2 2 3 3 2 4" xfId="6984" xr:uid="{EA3C920D-F74B-4321-B119-067E0A9B3EC7}"/>
    <cellStyle name="40% - Accent6 2 2 2 3 3 3" xfId="6983" xr:uid="{6BDA87E2-850A-4C53-B0D4-8F3DDA4F846A}"/>
    <cellStyle name="40% - Accent6 2 2 2 3 3 3 2" xfId="25025" xr:uid="{F62AE995-AF8A-429B-8AD5-445F08542731}"/>
    <cellStyle name="40% - Accent6 2 2 2 3 3 3 2 2" xfId="6981" xr:uid="{F16641B8-999B-4DA7-ABC8-6FBE9A15B354}"/>
    <cellStyle name="40% - Accent6 2 2 2 3 3 3 3" xfId="13770" xr:uid="{6727772A-B73F-43FD-B30D-EE27B5536E4B}"/>
    <cellStyle name="40% - Accent6 2 2 2 3 3 4" xfId="6980" xr:uid="{CC468384-7B1B-4AE6-9240-28780BC0CD0F}"/>
    <cellStyle name="40% - Accent6 2 2 2 3 3 4 2" xfId="6978" xr:uid="{9B70343D-1D43-44E5-89E7-D36906351CAF}"/>
    <cellStyle name="40% - Accent6 2 2 2 3 3 5" xfId="6976" xr:uid="{90FB4457-2577-43BF-BF2E-C4C71E6F6A3B}"/>
    <cellStyle name="40% - Accent6 2 2 2 3 4" xfId="18023" xr:uid="{A74CC0F9-1697-4924-8CB0-1801869ADF28}"/>
    <cellStyle name="40% - Accent6 2 2 2 3 4 2" xfId="18018" xr:uid="{7A6DF01D-3C07-479F-8BFD-D9D4DC448E8E}"/>
    <cellStyle name="40% - Accent6 2 2 2 3 4 2 2" xfId="14499" xr:uid="{45C184DF-57B5-427C-8957-FD6031139DB4}"/>
    <cellStyle name="40% - Accent6 2 2 2 3 4 2 2 2" xfId="6972" xr:uid="{C915EEF4-D339-433D-9EFB-05236BA5286F}"/>
    <cellStyle name="40% - Accent6 2 2 2 3 4 2 3" xfId="6969" xr:uid="{D6A1B230-164F-4FE0-BF04-A2FDCAB39282}"/>
    <cellStyle name="40% - Accent6 2 2 2 3 4 3" xfId="30664" xr:uid="{C65290AF-91F9-41B6-901F-902A0194AF3C}"/>
    <cellStyle name="40% - Accent6 2 2 2 3 4 3 2" xfId="6966" xr:uid="{C07635B3-9667-4E9B-A25A-3734E168D022}"/>
    <cellStyle name="40% - Accent6 2 2 2 3 4 4" xfId="6963" xr:uid="{21B51556-3D10-408F-B8DC-C3DB8345742B}"/>
    <cellStyle name="40% - Accent6 2 2 2 3 5" xfId="13329" xr:uid="{E26A167D-FA0A-409F-849C-8498EF6DE6D2}"/>
    <cellStyle name="40% - Accent6 2 2 2 3 5 2" xfId="26604" xr:uid="{5ACC30FB-E36A-406A-9D27-55B412EC265D}"/>
    <cellStyle name="40% - Accent6 2 2 2 3 5 2 2" xfId="6960" xr:uid="{716F0E60-37E7-4B85-915C-47D4AB287492}"/>
    <cellStyle name="40% - Accent6 2 2 2 3 5 3" xfId="31302" xr:uid="{84820836-6DA0-4131-BA66-E7D3BFA062CF}"/>
    <cellStyle name="40% - Accent6 2 2 2 3 6" xfId="23390" xr:uid="{197FDF68-1072-4BB0-8328-CD125E1619EA}"/>
    <cellStyle name="40% - Accent6 2 2 2 3 6 2" xfId="5609" xr:uid="{214BB748-C7C3-4717-BC5A-23B5BC6D1FED}"/>
    <cellStyle name="40% - Accent6 2 2 2 3 7" xfId="32548" xr:uid="{EEF61442-E35F-4396-BEA5-03FAF0EAB6D1}"/>
    <cellStyle name="40% - Accent6 2 2 2 4" xfId="24602" xr:uid="{7BCE8785-8800-42D3-B154-CA33FA023179}"/>
    <cellStyle name="40% - Accent6 2 2 2 4 2" xfId="6956" xr:uid="{E9219981-1BF4-4443-8511-245AB7F1A7EC}"/>
    <cellStyle name="40% - Accent6 2 2 2 4 2 2" xfId="6954" xr:uid="{A3916D0E-B998-402B-BB46-A25E0DE7153E}"/>
    <cellStyle name="40% - Accent6 2 2 2 4 2 2 2" xfId="6953" xr:uid="{7A138C39-70E9-4963-B109-FD1126181193}"/>
    <cellStyle name="40% - Accent6 2 2 2 4 2 2 2 2" xfId="33188" xr:uid="{5E2055ED-0DA8-4A61-89FD-93CD4364EDFB}"/>
    <cellStyle name="40% - Accent6 2 2 2 4 2 2 2 2 2" xfId="29531" xr:uid="{387B75F4-3253-4D01-A4D2-302A203505A1}"/>
    <cellStyle name="40% - Accent6 2 2 2 4 2 2 2 3" xfId="33880" xr:uid="{23B22337-E457-4384-A531-4409EEC31188}"/>
    <cellStyle name="40% - Accent6 2 2 2 4 2 2 3" xfId="10296" xr:uid="{651A2DAA-6E20-4475-AB1A-C1F540E35E31}"/>
    <cellStyle name="40% - Accent6 2 2 2 4 2 2 3 2" xfId="33667" xr:uid="{83E60639-D90E-45CF-B984-BA8C38C1D775}"/>
    <cellStyle name="40% - Accent6 2 2 2 4 2 2 4" xfId="15061" xr:uid="{C3F02675-344D-4FF2-BBA5-0F489744DB88}"/>
    <cellStyle name="40% - Accent6 2 2 2 4 2 3" xfId="6952" xr:uid="{7BBCB484-F171-4089-9979-F7B999435DAC}"/>
    <cellStyle name="40% - Accent6 2 2 2 4 2 3 2" xfId="6950" xr:uid="{2C7090B8-2433-4E14-A60D-1F6E188FFE5E}"/>
    <cellStyle name="40% - Accent6 2 2 2 4 2 3 2 2" xfId="33854" xr:uid="{BF242788-4E7E-46AB-BE0D-7AF36F4B5834}"/>
    <cellStyle name="40% - Accent6 2 2 2 4 2 3 3" xfId="6947" xr:uid="{383BF28B-EFD7-4AC7-8069-E82D220866DE}"/>
    <cellStyle name="40% - Accent6 2 2 2 4 2 4" xfId="6946" xr:uid="{65B53EFD-4726-4349-A022-2B9D982B1F86}"/>
    <cellStyle name="40% - Accent6 2 2 2 4 2 4 2" xfId="6945" xr:uid="{DE6875E2-9820-498A-ABC2-BDC0096AC80A}"/>
    <cellStyle name="40% - Accent6 2 2 2 4 2 5" xfId="6944" xr:uid="{6BAC2F55-8EDE-433D-91B0-326102A20305}"/>
    <cellStyle name="40% - Accent6 2 2 2 4 3" xfId="6943" xr:uid="{87580015-7DFF-4E99-B91D-6AC8CB3081AA}"/>
    <cellStyle name="40% - Accent6 2 2 2 4 3 2" xfId="6942" xr:uid="{F30843BE-47EE-41C3-9ED9-BA5F40415DBF}"/>
    <cellStyle name="40% - Accent6 2 2 2 4 3 2 2" xfId="29893" xr:uid="{1CA4E7F6-DC2A-4661-AB48-40337237EE9A}"/>
    <cellStyle name="40% - Accent6 2 2 2 4 3 2 2 2" xfId="33372" xr:uid="{909E1C7B-7572-4F43-AB8E-0164C2AEEDB6}"/>
    <cellStyle name="40% - Accent6 2 2 2 4 3 2 3" xfId="6941" xr:uid="{052A4580-D851-4097-8C24-01033A44D011}"/>
    <cellStyle name="40% - Accent6 2 2 2 4 3 3" xfId="6940" xr:uid="{2262081F-CA89-4BDF-A259-EA41B6225DC0}"/>
    <cellStyle name="40% - Accent6 2 2 2 4 3 3 2" xfId="6939" xr:uid="{F7BA2BA9-8966-4928-8DF1-A7E8B6C3D093}"/>
    <cellStyle name="40% - Accent6 2 2 2 4 3 4" xfId="6938" xr:uid="{DAE6F76D-1BA7-4B00-B827-80F973FB0C1E}"/>
    <cellStyle name="40% - Accent6 2 2 2 4 4" xfId="18003" xr:uid="{57D65B48-266D-4ADE-8C91-31126DF5ACA2}"/>
    <cellStyle name="40% - Accent6 2 2 2 4 4 2" xfId="26593" xr:uid="{3C842D6C-8F29-4C40-81B1-000BD26BBD9D}"/>
    <cellStyle name="40% - Accent6 2 2 2 4 4 2 2" xfId="6936" xr:uid="{FFB9A094-C13F-4DAB-A9DB-D219319AF810}"/>
    <cellStyle name="40% - Accent6 2 2 2 4 4 3" xfId="6933" xr:uid="{3D8353CD-F42D-4F05-A0C3-ED7D147E99C5}"/>
    <cellStyle name="40% - Accent6 2 2 2 4 5" xfId="25772" xr:uid="{09F4C5D9-ECCC-4013-ACF6-899B09B93032}"/>
    <cellStyle name="40% - Accent6 2 2 2 4 5 2" xfId="30764" xr:uid="{20931CE2-F782-4B5F-994D-314AD022A283}"/>
    <cellStyle name="40% - Accent6 2 2 2 4 6" xfId="25532" xr:uid="{89BF7166-934B-49E1-B515-F77C8170A186}"/>
    <cellStyle name="40% - Accent6 2 2 2 5" xfId="33840" xr:uid="{F3417760-280D-4B1F-8E8C-141C84D9E3AE}"/>
    <cellStyle name="40% - Accent6 2 2 2 5 2" xfId="6931" xr:uid="{91B1D8CC-6845-4F80-9DFA-DA7293BA62A3}"/>
    <cellStyle name="40% - Accent6 2 2 2 5 2 2" xfId="6930" xr:uid="{29C4A245-3EF9-4104-903B-0FA12EBFAA32}"/>
    <cellStyle name="40% - Accent6 2 2 2 5 2 2 2" xfId="6928" xr:uid="{647FF172-FC69-41D8-AA3D-9A46FD046BC7}"/>
    <cellStyle name="40% - Accent6 2 2 2 5 2 2 2 2" xfId="28666" xr:uid="{1EABFD6C-E19C-45BF-B2F6-4A3ED3A1F219}"/>
    <cellStyle name="40% - Accent6 2 2 2 5 2 2 3" xfId="6482" xr:uid="{51A4F3E4-2A14-4CCC-8A2E-9731D0489329}"/>
    <cellStyle name="40% - Accent6 2 2 2 5 2 3" xfId="20385" xr:uid="{0907892E-41EF-4570-8BE6-7B2BF1BC2A81}"/>
    <cellStyle name="40% - Accent6 2 2 2 5 2 3 2" xfId="14647" xr:uid="{0298ED0C-E69B-43CE-8193-5A1CEA8A387D}"/>
    <cellStyle name="40% - Accent6 2 2 2 5 2 4" xfId="18591" xr:uid="{425FA7D2-322B-4B43-A8A8-9B003896EF36}"/>
    <cellStyle name="40% - Accent6 2 2 2 5 3" xfId="18783" xr:uid="{7CCA5178-C62D-4A24-8347-95C01FDA25DC}"/>
    <cellStyle name="40% - Accent6 2 2 2 5 3 2" xfId="6927" xr:uid="{34F4482B-3C1D-4F1D-81BA-0204787E9BB7}"/>
    <cellStyle name="40% - Accent6 2 2 2 5 3 2 2" xfId="6925" xr:uid="{37D1B818-1906-4104-BD4D-5E3879817997}"/>
    <cellStyle name="40% - Accent6 2 2 2 5 3 3" xfId="20248" xr:uid="{6D34A0DF-6B4E-41F3-A67E-9E201B45ED38}"/>
    <cellStyle name="40% - Accent6 2 2 2 5 4" xfId="26581" xr:uid="{53D13B07-5FC8-4E49-8EC1-B1D3C35622C7}"/>
    <cellStyle name="40% - Accent6 2 2 2 5 4 2" xfId="6924" xr:uid="{E020C737-EF87-426E-BA88-FCB2628109AA}"/>
    <cellStyle name="40% - Accent6 2 2 2 5 5" xfId="31265" xr:uid="{73570B7C-0B7C-438F-82BD-B3BF2E94A767}"/>
    <cellStyle name="40% - Accent6 2 2 2 6" xfId="13151" xr:uid="{ED4FC321-BB48-4762-8FA3-BFA9A5BF05DE}"/>
    <cellStyle name="40% - Accent6 2 2 2 6 2" xfId="6922" xr:uid="{CB663AB3-4998-4579-9D8C-DFCFB2015CBC}"/>
    <cellStyle name="40% - Accent6 2 2 2 6 2 2" xfId="6921" xr:uid="{ADDCC6BE-9A2F-40F3-A804-D4B51780F614}"/>
    <cellStyle name="40% - Accent6 2 2 2 6 2 2 2" xfId="6919" xr:uid="{4AA30630-467E-424F-B71F-EEA1EB195C3E}"/>
    <cellStyle name="40% - Accent6 2 2 2 6 2 3" xfId="24320" xr:uid="{C78B78E1-442E-4A6F-8343-FFC594B8C918}"/>
    <cellStyle name="40% - Accent6 2 2 2 6 3" xfId="6917" xr:uid="{C5C3F9A2-BBCE-415F-954A-B9DCC5DA5E82}"/>
    <cellStyle name="40% - Accent6 2 2 2 6 3 2" xfId="6915" xr:uid="{32B9D2A0-2A0D-4C37-8382-4FC9AE62608D}"/>
    <cellStyle name="40% - Accent6 2 2 2 6 4" xfId="7812" xr:uid="{248D68A2-D63A-40F0-918C-6A2964D4A248}"/>
    <cellStyle name="40% - Accent6 2 2 2 7" xfId="6912" xr:uid="{F0679A74-5F25-405A-8B53-24DF9AC989B2}"/>
    <cellStyle name="40% - Accent6 2 2 2 7 2" xfId="8795" xr:uid="{4776C737-C36C-4986-8F13-A5C9423DF533}"/>
    <cellStyle name="40% - Accent6 2 2 2 7 2 2" xfId="6911" xr:uid="{D460A9B5-A250-4D08-AB67-1BAA40E638CF}"/>
    <cellStyle name="40% - Accent6 2 2 2 7 3" xfId="6908" xr:uid="{2D93670F-80D0-4CEE-8376-99A4020A35B3}"/>
    <cellStyle name="40% - Accent6 2 2 2 8" xfId="6907" xr:uid="{0EE9996D-CC6D-4083-B616-A7D5FB5497DA}"/>
    <cellStyle name="40% - Accent6 2 2 2 8 2" xfId="6906" xr:uid="{02DC1165-E1F3-4DFD-A141-B561115F4843}"/>
    <cellStyle name="40% - Accent6 2 2 2 9" xfId="27594" xr:uid="{BB0B41F5-87B5-4359-8BC5-83C15CF79DB7}"/>
    <cellStyle name="40% - Accent6 2 2 3" xfId="7979" xr:uid="{3626F765-0BD2-4920-92C4-AD3E26B1B19F}"/>
    <cellStyle name="40% - Accent6 2 2 3 2" xfId="7976" xr:uid="{9CBCCEDE-1737-4F89-905A-1F9233D93D6D}"/>
    <cellStyle name="40% - Accent6 2 2 3 2 2" xfId="7973" xr:uid="{4B8A8B37-229F-4B66-86BD-793E3C001C8A}"/>
    <cellStyle name="40% - Accent6 2 2 3 2 2 2" xfId="33878" xr:uid="{1FD91B7B-EA1F-44FA-83D9-BB58CAEAF17C}"/>
    <cellStyle name="40% - Accent6 2 2 3 2 2 2 2" xfId="6904" xr:uid="{41FFCD7C-85BF-4F51-87A6-AF6AD815B334}"/>
    <cellStyle name="40% - Accent6 2 2 3 2 2 2 2 2" xfId="6903" xr:uid="{93A6DBE2-8D26-4CF3-8A9B-F60C32890D63}"/>
    <cellStyle name="40% - Accent6 2 2 3 2 2 2 2 2 2" xfId="6902" xr:uid="{0AE7CCB6-2CD3-411D-9448-C4EE8C72A51E}"/>
    <cellStyle name="40% - Accent6 2 2 3 2 2 2 2 2 2 2" xfId="6901" xr:uid="{C1341183-967B-4B3F-A9F6-9804CFEE1B49}"/>
    <cellStyle name="40% - Accent6 2 2 3 2 2 2 2 2 3" xfId="29563" xr:uid="{43AED625-750B-4747-AE12-E3DDC9351420}"/>
    <cellStyle name="40% - Accent6 2 2 3 2 2 2 2 3" xfId="6899" xr:uid="{EBDA78BF-F79F-40DF-9586-FFA1E5975501}"/>
    <cellStyle name="40% - Accent6 2 2 3 2 2 2 2 3 2" xfId="27621" xr:uid="{D16991AD-5F17-421B-B6C5-D5CE30A7D3E9}"/>
    <cellStyle name="40% - Accent6 2 2 3 2 2 2 2 4" xfId="11739" xr:uid="{F2C78734-DDF5-4500-BEF8-AE57FFC51C23}"/>
    <cellStyle name="40% - Accent6 2 2 3 2 2 2 3" xfId="27763" xr:uid="{E601047C-7AB5-41BD-8B59-651823EC2B56}"/>
    <cellStyle name="40% - Accent6 2 2 3 2 2 2 3 2" xfId="10072" xr:uid="{FBF464E6-9404-4432-9B1C-20D890F2C8B2}"/>
    <cellStyle name="40% - Accent6 2 2 3 2 2 2 3 2 2" xfId="6897" xr:uid="{7716A8BF-D3C9-42CB-B8D3-69EB6D47168A}"/>
    <cellStyle name="40% - Accent6 2 2 3 2 2 2 3 3" xfId="10066" xr:uid="{728F7233-D5D7-44DA-959F-28BA4203B5A7}"/>
    <cellStyle name="40% - Accent6 2 2 3 2 2 2 4" xfId="9602" xr:uid="{0D29FD55-90B3-401C-863D-5919834F9BF9}"/>
    <cellStyle name="40% - Accent6 2 2 3 2 2 2 4 2" xfId="10060" xr:uid="{4D651AFC-BD5B-466D-88AC-0AA22298EA69}"/>
    <cellStyle name="40% - Accent6 2 2 3 2 2 2 5" xfId="6896" xr:uid="{A039DA7C-3AE9-4F87-9DD9-17222F27178E}"/>
    <cellStyle name="40% - Accent6 2 2 3 2 2 3" xfId="6893" xr:uid="{0A8627AA-38DD-46C9-867F-99103B62BC49}"/>
    <cellStyle name="40% - Accent6 2 2 3 2 2 3 2" xfId="7185" xr:uid="{8878D776-A451-4531-BB15-E1688C4B8279}"/>
    <cellStyle name="40% - Accent6 2 2 3 2 2 3 2 2" xfId="6889" xr:uid="{4F85BFC8-D9D1-4C77-A4AC-EBB0807AFBC5}"/>
    <cellStyle name="40% - Accent6 2 2 3 2 2 3 2 2 2" xfId="29106" xr:uid="{E563CC52-17E1-4312-BC29-64B20426CB03}"/>
    <cellStyle name="40% - Accent6 2 2 3 2 2 3 2 3" xfId="6887" xr:uid="{5DF6FF43-A814-42B7-BDB0-1E2B6CE5D57B}"/>
    <cellStyle name="40% - Accent6 2 2 3 2 2 3 3" xfId="9598" xr:uid="{5D58BCAA-928E-4C43-A896-216D7F81BF8F}"/>
    <cellStyle name="40% - Accent6 2 2 3 2 2 3 3 2" xfId="30911" xr:uid="{68E94F6C-85DD-4D54-AE09-08C2B66288FB}"/>
    <cellStyle name="40% - Accent6 2 2 3 2 2 3 4" xfId="6885" xr:uid="{FC18929D-F990-4BB8-A63F-3F80B27A9546}"/>
    <cellStyle name="40% - Accent6 2 2 3 2 2 4" xfId="6884" xr:uid="{1EF6574F-D81E-4639-9CD3-83978D451720}"/>
    <cellStyle name="40% - Accent6 2 2 3 2 2 4 2" xfId="7179" xr:uid="{E8249190-C8BA-4B6E-9046-59B8C946423E}"/>
    <cellStyle name="40% - Accent6 2 2 3 2 2 4 2 2" xfId="6883" xr:uid="{5759BDD4-AEE5-48E0-826F-C4F5E891FDB9}"/>
    <cellStyle name="40% - Accent6 2 2 3 2 2 4 3" xfId="29182" xr:uid="{87FE856E-13DC-4C1C-A23C-E6569D08E16B}"/>
    <cellStyle name="40% - Accent6 2 2 3 2 2 5" xfId="15691" xr:uid="{FC09253A-C444-4DCD-8D0B-553EFBA6DDCE}"/>
    <cellStyle name="40% - Accent6 2 2 3 2 2 5 2" xfId="6882" xr:uid="{BA45813D-F08D-44F0-939E-70298D7A4A95}"/>
    <cellStyle name="40% - Accent6 2 2 3 2 2 6" xfId="6881" xr:uid="{BC25CD8E-BC31-48AB-92F3-B0DF2EFCC2A6}"/>
    <cellStyle name="40% - Accent6 2 2 3 2 3" xfId="6878" xr:uid="{AAB4FAA2-3A73-4D7E-A238-E1B22E170C00}"/>
    <cellStyle name="40% - Accent6 2 2 3 2 3 2" xfId="11306" xr:uid="{25579D8F-D7F2-44AD-AF33-B641DF816F66}"/>
    <cellStyle name="40% - Accent6 2 2 3 2 3 2 2" xfId="17847" xr:uid="{A013FA60-7BE8-41B5-A1D1-C36ECE1C915A}"/>
    <cellStyle name="40% - Accent6 2 2 3 2 3 2 2 2" xfId="33609" xr:uid="{B34A1328-3CF9-4CA3-B429-7C5F85C21F8E}"/>
    <cellStyle name="40% - Accent6 2 2 3 2 3 2 2 2 2" xfId="6877" xr:uid="{7395FE62-6516-487B-AD37-63E52F6EAFD9}"/>
    <cellStyle name="40% - Accent6 2 2 3 2 3 2 2 3" xfId="10287" xr:uid="{E97EDF39-52C0-4C22-B92E-C683DAAA8AAA}"/>
    <cellStyle name="40% - Accent6 2 2 3 2 3 2 3" xfId="9512" xr:uid="{D18D3182-7112-41D4-8096-210EFDA035D3}"/>
    <cellStyle name="40% - Accent6 2 2 3 2 3 2 3 2" xfId="24376" xr:uid="{B1907510-1183-4624-B2BD-01EC36384F78}"/>
    <cellStyle name="40% - Accent6 2 2 3 2 3 2 4" xfId="6873" xr:uid="{259AE764-9257-4FBB-BA0A-CE6C23B7CF8D}"/>
    <cellStyle name="40% - Accent6 2 2 3 2 3 3" xfId="6871" xr:uid="{67500238-494F-4D1B-A834-C0151A1F9388}"/>
    <cellStyle name="40% - Accent6 2 2 3 2 3 3 2" xfId="7172" xr:uid="{A11B7A90-BB58-4B6B-A5B7-14F49357B603}"/>
    <cellStyle name="40% - Accent6 2 2 3 2 3 3 2 2" xfId="24364" xr:uid="{CB6E693A-ECC4-4215-9DC4-566ED9660CDA}"/>
    <cellStyle name="40% - Accent6 2 2 3 2 3 3 3" xfId="9508" xr:uid="{D767629A-326F-4B76-89A7-AD592DFE9545}"/>
    <cellStyle name="40% - Accent6 2 2 3 2 3 4" xfId="22235" xr:uid="{67394EBC-E9AA-4EA2-9483-B173B0CC9B4F}"/>
    <cellStyle name="40% - Accent6 2 2 3 2 3 4 2" xfId="6870" xr:uid="{34B0121A-4010-4BF5-849C-FF4F6224B8CF}"/>
    <cellStyle name="40% - Accent6 2 2 3 2 3 5" xfId="6868" xr:uid="{C488078B-D376-460F-A193-5D9E7F22F663}"/>
    <cellStyle name="40% - Accent6 2 2 3 2 4" xfId="11093" xr:uid="{44AC792D-3703-43D6-BC29-6DEB56E59DCA}"/>
    <cellStyle name="40% - Accent6 2 2 3 2 4 2" xfId="24406" xr:uid="{B3BE3D84-B0FB-45ED-8DD3-9BEC727B6711}"/>
    <cellStyle name="40% - Accent6 2 2 3 2 4 2 2" xfId="6864" xr:uid="{64BF0F11-5470-46D2-9423-4E63AF20C9FB}"/>
    <cellStyle name="40% - Accent6 2 2 3 2 4 2 2 2" xfId="24050" xr:uid="{A7B1B1C8-62D3-4C12-A99F-04C8ACA695BA}"/>
    <cellStyle name="40% - Accent6 2 2 3 2 4 2 3" xfId="6862" xr:uid="{C7217792-FCF3-4DE6-A4F6-140CE846E27B}"/>
    <cellStyle name="40% - Accent6 2 2 3 2 4 3" xfId="28873" xr:uid="{D324079D-2F62-4352-AEDA-A7259FB3A7AA}"/>
    <cellStyle name="40% - Accent6 2 2 3 2 4 3 2" xfId="6859" xr:uid="{A4BD66B3-FE57-4CDA-8691-0214AD0A244F}"/>
    <cellStyle name="40% - Accent6 2 2 3 2 4 4" xfId="25421" xr:uid="{47B7CA6A-5F56-423D-BE80-15337EEBA540}"/>
    <cellStyle name="40% - Accent6 2 2 3 2 5" xfId="29107" xr:uid="{55F46450-1C0E-4933-9B7E-4F67F1EA4DFE}"/>
    <cellStyle name="40% - Accent6 2 2 3 2 5 2" xfId="26517" xr:uid="{5F6BA985-6361-40B1-A138-DAB09A9BF93C}"/>
    <cellStyle name="40% - Accent6 2 2 3 2 5 2 2" xfId="6857" xr:uid="{5F5981CD-996D-48A0-8C3B-763FB1ABB2A8}"/>
    <cellStyle name="40% - Accent6 2 2 3 2 5 3" xfId="25409" xr:uid="{18F645C9-0E9E-4B58-B718-1D8E9F69DB45}"/>
    <cellStyle name="40% - Accent6 2 2 3 2 6" xfId="33892" xr:uid="{7B9F8B66-D1B6-4312-8434-B67BF7F9A6BD}"/>
    <cellStyle name="40% - Accent6 2 2 3 2 6 2" xfId="6854" xr:uid="{42FEEE92-E048-4098-836E-E88C0E18861C}"/>
    <cellStyle name="40% - Accent6 2 2 3 2 7" xfId="6853" xr:uid="{5F415CF5-B6F2-45B0-B636-0472F78B1A66}"/>
    <cellStyle name="40% - Accent6 2 2 3 3" xfId="25131" xr:uid="{3F316A97-D5EB-4E96-AE61-EB102999AB9C}"/>
    <cellStyle name="40% - Accent6 2 2 3 3 2" xfId="6852" xr:uid="{62963601-F10B-45FA-9F37-04D16B3002EE}"/>
    <cellStyle name="40% - Accent6 2 2 3 3 2 2" xfId="6851" xr:uid="{7DB2273B-3FCE-4464-A949-C3B367FDA42C}"/>
    <cellStyle name="40% - Accent6 2 2 3 3 2 2 2" xfId="6850" xr:uid="{E8B60F07-70A0-4D9C-97F7-6B996F1CB663}"/>
    <cellStyle name="40% - Accent6 2 2 3 3 2 2 2 2" xfId="6849" xr:uid="{36414EBC-8FD0-4B4B-A8A4-4E2AFE807E4D}"/>
    <cellStyle name="40% - Accent6 2 2 3 3 2 2 2 2 2" xfId="18961" xr:uid="{AFEDA9A9-57A7-48EE-AD49-1FB4F94F6ACF}"/>
    <cellStyle name="40% - Accent6 2 2 3 3 2 2 2 3" xfId="6848" xr:uid="{CF1DBF54-F6C7-4F95-92A5-F0AC4B7097B2}"/>
    <cellStyle name="40% - Accent6 2 2 3 3 2 2 3" xfId="9556" xr:uid="{906B0FC2-62B9-4B4C-B33C-00B53EFE90CB}"/>
    <cellStyle name="40% - Accent6 2 2 3 3 2 2 3 2" xfId="10922" xr:uid="{CECDB1DE-6249-451F-B1EB-7A48E8D0E864}"/>
    <cellStyle name="40% - Accent6 2 2 3 3 2 2 4" xfId="5326" xr:uid="{911B3548-6D9A-4D84-9783-B4695EDD3D92}"/>
    <cellStyle name="40% - Accent6 2 2 3 3 2 3" xfId="6845" xr:uid="{59D073DF-D13A-4E9C-86E7-412E315CFC9F}"/>
    <cellStyle name="40% - Accent6 2 2 3 3 2 3 2" xfId="7144" xr:uid="{808B512B-6BFB-4064-B558-29B1FBF9216F}"/>
    <cellStyle name="40% - Accent6 2 2 3 3 2 3 2 2" xfId="6842" xr:uid="{B82F465E-D158-4BBB-956F-B897456A35BA}"/>
    <cellStyle name="40% - Accent6 2 2 3 3 2 3 3" xfId="6841" xr:uid="{8E8AD753-104C-4D73-A057-B2B74CD934E8}"/>
    <cellStyle name="40% - Accent6 2 2 3 3 2 4" xfId="6840" xr:uid="{897761FB-55DC-4E66-A714-FAC90A453A75}"/>
    <cellStyle name="40% - Accent6 2 2 3 3 2 4 2" xfId="6839" xr:uid="{1CF23B69-6CBC-42C7-9F47-F0D5E56D21B0}"/>
    <cellStyle name="40% - Accent6 2 2 3 3 2 5" xfId="6838" xr:uid="{7C5F012E-1E32-412F-AD22-A022BFF47A20}"/>
    <cellStyle name="40% - Accent6 2 2 3 3 3" xfId="6836" xr:uid="{EA3FD5E5-4BE2-4E52-AC18-EBB969165176}"/>
    <cellStyle name="40% - Accent6 2 2 3 3 3 2" xfId="6835" xr:uid="{9845BA98-3970-435C-929A-2F8D27599911}"/>
    <cellStyle name="40% - Accent6 2 2 3 3 3 2 2" xfId="34035" xr:uid="{1906C013-6620-4E19-AAD1-4AF1A3CA79C1}"/>
    <cellStyle name="40% - Accent6 2 2 3 3 3 2 2 2" xfId="23257" xr:uid="{D02F5D4F-D0CF-45CB-B33C-51F6FB015504}"/>
    <cellStyle name="40% - Accent6 2 2 3 3 3 2 3" xfId="6834" xr:uid="{D4857F19-E937-4086-9D33-F470205FAF6D}"/>
    <cellStyle name="40% - Accent6 2 2 3 3 3 3" xfId="6832" xr:uid="{246CB342-CAE9-4002-AEF2-3CE204C7E8D3}"/>
    <cellStyle name="40% - Accent6 2 2 3 3 3 3 2" xfId="6831" xr:uid="{F23AE63F-799C-4C86-8A9A-A00C3EB549FC}"/>
    <cellStyle name="40% - Accent6 2 2 3 3 3 4" xfId="6830" xr:uid="{940A69DE-AFC0-4AAE-AFF4-F8C5312462F2}"/>
    <cellStyle name="40% - Accent6 2 2 3 3 4" xfId="29081" xr:uid="{19BE5B9F-356D-4915-947A-85584E9FD6B6}"/>
    <cellStyle name="40% - Accent6 2 2 3 3 4 2" xfId="26506" xr:uid="{C92895C8-ED26-44B1-AD9D-B0982E4FD5AA}"/>
    <cellStyle name="40% - Accent6 2 2 3 3 4 2 2" xfId="6828" xr:uid="{30581A8C-E49F-49C7-B86A-A1F9F5C27632}"/>
    <cellStyle name="40% - Accent6 2 2 3 3 4 3" xfId="25389" xr:uid="{8C9AB5B5-588F-464F-842D-81329F4F5CCA}"/>
    <cellStyle name="40% - Accent6 2 2 3 3 5" xfId="26502" xr:uid="{463B264B-F49B-4959-BCB9-E35E4A703716}"/>
    <cellStyle name="40% - Accent6 2 2 3 3 5 2" xfId="31221" xr:uid="{947207CB-BF30-42CA-8AA5-370F969F5F2F}"/>
    <cellStyle name="40% - Accent6 2 2 3 3 6" xfId="29029" xr:uid="{4ABF987C-4C4A-46C6-8D37-1D8BFC984B26}"/>
    <cellStyle name="40% - Accent6 2 2 3 4" xfId="33642" xr:uid="{15FB36CF-0239-4EB4-A4D5-40DCE424C255}"/>
    <cellStyle name="40% - Accent6 2 2 3 4 2" xfId="6825" xr:uid="{C3433A34-82FB-4809-89C3-1C224151E9BD}"/>
    <cellStyle name="40% - Accent6 2 2 3 4 2 2" xfId="6824" xr:uid="{24456821-9ABE-4DD0-86E7-67AC85C6E7E2}"/>
    <cellStyle name="40% - Accent6 2 2 3 4 2 2 2" xfId="6823" xr:uid="{D4AAF634-9D4E-4BB4-A730-47ADD57C302E}"/>
    <cellStyle name="40% - Accent6 2 2 3 4 2 2 2 2" xfId="6822" xr:uid="{F924C13C-400D-497C-B2B7-82F129007382}"/>
    <cellStyle name="40% - Accent6 2 2 3 4 2 2 3" xfId="6821" xr:uid="{F40F4E6C-9A74-42B7-A2B1-5BD0442354CE}"/>
    <cellStyle name="40% - Accent6 2 2 3 4 2 3" xfId="6820" xr:uid="{469479C4-3481-450A-B6B1-E0BD878FD6E6}"/>
    <cellStyle name="40% - Accent6 2 2 3 4 2 3 2" xfId="6819" xr:uid="{5EDC8240-4942-430F-A5DD-0AC33748F715}"/>
    <cellStyle name="40% - Accent6 2 2 3 4 2 4" xfId="6818" xr:uid="{BB2B3837-186C-4A2D-BE9C-763E5A319E49}"/>
    <cellStyle name="40% - Accent6 2 2 3 4 3" xfId="6817" xr:uid="{A4116A43-9335-427C-A4C2-1159A95D3EE5}"/>
    <cellStyle name="40% - Accent6 2 2 3 4 3 2" xfId="6816" xr:uid="{7ACF4ECD-BE6B-421A-8107-1DD90FA271DD}"/>
    <cellStyle name="40% - Accent6 2 2 3 4 3 2 2" xfId="6815" xr:uid="{8D38A1B8-21DD-415B-84FC-DD14D8FD9126}"/>
    <cellStyle name="40% - Accent6 2 2 3 4 3 3" xfId="6814" xr:uid="{AF92D1D3-8409-4981-BB4C-915995CE3ED6}"/>
    <cellStyle name="40% - Accent6 2 2 3 4 4" xfId="26493" xr:uid="{B6C3CACF-DDAF-4DDB-8EFD-8BBB1136E75F}"/>
    <cellStyle name="40% - Accent6 2 2 3 4 4 2" xfId="6813" xr:uid="{3BC319C6-24E6-4358-ADBA-0F32A907A587}"/>
    <cellStyle name="40% - Accent6 2 2 3 4 5" xfId="14148" xr:uid="{65B7638B-D137-47BD-9925-F8DFC7E08F98}"/>
    <cellStyle name="40% - Accent6 2 2 3 5" xfId="13149" xr:uid="{0587BD78-43A4-4B6C-837C-C06EC2350A8A}"/>
    <cellStyle name="40% - Accent6 2 2 3 5 2" xfId="6812" xr:uid="{C71B6BFE-DFD7-47A2-9BC6-D3864DCA0300}"/>
    <cellStyle name="40% - Accent6 2 2 3 5 2 2" xfId="6811" xr:uid="{4EE48DE5-EA81-4B57-B35B-BCB041E21483}"/>
    <cellStyle name="40% - Accent6 2 2 3 5 2 2 2" xfId="6809" xr:uid="{E47EFADD-09BA-496A-8FBB-1705F7DA53C9}"/>
    <cellStyle name="40% - Accent6 2 2 3 5 2 3" xfId="26236" xr:uid="{437F0AF7-1C90-4F59-8594-B45887817570}"/>
    <cellStyle name="40% - Accent6 2 2 3 5 3" xfId="6808" xr:uid="{ADF9137E-E697-4EAD-9DC9-0B5B20E54B76}"/>
    <cellStyle name="40% - Accent6 2 2 3 5 3 2" xfId="6806" xr:uid="{1C15E6C9-7441-43F8-9E5F-DE5A8F5D0AEF}"/>
    <cellStyle name="40% - Accent6 2 2 3 5 4" xfId="7807" xr:uid="{0E52DA45-CFF9-43C9-B237-F8968E501274}"/>
    <cellStyle name="40% - Accent6 2 2 3 6" xfId="9294" xr:uid="{3DD60ACE-74A2-4B60-8D9A-80D3532664A6}"/>
    <cellStyle name="40% - Accent6 2 2 3 6 2" xfId="29874" xr:uid="{66F6F3A9-2D6B-4BA2-B5DD-1573690600CA}"/>
    <cellStyle name="40% - Accent6 2 2 3 6 2 2" xfId="6804" xr:uid="{F6EA23BF-2B41-4654-8B4D-DCC7B51E6F7F}"/>
    <cellStyle name="40% - Accent6 2 2 3 6 3" xfId="29243" xr:uid="{2229D9C4-22BC-401D-B1D2-82DD5FE9A5E8}"/>
    <cellStyle name="40% - Accent6 2 2 3 7" xfId="9291" xr:uid="{D6A44A29-163A-4790-B042-AC99AF778368}"/>
    <cellStyle name="40% - Accent6 2 2 3 7 2" xfId="25830" xr:uid="{CEDBCF6F-1EFE-467B-81ED-842D87694E58}"/>
    <cellStyle name="40% - Accent6 2 2 3 8" xfId="7423" xr:uid="{328E8258-E3B0-4021-9DE3-990A61307EBD}"/>
    <cellStyle name="40% - Accent6 2 2 4" xfId="30938" xr:uid="{C20C1CD1-1CB7-4D4C-B157-52741FF3AD6C}"/>
    <cellStyle name="40% - Accent6 2 2 4 2" xfId="30477" xr:uid="{680F21AD-9F8B-4240-9DEA-5DCD94607690}"/>
    <cellStyle name="40% - Accent6 2 2 4 2 2" xfId="6802" xr:uid="{26F0D42C-882A-4069-AB8F-87910563998C}"/>
    <cellStyle name="40% - Accent6 2 2 4 2 2 2" xfId="6801" xr:uid="{FED32953-5331-4D79-B6B9-3B75A3CE09DE}"/>
    <cellStyle name="40% - Accent6 2 2 4 2 2 2 2" xfId="16372" xr:uid="{3546D4D6-6CB4-4396-A734-2BB9CA443086}"/>
    <cellStyle name="40% - Accent6 2 2 4 2 2 2 2 2" xfId="5512" xr:uid="{E347DFD2-4A42-4A13-87C1-32B93E3D2ED0}"/>
    <cellStyle name="40% - Accent6 2 2 4 2 2 2 2 2 2" xfId="6800" xr:uid="{2620E1D4-71BE-4F80-B273-114208EF0F64}"/>
    <cellStyle name="40% - Accent6 2 2 4 2 2 2 2 3" xfId="6798" xr:uid="{E7674781-F153-4ECC-8B2F-F684D1134E23}"/>
    <cellStyle name="40% - Accent6 2 2 4 2 2 2 3" xfId="9377" xr:uid="{7813D731-7222-4E06-9D16-00FCFE48019F}"/>
    <cellStyle name="40% - Accent6 2 2 4 2 2 2 3 2" xfId="9781" xr:uid="{F26E70AE-212E-4AF8-A5C4-DA7C80FAD003}"/>
    <cellStyle name="40% - Accent6 2 2 4 2 2 2 4" xfId="6795" xr:uid="{F97D38F6-5C61-40F6-B954-CF2EBBD2CA63}"/>
    <cellStyle name="40% - Accent6 2 2 4 2 2 3" xfId="6794" xr:uid="{E679199E-2E26-48B6-8137-C40B982D7C8E}"/>
    <cellStyle name="40% - Accent6 2 2 4 2 2 3 2" xfId="6792" xr:uid="{10CE59DA-0A2F-4B6F-8666-FDAA704E8DCE}"/>
    <cellStyle name="40% - Accent6 2 2 4 2 2 3 2 2" xfId="6788" xr:uid="{756C74B3-81ED-4ED4-AA14-297AFAE9C588}"/>
    <cellStyle name="40% - Accent6 2 2 4 2 2 3 3" xfId="11034" xr:uid="{DA28194D-C5B9-403E-A9FC-E761C8257B99}"/>
    <cellStyle name="40% - Accent6 2 2 4 2 2 4" xfId="30860" xr:uid="{73B78B13-723C-4E5A-9A49-D3B7EB9BED4E}"/>
    <cellStyle name="40% - Accent6 2 2 4 2 2 4 2" xfId="16910" xr:uid="{BC85ADAC-2BA8-4F85-A1F3-599C5B7FE822}"/>
    <cellStyle name="40% - Accent6 2 2 4 2 2 5" xfId="21931" xr:uid="{63922992-861A-46B9-ADB7-F73D2E31BA7B}"/>
    <cellStyle name="40% - Accent6 2 2 4 2 3" xfId="6787" xr:uid="{D4B755FC-5530-48B6-A71E-00EF3FE35918}"/>
    <cellStyle name="40% - Accent6 2 2 4 2 3 2" xfId="6786" xr:uid="{B6239AC6-69EC-4F65-8850-B37EC5426305}"/>
    <cellStyle name="40% - Accent6 2 2 4 2 3 2 2" xfId="6785" xr:uid="{5CD1ADDF-452E-42E1-8152-198E09F62001}"/>
    <cellStyle name="40% - Accent6 2 2 4 2 3 2 2 2" xfId="21565" xr:uid="{A97FA1B3-7518-4D7F-85AA-1F4E69160560}"/>
    <cellStyle name="40% - Accent6 2 2 4 2 3 2 3" xfId="6784" xr:uid="{75F2A83D-D3A8-4689-8182-6A2AB776BA3A}"/>
    <cellStyle name="40% - Accent6 2 2 4 2 3 3" xfId="6782" xr:uid="{50109433-73C0-4785-B66A-0E123555E02F}"/>
    <cellStyle name="40% - Accent6 2 2 4 2 3 3 2" xfId="6781" xr:uid="{A4F455EC-D18B-41CB-B18F-B67554B0C4CE}"/>
    <cellStyle name="40% - Accent6 2 2 4 2 3 4" xfId="21923" xr:uid="{5DB36533-7126-48D0-878B-B535175229E9}"/>
    <cellStyle name="40% - Accent6 2 2 4 2 4" xfId="28975" xr:uid="{5A2529C8-9E83-4ECF-976B-07701D04F5EB}"/>
    <cellStyle name="40% - Accent6 2 2 4 2 4 2" xfId="24866" xr:uid="{A86CE178-DFBB-442D-BA05-EF0E336A7029}"/>
    <cellStyle name="40% - Accent6 2 2 4 2 4 2 2" xfId="6777" xr:uid="{282B53F9-27DE-4BF5-B7B8-EF312C637791}"/>
    <cellStyle name="40% - Accent6 2 2 4 2 4 3" xfId="25352" xr:uid="{DF6B0143-BB3F-489E-9DDE-6FEAB6204B20}"/>
    <cellStyle name="40% - Accent6 2 2 4 2 5" xfId="16693" xr:uid="{C9709BE8-0235-4197-91AD-63F027052D15}"/>
    <cellStyle name="40% - Accent6 2 2 4 2 5 2" xfId="6775" xr:uid="{404BB439-A3AF-4DC8-9B48-D6736D6AFDCC}"/>
    <cellStyle name="40% - Accent6 2 2 4 2 6" xfId="6773" xr:uid="{CF20F9BB-9AF4-467E-97F8-3F8E4B23A43A}"/>
    <cellStyle name="40% - Accent6 2 2 4 3" xfId="30156" xr:uid="{EEADC76A-082A-4833-BCE1-ADBC1D1A3A86}"/>
    <cellStyle name="40% - Accent6 2 2 4 3 2" xfId="8667" xr:uid="{AE9C21EF-5E22-4449-94A0-24C5F3BBD729}"/>
    <cellStyle name="40% - Accent6 2 2 4 3 2 2" xfId="6769" xr:uid="{A12220FC-E833-4EB4-957E-F15D2BC11BB6}"/>
    <cellStyle name="40% - Accent6 2 2 4 3 2 2 2" xfId="6768" xr:uid="{EB29061F-F678-4E5E-BF0B-65046B654B26}"/>
    <cellStyle name="40% - Accent6 2 2 4 3 2 2 2 2" xfId="12683" xr:uid="{14AE3C71-1AE2-4805-B962-D864403D612C}"/>
    <cellStyle name="40% - Accent6 2 2 4 3 2 2 3" xfId="6767" xr:uid="{8B3CD063-EC18-4BF1-8B52-912D4FC35C44}"/>
    <cellStyle name="40% - Accent6 2 2 4 3 2 3" xfId="6766" xr:uid="{29D832BF-F3D0-40BF-AC66-9BA8AE519043}"/>
    <cellStyle name="40% - Accent6 2 2 4 3 2 3 2" xfId="6765" xr:uid="{7C6F7F76-AC47-48D3-B70D-CC1406FC4511}"/>
    <cellStyle name="40% - Accent6 2 2 4 3 2 4" xfId="30822" xr:uid="{444E42B7-44E0-4F2A-8C26-31F3C7E99F7F}"/>
    <cellStyle name="40% - Accent6 2 2 4 3 3" xfId="6761" xr:uid="{33E53EE5-4A36-4C41-9D3A-2E5FDC1165E2}"/>
    <cellStyle name="40% - Accent6 2 2 4 3 3 2" xfId="6760" xr:uid="{538F6D8E-67F0-4490-8027-F9C102BF36EA}"/>
    <cellStyle name="40% - Accent6 2 2 4 3 3 2 2" xfId="20489" xr:uid="{49CFF131-457D-4544-8C4B-BC462EB2F706}"/>
    <cellStyle name="40% - Accent6 2 2 4 3 3 3" xfId="6759" xr:uid="{8FBF2349-09C3-437B-B888-73C51C243D30}"/>
    <cellStyle name="40% - Accent6 2 2 4 3 4" xfId="32405" xr:uid="{3A23FECD-9138-4D35-9E71-DADEC0A7C4FA}"/>
    <cellStyle name="40% - Accent6 2 2 4 3 4 2" xfId="6758" xr:uid="{07FC56CF-46F6-4744-94F0-233FA699673F}"/>
    <cellStyle name="40% - Accent6 2 2 4 3 5" xfId="16675" xr:uid="{17220221-76A0-433A-8A99-4814FA23AEEC}"/>
    <cellStyle name="40% - Accent6 2 2 4 4" xfId="30151" xr:uid="{DA83D3C9-5897-47D5-AF41-A7D3B6C4F071}"/>
    <cellStyle name="40% - Accent6 2 2 4 4 2" xfId="6757" xr:uid="{38FDDE83-A209-4D21-B508-617D78E294CF}"/>
    <cellStyle name="40% - Accent6 2 2 4 4 2 2" xfId="6756" xr:uid="{F86CC589-BD37-4A38-B9A2-2F46C298A398}"/>
    <cellStyle name="40% - Accent6 2 2 4 4 2 2 2" xfId="15310" xr:uid="{B26355E7-866F-41C1-98B1-01A62E8F2D26}"/>
    <cellStyle name="40% - Accent6 2 2 4 4 2 3" xfId="6755" xr:uid="{832308BD-F3E4-4AFB-99FE-2D7B58243D41}"/>
    <cellStyle name="40% - Accent6 2 2 4 4 3" xfId="6754" xr:uid="{63BED141-EF08-4A25-91CD-52F90E4A1B6B}"/>
    <cellStyle name="40% - Accent6 2 2 4 4 3 2" xfId="6753" xr:uid="{8491A627-63E3-421B-B34D-5757814FEC8B}"/>
    <cellStyle name="40% - Accent6 2 2 4 4 4" xfId="7803" xr:uid="{C2E29B8A-46F8-44F0-899A-56EFECD5F9C5}"/>
    <cellStyle name="40% - Accent6 2 2 4 5" xfId="31373" xr:uid="{B97A2D27-F99E-4299-9C37-77C550FE858E}"/>
    <cellStyle name="40% - Accent6 2 2 4 5 2" xfId="22536" xr:uid="{D0FAFB12-D767-4E2A-B892-1A14C8EB2F70}"/>
    <cellStyle name="40% - Accent6 2 2 4 5 2 2" xfId="9462" xr:uid="{370EDE5F-4FC4-4BBE-B72F-396FE77E0C1D}"/>
    <cellStyle name="40% - Accent6 2 2 4 5 3" xfId="22521" xr:uid="{82F7F84C-871A-43C7-8784-5E6A5D1543DD}"/>
    <cellStyle name="40% - Accent6 2 2 4 6" xfId="9287" xr:uid="{442C8961-E899-47AC-9B7B-8C398C3131DA}"/>
    <cellStyle name="40% - Accent6 2 2 4 6 2" xfId="22513" xr:uid="{531CF9C9-29A4-4A7D-8A53-CCE0C68DE9C3}"/>
    <cellStyle name="40% - Accent6 2 2 4 7" xfId="6752" xr:uid="{AADBAF94-821C-466E-9D29-CD5609B41947}"/>
    <cellStyle name="40% - Accent6 2 2 5" xfId="32809" xr:uid="{4E638C18-5964-443D-8A4F-0AC7B881E378}"/>
    <cellStyle name="40% - Accent6 2 2 5 2" xfId="25272" xr:uid="{9634495C-44BE-49E6-835A-753C32765391}"/>
    <cellStyle name="40% - Accent6 2 2 5 2 2" xfId="17815" xr:uid="{5EAE40DD-093B-4999-B808-66ECDF7A684D}"/>
    <cellStyle name="40% - Accent6 2 2 5 2 2 2" xfId="6748" xr:uid="{D009C325-6C05-428B-8358-46C05F1B4B8B}"/>
    <cellStyle name="40% - Accent6 2 2 5 2 2 2 2" xfId="20368" xr:uid="{75302C44-BECC-45B4-B273-C09178D5C10C}"/>
    <cellStyle name="40% - Accent6 2 2 5 2 2 2 2 2" xfId="12149" xr:uid="{2687F8D2-518D-49ED-9E77-571FA1DC9F7B}"/>
    <cellStyle name="40% - Accent6 2 2 5 2 2 2 3" xfId="6746" xr:uid="{75786201-2673-4440-8911-0734228ED596}"/>
    <cellStyle name="40% - Accent6 2 2 5 2 2 3" xfId="6743" xr:uid="{1DA8929F-7EB4-4808-907A-BD8C95ED3958}"/>
    <cellStyle name="40% - Accent6 2 2 5 2 2 3 2" xfId="6741" xr:uid="{E1024E4F-4BBB-41F0-B983-F40540E8AD50}"/>
    <cellStyle name="40% - Accent6 2 2 5 2 2 4" xfId="21733" xr:uid="{094ACB6E-8443-4EE5-B32F-EFE53A8DC984}"/>
    <cellStyle name="40% - Accent6 2 2 5 2 3" xfId="17810" xr:uid="{4C958F57-4C86-42D4-9593-B3D1ECA35FCE}"/>
    <cellStyle name="40% - Accent6 2 2 5 2 3 2" xfId="6740" xr:uid="{C4488EA5-43C4-4321-95F8-B9C5202BF962}"/>
    <cellStyle name="40% - Accent6 2 2 5 2 3 2 2" xfId="6738" xr:uid="{B2F6D51F-6BC3-4F5F-B268-13177869C51C}"/>
    <cellStyle name="40% - Accent6 2 2 5 2 3 3" xfId="6737" xr:uid="{25C7F9CA-6596-4E5F-AA19-E3815B6347FF}"/>
    <cellStyle name="40% - Accent6 2 2 5 2 4" xfId="26425" xr:uid="{E2D26797-5BBD-423A-8170-A04A4E9EB702}"/>
    <cellStyle name="40% - Accent6 2 2 5 2 4 2" xfId="6735" xr:uid="{B5D95112-0451-45C0-8150-071695332C8E}"/>
    <cellStyle name="40% - Accent6 2 2 5 2 5" xfId="6733" xr:uid="{11B42720-3DE1-4AEB-A59E-07E3E233CFC0}"/>
    <cellStyle name="40% - Accent6 2 2 5 3" xfId="26638" xr:uid="{F8257944-6C3A-4DC3-91A8-27779911D50F}"/>
    <cellStyle name="40% - Accent6 2 2 5 3 2" xfId="20201" xr:uid="{8CB07E41-6794-4DB0-966C-CA0E083A3EEF}"/>
    <cellStyle name="40% - Accent6 2 2 5 3 2 2" xfId="6730" xr:uid="{7DEFC682-AF81-46D2-83E1-5FF5370EB060}"/>
    <cellStyle name="40% - Accent6 2 2 5 3 2 2 2" xfId="6728" xr:uid="{DD306082-5978-4E03-9123-C01813EBF53D}"/>
    <cellStyle name="40% - Accent6 2 2 5 3 2 3" xfId="6726" xr:uid="{7529455C-D19B-471F-8DA8-8147A7CA348C}"/>
    <cellStyle name="40% - Accent6 2 2 5 3 3" xfId="6724" xr:uid="{E4ACC0CF-E846-4563-8FDB-EAA817440CE4}"/>
    <cellStyle name="40% - Accent6 2 2 5 3 3 2" xfId="6723" xr:uid="{5587C5E1-4620-4458-B221-35A863E986AB}"/>
    <cellStyle name="40% - Accent6 2 2 5 3 4" xfId="29490" xr:uid="{6E532DD3-A940-4F19-A981-4E36C5914082}"/>
    <cellStyle name="40% - Accent6 2 2 5 4" xfId="31354" xr:uid="{A5F5B0B1-DA62-4E1F-9CC0-EB236E32F60B}"/>
    <cellStyle name="40% - Accent6 2 2 5 4 2" xfId="28241" xr:uid="{0A403BE0-EED3-4A2B-A7C3-0DAA95A8A217}"/>
    <cellStyle name="40% - Accent6 2 2 5 4 2 2" xfId="6721" xr:uid="{07F77FA1-DE87-44D7-9368-0AF0168D2A67}"/>
    <cellStyle name="40% - Accent6 2 2 5 4 3" xfId="6717" xr:uid="{57249E21-8760-43D1-964C-07E69DF4678A}"/>
    <cellStyle name="40% - Accent6 2 2 5 5" xfId="6716" xr:uid="{25A16395-60B8-4CA9-BC34-D9B37504CCEC}"/>
    <cellStyle name="40% - Accent6 2 2 5 5 2" xfId="22500" xr:uid="{8B7D7AEF-A69E-4BC6-A4B9-BD05535D4B7F}"/>
    <cellStyle name="40% - Accent6 2 2 5 6" xfId="6715" xr:uid="{D741447C-295E-4FDA-B953-5D4F442FA096}"/>
    <cellStyle name="40% - Accent6 2 2 6" xfId="29401" xr:uid="{742388DE-FD4D-44DE-B9F0-B64F6C905E29}"/>
    <cellStyle name="40% - Accent6 2 2 6 2" xfId="30878" xr:uid="{F3C8CC51-AC84-47B6-9616-9968341DCC88}"/>
    <cellStyle name="40% - Accent6 2 2 6 2 2" xfId="19375" xr:uid="{E540C4B8-1DD0-4E82-BAA9-7B19314B6950}"/>
    <cellStyle name="40% - Accent6 2 2 6 2 2 2" xfId="6712" xr:uid="{77FB7AB6-C2AA-434B-A226-3CCB1251269A}"/>
    <cellStyle name="40% - Accent6 2 2 6 2 2 2 2" xfId="6710" xr:uid="{3D99E7B0-F952-4E17-93CA-9FCD7FD5067F}"/>
    <cellStyle name="40% - Accent6 2 2 6 2 2 3" xfId="9298" xr:uid="{14FBE486-0D02-4594-90A5-A228ECC2C668}"/>
    <cellStyle name="40% - Accent6 2 2 6 2 3" xfId="6709" xr:uid="{36E03733-76AA-4060-A3B6-751A8210B5FC}"/>
    <cellStyle name="40% - Accent6 2 2 6 2 3 2" xfId="28277" xr:uid="{0BD9DFA8-587B-4C1D-8BD5-E706DC2B080D}"/>
    <cellStyle name="40% - Accent6 2 2 6 2 4" xfId="6707" xr:uid="{B3D6CB41-C15B-4653-B864-58AE2AA2E2FE}"/>
    <cellStyle name="40% - Accent6 2 2 6 3" xfId="29398" xr:uid="{AAFE8F69-5436-496C-8CB0-164CE3E4BA88}"/>
    <cellStyle name="40% - Accent6 2 2 6 3 2" xfId="6705" xr:uid="{28075822-3243-4AD2-A855-E5BA3AF8D41F}"/>
    <cellStyle name="40% - Accent6 2 2 6 3 2 2" xfId="12980" xr:uid="{4BA4DCA0-06DB-4D8C-B8FC-30F56FDC7E36}"/>
    <cellStyle name="40% - Accent6 2 2 6 3 3" xfId="6703" xr:uid="{A964FB9A-7480-48B6-AB1A-DF6C4D6D4EE7}"/>
    <cellStyle name="40% - Accent6 2 2 6 4" xfId="6701" xr:uid="{4DBD3CF7-975E-4C35-BF41-F5B71B8E72C7}"/>
    <cellStyle name="40% - Accent6 2 2 6 4 2" xfId="6700" xr:uid="{A61A3F66-CF9B-4414-9096-25E79C0BFDB1}"/>
    <cellStyle name="40% - Accent6 2 2 6 5" xfId="13680" xr:uid="{40AFF5E8-2B85-4808-AB96-1B4C0EE4BFDA}"/>
    <cellStyle name="40% - Accent6 2 2 7" xfId="30269" xr:uid="{266A2243-951F-49FC-8DBC-7F22EC870872}"/>
    <cellStyle name="40% - Accent6 2 2 7 2" xfId="30185" xr:uid="{EE0F6253-6FA0-4492-A6D8-A92968DE2E73}"/>
    <cellStyle name="40% - Accent6 2 2 7 2 2" xfId="15529" xr:uid="{31B1923D-A157-4B82-8AC0-36D1A15DC393}"/>
    <cellStyle name="40% - Accent6 2 2 7 2 2 2" xfId="6698" xr:uid="{8C50E6F2-B236-4C39-BDF8-902884A0CA8A}"/>
    <cellStyle name="40% - Accent6 2 2 7 2 3" xfId="15526" xr:uid="{75C36D5F-A427-4726-98C7-511A33F5C120}"/>
    <cellStyle name="40% - Accent6 2 2 7 3" xfId="6696" xr:uid="{F76E0356-4147-4598-BB7B-B1D10BEE19D0}"/>
    <cellStyle name="40% - Accent6 2 2 7 3 2" xfId="15518" xr:uid="{94012D10-F099-4728-ADC3-853B72D8474F}"/>
    <cellStyle name="40% - Accent6 2 2 7 4" xfId="6694" xr:uid="{3CFE1AEA-1DB3-458A-ACA1-601EF662FFC9}"/>
    <cellStyle name="40% - Accent6 2 2 8" xfId="32732" xr:uid="{67DA8D9E-A4B5-455F-B699-C9DED67B8CD0}"/>
    <cellStyle name="40% - Accent6 2 2 8 2" xfId="6693" xr:uid="{34A36206-F4D1-4F02-BFA7-CBC4A548727E}"/>
    <cellStyle name="40% - Accent6 2 2 8 2 2" xfId="15514" xr:uid="{41F16756-2E25-41BD-80D8-3AAD34CAD3F2}"/>
    <cellStyle name="40% - Accent6 2 2 8 3" xfId="6692" xr:uid="{FE88E0F6-FB71-4441-A2F1-09E4B7E453E6}"/>
    <cellStyle name="40% - Accent6 2 2 9" xfId="6691" xr:uid="{C3D7E81F-4B8C-43FF-8A8B-C2D117C1D140}"/>
    <cellStyle name="40% - Accent6 2 2 9 2" xfId="6690" xr:uid="{968A1F87-8AD8-4270-A767-A883C0C0C44F}"/>
    <cellStyle name="40% - Accent6 2 3" xfId="215" xr:uid="{43C6AD18-6EAF-467C-BC30-52A30432DC94}"/>
    <cellStyle name="40% - Accent6 2 3 10" xfId="34545" xr:uid="{9EDBF60B-FAEA-414E-9592-789A6163F2A1}"/>
    <cellStyle name="40% - Accent6 2 3 11" xfId="23735" xr:uid="{BA6D55A8-6AEB-41A2-B8FF-688D5088A008}"/>
    <cellStyle name="40% - Accent6 2 3 2" xfId="11803" xr:uid="{DF5B5002-88FC-430E-8737-9A5C14BDDDE4}"/>
    <cellStyle name="40% - Accent6 2 3 2 2" xfId="7969" xr:uid="{60966BE8-B7C3-4E18-BCE8-A20BE84A0886}"/>
    <cellStyle name="40% - Accent6 2 3 2 2 2" xfId="16806" xr:uid="{C78B6845-BA3B-4367-8F03-11A6A5AAC11B}"/>
    <cellStyle name="40% - Accent6 2 3 2 2 2 2" xfId="22973" xr:uid="{1312DDB2-C71F-4FAD-A2D6-E20E3B2508FE}"/>
    <cellStyle name="40% - Accent6 2 3 2 2 2 2 2" xfId="6689" xr:uid="{59BAF188-C218-4086-AAEA-4C26B8EABBC9}"/>
    <cellStyle name="40% - Accent6 2 3 2 2 2 2 2 2" xfId="15712" xr:uid="{3B936F69-A21A-4E26-8950-59B29CD37DC9}"/>
    <cellStyle name="40% - Accent6 2 3 2 2 2 2 2 2 2" xfId="8049" xr:uid="{6E36C18D-19BF-4D63-8A59-70C82E36FCF8}"/>
    <cellStyle name="40% - Accent6 2 3 2 2 2 2 2 2 2 2" xfId="29356" xr:uid="{DDC8190A-84AD-49A6-8FAA-925637AD21B1}"/>
    <cellStyle name="40% - Accent6 2 3 2 2 2 2 2 2 3" xfId="8467" xr:uid="{10E48C9B-AA1F-48AF-9CF5-4BF35733E417}"/>
    <cellStyle name="40% - Accent6 2 3 2 2 2 2 2 3" xfId="6687" xr:uid="{5FB31884-EE4A-41F6-93CA-842B6342438B}"/>
    <cellStyle name="40% - Accent6 2 3 2 2 2 2 2 3 2" xfId="8042" xr:uid="{7BA40112-268C-4C72-95F6-C8730976ECBA}"/>
    <cellStyle name="40% - Accent6 2 3 2 2 2 2 2 4" xfId="26481" xr:uid="{8F8E9E4A-6600-4A30-BA36-867ECD62F0EF}"/>
    <cellStyle name="40% - Accent6 2 3 2 2 2 2 3" xfId="32024" xr:uid="{8E2D92B6-482A-4D12-A28A-C3F783A17F59}"/>
    <cellStyle name="40% - Accent6 2 3 2 2 2 2 3 2" xfId="6686" xr:uid="{35F213DC-FAEF-4DA6-A8AA-04061FD34B57}"/>
    <cellStyle name="40% - Accent6 2 3 2 2 2 2 3 2 2" xfId="8025" xr:uid="{B9CE4AD2-7693-45BC-B036-6CDC73FF14BD}"/>
    <cellStyle name="40% - Accent6 2 3 2 2 2 2 3 3" xfId="22475" xr:uid="{34120A6C-F6D6-45CD-B4DE-D9B42E398F62}"/>
    <cellStyle name="40% - Accent6 2 3 2 2 2 2 4" xfId="31995" xr:uid="{E3A46299-3761-498D-B7F7-83DD850E80C3}"/>
    <cellStyle name="40% - Accent6 2 3 2 2 2 2 4 2" xfId="25609" xr:uid="{E811CACF-7B5E-442F-9E90-8E53D673913E}"/>
    <cellStyle name="40% - Accent6 2 3 2 2 2 2 5" xfId="8092" xr:uid="{5251A742-48B3-4226-8A86-6236A21D0B01}"/>
    <cellStyle name="40% - Accent6 2 3 2 2 2 3" xfId="23622" xr:uid="{69AEF2FB-A068-496C-8B3F-63422E603F33}"/>
    <cellStyle name="40% - Accent6 2 3 2 2 2 3 2" xfId="6682" xr:uid="{6C91A894-2D6A-43CB-873C-1E62F4608DB0}"/>
    <cellStyle name="40% - Accent6 2 3 2 2 2 3 2 2" xfId="6865" xr:uid="{560E1414-BD7C-49B6-AAC0-D276E81CBE8D}"/>
    <cellStyle name="40% - Accent6 2 3 2 2 2 3 2 2 2" xfId="13872" xr:uid="{75045FF1-BAD9-4C5B-954D-D1F6C2BB2898}"/>
    <cellStyle name="40% - Accent6 2 3 2 2 2 3 2 3" xfId="6681" xr:uid="{27D11D72-205C-451B-9AA7-9B7D8476A64D}"/>
    <cellStyle name="40% - Accent6 2 3 2 2 2 3 3" xfId="31903" xr:uid="{31949017-9DE5-4885-BDA9-4D5E2AEAA1D5}"/>
    <cellStyle name="40% - Accent6 2 3 2 2 2 3 3 2" xfId="22713" xr:uid="{CCA5C173-E8FD-447F-BB2C-D813D0128683}"/>
    <cellStyle name="40% - Accent6 2 3 2 2 2 3 4" xfId="8089" xr:uid="{0A0F41A7-1499-492F-8336-B739064A39E3}"/>
    <cellStyle name="40% - Accent6 2 3 2 2 2 4" xfId="23618" xr:uid="{BB85E5D0-7B68-406D-BC4F-8F28E350B9A7}"/>
    <cellStyle name="40% - Accent6 2 3 2 2 2 4 2" xfId="13631" xr:uid="{B4622FE5-E68D-4321-B230-B9D1BC785CEE}"/>
    <cellStyle name="40% - Accent6 2 3 2 2 2 4 2 2" xfId="6680" xr:uid="{7E9C1484-0AD4-4F4D-9F65-AC5558B26155}"/>
    <cellStyle name="40% - Accent6 2 3 2 2 2 4 3" xfId="13602" xr:uid="{B667DE2A-56F2-4E76-B9C0-EDD66DB80C3B}"/>
    <cellStyle name="40% - Accent6 2 3 2 2 2 5" xfId="32491" xr:uid="{321AC126-DB43-4B80-8BC2-64A7F554FE71}"/>
    <cellStyle name="40% - Accent6 2 3 2 2 2 5 2" xfId="13565" xr:uid="{10424DCD-66A6-417A-A4DE-D6722BC161B5}"/>
    <cellStyle name="40% - Accent6 2 3 2 2 2 6" xfId="24078" xr:uid="{16C75796-FE82-43D0-A34A-F284F7D99BFD}"/>
    <cellStyle name="40% - Accent6 2 3 2 2 3" xfId="6679" xr:uid="{C956C94B-646F-4528-9C6F-D0456D58B599}"/>
    <cellStyle name="40% - Accent6 2 3 2 2 3 2" xfId="29920" xr:uid="{67F31F5F-0FDB-4BE7-9469-B7911CA72B48}"/>
    <cellStyle name="40% - Accent6 2 3 2 2 3 2 2" xfId="20014" xr:uid="{A306E009-8D63-4431-8C23-40C15273BF95}"/>
    <cellStyle name="40% - Accent6 2 3 2 2 3 2 2 2" xfId="21941" xr:uid="{723731DF-A727-4795-82E2-1A7C23379354}"/>
    <cellStyle name="40% - Accent6 2 3 2 2 3 2 2 2 2" xfId="19070" xr:uid="{14BC1D99-A253-4D2C-AB21-C5F96D1D15C0}"/>
    <cellStyle name="40% - Accent6 2 3 2 2 3 2 2 3" xfId="6677" xr:uid="{F768189E-7A3B-4456-BF50-F4A212423519}"/>
    <cellStyle name="40% - Accent6 2 3 2 2 3 2 3" xfId="31785" xr:uid="{423AF06B-D807-488E-AE74-8D16527F4A18}"/>
    <cellStyle name="40% - Accent6 2 3 2 2 3 2 3 2" xfId="6676" xr:uid="{C6253B69-13AB-4FE3-86F1-09FD241A6DF5}"/>
    <cellStyle name="40% - Accent6 2 3 2 2 3 2 4" xfId="8078" xr:uid="{241B65E8-3184-43EE-B3D8-7F709F010ACB}"/>
    <cellStyle name="40% - Accent6 2 3 2 2 3 3" xfId="23612" xr:uid="{B736CD82-952D-40E3-902B-E9D7010130AA}"/>
    <cellStyle name="40% - Accent6 2 3 2 2 3 3 2" xfId="6675" xr:uid="{8D6BF49B-81D8-4B6F-BBB7-A600CEBBA7B5}"/>
    <cellStyle name="40% - Accent6 2 3 2 2 3 3 2 2" xfId="6674" xr:uid="{657FCA73-326E-4E6A-928F-2CEC705B28D1}"/>
    <cellStyle name="40% - Accent6 2 3 2 2 3 3 3" xfId="11766" xr:uid="{282EEA91-4F65-444F-892A-6491DDB1DCDB}"/>
    <cellStyle name="40% - Accent6 2 3 2 2 3 4" xfId="6673" xr:uid="{5A4ABD5F-59FE-43A3-83CB-38AAA4C48F0E}"/>
    <cellStyle name="40% - Accent6 2 3 2 2 3 4 2" xfId="33511" xr:uid="{F54694E0-E3C8-47A9-A4C1-BC817B369DE0}"/>
    <cellStyle name="40% - Accent6 2 3 2 2 3 5" xfId="31986" xr:uid="{0FCF2088-B2D4-4EDD-8B50-31DF08D24131}"/>
    <cellStyle name="40% - Accent6 2 3 2 2 4" xfId="26867" xr:uid="{0EBF7701-0F6B-4C6E-B910-57E8321DF740}"/>
    <cellStyle name="40% - Accent6 2 3 2 2 4 2" xfId="23602" xr:uid="{1762744C-FCE2-496C-966A-A666570C77C4}"/>
    <cellStyle name="40% - Accent6 2 3 2 2 4 2 2" xfId="6671" xr:uid="{E2827638-35EE-4C1E-8788-D540D57F7B37}"/>
    <cellStyle name="40% - Accent6 2 3 2 2 4 2 2 2" xfId="6668" xr:uid="{3C4E74F9-2295-4F69-8322-60B3DDC4073E}"/>
    <cellStyle name="40% - Accent6 2 3 2 2 4 2 3" xfId="8071" xr:uid="{AFAEE8E2-1319-4B14-892B-567BF84D2E7F}"/>
    <cellStyle name="40% - Accent6 2 3 2 2 4 3" xfId="26120" xr:uid="{C076C3FE-05BA-4FBB-B924-7BBD350A3248}"/>
    <cellStyle name="40% - Accent6 2 3 2 2 4 3 2" xfId="6667" xr:uid="{98AF030E-C343-40F1-B98A-C987AD8C9187}"/>
    <cellStyle name="40% - Accent6 2 3 2 2 4 4" xfId="6665" xr:uid="{DFBD1227-F77A-403B-A9DD-37E5101DF218}"/>
    <cellStyle name="40% - Accent6 2 3 2 2 5" xfId="26861" xr:uid="{32A251E6-918E-4E3A-B3DE-F1CBF71534C2}"/>
    <cellStyle name="40% - Accent6 2 3 2 2 5 2" xfId="25863" xr:uid="{D4766619-D86C-498E-A449-9B9E408E88F6}"/>
    <cellStyle name="40% - Accent6 2 3 2 2 5 2 2" xfId="6662" xr:uid="{CD11CCA3-DB55-44A4-8E7C-127D114D4466}"/>
    <cellStyle name="40% - Accent6 2 3 2 2 5 3" xfId="6659" xr:uid="{745F027F-F310-4E5C-9818-F86DEBFBB185}"/>
    <cellStyle name="40% - Accent6 2 3 2 2 6" xfId="19152" xr:uid="{15B923AB-622F-47B4-B497-E5CBF9C3628F}"/>
    <cellStyle name="40% - Accent6 2 3 2 2 6 2" xfId="6657" xr:uid="{738E3BFB-4D22-4948-8D8E-443569A607C2}"/>
    <cellStyle name="40% - Accent6 2 3 2 2 7" xfId="6656" xr:uid="{E6323F04-D7CC-4BED-ADB5-3828CA506FE7}"/>
    <cellStyle name="40% - Accent6 2 3 2 3" xfId="26613" xr:uid="{E0B46ED9-A7A6-49BA-9E89-C605A5080D20}"/>
    <cellStyle name="40% - Accent6 2 3 2 3 2" xfId="6653" xr:uid="{76D3C571-C35A-47FC-A622-EA59A588F391}"/>
    <cellStyle name="40% - Accent6 2 3 2 3 2 2" xfId="32754" xr:uid="{28F0E5E5-FC99-4EDA-884A-A2FD6B939E92}"/>
    <cellStyle name="40% - Accent6 2 3 2 3 2 2 2" xfId="25053" xr:uid="{642D2F92-6D82-4DFF-9CB4-15E3B9A27A1D}"/>
    <cellStyle name="40% - Accent6 2 3 2 3 2 2 2 2" xfId="28480" xr:uid="{BAE6BA86-BCFD-4AB9-A200-59C4B398BF39}"/>
    <cellStyle name="40% - Accent6 2 3 2 3 2 2 2 2 2" xfId="6411" xr:uid="{C2408942-27D4-4E08-A26C-6E988ADACE45}"/>
    <cellStyle name="40% - Accent6 2 3 2 3 2 2 2 3" xfId="6651" xr:uid="{E29235A1-A66C-45A3-82BF-19D49BFA87D8}"/>
    <cellStyle name="40% - Accent6 2 3 2 3 2 2 3" xfId="31243" xr:uid="{CE33D45E-3CA4-4E6D-96DE-758E16AD8B72}"/>
    <cellStyle name="40% - Accent6 2 3 2 3 2 2 3 2" xfId="10230" xr:uid="{F0FD30E8-66AF-49F6-AB7B-DC67E31A33C4}"/>
    <cellStyle name="40% - Accent6 2 3 2 3 2 2 4" xfId="8017" xr:uid="{AB081347-ED47-4011-810B-9F45875B5A5C}"/>
    <cellStyle name="40% - Accent6 2 3 2 3 2 3" xfId="32245" xr:uid="{A64905CB-7CEC-4A93-8B59-376E815EB283}"/>
    <cellStyle name="40% - Accent6 2 3 2 3 2 3 2" xfId="6650" xr:uid="{3F7AE836-D158-4494-B217-D7931EE53ED8}"/>
    <cellStyle name="40% - Accent6 2 3 2 3 2 3 2 2" xfId="6649" xr:uid="{E0E96C78-5556-42F4-9E7B-A60DA981D4C1}"/>
    <cellStyle name="40% - Accent6 2 3 2 3 2 3 3" xfId="8011" xr:uid="{26E80099-3C81-4E25-B391-5B6B1F1E2308}"/>
    <cellStyle name="40% - Accent6 2 3 2 3 2 4" xfId="6647" xr:uid="{2E12B513-7947-40F3-9DE0-6CAE3651F1B2}"/>
    <cellStyle name="40% - Accent6 2 3 2 3 2 4 2" xfId="33708" xr:uid="{343D0161-D2D7-414D-934D-CCD6DA4BEDD9}"/>
    <cellStyle name="40% - Accent6 2 3 2 3 2 5" xfId="31966" xr:uid="{55E262A9-E654-49F6-954F-C554BC2256D4}"/>
    <cellStyle name="40% - Accent6 2 3 2 3 3" xfId="6646" xr:uid="{8DC435B7-3255-4A85-A8F9-D14FFB62874D}"/>
    <cellStyle name="40% - Accent6 2 3 2 3 3 2" xfId="23591" xr:uid="{04A327E0-F209-4DB0-AA1D-943805577C78}"/>
    <cellStyle name="40% - Accent6 2 3 2 3 3 2 2" xfId="34337" xr:uid="{35E71767-5117-4B9C-A9DB-4C9036995002}"/>
    <cellStyle name="40% - Accent6 2 3 2 3 3 2 2 2" xfId="6645" xr:uid="{1AF20DC4-570E-4BC3-88F6-15A6654BE096}"/>
    <cellStyle name="40% - Accent6 2 3 2 3 3 2 3" xfId="8008" xr:uid="{1C4223E4-0213-4D89-A823-4447599B2FED}"/>
    <cellStyle name="40% - Accent6 2 3 2 3 3 3" xfId="6644" xr:uid="{BD41752C-D046-46C0-B20F-992D9D08A601}"/>
    <cellStyle name="40% - Accent6 2 3 2 3 3 3 2" xfId="6643" xr:uid="{65455295-895F-49B2-AD40-A12F0B361027}"/>
    <cellStyle name="40% - Accent6 2 3 2 3 3 4" xfId="6642" xr:uid="{C459662F-C7D6-4883-8BCC-792152926C5D}"/>
    <cellStyle name="40% - Accent6 2 3 2 3 4" xfId="26843" xr:uid="{7E640E90-CEB5-45D6-824C-40F25612BAC1}"/>
    <cellStyle name="40% - Accent6 2 3 2 3 4 2" xfId="25852" xr:uid="{D67E8CCD-EF79-4BA0-AD1D-C71CA3A93B0A}"/>
    <cellStyle name="40% - Accent6 2 3 2 3 4 2 2" xfId="6640" xr:uid="{6E5F8BF2-2DF0-4930-B881-EE2F255A8703}"/>
    <cellStyle name="40% - Accent6 2 3 2 3 4 3" xfId="6637" xr:uid="{46B2B28F-F50B-43A5-9202-861EA13F9A3A}"/>
    <cellStyle name="40% - Accent6 2 3 2 3 5" xfId="26825" xr:uid="{5A6E76AA-DC8B-471A-B25C-E0A2BAACE789}"/>
    <cellStyle name="40% - Accent6 2 3 2 3 5 2" xfId="33308" xr:uid="{F2E07FE4-F57B-421B-8720-6D6DFC227534}"/>
    <cellStyle name="40% - Accent6 2 3 2 3 6" xfId="32793" xr:uid="{8DD40D00-4214-4719-B03B-786A9343310D}"/>
    <cellStyle name="40% - Accent6 2 3 2 4" xfId="33898" xr:uid="{B28EA05C-7361-4039-96C5-F302EB8E35D5}"/>
    <cellStyle name="40% - Accent6 2 3 2 4 2" xfId="25406" xr:uid="{A269D51E-95A0-4669-9347-D9E0C74C8828}"/>
    <cellStyle name="40% - Accent6 2 3 2 4 2 2" xfId="23580" xr:uid="{30DA2A22-974B-4AA2-8D05-241593A075F5}"/>
    <cellStyle name="40% - Accent6 2 3 2 4 2 2 2" xfId="6635" xr:uid="{5947907A-C6E2-4FC2-8B89-EED12A0A0E22}"/>
    <cellStyle name="40% - Accent6 2 3 2 4 2 2 2 2" xfId="11736" xr:uid="{A670E570-848A-4072-901C-0E13D8754A46}"/>
    <cellStyle name="40% - Accent6 2 3 2 4 2 2 3" xfId="7959" xr:uid="{C035644A-4B6E-46A7-89C0-D3EAF2F3E457}"/>
    <cellStyle name="40% - Accent6 2 3 2 4 2 3" xfId="6633" xr:uid="{B1EDAC15-7510-48EE-910E-2179FE73085B}"/>
    <cellStyle name="40% - Accent6 2 3 2 4 2 3 2" xfId="6632" xr:uid="{35E4AECC-764D-4BC3-8E81-9C734CCDE227}"/>
    <cellStyle name="40% - Accent6 2 3 2 4 2 4" xfId="6631" xr:uid="{7F8A1206-7003-494F-A1D4-34DF31D16DCA}"/>
    <cellStyle name="40% - Accent6 2 3 2 4 3" xfId="11019" xr:uid="{CC8A6890-35C3-429F-A90E-1DC316CA1F21}"/>
    <cellStyle name="40% - Accent6 2 3 2 4 3 2" xfId="6630" xr:uid="{E11E1FF6-477C-4359-ACA9-6555606C09E9}"/>
    <cellStyle name="40% - Accent6 2 3 2 4 3 2 2" xfId="6629" xr:uid="{630F38F9-2DA6-43A2-AD9D-0F57D6DCF761}"/>
    <cellStyle name="40% - Accent6 2 3 2 4 3 3" xfId="6628" xr:uid="{A6D3B707-40D8-4D26-B326-E68329DF4D71}"/>
    <cellStyle name="40% - Accent6 2 3 2 4 4" xfId="26807" xr:uid="{5B570C41-D985-45E8-957F-FFCCFF66A25A}"/>
    <cellStyle name="40% - Accent6 2 3 2 4 4 2" xfId="6627" xr:uid="{E0F0FF9A-6DD3-45C0-BD8A-1F7A3EF941AF}"/>
    <cellStyle name="40% - Accent6 2 3 2 4 5" xfId="33116" xr:uid="{C7E1B5CB-F5ED-4D8E-8B06-CC4087DC74AB}"/>
    <cellStyle name="40% - Accent6 2 3 2 5" xfId="13147" xr:uid="{F1C574F9-8BE8-4C52-909D-9D123674FDBE}"/>
    <cellStyle name="40% - Accent6 2 3 2 5 2" xfId="6625" xr:uid="{B93E0FB7-3EF3-4C42-AC58-06BE3233AC3F}"/>
    <cellStyle name="40% - Accent6 2 3 2 5 2 2" xfId="21109" xr:uid="{5E900654-67C5-45CC-9307-93DC385A7151}"/>
    <cellStyle name="40% - Accent6 2 3 2 5 2 2 2" xfId="6624" xr:uid="{08C33A2C-F09B-4FAA-A02E-0825739FD172}"/>
    <cellStyle name="40% - Accent6 2 3 2 5 2 3" xfId="26179" xr:uid="{A9983159-8FF7-4B1D-83CE-23BF3C8C2E02}"/>
    <cellStyle name="40% - Accent6 2 3 2 5 3" xfId="6620" xr:uid="{20FB4D96-9B95-4DA4-B9E6-04E2CDF67A16}"/>
    <cellStyle name="40% - Accent6 2 3 2 5 3 2" xfId="25727" xr:uid="{5BFB934B-6A33-4792-81AD-FAB9B5D58F48}"/>
    <cellStyle name="40% - Accent6 2 3 2 5 4" xfId="7770" xr:uid="{E57ED1C4-3966-4F74-8C56-DB719A95E71D}"/>
    <cellStyle name="40% - Accent6 2 3 2 6" xfId="6618" xr:uid="{AB18D356-23A6-4F5E-8610-9C9CC0C14532}"/>
    <cellStyle name="40% - Accent6 2 3 2 6 2" xfId="6616" xr:uid="{3DA78925-12F1-48D3-8923-25A36AF38FA0}"/>
    <cellStyle name="40% - Accent6 2 3 2 6 2 2" xfId="24004" xr:uid="{219C8DA8-84C4-4B2D-AC08-45E5AC2CD8AC}"/>
    <cellStyle name="40% - Accent6 2 3 2 6 3" xfId="6614" xr:uid="{6F948486-77A4-44EB-88E0-20BF09C0C76F}"/>
    <cellStyle name="40% - Accent6 2 3 2 7" xfId="6613" xr:uid="{88A9F679-7319-406F-A5BC-CED18DE6A2B5}"/>
    <cellStyle name="40% - Accent6 2 3 2 7 2" xfId="6611" xr:uid="{C086A27F-C4AD-4FD9-BC39-7945B5884724}"/>
    <cellStyle name="40% - Accent6 2 3 2 8" xfId="6610" xr:uid="{4221B824-D4C2-4032-A7E3-6440283CB93C}"/>
    <cellStyle name="40% - Accent6 2 3 3" xfId="7966" xr:uid="{75F5A9AD-D4E1-4CC0-B43B-37BA827DF0DA}"/>
    <cellStyle name="40% - Accent6 2 3 3 2" xfId="7964" xr:uid="{3B1FA50A-7D7B-4E63-A890-3B68C81A1937}"/>
    <cellStyle name="40% - Accent6 2 3 3 2 2" xfId="14946" xr:uid="{BC56C457-5437-4C9B-B9CF-735918CE97F8}"/>
    <cellStyle name="40% - Accent6 2 3 3 2 2 2" xfId="23543" xr:uid="{C668769B-30AF-49DE-B6EF-12310E694ABA}"/>
    <cellStyle name="40% - Accent6 2 3 3 2 2 2 2" xfId="22664" xr:uid="{45915EAB-F8A1-450A-B32F-08312C2CBCE4}"/>
    <cellStyle name="40% - Accent6 2 3 3 2 2 2 2 2" xfId="6609" xr:uid="{5BBAD486-2FA0-4C2F-859C-58FDA65B506E}"/>
    <cellStyle name="40% - Accent6 2 3 3 2 2 2 2 2 2" xfId="6608" xr:uid="{557138FA-98E1-40F2-B973-859BAE9C376F}"/>
    <cellStyle name="40% - Accent6 2 3 3 2 2 2 2 3" xfId="6606" xr:uid="{11FA7400-8CD6-43E1-B6F5-5233654DAD75}"/>
    <cellStyle name="40% - Accent6 2 3 3 2 2 2 3" xfId="22420" xr:uid="{DE632DC0-5D85-4C85-B5C3-23A930463CFE}"/>
    <cellStyle name="40% - Accent6 2 3 3 2 2 2 3 2" xfId="9466" xr:uid="{8237ED87-42D0-4CF4-82BB-78A7C13DC881}"/>
    <cellStyle name="40% - Accent6 2 3 3 2 2 2 4" xfId="20414" xr:uid="{4E89E46D-AA1B-4A48-B730-2148C3CBBB19}"/>
    <cellStyle name="40% - Accent6 2 3 3 2 2 3" xfId="17679" xr:uid="{6883D7B0-6155-4501-B568-E78C99DB3A80}"/>
    <cellStyle name="40% - Accent6 2 3 3 2 2 3 2" xfId="20401" xr:uid="{2EC41766-7C51-49EE-918F-57B20E4FE06C}"/>
    <cellStyle name="40% - Accent6 2 3 3 2 2 3 2 2" xfId="6605" xr:uid="{D8A27E00-3AEE-435F-9A23-C77EA451245E}"/>
    <cellStyle name="40% - Accent6 2 3 3 2 2 3 3" xfId="20398" xr:uid="{887A4F72-91EE-4EFC-B0D6-C1EFA3156F28}"/>
    <cellStyle name="40% - Accent6 2 3 3 2 2 4" xfId="6603" xr:uid="{21B3CFEB-96B1-4AD5-8598-4B9FB9571224}"/>
    <cellStyle name="40% - Accent6 2 3 3 2 2 4 2" xfId="33623" xr:uid="{D51F9352-2AD5-4DCA-AFDD-10AC764BE049}"/>
    <cellStyle name="40% - Accent6 2 3 3 2 2 5" xfId="28471" xr:uid="{587377ED-1627-48C4-9479-C5D1DEAE2B40}"/>
    <cellStyle name="40% - Accent6 2 3 3 2 3" xfId="6601" xr:uid="{A7F44B84-F412-43F8-ADED-83FF1C51C338}"/>
    <cellStyle name="40% - Accent6 2 3 3 2 3 2" xfId="34219" xr:uid="{4B31BCAE-440C-49DD-B37E-74F47F57FCD2}"/>
    <cellStyle name="40% - Accent6 2 3 3 2 3 2 2" xfId="20281" xr:uid="{8B8E1CB5-794F-44A4-869B-8945C4D430A7}"/>
    <cellStyle name="40% - Accent6 2 3 3 2 3 2 2 2" xfId="6598" xr:uid="{B2FBDE67-B9CB-4DD1-BCB1-DEDD6C5C33E8}"/>
    <cellStyle name="40% - Accent6 2 3 3 2 3 2 3" xfId="9464" xr:uid="{4F9B439A-719B-4DC3-A15A-7657D387A111}"/>
    <cellStyle name="40% - Accent6 2 3 3 2 3 3" xfId="6597" xr:uid="{949C042F-2CD9-4DCC-8C7D-F91B9F68479E}"/>
    <cellStyle name="40% - Accent6 2 3 3 2 3 3 2" xfId="20264" xr:uid="{59E1C17C-C0E6-4A35-B717-0314D0C0C945}"/>
    <cellStyle name="40% - Accent6 2 3 3 2 3 4" xfId="6595" xr:uid="{CEBE4900-5746-4DB0-B78A-31F5FAACE2D6}"/>
    <cellStyle name="40% - Accent6 2 3 3 2 4" xfId="28237" xr:uid="{CE1C3F9B-8347-4106-990A-9E8E5113F6F4}"/>
    <cellStyle name="40% - Accent6 2 3 3 2 4 2" xfId="25811" xr:uid="{791F09AA-8351-4590-A4BF-18126C00DF12}"/>
    <cellStyle name="40% - Accent6 2 3 3 2 4 2 2" xfId="11071" xr:uid="{FD77F02B-8E45-4BDE-818D-B0CD4A3AC872}"/>
    <cellStyle name="40% - Accent6 2 3 3 2 4 3" xfId="25282" xr:uid="{9860A429-C6BF-4891-84BD-8D4D635A5A4A}"/>
    <cellStyle name="40% - Accent6 2 3 3 2 5" xfId="26794" xr:uid="{1316F876-4847-421D-AF41-F6F0CD03EE58}"/>
    <cellStyle name="40% - Accent6 2 3 3 2 5 2" xfId="6592" xr:uid="{7558154C-EF44-497E-99DF-F4133D2D870C}"/>
    <cellStyle name="40% - Accent6 2 3 3 2 6" xfId="31022" xr:uid="{6E5041F3-BBEA-45EC-8862-09A75D36842B}"/>
    <cellStyle name="40% - Accent6 2 3 3 3" xfId="6591" xr:uid="{06DCAD4B-69D4-4F66-8767-19556E1F1EF6}"/>
    <cellStyle name="40% - Accent6 2 3 3 3 2" xfId="6587" xr:uid="{75F0407A-0957-4F0B-84E1-F0AC16F0CF56}"/>
    <cellStyle name="40% - Accent6 2 3 3 3 2 2" xfId="23531" xr:uid="{DDF47B81-A37B-4612-AFDA-92BDEE190823}"/>
    <cellStyle name="40% - Accent6 2 3 3 3 2 2 2" xfId="25729" xr:uid="{924EEF18-CF98-456E-B52E-318A58E45DC3}"/>
    <cellStyle name="40% - Accent6 2 3 3 3 2 2 2 2" xfId="6585" xr:uid="{864CF05A-EF62-4E7D-9A77-E5FCFB4445E3}"/>
    <cellStyle name="40% - Accent6 2 3 3 3 2 2 3" xfId="18345" xr:uid="{9C3938A5-2CA7-410C-ACE0-04096DEA94AD}"/>
    <cellStyle name="40% - Accent6 2 3 3 3 2 3" xfId="6584" xr:uid="{8DF7A4BD-502A-44DB-93CD-398CEBD73D1E}"/>
    <cellStyle name="40% - Accent6 2 3 3 3 2 3 2" xfId="18306" xr:uid="{CBFD9C11-9197-4BF2-A9F8-C16184FA8580}"/>
    <cellStyle name="40% - Accent6 2 3 3 3 2 4" xfId="6582" xr:uid="{2F210100-7A5E-4648-8C5F-D8A3137B9A51}"/>
    <cellStyle name="40% - Accent6 2 3 3 3 3" xfId="6580" xr:uid="{B2889D3E-45AB-4216-AC05-AFF12C62105E}"/>
    <cellStyle name="40% - Accent6 2 3 3 3 3 2" xfId="6579" xr:uid="{A403B98C-B582-43D5-95D1-CACC99309B41}"/>
    <cellStyle name="40% - Accent6 2 3 3 3 3 2 2" xfId="18183" xr:uid="{0340670A-89C8-41D5-9C70-F8EF7FC4BEC3}"/>
    <cellStyle name="40% - Accent6 2 3 3 3 3 3" xfId="6578" xr:uid="{DF31A6C2-66DE-4DC5-AA1E-437457EC980B}"/>
    <cellStyle name="40% - Accent6 2 3 3 3 4" xfId="26783" xr:uid="{5271E1A3-E374-42AF-A9D2-DE4C5357EBAF}"/>
    <cellStyle name="40% - Accent6 2 3 3 3 4 2" xfId="6577" xr:uid="{D82B515C-A823-45F3-BD22-201A911E41D6}"/>
    <cellStyle name="40% - Accent6 2 3 3 3 5" xfId="33070" xr:uid="{2EEEFE2A-FB5B-4E6A-A11D-60BFA4E8AE80}"/>
    <cellStyle name="40% - Accent6 2 3 3 4" xfId="6576" xr:uid="{2C2A68D4-01BC-4D2F-8872-F758D790FDC7}"/>
    <cellStyle name="40% - Accent6 2 3 3 4 2" xfId="6573" xr:uid="{D8CB7F51-45EE-4842-9444-78AEC8E88009}"/>
    <cellStyle name="40% - Accent6 2 3 3 4 2 2" xfId="6572" xr:uid="{A1EDF782-7B51-4BBA-9056-1D35091DE06A}"/>
    <cellStyle name="40% - Accent6 2 3 3 4 2 2 2" xfId="6571" xr:uid="{3CF80F0E-89FD-4080-ACAD-41DC74621BA4}"/>
    <cellStyle name="40% - Accent6 2 3 3 4 2 3" xfId="6570" xr:uid="{AB9A2066-A5F3-478F-928C-CE7C741A5B20}"/>
    <cellStyle name="40% - Accent6 2 3 3 4 3" xfId="6569" xr:uid="{4EAC8B0D-1C95-4D8F-AD57-665F6392DE42}"/>
    <cellStyle name="40% - Accent6 2 3 3 4 3 2" xfId="6568" xr:uid="{1BB7C9DE-8425-4687-BB74-F421E99D85AB}"/>
    <cellStyle name="40% - Accent6 2 3 3 4 4" xfId="7766" xr:uid="{35A6CB4E-9366-47CF-A936-F0052BB3A79C}"/>
    <cellStyle name="40% - Accent6 2 3 3 5" xfId="6567" xr:uid="{8428B6F8-39D7-4D89-9C64-DCAEAE3DF967}"/>
    <cellStyle name="40% - Accent6 2 3 3 5 2" xfId="6566" xr:uid="{FD5C31C7-0BD5-4F64-8CBB-5B3129B36786}"/>
    <cellStyle name="40% - Accent6 2 3 3 5 2 2" xfId="25581" xr:uid="{D27EA40B-59E0-4C22-A2FB-CD24A966596E}"/>
    <cellStyle name="40% - Accent6 2 3 3 5 3" xfId="6565" xr:uid="{FF6D38F1-0FBC-4720-8563-C8D01CA98EA8}"/>
    <cellStyle name="40% - Accent6 2 3 3 6" xfId="9279" xr:uid="{3B7397F7-C540-4FFB-8CA8-DA0C252FC3C7}"/>
    <cellStyle name="40% - Accent6 2 3 3 6 2" xfId="29716" xr:uid="{20D5C79F-7CA5-4001-B59D-1C1C3CA11B28}"/>
    <cellStyle name="40% - Accent6 2 3 3 7" xfId="6564" xr:uid="{7B0B82FC-E1FC-4696-A814-747BF04C0783}"/>
    <cellStyle name="40% - Accent6 2 3 4" xfId="30865" xr:uid="{1DC2DD2B-0B3C-4C34-B589-1901B80C47A6}"/>
    <cellStyle name="40% - Accent6 2 3 4 2" xfId="30863" xr:uid="{899F9483-1DC3-49F9-AF79-BB513875AB32}"/>
    <cellStyle name="40% - Accent6 2 3 4 2 2" xfId="6559" xr:uid="{8040A0F4-15D3-4C33-A142-28D8B7C5ABBB}"/>
    <cellStyle name="40% - Accent6 2 3 4 2 2 2" xfId="27186" xr:uid="{B800900C-F6DE-4827-B93E-710823723669}"/>
    <cellStyle name="40% - Accent6 2 3 4 2 2 2 2" xfId="8925" xr:uid="{6C6BA675-E463-4E98-8A0F-4B40C906F814}"/>
    <cellStyle name="40% - Accent6 2 3 4 2 2 2 2 2" xfId="6558" xr:uid="{C5C0C66B-ECAD-44BB-8A0C-532A52FF14F2}"/>
    <cellStyle name="40% - Accent6 2 3 4 2 2 2 3" xfId="7419" xr:uid="{1C059D57-1C4F-4A3E-BFD2-0A3689EECED4}"/>
    <cellStyle name="40% - Accent6 2 3 4 2 2 3" xfId="6556" xr:uid="{AB6184C5-9BBB-4D96-AFD8-23A817DB414C}"/>
    <cellStyle name="40% - Accent6 2 3 4 2 2 3 2" xfId="6554" xr:uid="{BB5E4ECB-9464-4449-A305-EB6A9568B9BD}"/>
    <cellStyle name="40% - Accent6 2 3 4 2 2 4" xfId="21405" xr:uid="{23317DC1-2554-47E3-9BEF-F0D687397304}"/>
    <cellStyle name="40% - Accent6 2 3 4 2 3" xfId="6553" xr:uid="{21B5442C-46E5-456D-BD97-E77057B40CBD}"/>
    <cellStyle name="40% - Accent6 2 3 4 2 3 2" xfId="6551" xr:uid="{196A2DDE-4DA4-499D-9D8E-D4DFD7E56DE4}"/>
    <cellStyle name="40% - Accent6 2 3 4 2 3 2 2" xfId="6550" xr:uid="{CE55015E-4C20-4B9D-8A29-053F623246A0}"/>
    <cellStyle name="40% - Accent6 2 3 4 2 3 3" xfId="6549" xr:uid="{364AADD2-AD0C-4A6C-A5C7-E7BF01B85889}"/>
    <cellStyle name="40% - Accent6 2 3 4 2 4" xfId="33863" xr:uid="{CA8C6715-3878-45E3-8164-35A94C92EF23}"/>
    <cellStyle name="40% - Accent6 2 3 4 2 4 2" xfId="27374" xr:uid="{8F11DDA6-EBF9-48DF-8599-F032FA26EF73}"/>
    <cellStyle name="40% - Accent6 2 3 4 2 5" xfId="6548" xr:uid="{B2B14609-5F13-4BAC-ABC5-56C28D088910}"/>
    <cellStyle name="40% - Accent6 2 3 4 3" xfId="30119" xr:uid="{8754C8ED-A29E-47D8-8038-E743C1617AA8}"/>
    <cellStyle name="40% - Accent6 2 3 4 3 2" xfId="6545" xr:uid="{B70D2A3C-596E-433C-89DE-14035A6D52F6}"/>
    <cellStyle name="40% - Accent6 2 3 4 3 2 2" xfId="6544" xr:uid="{41AD86AE-F8A9-4137-8D7D-2EFCBFA3391C}"/>
    <cellStyle name="40% - Accent6 2 3 4 3 2 2 2" xfId="6543" xr:uid="{6420AFDE-C6A5-4B37-9E93-0835754BAAC2}"/>
    <cellStyle name="40% - Accent6 2 3 4 3 2 3" xfId="6542" xr:uid="{07E6BCAD-7FCE-4CD7-AE93-2F823E397F4F}"/>
    <cellStyle name="40% - Accent6 2 3 4 3 3" xfId="6541" xr:uid="{F1B9C3AA-0D98-4738-8488-B1BBFB429875}"/>
    <cellStyle name="40% - Accent6 2 3 4 3 3 2" xfId="6540" xr:uid="{28F8FE84-963B-48C2-B53E-4D5BD861B5BA}"/>
    <cellStyle name="40% - Accent6 2 3 4 3 4" xfId="7764" xr:uid="{F434B19D-4D6B-4113-A8D3-8EF4B0D03232}"/>
    <cellStyle name="40% - Accent6 2 3 4 4" xfId="31347" xr:uid="{1135732D-5C7A-486C-B246-D7E844D183D8}"/>
    <cellStyle name="40% - Accent6 2 3 4 4 2" xfId="6539" xr:uid="{BE276536-4C2A-4FB4-82D1-B9697B318BF8}"/>
    <cellStyle name="40% - Accent6 2 3 4 4 2 2" xfId="6538" xr:uid="{C70ADABB-F4F9-4199-A87B-997CB6666DA0}"/>
    <cellStyle name="40% - Accent6 2 3 4 4 3" xfId="6537" xr:uid="{1DE54DCC-B31B-43EE-93E1-9A9A8FED226E}"/>
    <cellStyle name="40% - Accent6 2 3 4 5" xfId="13322" xr:uid="{54452965-713C-4D22-90FF-1B674955A054}"/>
    <cellStyle name="40% - Accent6 2 3 4 5 2" xfId="25158" xr:uid="{51E4A3C7-B6C8-4468-910F-C36F0F775A01}"/>
    <cellStyle name="40% - Accent6 2 3 4 6" xfId="6536" xr:uid="{52EA0594-C905-4A14-9469-AA9475CE5FB7}"/>
    <cellStyle name="40% - Accent6 2 3 5" xfId="32807" xr:uid="{90E2B15E-8199-430E-8443-0682163E102E}"/>
    <cellStyle name="40% - Accent6 2 3 5 2" xfId="30842" xr:uid="{495C86D1-FC80-46E6-BF67-67DE5465490E}"/>
    <cellStyle name="40% - Accent6 2 3 5 2 2" xfId="17806" xr:uid="{22E49278-6ABF-406C-A2AB-9B4E6583C804}"/>
    <cellStyle name="40% - Accent6 2 3 5 2 2 2" xfId="6532" xr:uid="{AEF6B86B-ABA2-4741-AB81-9395F40D51C7}"/>
    <cellStyle name="40% - Accent6 2 3 5 2 2 2 2" xfId="6530" xr:uid="{2A12244A-CEF9-44C5-91BF-DB0FDABDA94D}"/>
    <cellStyle name="40% - Accent6 2 3 5 2 2 3" xfId="6529" xr:uid="{1D8EF2A1-DA90-4269-8054-656E6E63988E}"/>
    <cellStyle name="40% - Accent6 2 3 5 2 3" xfId="21099" xr:uid="{6578B465-31FC-4481-8841-0C23454CF489}"/>
    <cellStyle name="40% - Accent6 2 3 5 2 3 2" xfId="6528" xr:uid="{6184D0DA-3272-4D8A-9F58-899D4CC51821}"/>
    <cellStyle name="40% - Accent6 2 3 5 2 4" xfId="6527" xr:uid="{36A82DC1-8E8E-41D1-B77C-D206BA65747E}"/>
    <cellStyle name="40% - Accent6 2 3 5 3" xfId="31334" xr:uid="{91A13839-2ABD-43F7-B73A-D1754EAE4861}"/>
    <cellStyle name="40% - Accent6 2 3 5 3 2" xfId="21093" xr:uid="{95DBD513-8C20-49F8-B659-68AF8BBF3A99}"/>
    <cellStyle name="40% - Accent6 2 3 5 3 2 2" xfId="6526" xr:uid="{4FEA22C3-1C7F-4780-ACA0-4B7CB334130E}"/>
    <cellStyle name="40% - Accent6 2 3 5 3 3" xfId="6524" xr:uid="{2FE3E0E8-D8CA-413B-B3F1-59C9467DA7DA}"/>
    <cellStyle name="40% - Accent6 2 3 5 4" xfId="6523" xr:uid="{66814AE5-90F3-453A-9FE2-8A343EF3F84F}"/>
    <cellStyle name="40% - Accent6 2 3 5 4 2" xfId="6520" xr:uid="{A8C60320-B419-4296-A4C2-C751B42302A6}"/>
    <cellStyle name="40% - Accent6 2 3 5 5" xfId="6519" xr:uid="{ADBD3852-90F1-43B1-98A4-43B56093D10A}"/>
    <cellStyle name="40% - Accent6 2 3 6" xfId="29392" xr:uid="{E95E47F3-B33D-423D-9B04-DFCC8C799201}"/>
    <cellStyle name="40% - Accent6 2 3 6 2" xfId="29383" xr:uid="{2F6B1FBA-D791-4FCD-9BAC-BCF571C128B8}"/>
    <cellStyle name="40% - Accent6 2 3 6 2 2" xfId="21081" xr:uid="{BA6855DD-6547-4930-BF2A-32462A695BF2}"/>
    <cellStyle name="40% - Accent6 2 3 6 2 2 2" xfId="6517" xr:uid="{B71AC98B-A4A3-4A78-8E41-7AA3AE5EF3A4}"/>
    <cellStyle name="40% - Accent6 2 3 6 2 3" xfId="6514" xr:uid="{13C9D66B-F521-4D8A-AFB5-BE090002E288}"/>
    <cellStyle name="40% - Accent6 2 3 6 3" xfId="6512" xr:uid="{41EF08D8-F33C-413E-856F-888B5200C5A0}"/>
    <cellStyle name="40% - Accent6 2 3 6 3 2" xfId="6511" xr:uid="{E8C82761-484E-45BE-A96A-019B542C58C7}"/>
    <cellStyle name="40% - Accent6 2 3 6 4" xfId="6509" xr:uid="{AAC93D77-47CB-4B8A-B0C8-D53A3409A235}"/>
    <cellStyle name="40% - Accent6 2 3 7" xfId="33149" xr:uid="{FBB70A58-CB74-42CF-83C0-D0EA2C0E58F2}"/>
    <cellStyle name="40% - Accent6 2 3 7 2" xfId="6505" xr:uid="{7BDF9E10-A0CC-4A7A-A5BF-F7CC5DC9ACD4}"/>
    <cellStyle name="40% - Accent6 2 3 7 2 2" xfId="26468" xr:uid="{1A801E4E-9A65-4873-986C-2A8CF7865FDC}"/>
    <cellStyle name="40% - Accent6 2 3 7 3" xfId="6503" xr:uid="{5DA0422C-F526-480A-A3DB-366B0F43CF64}"/>
    <cellStyle name="40% - Accent6 2 3 8" xfId="15105" xr:uid="{E92ADA42-25CA-4E3D-8C51-40E81DB95747}"/>
    <cellStyle name="40% - Accent6 2 3 8 2" xfId="6501" xr:uid="{E24C4CC9-011A-440D-8B3D-23AEADF55542}"/>
    <cellStyle name="40% - Accent6 2 3 9" xfId="33595" xr:uid="{E2B84DED-4472-4E4B-8962-5561858F8006}"/>
    <cellStyle name="40% - Accent6 2 4" xfId="11797" xr:uid="{1F9E3015-E0B2-47A8-9A9C-510B44146077}"/>
    <cellStyle name="40% - Accent6 2 4 2" xfId="31319" xr:uid="{882BBA5F-C4C2-4AED-AA0B-D131CDA64198}"/>
    <cellStyle name="40% - Accent6 2 4 2 2" xfId="7958" xr:uid="{79273E7F-3E98-426F-AECA-5DB6998F93A2}"/>
    <cellStyle name="40% - Accent6 2 4 2 2 2" xfId="6499" xr:uid="{31FA3985-8A2D-4CCA-A803-C88E6A3CA66F}"/>
    <cellStyle name="40% - Accent6 2 4 2 2 2 2" xfId="20599" xr:uid="{C3496402-FE2D-47D6-91E7-99CBF314AEC8}"/>
    <cellStyle name="40% - Accent6 2 4 2 2 2 2 2" xfId="7853" xr:uid="{403F1256-8940-4658-87AE-393954E02057}"/>
    <cellStyle name="40% - Accent6 2 4 2 2 2 2 2 2" xfId="7850" xr:uid="{6D1B09AF-BC95-4A07-9199-B850F48AF4E9}"/>
    <cellStyle name="40% - Accent6 2 4 2 2 2 2 2 2 2" xfId="8198" xr:uid="{0050A5A1-5BFC-4FE8-BB1E-5E4F5623A68F}"/>
    <cellStyle name="40% - Accent6 2 4 2 2 2 2 2 3" xfId="6497" xr:uid="{861E7850-1294-4467-9B2D-7E211B7C0C61}"/>
    <cellStyle name="40% - Accent6 2 4 2 2 2 2 3" xfId="33389" xr:uid="{A8D23A25-DC4D-4F8F-BFED-660963BC9377}"/>
    <cellStyle name="40% - Accent6 2 4 2 2 2 2 3 2" xfId="8136" xr:uid="{F430B456-2495-4641-823F-3CB8DAA902ED}"/>
    <cellStyle name="40% - Accent6 2 4 2 2 2 2 4" xfId="23473" xr:uid="{64C5D41F-5B52-4F9D-93AC-890E7063531B}"/>
    <cellStyle name="40% - Accent6 2 4 2 2 2 3" xfId="23415" xr:uid="{98680B80-738A-4528-8998-2A7763674CBD}"/>
    <cellStyle name="40% - Accent6 2 4 2 2 2 3 2" xfId="7846" xr:uid="{38AA9585-E1AA-447D-AA2D-A304289914A4}"/>
    <cellStyle name="40% - Accent6 2 4 2 2 2 3 2 2" xfId="6494" xr:uid="{8AEE3839-10C2-40F7-B7C1-3F2A3710B65F}"/>
    <cellStyle name="40% - Accent6 2 4 2 2 2 3 3" xfId="23469" xr:uid="{3B8ABD36-8EE9-430F-BCEF-54C6C502212F}"/>
    <cellStyle name="40% - Accent6 2 4 2 2 2 4" xfId="7884" xr:uid="{2830FE3A-E663-4EEE-AF1D-AA65B8C5C8B6}"/>
    <cellStyle name="40% - Accent6 2 4 2 2 2 4 2" xfId="12694" xr:uid="{A74B4CC5-B47F-45E0-A8C7-FA6043C75AC1}"/>
    <cellStyle name="40% - Accent6 2 4 2 2 2 5" xfId="8045" xr:uid="{E6BB053D-94CC-4CBE-BB40-9FA33C8F53A7}"/>
    <cellStyle name="40% - Accent6 2 4 2 2 3" xfId="6492" xr:uid="{E66AC118-CBD6-4314-895E-531C1E00B55E}"/>
    <cellStyle name="40% - Accent6 2 4 2 2 3 2" xfId="23407" xr:uid="{B799971F-B72C-49ED-B340-AD7F87C8964A}"/>
    <cellStyle name="40% - Accent6 2 4 2 2 3 2 2" xfId="7840" xr:uid="{69DE34E7-7259-4DE0-ADB8-1C4C60E724B9}"/>
    <cellStyle name="40% - Accent6 2 4 2 2 3 2 2 2" xfId="19719" xr:uid="{09423D85-AFAB-4DBA-9098-3707B1440D93}"/>
    <cellStyle name="40% - Accent6 2 4 2 2 3 2 3" xfId="21043" xr:uid="{05FCACC5-38EF-4E4E-BAE3-0F86D2E963EC}"/>
    <cellStyle name="40% - Accent6 2 4 2 2 3 3" xfId="29064" xr:uid="{0BFD42E5-A7E1-4377-9D2E-FDCEF54ED26E}"/>
    <cellStyle name="40% - Accent6 2 4 2 2 3 3 2" xfId="6489" xr:uid="{FF72570B-7934-4454-B4F1-3ADBEBF4CF27}"/>
    <cellStyle name="40% - Accent6 2 4 2 2 3 4" xfId="7587" xr:uid="{C44C923E-8C43-464D-A969-CDAF9861152D}"/>
    <cellStyle name="40% - Accent6 2 4 2 2 4" xfId="26737" xr:uid="{84E8AEBB-D75E-4F50-9005-820898FCC472}"/>
    <cellStyle name="40% - Accent6 2 4 2 2 4 2" xfId="33192" xr:uid="{9E415CA4-CBDF-44F8-9AAD-630DC2CF219F}"/>
    <cellStyle name="40% - Accent6 2 4 2 2 4 2 2" xfId="6488" xr:uid="{074A43D6-342E-47F1-9434-456DD370F59A}"/>
    <cellStyle name="40% - Accent6 2 4 2 2 4 3" xfId="6486" xr:uid="{70EF6ADF-57B0-41E7-B4ED-BB22FBDB17F2}"/>
    <cellStyle name="40% - Accent6 2 4 2 2 5" xfId="26734" xr:uid="{0A493F16-2050-4F24-9DD3-BF5E9E64AD20}"/>
    <cellStyle name="40% - Accent6 2 4 2 2 5 2" xfId="6483" xr:uid="{9021193B-1810-481A-90E7-FD5F0030C582}"/>
    <cellStyle name="40% - Accent6 2 4 2 2 6" xfId="6481" xr:uid="{5C7C28A1-DA92-4AF3-8E85-630936685EEA}"/>
    <cellStyle name="40% - Accent6 2 4 2 3" xfId="15000" xr:uid="{0F4A130D-A7E3-4030-96F2-89102ADE5B4F}"/>
    <cellStyle name="40% - Accent6 2 4 2 3 2" xfId="6479" xr:uid="{4F4CAE8E-C8BD-4178-AA31-174BFD3BE42E}"/>
    <cellStyle name="40% - Accent6 2 4 2 3 2 2" xfId="23389" xr:uid="{65FF7A59-CD35-419E-8B94-B67F9F100D10}"/>
    <cellStyle name="40% - Accent6 2 4 2 3 2 2 2" xfId="13132" xr:uid="{7344991B-F7E4-408E-9E89-A78AA322F561}"/>
    <cellStyle name="40% - Accent6 2 4 2 3 2 2 2 2" xfId="21659" xr:uid="{2B1CEEFE-F12A-482D-9634-B86A4E5238D5}"/>
    <cellStyle name="40% - Accent6 2 4 2 3 2 2 3" xfId="23152" xr:uid="{9519D47C-B246-4EA0-970C-2F9FDCFD9F19}"/>
    <cellStyle name="40% - Accent6 2 4 2 3 2 3" xfId="32547" xr:uid="{A1D5E634-0096-4599-B25D-456FA0A1F817}"/>
    <cellStyle name="40% - Accent6 2 4 2 3 2 3 2" xfId="6477" xr:uid="{343027E7-EE37-47B0-83B1-4271F6D5CFB0}"/>
    <cellStyle name="40% - Accent6 2 4 2 3 2 4" xfId="31577" xr:uid="{C6D24BD7-6FBD-446C-A1C3-02D658C973B5}"/>
    <cellStyle name="40% - Accent6 2 4 2 3 3" xfId="6476" xr:uid="{9B77DC52-4020-49D9-A480-ECF9D33F83C4}"/>
    <cellStyle name="40% - Accent6 2 4 2 3 3 2" xfId="25531" xr:uid="{F5DC11EF-153E-4108-90B8-E42CBEEB47F4}"/>
    <cellStyle name="40% - Accent6 2 4 2 3 3 2 2" xfId="6474" xr:uid="{53E89E0A-1435-428A-9517-AAA8E98CC53F}"/>
    <cellStyle name="40% - Accent6 2 4 2 3 3 3" xfId="31270" xr:uid="{EEE3C7B6-8D1C-48E7-BF04-B559FAD86222}"/>
    <cellStyle name="40% - Accent6 2 4 2 3 4" xfId="26729" xr:uid="{2560490B-2745-452D-85B5-CE4AFC6442FE}"/>
    <cellStyle name="40% - Accent6 2 4 2 3 4 2" xfId="31253" xr:uid="{D77F2F22-FB7B-4F81-A1CB-4A0CBF6D6622}"/>
    <cellStyle name="40% - Accent6 2 4 2 3 5" xfId="32195" xr:uid="{7FCA38FD-E523-4D52-96D2-45A080ECAAE5}"/>
    <cellStyle name="40% - Accent6 2 4 2 4" xfId="6473" xr:uid="{75921BCA-C0F8-43A9-840E-E6EB1F1527FA}"/>
    <cellStyle name="40% - Accent6 2 4 2 4 2" xfId="6472" xr:uid="{D2E215BB-3476-4490-B1F3-A4BCF73D0EA6}"/>
    <cellStyle name="40% - Accent6 2 4 2 4 2 2" xfId="29028" xr:uid="{BBFB6691-40C4-48F0-B72B-557E1DDF9B04}"/>
    <cellStyle name="40% - Accent6 2 4 2 4 2 2 2" xfId="6471" xr:uid="{EB07B24E-416C-48B0-92C3-064A341A4035}"/>
    <cellStyle name="40% - Accent6 2 4 2 4 2 3" xfId="29024" xr:uid="{36EDE2A8-D902-4E31-8BBD-10EDDAB8B75F}"/>
    <cellStyle name="40% - Accent6 2 4 2 4 3" xfId="6467" xr:uid="{79EE674B-6C82-4138-831D-9FCA38E21015}"/>
    <cellStyle name="40% - Accent6 2 4 2 4 3 2" xfId="29019" xr:uid="{8595525D-1314-460A-92DF-9069BAC307FB}"/>
    <cellStyle name="40% - Accent6 2 4 2 4 4" xfId="7745" xr:uid="{C285F3C0-52A6-4696-8436-0D6A45043308}"/>
    <cellStyle name="40% - Accent6 2 4 2 5" xfId="6466" xr:uid="{844D8A98-D383-4DBF-8E28-F1E4ED545D9F}"/>
    <cellStyle name="40% - Accent6 2 4 2 5 2" xfId="6465" xr:uid="{AD07D32D-99E6-41EC-8BC2-9802D3CDBD47}"/>
    <cellStyle name="40% - Accent6 2 4 2 5 2 2" xfId="25397" xr:uid="{424BB136-4522-43A1-8167-2A9D6B489947}"/>
    <cellStyle name="40% - Accent6 2 4 2 5 3" xfId="6464" xr:uid="{CE62C9CF-E685-4792-86BB-3454E481125E}"/>
    <cellStyle name="40% - Accent6 2 4 2 6" xfId="16519" xr:uid="{06182247-C5F3-485D-9130-B43ABA78F20C}"/>
    <cellStyle name="40% - Accent6 2 4 2 6 2" xfId="6463" xr:uid="{F1F9B26E-E18D-49F3-A61C-057593397201}"/>
    <cellStyle name="40% - Accent6 2 4 2 7" xfId="8122" xr:uid="{7A8E6C02-C149-413F-8022-F4137F2586C5}"/>
    <cellStyle name="40% - Accent6 2 4 3" xfId="7954" xr:uid="{488D1766-6694-4258-9B6F-FBA321815584}"/>
    <cellStyle name="40% - Accent6 2 4 3 2" xfId="6462" xr:uid="{456B2056-7C48-4132-A475-EB3439AA3539}"/>
    <cellStyle name="40% - Accent6 2 4 3 2 2" xfId="6461" xr:uid="{8047C007-6B02-4CC8-BE24-662944AEADD8}"/>
    <cellStyle name="40% - Accent6 2 4 3 2 2 2" xfId="25948" xr:uid="{332234E8-0EBF-413B-B5D6-C11C86C1F69C}"/>
    <cellStyle name="40% - Accent6 2 4 3 2 2 2 2" xfId="29203" xr:uid="{C77D006C-6888-4768-8E8F-B55BFAF9A345}"/>
    <cellStyle name="40% - Accent6 2 4 3 2 2 2 2 2" xfId="6459" xr:uid="{38011B48-9891-4779-A420-F4CF31C6F8A1}"/>
    <cellStyle name="40% - Accent6 2 4 3 2 2 2 3" xfId="17662" xr:uid="{EFE3256E-A068-4B61-87AA-F753C6F76D2A}"/>
    <cellStyle name="40% - Accent6 2 4 3 2 2 3" xfId="7783" xr:uid="{8A3E4C7B-3BB0-4F9D-8063-E266360E6ACD}"/>
    <cellStyle name="40% - Accent6 2 4 3 2 2 3 2" xfId="34316" xr:uid="{1A25E94B-0F8D-4898-8FA1-ABE7BD729D12}"/>
    <cellStyle name="40% - Accent6 2 4 3 2 2 4" xfId="6457" xr:uid="{9274D9FF-1A23-43C0-966B-B0682DE420DE}"/>
    <cellStyle name="40% - Accent6 2 4 3 2 3" xfId="6456" xr:uid="{E9DFAC88-955E-4668-A032-98E5C4BA79FB}"/>
    <cellStyle name="40% - Accent6 2 4 3 2 3 2" xfId="7779" xr:uid="{D5F921E2-3E72-4048-B09B-7B8FFEE018C8}"/>
    <cellStyle name="40% - Accent6 2 4 3 2 3 2 2" xfId="29190" xr:uid="{404B16E1-D577-4510-9B2B-4C0517371F2A}"/>
    <cellStyle name="40% - Accent6 2 4 3 2 3 3" xfId="6888" xr:uid="{13878211-A0B9-48C4-B1CA-A219265A28DE}"/>
    <cellStyle name="40% - Accent6 2 4 3 2 4" xfId="30313" xr:uid="{BF3D3913-0B4F-423E-9E1B-F15D87251334}"/>
    <cellStyle name="40% - Accent6 2 4 3 2 4 2" xfId="27920" xr:uid="{F28A340C-D109-4126-ABC4-F5258862DD1B}"/>
    <cellStyle name="40% - Accent6 2 4 3 2 5" xfId="6454" xr:uid="{EB30E7A8-3206-41F2-AFA0-821580FED29F}"/>
    <cellStyle name="40% - Accent6 2 4 3 3" xfId="6453" xr:uid="{C8834FA3-4182-400B-A9D0-ADA1D956439C}"/>
    <cellStyle name="40% - Accent6 2 4 3 3 2" xfId="6450" xr:uid="{B84BFC6E-17DB-4117-82EA-F40242841878}"/>
    <cellStyle name="40% - Accent6 2 4 3 3 2 2" xfId="32791" xr:uid="{9BFCBC40-5613-4914-B1B3-7AD30863CC10}"/>
    <cellStyle name="40% - Accent6 2 4 3 3 2 2 2" xfId="12688" xr:uid="{7F1FED77-FC14-4BC1-AB38-D40CEC8DC9B5}"/>
    <cellStyle name="40% - Accent6 2 4 3 3 2 3" xfId="33010" xr:uid="{B7292816-9BB2-4472-9C65-116FB14D7449}"/>
    <cellStyle name="40% - Accent6 2 4 3 3 3" xfId="6449" xr:uid="{CCBD13E8-BA51-48F0-BE1F-FAD71DDD60D9}"/>
    <cellStyle name="40% - Accent6 2 4 3 3 3 2" xfId="33207" xr:uid="{56AA2BDB-1044-447B-B53D-6DCD723B576C}"/>
    <cellStyle name="40% - Accent6 2 4 3 3 4" xfId="7741" xr:uid="{D53A5F67-0201-4B2A-880B-9AE069F45D04}"/>
    <cellStyle name="40% - Accent6 2 4 3 4" xfId="6448" xr:uid="{DE4F6660-F7D3-4B42-8529-B219EBD76178}"/>
    <cellStyle name="40% - Accent6 2 4 3 4 2" xfId="6446" xr:uid="{2D8FC2DC-98A2-4304-AF90-47F633003E21}"/>
    <cellStyle name="40% - Accent6 2 4 3 4 2 2" xfId="28990" xr:uid="{716FC991-1204-41B2-9C28-0C194BC8D23F}"/>
    <cellStyle name="40% - Accent6 2 4 3 4 3" xfId="6445" xr:uid="{86654F37-CFA6-4913-94CA-6C28CBADDF05}"/>
    <cellStyle name="40% - Accent6 2 4 3 5" xfId="6444" xr:uid="{9BAB489F-E831-4D44-B61A-39AF12396DAF}"/>
    <cellStyle name="40% - Accent6 2 4 3 5 2" xfId="6442" xr:uid="{603E8F63-3517-4BD4-979F-FDD0CAC57FEE}"/>
    <cellStyle name="40% - Accent6 2 4 3 6" xfId="16506" xr:uid="{8B6BA8CB-C45E-4461-9902-FCAE57F56E78}"/>
    <cellStyle name="40% - Accent6 2 4 4" xfId="30830" xr:uid="{09DD42A4-099E-4D78-8C34-469A4093C91E}"/>
    <cellStyle name="40% - Accent6 2 4 4 2" xfId="30827" xr:uid="{5686A519-7B00-464C-99CD-F76E0E8861E6}"/>
    <cellStyle name="40% - Accent6 2 4 4 2 2" xfId="33388" xr:uid="{1F42BF05-E7D5-455F-8232-09212021CDA7}"/>
    <cellStyle name="40% - Accent6 2 4 4 2 2 2" xfId="19097" xr:uid="{2484EB11-154F-484B-8C76-EB45268AA67B}"/>
    <cellStyle name="40% - Accent6 2 4 4 2 2 2 2" xfId="32248" xr:uid="{2DACD7AB-FF55-4877-BFC7-804F17C5D3C3}"/>
    <cellStyle name="40% - Accent6 2 4 4 2 2 3" xfId="19089" xr:uid="{F72D29E4-DBAB-458D-B895-520FEE7C6ADA}"/>
    <cellStyle name="40% - Accent6 2 4 4 2 3" xfId="23472" xr:uid="{68841BCD-489F-412B-8447-F42E725DFBF4}"/>
    <cellStyle name="40% - Accent6 2 4 4 2 3 2" xfId="6441" xr:uid="{0B8F3390-4341-4CB6-A7C0-5BE04075361D}"/>
    <cellStyle name="40% - Accent6 2 4 4 2 4" xfId="10236" xr:uid="{CADFEF06-E0A6-4294-A3F1-6BBE985D81D0}"/>
    <cellStyle name="40% - Accent6 2 4 4 3" xfId="26998" xr:uid="{F0C68AC0-C353-465E-95B3-792FA2B60A13}"/>
    <cellStyle name="40% - Accent6 2 4 4 3 2" xfId="23468" xr:uid="{3B574345-5037-45E0-B5E2-55D1915FB948}"/>
    <cellStyle name="40% - Accent6 2 4 4 3 2 2" xfId="19055" xr:uid="{00C22946-ADB1-4FC1-8D82-AD6F26E2C99E}"/>
    <cellStyle name="40% - Accent6 2 4 4 3 3" xfId="6439" xr:uid="{427EC19D-44D4-4B5A-BFCF-D3BDADFFADCA}"/>
    <cellStyle name="40% - Accent6 2 4 4 4" xfId="16814" xr:uid="{09A4E82F-ADCB-4C77-A21D-8D69425EA7D9}"/>
    <cellStyle name="40% - Accent6 2 4 4 4 2" xfId="12680" xr:uid="{4ADF53A8-2131-4257-B823-58374571519F}"/>
    <cellStyle name="40% - Accent6 2 4 4 5" xfId="10564" xr:uid="{3DAE8A99-6EE8-4094-A8AA-A810B720228B}"/>
    <cellStyle name="40% - Accent6 2 4 5" xfId="31855" xr:uid="{D1E3A51A-D022-4770-B759-A06DC308BA91}"/>
    <cellStyle name="40% - Accent6 2 4 5 2" xfId="30817" xr:uid="{825B456C-C111-4BC8-B41E-ECFFB6CA3E32}"/>
    <cellStyle name="40% - Accent6 2 4 5 2 2" xfId="21042" xr:uid="{51DAFEF5-BA22-4CAF-B445-184301F91C76}"/>
    <cellStyle name="40% - Accent6 2 4 5 2 2 2" xfId="6436" xr:uid="{2FDFCE76-EBA3-478F-B67E-88F0170E21D7}"/>
    <cellStyle name="40% - Accent6 2 4 5 2 3" xfId="6434" xr:uid="{F94B83C7-4A9C-4E8A-AA79-9270FEF4C96A}"/>
    <cellStyle name="40% - Accent6 2 4 5 3" xfId="23320" xr:uid="{67078CAC-FE2D-4E5D-93A5-C0F00EDE30EC}"/>
    <cellStyle name="40% - Accent6 2 4 5 3 2" xfId="9174" xr:uid="{BD64CE88-51C0-4B13-A9BD-06062353A848}"/>
    <cellStyle name="40% - Accent6 2 4 5 4" xfId="10546" xr:uid="{4E57FEA5-245C-4D01-B73B-6E8806DC4990}"/>
    <cellStyle name="40% - Accent6 2 4 6" xfId="30351" xr:uid="{CCC5DCD7-C17A-4CB7-8E58-CF98FCEEEB1F}"/>
    <cellStyle name="40% - Accent6 2 4 6 2" xfId="23277" xr:uid="{F3C14A7A-F897-45FC-8B75-B7C51BF55E12}"/>
    <cellStyle name="40% - Accent6 2 4 6 2 2" xfId="6430" xr:uid="{6E923FFA-A57A-4301-8F41-2ACDEE28B21A}"/>
    <cellStyle name="40% - Accent6 2 4 6 3" xfId="31605" xr:uid="{4CB5BD3A-9436-4E69-8D35-064BF193ED37}"/>
    <cellStyle name="40% - Accent6 2 4 7" xfId="6428" xr:uid="{37957D5B-0E3C-42E1-B617-B365E89EFB3D}"/>
    <cellStyle name="40% - Accent6 2 4 7 2" xfId="6426" xr:uid="{661BDF05-4F65-4A03-BA21-600E8E0012CF}"/>
    <cellStyle name="40% - Accent6 2 4 8" xfId="15100" xr:uid="{F8A7EB54-0D35-46D2-9D80-61A06D6EADAA}"/>
    <cellStyle name="40% - Accent6 2 4 9" xfId="34766" xr:uid="{7F30F0DA-486B-482A-A9CB-2009F8D8352C}"/>
    <cellStyle name="40% - Accent6 2 5" xfId="7952" xr:uid="{D370039A-E08F-4BCA-978C-4E042BAE1B62}"/>
    <cellStyle name="40% - Accent6 2 5 2" xfId="7950" xr:uid="{E9C695E5-F9B7-442D-ADC7-76DEFE9C988D}"/>
    <cellStyle name="40% - Accent6 2 5 2 2" xfId="6424" xr:uid="{9FA5B2BD-7F30-482E-95F7-530D00AA2BDA}"/>
    <cellStyle name="40% - Accent6 2 5 2 2 2" xfId="13257" xr:uid="{C450AA84-74E1-4842-9EDF-5715DF25E914}"/>
    <cellStyle name="40% - Accent6 2 5 2 2 2 2" xfId="21602" xr:uid="{AF5807FF-7A01-4EC2-A8CD-8897E016EB0D}"/>
    <cellStyle name="40% - Accent6 2 5 2 2 2 2 2" xfId="9564" xr:uid="{572456EE-A7A3-42AE-A6BB-B9F28EFC4D11}"/>
    <cellStyle name="40% - Accent6 2 5 2 2 2 2 2 2" xfId="6423" xr:uid="{062B8C30-6EE2-40E2-AEFE-DFD3D2C9ED91}"/>
    <cellStyle name="40% - Accent6 2 5 2 2 2 2 3" xfId="13511" xr:uid="{86354C0E-D5E6-4962-8BF0-27C50BE1206D}"/>
    <cellStyle name="40% - Accent6 2 5 2 2 2 3" xfId="24062" xr:uid="{69F762B2-A0EA-4AD5-88BF-05A0823F0873}"/>
    <cellStyle name="40% - Accent6 2 5 2 2 2 3 2" xfId="6419" xr:uid="{2597E1FB-92C4-4208-81D5-8B319634A68E}"/>
    <cellStyle name="40% - Accent6 2 5 2 2 2 4" xfId="6418" xr:uid="{85A5BC3B-FE88-4AE6-BE96-8347D26C8351}"/>
    <cellStyle name="40% - Accent6 2 5 2 2 3" xfId="13254" xr:uid="{6597324A-1F90-4AB3-ABBA-0B54C6B1DEB9}"/>
    <cellStyle name="40% - Accent6 2 5 2 2 3 2" xfId="24047" xr:uid="{EC4A4802-FC8F-4F18-BEC5-FD19C4B90FF5}"/>
    <cellStyle name="40% - Accent6 2 5 2 2 3 2 2" xfId="6417" xr:uid="{E07C0C2B-7484-406A-AD00-C465C710D950}"/>
    <cellStyle name="40% - Accent6 2 5 2 2 3 3" xfId="6416" xr:uid="{C0D8F9D8-3A49-4BD0-8405-38833D8750D0}"/>
    <cellStyle name="40% - Accent6 2 5 2 2 4" xfId="26651" xr:uid="{1BA50312-60FB-4802-AB70-DA78B2E27B18}"/>
    <cellStyle name="40% - Accent6 2 5 2 2 4 2" xfId="6415" xr:uid="{D90A6B4B-5946-4332-A999-BBBF77A4A9D0}"/>
    <cellStyle name="40% - Accent6 2 5 2 2 5" xfId="6414" xr:uid="{7CA5C4B4-4885-4759-B2A5-ADCB2EB5F9E8}"/>
    <cellStyle name="40% - Accent6 2 5 2 3" xfId="6413" xr:uid="{21A760C6-06DB-428F-BADA-B0B1C85196D8}"/>
    <cellStyle name="40% - Accent6 2 5 2 3 2" xfId="13229" xr:uid="{CB57B546-4A5D-4EA6-AB92-DB0A4674692B}"/>
    <cellStyle name="40% - Accent6 2 5 2 3 2 2" xfId="23816" xr:uid="{F8F666F1-AA37-419B-BBCF-1431AA1FBBF1}"/>
    <cellStyle name="40% - Accent6 2 5 2 3 2 2 2" xfId="10985" xr:uid="{B83E81DD-2A54-486E-B39C-C0E3CAC4B89E}"/>
    <cellStyle name="40% - Accent6 2 5 2 3 2 3" xfId="19510" xr:uid="{07CB60FC-1DE1-46B3-B2D9-A7A8994A7443}"/>
    <cellStyle name="40% - Accent6 2 5 2 3 3" xfId="6412" xr:uid="{271CB0F6-782F-4A5F-B3DE-B2D9E57786BF}"/>
    <cellStyle name="40% - Accent6 2 5 2 3 3 2" xfId="27898" xr:uid="{B4C2FF3B-060E-4A2D-BDBA-8623708189C0}"/>
    <cellStyle name="40% - Accent6 2 5 2 3 4" xfId="7729" xr:uid="{952A0350-F315-42BD-9FA5-37B462B07B65}"/>
    <cellStyle name="40% - Accent6 2 5 2 4" xfId="6410" xr:uid="{263001B3-C8C6-4AFA-BF50-EF82212B0EFC}"/>
    <cellStyle name="40% - Accent6 2 5 2 4 2" xfId="6409" xr:uid="{EDAAF8EF-8D06-4DDB-AD0F-5D3063B85B1F}"/>
    <cellStyle name="40% - Accent6 2 5 2 4 2 2" xfId="27880" xr:uid="{2D3DBED0-6213-4B17-A111-432C42418316}"/>
    <cellStyle name="40% - Accent6 2 5 2 4 3" xfId="6408" xr:uid="{3341A05A-366F-47B0-AD42-180580FA8A63}"/>
    <cellStyle name="40% - Accent6 2 5 2 5" xfId="20986" xr:uid="{D60B13F0-2ECF-456D-B67B-9C5D17867A31}"/>
    <cellStyle name="40% - Accent6 2 5 2 5 2" xfId="6407" xr:uid="{B6F85BB3-F2F6-495E-BA99-8451EA5AC630}"/>
    <cellStyle name="40% - Accent6 2 5 2 6" xfId="16479" xr:uid="{8A68352F-B3D6-410A-9BDB-110C77F08014}"/>
    <cellStyle name="40% - Accent6 2 5 3" xfId="11714" xr:uid="{6EC561B3-C388-43D0-B271-5CD222EBACC2}"/>
    <cellStyle name="40% - Accent6 2 5 3 2" xfId="11712" xr:uid="{19A6E741-01DD-46F7-9ED7-3CA0C4016D0C}"/>
    <cellStyle name="40% - Accent6 2 5 3 2 2" xfId="13169" xr:uid="{C94C8407-05C8-4B23-9850-004AB2082A1B}"/>
    <cellStyle name="40% - Accent6 2 5 3 2 2 2" xfId="23091" xr:uid="{70A593DE-1359-4D42-B718-E0E7F1AE9A84}"/>
    <cellStyle name="40% - Accent6 2 5 3 2 2 2 2" xfId="7624" xr:uid="{8CAEB4B0-317E-41ED-9FC9-A794ED690B47}"/>
    <cellStyle name="40% - Accent6 2 5 3 2 2 3" xfId="6405" xr:uid="{1E53B513-85D3-4210-877E-A9B6B7F11FA7}"/>
    <cellStyle name="40% - Accent6 2 5 3 2 3" xfId="6404" xr:uid="{08C414F6-342D-43C4-9AFF-927242F4C8B0}"/>
    <cellStyle name="40% - Accent6 2 5 3 2 3 2" xfId="6403" xr:uid="{DFB0BE49-2F05-4FF9-B496-CAD1D85C59AA}"/>
    <cellStyle name="40% - Accent6 2 5 3 2 4" xfId="6401" xr:uid="{CFFD3FFD-2E60-4A7F-84FC-CE60761CDEE3}"/>
    <cellStyle name="40% - Accent6 2 5 3 3" xfId="6400" xr:uid="{69443E63-E416-4FA6-BB04-2408CDD78162}"/>
    <cellStyle name="40% - Accent6 2 5 3 3 2" xfId="6399" xr:uid="{AB1761FC-3F3F-43C4-9E69-7FBAFE66277D}"/>
    <cellStyle name="40% - Accent6 2 5 3 3 2 2" xfId="28363" xr:uid="{015B2DA4-7EEB-4D33-9D9F-75D58FF1B36A}"/>
    <cellStyle name="40% - Accent6 2 5 3 3 3" xfId="6398" xr:uid="{4F64572C-3BC2-4EF8-8176-3D1E91FA18F9}"/>
    <cellStyle name="40% - Accent6 2 5 3 4" xfId="6397" xr:uid="{C03CEC55-63AA-4806-AEFE-0052E78E0635}"/>
    <cellStyle name="40% - Accent6 2 5 3 4 2" xfId="6395" xr:uid="{8509D06B-AFED-43AC-A352-A37846FDFEDC}"/>
    <cellStyle name="40% - Accent6 2 5 3 5" xfId="6394" xr:uid="{CC102E81-C915-4081-9AF4-D76DA90FA48D}"/>
    <cellStyle name="40% - Accent6 2 5 4" xfId="30808" xr:uid="{EA05BC85-3E7E-4CD0-89B4-3E032E0F0268}"/>
    <cellStyle name="40% - Accent6 2 5 4 2" xfId="33217" xr:uid="{9159FA68-DA3C-4348-8D5B-C87CDDE3ED87}"/>
    <cellStyle name="40% - Accent6 2 5 4 2 2" xfId="23151" xr:uid="{3980FCB0-31FA-4BC5-BC38-F3A4FE6B50CD}"/>
    <cellStyle name="40% - Accent6 2 5 4 2 2 2" xfId="6392" xr:uid="{E115D4CE-6DCF-4ACD-936C-CECDC28947B8}"/>
    <cellStyle name="40% - Accent6 2 5 4 2 3" xfId="6390" xr:uid="{07BFD4CE-7482-4CC5-B95A-A52FBD033424}"/>
    <cellStyle name="40% - Accent6 2 5 4 3" xfId="23148" xr:uid="{0457B00A-2936-4556-B112-899CD391E819}"/>
    <cellStyle name="40% - Accent6 2 5 4 3 2" xfId="6386" xr:uid="{0F2F7C6E-4871-41D8-99B3-132B8D4EE852}"/>
    <cellStyle name="40% - Accent6 2 5 4 4" xfId="10481" xr:uid="{7EF572EF-2EF5-4FF4-B811-A4079CAD826A}"/>
    <cellStyle name="40% - Accent6 2 5 5" xfId="33730" xr:uid="{AF8A86FB-834A-4300-9D5A-A6498E25868A}"/>
    <cellStyle name="40% - Accent6 2 5 5 2" xfId="23120" xr:uid="{57C49693-1901-457C-B643-BD215E2E678F}"/>
    <cellStyle name="40% - Accent6 2 5 5 2 2" xfId="6384" xr:uid="{DC969FB5-C114-43F2-AEAB-11A777D8C198}"/>
    <cellStyle name="40% - Accent6 2 5 5 3" xfId="9126" xr:uid="{8026E41C-E528-431E-8C86-46ABC4DC1137}"/>
    <cellStyle name="40% - Accent6 2 5 6" xfId="6382" xr:uid="{A9B097DA-BFB2-462D-A953-C20F40232F9C}"/>
    <cellStyle name="40% - Accent6 2 5 6 2" xfId="6381" xr:uid="{8426B2C5-0C73-4EAB-9B09-7D22D2103D6D}"/>
    <cellStyle name="40% - Accent6 2 5 7" xfId="6380" xr:uid="{1DFF1C56-C2BC-4CD3-A45D-1840E06DD50D}"/>
    <cellStyle name="40% - Accent6 2 5 8" xfId="34956" xr:uid="{BD6D27FA-88F9-4AD2-9B74-9058049B597B}"/>
    <cellStyle name="40% - Accent6 2 6" xfId="7947" xr:uid="{40BD7986-22C5-4ED6-BD54-60111CA82D78}"/>
    <cellStyle name="40% - Accent6 2 6 2" xfId="6378" xr:uid="{606741F6-CD19-49FC-9F59-9A84D8615233}"/>
    <cellStyle name="40% - Accent6 2 6 2 2" xfId="14922" xr:uid="{A5BEB587-D292-44C5-A725-08EFBC89569F}"/>
    <cellStyle name="40% - Accent6 2 6 2 2 2" xfId="12956" xr:uid="{3BEA04BA-CCC2-4DF6-8B0A-389F9410793C}"/>
    <cellStyle name="40% - Accent6 2 6 2 2 2 2" xfId="21329" xr:uid="{A39EF411-B81A-42FD-965D-5594E98DB7D9}"/>
    <cellStyle name="40% - Accent6 2 6 2 2 2 2 2" xfId="7871" xr:uid="{9B440523-E3B6-4DEB-9906-A1A6F4BF135F}"/>
    <cellStyle name="40% - Accent6 2 6 2 2 2 3" xfId="21323" xr:uid="{3F5DE3D9-8442-43C4-8608-28378DA690F3}"/>
    <cellStyle name="40% - Accent6 2 6 2 2 3" xfId="11922" xr:uid="{414E8690-31AE-4248-B0BE-E1DC62A3E11B}"/>
    <cellStyle name="40% - Accent6 2 6 2 2 3 2" xfId="11920" xr:uid="{E345C5FF-3769-471B-915F-1AD18E0D2F4E}"/>
    <cellStyle name="40% - Accent6 2 6 2 2 4" xfId="11916" xr:uid="{D500FCCC-ACC4-4EFF-BE82-6FA9A60459FF}"/>
    <cellStyle name="40% - Accent6 2 6 2 3" xfId="25223" xr:uid="{B8484580-F586-431D-8153-09475DF5E37A}"/>
    <cellStyle name="40% - Accent6 2 6 2 3 2" xfId="6376" xr:uid="{D7D8CFBD-08D1-4BFD-95A6-37770F01DC37}"/>
    <cellStyle name="40% - Accent6 2 6 2 3 2 2" xfId="21167" xr:uid="{F5EF5B05-4691-4EB6-9EF1-92351B01009B}"/>
    <cellStyle name="40% - Accent6 2 6 2 3 3" xfId="11911" xr:uid="{3D9BA467-08EB-4465-B2DC-FB0135902E9E}"/>
    <cellStyle name="40% - Accent6 2 6 2 4" xfId="19910" xr:uid="{53EE299B-496B-4D51-AD50-06AED0320BE4}"/>
    <cellStyle name="40% - Accent6 2 6 2 4 2" xfId="29127" xr:uid="{E5B91A9E-7EA0-4165-8BFD-E416A4EC4391}"/>
    <cellStyle name="40% - Accent6 2 6 2 5" xfId="19904" xr:uid="{D2BDAD08-14AF-4379-BF52-69CC5AFD6639}"/>
    <cellStyle name="40% - Accent6 2 6 3" xfId="11709" xr:uid="{4436DD19-B4F6-4983-B1BA-14D3F5908BB2}"/>
    <cellStyle name="40% - Accent6 2 6 3 2" xfId="28598" xr:uid="{D5080E27-2DC0-4C43-86B5-3CF47291E3DD}"/>
    <cellStyle name="40% - Accent6 2 6 3 2 2" xfId="6374" xr:uid="{44B8BB52-65B7-45BC-AA85-0F820627351C}"/>
    <cellStyle name="40% - Accent6 2 6 3 2 2 2" xfId="20667" xr:uid="{C07813F8-825E-4E16-BC84-0F693754F1CA}"/>
    <cellStyle name="40% - Accent6 2 6 3 2 3" xfId="11891" xr:uid="{9BF6B951-032E-42B2-9DF4-7FCFBC11FC39}"/>
    <cellStyle name="40% - Accent6 2 6 3 3" xfId="19900" xr:uid="{C34727ED-9723-4C47-BE20-11CC445AF78B}"/>
    <cellStyle name="40% - Accent6 2 6 3 3 2" xfId="6372" xr:uid="{A4A9FB22-2776-4F87-BAA6-2860EE45A3E5}"/>
    <cellStyle name="40% - Accent6 2 6 3 4" xfId="19895" xr:uid="{B7CBDE4A-D3CC-45E2-B3CE-63E65E6F8A74}"/>
    <cellStyle name="40% - Accent6 2 6 4" xfId="30802" xr:uid="{4D722718-DE47-43CF-AA23-96388C63F195}"/>
    <cellStyle name="40% - Accent6 2 6 4 2" xfId="19881" xr:uid="{4302005B-B8D7-44CC-9E07-2D2A6CFC14E4}"/>
    <cellStyle name="40% - Accent6 2 6 4 2 2" xfId="6370" xr:uid="{11DB22F5-AB47-41C1-95BD-42D04B25AE93}"/>
    <cellStyle name="40% - Accent6 2 6 4 3" xfId="19876" xr:uid="{3E579219-0E71-4B53-B9AE-E6442B945178}"/>
    <cellStyle name="40% - Accent6 2 6 5" xfId="6363" xr:uid="{106590AA-E8EF-4EF1-AC4E-4C6DCA7DEED7}"/>
    <cellStyle name="40% - Accent6 2 6 5 2" xfId="19869" xr:uid="{9DB5513A-A195-42B7-B13D-495E138448F2}"/>
    <cellStyle name="40% - Accent6 2 6 6" xfId="12682" xr:uid="{D10758B0-0C85-4386-B39A-61D92C1FAE6E}"/>
    <cellStyle name="40% - Accent6 2 6 7" xfId="35161" xr:uid="{E0D93E81-C961-4A31-8F93-36A1408155E1}"/>
    <cellStyle name="40% - Accent6 2 7" xfId="6362" xr:uid="{1C17B805-EFD5-4E13-96E5-D28572BA51FA}"/>
    <cellStyle name="40% - Accent6 2 7 2" xfId="6361" xr:uid="{5D70AF15-15BE-4F52-B20F-49653A886A9A}"/>
    <cellStyle name="40% - Accent6 2 7 2 2" xfId="15561" xr:uid="{7B5CA87E-A62D-4844-A042-25CEFB644890}"/>
    <cellStyle name="40% - Accent6 2 7 2 2 2" xfId="6359" xr:uid="{AD4F6007-5279-4EB3-9F28-7815A6FC4CB5}"/>
    <cellStyle name="40% - Accent6 2 7 2 2 2 2" xfId="19183" xr:uid="{DD7F9B3B-6446-46C9-81AE-97B696D3DAB7}"/>
    <cellStyle name="40% - Accent6 2 7 2 2 3" xfId="15363" xr:uid="{AA23FC59-84D5-4FED-9E6A-97EE5FD2D63A}"/>
    <cellStyle name="40% - Accent6 2 7 2 3" xfId="15555" xr:uid="{255267FF-6503-4270-B888-C016C27F57C8}"/>
    <cellStyle name="40% - Accent6 2 7 2 3 2" xfId="6356" xr:uid="{8886B9CA-D736-4172-B330-6AD6C22532D6}"/>
    <cellStyle name="40% - Accent6 2 7 2 4" xfId="19853" xr:uid="{E8C34A7A-593E-4F46-995E-C56CFB6F709A}"/>
    <cellStyle name="40% - Accent6 2 7 3" xfId="6354" xr:uid="{46C3DDF8-BE6E-4F26-81F2-A94689939D57}"/>
    <cellStyle name="40% - Accent6 2 7 3 2" xfId="15551" xr:uid="{BF0D0DFC-E9A8-41E0-BF9A-8C2A6DFEF65D}"/>
    <cellStyle name="40% - Accent6 2 7 3 2 2" xfId="6353" xr:uid="{C180035C-0D43-4127-96A6-A8AC3EC2DE0D}"/>
    <cellStyle name="40% - Accent6 2 7 3 3" xfId="19842" xr:uid="{16D16EF1-0D7C-41F0-8E39-56A2445CFC71}"/>
    <cellStyle name="40% - Accent6 2 7 4" xfId="6351" xr:uid="{8760A2B6-A880-4DB8-BFAC-6AE2289569C6}"/>
    <cellStyle name="40% - Accent6 2 7 4 2" xfId="19831" xr:uid="{EB621AE5-9654-4D57-B655-B4314764BFD0}"/>
    <cellStyle name="40% - Accent6 2 7 5" xfId="34232" xr:uid="{1C7AB573-F590-44A7-AC2F-E4F6E42F13AE}"/>
    <cellStyle name="40% - Accent6 2 7 6" xfId="35390" xr:uid="{7374F0AB-850C-471D-B68D-6F73C89DE07E}"/>
    <cellStyle name="40% - Accent6 2 8" xfId="6349" xr:uid="{5015E2DB-BE62-42C4-9569-0137B597FAAE}"/>
    <cellStyle name="40% - Accent6 2 8 2" xfId="6348" xr:uid="{6FEBE651-9D9C-458A-BEE7-23397ADF210F}"/>
    <cellStyle name="40% - Accent6 2 8 2 2" xfId="15541" xr:uid="{D44AF787-FC9E-45DC-8375-D6CF8CB89020}"/>
    <cellStyle name="40% - Accent6 2 8 2 2 2" xfId="6347" xr:uid="{56BA2D84-A48E-4F72-8647-E6C2FBF54B58}"/>
    <cellStyle name="40% - Accent6 2 8 2 3" xfId="19820" xr:uid="{C02C7591-37DD-401B-A480-CB4384B76132}"/>
    <cellStyle name="40% - Accent6 2 8 3" xfId="6344" xr:uid="{7FE62536-3CE6-48DE-A1B7-DE2E9E420C67}"/>
    <cellStyle name="40% - Accent6 2 8 3 2" xfId="19808" xr:uid="{387EF287-DADF-49CA-842F-A5A90DA6BECE}"/>
    <cellStyle name="40% - Accent6 2 8 4" xfId="6343" xr:uid="{32BC2947-030F-476F-BEC6-DB2023963EB3}"/>
    <cellStyle name="40% - Accent6 2 8 5" xfId="36262" xr:uid="{91EBE90D-6CAE-4628-A3C0-5F1E09402B95}"/>
    <cellStyle name="40% - Accent6 2 9" xfId="15262" xr:uid="{91DABE32-F9E7-4F02-AF54-AE3B4BF1E55B}"/>
    <cellStyle name="40% - Accent6 2 9 2" xfId="6342" xr:uid="{7CC0E130-F342-4586-BD12-D15E8E48CF6E}"/>
    <cellStyle name="40% - Accent6 2 9 2 2" xfId="19804" xr:uid="{E65941DC-6028-4698-858B-EF4359A0AA9F}"/>
    <cellStyle name="40% - Accent6 2 9 3" xfId="6341" xr:uid="{2E177B62-6E14-4C6D-AF57-04E532F2B493}"/>
    <cellStyle name="40% - Accent6 2 9 4" xfId="36548" xr:uid="{0C1A342F-0D56-4DE7-9F67-9B8F0AF0B837}"/>
    <cellStyle name="40% - Accent6 20" xfId="35712" xr:uid="{70018DC8-B4DF-49E2-8AE4-1C6CC2E335B5}"/>
    <cellStyle name="40% - Accent6 20 2" xfId="36881" xr:uid="{177EBF02-38FF-4E88-9BA3-A7B9E6BD053F}"/>
    <cellStyle name="40% - Accent6 20 3" xfId="37772" xr:uid="{9165BCD7-6C38-49AC-89CC-19EC55EC5C99}"/>
    <cellStyle name="40% - Accent6 21" xfId="35731" xr:uid="{7114277C-C0FA-4E92-9C9D-2C27A3046666}"/>
    <cellStyle name="40% - Accent6 21 2" xfId="36901" xr:uid="{54A128B4-25D5-45F0-A01D-A3BE9A4BBB1D}"/>
    <cellStyle name="40% - Accent6 21 3" xfId="37792" xr:uid="{3FD94074-E6A5-4E26-9CD3-BDA3FB51D62E}"/>
    <cellStyle name="40% - Accent6 22" xfId="35750" xr:uid="{8301BBA5-6B43-4940-B4AF-FB200F23165E}"/>
    <cellStyle name="40% - Accent6 22 2" xfId="36921" xr:uid="{F18C69B3-AAB3-405E-9165-D56627F205FA}"/>
    <cellStyle name="40% - Accent6 22 3" xfId="37812" xr:uid="{E5090C43-182F-41E0-A693-7C9F187BBB32}"/>
    <cellStyle name="40% - Accent6 23" xfId="35770" xr:uid="{CFFF08B4-1F76-44FA-AACB-08490D5CB0E5}"/>
    <cellStyle name="40% - Accent6 23 2" xfId="36940" xr:uid="{05BC89D0-B0CE-4F7F-94BA-7EB8E3C5FBA6}"/>
    <cellStyle name="40% - Accent6 23 3" xfId="37832" xr:uid="{6FFE65F9-0D99-4169-B843-0AC7889C341D}"/>
    <cellStyle name="40% - Accent6 24" xfId="35790" xr:uid="{DA01B1F7-4B10-416F-AEDC-787963343016}"/>
    <cellStyle name="40% - Accent6 24 2" xfId="36959" xr:uid="{B622ADA6-1B36-4E66-8E1B-C4FB4795E36F}"/>
    <cellStyle name="40% - Accent6 24 3" xfId="37852" xr:uid="{F5EFBB3E-AC53-4B6E-BE32-47FA9A4A08CC}"/>
    <cellStyle name="40% - Accent6 25" xfId="35809" xr:uid="{9E3DBFDD-E728-4A26-BD84-A608D395825E}"/>
    <cellStyle name="40% - Accent6 25 2" xfId="36979" xr:uid="{BFF48A74-1499-4F4C-940A-B7CAC1FE5EB2}"/>
    <cellStyle name="40% - Accent6 25 3" xfId="37872" xr:uid="{1DF805F9-293D-4B31-9973-5F9094D337EB}"/>
    <cellStyle name="40% - Accent6 26" xfId="35828" xr:uid="{EC682EDC-4A0A-4A89-9351-5F8706788C21}"/>
    <cellStyle name="40% - Accent6 26 2" xfId="36999" xr:uid="{20BBC986-F344-433F-B1E0-8EBD2DFA0100}"/>
    <cellStyle name="40% - Accent6 26 3" xfId="37892" xr:uid="{9E03E6AB-B26A-43E8-A79E-522617008885}"/>
    <cellStyle name="40% - Accent6 27" xfId="35847" xr:uid="{CDF8BC11-0DD5-462D-8FD2-913EFA68821C}"/>
    <cellStyle name="40% - Accent6 27 2" xfId="37019" xr:uid="{85AC6D52-9C60-4B61-85F3-E45279785585}"/>
    <cellStyle name="40% - Accent6 27 3" xfId="37912" xr:uid="{AC725E67-8625-4A6D-9897-B52BC8D9B66C}"/>
    <cellStyle name="40% - Accent6 28" xfId="35866" xr:uid="{6628258F-5F47-49E1-BC59-FA2074B49B02}"/>
    <cellStyle name="40% - Accent6 28 2" xfId="37039" xr:uid="{5CBF7609-BDA5-40F6-8D73-B4B3036F7FDC}"/>
    <cellStyle name="40% - Accent6 28 3" xfId="37932" xr:uid="{96B93074-252F-4032-91CC-CCF6DBA4BFEC}"/>
    <cellStyle name="40% - Accent6 29" xfId="35880" xr:uid="{628C2A5F-4098-46B8-AF5D-AF0FCDDADF6D}"/>
    <cellStyle name="40% - Accent6 29 2" xfId="37052" xr:uid="{433667A1-E433-43DA-953D-533EA4E17C97}"/>
    <cellStyle name="40% - Accent6 29 3" xfId="37946" xr:uid="{4405690C-3959-467D-A7DC-D18761666AF0}"/>
    <cellStyle name="40% - Accent6 3" xfId="113" xr:uid="{4076BBA6-B3D2-4A18-8765-306043C753E9}"/>
    <cellStyle name="40% - Accent6 3 10" xfId="16882" xr:uid="{515F941E-74E7-4551-A3F5-9E09D3054B35}"/>
    <cellStyle name="40% - Accent6 3 10 2" xfId="37452" xr:uid="{E6F5BF1F-1887-4F4D-BAB9-F51DEFD2C3DA}"/>
    <cellStyle name="40% - Accent6 3 11" xfId="34467" xr:uid="{57907E68-9155-4519-A435-B457B7D406B6}"/>
    <cellStyle name="40% - Accent6 3 12" xfId="7944" xr:uid="{A0062AE8-3A92-40EF-BE3E-26D0A6842A7E}"/>
    <cellStyle name="40% - Accent6 3 2" xfId="174" xr:uid="{C1A108A8-A47F-44B8-829B-E659D1C3CC75}"/>
    <cellStyle name="40% - Accent6 3 2 10" xfId="34517" xr:uid="{8A63B721-01B8-4452-BFC3-1F595ECB0240}"/>
    <cellStyle name="40% - Accent6 3 2 11" xfId="31576" xr:uid="{A597A904-BD86-406B-8D3D-4E5EC1886616}"/>
    <cellStyle name="40% - Accent6 3 2 2" xfId="7941" xr:uid="{AC07C48F-C8C4-46B1-A2F6-04966B5C4CE7}"/>
    <cellStyle name="40% - Accent6 3 2 2 2" xfId="7938" xr:uid="{FD55F329-AED8-40D0-90DF-3A065C71D1F9}"/>
    <cellStyle name="40% - Accent6 3 2 2 2 2" xfId="15080" xr:uid="{197EA8D8-8D02-42C4-9C03-281A9B829AC8}"/>
    <cellStyle name="40% - Accent6 3 2 2 2 2 2" xfId="6340" xr:uid="{D950A792-AB1E-4830-85AE-00D233CA5B0B}"/>
    <cellStyle name="40% - Accent6 3 2 2 2 2 2 2" xfId="6339" xr:uid="{BED77E1C-B19C-48EE-B19D-F71F30870443}"/>
    <cellStyle name="40% - Accent6 3 2 2 2 2 2 2 2" xfId="25821" xr:uid="{E6B870B2-7F2A-47E0-8982-1A8DD9EFDEB6}"/>
    <cellStyle name="40% - Accent6 3 2 2 2 2 2 2 2 2" xfId="6338" xr:uid="{4C44C2C3-4BC2-4C15-B266-1BD1318F1E76}"/>
    <cellStyle name="40% - Accent6 3 2 2 2 2 2 2 2 2 2" xfId="21118" xr:uid="{4E8C797A-46AE-46CA-80C5-79AC29DE5922}"/>
    <cellStyle name="40% - Accent6 3 2 2 2 2 2 2 2 3" xfId="6336" xr:uid="{E2BCE166-CF6C-43B3-9635-95E6EA4B14FE}"/>
    <cellStyle name="40% - Accent6 3 2 2 2 2 2 2 3" xfId="27139" xr:uid="{6B2E4747-A22B-4291-A91E-A70603622DC7}"/>
    <cellStyle name="40% - Accent6 3 2 2 2 2 2 2 3 2" xfId="9854" xr:uid="{C76266FE-E668-42C6-B0EE-83754233F02A}"/>
    <cellStyle name="40% - Accent6 3 2 2 2 2 2 2 4" xfId="27125" xr:uid="{2F352ECF-F99C-49B7-9B81-D28A5D0968DA}"/>
    <cellStyle name="40% - Accent6 3 2 2 2 2 2 3" xfId="15830" xr:uid="{C961DA7D-7866-4ACE-AD86-FF3305F206D2}"/>
    <cellStyle name="40% - Accent6 3 2 2 2 2 2 3 2" xfId="18389" xr:uid="{A933025B-A224-4BDB-B1DD-145285109DE7}"/>
    <cellStyle name="40% - Accent6 3 2 2 2 2 2 3 2 2" xfId="25700" xr:uid="{63A176D3-B876-4BD8-AF90-4C1E892BD320}"/>
    <cellStyle name="40% - Accent6 3 2 2 2 2 2 3 3" xfId="27273" xr:uid="{59ACC365-5A96-446E-AEF4-207639191F32}"/>
    <cellStyle name="40% - Accent6 3 2 2 2 2 2 4" xfId="6332" xr:uid="{F0AC017A-2008-49A6-A963-AC3270F5B9F3}"/>
    <cellStyle name="40% - Accent6 3 2 2 2 2 2 4 2" xfId="20474" xr:uid="{50A9453A-71B8-4096-B459-D7DA29585702}"/>
    <cellStyle name="40% - Accent6 3 2 2 2 2 2 5" xfId="6331" xr:uid="{EEA193F6-EF9F-494B-9FCD-916E9D9A551E}"/>
    <cellStyle name="40% - Accent6 3 2 2 2 2 3" xfId="7313" xr:uid="{4DE60458-CA55-4072-9309-A16C382B3FA4}"/>
    <cellStyle name="40% - Accent6 3 2 2 2 2 3 2" xfId="6330" xr:uid="{230A32CE-8AB9-459F-AEAB-3C4E23C12865}"/>
    <cellStyle name="40% - Accent6 3 2 2 2 2 3 2 2" xfId="23999" xr:uid="{E4499882-A820-4FE8-BEC0-DC941E9C1C98}"/>
    <cellStyle name="40% - Accent6 3 2 2 2 2 3 2 2 2" xfId="6329" xr:uid="{CD48DE1E-E06C-4605-9FF5-EE5FF926D5DC}"/>
    <cellStyle name="40% - Accent6 3 2 2 2 2 3 2 3" xfId="26907" xr:uid="{7AC0136F-4AE9-4ABA-8C17-8AA9C5076E8C}"/>
    <cellStyle name="40% - Accent6 3 2 2 2 2 3 3" xfId="6325" xr:uid="{9E820ABD-5831-4F2C-BF39-1E68D625117F}"/>
    <cellStyle name="40% - Accent6 3 2 2 2 2 3 3 2" xfId="23982" xr:uid="{F252EA08-9369-4CE5-B475-217BCA839F52}"/>
    <cellStyle name="40% - Accent6 3 2 2 2 2 3 4" xfId="6324" xr:uid="{586075A4-0F5C-4D2F-A4C5-21FA30442D0B}"/>
    <cellStyle name="40% - Accent6 3 2 2 2 2 4" xfId="33559" xr:uid="{F38CDF1D-DED3-48C4-833D-37BE1BAE49F7}"/>
    <cellStyle name="40% - Accent6 3 2 2 2 2 4 2" xfId="6323" xr:uid="{1011D00E-E507-49ED-87A3-33DBEF0375BE}"/>
    <cellStyle name="40% - Accent6 3 2 2 2 2 4 2 2" xfId="23960" xr:uid="{CFA356CD-7110-40F2-A2CD-1481BDF0AEA0}"/>
    <cellStyle name="40% - Accent6 3 2 2 2 2 4 3" xfId="6322" xr:uid="{5191EAE9-9C67-4009-BA9E-4D54D18C272A}"/>
    <cellStyle name="40% - Accent6 3 2 2 2 2 5" xfId="6321" xr:uid="{76B9ABDC-0508-4F71-ABED-BA9EF4F11DA9}"/>
    <cellStyle name="40% - Accent6 3 2 2 2 2 5 2" xfId="14238" xr:uid="{0D546C6D-016A-4A95-8E81-99AF6ECA75AB}"/>
    <cellStyle name="40% - Accent6 3 2 2 2 2 6" xfId="6320" xr:uid="{687A481D-75DB-4403-A0AB-8809F494EBED}"/>
    <cellStyle name="40% - Accent6 3 2 2 2 3" xfId="6317" xr:uid="{5D6D2FFD-2AFC-45DA-B881-32610427650D}"/>
    <cellStyle name="40% - Accent6 3 2 2 2 3 2" xfId="6316" xr:uid="{037C80C0-6472-4A72-B44C-29E597B48F83}"/>
    <cellStyle name="40% - Accent6 3 2 2 2 3 2 2" xfId="6315" xr:uid="{7464386F-A950-4A8C-B737-B62A31B595DB}"/>
    <cellStyle name="40% - Accent6 3 2 2 2 3 2 2 2" xfId="6314" xr:uid="{8BCD6391-74D6-4235-A6F2-83FE9BD7DDC0}"/>
    <cellStyle name="40% - Accent6 3 2 2 2 3 2 2 2 2" xfId="6313" xr:uid="{5E195492-8F34-462B-9F29-4A46B0B0692C}"/>
    <cellStyle name="40% - Accent6 3 2 2 2 3 2 2 3" xfId="26079" xr:uid="{2E2167A2-D2A2-4A5A-9FDC-A2FC0FE14845}"/>
    <cellStyle name="40% - Accent6 3 2 2 2 3 2 3" xfId="6311" xr:uid="{F3387599-C9CC-43F4-A25D-8B62A20C6714}"/>
    <cellStyle name="40% - Accent6 3 2 2 2 3 2 3 2" xfId="27253" xr:uid="{4B583439-3A89-45BE-A2FB-13B781350699}"/>
    <cellStyle name="40% - Accent6 3 2 2 2 3 2 4" xfId="6310" xr:uid="{CD1F1529-850D-4EC0-AD5F-F2EF5756BFF4}"/>
    <cellStyle name="40% - Accent6 3 2 2 2 3 3" xfId="7306" xr:uid="{13AC1451-6134-427B-9273-33E338F9F741}"/>
    <cellStyle name="40% - Accent6 3 2 2 2 3 3 2" xfId="12199" xr:uid="{06AF3E14-E33B-4BA1-90DA-C1CB5C679FDD}"/>
    <cellStyle name="40% - Accent6 3 2 2 2 3 3 2 2" xfId="23894" xr:uid="{5310D369-36F6-4B6B-804A-7CE434DF3584}"/>
    <cellStyle name="40% - Accent6 3 2 2 2 3 3 3" xfId="20538" xr:uid="{97779165-D701-414A-B677-910CC3E4D993}"/>
    <cellStyle name="40% - Accent6 3 2 2 2 3 4" xfId="6309" xr:uid="{532B0B1B-793D-4A3E-9A6A-93EBB04B03A2}"/>
    <cellStyle name="40% - Accent6 3 2 2 2 3 4 2" xfId="12169" xr:uid="{B698441A-51CA-4B6E-9617-96E65D6641A8}"/>
    <cellStyle name="40% - Accent6 3 2 2 2 3 5" xfId="6308" xr:uid="{8AE611CB-C80B-4689-B5EB-E232A242FE9A}"/>
    <cellStyle name="40% - Accent6 3 2 2 2 4" xfId="31249" xr:uid="{C5A31763-4DBA-4192-9F3F-E3F2171EFBBC}"/>
    <cellStyle name="40% - Accent6 3 2 2 2 4 2" xfId="24035" xr:uid="{FC30064D-BDB3-42FB-A6A1-322C722E1F86}"/>
    <cellStyle name="40% - Accent6 3 2 2 2 4 2 2" xfId="6307" xr:uid="{AFCE8700-BBC2-4C0C-999F-B3157BDD3F30}"/>
    <cellStyle name="40% - Accent6 3 2 2 2 4 2 2 2" xfId="6306" xr:uid="{F46D8641-09A0-4F87-AEEE-97F90E93834B}"/>
    <cellStyle name="40% - Accent6 3 2 2 2 4 2 3" xfId="6305" xr:uid="{C6903E6D-ADF7-4761-B9EE-6E1A7F2EBF2F}"/>
    <cellStyle name="40% - Accent6 3 2 2 2 4 3" xfId="23858" xr:uid="{0220592F-BBE2-41FD-A463-287230267D84}"/>
    <cellStyle name="40% - Accent6 3 2 2 2 4 3 2" xfId="12148" xr:uid="{B8C54A87-D1B9-4B03-A0DD-F8287869E333}"/>
    <cellStyle name="40% - Accent6 3 2 2 2 4 4" xfId="23854" xr:uid="{E43101D7-E430-4FCB-A465-15C28952D313}"/>
    <cellStyle name="40% - Accent6 3 2 2 2 5" xfId="31235" xr:uid="{FBDF984B-271B-4D96-9F5C-B696EE9EDD63}"/>
    <cellStyle name="40% - Accent6 3 2 2 2 5 2" xfId="32201" xr:uid="{49118FC4-D557-47CD-B5C5-92884D136F82}"/>
    <cellStyle name="40% - Accent6 3 2 2 2 5 2 2" xfId="6304" xr:uid="{E74FCE8C-1F7B-4C56-B9E7-43B429204F29}"/>
    <cellStyle name="40% - Accent6 3 2 2 2 5 3" xfId="23848" xr:uid="{A74EDCFB-9912-4706-AADD-17DF9BD2A5C5}"/>
    <cellStyle name="40% - Accent6 3 2 2 2 6" xfId="31867" xr:uid="{143C6995-3F4F-42F3-AFFD-212964793249}"/>
    <cellStyle name="40% - Accent6 3 2 2 2 6 2" xfId="23841" xr:uid="{22607A64-956A-494F-9AC6-922D20BEF4BB}"/>
    <cellStyle name="40% - Accent6 3 2 2 2 7" xfId="22183" xr:uid="{B324E1A2-A55F-46DF-8695-C19993C0FFD0}"/>
    <cellStyle name="40% - Accent6 3 2 2 3" xfId="34008" xr:uid="{D7A47C80-F0B3-4231-B2E1-1A199881FBEA}"/>
    <cellStyle name="40% - Accent6 3 2 2 3 2" xfId="6303" xr:uid="{357BED7D-2563-4B31-9FCF-6CCD35C11029}"/>
    <cellStyle name="40% - Accent6 3 2 2 3 2 2" xfId="6302" xr:uid="{2FFE6DC0-CF83-489A-A03F-AD4311A060DF}"/>
    <cellStyle name="40% - Accent6 3 2 2 3 2 2 2" xfId="33342" xr:uid="{E87BB8C5-4398-4C15-AADC-048FCFFB0B42}"/>
    <cellStyle name="40% - Accent6 3 2 2 3 2 2 2 2" xfId="17526" xr:uid="{A0D8F839-BCD3-4136-8D13-6F7575AD41E2}"/>
    <cellStyle name="40% - Accent6 3 2 2 3 2 2 2 2 2" xfId="13290" xr:uid="{8B7B89CC-AB4F-4B48-9AF4-8CFB54CC4051}"/>
    <cellStyle name="40% - Accent6 3 2 2 3 2 2 2 3" xfId="25391" xr:uid="{3A4CE033-1470-4F55-9C29-EF1FB965DA2E}"/>
    <cellStyle name="40% - Accent6 3 2 2 3 2 2 3" xfId="9389" xr:uid="{1706C377-36D9-4410-A9F7-BFB51EFB1BD1}"/>
    <cellStyle name="40% - Accent6 3 2 2 3 2 2 3 2" xfId="8958" xr:uid="{E9041C70-42AC-448F-91EB-6F2C49C97862}"/>
    <cellStyle name="40% - Accent6 3 2 2 3 2 2 4" xfId="6301" xr:uid="{C5464C8D-11D9-4AF6-8C31-9A63CDBD3ED8}"/>
    <cellStyle name="40% - Accent6 3 2 2 3 2 3" xfId="7275" xr:uid="{9240323C-450B-41F8-93EC-429FFBBF0D21}"/>
    <cellStyle name="40% - Accent6 3 2 2 3 2 3 2" xfId="6296" xr:uid="{E044307D-5722-43F0-B701-599ED14FD4AF}"/>
    <cellStyle name="40% - Accent6 3 2 2 3 2 3 2 2" xfId="26052" xr:uid="{8FEDFBD3-FC0B-44F0-BA56-9445B0963224}"/>
    <cellStyle name="40% - Accent6 3 2 2 3 2 3 3" xfId="6295" xr:uid="{A1295D3C-75D6-4002-995B-1CA38BD9E3E9}"/>
    <cellStyle name="40% - Accent6 3 2 2 3 2 4" xfId="6291" xr:uid="{741CE9C0-95EA-4590-BEF1-F895C9A91C59}"/>
    <cellStyle name="40% - Accent6 3 2 2 3 2 4 2" xfId="30812" xr:uid="{8D60BF21-0E85-4D29-B673-D3CC3ECB0CAA}"/>
    <cellStyle name="40% - Accent6 3 2 2 3 2 5" xfId="6290" xr:uid="{3B4DC0A2-2F58-40DD-A27B-4141DF7D4078}"/>
    <cellStyle name="40% - Accent6 3 2 2 3 3" xfId="6289" xr:uid="{191A4A06-A7A4-40BF-8621-4E444B4321BB}"/>
    <cellStyle name="40% - Accent6 3 2 2 3 3 2" xfId="7073" xr:uid="{EC1354B9-CE36-4A12-8EE2-530CDA771D34}"/>
    <cellStyle name="40% - Accent6 3 2 2 3 3 2 2" xfId="26974" xr:uid="{9E021705-1732-4BDA-ABAC-CF7DBC9A8BAE}"/>
    <cellStyle name="40% - Accent6 3 2 2 3 3 2 2 2" xfId="6288" xr:uid="{C4A342C1-EB47-4A73-95D2-FC6E4E86358F}"/>
    <cellStyle name="40% - Accent6 3 2 2 3 3 2 3" xfId="6287" xr:uid="{E3577F59-4C00-41CA-A6E5-7EE047F396DB}"/>
    <cellStyle name="40% - Accent6 3 2 2 3 3 3" xfId="7069" xr:uid="{826B465C-3C19-413E-A854-3A62896EDF2C}"/>
    <cellStyle name="40% - Accent6 3 2 2 3 3 3 2" xfId="12083" xr:uid="{E29A5B96-C3C1-4E0C-9E2F-01CC45EEE8C3}"/>
    <cellStyle name="40% - Accent6 3 2 2 3 3 4" xfId="6282" xr:uid="{ED7F2D13-C90D-4C86-B767-58A9D03E3E5F}"/>
    <cellStyle name="40% - Accent6 3 2 2 3 4" xfId="28765" xr:uid="{F233D41D-9B96-4B0A-8CCC-8F116C13D356}"/>
    <cellStyle name="40% - Accent6 3 2 2 3 4 2" xfId="23827" xr:uid="{2F956E3E-AD48-4D16-99F0-126C0F882B68}"/>
    <cellStyle name="40% - Accent6 3 2 2 3 4 2 2" xfId="6281" xr:uid="{C4BF233D-E50A-47B4-9896-6B0F3C9D7C1C}"/>
    <cellStyle name="40% - Accent6 3 2 2 3 4 3" xfId="23824" xr:uid="{709F0B6F-C6DD-4940-933F-F06A1A297E04}"/>
    <cellStyle name="40% - Accent6 3 2 2 3 5" xfId="28757" xr:uid="{3F026C64-B960-4CB7-9F65-980EF87157F9}"/>
    <cellStyle name="40% - Accent6 3 2 2 3 5 2" xfId="20605" xr:uid="{B344291F-32FD-4966-A04F-9E71767198CC}"/>
    <cellStyle name="40% - Accent6 3 2 2 3 6" xfId="23815" xr:uid="{6A1045A2-5BF6-40B7-8278-2D79B04D10AF}"/>
    <cellStyle name="40% - Accent6 3 2 2 4" xfId="31864" xr:uid="{B892F267-1596-4FB2-9986-F4B80F43BC49}"/>
    <cellStyle name="40% - Accent6 3 2 2 4 2" xfId="6278" xr:uid="{0F0C88F8-3508-4465-91D9-EF8669BDE569}"/>
    <cellStyle name="40% - Accent6 3 2 2 4 2 2" xfId="34234" xr:uid="{3AC04656-F0A7-4CBA-8D65-4C6E10BB67C4}"/>
    <cellStyle name="40% - Accent6 3 2 2 4 2 2 2" xfId="10550" xr:uid="{865CF104-C07A-4BC9-B8C6-3FC2A90B3650}"/>
    <cellStyle name="40% - Accent6 3 2 2 4 2 2 2 2" xfId="6277" xr:uid="{8EE6D972-BA6F-47D8-9599-790CC8F68B94}"/>
    <cellStyle name="40% - Accent6 3 2 2 4 2 2 3" xfId="10518" xr:uid="{022369ED-D1F8-48B3-A149-8B2CDD60A5E1}"/>
    <cellStyle name="40% - Accent6 3 2 2 4 2 3" xfId="34373" xr:uid="{DFE61D57-D70E-4483-8E85-E8DA4E8801D6}"/>
    <cellStyle name="40% - Accent6 3 2 2 4 2 3 2" xfId="10466" xr:uid="{72F325CD-C0A8-4E91-8FA7-703CD2819112}"/>
    <cellStyle name="40% - Accent6 3 2 2 4 2 4" xfId="11652" xr:uid="{35A33E50-F5A2-410D-B876-212B29762B8A}"/>
    <cellStyle name="40% - Accent6 3 2 2 4 3" xfId="6274" xr:uid="{705A7726-682B-49C4-9106-D6FA019B4A9C}"/>
    <cellStyle name="40% - Accent6 3 2 2 4 3 2" xfId="34224" xr:uid="{C2859DE0-08DB-4F34-90AE-ACE2784B744E}"/>
    <cellStyle name="40% - Accent6 3 2 2 4 3 2 2" xfId="10384" xr:uid="{141F5A67-04CD-4F8D-9A05-D8739B644A19}"/>
    <cellStyle name="40% - Accent6 3 2 2 4 3 3" xfId="6273" xr:uid="{2BD29574-45CF-40C6-9A8B-6C5973C5EB2A}"/>
    <cellStyle name="40% - Accent6 3 2 2 4 4" xfId="23807" xr:uid="{A2B2D591-3B12-4A3C-89E2-EF3E5EA38337}"/>
    <cellStyle name="40% - Accent6 3 2 2 4 4 2" xfId="23805" xr:uid="{DA6E2A3A-5917-461F-8A87-05B97CDFC997}"/>
    <cellStyle name="40% - Accent6 3 2 2 4 5" xfId="23800" xr:uid="{6EB205E5-CCCC-497F-9AFC-8210606DB48E}"/>
    <cellStyle name="40% - Accent6 3 2 2 5" xfId="13139" xr:uid="{8D694A12-656A-485F-9A1B-9B50483A03FD}"/>
    <cellStyle name="40% - Accent6 3 2 2 5 2" xfId="6272" xr:uid="{E394B52E-89CF-49CF-B9C4-159DA9F3A31F}"/>
    <cellStyle name="40% - Accent6 3 2 2 5 2 2" xfId="23594" xr:uid="{F1B667AA-DEC6-4732-9769-DF690CA3FE8D}"/>
    <cellStyle name="40% - Accent6 3 2 2 5 2 2 2" xfId="9666" xr:uid="{A9D70144-308A-4615-B254-964F1B8ADA84}"/>
    <cellStyle name="40% - Accent6 3 2 2 5 2 3" xfId="23586" xr:uid="{E2C10B7C-04F6-494E-AE0B-B1D83CD65D92}"/>
    <cellStyle name="40% - Accent6 3 2 2 5 3" xfId="15634" xr:uid="{040068CA-219A-4574-9A98-D1534EA565D7}"/>
    <cellStyle name="40% - Accent6 3 2 2 5 3 2" xfId="6271" xr:uid="{AB7C23BB-E2C2-41F6-AA9F-AE4F9471C1C9}"/>
    <cellStyle name="40% - Accent6 3 2 2 5 4" xfId="23793" xr:uid="{31278960-F30C-4850-B645-FE4BB3BD90DA}"/>
    <cellStyle name="40% - Accent6 3 2 2 6" xfId="6269" xr:uid="{3AAAE1A7-2D83-4E40-8CFF-3AC0AA13C6FB}"/>
    <cellStyle name="40% - Accent6 3 2 2 6 2" xfId="31329" xr:uid="{C89FBF48-215C-4EB4-B386-0F82B48F916A}"/>
    <cellStyle name="40% - Accent6 3 2 2 6 2 2" xfId="23221" xr:uid="{31B44952-D578-42B9-9A26-00FE49F36396}"/>
    <cellStyle name="40% - Accent6 3 2 2 6 3" xfId="29550" xr:uid="{8BCCA147-844B-4066-B630-3233FA26F5FE}"/>
    <cellStyle name="40% - Accent6 3 2 2 7" xfId="6268" xr:uid="{DA597070-A7B6-43A6-BCA1-341732327B76}"/>
    <cellStyle name="40% - Accent6 3 2 2 7 2" xfId="27926" xr:uid="{3A95786C-C9B6-4B65-AA18-1FC83E7924DC}"/>
    <cellStyle name="40% - Accent6 3 2 2 8" xfId="6267" xr:uid="{FEAD16C1-1F9E-4BD6-AFFD-4CF67B5DB679}"/>
    <cellStyle name="40% - Accent6 3 2 3" xfId="7936" xr:uid="{3D8F0D5E-4C8C-402F-B295-DB82A019B7D6}"/>
    <cellStyle name="40% - Accent6 3 2 3 2" xfId="7934" xr:uid="{187275D6-5D9D-420D-962F-AB7CB35A2D04}"/>
    <cellStyle name="40% - Accent6 3 2 3 2 2" xfId="6266" xr:uid="{C9A5FE7F-E21A-4BD7-A956-88097A597259}"/>
    <cellStyle name="40% - Accent6 3 2 3 2 2 2" xfId="6265" xr:uid="{91CFF11B-E392-4550-959F-377DEC40113F}"/>
    <cellStyle name="40% - Accent6 3 2 3 2 2 2 2" xfId="27722" xr:uid="{0FA14110-4611-417A-8AA3-C4CA963055A9}"/>
    <cellStyle name="40% - Accent6 3 2 3 2 2 2 2 2" xfId="25635" xr:uid="{8CB8CA28-6793-4C85-AD21-83D4F493CA78}"/>
    <cellStyle name="40% - Accent6 3 2 3 2 2 2 2 2 2" xfId="30208" xr:uid="{4D709EAF-FBC5-4AF4-9CED-49492321245B}"/>
    <cellStyle name="40% - Accent6 3 2 3 2 2 2 2 3" xfId="18053" xr:uid="{3C258DAE-0671-485F-A4D4-721DCD96DF5F}"/>
    <cellStyle name="40% - Accent6 3 2 3 2 2 2 3" xfId="27701" xr:uid="{5E5E15F8-3AFB-4111-A295-E65AC43F8D4F}"/>
    <cellStyle name="40% - Accent6 3 2 3 2 2 2 3 2" xfId="28448" xr:uid="{525814D7-AA80-44DB-BC73-88B923F225B4}"/>
    <cellStyle name="40% - Accent6 3 2 3 2 2 2 4" xfId="28530" xr:uid="{AE569BFA-057A-4FB9-9F45-D7F62366BD26}"/>
    <cellStyle name="40% - Accent6 3 2 3 2 2 3" xfId="6876" xr:uid="{7BB09E3A-3923-48CD-AB43-0BA3F96E6EED}"/>
    <cellStyle name="40% - Accent6 3 2 3 2 2 3 2" xfId="27444" xr:uid="{C2E50DFD-5099-4791-9874-2628E8AD232C}"/>
    <cellStyle name="40% - Accent6 3 2 3 2 2 3 2 2" xfId="29803" xr:uid="{F7ADAECB-A64F-4F05-8B74-61B3B65C10AD}"/>
    <cellStyle name="40% - Accent6 3 2 3 2 2 3 3" xfId="6264" xr:uid="{7F054730-3E8C-4D07-A3D0-678AD9BD7EC9}"/>
    <cellStyle name="40% - Accent6 3 2 3 2 2 4" xfId="6263" xr:uid="{5F895945-EC84-463B-B227-014F2C0A3614}"/>
    <cellStyle name="40% - Accent6 3 2 3 2 2 4 2" xfId="6261" xr:uid="{74395478-41E6-41EA-A474-433DBCDC4BA7}"/>
    <cellStyle name="40% - Accent6 3 2 3 2 2 5" xfId="6260" xr:uid="{29C2345A-C22E-4247-9D3C-81EADD17FF28}"/>
    <cellStyle name="40% - Accent6 3 2 3 2 3" xfId="15230" xr:uid="{C0C24861-CD5A-4AC0-A89E-488F21A2BD36}"/>
    <cellStyle name="40% - Accent6 3 2 3 2 3 2" xfId="31114" xr:uid="{7F91F918-CB6F-4716-AB20-A6E6F9EC6C78}"/>
    <cellStyle name="40% - Accent6 3 2 3 2 3 2 2" xfId="27290" xr:uid="{434037D5-563C-4809-8B23-1C7944123BFF}"/>
    <cellStyle name="40% - Accent6 3 2 3 2 3 2 2 2" xfId="6258" xr:uid="{166D4F02-1919-415C-BA8A-EA0E2E12DEAD}"/>
    <cellStyle name="40% - Accent6 3 2 3 2 3 2 3" xfId="6256" xr:uid="{1575D50D-E8DB-45B1-AF67-62157782E2D9}"/>
    <cellStyle name="40% - Accent6 3 2 3 2 3 3" xfId="6254" xr:uid="{D2BB41C3-841B-42E1-AA1A-38BFC4B5B292}"/>
    <cellStyle name="40% - Accent6 3 2 3 2 3 3 2" xfId="11929" xr:uid="{B04671EB-9746-4AF5-B85F-82B3C01E40AB}"/>
    <cellStyle name="40% - Accent6 3 2 3 2 3 4" xfId="20137" xr:uid="{E6F02B15-6DEE-4176-9E7C-A0C5C85304F9}"/>
    <cellStyle name="40% - Accent6 3 2 3 2 4" xfId="31166" xr:uid="{E4020D94-6A6D-4DB5-B2DA-9C27909DF663}"/>
    <cellStyle name="40% - Accent6 3 2 3 2 4 2" xfId="32708" xr:uid="{741F3474-2929-4CB7-89AF-4462AA76BD35}"/>
    <cellStyle name="40% - Accent6 3 2 3 2 4 2 2" xfId="11315" xr:uid="{254E629D-0269-4714-A12D-957212CB73A6}"/>
    <cellStyle name="40% - Accent6 3 2 3 2 4 3" xfId="25185" xr:uid="{DB840986-3D08-424D-AB47-AC23743A7E24}"/>
    <cellStyle name="40% - Accent6 3 2 3 2 5" xfId="32229" xr:uid="{E8B85D58-E147-44CC-AD84-BEDC433BD3BA}"/>
    <cellStyle name="40% - Accent6 3 2 3 2 5 2" xfId="32868" xr:uid="{734D8AF3-014D-4292-BBDB-9FBB8E6D9BBE}"/>
    <cellStyle name="40% - Accent6 3 2 3 2 6" xfId="23779" xr:uid="{364EC82A-794B-4EB6-8FE3-259F07341265}"/>
    <cellStyle name="40% - Accent6 3 2 3 3" xfId="6252" xr:uid="{76308857-6258-458A-A0CC-B080E954D104}"/>
    <cellStyle name="40% - Accent6 3 2 3 3 2" xfId="6251" xr:uid="{F4A7C973-5EE7-49B1-B92A-85C684E2F4FC}"/>
    <cellStyle name="40% - Accent6 3 2 3 3 2 2" xfId="6250" xr:uid="{BF13DE30-57A2-46D3-843D-FC77DBF18F8B}"/>
    <cellStyle name="40% - Accent6 3 2 3 3 2 2 2" xfId="27056" xr:uid="{8814D9D1-733C-41C4-88E9-14910F156132}"/>
    <cellStyle name="40% - Accent6 3 2 3 3 2 2 2 2" xfId="6249" xr:uid="{6796BAEF-AC52-4E6A-90CF-63C0FFA5F4AB}"/>
    <cellStyle name="40% - Accent6 3 2 3 3 2 2 3" xfId="6247" xr:uid="{AE3B7811-CF11-47DA-BBCB-360E597B438F}"/>
    <cellStyle name="40% - Accent6 3 2 3 3 2 3" xfId="6243" xr:uid="{8B4F2B30-ED3E-485A-81BF-9B3FC6251A0A}"/>
    <cellStyle name="40% - Accent6 3 2 3 3 2 3 2" xfId="6241" xr:uid="{921511A9-5282-4ABC-9E48-67690B0305BF}"/>
    <cellStyle name="40% - Accent6 3 2 3 3 2 4" xfId="6240" xr:uid="{EA674619-B19A-4769-81FF-63CD0D252AF0}"/>
    <cellStyle name="40% - Accent6 3 2 3 3 3" xfId="6238" xr:uid="{3773BCE3-6F3D-463C-AA95-56799966D146}"/>
    <cellStyle name="40% - Accent6 3 2 3 3 3 2" xfId="7056" xr:uid="{665FCF7C-C9DC-494B-B74E-83558C26B0FA}"/>
    <cellStyle name="40% - Accent6 3 2 3 3 3 2 2" xfId="6237" xr:uid="{BAAA5CC1-BBC3-4BCF-BD99-AB4E35C6BAA1}"/>
    <cellStyle name="40% - Accent6 3 2 3 3 3 3" xfId="6236" xr:uid="{01DE3854-4EA4-41C6-A64A-930DD1BECE00}"/>
    <cellStyle name="40% - Accent6 3 2 3 3 4" xfId="23770" xr:uid="{9ACFE0C4-1C31-4498-83F2-60B312C5E941}"/>
    <cellStyle name="40% - Accent6 3 2 3 3 4 2" xfId="32664" xr:uid="{DEC9DE10-EC3B-4D41-8072-C0449ACBD60E}"/>
    <cellStyle name="40% - Accent6 3 2 3 3 5" xfId="23763" xr:uid="{8E9FA0C3-CB2C-42B9-A553-7D8D580B19F1}"/>
    <cellStyle name="40% - Accent6 3 2 3 4" xfId="6234" xr:uid="{1A4B7153-0681-4135-922D-ED34C16C8334}"/>
    <cellStyle name="40% - Accent6 3 2 3 4 2" xfId="6233" xr:uid="{4369BEBF-9558-402D-B370-DA71E8F523AA}"/>
    <cellStyle name="40% - Accent6 3 2 3 4 2 2" xfId="33445" xr:uid="{D7161B83-9CAD-45DA-AABF-24E81B0C17B7}"/>
    <cellStyle name="40% - Accent6 3 2 3 4 2 2 2" xfId="8147" xr:uid="{5E163E19-C1F2-4E29-9136-5A03AB46DFDC}"/>
    <cellStyle name="40% - Accent6 3 2 3 4 2 3" xfId="6231" xr:uid="{AF2251C4-0A7A-48D2-81C3-BF88A7716B31}"/>
    <cellStyle name="40% - Accent6 3 2 3 4 3" xfId="6230" xr:uid="{4A38144A-7464-4D70-8A39-3CA6612147FC}"/>
    <cellStyle name="40% - Accent6 3 2 3 4 3 2" xfId="6229" xr:uid="{B287BFA1-2A14-453D-92A1-8242E03877B0}"/>
    <cellStyle name="40% - Accent6 3 2 3 4 4" xfId="30855" xr:uid="{7227EF2D-C62B-4017-9C80-75DF2DCD7A1E}"/>
    <cellStyle name="40% - Accent6 3 2 3 5" xfId="6228" xr:uid="{E3B78A8F-3200-4C3A-897A-8805C9BB633D}"/>
    <cellStyle name="40% - Accent6 3 2 3 5 2" xfId="6227" xr:uid="{7072CDA5-E28A-4C3B-8813-897489CE5AF5}"/>
    <cellStyle name="40% - Accent6 3 2 3 5 2 2" xfId="6226" xr:uid="{AD83FB8D-AF1F-4F78-8C19-D79720EAE7C7}"/>
    <cellStyle name="40% - Accent6 3 2 3 5 3" xfId="6224" xr:uid="{503F2250-0D92-4288-A1E0-7D7BD9CC5EB8}"/>
    <cellStyle name="40% - Accent6 3 2 3 6" xfId="9277" xr:uid="{58B8906E-8FEE-48D5-80AA-1D37BB8F47FE}"/>
    <cellStyle name="40% - Accent6 3 2 3 6 2" xfId="29533" xr:uid="{071EAB5D-A554-421F-AED6-4F769EDF750D}"/>
    <cellStyle name="40% - Accent6 3 2 3 7" xfId="6223" xr:uid="{EFAF6BE1-337E-475D-AC37-E711B6CE5D7E}"/>
    <cellStyle name="40% - Accent6 3 2 4" xfId="30658" xr:uid="{7B07D996-D4C8-4D28-9875-0562FAC107F1}"/>
    <cellStyle name="40% - Accent6 3 2 4 2" xfId="31945" xr:uid="{BD14BFA7-ABD9-48B5-94FE-CDD0A5A6171C}"/>
    <cellStyle name="40% - Accent6 3 2 4 2 2" xfId="6220" xr:uid="{AAF92D1F-096A-4B03-80BA-49330479C174}"/>
    <cellStyle name="40% - Accent6 3 2 4 2 2 2" xfId="6219" xr:uid="{124870CC-1831-48D9-94EC-CCE9B17CA4BF}"/>
    <cellStyle name="40% - Accent6 3 2 4 2 2 2 2" xfId="5337" xr:uid="{8B95E82F-8DF7-497A-A2D7-C10DC989ABE9}"/>
    <cellStyle name="40% - Accent6 3 2 4 2 2 2 2 2" xfId="25608" xr:uid="{ADDA60D6-2936-4223-A471-0B7CB3E980EC}"/>
    <cellStyle name="40% - Accent6 3 2 4 2 2 2 3" xfId="5332" xr:uid="{49C18DF8-C32C-4B33-B5D6-58DED138642C}"/>
    <cellStyle name="40% - Accent6 3 2 4 2 2 3" xfId="6217" xr:uid="{B8BA0B18-0A31-4DB5-80D4-54A2C3DE160F}"/>
    <cellStyle name="40% - Accent6 3 2 4 2 2 3 2" xfId="8087" xr:uid="{D2BC680E-3B3D-44F8-9CA8-7EAD8792B6AD}"/>
    <cellStyle name="40% - Accent6 3 2 4 2 2 4" xfId="20935" xr:uid="{F4485A4D-79B4-448D-A063-E11165F3CBBB}"/>
    <cellStyle name="40% - Accent6 3 2 4 2 3" xfId="30959" xr:uid="{892F5E3E-F3AB-46DE-AA86-E6FEB405341F}"/>
    <cellStyle name="40% - Accent6 3 2 4 2 3 2" xfId="6215" xr:uid="{51A68EAE-4D6E-4A58-884D-3AACD011936C}"/>
    <cellStyle name="40% - Accent6 3 2 4 2 3 2 2" xfId="8077" xr:uid="{C0874996-0038-4F0F-8134-F6866392A215}"/>
    <cellStyle name="40% - Accent6 3 2 4 2 3 3" xfId="6214" xr:uid="{60655AB6-5CE5-4875-90B7-9DAF057D436B}"/>
    <cellStyle name="40% - Accent6 3 2 4 2 4" xfId="23744" xr:uid="{2B9FD621-FC37-4253-92FF-DADF0CEC3316}"/>
    <cellStyle name="40% - Accent6 3 2 4 2 4 2" xfId="30578" xr:uid="{1B5AAC36-72C6-4C08-A6B5-90EE0F992944}"/>
    <cellStyle name="40% - Accent6 3 2 4 2 5" xfId="17426" xr:uid="{0D3F52F1-FC94-4A58-8D11-9C7191F53726}"/>
    <cellStyle name="40% - Accent6 3 2 4 3" xfId="30053" xr:uid="{E1EC7A2D-5985-4373-8BD5-AD1E6333AD29}"/>
    <cellStyle name="40% - Accent6 3 2 4 3 2" xfId="33670" xr:uid="{F45876AB-24D4-4010-910E-57355B8CF5B5}"/>
    <cellStyle name="40% - Accent6 3 2 4 3 2 2" xfId="31572" xr:uid="{E55A8089-86F5-41A5-8782-1EB705E4258D}"/>
    <cellStyle name="40% - Accent6 3 2 4 3 2 2 2" xfId="8016" xr:uid="{EDC96C1B-E013-4AB6-AF1C-23E78B17383C}"/>
    <cellStyle name="40% - Accent6 3 2 4 3 2 3" xfId="26625" xr:uid="{0C55DEB7-59FC-4FA7-89F8-8CD6150E728F}"/>
    <cellStyle name="40% - Accent6 3 2 4 3 3" xfId="27716" xr:uid="{E2186398-3024-47A1-9DFB-02212FB393AE}"/>
    <cellStyle name="40% - Accent6 3 2 4 3 3 2" xfId="32811" xr:uid="{77E672B6-5358-4077-99E8-4325EBD982C4}"/>
    <cellStyle name="40% - Accent6 3 2 4 3 4" xfId="23728" xr:uid="{6CB2FAE5-C68A-4723-98F8-DA84C0F98597}"/>
    <cellStyle name="40% - Accent6 3 2 4 4" xfId="31200" xr:uid="{1FAFDD8F-76BA-4165-9670-CE574CDD6AFD}"/>
    <cellStyle name="40% - Accent6 3 2 4 4 2" xfId="33550" xr:uid="{7BA14EA8-2C4B-4A1C-AAD4-151CCBBEB5D0}"/>
    <cellStyle name="40% - Accent6 3 2 4 4 2 2" xfId="33966" xr:uid="{E233B375-9958-4642-9A79-523B04063BA4}"/>
    <cellStyle name="40% - Accent6 3 2 4 4 3" xfId="32046" xr:uid="{84F92228-987E-4D14-8872-85B963A2F5E6}"/>
    <cellStyle name="40% - Accent6 3 2 4 5" xfId="13899" xr:uid="{E02168EB-376D-4AFF-A47A-901882C07F92}"/>
    <cellStyle name="40% - Accent6 3 2 4 5 2" xfId="22343" xr:uid="{99BAC80B-0FD8-4297-A566-A5B2F71BB24F}"/>
    <cellStyle name="40% - Accent6 3 2 4 6" xfId="13893" xr:uid="{6A5BD3FE-27E4-4A31-AB5A-7982A594EE7E}"/>
    <cellStyle name="40% - Accent6 3 2 5" xfId="32140" xr:uid="{A5F960D8-A0A7-4BE1-9AC9-B94CBB545BF1}"/>
    <cellStyle name="40% - Accent6 3 2 5 2" xfId="14070" xr:uid="{165D40D8-E71C-4D29-A1D6-3B78E134217C}"/>
    <cellStyle name="40% - Accent6 3 2 5 2 2" xfId="33339" xr:uid="{AFF9C671-A6BB-4EE4-96B1-CC69D75AAD84}"/>
    <cellStyle name="40% - Accent6 3 2 5 2 2 2" xfId="28087" xr:uid="{7DD268C2-9799-4A7F-BE6A-73189F9DB797}"/>
    <cellStyle name="40% - Accent6 3 2 5 2 2 2 2" xfId="19041" xr:uid="{5D98AF5B-7F41-46AB-91A9-9894259BA089}"/>
    <cellStyle name="40% - Accent6 3 2 5 2 2 3" xfId="33833" xr:uid="{D0D5B61C-9155-46C9-89B7-5D99220359E9}"/>
    <cellStyle name="40% - Accent6 3 2 5 2 3" xfId="29965" xr:uid="{CECFEC57-BE8D-40D5-8A6E-87532C22D11F}"/>
    <cellStyle name="40% - Accent6 3 2 5 2 3 2" xfId="33399" xr:uid="{8922339E-4FD3-4775-8CCC-72F6A238675B}"/>
    <cellStyle name="40% - Accent6 3 2 5 2 4" xfId="23716" xr:uid="{304AE000-0252-41E5-9860-0691A3073985}"/>
    <cellStyle name="40% - Accent6 3 2 5 3" xfId="14068" xr:uid="{955A8D43-F4AB-4944-A1AE-BD878E5EF2C5}"/>
    <cellStyle name="40% - Accent6 3 2 5 3 2" xfId="16947" xr:uid="{78C0A914-884F-42AC-994E-BDE23ED31786}"/>
    <cellStyle name="40% - Accent6 3 2 5 3 2 2" xfId="25665" xr:uid="{C0F9B562-DB43-4A14-889F-332AF7ED6932}"/>
    <cellStyle name="40% - Accent6 3 2 5 3 3" xfId="30943" xr:uid="{72657B65-BFA3-4014-9D2E-4E188E1A297E}"/>
    <cellStyle name="40% - Accent6 3 2 5 4" xfId="6212" xr:uid="{F6CC6F91-509A-4EA9-ACBF-86E9A6D7028E}"/>
    <cellStyle name="40% - Accent6 3 2 5 4 2" xfId="33803" xr:uid="{54DEAEC9-0E3C-4F72-B125-3CCA518C3E56}"/>
    <cellStyle name="40% - Accent6 3 2 5 5" xfId="13889" xr:uid="{5666EECB-AD3F-4A3C-B3AA-345F2F59B215}"/>
    <cellStyle name="40% - Accent6 3 2 6" xfId="30177" xr:uid="{B9822A02-3D05-4549-BE77-D214CC49DD26}"/>
    <cellStyle name="40% - Accent6 3 2 6 2" xfId="14064" xr:uid="{07E504A7-C93B-483F-9D22-6286975C5EF1}"/>
    <cellStyle name="40% - Accent6 3 2 6 2 2" xfId="6211" xr:uid="{A87454EE-3B7D-4997-9512-86D890852444}"/>
    <cellStyle name="40% - Accent6 3 2 6 2 2 2" xfId="28375" xr:uid="{14A52200-42ED-4085-963C-6C49F34B924F}"/>
    <cellStyle name="40% - Accent6 3 2 6 2 3" xfId="25892" xr:uid="{8294C187-942A-44D7-B959-422F9D3348A8}"/>
    <cellStyle name="40% - Accent6 3 2 6 3" xfId="6207" xr:uid="{E175E033-241C-4636-A91C-16E69C59BE29}"/>
    <cellStyle name="40% - Accent6 3 2 6 3 2" xfId="27802" xr:uid="{C967B7CB-92C9-4935-89D1-1818F1C95A37}"/>
    <cellStyle name="40% - Accent6 3 2 6 4" xfId="6204" xr:uid="{5525BD1A-CEDC-4C04-8AC1-8FE1ADA65690}"/>
    <cellStyle name="40% - Accent6 3 2 7" xfId="32569" xr:uid="{62F0F925-13DD-4369-A630-16EC5F208AD7}"/>
    <cellStyle name="40% - Accent6 3 2 7 2" xfId="23176" xr:uid="{375CBC1E-0E5D-4E90-A221-CF18911DFA98}"/>
    <cellStyle name="40% - Accent6 3 2 7 2 2" xfId="17822" xr:uid="{0A8C53FA-BCFD-4AD2-AA7D-98B6A151DD9D}"/>
    <cellStyle name="40% - Accent6 3 2 7 3" xfId="23347" xr:uid="{C2163CEA-0067-4082-976E-AC97824506B5}"/>
    <cellStyle name="40% - Accent6 3 2 8" xfId="33368" xr:uid="{75879E2E-5C29-47BF-A374-0318D9A2C5F4}"/>
    <cellStyle name="40% - Accent6 3 2 8 2" xfId="23343" xr:uid="{ACDB1603-55CE-4711-BB86-A10882666E06}"/>
    <cellStyle name="40% - Accent6 3 2 9" xfId="23338" xr:uid="{305B8EFD-B279-46DF-941A-8F60D5404694}"/>
    <cellStyle name="40% - Accent6 3 3" xfId="235" xr:uid="{F44B18F4-531B-4961-87E3-9653E7561082}"/>
    <cellStyle name="40% - Accent6 3 3 10" xfId="11791" xr:uid="{F94CBD28-3FAC-4D85-B20B-5CCC8ED5B442}"/>
    <cellStyle name="40% - Accent6 3 3 2" xfId="7931" xr:uid="{9F09714D-DAA8-4821-A620-9D6489C16831}"/>
    <cellStyle name="40% - Accent6 3 3 2 2" xfId="7929" xr:uid="{8695B5BF-29CD-4932-AAC4-1FE0F229C428}"/>
    <cellStyle name="40% - Accent6 3 3 2 2 2" xfId="6201" xr:uid="{65E9CC03-9D81-448A-BDA2-2EA9424BFCF0}"/>
    <cellStyle name="40% - Accent6 3 3 2 2 2 2" xfId="23211" xr:uid="{F02C01C6-E960-427B-AC9D-D2684D2939DA}"/>
    <cellStyle name="40% - Accent6 3 3 2 2 2 2 2" xfId="6200" xr:uid="{25921787-1D20-4F86-BD18-1EB1802B582C}"/>
    <cellStyle name="40% - Accent6 3 3 2 2 2 2 2 2" xfId="11148" xr:uid="{49B89603-3F71-4D5C-9285-90BB8719FCAC}"/>
    <cellStyle name="40% - Accent6 3 3 2 2 2 2 2 2 2" xfId="6197" xr:uid="{F9B807AD-BBDD-4C3D-A724-A6AD8F925703}"/>
    <cellStyle name="40% - Accent6 3 3 2 2 2 2 2 3" xfId="5720" xr:uid="{E30A6D4E-82A7-4B92-ADB5-34F60C05BB40}"/>
    <cellStyle name="40% - Accent6 3 3 2 2 2 2 3" xfId="6193" xr:uid="{242FB0A4-246D-4B27-A40C-DF647038C5D4}"/>
    <cellStyle name="40% - Accent6 3 3 2 2 2 2 3 2" xfId="11185" xr:uid="{8ABB5ADC-848F-4E8D-915F-E64818D9ECE0}"/>
    <cellStyle name="40% - Accent6 3 3 2 2 2 2 4" xfId="6192" xr:uid="{10226DDA-C0C0-480C-8127-4F9CBA8265EB}"/>
    <cellStyle name="40% - Accent6 3 3 2 2 2 3" xfId="23201" xr:uid="{93C68839-D96A-41E1-BC64-A9618F29C618}"/>
    <cellStyle name="40% - Accent6 3 3 2 2 2 3 2" xfId="6190" xr:uid="{91418EAF-36F7-4258-8FFD-6F17CE3F5EF8}"/>
    <cellStyle name="40% - Accent6 3 3 2 2 2 3 2 2" xfId="21271" xr:uid="{FED42061-9452-4AF7-A2FF-49945BB8DA54}"/>
    <cellStyle name="40% - Accent6 3 3 2 2 2 3 3" xfId="6189" xr:uid="{0986ACB9-11F8-4A34-B30A-EFE34EE94446}"/>
    <cellStyle name="40% - Accent6 3 3 2 2 2 4" xfId="11202" xr:uid="{C7B5C955-AB64-4CC6-BA1D-FA5E0D0CA29E}"/>
    <cellStyle name="40% - Accent6 3 3 2 2 2 4 2" xfId="11611" xr:uid="{98CBEF94-1E72-4333-8CB0-9FB352320AE7}"/>
    <cellStyle name="40% - Accent6 3 3 2 2 2 5" xfId="33521" xr:uid="{A5BF45C4-AF1D-4B6E-87E1-11CA6BD9A73E}"/>
    <cellStyle name="40% - Accent6 3 3 2 2 3" xfId="6188" xr:uid="{D6BCDE35-919F-417F-93F1-7A87E13352F8}"/>
    <cellStyle name="40% - Accent6 3 3 2 2 3 2" xfId="23197" xr:uid="{3E4D8250-AFB7-4F6A-B4F0-26187CA511A9}"/>
    <cellStyle name="40% - Accent6 3 3 2 2 3 2 2" xfId="22398" xr:uid="{55B4B82D-2DFA-4A98-9BD6-DEB96B61FFC7}"/>
    <cellStyle name="40% - Accent6 3 3 2 2 3 2 2 2" xfId="30991" xr:uid="{1DB32B57-6503-4EB4-83C4-5980F4DBBEB0}"/>
    <cellStyle name="40% - Accent6 3 3 2 2 3 2 3" xfId="6187" xr:uid="{DD3FF260-CFEB-41E7-8209-080D91C0887D}"/>
    <cellStyle name="40% - Accent6 3 3 2 2 3 3" xfId="6186" xr:uid="{7C127954-08B3-43D9-8970-B53C88CF82A6}"/>
    <cellStyle name="40% - Accent6 3 3 2 2 3 3 2" xfId="9499" xr:uid="{794102EA-5FE3-45FE-93E2-2BCB9E80873C}"/>
    <cellStyle name="40% - Accent6 3 3 2 2 3 4" xfId="6184" xr:uid="{AB940BB6-D5B9-475B-A4BA-22886CE33C1E}"/>
    <cellStyle name="40% - Accent6 3 3 2 2 4" xfId="31317" xr:uid="{46A4A1B5-C2FA-49CA-A2D9-A9C7E430AF88}"/>
    <cellStyle name="40% - Accent6 3 3 2 2 4 2" xfId="23385" xr:uid="{9FDF153B-6E48-4498-9F0E-14B65EE90099}"/>
    <cellStyle name="40% - Accent6 3 3 2 2 4 2 2" xfId="6183" xr:uid="{0F7194DC-8123-4C28-B546-74ACA4527E5C}"/>
    <cellStyle name="40% - Accent6 3 3 2 2 4 3" xfId="23002" xr:uid="{E207945E-1596-48EC-8859-AB7C987A6455}"/>
    <cellStyle name="40% - Accent6 3 3 2 2 5" xfId="31483" xr:uid="{BBF4605C-2235-4A24-8BFA-07C3A632BD74}"/>
    <cellStyle name="40% - Accent6 3 3 2 2 5 2" xfId="22993" xr:uid="{A2EC9E4F-CB82-4036-9C2D-78BBAD802563}"/>
    <cellStyle name="40% - Accent6 3 3 2 2 6" xfId="22990" xr:uid="{0A017941-495C-4C3F-8B72-1032E76AD81C}"/>
    <cellStyle name="40% - Accent6 3 3 2 3" xfId="6182" xr:uid="{7AA97564-15D1-48C8-B783-459212FD0DA8}"/>
    <cellStyle name="40% - Accent6 3 3 2 3 2" xfId="17086" xr:uid="{CA1C3E2E-3274-4114-B418-1AB66B725E80}"/>
    <cellStyle name="40% - Accent6 3 3 2 3 2 2" xfId="23182" xr:uid="{71678617-FEED-41B3-B84B-CCA102A5787C}"/>
    <cellStyle name="40% - Accent6 3 3 2 3 2 2 2" xfId="6181" xr:uid="{20CF447C-A0C9-4BD8-9D90-D13A6EEF1FFC}"/>
    <cellStyle name="40% - Accent6 3 3 2 3 2 2 2 2" xfId="15279" xr:uid="{37AC9417-D941-4B7A-8E5D-4F2BF0FCA6D7}"/>
    <cellStyle name="40% - Accent6 3 3 2 3 2 2 3" xfId="6180" xr:uid="{0A92D07A-AAE2-466E-90E6-28626281BAEE}"/>
    <cellStyle name="40% - Accent6 3 3 2 3 2 3" xfId="17082" xr:uid="{342EA9E0-9862-4C39-A85B-17B6A28DD00D}"/>
    <cellStyle name="40% - Accent6 3 3 2 3 2 3 2" xfId="6176" xr:uid="{916C33EF-AE08-4E39-A86B-864160DA7D05}"/>
    <cellStyle name="40% - Accent6 3 3 2 3 2 4" xfId="17079" xr:uid="{A53D2FC9-BA95-4B03-8F05-38FABCE18567}"/>
    <cellStyle name="40% - Accent6 3 3 2 3 3" xfId="17077" xr:uid="{87CEFD20-2454-4ED7-9026-C8410502A446}"/>
    <cellStyle name="40% - Accent6 3 3 2 3 3 2" xfId="17070" xr:uid="{CA5250C0-E34F-4A40-B008-16A9579368BE}"/>
    <cellStyle name="40% - Accent6 3 3 2 3 3 2 2" xfId="6175" xr:uid="{2F1F197E-6332-49D4-8006-576DCBC6CC95}"/>
    <cellStyle name="40% - Accent6 3 3 2 3 3 3" xfId="17068" xr:uid="{114F6300-C37A-4F82-B6F0-CD119002645D}"/>
    <cellStyle name="40% - Accent6 3 3 2 3 4" xfId="28583" xr:uid="{8D1A8D55-EEF2-4F04-9CA9-10704AF07607}"/>
    <cellStyle name="40% - Accent6 3 3 2 3 4 2" xfId="22981" xr:uid="{C36E6B67-FBF8-457D-AE8F-42751ACD763F}"/>
    <cellStyle name="40% - Accent6 3 3 2 3 5" xfId="22975" xr:uid="{31CF7BAD-C1AB-4F05-9E84-AF8891DA0A81}"/>
    <cellStyle name="40% - Accent6 3 3 2 4" xfId="6174" xr:uid="{A00498B2-0FE4-4DFE-9CBA-6430CECAAF31}"/>
    <cellStyle name="40% - Accent6 3 3 2 4 2" xfId="17022" xr:uid="{93676BB1-232D-41FF-B861-B0D2B1A2A8B0}"/>
    <cellStyle name="40% - Accent6 3 3 2 4 2 2" xfId="34376" xr:uid="{4613705C-DD23-43E4-AB30-5A8C7C692ED6}"/>
    <cellStyle name="40% - Accent6 3 3 2 4 2 2 2" xfId="25067" xr:uid="{1711475E-9406-42F4-87C2-E70C02081677}"/>
    <cellStyle name="40% - Accent6 3 3 2 4 2 3" xfId="17020" xr:uid="{B48F2826-73B0-454A-AD71-1562D321FCFE}"/>
    <cellStyle name="40% - Accent6 3 3 2 4 3" xfId="17017" xr:uid="{08B54E37-E2C1-4221-9CD4-12335EFFFFF8}"/>
    <cellStyle name="40% - Accent6 3 3 2 4 3 2" xfId="17015" xr:uid="{3B8D004D-2920-4B19-9065-56989B3694D7}"/>
    <cellStyle name="40% - Accent6 3 3 2 4 4" xfId="22970" xr:uid="{D0F32CA5-38A4-4C6B-9C58-DCDE20690E31}"/>
    <cellStyle name="40% - Accent6 3 3 2 5" xfId="6172" xr:uid="{0256EE18-EDFF-4131-BC34-66E007C4B9D5}"/>
    <cellStyle name="40% - Accent6 3 3 2 5 2" xfId="17001" xr:uid="{19A27339-BFAC-4038-A44E-69AF6E6C0C59}"/>
    <cellStyle name="40% - Accent6 3 3 2 5 2 2" xfId="22871" xr:uid="{402F0D0D-AF26-4EB6-9827-23DEF97BA4A0}"/>
    <cellStyle name="40% - Accent6 3 3 2 5 3" xfId="16997" xr:uid="{14507DE1-2DA8-4911-8705-CC7B3DD41983}"/>
    <cellStyle name="40% - Accent6 3 3 2 6" xfId="6170" xr:uid="{1CF68729-B598-4B8B-A0D6-EFFA87D438F6}"/>
    <cellStyle name="40% - Accent6 3 3 2 6 2" xfId="16984" xr:uid="{C5CC97F2-09BB-46E3-A5B9-3F5D11E2AFD7}"/>
    <cellStyle name="40% - Accent6 3 3 2 7" xfId="6168" xr:uid="{C175DA9A-BDAA-4773-A137-9A4133933810}"/>
    <cellStyle name="40% - Accent6 3 3 3" xfId="7926" xr:uid="{3C476281-F3BE-4093-AF19-6315D6D9ED29}"/>
    <cellStyle name="40% - Accent6 3 3 3 2" xfId="32115" xr:uid="{8D70F61C-69E4-4D34-AC17-FCC9F4E4E359}"/>
    <cellStyle name="40% - Accent6 3 3 3 2 2" xfId="17904" xr:uid="{A2BC1E6C-ABC2-4701-BDD7-B66CDAD9E682}"/>
    <cellStyle name="40% - Accent6 3 3 3 2 2 2" xfId="23174" xr:uid="{ACBFAB6D-023A-40FF-8A93-F84F0D3DB6A7}"/>
    <cellStyle name="40% - Accent6 3 3 3 2 2 2 2" xfId="34246" xr:uid="{2D08121E-C642-4A09-933C-1B3778C638ED}"/>
    <cellStyle name="40% - Accent6 3 3 3 2 2 2 2 2" xfId="8730" xr:uid="{8E214FE7-D85C-4919-A65C-696301E26928}"/>
    <cellStyle name="40% - Accent6 3 3 3 2 2 2 3" xfId="33041" xr:uid="{272B4803-D68C-4800-87BD-0254A6091DD3}"/>
    <cellStyle name="40% - Accent6 3 3 3 2 2 3" xfId="6166" xr:uid="{647A3713-8A8C-4131-AED5-A8A85370607B}"/>
    <cellStyle name="40% - Accent6 3 3 3 2 2 3 2" xfId="24746" xr:uid="{84D01148-DCDD-424D-B3D7-0FD466F63326}"/>
    <cellStyle name="40% - Accent6 3 3 3 2 2 4" xfId="6162" xr:uid="{0FBB5562-4AF7-4372-92B9-08CC817EEE0A}"/>
    <cellStyle name="40% - Accent6 3 3 3 2 3" xfId="17894" xr:uid="{57C6A573-7093-4A59-958B-DE687F3E53C0}"/>
    <cellStyle name="40% - Accent6 3 3 3 2 3 2" xfId="6161" xr:uid="{43DB42C1-60B7-42B6-AA37-68072DBAFFEA}"/>
    <cellStyle name="40% - Accent6 3 3 3 2 3 2 2" xfId="11573" xr:uid="{1F493353-D16F-4FD8-9B48-63F3EB3E4DF2}"/>
    <cellStyle name="40% - Accent6 3 3 3 2 3 3" xfId="6160" xr:uid="{DBE756C1-E7FE-4481-8CB1-C9021ADF59DF}"/>
    <cellStyle name="40% - Accent6 3 3 3 2 4" xfId="20339" xr:uid="{1F77F7DD-32C3-4FDC-9D80-9367FB9C5C32}"/>
    <cellStyle name="40% - Accent6 3 3 3 2 4 2" xfId="32533" xr:uid="{F238AE7B-7D3A-421D-BA8F-B23D3734B80C}"/>
    <cellStyle name="40% - Accent6 3 3 3 2 5" xfId="18828" xr:uid="{BC880320-9744-491B-B0EC-A0DC67A69E3B}"/>
    <cellStyle name="40% - Accent6 3 3 3 3" xfId="21138" xr:uid="{81CF4861-EE8C-4FFA-AE31-207310856BF4}"/>
    <cellStyle name="40% - Accent6 3 3 3 3 2" xfId="17880" xr:uid="{EECD3799-1624-4454-A9F4-3E5B6B70D064}"/>
    <cellStyle name="40% - Accent6 3 3 3 3 2 2" xfId="16933" xr:uid="{6DB3255B-6AE7-4E22-89F3-D04F17662ADE}"/>
    <cellStyle name="40% - Accent6 3 3 3 3 2 2 2" xfId="24168" xr:uid="{FFBEF01E-B96A-4ECD-9738-7D8CC670526D}"/>
    <cellStyle name="40% - Accent6 3 3 3 3 2 3" xfId="16931" xr:uid="{1DFFADC3-F621-4DCE-BF31-2FA6431483E4}"/>
    <cellStyle name="40% - Accent6 3 3 3 3 3" xfId="17872" xr:uid="{FE33B418-7D9E-4857-9250-7E3987D68963}"/>
    <cellStyle name="40% - Accent6 3 3 3 3 3 2" xfId="16930" xr:uid="{ED248E95-5CB6-4BA9-B452-07953338B7C8}"/>
    <cellStyle name="40% - Accent6 3 3 3 3 4" xfId="18819" xr:uid="{182BB075-0E60-4433-9CB8-19480ECE18DC}"/>
    <cellStyle name="40% - Accent6 3 3 3 4" xfId="27513" xr:uid="{E11F43C9-AE26-4986-878A-1855F05D4F1E}"/>
    <cellStyle name="40% - Accent6 3 3 3 4 2" xfId="17865" xr:uid="{11633D68-017F-4C70-8E3D-A44D009AE489}"/>
    <cellStyle name="40% - Accent6 3 3 3 4 2 2" xfId="16892" xr:uid="{6ACE7EF5-F9C0-48FF-8DAA-A5B2F763A5CB}"/>
    <cellStyle name="40% - Accent6 3 3 3 4 3" xfId="26239" xr:uid="{E5DE17E5-8DE4-4E6E-90BD-0658BC93687B}"/>
    <cellStyle name="40% - Accent6 3 3 3 5" xfId="17796" xr:uid="{CA52CD00-8E6C-46D7-8878-099D7DBD3A6E}"/>
    <cellStyle name="40% - Accent6 3 3 3 5 2" xfId="17862" xr:uid="{E5608DBE-9EBD-4AB3-9DF2-ABDF1F702041}"/>
    <cellStyle name="40% - Accent6 3 3 3 6" xfId="17859" xr:uid="{EC2F97C5-B54D-48C6-96BD-BB1FF5001A0C}"/>
    <cellStyle name="40% - Accent6 3 3 4" xfId="30651" xr:uid="{1581DBCA-416A-410F-9B75-F76D4FE75268}"/>
    <cellStyle name="40% - Accent6 3 3 4 2" xfId="27893" xr:uid="{9CD90671-98EA-4BDE-B1BB-A9EB1F0BAF82}"/>
    <cellStyle name="40% - Accent6 3 3 4 2 2" xfId="28949" xr:uid="{6C5ED9E3-80C6-4D84-A599-22D62ADC3DCA}"/>
    <cellStyle name="40% - Accent6 3 3 4 2 2 2" xfId="6159" xr:uid="{0A9BD1E8-327B-410D-BD17-8C150C82F4FA}"/>
    <cellStyle name="40% - Accent6 3 3 4 2 2 2 2" xfId="10883" xr:uid="{97837D55-63A6-46FC-A98B-ED8261542FAF}"/>
    <cellStyle name="40% - Accent6 3 3 4 2 2 3" xfId="6156" xr:uid="{EFD955FD-9C7D-4426-9352-76B5C980CE05}"/>
    <cellStyle name="40% - Accent6 3 3 4 2 3" xfId="30918" xr:uid="{B727C8F2-7FF7-4B30-8BAC-2754F982824A}"/>
    <cellStyle name="40% - Accent6 3 3 4 2 3 2" xfId="6153" xr:uid="{AC24E5FF-7133-4203-AAEB-1A44727DC5F6}"/>
    <cellStyle name="40% - Accent6 3 3 4 2 4" xfId="10208" xr:uid="{0A402091-834D-4D1F-843D-EC74CAE323DF}"/>
    <cellStyle name="40% - Accent6 3 3 4 3" xfId="30921" xr:uid="{62B58BFB-C89B-4B57-90EE-AE59A94F2307}"/>
    <cellStyle name="40% - Accent6 3 3 4 3 2" xfId="29559" xr:uid="{6BF9A423-0E5B-4A8F-8D42-57804C50FADD}"/>
    <cellStyle name="40% - Accent6 3 3 4 3 2 2" xfId="30793" xr:uid="{7CE7C96A-2303-4AA8-914C-AC2AC160BCC4}"/>
    <cellStyle name="40% - Accent6 3 3 4 3 3" xfId="30897" xr:uid="{64F3D488-DCA9-4F4D-B32A-66831D61629A}"/>
    <cellStyle name="40% - Accent6 3 3 4 4" xfId="30314" xr:uid="{04B98407-EB39-4CD6-9652-588B7F653CB2}"/>
    <cellStyle name="40% - Accent6 3 3 4 4 2" xfId="31813" xr:uid="{2F09E0DC-9F7F-446D-B364-E35389046E00}"/>
    <cellStyle name="40% - Accent6 3 3 4 5" xfId="17788" xr:uid="{2E70524E-8B71-4066-9C57-D98A1428A892}"/>
    <cellStyle name="40% - Accent6 3 3 5" xfId="30649" xr:uid="{F74D9693-1463-487D-AA7A-B1FE936240F6}"/>
    <cellStyle name="40% - Accent6 3 3 5 2" xfId="16135" xr:uid="{F8F7EA0A-A5C9-4676-A6D0-E37F9AE3BB86}"/>
    <cellStyle name="40% - Accent6 3 3 5 2 2" xfId="22332" xr:uid="{9FBB06A5-4EBF-4A71-B03D-27D93B9F6232}"/>
    <cellStyle name="40% - Accent6 3 3 5 2 2 2" xfId="33814" xr:uid="{1B439C5E-8C6A-47E1-84F4-F2175DC80ECD}"/>
    <cellStyle name="40% - Accent6 3 3 5 2 3" xfId="27839" xr:uid="{9C2DF1F8-C304-4EEF-9DFF-3C0977D52A54}"/>
    <cellStyle name="40% - Accent6 3 3 5 3" xfId="7129" xr:uid="{5AADF64E-763F-45DB-BE4A-2804108C6DCA}"/>
    <cellStyle name="40% - Accent6 3 3 5 3 2" xfId="27774" xr:uid="{F12E36EC-DE64-41CF-B2AA-9A7ADCA2F09C}"/>
    <cellStyle name="40% - Accent6 3 3 5 4" xfId="12343" xr:uid="{1A91C73B-461B-4E6A-BAB1-2B2B3AC50869}"/>
    <cellStyle name="40% - Accent6 3 3 6" xfId="30637" xr:uid="{2E2E2CAA-C35B-479C-A1AC-1CFABECE7928}"/>
    <cellStyle name="40% - Accent6 3 3 6 2" xfId="17805" xr:uid="{2584BB86-6A0C-4E47-96FB-433C2760C2DB}"/>
    <cellStyle name="40% - Accent6 3 3 6 2 2" xfId="28220" xr:uid="{3FAF3995-C8D8-4E0E-AFAF-FDC52B7B58C3}"/>
    <cellStyle name="40% - Accent6 3 3 6 3" xfId="17804" xr:uid="{08288808-A7FF-45D2-A2EA-E3621BDF92E0}"/>
    <cellStyle name="40% - Accent6 3 3 7" xfId="32820" xr:uid="{1F3C10BD-2646-498F-8BFB-C5AF54F57B63}"/>
    <cellStyle name="40% - Accent6 3 3 7 2" xfId="23329" xr:uid="{1E14332B-C36E-4192-98DF-B6949127F031}"/>
    <cellStyle name="40% - Accent6 3 3 8" xfId="23324" xr:uid="{66039B59-C586-4171-83A6-A53FA93BAD0E}"/>
    <cellStyle name="40% - Accent6 3 3 9" xfId="34559" xr:uid="{0500CCCB-00D8-41BB-8A50-0F8E3FF0380D}"/>
    <cellStyle name="40% - Accent6 3 4" xfId="8404" xr:uid="{C3672A1B-702C-464F-B9F4-A4CE0FBDFED8}"/>
    <cellStyle name="40% - Accent6 3 4 2" xfId="7923" xr:uid="{540D015F-8302-43E8-8129-9C94519987E6}"/>
    <cellStyle name="40% - Accent6 3 4 2 2" xfId="6149" xr:uid="{489FA237-C716-4526-B883-8B72C3C80E18}"/>
    <cellStyle name="40% - Accent6 3 4 2 2 2" xfId="6147" xr:uid="{A06C151C-E793-474A-AA2B-8985558B060E}"/>
    <cellStyle name="40% - Accent6 3 4 2 2 2 2" xfId="9206" xr:uid="{9A4A4017-8371-4EB4-948E-C0D143A283CC}"/>
    <cellStyle name="40% - Accent6 3 4 2 2 2 2 2" xfId="31342" xr:uid="{51365123-AFE1-4C3A-BFDB-70A2DE39596F}"/>
    <cellStyle name="40% - Accent6 3 4 2 2 2 2 2 2" xfId="17457" xr:uid="{05B8AB2F-3D6E-4B17-A128-32B7C04EA8A6}"/>
    <cellStyle name="40% - Accent6 3 4 2 2 2 2 3" xfId="6145" xr:uid="{1FFEDAA2-6EAB-4A80-B761-2625C6B197F9}"/>
    <cellStyle name="40% - Accent6 3 4 2 2 2 3" xfId="7575" xr:uid="{DFB9FEB3-35A4-495C-A53F-F1F8748570EB}"/>
    <cellStyle name="40% - Accent6 3 4 2 2 2 3 2" xfId="7710" xr:uid="{3994031F-F597-4932-9C54-2877FDB2CC24}"/>
    <cellStyle name="40% - Accent6 3 4 2 2 2 4" xfId="6143" xr:uid="{5A41F36D-F54A-4407-9789-2AEE0137A4CA}"/>
    <cellStyle name="40% - Accent6 3 4 2 2 3" xfId="6140" xr:uid="{887D4418-559B-4515-9DBF-3055B4137EA0}"/>
    <cellStyle name="40% - Accent6 3 4 2 2 3 2" xfId="7569" xr:uid="{A05C15A7-19A7-4DAA-AE4B-61CCCFE45DBE}"/>
    <cellStyle name="40% - Accent6 3 4 2 2 3 2 2" xfId="15342" xr:uid="{34BA71F9-0CD5-4BB4-BB10-0EB5694D7203}"/>
    <cellStyle name="40% - Accent6 3 4 2 2 3 3" xfId="6137" xr:uid="{73D41242-65E5-49AE-818E-53D5644B0F08}"/>
    <cellStyle name="40% - Accent6 3 4 2 2 4" xfId="18202" xr:uid="{D2D019D9-B514-412A-9C07-98B158FCC0F5}"/>
    <cellStyle name="40% - Accent6 3 4 2 2 4 2" xfId="5438" xr:uid="{4217C5AA-EB31-4DC3-A73F-FCF7A2FAE365}"/>
    <cellStyle name="40% - Accent6 3 4 2 2 5" xfId="5435" xr:uid="{41749F4A-B107-4B43-B733-6BE44A0BBE7A}"/>
    <cellStyle name="40% - Accent6 3 4 2 3" xfId="6133" xr:uid="{DED6BA60-8180-49D8-BA1E-CC4F74C8469D}"/>
    <cellStyle name="40% - Accent6 3 4 2 3 2" xfId="9200" xr:uid="{AC7A628E-1961-43C8-AFDC-B2227F0F9BA7}"/>
    <cellStyle name="40% - Accent6 3 4 2 3 2 2" xfId="9197" xr:uid="{9F81963D-EBB5-4990-BC87-B697AB305204}"/>
    <cellStyle name="40% - Accent6 3 4 2 3 2 2 2" xfId="6131" xr:uid="{699AE196-6EA5-4B2A-8C17-07077FA8CD81}"/>
    <cellStyle name="40% - Accent6 3 4 2 3 2 3" xfId="10576" xr:uid="{7EBC6DD9-DD99-40FF-B1E6-83717AAF3A78}"/>
    <cellStyle name="40% - Accent6 3 4 2 3 3" xfId="9192" xr:uid="{5F76D62C-2CCC-41F0-98DA-8A68432FBE31}"/>
    <cellStyle name="40% - Accent6 3 4 2 3 3 2" xfId="5433" xr:uid="{C765DE0E-5CF0-46F7-B56B-691644D53005}"/>
    <cellStyle name="40% - Accent6 3 4 2 3 4" xfId="15120" xr:uid="{1AB736E2-6402-440D-8A05-5C6FB59745A7}"/>
    <cellStyle name="40% - Accent6 3 4 2 4" xfId="6130" xr:uid="{897AAFBE-98F0-4ACC-B6D5-983EE813AE04}"/>
    <cellStyle name="40% - Accent6 3 4 2 4 2" xfId="9188" xr:uid="{66EF8175-7D3B-4F0F-B9AE-D8F7F2611FCC}"/>
    <cellStyle name="40% - Accent6 3 4 2 4 2 2" xfId="5430" xr:uid="{9B36BBA6-218A-49A7-BA8A-0AE43958459F}"/>
    <cellStyle name="40% - Accent6 3 4 2 4 3" xfId="5427" xr:uid="{20C22A74-A432-4795-AE71-642560F7A109}"/>
    <cellStyle name="40% - Accent6 3 4 2 5" xfId="6127" xr:uid="{7922FFB0-C210-41DE-8168-EE4FA4FF2D59}"/>
    <cellStyle name="40% - Accent6 3 4 2 5 2" xfId="5425" xr:uid="{B981BB13-DC78-4FDE-A503-AED6660AEE09}"/>
    <cellStyle name="40% - Accent6 3 4 2 6" xfId="16440" xr:uid="{83A625ED-B06D-4BEA-B324-F812D3C59863}"/>
    <cellStyle name="40% - Accent6 3 4 3" xfId="6124" xr:uid="{C8AB71A6-1F47-4C60-A683-663D1B32C8BF}"/>
    <cellStyle name="40% - Accent6 3 4 3 2" xfId="21668" xr:uid="{BF104489-4412-4106-885F-EC807520B43D}"/>
    <cellStyle name="40% - Accent6 3 4 3 2 2" xfId="9089" xr:uid="{3F12F0CB-D1DE-4F17-A70D-6561135D0402}"/>
    <cellStyle name="40% - Accent6 3 4 3 2 2 2" xfId="7536" xr:uid="{D9377285-4549-42D1-AAF1-30C16907C25B}"/>
    <cellStyle name="40% - Accent6 3 4 3 2 2 2 2" xfId="21926" xr:uid="{DA457E8B-8F25-4EC7-950B-95AA22D0112C}"/>
    <cellStyle name="40% - Accent6 3 4 3 2 2 3" xfId="6123" xr:uid="{DD38052B-A5C5-4EEC-9FE4-8400FE91D42A}"/>
    <cellStyle name="40% - Accent6 3 4 3 2 3" xfId="17722" xr:uid="{F3FD7727-9D5F-46D5-874A-0E3AA18AC605}"/>
    <cellStyle name="40% - Accent6 3 4 3 2 3 2" xfId="6121" xr:uid="{116DE53F-A5E9-4D07-9E04-E2B46CB8C05B}"/>
    <cellStyle name="40% - Accent6 3 4 3 2 4" xfId="5381" xr:uid="{3A01D195-CF1C-42B3-9E5D-156B42A9BD5B}"/>
    <cellStyle name="40% - Accent6 3 4 3 3" xfId="9082" xr:uid="{D4D3ADBC-F0A7-4423-BCAF-2FEA71DDC59D}"/>
    <cellStyle name="40% - Accent6 3 4 3 3 2" xfId="17709" xr:uid="{5FF8E748-C78D-45E1-9F5F-9F665D2C209F}"/>
    <cellStyle name="40% - Accent6 3 4 3 3 2 2" xfId="7036" xr:uid="{023948DE-B286-4FBD-92EB-A515D8131128}"/>
    <cellStyle name="40% - Accent6 3 4 3 3 3" xfId="5379" xr:uid="{AA58DA50-6A51-40DD-86CC-A3501198E0C9}"/>
    <cellStyle name="40% - Accent6 3 4 3 4" xfId="9076" xr:uid="{3E921BDE-77FB-4EE7-9262-AB7618411BB0}"/>
    <cellStyle name="40% - Accent6 3 4 3 4 2" xfId="5376" xr:uid="{9EA09827-7DA1-4080-94B1-590005CF5D09}"/>
    <cellStyle name="40% - Accent6 3 4 3 5" xfId="5373" xr:uid="{A2AEFC0B-F226-44F2-93CE-2CB649932A25}"/>
    <cellStyle name="40% - Accent6 3 4 4" xfId="30631" xr:uid="{64F8D7DC-AD07-41DC-B8BA-9D751876AF19}"/>
    <cellStyle name="40% - Accent6 3 4 4 2" xfId="9041" xr:uid="{DBE39FD7-11C4-428A-92C6-F11F37647F0F}"/>
    <cellStyle name="40% - Accent6 3 4 4 2 2" xfId="9037" xr:uid="{8E49C5B2-A88F-4224-ADAA-B798D8BEDD38}"/>
    <cellStyle name="40% - Accent6 3 4 4 2 2 2" xfId="6119" xr:uid="{453971A7-3856-4298-A375-6989018B3A15}"/>
    <cellStyle name="40% - Accent6 3 4 4 2 3" xfId="5364" xr:uid="{A3B1EC50-DFFC-43FA-B1FD-E0CFC923E13B}"/>
    <cellStyle name="40% - Accent6 3 4 4 3" xfId="9031" xr:uid="{6725A3C1-D041-47A3-B056-EA40B3A451CC}"/>
    <cellStyle name="40% - Accent6 3 4 4 3 2" xfId="5361" xr:uid="{C41C44E1-2301-4BAC-97E8-C697617ABD2B}"/>
    <cellStyle name="40% - Accent6 3 4 4 4" xfId="9910" xr:uid="{113207A1-2C96-4FE0-A0FC-59F553A72EB8}"/>
    <cellStyle name="40% - Accent6 3 4 5" xfId="25306" xr:uid="{D9A5E833-13D4-4B96-B46B-11B19647D9BC}"/>
    <cellStyle name="40% - Accent6 3 4 5 2" xfId="17633" xr:uid="{06E6CB23-4DAC-40FD-8E83-340D3C2EF705}"/>
    <cellStyle name="40% - Accent6 3 4 5 2 2" xfId="5346" xr:uid="{B28829BA-C8FC-4BEA-AE17-8F10881259C2}"/>
    <cellStyle name="40% - Accent6 3 4 5 3" xfId="17629" xr:uid="{85BD8BAC-E086-43F5-B689-7489ADA4B902}"/>
    <cellStyle name="40% - Accent6 3 4 6" xfId="6114" xr:uid="{81BB2BFD-EDA5-4508-9FD0-6E6A0EB68386}"/>
    <cellStyle name="40% - Accent6 3 4 6 2" xfId="21703" xr:uid="{D191891B-E57D-4A36-9D4E-B1EE2730401A}"/>
    <cellStyle name="40% - Accent6 3 4 7" xfId="31508" xr:uid="{F03E1722-D152-4B9A-9ABE-9F4CAAD95EA7}"/>
    <cellStyle name="40% - Accent6 3 4 8" xfId="34780" xr:uid="{724E7DF1-2E3F-4472-B0EA-54867E410B6A}"/>
    <cellStyle name="40% - Accent6 3 5" xfId="7920" xr:uid="{E9D85EA4-734C-4282-9B60-15AA93B65B09}"/>
    <cellStyle name="40% - Accent6 3 5 2" xfId="6113" xr:uid="{6021E6E3-D2D4-4FA8-826D-EA16F9CDD473}"/>
    <cellStyle name="40% - Accent6 3 5 2 2" xfId="23788" xr:uid="{7994F4EC-7C51-4CBD-9805-310AD3BD7C61}"/>
    <cellStyle name="40% - Accent6 3 5 2 2 2" xfId="12489" xr:uid="{A69EF5E8-1957-407C-BF40-1F501C079AEF}"/>
    <cellStyle name="40% - Accent6 3 5 2 2 2 2" xfId="7492" xr:uid="{9DA6B8E2-AB2F-44C1-B704-1BDCE64E9254}"/>
    <cellStyle name="40% - Accent6 3 5 2 2 2 2 2" xfId="6112" xr:uid="{1C10EB6C-2279-42DC-8F69-A8A2D5ADB747}"/>
    <cellStyle name="40% - Accent6 3 5 2 2 2 3" xfId="6110" xr:uid="{C7B06555-97CD-4802-AF72-1E9F9C2F4EC8}"/>
    <cellStyle name="40% - Accent6 3 5 2 2 3" xfId="6108" xr:uid="{6BA42C35-B304-428B-97DB-8F1FCA43E8A0}"/>
    <cellStyle name="40% - Accent6 3 5 2 2 3 2" xfId="6106" xr:uid="{47FDD6E1-C4C7-4751-869B-694AA3CC7B9B}"/>
    <cellStyle name="40% - Accent6 3 5 2 2 4" xfId="22480" xr:uid="{3F9513A1-5498-488F-86E4-A6F84B46C38F}"/>
    <cellStyle name="40% - Accent6 3 5 2 3" xfId="8155" xr:uid="{A653F585-5B7B-4F5E-91B4-E376A52D4B9E}"/>
    <cellStyle name="40% - Accent6 3 5 2 3 2" xfId="15963" xr:uid="{124A0E82-1A34-4F1E-B614-52E30D2EFD23}"/>
    <cellStyle name="40% - Accent6 3 5 2 3 2 2" xfId="15960" xr:uid="{002358D4-DF2C-4296-B448-77DC543015EA}"/>
    <cellStyle name="40% - Accent6 3 5 2 3 3" xfId="15956" xr:uid="{72BC9A52-9EBC-4E30-93E6-FC93424AFD87}"/>
    <cellStyle name="40% - Accent6 3 5 2 4" xfId="6103" xr:uid="{80D1EF0A-3302-4A07-92EB-3A39B1DE1634}"/>
    <cellStyle name="40% - Accent6 3 5 2 4 2" xfId="15940" xr:uid="{2B3E26B4-6AC3-43AF-AC03-849632EB0F8F}"/>
    <cellStyle name="40% - Accent6 3 5 2 5" xfId="6100" xr:uid="{0E8DB797-EF4A-4EA0-8DB8-CBC277A9FB13}"/>
    <cellStyle name="40% - Accent6 3 5 3" xfId="11702" xr:uid="{4CA3A120-1870-46BE-9CEF-6EB1D7D28274}"/>
    <cellStyle name="40% - Accent6 3 5 3 2" xfId="27462" xr:uid="{A622C17C-12CF-4002-BF9F-465D8469FE51}"/>
    <cellStyle name="40% - Accent6 3 5 3 2 2" xfId="17601" xr:uid="{1CC1CDAE-256A-43F5-8E51-716F6E9A9ADA}"/>
    <cellStyle name="40% - Accent6 3 5 3 2 2 2" xfId="12659" xr:uid="{C32DF5CF-5ABA-46B5-AF16-0464818D16CE}"/>
    <cellStyle name="40% - Accent6 3 5 3 2 3" xfId="17594" xr:uid="{867AAD13-39CA-4229-B984-9E9272DD8061}"/>
    <cellStyle name="40% - Accent6 3 5 3 3" xfId="17586" xr:uid="{99ED3A3D-892F-4038-8257-F98F8AC0C723}"/>
    <cellStyle name="40% - Accent6 3 5 3 3 2" xfId="17582" xr:uid="{0364F9BD-2175-452F-920D-B4D4B4208DB1}"/>
    <cellStyle name="40% - Accent6 3 5 3 4" xfId="27663" xr:uid="{6455722C-CA2C-49B1-842B-E3A22E5E59F7}"/>
    <cellStyle name="40% - Accent6 3 5 4" xfId="30615" xr:uid="{60F910F8-F6F9-4B2C-B8F2-3BC1B48761EA}"/>
    <cellStyle name="40% - Accent6 3 5 4 2" xfId="17554" xr:uid="{B5EDC98D-8233-4784-96E8-E0A63E42D73F}"/>
    <cellStyle name="40% - Accent6 3 5 4 2 2" xfId="17550" xr:uid="{74EE731E-16DC-4AD4-8D48-145C9B7B668B}"/>
    <cellStyle name="40% - Accent6 3 5 4 3" xfId="17540" xr:uid="{06C3CECE-103F-434D-A53D-FDAFDCC75C2E}"/>
    <cellStyle name="40% - Accent6 3 5 5" xfId="13887" xr:uid="{4503A9D6-A906-40A0-B910-6E67FCFD6792}"/>
    <cellStyle name="40% - Accent6 3 5 5 2" xfId="17521" xr:uid="{C6EA153A-366F-4AB8-8A05-D8A176859733}"/>
    <cellStyle name="40% - Accent6 3 5 6" xfId="13885" xr:uid="{C13446E3-7A42-4D6F-A9AB-5418CA7898D1}"/>
    <cellStyle name="40% - Accent6 3 5 7" xfId="34975" xr:uid="{8E48ED1F-E8A0-4B71-9AAE-187044880BD2}"/>
    <cellStyle name="40% - Accent6 3 6" xfId="6097" xr:uid="{C6A3806E-138B-4284-85F1-1E978E6EA789}"/>
    <cellStyle name="40% - Accent6 3 6 2" xfId="6095" xr:uid="{51DC95C7-ACB7-4E24-85A5-4406E4263CE7}"/>
    <cellStyle name="40% - Accent6 3 6 2 2" xfId="25137" xr:uid="{673AEB8E-1582-46CC-B05A-D20FB58AA31C}"/>
    <cellStyle name="40% - Accent6 3 6 2 2 2" xfId="6093" xr:uid="{77CAD355-A0C6-4EAB-99A8-206362AC91DD}"/>
    <cellStyle name="40% - Accent6 3 6 2 2 2 2" xfId="6089" xr:uid="{96D5E2D9-CEFB-455B-8F86-274EA24055FD}"/>
    <cellStyle name="40% - Accent6 3 6 2 2 3" xfId="13493" xr:uid="{C168B1D5-33B3-46D9-9C92-4061A4C94352}"/>
    <cellStyle name="40% - Accent6 3 6 2 3" xfId="19791" xr:uid="{9099E3FA-F422-4D3C-A1EA-8938A648F9AB}"/>
    <cellStyle name="40% - Accent6 3 6 2 3 2" xfId="15788" xr:uid="{C486E6DA-1266-4408-8C78-F216494A7166}"/>
    <cellStyle name="40% - Accent6 3 6 2 4" xfId="19784" xr:uid="{37672A67-850B-4915-969F-E042EEC404CF}"/>
    <cellStyle name="40% - Accent6 3 6 3" xfId="6086" xr:uid="{3436AE09-5676-4EDC-A9B2-06E15AD5A811}"/>
    <cellStyle name="40% - Accent6 3 6 3 2" xfId="17489" xr:uid="{CAD554A8-0B25-424A-8CAE-4E25E7583A27}"/>
    <cellStyle name="40% - Accent6 3 6 3 2 2" xfId="27113" xr:uid="{562FAD09-012F-40CA-997B-B12639FE89C1}"/>
    <cellStyle name="40% - Accent6 3 6 3 3" xfId="17483" xr:uid="{F2F1A9BA-045D-45D4-A685-E27337C1374B}"/>
    <cellStyle name="40% - Accent6 3 6 4" xfId="13881" xr:uid="{F3DBFAB7-A320-4339-81B7-186AE51D5542}"/>
    <cellStyle name="40% - Accent6 3 6 4 2" xfId="17469" xr:uid="{0197C354-FB6B-412F-9174-5EB25FCA93BA}"/>
    <cellStyle name="40% - Accent6 3 6 5" xfId="13876" xr:uid="{91133636-E5E6-41E8-AACF-6030D8D1D4D6}"/>
    <cellStyle name="40% - Accent6 3 6 6" xfId="35180" xr:uid="{30F3293A-57EC-4C1A-930B-D2CAB6DB7D64}"/>
    <cellStyle name="40% - Accent6 3 7" xfId="6085" xr:uid="{C8D45CAD-0B22-4956-9C0B-F893B83C856F}"/>
    <cellStyle name="40% - Accent6 3 7 2" xfId="6084" xr:uid="{84984095-9493-4BAB-9563-CB3F7315C85C}"/>
    <cellStyle name="40% - Accent6 3 7 2 2" xfId="15521" xr:uid="{D9AD0365-9707-4A1B-9186-33AB89C800F8}"/>
    <cellStyle name="40% - Accent6 3 7 2 2 2" xfId="6083" xr:uid="{A775F89F-8584-403C-B3CE-DE0DEADDD5E1}"/>
    <cellStyle name="40% - Accent6 3 7 2 3" xfId="27189" xr:uid="{C83796BB-C6A7-41C6-9E3E-494852884CD3}"/>
    <cellStyle name="40% - Accent6 3 7 3" xfId="6079" xr:uid="{42ADCCFD-2006-4200-BD82-056B134D9A9B}"/>
    <cellStyle name="40% - Accent6 3 7 3 2" xfId="19771" xr:uid="{9CEC0788-0870-4FE9-82FB-2B0610AF5DFF}"/>
    <cellStyle name="40% - Accent6 3 7 4" xfId="13871" xr:uid="{EF087B8D-A7AA-4E88-9826-4D11652766E8}"/>
    <cellStyle name="40% - Accent6 3 7 5" xfId="35409" xr:uid="{6DA51076-68A1-42CC-8BA7-1F873971430A}"/>
    <cellStyle name="40% - Accent6 3 8" xfId="6078" xr:uid="{37041738-1015-47B3-A9B0-DEFC7374A5F2}"/>
    <cellStyle name="40% - Accent6 3 8 2" xfId="6077" xr:uid="{B27623CC-67F9-40AB-BC8B-0297C2879377}"/>
    <cellStyle name="40% - Accent6 3 8 2 2" xfId="19763" xr:uid="{F1DBAFF2-120D-4450-B102-27416AA4385A}"/>
    <cellStyle name="40% - Accent6 3 8 3" xfId="6076" xr:uid="{ECAE697B-ED1D-4BCA-AE04-89E1E9889895}"/>
    <cellStyle name="40% - Accent6 3 8 4" xfId="36281" xr:uid="{704D0565-DC4B-449D-9D7C-B97145578C63}"/>
    <cellStyle name="40% - Accent6 3 9" xfId="24438" xr:uid="{3927AA63-33B8-47BA-95DE-7EE07F3E1248}"/>
    <cellStyle name="40% - Accent6 3 9 2" xfId="6075" xr:uid="{BA3ADA46-FA96-4B5D-80EE-A543CB2B5849}"/>
    <cellStyle name="40% - Accent6 3 9 3" xfId="36567" xr:uid="{4FD5350C-E056-4479-8E4F-BAEF00102131}"/>
    <cellStyle name="40% - Accent6 30" xfId="35906" xr:uid="{CC7C1053-8DDF-4B3B-A8BA-7BDDCA9DC056}"/>
    <cellStyle name="40% - Accent6 30 2" xfId="37078" xr:uid="{54C0A854-2105-4F48-A14A-5A11EDA7BD57}"/>
    <cellStyle name="40% - Accent6 30 3" xfId="37973" xr:uid="{8CDFDD86-CE0B-42C2-9DA5-F803330F8C76}"/>
    <cellStyle name="40% - Accent6 31" xfId="35926" xr:uid="{8C9994FD-3540-495D-A3C2-05166E267EC5}"/>
    <cellStyle name="40% - Accent6 31 2" xfId="37097" xr:uid="{8C1F5BB8-E7B4-4A29-89BE-4BA13632DB9D}"/>
    <cellStyle name="40% - Accent6 31 3" xfId="37993" xr:uid="{15CBFA74-D628-4382-9138-A6CC6A9912B3}"/>
    <cellStyle name="40% - Accent6 32" xfId="35946" xr:uid="{E54F8C3E-0115-4704-8D57-3F043C6FF30A}"/>
    <cellStyle name="40% - Accent6 32 2" xfId="37116" xr:uid="{34A1BE73-17D6-48BF-98DD-2ECB415FAF75}"/>
    <cellStyle name="40% - Accent6 32 3" xfId="38013" xr:uid="{6189395C-C286-42DC-A2DF-030FC4A79A52}"/>
    <cellStyle name="40% - Accent6 33" xfId="35966" xr:uid="{E162F37C-0B58-4474-A5F1-7611D796B719}"/>
    <cellStyle name="40% - Accent6 33 2" xfId="37135" xr:uid="{7AAECFC5-8D81-45AE-8664-7CE22717022D}"/>
    <cellStyle name="40% - Accent6 33 3" xfId="38033" xr:uid="{623C230D-D63C-47B0-B60A-1901A640F4C6}"/>
    <cellStyle name="40% - Accent6 34" xfId="35986" xr:uid="{DE194DCA-C9F2-4C97-8036-43ECFDB1D04D}"/>
    <cellStyle name="40% - Accent6 34 2" xfId="37155" xr:uid="{2E52B259-9D49-4AF7-B925-B85B2772A20A}"/>
    <cellStyle name="40% - Accent6 34 3" xfId="38053" xr:uid="{52903173-C3B6-4C8E-A31C-F0D4E58E5B41}"/>
    <cellStyle name="40% - Accent6 35" xfId="36006" xr:uid="{A9124319-10D8-40A9-B5F0-180F0A2FE0DD}"/>
    <cellStyle name="40% - Accent6 35 2" xfId="37175" xr:uid="{E3163FF9-6E26-4671-BB17-9BFD653A93D8}"/>
    <cellStyle name="40% - Accent6 35 3" xfId="38073" xr:uid="{8D372F73-C36C-401D-8374-9472F486F0C2}"/>
    <cellStyle name="40% - Accent6 36" xfId="36026" xr:uid="{75E92A6D-5F1C-425D-A323-0A3188366CE9}"/>
    <cellStyle name="40% - Accent6 36 2" xfId="37195" xr:uid="{FFD39483-AAF2-422D-A7A5-72AD9274F634}"/>
    <cellStyle name="40% - Accent6 36 3" xfId="38093" xr:uid="{7096112F-A609-4B4B-A51B-0205190F5B8A}"/>
    <cellStyle name="40% - Accent6 37" xfId="36046" xr:uid="{1F53BF92-AC3D-475B-84C2-71D23989BEE4}"/>
    <cellStyle name="40% - Accent6 37 2" xfId="37215" xr:uid="{A2936278-51D3-47B1-A6DF-66249E914A26}"/>
    <cellStyle name="40% - Accent6 37 3" xfId="38113" xr:uid="{BE547CF1-07A2-440E-9393-843E72510BD7}"/>
    <cellStyle name="40% - Accent6 38" xfId="36066" xr:uid="{E2C0FC5E-CDA3-45CB-B79A-B4A070CDBEB6}"/>
    <cellStyle name="40% - Accent6 38 2" xfId="37235" xr:uid="{A22CD7B6-0418-45DB-8951-D101D5129063}"/>
    <cellStyle name="40% - Accent6 38 3" xfId="38133" xr:uid="{11BCE5C3-7EC9-425F-B1C7-2A0B8DE6C3AD}"/>
    <cellStyle name="40% - Accent6 39" xfId="36086" xr:uid="{BD71A790-B9C3-4AB2-AA79-F5E77C255535}"/>
    <cellStyle name="40% - Accent6 39 2" xfId="37255" xr:uid="{58214C2F-51F9-45FD-B7AC-17C59CF58274}"/>
    <cellStyle name="40% - Accent6 39 3" xfId="38153" xr:uid="{387CF86F-B630-4C09-85E5-2BB9FEDF9110}"/>
    <cellStyle name="40% - Accent6 4" xfId="132" xr:uid="{B60752AF-D0F9-4AA2-8AF7-871B43A8E2FA}"/>
    <cellStyle name="40% - Accent6 4 10" xfId="34486" xr:uid="{8EF6D266-D596-4370-AD90-02DCAC39CD4A}"/>
    <cellStyle name="40% - Accent6 4 11" xfId="15172" xr:uid="{E93DA906-096B-40B1-8356-FD1FB00E0B69}"/>
    <cellStyle name="40% - Accent6 4 2" xfId="255" xr:uid="{236C691B-2D99-4F3C-B84D-F96ABED9EE47}"/>
    <cellStyle name="40% - Accent6 4 2 10" xfId="7916" xr:uid="{F929F33F-D632-47E7-B6A2-C1BAB06CDF68}"/>
    <cellStyle name="40% - Accent6 4 2 2" xfId="7913" xr:uid="{56A01987-F4DC-4112-B288-CCAD3D4FB5E3}"/>
    <cellStyle name="40% - Accent6 4 2 2 2" xfId="7911" xr:uid="{CE26FFAE-6971-49A7-9E38-0138912CE35D}"/>
    <cellStyle name="40% - Accent6 4 2 2 2 2" xfId="6074" xr:uid="{96B96631-FB80-4FB2-B755-820CE5828537}"/>
    <cellStyle name="40% - Accent6 4 2 2 2 2 2" xfId="33270" xr:uid="{05E1C493-AC02-453E-981E-E3D11CF568B3}"/>
    <cellStyle name="40% - Accent6 4 2 2 2 2 2 2" xfId="6073" xr:uid="{14DF2058-00C0-4BDE-865C-5CDF30FCA5A2}"/>
    <cellStyle name="40% - Accent6 4 2 2 2 2 2 2 2" xfId="32805" xr:uid="{81E6362B-01CF-4193-9462-AA943BE41214}"/>
    <cellStyle name="40% - Accent6 4 2 2 2 2 2 2 2 2" xfId="24678" xr:uid="{2F041C54-9E86-4559-9EAC-A9C64C63C0F8}"/>
    <cellStyle name="40% - Accent6 4 2 2 2 2 2 2 3" xfId="29391" xr:uid="{E3739CBC-DD6B-4215-8741-ED63A33B4B93}"/>
    <cellStyle name="40% - Accent6 4 2 2 2 2 2 3" xfId="6071" xr:uid="{958DF434-42E4-413A-93D8-652DC060BCFC}"/>
    <cellStyle name="40% - Accent6 4 2 2 2 2 2 3 2" xfId="24498" xr:uid="{EFB8B727-F781-4613-BF22-01E7EB69C62D}"/>
    <cellStyle name="40% - Accent6 4 2 2 2 2 2 4" xfId="27640" xr:uid="{4AA84A5D-F963-40E4-93C4-FB7924CF4F3C}"/>
    <cellStyle name="40% - Accent6 4 2 2 2 2 3" xfId="22889" xr:uid="{7660580B-3B05-4746-A160-43A892D9C8E7}"/>
    <cellStyle name="40% - Accent6 4 2 2 2 2 3 2" xfId="6070" xr:uid="{F2352AAC-3A20-4BC6-A680-097A764CC82F}"/>
    <cellStyle name="40% - Accent6 4 2 2 2 2 3 2 2" xfId="30648" xr:uid="{E27D2EA4-B7D6-479B-A97B-BEC442BFE122}"/>
    <cellStyle name="40% - Accent6 4 2 2 2 2 3 3" xfId="6068" xr:uid="{FE62C1EB-FF47-4BF0-A9E7-E258B97FCEF0}"/>
    <cellStyle name="40% - Accent6 4 2 2 2 2 4" xfId="30565" xr:uid="{0B3771BF-4BEB-4DE5-A90A-7F1867C6B00C}"/>
    <cellStyle name="40% - Accent6 4 2 2 2 2 4 2" xfId="6065" xr:uid="{5BE1F66C-7F2B-43A1-B0FA-7832DF3A1D2E}"/>
    <cellStyle name="40% - Accent6 4 2 2 2 2 5" xfId="6063" xr:uid="{B2CE4B06-1F7C-47BF-89D3-234F04746A90}"/>
    <cellStyle name="40% - Accent6 4 2 2 2 3" xfId="6061" xr:uid="{47468235-9609-47CE-9F32-B94EA29FB1D0}"/>
    <cellStyle name="40% - Accent6 4 2 2 2 3 2" xfId="34241" xr:uid="{7B068566-F8CD-4E75-8167-EA8DB05CF8A3}"/>
    <cellStyle name="40% - Accent6 4 2 2 2 3 2 2" xfId="6060" xr:uid="{9E664B2D-27FE-42AC-8930-EB180A4EB12C}"/>
    <cellStyle name="40% - Accent6 4 2 2 2 3 2 2 2" xfId="30249" xr:uid="{2D3D8DB9-0C73-4688-82E3-DCDDE597E52A}"/>
    <cellStyle name="40% - Accent6 4 2 2 2 3 2 3" xfId="6059" xr:uid="{642D5D42-7151-4221-8388-63BA95CCBD0F}"/>
    <cellStyle name="40% - Accent6 4 2 2 2 3 3" xfId="33973" xr:uid="{FFD23B1D-ACDD-4C69-944D-09C41D7E3C8F}"/>
    <cellStyle name="40% - Accent6 4 2 2 2 3 3 2" xfId="11522" xr:uid="{61B56333-C12A-41E1-AA4B-E9907950346D}"/>
    <cellStyle name="40% - Accent6 4 2 2 2 3 4" xfId="6057" xr:uid="{06054B78-3800-4BD1-A2C7-CC89672D50DE}"/>
    <cellStyle name="40% - Accent6 4 2 2 2 4" xfId="21192" xr:uid="{B4DA2CAD-2F3F-401C-A57A-6B23FCEEA174}"/>
    <cellStyle name="40% - Accent6 4 2 2 2 4 2" xfId="28662" xr:uid="{A9CFFA1C-CF69-4CF1-BE30-8B20BCCB11FE}"/>
    <cellStyle name="40% - Accent6 4 2 2 2 4 2 2" xfId="30169" xr:uid="{22382A3A-5F1D-4AB6-B1CC-7B0AB0643226}"/>
    <cellStyle name="40% - Accent6 4 2 2 2 4 3" xfId="28660" xr:uid="{7370003F-31B0-432D-95AE-B60BF422D9AF}"/>
    <cellStyle name="40% - Accent6 4 2 2 2 5" xfId="32283" xr:uid="{E6F33B24-86C9-46CA-8AC3-030C41133824}"/>
    <cellStyle name="40% - Accent6 4 2 2 2 5 2" xfId="28652" xr:uid="{653C8C7D-8765-405C-8B30-21E54A7C3105}"/>
    <cellStyle name="40% - Accent6 4 2 2 2 6" xfId="21188" xr:uid="{1C9262D6-E004-4046-B710-A84440AFB58F}"/>
    <cellStyle name="40% - Accent6 4 2 2 3" xfId="11500" xr:uid="{00045D66-A1F4-48FB-BF20-2D7D863E5CA1}"/>
    <cellStyle name="40% - Accent6 4 2 2 3 2" xfId="9489" xr:uid="{73F30E8E-4EA0-4755-8B18-28C8837A2528}"/>
    <cellStyle name="40% - Accent6 4 2 2 3 2 2" xfId="29698" xr:uid="{A7FCE002-2E39-458A-8E0F-881F8BCC38E5}"/>
    <cellStyle name="40% - Accent6 4 2 2 3 2 2 2" xfId="9306" xr:uid="{8EE6EB38-D065-41B6-B689-4AF4EDCA2F3D}"/>
    <cellStyle name="40% - Accent6 4 2 2 3 2 2 2 2" xfId="24053" xr:uid="{9371143B-B171-45EA-BBD3-6A01BA8630BE}"/>
    <cellStyle name="40% - Accent6 4 2 2 3 2 2 3" xfId="7434" xr:uid="{7494E9BF-C433-4949-8B25-0F3A78DE7E34}"/>
    <cellStyle name="40% - Accent6 4 2 2 3 2 3" xfId="29688" xr:uid="{086360D5-4B01-4353-AD91-CE2D86D55702}"/>
    <cellStyle name="40% - Accent6 4 2 2 3 2 3 2" xfId="6056" xr:uid="{24940F2D-96A9-4E8E-B43A-CE80A5858DF2}"/>
    <cellStyle name="40% - Accent6 4 2 2 3 2 4" xfId="33591" xr:uid="{53D0F920-FC2B-4CA7-A83F-7DA8B52C611F}"/>
    <cellStyle name="40% - Accent6 4 2 2 3 3" xfId="17338" xr:uid="{D54B427C-118F-47F3-A71A-9EAE166378B0}"/>
    <cellStyle name="40% - Accent6 4 2 2 3 3 2" xfId="29680" xr:uid="{A57E5545-3D60-47B3-AEF6-E736726E03C2}"/>
    <cellStyle name="40% - Accent6 4 2 2 3 3 2 2" xfId="12626" xr:uid="{EBDE3F5F-D7BF-4142-9003-316CCC7D45F0}"/>
    <cellStyle name="40% - Accent6 4 2 2 3 3 3" xfId="33968" xr:uid="{08317897-8FA9-482F-9A89-C4C0F800F733}"/>
    <cellStyle name="40% - Accent6 4 2 2 3 4" xfId="17335" xr:uid="{47D123A7-47A0-4978-AA95-40AD6FC49008}"/>
    <cellStyle name="40% - Accent6 4 2 2 3 4 2" xfId="28519" xr:uid="{BADACCFD-8A03-4E8D-A9F0-ACECC7316632}"/>
    <cellStyle name="40% - Accent6 4 2 2 3 5" xfId="17333" xr:uid="{D2BF9321-6175-45D0-9076-A3752984E20F}"/>
    <cellStyle name="40% - Accent6 4 2 2 4" xfId="11488" xr:uid="{0FFDD23B-4D20-439F-9759-A702C1894C9B}"/>
    <cellStyle name="40% - Accent6 4 2 2 4 2" xfId="9483" xr:uid="{23DE4545-A519-4580-841A-A9E23A135857}"/>
    <cellStyle name="40% - Accent6 4 2 2 4 2 2" xfId="29658" xr:uid="{963F05D7-2D40-4B9B-994E-3095BD6265FD}"/>
    <cellStyle name="40% - Accent6 4 2 2 4 2 2 2" xfId="6563" xr:uid="{0A2DF0FE-1A99-46CD-994B-DE1F81175F14}"/>
    <cellStyle name="40% - Accent6 4 2 2 4 2 3" xfId="33755" xr:uid="{8FFB2F75-E974-43DA-87C3-49F35BCAD08D}"/>
    <cellStyle name="40% - Accent6 4 2 2 4 3" xfId="9480" xr:uid="{568EF275-26DE-416D-9008-0A78BEB1950B}"/>
    <cellStyle name="40% - Accent6 4 2 2 4 3 2" xfId="34127" xr:uid="{F120146C-2AEF-4495-BA14-2EF3824A1E91}"/>
    <cellStyle name="40% - Accent6 4 2 2 4 4" xfId="17331" xr:uid="{3E094AF3-1A95-460A-BAA8-DCA7D4B5CCD7}"/>
    <cellStyle name="40% - Accent6 4 2 2 5" xfId="11480" xr:uid="{574710A1-DD35-4EF4-B129-3DC81DEE2F95}"/>
    <cellStyle name="40% - Accent6 4 2 2 5 2" xfId="9477" xr:uid="{65A4B30A-33D7-42A9-B64E-FD69D8B86B8B}"/>
    <cellStyle name="40% - Accent6 4 2 2 5 2 2" xfId="23556" xr:uid="{ABCCFF78-781A-4178-8929-116E4E065B4C}"/>
    <cellStyle name="40% - Accent6 4 2 2 5 3" xfId="6052" xr:uid="{76CA4F34-25F6-45F4-AC4C-A8EA06227936}"/>
    <cellStyle name="40% - Accent6 4 2 2 6" xfId="11473" xr:uid="{9B097BE1-0097-4D7F-81D2-E009A40FAEE0}"/>
    <cellStyle name="40% - Accent6 4 2 2 6 2" xfId="6050" xr:uid="{29E01A18-E30D-4261-9BB4-816B523FABA6}"/>
    <cellStyle name="40% - Accent6 4 2 2 7" xfId="11467" xr:uid="{5866AC09-926C-4584-A4F0-E68D3D4CE73D}"/>
    <cellStyle name="40% - Accent6 4 2 3" xfId="7909" xr:uid="{75539983-A297-4D99-8989-E03B44B47E5D}"/>
    <cellStyle name="40% - Accent6 4 2 3 2" xfId="6049" xr:uid="{B5E0BED9-BA92-4E0B-9123-EB576F6AC4B6}"/>
    <cellStyle name="40% - Accent6 4 2 3 2 2" xfId="15216" xr:uid="{9A9980AB-7D7D-49C3-9B08-CE77717A0B89}"/>
    <cellStyle name="40% - Accent6 4 2 3 2 2 2" xfId="33946" xr:uid="{B715BBB3-C0F1-487E-A218-01328B1942CA}"/>
    <cellStyle name="40% - Accent6 4 2 3 2 2 2 2" xfId="6047" xr:uid="{39C0548B-2434-43B5-BF0D-784F29F8CE9F}"/>
    <cellStyle name="40% - Accent6 4 2 3 2 2 2 2 2" xfId="27398" xr:uid="{79795088-DCB0-40B8-B381-742C45447AC5}"/>
    <cellStyle name="40% - Accent6 4 2 3 2 2 2 3" xfId="6044" xr:uid="{983EEAB4-DD25-4930-88AC-AA0F749C54DE}"/>
    <cellStyle name="40% - Accent6 4 2 3 2 2 3" xfId="33943" xr:uid="{C33EAD78-1836-42B9-8500-83138D3B0B8D}"/>
    <cellStyle name="40% - Accent6 4 2 3 2 2 3 2" xfId="6042" xr:uid="{CDD8C8E3-909B-4904-93BA-812B88B7CD86}"/>
    <cellStyle name="40% - Accent6 4 2 3 2 2 4" xfId="34304" xr:uid="{B1944789-2E55-4055-B0B3-DF413C5BB966}"/>
    <cellStyle name="40% - Accent6 4 2 3 2 3" xfId="6040" xr:uid="{A4C4CBC6-EA76-4EEA-931F-78E66B9FA020}"/>
    <cellStyle name="40% - Accent6 4 2 3 2 3 2" xfId="30707" xr:uid="{C3F26A34-BFD2-4D90-AEBA-8DC5E2655B98}"/>
    <cellStyle name="40% - Accent6 4 2 3 2 3 2 2" xfId="6039" xr:uid="{E3028046-B0BF-4349-AC61-3434BD4A08CE}"/>
    <cellStyle name="40% - Accent6 4 2 3 2 3 3" xfId="30041" xr:uid="{63FC4F81-0A9F-4547-B205-C65B41760D6D}"/>
    <cellStyle name="40% - Accent6 4 2 3 2 4" xfId="21150" xr:uid="{035ED9FE-4334-46B8-8B57-E6E54A1A5E34}"/>
    <cellStyle name="40% - Accent6 4 2 3 2 4 2" xfId="33490" xr:uid="{6179A9EF-4A88-4DAD-A12C-E3F4025BC06F}"/>
    <cellStyle name="40% - Accent6 4 2 3 2 5" xfId="10362" xr:uid="{B20C14C7-0D1C-45F1-B866-D3107C9764C3}"/>
    <cellStyle name="40% - Accent6 4 2 3 3" xfId="11460" xr:uid="{5E1C692D-C93E-48A9-8B33-4190D0F8FEC1}"/>
    <cellStyle name="40% - Accent6 4 2 3 3 2" xfId="9475" xr:uid="{3CDA3F15-F600-46E7-8F00-EE5BDE2F5117}"/>
    <cellStyle name="40% - Accent6 4 2 3 3 2 2" xfId="29622" xr:uid="{F2762A3F-6935-4832-B1C1-08D0532AC0AF}"/>
    <cellStyle name="40% - Accent6 4 2 3 3 2 2 2" xfId="6038" xr:uid="{C8D7BD86-2E3E-4E4C-BA81-805109FB7F35}"/>
    <cellStyle name="40% - Accent6 4 2 3 3 2 3" xfId="20012" xr:uid="{BDC66027-171B-4125-998C-F52FFAF4E151}"/>
    <cellStyle name="40% - Accent6 4 2 3 3 3" xfId="25725" xr:uid="{1B7E773A-75A2-409E-BDB1-B41E14A7CCE8}"/>
    <cellStyle name="40% - Accent6 4 2 3 3 3 2" xfId="33769" xr:uid="{B79F51DB-7692-4802-84AB-E38618E29BBF}"/>
    <cellStyle name="40% - Accent6 4 2 3 3 4" xfId="21146" xr:uid="{81B5C9E4-0EE6-47C4-8E59-41608EDBEF90}"/>
    <cellStyle name="40% - Accent6 4 2 3 4" xfId="11447" xr:uid="{AAA4C768-5692-45DC-ADBF-43C252F19F99}"/>
    <cellStyle name="40% - Accent6 4 2 3 4 2" xfId="13064" xr:uid="{EC58CA52-D1EC-4EFB-9409-6F6E5DB944C9}"/>
    <cellStyle name="40% - Accent6 4 2 3 4 2 2" xfId="32347" xr:uid="{BC64E391-F7F3-4C91-B68C-278648DCB622}"/>
    <cellStyle name="40% - Accent6 4 2 3 4 3" xfId="13058" xr:uid="{9E4915D4-9CDD-4BB6-8AB4-46F65260BA62}"/>
    <cellStyle name="40% - Accent6 4 2 3 5" xfId="11438" xr:uid="{AFE777B8-C4A7-4772-A786-0A9A4B4D4362}"/>
    <cellStyle name="40% - Accent6 4 2 3 5 2" xfId="13018" xr:uid="{CCF7F325-3DC3-4DD6-815F-7785EBE9F393}"/>
    <cellStyle name="40% - Accent6 4 2 3 6" xfId="11432" xr:uid="{E90C7728-7AA5-4426-8800-A99D6DECE203}"/>
    <cellStyle name="40% - Accent6 4 2 4" xfId="30527" xr:uid="{760A301A-0F3F-44A4-B630-7395A169A906}"/>
    <cellStyle name="40% - Accent6 4 2 4 2" xfId="32922" xr:uid="{764E99C7-F7DF-43F0-B6AF-7BE6C8CBDDAD}"/>
    <cellStyle name="40% - Accent6 4 2 4 2 2" xfId="6035" xr:uid="{3143BA2D-7DD9-49DA-A0E8-623505BACB20}"/>
    <cellStyle name="40% - Accent6 4 2 4 2 2 2" xfId="33563" xr:uid="{EA54DADD-3D55-46D8-88F6-BD715F1198D8}"/>
    <cellStyle name="40% - Accent6 4 2 4 2 2 2 2" xfId="6191" xr:uid="{3F3681DB-3401-48F1-A036-AE73B60BD076}"/>
    <cellStyle name="40% - Accent6 4 2 4 2 2 3" xfId="33906" xr:uid="{145242DF-966D-4498-AB2A-60F39F5FF719}"/>
    <cellStyle name="40% - Accent6 4 2 4 2 3" xfId="30684" xr:uid="{D27183F5-B48C-4BAD-997F-88A30D7C1CB9}"/>
    <cellStyle name="40% - Accent6 4 2 4 2 3 2" xfId="33908" xr:uid="{2F103908-9992-4AB6-BC61-B468CFE9917D}"/>
    <cellStyle name="40% - Accent6 4 2 4 2 4" xfId="32584" xr:uid="{06297935-D843-4D81-84D9-1B7EBE92B901}"/>
    <cellStyle name="40% - Accent6 4 2 4 3" xfId="32822" xr:uid="{B48AB706-99D9-4129-9963-174C950E7F87}"/>
    <cellStyle name="40% - Accent6 4 2 4 3 2" xfId="9472" xr:uid="{95780A94-28C3-48AD-A8AB-4D1744CFF135}"/>
    <cellStyle name="40% - Accent6 4 2 4 3 2 2" xfId="31931" xr:uid="{414C5743-082C-49D5-8EE0-321B3A775DEA}"/>
    <cellStyle name="40% - Accent6 4 2 4 3 3" xfId="25076" xr:uid="{266BE141-845D-4478-ADC8-510B5891DF1E}"/>
    <cellStyle name="40% - Accent6 4 2 4 4" xfId="28424" xr:uid="{EFAC76A9-5C6C-4A17-A79C-0878F85CAF01}"/>
    <cellStyle name="40% - Accent6 4 2 4 4 2" xfId="12973" xr:uid="{6F1E3FB3-DE1A-492D-9694-63D410CE8E85}"/>
    <cellStyle name="40% - Accent6 4 2 4 5" xfId="13879" xr:uid="{CFD2EBBF-8BA8-4973-9E01-02154FDB6F6F}"/>
    <cellStyle name="40% - Accent6 4 2 5" xfId="20003" xr:uid="{33C61760-CC1B-4E4F-B0B3-0C77AE5F8EFC}"/>
    <cellStyle name="40% - Accent6 4 2 5 2" xfId="14050" xr:uid="{9175517C-A3C1-4D5A-A779-3299FE073762}"/>
    <cellStyle name="40% - Accent6 4 2 5 2 2" xfId="6034" xr:uid="{523C1100-ABA1-422E-8DB9-FAEA3279426C}"/>
    <cellStyle name="40% - Accent6 4 2 5 2 2 2" xfId="8760" xr:uid="{D1B5ED38-3199-4CD2-9B31-8976AC3BFB39}"/>
    <cellStyle name="40% - Accent6 4 2 5 2 3" xfId="30670" xr:uid="{F01584E9-F0DE-4232-A8C4-BC9C430D9F06}"/>
    <cellStyle name="40% - Accent6 4 2 5 3" xfId="11423" xr:uid="{A424DF06-61A8-4791-BA17-662D3D2FFC18}"/>
    <cellStyle name="40% - Accent6 4 2 5 3 2" xfId="31006" xr:uid="{304E636C-8F7B-410C-B39D-975EF10BE402}"/>
    <cellStyle name="40% - Accent6 4 2 5 4" xfId="11419" xr:uid="{5C455028-F14E-4C42-80D2-5C7E24078C6C}"/>
    <cellStyle name="40% - Accent6 4 2 6" xfId="17524" xr:uid="{4C5387EF-BE7B-4686-83A4-29B45B97A666}"/>
    <cellStyle name="40% - Accent6 4 2 6 2" xfId="6033" xr:uid="{6AD022EC-C625-4963-833C-123C5C206997}"/>
    <cellStyle name="40% - Accent6 4 2 6 2 2" xfId="6032" xr:uid="{8F0E0210-C3B5-431F-8213-107D305D2F66}"/>
    <cellStyle name="40% - Accent6 4 2 6 3" xfId="11415" xr:uid="{09CBFE79-F1A0-408A-8954-ADDCC8CFB292}"/>
    <cellStyle name="40% - Accent6 4 2 7" xfId="33467" xr:uid="{BBA83AFC-B47D-440B-956D-67ABFADF4F61}"/>
    <cellStyle name="40% - Accent6 4 2 7 2" xfId="29258" xr:uid="{2078BD0C-0563-4326-8FA0-3BEA4270C859}"/>
    <cellStyle name="40% - Accent6 4 2 8" xfId="30334" xr:uid="{15FAD94D-D725-4B24-B772-E01EA840CA15}"/>
    <cellStyle name="40% - Accent6 4 2 9" xfId="34573" xr:uid="{4B7C7B4F-900C-4C35-B46F-63BCF0F69308}"/>
    <cellStyle name="40% - Accent6 4 3" xfId="7906" xr:uid="{3334FDBF-9D4E-4E22-ADA9-4DAD2CAADC56}"/>
    <cellStyle name="40% - Accent6 4 3 2" xfId="7903" xr:uid="{98982DB4-4094-48CF-968C-D0C44CC96E84}"/>
    <cellStyle name="40% - Accent6 4 3 2 2" xfId="6029" xr:uid="{BD03CFFB-C5BC-4BD5-8E4E-9C6BD242B54B}"/>
    <cellStyle name="40% - Accent6 4 3 2 2 2" xfId="6028" xr:uid="{1DE0F220-D4CE-4114-A398-8FB0E680DF70}"/>
    <cellStyle name="40% - Accent6 4 3 2 2 2 2" xfId="23065" xr:uid="{818D41E2-886F-40FA-B144-E6398A6E112F}"/>
    <cellStyle name="40% - Accent6 4 3 2 2 2 2 2" xfId="6027" xr:uid="{CB1D0962-3AEE-4B01-B79C-A6F12440E997}"/>
    <cellStyle name="40% - Accent6 4 3 2 2 2 2 2 2" xfId="6026" xr:uid="{C9E53224-4EED-4FBD-8E55-5FC853BF2B97}"/>
    <cellStyle name="40% - Accent6 4 3 2 2 2 2 3" xfId="6024" xr:uid="{F33EFACC-038B-4015-88B9-20CD0BF41F0A}"/>
    <cellStyle name="40% - Accent6 4 3 2 2 2 3" xfId="13078" xr:uid="{D5142F09-BCC4-411F-8D7C-8184C77ECC0D}"/>
    <cellStyle name="40% - Accent6 4 3 2 2 2 3 2" xfId="6023" xr:uid="{8ED2AFAE-4128-4B8A-80DB-8E7FE269D780}"/>
    <cellStyle name="40% - Accent6 4 3 2 2 2 4" xfId="6021" xr:uid="{4F73E76C-258E-4FCE-9293-66879775EE7F}"/>
    <cellStyle name="40% - Accent6 4 3 2 2 3" xfId="6020" xr:uid="{5339984E-BB4A-423E-8011-77977B6B0F9D}"/>
    <cellStyle name="40% - Accent6 4 3 2 2 3 2" xfId="6019" xr:uid="{641598E9-19E4-46B4-8783-260297389463}"/>
    <cellStyle name="40% - Accent6 4 3 2 2 3 2 2" xfId="24993" xr:uid="{77A779E1-A260-443E-864B-7442E096039B}"/>
    <cellStyle name="40% - Accent6 4 3 2 2 3 3" xfId="6017" xr:uid="{CFD0B663-000B-4D58-A264-B089B9895E74}"/>
    <cellStyle name="40% - Accent6 4 3 2 2 4" xfId="20616" xr:uid="{1B1A7F30-206C-4F18-BB5F-673C54E2ECE4}"/>
    <cellStyle name="40% - Accent6 4 3 2 2 4 2" xfId="25956" xr:uid="{FBC8491C-6335-45AF-BEE2-BBD6243575DA}"/>
    <cellStyle name="40% - Accent6 4 3 2 2 5" xfId="21108" xr:uid="{0A1AF6F3-1024-4ACD-AEDF-432A938BF37B}"/>
    <cellStyle name="40% - Accent6 4 3 2 3" xfId="11407" xr:uid="{8F840609-7132-4B5F-BA86-3BDF605024A4}"/>
    <cellStyle name="40% - Accent6 4 3 2 3 2" xfId="14904" xr:uid="{953D6A94-81EA-4E48-9FC6-5326000C49D4}"/>
    <cellStyle name="40% - Accent6 4 3 2 3 2 2" xfId="31455" xr:uid="{AC06F859-140E-40EE-AA90-078538141441}"/>
    <cellStyle name="40% - Accent6 4 3 2 3 2 2 2" xfId="6015" xr:uid="{E2BFE721-CE50-46C3-A620-8FEB91A278CA}"/>
    <cellStyle name="40% - Accent6 4 3 2 3 2 3" xfId="30029" xr:uid="{EFE4804A-5F9E-46A2-BE2A-DCBD48A50B30}"/>
    <cellStyle name="40% - Accent6 4 3 2 3 3" xfId="14896" xr:uid="{80C46A2D-3B38-4D50-B549-29D16E80A232}"/>
    <cellStyle name="40% - Accent6 4 3 2 3 3 2" xfId="29435" xr:uid="{070446A0-6723-41C9-89D0-FB0BAB357CB3}"/>
    <cellStyle name="40% - Accent6 4 3 2 3 4" xfId="17311" xr:uid="{E9EAC927-3A37-4BBE-BA4D-08097B09C120}"/>
    <cellStyle name="40% - Accent6 4 3 2 4" xfId="11402" xr:uid="{68914E94-E761-42BD-B098-06CA7D1F6D0F}"/>
    <cellStyle name="40% - Accent6 4 3 2 4 2" xfId="14873" xr:uid="{4D529154-2BEF-4994-A15A-E941F05662FE}"/>
    <cellStyle name="40% - Accent6 4 3 2 4 2 2" xfId="33243" xr:uid="{DEBA5ED7-CB88-47A7-A821-98890C8A598C}"/>
    <cellStyle name="40% - Accent6 4 3 2 4 3" xfId="14870" xr:uid="{76FD7E4D-CEC3-4317-A7AE-6A691E72B37B}"/>
    <cellStyle name="40% - Accent6 4 3 2 5" xfId="11396" xr:uid="{173C5670-B34E-4447-A98E-55ABDD0C23FD}"/>
    <cellStyle name="40% - Accent6 4 3 2 5 2" xfId="14852" xr:uid="{DD79A799-9A22-4641-8733-F36E452E3B2F}"/>
    <cellStyle name="40% - Accent6 4 3 2 6" xfId="11389" xr:uid="{40E27C5E-1961-448C-AE22-3C9AB2AFD581}"/>
    <cellStyle name="40% - Accent6 4 3 3" xfId="6012" xr:uid="{E7FD7CFF-080C-4556-AF44-FA67E60D220D}"/>
    <cellStyle name="40% - Accent6 4 3 3 2" xfId="17407" xr:uid="{D046BB77-F26C-4D7D-B3E4-1931E894E4E2}"/>
    <cellStyle name="40% - Accent6 4 3 3 2 2" xfId="17404" xr:uid="{A315FBAB-543E-448C-80D2-80A456BC8053}"/>
    <cellStyle name="40% - Accent6 4 3 3 2 2 2" xfId="6010" xr:uid="{6C480370-C91F-4E58-8C0E-68BF79143493}"/>
    <cellStyle name="40% - Accent6 4 3 3 2 2 2 2" xfId="6009" xr:uid="{F3C8808D-7323-4971-8EAC-9D65D2CC1454}"/>
    <cellStyle name="40% - Accent6 4 3 3 2 2 3" xfId="12195" xr:uid="{27B15A04-C38D-439B-A53A-6340FCB80813}"/>
    <cellStyle name="40% - Accent6 4 3 3 2 3" xfId="17390" xr:uid="{2C2FAB20-8E53-402F-A2A2-F2695B5D3D18}"/>
    <cellStyle name="40% - Accent6 4 3 3 2 3 2" xfId="6007" xr:uid="{A1F8E35B-1FFD-4BA9-B135-D8B64A082DA4}"/>
    <cellStyle name="40% - Accent6 4 3 3 2 4" xfId="18573" xr:uid="{884899ED-5AAF-454F-995B-55C1593953D3}"/>
    <cellStyle name="40% - Accent6 4 3 3 3" xfId="17382" xr:uid="{0EBC112F-8690-4ACE-8FA7-5994E32ADA00}"/>
    <cellStyle name="40% - Accent6 4 3 3 3 2" xfId="17378" xr:uid="{52FB1220-7259-4AF5-807B-A4679F218145}"/>
    <cellStyle name="40% - Accent6 4 3 3 3 2 2" xfId="32035" xr:uid="{4B4B9611-A9F3-4FC3-9811-CDBE68526F4B}"/>
    <cellStyle name="40% - Accent6 4 3 3 3 3" xfId="17367" xr:uid="{B8D0127D-57AA-4044-A23F-CF955897A235}"/>
    <cellStyle name="40% - Accent6 4 3 3 4" xfId="17360" xr:uid="{F57A0A55-E394-4BF8-96A0-C0183F9B8FCA}"/>
    <cellStyle name="40% - Accent6 4 3 3 4 2" xfId="17357" xr:uid="{E6161238-C97F-4C58-ACAA-4CE3CDA3B3C7}"/>
    <cellStyle name="40% - Accent6 4 3 3 5" xfId="17348" xr:uid="{5FCEB2BE-17DE-4D48-8E16-A1A9803241C2}"/>
    <cellStyle name="40% - Accent6 4 3 4" xfId="17296" xr:uid="{D4CDDEFE-9943-43CB-950E-367034A748D1}"/>
    <cellStyle name="40% - Accent6 4 3 4 2" xfId="29004" xr:uid="{BEF377FC-FF96-4484-8606-184091451A35}"/>
    <cellStyle name="40% - Accent6 4 3 4 2 2" xfId="23637" xr:uid="{D2BFD712-3892-4D91-8734-F9228EAD2B63}"/>
    <cellStyle name="40% - Accent6 4 3 4 2 2 2" xfId="28361" xr:uid="{B6693B2F-88FC-45D0-802B-7B6724DB8AAA}"/>
    <cellStyle name="40% - Accent6 4 3 4 2 3" xfId="30654" xr:uid="{9AA74A66-C278-49FD-861D-A095C3AA1705}"/>
    <cellStyle name="40% - Accent6 4 3 4 3" xfId="17327" xr:uid="{60E39A67-7E6E-45A6-A9F6-B2986A377220}"/>
    <cellStyle name="40% - Accent6 4 3 4 3 2" xfId="17325" xr:uid="{54748CDF-2843-410A-9FC8-C136C371CC99}"/>
    <cellStyle name="40% - Accent6 4 3 4 4" xfId="32870" xr:uid="{54A50AC6-B575-4EF0-99F3-EDB7F20FE433}"/>
    <cellStyle name="40% - Accent6 4 3 5" xfId="18048" xr:uid="{EF4B562E-DB55-4329-9463-E53A775FB0CF}"/>
    <cellStyle name="40% - Accent6 4 3 5 2" xfId="17309" xr:uid="{3C9D9F89-8CF1-4A44-8FF6-A6F9DC6740B0}"/>
    <cellStyle name="40% - Accent6 4 3 5 2 2" xfId="34111" xr:uid="{6A44CC23-78FC-4429-B6C6-21619E86B4E9}"/>
    <cellStyle name="40% - Accent6 4 3 5 3" xfId="17307" xr:uid="{FDFE86D2-9137-458D-AC9E-EBD3F8B2F3FD}"/>
    <cellStyle name="40% - Accent6 4 3 6" xfId="6006" xr:uid="{E62F415F-248F-4ECD-8375-AF680354ED3D}"/>
    <cellStyle name="40% - Accent6 4 3 6 2" xfId="17303" xr:uid="{4184FF18-EDAF-434C-8964-6B713B3F1A50}"/>
    <cellStyle name="40% - Accent6 4 3 7" xfId="24706" xr:uid="{7A5B6EAD-5CA7-41EA-AEB1-F988681146B1}"/>
    <cellStyle name="40% - Accent6 4 3 8" xfId="34793" xr:uid="{86E023C1-EA89-438C-BE47-6FDBFB24B407}"/>
    <cellStyle name="40% - Accent6 4 4" xfId="15600" xr:uid="{7DC485DF-A35C-43DF-86B3-5B2D047EEDAD}"/>
    <cellStyle name="40% - Accent6 4 4 2" xfId="6005" xr:uid="{5A8BA49B-1C67-4808-B3BC-7A0EAE70CAA6}"/>
    <cellStyle name="40% - Accent6 4 4 2 2" xfId="6004" xr:uid="{CB3DA99E-A651-485E-B610-FF1B3C87A14B}"/>
    <cellStyle name="40% - Accent6 4 4 2 2 2" xfId="6002" xr:uid="{4E727560-3819-46AA-BC99-73E6A54476AF}"/>
    <cellStyle name="40% - Accent6 4 4 2 2 2 2" xfId="7363" xr:uid="{EEF088C0-9350-4166-92C7-258F37F417FB}"/>
    <cellStyle name="40% - Accent6 4 4 2 2 2 2 2" xfId="27006" xr:uid="{626ABC8C-32B3-4BEC-BB74-BAC0021C7060}"/>
    <cellStyle name="40% - Accent6 4 4 2 2 2 3" xfId="6000" xr:uid="{8F3F0CD6-EC70-4C89-A6C7-81DC8F072778}"/>
    <cellStyle name="40% - Accent6 4 4 2 2 3" xfId="5998" xr:uid="{9C992752-7B7E-46FD-B345-27691BA5F044}"/>
    <cellStyle name="40% - Accent6 4 4 2 2 3 2" xfId="5995" xr:uid="{6446DCE0-A60A-4FA0-9620-E5619E203C1F}"/>
    <cellStyle name="40% - Accent6 4 4 2 2 4" xfId="34209" xr:uid="{5624E829-9141-4225-A97E-3C26CAFE5B21}"/>
    <cellStyle name="40% - Accent6 4 4 2 3" xfId="11363" xr:uid="{84C4C954-8CCF-46F7-BF14-72589596A117}"/>
    <cellStyle name="40% - Accent6 4 4 2 3 2" xfId="14376" xr:uid="{A47F2CD5-C42D-408F-A6D0-5771D2DC111B}"/>
    <cellStyle name="40% - Accent6 4 4 2 3 2 2" xfId="29232" xr:uid="{ADB64BE0-7B86-400C-8898-B1453B8CC3B0}"/>
    <cellStyle name="40% - Accent6 4 4 2 3 3" xfId="14373" xr:uid="{C8224D68-4957-4549-B357-B0A7F2BDA1F5}"/>
    <cellStyle name="40% - Accent6 4 4 2 4" xfId="12510" xr:uid="{58C8B4C6-2933-4964-830D-DE7E2D1877D1}"/>
    <cellStyle name="40% - Accent6 4 4 2 4 2" xfId="14352" xr:uid="{0D63C654-3FA8-468B-99F7-E6464F2941CB}"/>
    <cellStyle name="40% - Accent6 4 4 2 5" xfId="11357" xr:uid="{02BAD2BC-2CFF-4C69-AF01-3D92A0F01519}"/>
    <cellStyle name="40% - Accent6 4 4 3" xfId="5993" xr:uid="{E500609E-4E7B-4F32-B469-8F07B7D7FA32}"/>
    <cellStyle name="40% - Accent6 4 4 3 2" xfId="17281" xr:uid="{D73E6CA1-63ED-46CB-9638-BB9508795B6C}"/>
    <cellStyle name="40% - Accent6 4 4 3 2 2" xfId="17277" xr:uid="{A9DB8916-14D7-4713-8547-8208B8A92748}"/>
    <cellStyle name="40% - Accent6 4 4 3 2 2 2" xfId="5991" xr:uid="{22CF6B4D-02EC-47B3-A81E-DAF2ACB1FE5C}"/>
    <cellStyle name="40% - Accent6 4 4 3 2 3" xfId="17269" xr:uid="{A5ABA576-F250-4BB9-995D-34046FB87972}"/>
    <cellStyle name="40% - Accent6 4 4 3 3" xfId="17263" xr:uid="{8EC52B28-CCC0-46B1-A305-F02560BE367E}"/>
    <cellStyle name="40% - Accent6 4 4 3 3 2" xfId="17258" xr:uid="{C205AA36-32E9-4CA0-A265-7EA3A6641E6D}"/>
    <cellStyle name="40% - Accent6 4 4 3 4" xfId="16715" xr:uid="{C887692C-D14B-45DC-B211-BE0C7FAB8C80}"/>
    <cellStyle name="40% - Accent6 4 4 4" xfId="23693" xr:uid="{5360E147-F356-4908-9374-9B790EBF69E7}"/>
    <cellStyle name="40% - Accent6 4 4 4 2" xfId="22595" xr:uid="{68E8AD41-CBD7-4E3A-9E89-AA515E7E56AC}"/>
    <cellStyle name="40% - Accent6 4 4 4 2 2" xfId="17239" xr:uid="{5801A5AB-1CC8-46E8-A877-7135A924733C}"/>
    <cellStyle name="40% - Accent6 4 4 4 3" xfId="17233" xr:uid="{CB452C7F-67F8-4C01-84A7-8EAA0DA50CCE}"/>
    <cellStyle name="40% - Accent6 4 4 5" xfId="5989" xr:uid="{A1CAF26A-3B7E-4EEC-B176-B523B67298B8}"/>
    <cellStyle name="40% - Accent6 4 4 5 2" xfId="32704" xr:uid="{D3BFF0FA-3E49-4D1A-9AB1-E89EA507E61E}"/>
    <cellStyle name="40% - Accent6 4 4 6" xfId="5988" xr:uid="{79194AB0-E957-4616-B84F-03E948721906}"/>
    <cellStyle name="40% - Accent6 4 4 7" xfId="34994" xr:uid="{4F097D1C-CBB3-4045-885A-6EC551BEE46C}"/>
    <cellStyle name="40% - Accent6 4 5" xfId="5987" xr:uid="{C5D971DF-4880-465A-B854-F5CE1ED96E49}"/>
    <cellStyle name="40% - Accent6 4 5 2" xfId="5985" xr:uid="{46F03EDF-32A2-4CE4-BA63-C242F68E4D3D}"/>
    <cellStyle name="40% - Accent6 4 5 2 2" xfId="5984" xr:uid="{3AF70B1C-DAFF-4FD0-9BA3-47FB6E6D163C}"/>
    <cellStyle name="40% - Accent6 4 5 2 2 2" xfId="5982" xr:uid="{AAC5FA22-DBF4-4BDE-9E94-9982072175E4}"/>
    <cellStyle name="40% - Accent6 4 5 2 2 2 2" xfId="5980" xr:uid="{ED6F4B1B-0E69-4F34-9A0F-966B86F7D627}"/>
    <cellStyle name="40% - Accent6 4 5 2 2 3" xfId="5978" xr:uid="{9DDE470C-4164-46C4-9A3B-D883D363A2CE}"/>
    <cellStyle name="40% - Accent6 4 5 2 3" xfId="11335" xr:uid="{E6AB0FF5-7F71-402F-B5D1-8EE76D9CAF3A}"/>
    <cellStyle name="40% - Accent6 4 5 2 3 2" xfId="13968" xr:uid="{087F9473-9243-488E-A363-1E811E5D877F}"/>
    <cellStyle name="40% - Accent6 4 5 2 4" xfId="11329" xr:uid="{A53348C0-0866-46F7-B479-9703D59A50A7}"/>
    <cellStyle name="40% - Accent6 4 5 3" xfId="5975" xr:uid="{9B6BF874-3126-4195-AAB0-950F5CDB7DC2}"/>
    <cellStyle name="40% - Accent6 4 5 3 2" xfId="29200" xr:uid="{32789199-F98D-4786-B47A-E0E4A8E6625A}"/>
    <cellStyle name="40% - Accent6 4 5 3 2 2" xfId="17203" xr:uid="{7DDEFE7A-96B7-4066-B643-958CC7334373}"/>
    <cellStyle name="40% - Accent6 4 5 3 3" xfId="33528" xr:uid="{56BDCED4-090D-4E8F-8879-B21709C86D59}"/>
    <cellStyle name="40% - Accent6 4 5 4" xfId="13865" xr:uid="{88D07552-D563-4A01-93AC-0E02BAD3B915}"/>
    <cellStyle name="40% - Accent6 4 5 4 2" xfId="33759" xr:uid="{69231727-79DE-40E3-BBF7-E81136216AE1}"/>
    <cellStyle name="40% - Accent6 4 5 5" xfId="13862" xr:uid="{8336A903-E4DA-4D3D-81A2-15AA7CEA8E21}"/>
    <cellStyle name="40% - Accent6 4 5 6" xfId="35199" xr:uid="{90ABF408-8F61-4D35-8F85-52DBEAECA74B}"/>
    <cellStyle name="40% - Accent6 4 6" xfId="6326" xr:uid="{FF01A94B-E003-437B-B8DA-80B2FB6A4515}"/>
    <cellStyle name="40% - Accent6 4 6 2" xfId="5973" xr:uid="{F8C3F369-93FC-466B-87DD-0643D17B701D}"/>
    <cellStyle name="40% - Accent6 4 6 2 2" xfId="19755" xr:uid="{2AAA3F76-D044-4A77-8499-C3B706693946}"/>
    <cellStyle name="40% - Accent6 4 6 2 2 2" xfId="27638" xr:uid="{8288F310-41AE-40AB-B337-E54DD55014EB}"/>
    <cellStyle name="40% - Accent6 4 6 2 3" xfId="19748" xr:uid="{B9A41D4A-901A-4EF6-8E15-BEF8CBF1C375}"/>
    <cellStyle name="40% - Accent6 4 6 3" xfId="5971" xr:uid="{4C1E496C-69BD-4DC1-B090-1B4E68D2135C}"/>
    <cellStyle name="40% - Accent6 4 6 3 2" xfId="19738" xr:uid="{62F95943-9A29-4A68-B336-59FD91349D4A}"/>
    <cellStyle name="40% - Accent6 4 6 4" xfId="13856" xr:uid="{AA8CAD73-2199-4ED6-9585-BE2E61A55FD8}"/>
    <cellStyle name="40% - Accent6 4 6 5" xfId="35428" xr:uid="{DE45BFFF-83AA-49C5-BD1D-63A92709F82D}"/>
    <cellStyle name="40% - Accent6 4 7" xfId="5969" xr:uid="{36B4FDB4-C0F8-4D00-9D0E-8AC4A5FBDE5C}"/>
    <cellStyle name="40% - Accent6 4 7 2" xfId="5968" xr:uid="{70967BEF-27EA-4A1E-99CC-9C1A822055ED}"/>
    <cellStyle name="40% - Accent6 4 7 2 2" xfId="19730" xr:uid="{969FD069-6170-48A5-B4F8-83E558317D7B}"/>
    <cellStyle name="40% - Accent6 4 7 3" xfId="5966" xr:uid="{426F965E-1BDD-4442-88A7-61A95F1986E7}"/>
    <cellStyle name="40% - Accent6 4 7 4" xfId="36300" xr:uid="{65551761-3EA1-4AC7-9D4B-E956B8FB177E}"/>
    <cellStyle name="40% - Accent6 4 8" xfId="5964" xr:uid="{F27942B3-8B92-4E75-B2D1-A6D7DD46F839}"/>
    <cellStyle name="40% - Accent6 4 8 2" xfId="5963" xr:uid="{5C52C389-CEEA-4DAD-8589-846332B47207}"/>
    <cellStyle name="40% - Accent6 4 8 3" xfId="36586" xr:uid="{E89DB6A0-169D-47B0-803C-EEE5A758F4FB}"/>
    <cellStyle name="40% - Accent6 4 9" xfId="5961" xr:uid="{433E6AB6-DC40-4F06-B87C-A5E6D32D9EEC}"/>
    <cellStyle name="40% - Accent6 4 9 2" xfId="37471" xr:uid="{246FFE46-66AD-41F3-86D3-02341B0FCA6A}"/>
    <cellStyle name="40% - Accent6 40" xfId="36106" xr:uid="{6817E726-035F-4CCF-848E-9FC8FBBB3330}"/>
    <cellStyle name="40% - Accent6 40 2" xfId="37275" xr:uid="{9D3DE207-42B9-4ACC-AB93-F7F5688586FE}"/>
    <cellStyle name="40% - Accent6 40 3" xfId="38173" xr:uid="{3EBFAE9F-24BC-4ADF-8C23-8E84EBCF5FF1}"/>
    <cellStyle name="40% - Accent6 41" xfId="36126" xr:uid="{3DF28F73-B5E3-4F39-AE7C-1CCBCB1FD611}"/>
    <cellStyle name="40% - Accent6 41 2" xfId="37295" xr:uid="{A6A622C0-489F-4F30-8A4A-F4C7358492A3}"/>
    <cellStyle name="40% - Accent6 41 3" xfId="38193" xr:uid="{66FFC76C-A15C-48EC-BBAD-0042DF4C3E4A}"/>
    <cellStyle name="40% - Accent6 42" xfId="36146" xr:uid="{01390C5D-E3F5-4BF4-8229-AD86020AEE32}"/>
    <cellStyle name="40% - Accent6 42 2" xfId="37315" xr:uid="{E62BA563-02C9-448E-A7A7-17D4064EB68E}"/>
    <cellStyle name="40% - Accent6 42 3" xfId="38213" xr:uid="{11E411AC-E427-4242-95E7-7511879CB398}"/>
    <cellStyle name="40% - Accent6 43" xfId="36166" xr:uid="{FE7E3ED2-C563-448A-9B3B-5C43B4480AC5}"/>
    <cellStyle name="40% - Accent6 43 2" xfId="37335" xr:uid="{403B1FD6-1104-47E5-B79E-F1371862EF44}"/>
    <cellStyle name="40% - Accent6 43 3" xfId="38233" xr:uid="{6F75E6D2-4250-4C46-85CE-2AE9DC68E86C}"/>
    <cellStyle name="40% - Accent6 44" xfId="36186" xr:uid="{5E085D28-B1F4-48B4-94A9-B2206936A081}"/>
    <cellStyle name="40% - Accent6 44 2" xfId="37355" xr:uid="{FDDE0CF6-CFE3-4571-AFDC-AB545F58ECFB}"/>
    <cellStyle name="40% - Accent6 44 3" xfId="38253" xr:uid="{15450362-E910-4D9A-B891-C73963C9209F}"/>
    <cellStyle name="40% - Accent6 45" xfId="36206" xr:uid="{412AAA2E-94A5-4B71-9CF7-DC7CC61FF286}"/>
    <cellStyle name="40% - Accent6 45 2" xfId="37375" xr:uid="{A66C4DC5-C7D5-4619-AE48-7805955F804A}"/>
    <cellStyle name="40% - Accent6 45 3" xfId="38273" xr:uid="{76D8B916-04A6-4166-96C8-F6336493F02B}"/>
    <cellStyle name="40% - Accent6 46" xfId="36226" xr:uid="{6640D1BB-E633-42E0-AEE3-E95BCD9A026C}"/>
    <cellStyle name="40% - Accent6 46 2" xfId="37393" xr:uid="{4E0DFE75-9F81-4709-B944-37C7581DBDFE}"/>
    <cellStyle name="40% - Accent6 46 3" xfId="38293" xr:uid="{8295E928-B24D-434A-82A4-2F9CCF45EB74}"/>
    <cellStyle name="40% - Accent6 47" xfId="36527" xr:uid="{DD816ECC-62C1-4B6E-9385-0D295A8DBF92}"/>
    <cellStyle name="40% - Accent6 48" xfId="37412" xr:uid="{F3548F6D-2057-4D4A-92AF-E5D6A492E3D2}"/>
    <cellStyle name="40% - Accent6 5" xfId="275" xr:uid="{5DC7203C-AFFE-45EE-8AA5-C5F1AF154E9C}"/>
    <cellStyle name="40% - Accent6 5 10" xfId="7598" xr:uid="{496011E8-F19C-40B4-B386-91DAECD7B870}"/>
    <cellStyle name="40% - Accent6 5 2" xfId="7899" xr:uid="{37FAE3EC-7483-454E-AB90-792BD4E62008}"/>
    <cellStyle name="40% - Accent6 5 2 2" xfId="7897" xr:uid="{537F3846-00B3-4C1E-8893-E0AE6865AF72}"/>
    <cellStyle name="40% - Accent6 5 2 2 2" xfId="19547" xr:uid="{57191ABA-6F89-4570-880F-5DF5D1D9A29A}"/>
    <cellStyle name="40% - Accent6 5 2 2 2 2" xfId="8620" xr:uid="{684445C0-5DC7-4E10-A724-5717237FFF53}"/>
    <cellStyle name="40% - Accent6 5 2 2 2 2 2" xfId="16994" xr:uid="{A5A09F9B-1F3C-46C6-B399-EF3A77E85E86}"/>
    <cellStyle name="40% - Accent6 5 2 2 2 2 2 2" xfId="32761" xr:uid="{3969AC2B-F375-49B4-9503-96E7CCF61C64}"/>
    <cellStyle name="40% - Accent6 5 2 2 2 2 2 2 2" xfId="5959" xr:uid="{98E73B50-1FBD-4281-B17D-C63146885BD4}"/>
    <cellStyle name="40% - Accent6 5 2 2 2 2 2 3" xfId="33776" xr:uid="{4B2DE8BA-6162-4FA4-B017-B205728E1990}"/>
    <cellStyle name="40% - Accent6 5 2 2 2 2 3" xfId="16986" xr:uid="{E60E40F5-B882-436C-BDFA-4747E2D6AA57}"/>
    <cellStyle name="40% - Accent6 5 2 2 2 2 3 2" xfId="33159" xr:uid="{DCAF7F5A-9207-4B78-B66A-847BFBB6217E}"/>
    <cellStyle name="40% - Accent6 5 2 2 2 2 4" xfId="16982" xr:uid="{9327D72C-70E2-45ED-B9D4-AD4B9BD8B9AF}"/>
    <cellStyle name="40% - Accent6 5 2 2 2 3" xfId="8615" xr:uid="{B7D569FD-1E71-4CC4-AA54-2DAC4E3407C5}"/>
    <cellStyle name="40% - Accent6 5 2 2 2 3 2" xfId="16980" xr:uid="{CCEF9357-06CA-42D0-8F1B-362A3BBF58B9}"/>
    <cellStyle name="40% - Accent6 5 2 2 2 3 2 2" xfId="31009" xr:uid="{1E3D01E3-DF20-41B8-9FB4-7B95CEBB1F57}"/>
    <cellStyle name="40% - Accent6 5 2 2 2 3 3" xfId="16978" xr:uid="{A5898693-80DB-45F1-BA12-0C616EC64849}"/>
    <cellStyle name="40% - Accent6 5 2 2 2 4" xfId="19096" xr:uid="{43A5ABD8-5F61-43BC-AB02-5D41A7537DB8}"/>
    <cellStyle name="40% - Accent6 5 2 2 2 4 2" xfId="23577" xr:uid="{44B0E20A-3218-4E80-B6EF-59D7C80823EA}"/>
    <cellStyle name="40% - Accent6 5 2 2 2 5" xfId="19088" xr:uid="{A58C729B-5EA2-4CF2-B11D-55E8C46EE00B}"/>
    <cellStyle name="40% - Accent6 5 2 2 3" xfId="19721" xr:uid="{DEDA99DC-C939-4AC1-A0D5-A9F8032BBD13}"/>
    <cellStyle name="40% - Accent6 5 2 2 3 2" xfId="8602" xr:uid="{8031F1AB-F458-4FA8-9BCC-65FD52A26C7D}"/>
    <cellStyle name="40% - Accent6 5 2 2 3 2 2" xfId="34025" xr:uid="{00959442-D3E5-45FB-960A-C67186D371FE}"/>
    <cellStyle name="40% - Accent6 5 2 2 3 2 2 2" xfId="29860" xr:uid="{CD4FC48A-2081-41AA-A739-A09264618190}"/>
    <cellStyle name="40% - Accent6 5 2 2 3 2 3" xfId="29262" xr:uid="{6F2ECB16-ACC2-4C48-975A-2F3E8D438E0D}"/>
    <cellStyle name="40% - Accent6 5 2 2 3 3" xfId="16875" xr:uid="{3749A768-05C3-4F13-A339-ACF7CAE06414}"/>
    <cellStyle name="40% - Accent6 5 2 2 3 3 2" xfId="29355" xr:uid="{BDE9DBB6-1E87-4793-BB69-D9B67107BB01}"/>
    <cellStyle name="40% - Accent6 5 2 2 3 4" xfId="17241" xr:uid="{FDEDD136-7B31-4DC0-8584-9F73C19A5513}"/>
    <cellStyle name="40% - Accent6 5 2 2 4" xfId="11250" xr:uid="{AE55A48D-1683-45DE-9493-A40DC8862D00}"/>
    <cellStyle name="40% - Accent6 5 2 2 4 2" xfId="16844" xr:uid="{E6A0254A-B6CE-4FCD-B71E-2F08911C3239}"/>
    <cellStyle name="40% - Accent6 5 2 2 4 2 2" xfId="30429" xr:uid="{872CF573-C107-42B8-BAE7-FE72F1434785}"/>
    <cellStyle name="40% - Accent6 5 2 2 4 3" xfId="16842" xr:uid="{EE53B8F8-25AB-4BDA-BA27-7E40031EC801}"/>
    <cellStyle name="40% - Accent6 5 2 2 5" xfId="33620" xr:uid="{27A90520-2777-4EC1-8182-EBA0DA7DC5B1}"/>
    <cellStyle name="40% - Accent6 5 2 2 5 2" xfId="29216" xr:uid="{5207444F-9EB9-43C7-BB04-E4FB9CEF8086}"/>
    <cellStyle name="40% - Accent6 5 2 2 6" xfId="11246" xr:uid="{D00D4A1F-4677-43C2-B05E-53DCA162967C}"/>
    <cellStyle name="40% - Accent6 5 2 3" xfId="24583" xr:uid="{C673B376-32EE-4C4E-B37E-107787D09091}"/>
    <cellStyle name="40% - Accent6 5 2 3 2" xfId="19490" xr:uid="{64A8FD27-861E-49D0-BAD0-221D70B3BF92}"/>
    <cellStyle name="40% - Accent6 5 2 3 2 2" xfId="18450" xr:uid="{9A013890-C3DC-4098-9FE7-88D585DDE4B7}"/>
    <cellStyle name="40% - Accent6 5 2 3 2 2 2" xfId="16289" xr:uid="{9D2122AF-EAF9-46FE-8C3E-4EE42FD1184E}"/>
    <cellStyle name="40% - Accent6 5 2 3 2 2 2 2" xfId="28329" xr:uid="{06428E0B-3255-4F07-96F4-C64BDA51E226}"/>
    <cellStyle name="40% - Accent6 5 2 3 2 2 3" xfId="16281" xr:uid="{2876BBE4-012B-48F9-9ECC-7175A1BA618B}"/>
    <cellStyle name="40% - Accent6 5 2 3 2 3" xfId="16279" xr:uid="{AF516E1F-39FE-4266-8461-0D2A5E418A44}"/>
    <cellStyle name="40% - Accent6 5 2 3 2 3 2" xfId="29204" xr:uid="{68453642-6AF8-4644-ACEE-B8FB1932CB07}"/>
    <cellStyle name="40% - Accent6 5 2 3 2 4" xfId="19054" xr:uid="{6833A7F3-7F2C-48B4-909E-1D3CB34F3DBB}"/>
    <cellStyle name="40% - Accent6 5 2 3 3" xfId="11237" xr:uid="{6CB966AF-22A3-4E76-AA0A-45708AA5F9CA}"/>
    <cellStyle name="40% - Accent6 5 2 3 3 2" xfId="16231" xr:uid="{77D1BB63-B502-4AF0-9328-9AC2C51497FB}"/>
    <cellStyle name="40% - Accent6 5 2 3 3 2 2" xfId="32295" xr:uid="{C0CCAD68-B7C1-4EA4-BF9B-BEBC4D4D10F6}"/>
    <cellStyle name="40% - Accent6 5 2 3 3 3" xfId="16227" xr:uid="{A4CE397E-A5B0-4342-BFB0-A5A9D38B7067}"/>
    <cellStyle name="40% - Accent6 5 2 3 4" xfId="11224" xr:uid="{7E25F59D-4C03-4E4A-820E-9A86E47EB0D2}"/>
    <cellStyle name="40% - Accent6 5 2 3 4 2" xfId="16210" xr:uid="{54C5D153-D627-48B9-9EA1-82A338C66D60}"/>
    <cellStyle name="40% - Accent6 5 2 3 5" xfId="11216" xr:uid="{A0DC7060-D79A-4068-BEA9-0B2F880160E6}"/>
    <cellStyle name="40% - Accent6 5 2 4" xfId="17287" xr:uid="{13925FBC-3A63-40ED-8881-5785D3E8AB80}"/>
    <cellStyle name="40% - Accent6 5 2 4 2" xfId="27372" xr:uid="{957B87F8-0978-49CB-B8BA-711424920770}"/>
    <cellStyle name="40% - Accent6 5 2 4 2 2" xfId="15926" xr:uid="{B56975E5-0862-40E9-BBBD-0C811F9DAACA}"/>
    <cellStyle name="40% - Accent6 5 2 4 2 2 2" xfId="15923" xr:uid="{33020B07-6A2E-420A-B4F2-04AB2D10446F}"/>
    <cellStyle name="40% - Accent6 5 2 4 2 3" xfId="30540" xr:uid="{8E99685C-7F8F-47D8-9333-6C22C8BCC330}"/>
    <cellStyle name="40% - Accent6 5 2 4 3" xfId="11208" xr:uid="{A901ADB2-BB1A-4432-B1A6-E5166B8A0E43}"/>
    <cellStyle name="40% - Accent6 5 2 4 3 2" xfId="15893" xr:uid="{3125D7D3-2354-429F-B54C-3BFD8375E083}"/>
    <cellStyle name="40% - Accent6 5 2 4 4" xfId="33575" xr:uid="{85FC4B35-B7B3-4F22-BC21-76E2CC55DF36}"/>
    <cellStyle name="40% - Accent6 5 2 5" xfId="30466" xr:uid="{E0BE5713-585B-4FF7-9DF5-202293C6A9BE}"/>
    <cellStyle name="40% - Accent6 5 2 5 2" xfId="23199" xr:uid="{1EB0DED3-AAE8-4EC0-A78F-529767F5620C}"/>
    <cellStyle name="40% - Accent6 5 2 5 2 2" xfId="15774" xr:uid="{ADC82116-5A0F-430F-897F-E3806B5BB32F}"/>
    <cellStyle name="40% - Accent6 5 2 5 3" xfId="11201" xr:uid="{84FDAFD7-D671-4F52-A345-463ED92EB1F7}"/>
    <cellStyle name="40% - Accent6 5 2 6" xfId="5958" xr:uid="{F0D94619-AAA6-4AB0-9FE6-BACACF8697EA}"/>
    <cellStyle name="40% - Accent6 5 2 6 2" xfId="6185" xr:uid="{4A3714B9-AF4A-494F-839F-010EED8E25A6}"/>
    <cellStyle name="40% - Accent6 5 2 7" xfId="23267" xr:uid="{6FD39173-1D81-4580-82BD-6A1EDEC0F862}"/>
    <cellStyle name="40% - Accent6 5 2 8" xfId="34811" xr:uid="{F9AE5A7E-F9A0-41D0-95CE-2CFE7753A8AD}"/>
    <cellStyle name="40% - Accent6 5 3" xfId="7895" xr:uid="{2CE71E78-659C-4497-BE2B-3852F75BCC39}"/>
    <cellStyle name="40% - Accent6 5 3 2" xfId="5957" xr:uid="{75DDC1C9-40C6-4FAF-A590-5D55F17CE4D5}"/>
    <cellStyle name="40% - Accent6 5 3 2 2" xfId="19261" xr:uid="{ABAF1072-89E0-4876-81C9-CA79F2C1E7D7}"/>
    <cellStyle name="40% - Accent6 5 3 2 2 2" xfId="24748" xr:uid="{4AA9C0D5-6C51-4CAD-A644-23A7FFE5E231}"/>
    <cellStyle name="40% - Accent6 5 3 2 2 2 2" xfId="14844" xr:uid="{44DA5B3B-D77D-4F3B-B73E-88B2633127E8}"/>
    <cellStyle name="40% - Accent6 5 3 2 2 2 2 2" xfId="20897" xr:uid="{7C37BF31-C299-4818-A2C0-83282294148B}"/>
    <cellStyle name="40% - Accent6 5 3 2 2 2 3" xfId="14838" xr:uid="{62EE3BA8-9FB2-4005-B6AB-97C15BA7DB78}"/>
    <cellStyle name="40% - Accent6 5 3 2 2 3" xfId="14831" xr:uid="{D65FA9CA-A069-4350-8C4A-937CE1819448}"/>
    <cellStyle name="40% - Accent6 5 3 2 2 3 2" xfId="14828" xr:uid="{EB328201-EAF6-40CB-94AA-C21D1A110188}"/>
    <cellStyle name="40% - Accent6 5 3 2 2 4" xfId="18536" xr:uid="{C15FBCDE-5823-4CA8-8A07-AFC13F4ACEC9}"/>
    <cellStyle name="40% - Accent6 5 3 2 3" xfId="11190" xr:uid="{3B096531-EE7F-4452-AE6A-6DC496B8839D}"/>
    <cellStyle name="40% - Accent6 5 3 2 3 2" xfId="14728" xr:uid="{46AB0507-B0D1-4AF4-A7C1-7EBAEDB707FD}"/>
    <cellStyle name="40% - Accent6 5 3 2 3 2 2" xfId="34342" xr:uid="{A82C109C-5D8B-40AB-901E-B20F3D264389}"/>
    <cellStyle name="40% - Accent6 5 3 2 3 3" xfId="14720" xr:uid="{203F7998-8EE8-4BC9-ACA2-DE5262638C21}"/>
    <cellStyle name="40% - Accent6 5 3 2 4" xfId="11180" xr:uid="{DE239DEA-F70D-4AF8-A09A-F3D7F678D079}"/>
    <cellStyle name="40% - Accent6 5 3 2 4 2" xfId="14682" xr:uid="{00E67976-EF9F-4FF9-ACD5-4FCA826BF5AE}"/>
    <cellStyle name="40% - Accent6 5 3 2 5" xfId="17075" xr:uid="{AAD01E62-DE73-40B3-8CCC-5717C69218E7}"/>
    <cellStyle name="40% - Accent6 5 3 3" xfId="5956" xr:uid="{2580B87F-E97D-4E28-9F9D-11AC6E78C348}"/>
    <cellStyle name="40% - Accent6 5 3 3 2" xfId="17156" xr:uid="{9DCC32E9-A0C7-4238-922D-6E8F579F54A3}"/>
    <cellStyle name="40% - Accent6 5 3 3 2 2" xfId="17150" xr:uid="{2B5CAEF8-7B98-493E-ACE4-4C3B1AEF19C2}"/>
    <cellStyle name="40% - Accent6 5 3 3 2 2 2" xfId="14331" xr:uid="{0B78D5EE-9461-40B6-83F1-8BB624482393}"/>
    <cellStyle name="40% - Accent6 5 3 3 2 3" xfId="17143" xr:uid="{F8BB61C1-8A50-4F62-B7CF-23311EF02B01}"/>
    <cellStyle name="40% - Accent6 5 3 3 3" xfId="17137" xr:uid="{98C2DB01-A8B9-46C9-8D02-3B69ABFA7595}"/>
    <cellStyle name="40% - Accent6 5 3 3 3 2" xfId="17133" xr:uid="{20F7D53E-20DB-4AE3-97E2-0D610DC50116}"/>
    <cellStyle name="40% - Accent6 5 3 3 4" xfId="17121" xr:uid="{02426068-C4B9-4AB8-818A-A19F82E3BACA}"/>
    <cellStyle name="40% - Accent6 5 3 4" xfId="30461" xr:uid="{3BFFD03E-21ED-4C39-B3D3-C4F821BC9FF2}"/>
    <cellStyle name="40% - Accent6 5 3 4 2" xfId="17102" xr:uid="{74706E9B-0419-4DE6-A150-9ECE91EA761A}"/>
    <cellStyle name="40% - Accent6 5 3 4 2 2" xfId="17098" xr:uid="{C44214EF-415A-44D1-8C8C-7958B4B13456}"/>
    <cellStyle name="40% - Accent6 5 3 4 3" xfId="17091" xr:uid="{0C6A251E-1D11-4929-BE31-19773DCE526C}"/>
    <cellStyle name="40% - Accent6 5 3 5" xfId="5954" xr:uid="{D9B9AD81-A159-4AC5-B61A-C0B6F3FFBF2F}"/>
    <cellStyle name="40% - Accent6 5 3 5 2" xfId="17081" xr:uid="{EE63FCF0-4F18-4176-AC63-F955B1C4084B}"/>
    <cellStyle name="40% - Accent6 5 3 6" xfId="5953" xr:uid="{4DA058E4-5AFB-4316-8D68-CDBDF70676A9}"/>
    <cellStyle name="40% - Accent6 5 3 7" xfId="35013" xr:uid="{5D3710BC-3DDA-491F-B7EE-74938A16B4C0}"/>
    <cellStyle name="40% - Accent6 5 4" xfId="5952" xr:uid="{4B157D0B-B462-4EF5-B48D-F71127CC7B01}"/>
    <cellStyle name="40% - Accent6 5 4 2" xfId="7829" xr:uid="{7F75A66D-4D5F-4AA3-B73D-F7529D31EC80}"/>
    <cellStyle name="40% - Accent6 5 4 2 2" xfId="5951" xr:uid="{7D7D08DA-1316-48E9-8A5E-DDD5C8B9B70F}"/>
    <cellStyle name="40% - Accent6 5 4 2 2 2" xfId="12821" xr:uid="{FFC14308-D5DA-4543-A822-E0E212C2CA80}"/>
    <cellStyle name="40% - Accent6 5 4 2 2 2 2" xfId="18847" xr:uid="{07450D29-1C35-4ED3-BF3B-078307641752}"/>
    <cellStyle name="40% - Accent6 5 4 2 2 3" xfId="12817" xr:uid="{BB687EF4-7E81-448F-A515-A48DDC5EDA82}"/>
    <cellStyle name="40% - Accent6 5 4 2 3" xfId="11161" xr:uid="{786D1B29-0D56-4074-A003-BD038645D21E}"/>
    <cellStyle name="40% - Accent6 5 4 2 3 2" xfId="12762" xr:uid="{BFFE6741-7CBE-4515-AA9C-049201C99AC2}"/>
    <cellStyle name="40% - Accent6 5 4 2 4" xfId="11155" xr:uid="{59EB26FF-C155-4B6B-BB3D-CC15E3B988A1}"/>
    <cellStyle name="40% - Accent6 5 4 3" xfId="7826" xr:uid="{34A71AC0-B42A-4A24-ADDD-98A5237A31F3}"/>
    <cellStyle name="40% - Accent6 5 4 3 2" xfId="17055" xr:uid="{3F38B52C-021A-44D4-B981-4DB7BB1E26AE}"/>
    <cellStyle name="40% - Accent6 5 4 3 2 2" xfId="17049" xr:uid="{BAC391AF-47FB-4C86-A464-816361062054}"/>
    <cellStyle name="40% - Accent6 5 4 3 3" xfId="17041" xr:uid="{C126008C-A2A2-4812-B303-FDFD427148AE}"/>
    <cellStyle name="40% - Accent6 5 4 4" xfId="5949" xr:uid="{1249AF65-CA89-471B-8929-0986F8378FB4}"/>
    <cellStyle name="40% - Accent6 5 4 4 2" xfId="17032" xr:uid="{F8F55051-3281-48F3-9A3B-6271436C0376}"/>
    <cellStyle name="40% - Accent6 5 4 5" xfId="5948" xr:uid="{5C17BAB7-0B80-4682-8D23-75FEABFE0642}"/>
    <cellStyle name="40% - Accent6 5 4 6" xfId="35219" xr:uid="{B8D6D84C-68C2-4537-B799-B5140989D823}"/>
    <cellStyle name="40% - Accent6 5 5" xfId="5947" xr:uid="{24E330E6-BE5D-431B-9F55-1BFAA26FB990}"/>
    <cellStyle name="40% - Accent6 5 5 2" xfId="7822" xr:uid="{0F46637C-2255-41A4-8890-143BDC68DB64}"/>
    <cellStyle name="40% - Accent6 5 5 2 2" xfId="5946" xr:uid="{D541B783-07C0-4E84-9E7D-5ADAE9BCE42B}"/>
    <cellStyle name="40% - Accent6 5 5 2 2 2" xfId="10407" xr:uid="{71941AFE-28FE-4B3E-9C72-808B6106023C}"/>
    <cellStyle name="40% - Accent6 5 5 2 3" xfId="11142" xr:uid="{1DBA1859-0361-49F2-8243-CC17FCA2A4D6}"/>
    <cellStyle name="40% - Accent6 5 5 3" xfId="5944" xr:uid="{4DD1B31B-E25C-41CD-B380-3FC239EF3726}"/>
    <cellStyle name="40% - Accent6 5 5 3 2" xfId="29150" xr:uid="{025083A6-5F3A-41F9-8C1A-6B77F117915D}"/>
    <cellStyle name="40% - Accent6 5 5 4" xfId="13847" xr:uid="{08C9D58C-D1CE-40A2-B166-C13259C16DFB}"/>
    <cellStyle name="40% - Accent6 5 5 5" xfId="35448" xr:uid="{132CE553-7BA0-4325-B5F0-4822A1C9F372}"/>
    <cellStyle name="40% - Accent6 5 6" xfId="31149" xr:uid="{0A904767-2596-4406-9FE7-7ACCB3F7FF64}"/>
    <cellStyle name="40% - Accent6 5 6 2" xfId="5943" xr:uid="{87F347C2-125C-4F9C-941C-DE5879CDF3DA}"/>
    <cellStyle name="40% - Accent6 5 6 2 2" xfId="19709" xr:uid="{EBEF2349-E8BD-4E4C-BFCE-7AEEFA31D0D1}"/>
    <cellStyle name="40% - Accent6 5 6 3" xfId="5942" xr:uid="{4709D898-D07F-4791-BFC3-88D38D7EA10C}"/>
    <cellStyle name="40% - Accent6 5 6 4" xfId="36320" xr:uid="{7FC460FE-8536-4835-8A0C-9DC0BBEBF038}"/>
    <cellStyle name="40% - Accent6 5 7" xfId="5941" xr:uid="{6909E5BC-ACF0-457A-A7A3-33EDE791D341}"/>
    <cellStyle name="40% - Accent6 5 7 2" xfId="5940" xr:uid="{F96CDA64-B88B-407C-8382-7875A3C2F0D6}"/>
    <cellStyle name="40% - Accent6 5 7 3" xfId="36606" xr:uid="{5086A475-B273-447A-B2D8-3E41679E02D2}"/>
    <cellStyle name="40% - Accent6 5 8" xfId="8755" xr:uid="{3C5BB065-9942-44F1-8645-24B031CDAB2E}"/>
    <cellStyle name="40% - Accent6 5 8 2" xfId="37491" xr:uid="{4ACF9E3C-539D-4EFF-9B70-FB11AFF3F795}"/>
    <cellStyle name="40% - Accent6 5 9" xfId="34587" xr:uid="{0D11B78A-1276-4963-97E0-26D433D466E6}"/>
    <cellStyle name="40% - Accent6 6" xfId="295" xr:uid="{0AB3E3B6-E475-4B82-9D71-A8CD5921AE8B}"/>
    <cellStyle name="40% - Accent6 6 2" xfId="12218" xr:uid="{5F26C9E4-4A9F-473E-BF95-0C2231FF872B}"/>
    <cellStyle name="40% - Accent6 6 2 2" xfId="5934" xr:uid="{17468220-44B1-4AB2-B5A9-1FBBF1B3E85D}"/>
    <cellStyle name="40% - Accent6 6 2 2 2" xfId="12213" xr:uid="{84290E55-A132-4DD7-BA1C-8FB1EAC73C6A}"/>
    <cellStyle name="40% - Accent6 6 2 2 2 2" xfId="8272" xr:uid="{692D42B9-9737-432C-A4BE-FAAF6B605C83}"/>
    <cellStyle name="40% - Accent6 6 2 2 2 2 2" xfId="8176" xr:uid="{B4C63FF9-124F-44B4-94EE-32DADCCD6665}"/>
    <cellStyle name="40% - Accent6 6 2 2 2 2 2 2" xfId="16466" xr:uid="{1F9268BE-FF24-44EE-9C26-C614BFF55032}"/>
    <cellStyle name="40% - Accent6 6 2 2 2 2 3" xfId="5932" xr:uid="{5378A1A7-D3B5-427D-A20C-97022F1BAA48}"/>
    <cellStyle name="40% - Accent6 6 2 2 2 3" xfId="5930" xr:uid="{85CFEEEA-B8DB-4F29-8C6B-05F2BF553671}"/>
    <cellStyle name="40% - Accent6 6 2 2 2 3 2" xfId="5927" xr:uid="{DAE4010A-DEE3-49BB-AAE6-ADEA643F8951}"/>
    <cellStyle name="40% - Accent6 6 2 2 2 4" xfId="5925" xr:uid="{E7FFB8F2-2D6F-4EDA-B3E4-5AAB4E7BD6B9}"/>
    <cellStyle name="40% - Accent6 6 2 2 3" xfId="11098" xr:uid="{749625EB-44F3-473A-BDBF-A04A3D93B8DA}"/>
    <cellStyle name="40% - Accent6 6 2 2 3 2" xfId="9388" xr:uid="{3B3BE38E-7869-442B-BB8F-01E2917A06BD}"/>
    <cellStyle name="40% - Accent6 6 2 2 3 2 2" xfId="32925" xr:uid="{A89607E9-D37D-4787-BF95-7F4E19A46FE6}"/>
    <cellStyle name="40% - Accent6 6 2 2 3 3" xfId="6300" xr:uid="{E3C20A71-176C-4FA7-B4A2-3C1514C187A1}"/>
    <cellStyle name="40% - Accent6 6 2 2 4" xfId="11086" xr:uid="{5AAFC8FE-CB5F-4A11-BACA-2D09501CF063}"/>
    <cellStyle name="40% - Accent6 6 2 2 4 2" xfId="6294" xr:uid="{E85E5FAF-2D4E-46BA-918F-2F199658A146}"/>
    <cellStyle name="40% - Accent6 6 2 2 5" xfId="12184" xr:uid="{2526B76B-68D7-4BB1-B484-EFC0AF2B75C7}"/>
    <cellStyle name="40% - Accent6 6 2 3" xfId="12179" xr:uid="{7BDDCB77-D9F0-4CCE-ABC9-53C9643E0001}"/>
    <cellStyle name="40% - Accent6 6 2 3 2" xfId="5922" xr:uid="{B8F2FDEF-2FA3-4C2B-B856-47EAE726481D}"/>
    <cellStyle name="40% - Accent6 6 2 3 2 2" xfId="5919" xr:uid="{5312B1C1-D399-4A12-AB1F-0D0831A54E01}"/>
    <cellStyle name="40% - Accent6 6 2 3 2 2 2" xfId="5916" xr:uid="{DE6053D3-C7BD-43DB-9DD6-4EC21AD72134}"/>
    <cellStyle name="40% - Accent6 6 2 3 2 3" xfId="5914" xr:uid="{AAA49620-9D6E-432B-904F-0B89DB7EA811}"/>
    <cellStyle name="40% - Accent6 6 2 3 3" xfId="11078" xr:uid="{D0EC95FB-8CB4-4338-8645-77650627D878}"/>
    <cellStyle name="40% - Accent6 6 2 3 3 2" xfId="6285" xr:uid="{4B05EE97-C414-4FE8-8DAB-7FBBB76BB2EB}"/>
    <cellStyle name="40% - Accent6 6 2 3 4" xfId="11073" xr:uid="{EDEEB7C9-504F-423C-85A4-D4FE5C84C957}"/>
    <cellStyle name="40% - Accent6 6 2 4" xfId="20115" xr:uid="{9832C234-5FEC-404D-BE94-56F2E4FED448}"/>
    <cellStyle name="40% - Accent6 6 2 4 2" xfId="5910" xr:uid="{0D5C4A0E-78C2-41A7-9133-F731F6E70243}"/>
    <cellStyle name="40% - Accent6 6 2 4 2 2" xfId="5908" xr:uid="{262BB3DA-8287-4F95-9FAA-87343E42A8E7}"/>
    <cellStyle name="40% - Accent6 6 2 4 3" xfId="11065" xr:uid="{FDBB1C9D-46D0-477B-A016-935133F643BB}"/>
    <cellStyle name="40% - Accent6 6 2 5" xfId="5905" xr:uid="{DB0FE7CF-A685-4015-8121-93F9BEAD0F9F}"/>
    <cellStyle name="40% - Accent6 6 2 5 2" xfId="6164" xr:uid="{9E507E4D-40B7-4D77-8834-B76CB824F9D8}"/>
    <cellStyle name="40% - Accent6 6 2 6" xfId="5903" xr:uid="{8890A57D-1B62-43AD-8C97-3E165B82AD76}"/>
    <cellStyle name="40% - Accent6 6 2 7" xfId="34830" xr:uid="{76093AD1-77A3-4167-9B16-215492D6ED97}"/>
    <cellStyle name="40% - Accent6 6 3" xfId="21638" xr:uid="{3830CC3B-34FA-407C-AB13-76C2BB1AEAC0}"/>
    <cellStyle name="40% - Accent6 6 3 2" xfId="5901" xr:uid="{7D7DD65F-72A0-4E66-9483-474F40F8B4EB}"/>
    <cellStyle name="40% - Accent6 6 3 2 2" xfId="12160" xr:uid="{B573228F-81D2-4F15-979C-3A6B2D3188C7}"/>
    <cellStyle name="40% - Accent6 6 3 2 2 2" xfId="5898" xr:uid="{8E937EED-A0C5-411E-B17C-E924C11D6A3F}"/>
    <cellStyle name="40% - Accent6 6 3 2 2 2 2" xfId="6507" xr:uid="{1E33B45B-7B7A-46DC-A803-03A40BEE5D8B}"/>
    <cellStyle name="40% - Accent6 6 3 2 2 3" xfId="5895" xr:uid="{44AD19CD-E2CB-457C-9D2E-55B7556D0796}"/>
    <cellStyle name="40% - Accent6 6 3 2 3" xfId="11054" xr:uid="{DFD4DE6E-3239-4A85-9C74-31D19D8D2560}"/>
    <cellStyle name="40% - Accent6 6 3 2 3 2" xfId="10517" xr:uid="{17066BD7-1B3B-4BDA-A61B-CCC810F8FA2E}"/>
    <cellStyle name="40% - Accent6 6 3 2 4" xfId="11048" xr:uid="{17CE139E-6FE5-4E32-BABC-7326E09783AC}"/>
    <cellStyle name="40% - Accent6 6 3 3" xfId="12141" xr:uid="{DB6E90B4-3ECE-4031-8BDF-001896E42B91}"/>
    <cellStyle name="40% - Accent6 6 3 3 2" xfId="12139" xr:uid="{EE8C75A3-B689-467E-87E5-C2B71864DC6E}"/>
    <cellStyle name="40% - Accent6 6 3 3 2 2" xfId="12137" xr:uid="{6F431903-C788-4686-93BE-A223B6F4A9ED}"/>
    <cellStyle name="40% - Accent6 6 3 3 3" xfId="12134" xr:uid="{56E4AF1D-AB34-47AB-8C66-D8CEDC27C9F6}"/>
    <cellStyle name="40% - Accent6 6 3 4" xfId="5892" xr:uid="{4B99C624-C76D-491C-91FE-F2AFBFDEB904}"/>
    <cellStyle name="40% - Accent6 6 3 4 2" xfId="12130" xr:uid="{DACC2517-238D-44BD-B175-3496AAA41275}"/>
    <cellStyle name="40% - Accent6 6 3 5" xfId="5890" xr:uid="{17AE1BD4-D9B1-4CD4-AEF9-E355BDDE093D}"/>
    <cellStyle name="40% - Accent6 6 3 6" xfId="35032" xr:uid="{FB6E466A-8718-49A3-8024-561A509945BB}"/>
    <cellStyle name="40% - Accent6 6 4" xfId="5888" xr:uid="{59BD6119-945F-4E0D-8F5C-4D7465FF0F82}"/>
    <cellStyle name="40% - Accent6 6 4 2" xfId="7819" xr:uid="{CD41F9B1-0FEB-45F4-A10F-D4606FF95E7F}"/>
    <cellStyle name="40% - Accent6 6 4 2 2" xfId="6791" xr:uid="{EB93FA0D-0238-412F-A98B-60EEB544C5EA}"/>
    <cellStyle name="40% - Accent6 6 4 2 2 2" xfId="5886" xr:uid="{021B0C58-148D-4E46-B5AD-903DDEDEED24}"/>
    <cellStyle name="40% - Accent6 6 4 2 3" xfId="11033" xr:uid="{C0E455D4-291C-4457-B82B-26E0FDAD17A8}"/>
    <cellStyle name="40% - Accent6 6 4 3" xfId="5882" xr:uid="{736BD704-2759-493F-97AF-9C5AC963EC1C}"/>
    <cellStyle name="40% - Accent6 6 4 3 2" xfId="12118" xr:uid="{4E250CE2-9F2B-48C3-A873-D02FD3E430B5}"/>
    <cellStyle name="40% - Accent6 6 4 4" xfId="8630" xr:uid="{28607295-29A3-43C0-AEE6-EAE5557D8B05}"/>
    <cellStyle name="40% - Accent6 6 4 5" xfId="35238" xr:uid="{61A032FE-7740-4613-9C7F-D66894454D42}"/>
    <cellStyle name="40% - Accent6 6 5" xfId="5880" xr:uid="{71D72046-38B4-462B-A613-4EFE8FB0BE1A}"/>
    <cellStyle name="40% - Accent6 6 5 2" xfId="5878" xr:uid="{88A56C06-B270-463B-9F1A-6500A5A4E3EA}"/>
    <cellStyle name="40% - Accent6 6 5 2 2" xfId="6780" xr:uid="{3148E3E2-6911-41B8-A96E-F51543223BA8}"/>
    <cellStyle name="40% - Accent6 6 5 3" xfId="5876" xr:uid="{9BDD5E04-E7C2-437B-906E-DEFC54C0AADC}"/>
    <cellStyle name="40% - Accent6 6 5 4" xfId="35467" xr:uid="{B5070F04-5616-4666-A7B0-9714C25EDBB6}"/>
    <cellStyle name="40% - Accent6 6 6" xfId="5874" xr:uid="{7587F28A-ACD8-4D2D-B0C0-8B2E86A1109E}"/>
    <cellStyle name="40% - Accent6 6 6 2" xfId="5872" xr:uid="{9B3DEEE0-EF64-4D49-9CA5-870CBF5F77BA}"/>
    <cellStyle name="40% - Accent6 6 6 3" xfId="36339" xr:uid="{90822024-509F-4EDF-9732-0FFED6AD0422}"/>
    <cellStyle name="40% - Accent6 6 7" xfId="5869" xr:uid="{CF59139A-88DC-4BE4-9AF2-624AA7DF74C8}"/>
    <cellStyle name="40% - Accent6 6 7 2" xfId="36625" xr:uid="{0375176B-B897-48C9-A6E6-903321E7087A}"/>
    <cellStyle name="40% - Accent6 6 8" xfId="34601" xr:uid="{008446C5-493F-4D25-AA8D-7C499D6F9D13}"/>
    <cellStyle name="40% - Accent6 6 9" xfId="5937" xr:uid="{346E1E2B-1E2A-458F-94D2-BEDA75B3EFC5}"/>
    <cellStyle name="40% - Accent6 7" xfId="315" xr:uid="{318A2D9C-A380-4CA0-B2E1-AD5610D62EF2}"/>
    <cellStyle name="40% - Accent6 7 2" xfId="12094" xr:uid="{B7914615-7E3F-4082-9D05-717B487E821C}"/>
    <cellStyle name="40% - Accent6 7 2 2" xfId="12091" xr:uid="{1A3FFAA3-449A-4CAF-B3AF-BD0CB2EE4B59}"/>
    <cellStyle name="40% - Accent6 7 2 2 2" xfId="5867" xr:uid="{7133C7B7-9E3D-4F77-BF53-B73017C018CE}"/>
    <cellStyle name="40% - Accent6 7 2 2 2 2" xfId="12088" xr:uid="{021ABB8F-6805-498D-AF02-06B1D177503F}"/>
    <cellStyle name="40% - Accent6 7 2 2 2 2 2" xfId="5865" xr:uid="{06127385-F474-4615-8A0E-3DA9F1FBDA2B}"/>
    <cellStyle name="40% - Accent6 7 2 2 2 3" xfId="28142" xr:uid="{1D0B5AE1-846F-4511-8428-00F79FD6F404}"/>
    <cellStyle name="40% - Accent6 7 2 2 3" xfId="11004" xr:uid="{F223A66C-1DAB-42C6-A6D8-743D47788807}"/>
    <cellStyle name="40% - Accent6 7 2 2 3 2" xfId="6246" xr:uid="{D0E379C4-3355-4091-AF5B-51FC17038BFB}"/>
    <cellStyle name="40% - Accent6 7 2 2 4" xfId="10995" xr:uid="{B6084F72-4484-41C2-9E61-CBA070772406}"/>
    <cellStyle name="40% - Accent6 7 2 3" xfId="12078" xr:uid="{42EB679C-81E7-45F9-BA50-0F2CB5251BB9}"/>
    <cellStyle name="40% - Accent6 7 2 3 2" xfId="5862" xr:uid="{3AC1CFD9-57B5-407C-9920-3D6E44ECC3FB}"/>
    <cellStyle name="40% - Accent6 7 2 3 2 2" xfId="5859" xr:uid="{587A0473-CF4D-458A-A62C-2283960F9EF4}"/>
    <cellStyle name="40% - Accent6 7 2 3 3" xfId="10988" xr:uid="{38840ADB-C3EA-4FFB-9C9F-D2D614C75807}"/>
    <cellStyle name="40% - Accent6 7 2 4" xfId="12075" xr:uid="{28BDD0C9-D792-4978-B738-F8F8397E65E4}"/>
    <cellStyle name="40% - Accent6 7 2 4 2" xfId="5856" xr:uid="{1328A495-E23F-4F70-8CDF-446FB10E4C79}"/>
    <cellStyle name="40% - Accent6 7 2 5" xfId="13413" xr:uid="{F13D6B3E-2621-47E9-AD72-B0456DA45881}"/>
    <cellStyle name="40% - Accent6 7 2 6" xfId="34849" xr:uid="{5391ACFC-1BF6-4F52-8DD6-55DB2347C82C}"/>
    <cellStyle name="40% - Accent6 7 3" xfId="12073" xr:uid="{DBD7E14A-E7C7-4D0A-9AED-47B1E07B5375}"/>
    <cellStyle name="40% - Accent6 7 3 2" xfId="12070" xr:uid="{CFF4A6D0-5BE7-4BCC-8E30-44AB7DD321E2}"/>
    <cellStyle name="40% - Accent6 7 3 2 2" xfId="5854" xr:uid="{1C71A3DB-DEAB-4A45-AAF9-0CE17B0BA9F9}"/>
    <cellStyle name="40% - Accent6 7 3 2 2 2" xfId="5852" xr:uid="{D0676D9B-27AF-4FA6-B4A2-807A41DA7FC4}"/>
    <cellStyle name="40% - Accent6 7 3 2 3" xfId="10974" xr:uid="{0F48147F-2923-47E8-B6BF-D55BBCA86579}"/>
    <cellStyle name="40% - Accent6 7 3 3" xfId="12065" xr:uid="{E7563E10-69B7-427A-B9CE-8EA42896128F}"/>
    <cellStyle name="40% - Accent6 7 3 3 2" xfId="16865" xr:uid="{888B6CAF-805E-48EB-BAB2-D9F84B20C525}"/>
    <cellStyle name="40% - Accent6 7 3 4" xfId="12063" xr:uid="{7908C369-B811-4008-ABA9-43EFC7FFC7E7}"/>
    <cellStyle name="40% - Accent6 7 3 5" xfId="35051" xr:uid="{FED8BB8D-51B7-4835-9511-ECAE24D5EDFF}"/>
    <cellStyle name="40% - Accent6 7 4" xfId="12061" xr:uid="{84FEA425-801F-4EAE-AA33-BB52A8B22DEC}"/>
    <cellStyle name="40% - Accent6 7 4 2" xfId="12059" xr:uid="{FD185595-09CB-43F9-827B-6DCD135E3E32}"/>
    <cellStyle name="40% - Accent6 7 4 2 2" xfId="6764" xr:uid="{26B80DED-9874-4FD9-8C0C-B790B1A85C4C}"/>
    <cellStyle name="40% - Accent6 7 4 3" xfId="5849" xr:uid="{57A28867-A04F-4E48-9912-61599A585A16}"/>
    <cellStyle name="40% - Accent6 7 4 4" xfId="35258" xr:uid="{9B490462-B1D0-4F33-A164-BD8CB9219DC1}"/>
    <cellStyle name="40% - Accent6 7 5" xfId="17034" xr:uid="{4AE1A74A-16AD-4933-B20E-3F4D1FE48FD3}"/>
    <cellStyle name="40% - Accent6 7 5 2" xfId="12053" xr:uid="{A46F9168-19BD-4F3B-A816-0C187E63E9EA}"/>
    <cellStyle name="40% - Accent6 7 5 3" xfId="35487" xr:uid="{BD136383-E6C3-449A-959D-30BE357E15EF}"/>
    <cellStyle name="40% - Accent6 7 6" xfId="5847" xr:uid="{6C91EF3B-B104-4AED-A752-B0866ACA71E0}"/>
    <cellStyle name="40% - Accent6 7 6 2" xfId="36359" xr:uid="{AD51EC83-FB23-40F2-BE0B-0822CD32A73A}"/>
    <cellStyle name="40% - Accent6 7 7" xfId="34615" xr:uid="{51382F9D-4E79-4C14-9E6E-1E85B7C830F0}"/>
    <cellStyle name="40% - Accent6 7 8" xfId="12097" xr:uid="{90368948-54C1-428B-8CF5-1543F3499880}"/>
    <cellStyle name="40% - Accent6 7 8 2" xfId="37517" xr:uid="{4736E3E0-1B90-4B0C-9982-77F6A56699B2}"/>
    <cellStyle name="40% - Accent6 8" xfId="335" xr:uid="{11C6A101-CE50-41F7-B490-D01CD652068D}"/>
    <cellStyle name="40% - Accent6 8 2" xfId="12045" xr:uid="{FC121A41-0FDC-4D8C-926F-7F551EBB8FB7}"/>
    <cellStyle name="40% - Accent6 8 2 2" xfId="12040" xr:uid="{BD6D2984-2AD1-49AF-AECA-E4D8F45F8686}"/>
    <cellStyle name="40% - Accent6 8 2 2 2" xfId="5844" xr:uid="{3FF5DD3C-43E6-4830-A18F-23A17212605F}"/>
    <cellStyle name="40% - Accent6 8 2 2 2 2" xfId="5842" xr:uid="{5BAEF217-A5CF-4E70-9C22-BD5BE88647BC}"/>
    <cellStyle name="40% - Accent6 8 2 2 3" xfId="12032" xr:uid="{03C45BD9-A382-4056-A3AD-26555B446B4B}"/>
    <cellStyle name="40% - Accent6 8 2 3" xfId="12017" xr:uid="{5BD6DD1D-69D3-410C-BFF9-498890B50D93}"/>
    <cellStyle name="40% - Accent6 8 2 3 2" xfId="28729" xr:uid="{7D034F02-EDE4-4305-B7C9-3B40794019DB}"/>
    <cellStyle name="40% - Accent6 8 2 4" xfId="12012" xr:uid="{A695DF56-C00E-46E2-A9B0-F857BCCF9CC5}"/>
    <cellStyle name="40% - Accent6 8 2 5" xfId="34868" xr:uid="{BF969897-190E-410C-A72C-3A1E00DEF263}"/>
    <cellStyle name="40% - Accent6 8 3" xfId="12008" xr:uid="{8FD88728-126F-4022-9298-DBEB77C54273}"/>
    <cellStyle name="40% - Accent6 8 3 2" xfId="12006" xr:uid="{770B8BF7-CE75-4128-939D-CF613F1566AA}"/>
    <cellStyle name="40% - Accent6 8 3 2 2" xfId="8847" xr:uid="{D1C97AFB-5B86-4192-82C3-80CD674B912C}"/>
    <cellStyle name="40% - Accent6 8 3 3" xfId="5839" xr:uid="{02B684D7-9BD8-4C5D-82B2-AD0329381480}"/>
    <cellStyle name="40% - Accent6 8 3 4" xfId="35070" xr:uid="{182FE1D4-43B6-48C0-98E3-7B68E7EBD0F1}"/>
    <cellStyle name="40% - Accent6 8 4" xfId="13662" xr:uid="{F59D0FE2-0DD5-4E3F-ACB9-A83DED51CD4A}"/>
    <cellStyle name="40% - Accent6 8 4 2" xfId="5837" xr:uid="{F002690B-6B4C-47CB-90DA-1BF08A1952A9}"/>
    <cellStyle name="40% - Accent6 8 4 3" xfId="35277" xr:uid="{B462E0BC-E2D5-4289-8D12-EA2374218F3F}"/>
    <cellStyle name="40% - Accent6 8 5" xfId="17025" xr:uid="{9C7CC770-4E61-4AAB-8485-F52F07000105}"/>
    <cellStyle name="40% - Accent6 8 5 2" xfId="35506" xr:uid="{D7E7D3DA-8980-47AA-8742-3AFB69F3BCAD}"/>
    <cellStyle name="40% - Accent6 8 6" xfId="34629" xr:uid="{EDA3364A-CACD-459D-B3E9-F2577C39245B}"/>
    <cellStyle name="40% - Accent6 8 7" xfId="12047" xr:uid="{A534D271-FD6A-42D2-81CA-239BEC44AE68}"/>
    <cellStyle name="40% - Accent6 8 7 2" xfId="36651" xr:uid="{B1290C9D-E378-4C05-B056-78ECA3A3B28D}"/>
    <cellStyle name="40% - Accent6 8 8" xfId="37536" xr:uid="{25A8E038-2F1E-46EE-8573-03C1C4F13849}"/>
    <cellStyle name="40% - Accent6 9" xfId="355" xr:uid="{B505068B-A030-4170-866A-B473BC34516C}"/>
    <cellStyle name="40% - Accent6 9 2" xfId="11971" xr:uid="{F990AEA9-792C-4936-B99F-7777CFDAED68}"/>
    <cellStyle name="40% - Accent6 9 2 2" xfId="11969" xr:uid="{0BE027A6-D836-48D6-BD3C-EE84F0A5C8B0}"/>
    <cellStyle name="40% - Accent6 9 2 2 2" xfId="5835" xr:uid="{19CAD9E1-08B7-4FDF-9E89-B74762689FBB}"/>
    <cellStyle name="40% - Accent6 9 2 3" xfId="5833" xr:uid="{D8EEEBF3-B4F1-436B-BFA3-7D3A90102718}"/>
    <cellStyle name="40% - Accent6 9 2 4" xfId="34888" xr:uid="{BBFB1816-B5D0-4783-AA42-EA82C1CC085C}"/>
    <cellStyle name="40% - Accent6 9 3" xfId="12253" xr:uid="{9DCB8900-68D8-4DF1-8847-901578C65E97}"/>
    <cellStyle name="40% - Accent6 9 3 2" xfId="5831" xr:uid="{212F62CC-DD38-4193-9157-7B7E24E2B9C8}"/>
    <cellStyle name="40% - Accent6 9 3 3" xfId="35089" xr:uid="{3866D92C-E5D1-4874-BA64-9F15FC27AB4C}"/>
    <cellStyle name="40% - Accent6 9 4" xfId="13656" xr:uid="{C98E6E30-F930-4238-9AA9-7E4FC27A25D9}"/>
    <cellStyle name="40% - Accent6 9 4 2" xfId="35297" xr:uid="{05C93B9A-9BF0-45D3-BCEE-29EAE7BAE29C}"/>
    <cellStyle name="40% - Accent6 9 5" xfId="34643" xr:uid="{F2C39DA9-1B8A-4E30-878D-D8B081993FDD}"/>
    <cellStyle name="40% - Accent6 9 6" xfId="11973" xr:uid="{7A3E4023-1176-4659-9EC3-500D06286A8B}"/>
    <cellStyle name="40% - Accent6 9 6 2" xfId="36385" xr:uid="{6A61F9C9-F34B-4B3B-A126-C2297B7BBAAA}"/>
    <cellStyle name="40% - Accent6 9 7" xfId="36671" xr:uid="{B971A3B7-77E4-48C4-8AC0-2A09019BAAE4}"/>
    <cellStyle name="40% - Accent6 9 8" xfId="37556" xr:uid="{DB9CE80D-454A-43E4-B355-CAEA9F993F17}"/>
    <cellStyle name="60% - Accent1" xfId="24" builtinId="32" customBuiltin="1"/>
    <cellStyle name="60% - Accent1 10" xfId="179" xr:uid="{E9224A4E-9B33-40BF-A620-53738A1E6D58}"/>
    <cellStyle name="60% - Accent1 10 2" xfId="34892" xr:uid="{B7B06614-CF1F-4ADE-8A3B-23B250495F74}"/>
    <cellStyle name="60% - Accent1 10 3" xfId="35094" xr:uid="{0D7D2289-1D1A-49DC-A3DD-BFFD15EF68C6}"/>
    <cellStyle name="60% - Accent1 10 4" xfId="35300" xr:uid="{2EF70706-8EBA-4208-80AB-00243F7C1C5D}"/>
    <cellStyle name="60% - Accent1 10 5" xfId="35517" xr:uid="{5879D4EF-3139-4144-90B4-98E0B6B41514}"/>
    <cellStyle name="60% - Accent1 10 6" xfId="36390" xr:uid="{F2DDF32B-1023-4820-AD85-4A7E03777098}"/>
    <cellStyle name="60% - Accent1 10 7" xfId="36676" xr:uid="{80E3B2B3-41E6-4D40-AEA5-3B1B20000B5C}"/>
    <cellStyle name="60% - Accent1 10 8" xfId="37561" xr:uid="{41734A96-8D1C-4736-AFBB-ED39CCAB0C85}"/>
    <cellStyle name="60% - Accent1 11" xfId="34658" xr:uid="{303E5057-B0ED-499B-8E8E-5F9B8BF0D19C}"/>
    <cellStyle name="60% - Accent1 11 2" xfId="35113" xr:uid="{E7413503-2331-4BD5-8AF8-8F36AFF0125B}"/>
    <cellStyle name="60% - Accent1 11 3" xfId="35307" xr:uid="{D5703DE1-ECA6-4571-85B4-B966B39F4C7A}"/>
    <cellStyle name="60% - Accent1 11 4" xfId="35537" xr:uid="{03B5FFD6-97D6-4688-B70E-4D370F417075}"/>
    <cellStyle name="60% - Accent1 11 5" xfId="36410" xr:uid="{91136608-99F3-4E1A-B535-270E1A601CD8}"/>
    <cellStyle name="60% - Accent1 11 6" xfId="36696" xr:uid="{E60701FA-D425-4444-9E03-06A7978351C0}"/>
    <cellStyle name="60% - Accent1 11 7" xfId="37581" xr:uid="{04BC5050-499B-491A-A645-057E40C48ED4}"/>
    <cellStyle name="60% - Accent1 12" xfId="34703" xr:uid="{7C2E9BE8-577C-4124-8EEF-289B7313C7E3}"/>
    <cellStyle name="60% - Accent1 12 2" xfId="35129" xr:uid="{B227D49B-7DDE-46ED-B51A-479045EE9EB9}"/>
    <cellStyle name="60% - Accent1 12 3" xfId="35316" xr:uid="{49C8E8E0-57E6-4688-8088-B47508707878}"/>
    <cellStyle name="60% - Accent1 12 4" xfId="35556" xr:uid="{142F6B21-3364-407A-A092-0963D20E5492}"/>
    <cellStyle name="60% - Accent1 12 5" xfId="36429" xr:uid="{40982F4A-C25A-44D1-8B5A-DCAA4298C4B3}"/>
    <cellStyle name="60% - Accent1 12 6" xfId="36715" xr:uid="{6AAEF98A-794F-483F-88B3-3CEF79DBC261}"/>
    <cellStyle name="60% - Accent1 12 7" xfId="37600" xr:uid="{08BB5F4B-D981-4EA2-99E9-7312742108B2}"/>
    <cellStyle name="60% - Accent1 13" xfId="34731" xr:uid="{97362EEB-37B3-4535-9367-779AD67C6551}"/>
    <cellStyle name="60% - Accent1 13 2" xfId="35334" xr:uid="{29E68DF1-8F8F-498A-89A2-78C5D5E39A03}"/>
    <cellStyle name="60% - Accent1 13 3" xfId="35575" xr:uid="{49577FFC-DEAB-4E69-AAA9-9152F2513FDA}"/>
    <cellStyle name="60% - Accent1 13 4" xfId="36450" xr:uid="{229EC5B8-1DC9-4D5A-86E6-9C0E108FC5DA}"/>
    <cellStyle name="60% - Accent1 13 5" xfId="36736" xr:uid="{02DBFCF9-F1CA-42EC-BB38-7C2FD6FD24C9}"/>
    <cellStyle name="60% - Accent1 13 6" xfId="37621" xr:uid="{F5363F1A-C23E-4AB4-AF7C-9EC00CAFBC5C}"/>
    <cellStyle name="60% - Accent1 14" xfId="34921" xr:uid="{0DAA5254-9AFD-4C24-833C-8305905DBD2A}"/>
    <cellStyle name="60% - Accent1 14 2" xfId="36466" xr:uid="{70F44A17-0896-47B0-83C0-5FC469395E72}"/>
    <cellStyle name="60% - Accent1 14 3" xfId="36764" xr:uid="{A6EABBCE-AC38-416D-9CF1-99AD7D8497B0}"/>
    <cellStyle name="60% - Accent1 14 4" xfId="37649" xr:uid="{30BD245B-7822-4CBA-A700-D91F3965F392}"/>
    <cellStyle name="60% - Accent1 15" xfId="35136" xr:uid="{DBB35292-C63F-400D-95DB-B639CF9368FB}"/>
    <cellStyle name="60% - Accent1 15 2" xfId="36475" xr:uid="{856704E9-7F34-4842-ACD7-D0E779B21D38}"/>
    <cellStyle name="60% - Accent1 15 3" xfId="36773" xr:uid="{8068A7D2-1C93-465C-83EC-F8869CA1436F}"/>
    <cellStyle name="60% - Accent1 15 4" xfId="37661" xr:uid="{0522838F-BB00-407C-A963-5455429E7C88}"/>
    <cellStyle name="60% - Accent1 16" xfId="35355" xr:uid="{B2336141-5147-4C17-B8B5-4372F376B3CB}"/>
    <cellStyle name="60% - Accent1 16 2" xfId="36493" xr:uid="{B85C5F3B-EDD0-4343-B561-0E954CA87D35}"/>
    <cellStyle name="60% - Accent1 16 3" xfId="36791" xr:uid="{C6E833D3-F561-4F06-9F84-987367050F2E}"/>
    <cellStyle name="60% - Accent1 16 4" xfId="37680" xr:uid="{4AEB49E1-039E-41AA-A5AA-90BBD39AAF28}"/>
    <cellStyle name="60% - Accent1 17" xfId="35642" xr:uid="{D1F61CEF-36C8-4842-ABB0-445F633F8302}"/>
    <cellStyle name="60% - Accent1 17 2" xfId="36810" xr:uid="{F4883815-8885-4235-BED9-2EF05F35CC08}"/>
    <cellStyle name="60% - Accent1 17 3" xfId="37700" xr:uid="{F7D926AF-DDFC-4FAD-8F0F-DE90A85D9768}"/>
    <cellStyle name="60% - Accent1 18" xfId="35660" xr:uid="{679E5DDC-2B46-4153-86F9-E0B7C43E4490}"/>
    <cellStyle name="60% - Accent1 18 2" xfId="36829" xr:uid="{134DFEE9-9C33-4AFD-8130-DF3ACC8639C6}"/>
    <cellStyle name="60% - Accent1 18 3" xfId="37719" xr:uid="{5AC43CDC-78FF-4A1B-8E15-29532E73D76E}"/>
    <cellStyle name="60% - Accent1 19" xfId="35679" xr:uid="{9EEBF25E-910B-4DBE-AA6F-28C3F19EB930}"/>
    <cellStyle name="60% - Accent1 19 2" xfId="36848" xr:uid="{05D7D6D2-37CB-4AD0-876A-EE4DDD3466B3}"/>
    <cellStyle name="60% - Accent1 19 3" xfId="37738" xr:uid="{9CA20F66-96C8-4CEE-AD81-9336479C0119}"/>
    <cellStyle name="60% - Accent1 2" xfId="64" xr:uid="{E32910DD-CDF9-4EFE-9E54-755FFE873389}"/>
    <cellStyle name="60% - Accent1 2 10" xfId="36534" xr:uid="{9E8180AF-8A52-49B7-B205-81812543B551}"/>
    <cellStyle name="60% - Accent1 2 11" xfId="37419" xr:uid="{362A49E3-6A75-4D86-9A72-00868B14E9BA}"/>
    <cellStyle name="60% - Accent1 2 2" xfId="79" xr:uid="{A12DEDC1-40C7-478F-92F0-5620755DB375}"/>
    <cellStyle name="60% - Accent1 2 3" xfId="140" xr:uid="{071F7A38-8F3F-4D8E-BD1A-144889E773D5}"/>
    <cellStyle name="60% - Accent1 2 4" xfId="201" xr:uid="{50F398F2-D970-4678-8636-4A1ED533CE5B}"/>
    <cellStyle name="60% - Accent1 2 5" xfId="34426" xr:uid="{0C96DC1E-DA5E-4764-BCB8-26A8D061AE39}"/>
    <cellStyle name="60% - Accent1 2 5 2" xfId="34752" xr:uid="{C16A5048-AE82-45D3-AEAF-CFE1E5D0F4EC}"/>
    <cellStyle name="60% - Accent1 2 6" xfId="23851" xr:uid="{E0105C48-A814-459F-AA5D-85EA699EB0E7}"/>
    <cellStyle name="60% - Accent1 2 6 2" xfId="34942" xr:uid="{A92315D8-A3AD-4E08-8621-70B5477BAB35}"/>
    <cellStyle name="60% - Accent1 2 7" xfId="35147" xr:uid="{0CF7D5F6-72DA-403C-906D-C12787D2C401}"/>
    <cellStyle name="60% - Accent1 2 8" xfId="35376" xr:uid="{1AA6A1D4-42E3-434F-A820-30ED7F1DC835}"/>
    <cellStyle name="60% - Accent1 2 9" xfId="36248" xr:uid="{5E6F70CB-3C41-487A-9742-BADD73CAA5BE}"/>
    <cellStyle name="60% - Accent1 20" xfId="35698" xr:uid="{1D271DAC-FB30-4AC0-87F3-2D6AEC3CFC36}"/>
    <cellStyle name="60% - Accent1 20 2" xfId="36867" xr:uid="{F08402D0-0E37-4FD6-9229-42B8C208C2DC}"/>
    <cellStyle name="60% - Accent1 20 3" xfId="37758" xr:uid="{98D6B39B-770E-49D9-9F3B-9BA0E3FD9DB9}"/>
    <cellStyle name="60% - Accent1 21" xfId="35717" xr:uid="{8A26DE06-2F46-4DBC-B67D-7A1C56F1A15F}"/>
    <cellStyle name="60% - Accent1 21 2" xfId="36887" xr:uid="{AF027657-9A53-4B05-868C-1A72A78EC741}"/>
    <cellStyle name="60% - Accent1 21 3" xfId="37778" xr:uid="{BE35D1EF-779A-4FF5-BA3A-DBB741A2D08D}"/>
    <cellStyle name="60% - Accent1 22" xfId="35736" xr:uid="{0B548526-E8D2-4D7C-873A-F3BC8A57A887}"/>
    <cellStyle name="60% - Accent1 22 2" xfId="36907" xr:uid="{9C47F850-64DD-420E-86B5-0944416E2A03}"/>
    <cellStyle name="60% - Accent1 22 3" xfId="37798" xr:uid="{D1001266-F11B-4CB0-8B11-06E3369052D7}"/>
    <cellStyle name="60% - Accent1 23" xfId="35756" xr:uid="{DA26C31C-1092-4312-85D1-65C035A7584E}"/>
    <cellStyle name="60% - Accent1 23 2" xfId="36926" xr:uid="{E00CAA8D-D024-4C26-96AE-D92BBEF6DA33}"/>
    <cellStyle name="60% - Accent1 23 3" xfId="37818" xr:uid="{1F1DE7F9-2D4D-495C-8BFD-5FF67B5F40C4}"/>
    <cellStyle name="60% - Accent1 24" xfId="35776" xr:uid="{DB0C9BCD-2F05-4C59-BC0E-D21395910D98}"/>
    <cellStyle name="60% - Accent1 24 2" xfId="36945" xr:uid="{CBBEEBE0-9AA6-4753-971B-6286B058519E}"/>
    <cellStyle name="60% - Accent1 24 3" xfId="37838" xr:uid="{C7A24EC2-4CD6-4679-9526-48796FEAB1D5}"/>
    <cellStyle name="60% - Accent1 25" xfId="35795" xr:uid="{7313D9C4-8D8C-49D4-92DC-24AAD3DCC123}"/>
    <cellStyle name="60% - Accent1 25 2" xfId="36965" xr:uid="{653C4941-3219-42C4-BE8C-B9E7942E9219}"/>
    <cellStyle name="60% - Accent1 25 3" xfId="37858" xr:uid="{952496D6-6B3E-4CF8-974D-E478485C1789}"/>
    <cellStyle name="60% - Accent1 26" xfId="35814" xr:uid="{A3746846-8D73-4400-A999-87BDA7FB74C2}"/>
    <cellStyle name="60% - Accent1 26 2" xfId="36985" xr:uid="{87EF5204-E141-4C73-983E-9FA7CE90DBA7}"/>
    <cellStyle name="60% - Accent1 26 3" xfId="37878" xr:uid="{99EC089D-B31E-4E72-8D8E-978EF1300E8A}"/>
    <cellStyle name="60% - Accent1 27" xfId="35833" xr:uid="{92362015-9221-4072-A9A2-60B65EEBE0A9}"/>
    <cellStyle name="60% - Accent1 27 2" xfId="37005" xr:uid="{9B457368-C536-4C21-983E-D661C81C51B8}"/>
    <cellStyle name="60% - Accent1 27 3" xfId="37898" xr:uid="{772C1F49-D182-4515-A147-0978CB855A49}"/>
    <cellStyle name="60% - Accent1 28" xfId="35852" xr:uid="{CD286ABE-D0B2-47C8-835A-D13DBCF85377}"/>
    <cellStyle name="60% - Accent1 28 2" xfId="37025" xr:uid="{2BDC6E74-AEE2-41ED-9DE8-9BB65A95FEA1}"/>
    <cellStyle name="60% - Accent1 28 3" xfId="37918" xr:uid="{3C4017C7-A16F-48CD-A316-1E008AD998E4}"/>
    <cellStyle name="60% - Accent1 29" xfId="35881" xr:uid="{E5A3D70E-24CB-499B-B18F-359AB996E5D9}"/>
    <cellStyle name="60% - Accent1 29 2" xfId="37053" xr:uid="{D38C1CBB-7858-46F0-AACB-294A753F7BF9}"/>
    <cellStyle name="60% - Accent1 29 3" xfId="37947" xr:uid="{8F87649C-648F-4A5C-894B-C32D0315876D}"/>
    <cellStyle name="60% - Accent1 3" xfId="99" xr:uid="{5CF5DBE1-F427-4301-B3F3-B327243D7EEC}"/>
    <cellStyle name="60% - Accent1 3 10" xfId="37438" xr:uid="{631C726F-9991-4269-BDB4-C24594B2B21A}"/>
    <cellStyle name="60% - Accent1 3 2" xfId="160" xr:uid="{E2002323-D7D9-4E48-B64D-F2F71355DA21}"/>
    <cellStyle name="60% - Accent1 3 3" xfId="221" xr:uid="{FEAAE51E-73C6-466F-81C9-B893377B0AFE}"/>
    <cellStyle name="60% - Accent1 3 4" xfId="34453" xr:uid="{9DC4A0F3-9A29-462C-A2D9-3C685C28BAFC}"/>
    <cellStyle name="60% - Accent1 3 5" xfId="17798" xr:uid="{2A44A80E-DE23-42C0-B06A-CB1D6CE4B3E8}"/>
    <cellStyle name="60% - Accent1 3 5 2" xfId="34961" xr:uid="{194F6EF0-00A2-4687-BB43-94DC9EC47D23}"/>
    <cellStyle name="60% - Accent1 3 6" xfId="35166" xr:uid="{B059AA4C-24DB-4456-BAE8-3603195928E1}"/>
    <cellStyle name="60% - Accent1 3 7" xfId="35395" xr:uid="{184BF181-0F7E-4EC6-9F5E-75CF136BA1E9}"/>
    <cellStyle name="60% - Accent1 3 8" xfId="36267" xr:uid="{2CE2DA73-D3D0-4ECC-B9BB-53F899A958C7}"/>
    <cellStyle name="60% - Accent1 3 9" xfId="36553" xr:uid="{BA6A6DB3-6B8D-4672-9663-E277AC8AB2B4}"/>
    <cellStyle name="60% - Accent1 30" xfId="35892" xr:uid="{7A8B7DD0-883C-487D-A387-FC5CA127A0A8}"/>
    <cellStyle name="60% - Accent1 30 2" xfId="37064" xr:uid="{ED8B3798-42EB-4031-A3FE-57B226AA3258}"/>
    <cellStyle name="60% - Accent1 30 3" xfId="37959" xr:uid="{854B2EFD-6C0D-4694-A0F2-9BE5B2C2A116}"/>
    <cellStyle name="60% - Accent1 31" xfId="35912" xr:uid="{FBBCFE32-D938-4334-A492-98271EAA4181}"/>
    <cellStyle name="60% - Accent1 31 2" xfId="37083" xr:uid="{ADC8D059-C334-49E3-B3F3-479D7F13E732}"/>
    <cellStyle name="60% - Accent1 31 3" xfId="37979" xr:uid="{AB958060-724A-4B43-AF2B-E0640FC2C517}"/>
    <cellStyle name="60% - Accent1 32" xfId="35932" xr:uid="{C61135D2-18CA-450C-B4C1-1FF0EF4B05EC}"/>
    <cellStyle name="60% - Accent1 32 2" xfId="37102" xr:uid="{1CB037E5-B747-402F-865D-5F37152B2401}"/>
    <cellStyle name="60% - Accent1 32 3" xfId="37999" xr:uid="{9BA24F7D-7CD7-49DB-819B-BE400413E96A}"/>
    <cellStyle name="60% - Accent1 33" xfId="35952" xr:uid="{6FC260C8-4199-45EF-9042-028B5CBFA7EC}"/>
    <cellStyle name="60% - Accent1 33 2" xfId="37121" xr:uid="{3B012507-4FAF-45CA-A2D0-B989B6E17493}"/>
    <cellStyle name="60% - Accent1 33 3" xfId="38019" xr:uid="{BF08FF89-0C65-4155-9A92-E73D58F49D75}"/>
    <cellStyle name="60% - Accent1 34" xfId="35972" xr:uid="{0D0E8169-D1BC-49C8-84F4-7C622D346866}"/>
    <cellStyle name="60% - Accent1 34 2" xfId="37141" xr:uid="{BA2245F6-CE86-4ACA-A0CD-044FDBE4C95C}"/>
    <cellStyle name="60% - Accent1 34 3" xfId="38039" xr:uid="{42401AB6-78D1-431E-85DE-DE69067AF152}"/>
    <cellStyle name="60% - Accent1 35" xfId="35992" xr:uid="{ECDAFB45-DFD0-429A-8770-4A94B122F14A}"/>
    <cellStyle name="60% - Accent1 35 2" xfId="37161" xr:uid="{039D5D3A-03D5-4404-8A42-FB12C895EE36}"/>
    <cellStyle name="60% - Accent1 35 3" xfId="38059" xr:uid="{1AE3E5A1-DF18-4EB3-B1B9-FB899C62E3A9}"/>
    <cellStyle name="60% - Accent1 36" xfId="36012" xr:uid="{C9D8B346-E01B-4E0A-A611-23B735B4B281}"/>
    <cellStyle name="60% - Accent1 36 2" xfId="37181" xr:uid="{A3AE94A8-F4E7-4B7B-89C0-26449CA3B488}"/>
    <cellStyle name="60% - Accent1 36 3" xfId="38079" xr:uid="{E00879FE-7B19-4E54-877D-8DDC58F30F37}"/>
    <cellStyle name="60% - Accent1 37" xfId="36032" xr:uid="{E68DD2B1-10E5-4A89-B71C-F499B6811E4B}"/>
    <cellStyle name="60% - Accent1 37 2" xfId="37201" xr:uid="{551EAA4C-F625-440A-BFE6-82EEA7534CD0}"/>
    <cellStyle name="60% - Accent1 37 3" xfId="38099" xr:uid="{9909E69B-0D60-47A0-A317-5F18E30B9B5A}"/>
    <cellStyle name="60% - Accent1 38" xfId="36052" xr:uid="{394F6FF3-54C3-4D85-A736-891CC932A3E5}"/>
    <cellStyle name="60% - Accent1 38 2" xfId="37221" xr:uid="{AB59FCA0-5961-4F3B-9FBD-20AAA8CEC4CF}"/>
    <cellStyle name="60% - Accent1 38 3" xfId="38119" xr:uid="{D46EEB27-1332-4CD4-B458-963728CFFBE8}"/>
    <cellStyle name="60% - Accent1 39" xfId="36072" xr:uid="{A58E91AF-4CE7-4E28-9945-1BC04A9FB136}"/>
    <cellStyle name="60% - Accent1 39 2" xfId="37241" xr:uid="{EFB9EC3A-8AD9-4321-972C-AEDAA39D25C5}"/>
    <cellStyle name="60% - Accent1 39 3" xfId="38139" xr:uid="{145F3E3F-DB83-4347-9B38-CC10568F51C8}"/>
    <cellStyle name="60% - Accent1 4" xfId="118" xr:uid="{CA13B01B-62C3-4B04-9CB4-58AEC52713D1}"/>
    <cellStyle name="60% - Accent1 4 2" xfId="241" xr:uid="{5C89B167-E88F-4BF4-8B16-719B3DC85B11}"/>
    <cellStyle name="60% - Accent1 4 3" xfId="34472" xr:uid="{04204FE0-905B-4DBB-BCBB-451FCFE5F707}"/>
    <cellStyle name="60% - Accent1 4 4" xfId="17790" xr:uid="{AAAD51FB-5E33-438F-A06F-10F166C35F8A}"/>
    <cellStyle name="60% - Accent1 4 4 2" xfId="34980" xr:uid="{86E1CCFD-B085-4C6A-8B25-E8508DB026E4}"/>
    <cellStyle name="60% - Accent1 4 5" xfId="35185" xr:uid="{E84D6C94-9E94-4573-B98F-BE8ED00972C3}"/>
    <cellStyle name="60% - Accent1 4 6" xfId="35414" xr:uid="{F66A8923-CDF9-44D1-8558-E6D48DDA6FEF}"/>
    <cellStyle name="60% - Accent1 4 7" xfId="36286" xr:uid="{EBE1D559-9657-42AA-A0CF-F04149294FEC}"/>
    <cellStyle name="60% - Accent1 4 8" xfId="36572" xr:uid="{58DCA1AD-3A7E-4ECF-A77C-C139ADC49936}"/>
    <cellStyle name="60% - Accent1 4 9" xfId="37457" xr:uid="{DC980E03-8AB7-4628-8635-B9A1E1BF8ED5}"/>
    <cellStyle name="60% - Accent1 40" xfId="36092" xr:uid="{CD0D5D8D-5166-480C-923C-166573C8029E}"/>
    <cellStyle name="60% - Accent1 40 2" xfId="37261" xr:uid="{306CB84E-FE6C-4C88-93DC-0019DFEE8FDC}"/>
    <cellStyle name="60% - Accent1 40 3" xfId="38159" xr:uid="{9601210F-D113-45D6-A4FC-9958A235ABBC}"/>
    <cellStyle name="60% - Accent1 41" xfId="36112" xr:uid="{8F2AB8EF-3A5B-4D0A-896C-331A3EF4AB39}"/>
    <cellStyle name="60% - Accent1 41 2" xfId="37281" xr:uid="{7D0F77FE-8142-4A63-9A6E-2F1DB5A29871}"/>
    <cellStyle name="60% - Accent1 41 3" xfId="38179" xr:uid="{A99ADFA2-85C0-4328-A5CB-2E568C5A859B}"/>
    <cellStyle name="60% - Accent1 42" xfId="36132" xr:uid="{C5C47B2D-DE74-4669-8710-8EBAEEB92254}"/>
    <cellStyle name="60% - Accent1 42 2" xfId="37301" xr:uid="{4E7D794B-AF5F-4889-8E22-82C4000FF6D6}"/>
    <cellStyle name="60% - Accent1 42 3" xfId="38199" xr:uid="{FC446CE1-F3F6-47D1-AE61-FA890FB78995}"/>
    <cellStyle name="60% - Accent1 43" xfId="36152" xr:uid="{15F72112-02B8-4384-8731-BA5731A8EA3D}"/>
    <cellStyle name="60% - Accent1 43 2" xfId="37321" xr:uid="{07A0D8B4-059F-4604-986F-E4D064FE29AF}"/>
    <cellStyle name="60% - Accent1 43 3" xfId="38219" xr:uid="{F5AFE936-1290-4367-AE4C-507BAAC380BE}"/>
    <cellStyle name="60% - Accent1 44" xfId="36172" xr:uid="{479BBE63-EEFB-49AC-BB84-2BFEF3E65507}"/>
    <cellStyle name="60% - Accent1 44 2" xfId="37341" xr:uid="{F36C9D3B-EBC8-4943-9D0B-24D05C7774A2}"/>
    <cellStyle name="60% - Accent1 44 3" xfId="38239" xr:uid="{640FF6A0-E0FD-4FD0-874F-3F788C7F3EB2}"/>
    <cellStyle name="60% - Accent1 45" xfId="36192" xr:uid="{86937B77-F644-4104-917D-35CAE22CF703}"/>
    <cellStyle name="60% - Accent1 45 2" xfId="37361" xr:uid="{A61C2B4A-4658-4FEF-B8C8-03FA68AC097A}"/>
    <cellStyle name="60% - Accent1 45 3" xfId="38259" xr:uid="{054E42A8-A6D4-4ACB-BECE-DDE63ABBA085}"/>
    <cellStyle name="60% - Accent1 46" xfId="36212" xr:uid="{8DCD1723-E0AF-4EEB-B033-0687F474BF44}"/>
    <cellStyle name="60% - Accent1 46 2" xfId="37379" xr:uid="{C5E3BB32-F57A-43E9-8796-96FEC4E1CE3A}"/>
    <cellStyle name="60% - Accent1 46 3" xfId="38279" xr:uid="{67E76E65-84D3-4FCA-86BC-B0A7870FAE49}"/>
    <cellStyle name="60% - Accent1 47" xfId="36513" xr:uid="{8489B3D5-CF43-40B0-BEF6-CAD222189324}"/>
    <cellStyle name="60% - Accent1 48" xfId="37398" xr:uid="{989D6238-1A0E-4F26-A567-8ACEDC3ACDEA}"/>
    <cellStyle name="60% - Accent1 5" xfId="261" xr:uid="{0694F814-03B9-4724-AC02-3AE60C78FA33}"/>
    <cellStyle name="60% - Accent1 5 2" xfId="34797" xr:uid="{2DDDD6FB-9E64-463B-8248-D9F7EBEC9846}"/>
    <cellStyle name="60% - Accent1 5 3" xfId="34999" xr:uid="{57152CC2-000C-47EF-AD78-79DE2E6D6DAA}"/>
    <cellStyle name="60% - Accent1 5 4" xfId="35205" xr:uid="{05A5DA48-3578-4029-9551-D37AC12B10A7}"/>
    <cellStyle name="60% - Accent1 5 5" xfId="35434" xr:uid="{8B0FE5A5-8489-41D8-A587-43B216DC8CC0}"/>
    <cellStyle name="60% - Accent1 5 6" xfId="36306" xr:uid="{8D39F0B3-1BA0-40F9-A58C-183431168198}"/>
    <cellStyle name="60% - Accent1 5 7" xfId="36592" xr:uid="{BB702147-C4DD-4DDB-84B8-F843FE1A984F}"/>
    <cellStyle name="60% - Accent1 5 8" xfId="37477" xr:uid="{9848D680-7032-4835-8B4A-881E85F64BEC}"/>
    <cellStyle name="60% - Accent1 6" xfId="281" xr:uid="{9B146A9B-AA0F-4E3E-BB33-48ABF8D48B37}"/>
    <cellStyle name="60% - Accent1 6 2" xfId="34816" xr:uid="{F35FD5EB-9148-48E0-AF65-CB8FBAF7281F}"/>
    <cellStyle name="60% - Accent1 6 3" xfId="35018" xr:uid="{2C6C8712-F4F1-4208-9825-9AA0F18925A8}"/>
    <cellStyle name="60% - Accent1 6 4" xfId="35224" xr:uid="{0E60AA1F-C30B-4A18-8F2B-5DC77C9413C8}"/>
    <cellStyle name="60% - Accent1 6 5" xfId="35453" xr:uid="{54B019E5-59D8-4F14-A057-6F4F9E8FD402}"/>
    <cellStyle name="60% - Accent1 6 6" xfId="36325" xr:uid="{3900F695-36B0-49AD-A830-1175EC989237}"/>
    <cellStyle name="60% - Accent1 6 7" xfId="36611" xr:uid="{07C9772C-827A-436F-8052-08F818CB26A9}"/>
    <cellStyle name="60% - Accent1 6 8" xfId="37493" xr:uid="{B33C7D07-9BB1-4A6B-AA58-69877AF5870A}"/>
    <cellStyle name="60% - Accent1 7" xfId="301" xr:uid="{BC0D956E-5754-4776-BAE0-993B69384B5B}"/>
    <cellStyle name="60% - Accent1 7 2" xfId="34835" xr:uid="{B226A983-60B3-48C3-ACA4-22E04A1B9220}"/>
    <cellStyle name="60% - Accent1 7 3" xfId="35037" xr:uid="{6A748A2F-8024-4726-A954-D286AEAB9B48}"/>
    <cellStyle name="60% - Accent1 7 4" xfId="35244" xr:uid="{1EAC9772-E35A-4459-BE46-A395D0407D6A}"/>
    <cellStyle name="60% - Accent1 7 5" xfId="35473" xr:uid="{439D508B-CF14-49C2-AF05-57B502CA3388}"/>
    <cellStyle name="60% - Accent1 7 6" xfId="36345" xr:uid="{3345EABB-F7E4-4ABD-B40B-D946F8D75F58}"/>
    <cellStyle name="60% - Accent1 7 7" xfId="36628" xr:uid="{CBC08E6F-7C8E-48D6-BD22-D3EDF58C4AC5}"/>
    <cellStyle name="60% - Accent1 7 8" xfId="37503" xr:uid="{D6C344FB-F86D-46F8-9E5A-9830B21E3000}"/>
    <cellStyle name="60% - Accent1 8" xfId="321" xr:uid="{0B2A8645-2921-4075-BED5-6195525F2E24}"/>
    <cellStyle name="60% - Accent1 8 2" xfId="34854" xr:uid="{EAFE09C8-8368-437C-9079-E99C1ABB2FBE}"/>
    <cellStyle name="60% - Accent1 8 3" xfId="35056" xr:uid="{ED8078B7-4DAA-4B42-B50B-28FF06FDD9CE}"/>
    <cellStyle name="60% - Accent1 8 4" xfId="35263" xr:uid="{E613BF14-3CA5-48D7-B3DD-558D615481E6}"/>
    <cellStyle name="60% - Accent1 8 5" xfId="35492" xr:uid="{57E9419D-3A13-4DB0-A28F-E550ABF69C23}"/>
    <cellStyle name="60% - Accent1 8 6" xfId="36361" xr:uid="{53F78B2E-57EB-4CBD-9844-5444C7A062A1}"/>
    <cellStyle name="60% - Accent1 8 7" xfId="36637" xr:uid="{AF5907F1-B064-4A29-8734-002D4C7848B6}"/>
    <cellStyle name="60% - Accent1 8 8" xfId="37522" xr:uid="{5F873DF6-AFF4-417B-ABC4-7C9C7785398C}"/>
    <cellStyle name="60% - Accent1 9" xfId="341" xr:uid="{19CF0E92-8C9F-4E47-A385-D0C7839DD57A}"/>
    <cellStyle name="60% - Accent1 9 2" xfId="34874" xr:uid="{40EED65A-0A6F-4685-86BC-A5F72E9FC9E8}"/>
    <cellStyle name="60% - Accent1 9 3" xfId="35075" xr:uid="{013DF679-B7C8-400F-B015-B5B5EA4D6A20}"/>
    <cellStyle name="60% - Accent1 9 4" xfId="35283" xr:uid="{F63976B5-3F83-448A-88FD-4DAFD5EFB9A5}"/>
    <cellStyle name="60% - Accent1 9 5" xfId="35509" xr:uid="{FF87297E-F9C1-48BB-8721-82CEC03237D9}"/>
    <cellStyle name="60% - Accent1 9 6" xfId="36371" xr:uid="{77F3EBBF-1A35-4D5E-809C-AD6A43B0C2E9}"/>
    <cellStyle name="60% - Accent1 9 7" xfId="36657" xr:uid="{78719BF5-BD47-4376-A362-19D843C8EADC}"/>
    <cellStyle name="60% - Accent1 9 8" xfId="37542" xr:uid="{8AA298A3-B7E8-4D95-9FFB-68CA2250D021}"/>
    <cellStyle name="60% - Accent2" xfId="28" builtinId="36" customBuiltin="1"/>
    <cellStyle name="60% - Accent2 10" xfId="182" xr:uid="{800BC77F-8F72-4496-8E60-4801DB8FC1CE}"/>
    <cellStyle name="60% - Accent2 10 2" xfId="34895" xr:uid="{856C98BA-E259-49C0-B38F-43DF30CDDE96}"/>
    <cellStyle name="60% - Accent2 10 3" xfId="35097" xr:uid="{9B6A6A5C-191A-4376-B58A-6577E47176BC}"/>
    <cellStyle name="60% - Accent2 10 4" xfId="35301" xr:uid="{8F3C8E71-52AB-4A30-B730-0BA0ED592E9E}"/>
    <cellStyle name="60% - Accent2 10 5" xfId="35520" xr:uid="{A1568D49-77BF-440E-969B-DF8A397A1E34}"/>
    <cellStyle name="60% - Accent2 10 6" xfId="36393" xr:uid="{C1D5E806-4F88-4778-9E7E-717C3DA95C0E}"/>
    <cellStyle name="60% - Accent2 10 7" xfId="36679" xr:uid="{045B37E6-41DB-4687-B459-9AD9E80D32F5}"/>
    <cellStyle name="60% - Accent2 10 8" xfId="37564" xr:uid="{EE5CC231-E466-4D15-8E9D-AD1B6CC406A3}"/>
    <cellStyle name="60% - Accent2 11" xfId="34659" xr:uid="{EAF308CD-5147-4D6C-8EDF-6B0AE929E383}"/>
    <cellStyle name="60% - Accent2 11 2" xfId="35116" xr:uid="{26C1F277-E763-4ADD-A17C-7FF50387EFD4}"/>
    <cellStyle name="60% - Accent2 11 3" xfId="35308" xr:uid="{69EED809-1D37-4A5D-8A35-7F109279126F}"/>
    <cellStyle name="60% - Accent2 11 4" xfId="35540" xr:uid="{99AFD0B6-C2EC-418E-9F6F-16184E8831DF}"/>
    <cellStyle name="60% - Accent2 11 5" xfId="36413" xr:uid="{2A368811-F24C-4435-A284-6FB91479F538}"/>
    <cellStyle name="60% - Accent2 11 6" xfId="36699" xr:uid="{75C102F3-A434-4FC7-BE40-417576250F8D}"/>
    <cellStyle name="60% - Accent2 11 7" xfId="37584" xr:uid="{FB2C7417-C3DF-4F4A-87A5-A9B905DBDE1D}"/>
    <cellStyle name="60% - Accent2 12" xfId="34706" xr:uid="{A4070E2E-A822-4067-9A8B-5799BD8124D7}"/>
    <cellStyle name="60% - Accent2 12 2" xfId="35130" xr:uid="{35BF5B10-EA4E-4CBF-8E28-7A838FE24714}"/>
    <cellStyle name="60% - Accent2 12 3" xfId="35319" xr:uid="{43A0A4BB-C691-4DAA-B8C1-BCAD2742467E}"/>
    <cellStyle name="60% - Accent2 12 4" xfId="35559" xr:uid="{9A0D8F69-E49B-4E98-AE32-29014FCD6C2D}"/>
    <cellStyle name="60% - Accent2 12 5" xfId="36432" xr:uid="{6C67E68D-3E88-48FE-961B-256CBB89C784}"/>
    <cellStyle name="60% - Accent2 12 6" xfId="36718" xr:uid="{B2AB7167-B140-483A-8F88-8258D7CEA2D0}"/>
    <cellStyle name="60% - Accent2 12 7" xfId="37603" xr:uid="{10693F2A-0548-4472-8FD8-C53C8F339ED3}"/>
    <cellStyle name="60% - Accent2 13" xfId="34734" xr:uid="{D6E6B379-9D5A-4B3F-88F3-AAF9026FF11E}"/>
    <cellStyle name="60% - Accent2 13 2" xfId="35335" xr:uid="{66815BE9-4DD2-4730-BC96-9ABFCC71B517}"/>
    <cellStyle name="60% - Accent2 13 3" xfId="35578" xr:uid="{0DB3176A-C2ED-4242-8057-1F9FA0E633CA}"/>
    <cellStyle name="60% - Accent2 13 4" xfId="36453" xr:uid="{5E05CCFB-FE33-4A91-8AB4-B8EF80DE46B7}"/>
    <cellStyle name="60% - Accent2 13 5" xfId="36739" xr:uid="{90070194-E26E-47F4-A746-9840ADCED1F9}"/>
    <cellStyle name="60% - Accent2 13 6" xfId="37624" xr:uid="{D0787900-2D05-4866-9F40-4F72E6DEE053}"/>
    <cellStyle name="60% - Accent2 14" xfId="34924" xr:uid="{A3F2D1E4-9A85-4D3E-851C-C0277BB20507}"/>
    <cellStyle name="60% - Accent2 14 2" xfId="36467" xr:uid="{96D6F667-96D4-4136-8C38-364E88C7EB64}"/>
    <cellStyle name="60% - Accent2 14 3" xfId="36765" xr:uid="{1BD84BB7-0EEB-42D0-BF69-00F03D751CFD}"/>
    <cellStyle name="60% - Accent2 14 4" xfId="37650" xr:uid="{BC6F4D6E-BD0C-4EA9-AEDE-BBA65E2593CE}"/>
    <cellStyle name="60% - Accent2 15" xfId="35137" xr:uid="{37B67C65-F1BD-487F-9EDA-52310DA87F91}"/>
    <cellStyle name="60% - Accent2 15 2" xfId="36478" xr:uid="{F3928F5B-8E0B-4125-965D-C73588574107}"/>
    <cellStyle name="60% - Accent2 15 3" xfId="36776" xr:uid="{A096669D-DD32-482E-A16E-C43D2B10D243}"/>
    <cellStyle name="60% - Accent2 15 4" xfId="37664" xr:uid="{E810BFA9-749A-4CAD-8051-2D5AC5D9605D}"/>
    <cellStyle name="60% - Accent2 16" xfId="35358" xr:uid="{120DB83A-3595-495F-9B4D-42E03CE3630C}"/>
    <cellStyle name="60% - Accent2 16 2" xfId="36496" xr:uid="{E8E886D7-53B6-4717-9407-E5DCD7D71AF1}"/>
    <cellStyle name="60% - Accent2 16 3" xfId="36794" xr:uid="{D26AB6BA-B8A4-4CA0-9FA4-56AEFEFB30FA}"/>
    <cellStyle name="60% - Accent2 16 4" xfId="37683" xr:uid="{2E7A5ED3-D837-4EDB-9E00-181FE9BFD14F}"/>
    <cellStyle name="60% - Accent2 17" xfId="35645" xr:uid="{B8B09CCE-EE51-4AE4-9433-CC6DAE06DAE0}"/>
    <cellStyle name="60% - Accent2 17 2" xfId="36813" xr:uid="{51B4B3C9-82F7-4FF8-BBD7-A573A88F3F74}"/>
    <cellStyle name="60% - Accent2 17 3" xfId="37703" xr:uid="{8147CFE4-5F87-40EB-A7C3-A58491023C01}"/>
    <cellStyle name="60% - Accent2 18" xfId="35663" xr:uid="{3A60F555-04DC-47B1-A7A0-B9060CA7D244}"/>
    <cellStyle name="60% - Accent2 18 2" xfId="36832" xr:uid="{92BCD92F-5254-4CA6-9BC7-687C5FF8ED00}"/>
    <cellStyle name="60% - Accent2 18 3" xfId="37722" xr:uid="{B3E3C556-4D55-4200-93D6-A8E53E6D729A}"/>
    <cellStyle name="60% - Accent2 19" xfId="35682" xr:uid="{8CA9F3EC-2309-46CB-A689-64BBC57BC470}"/>
    <cellStyle name="60% - Accent2 19 2" xfId="36851" xr:uid="{B5FA1F7F-DC91-45A0-B63A-FC0C3D3BD969}"/>
    <cellStyle name="60% - Accent2 19 3" xfId="37741" xr:uid="{39478999-3BB1-4BD7-B3F1-BBC4296C9989}"/>
    <cellStyle name="60% - Accent2 2" xfId="66" xr:uid="{F5BACB15-54CF-453A-9E8B-578CCCE24004}"/>
    <cellStyle name="60% - Accent2 2 10" xfId="36537" xr:uid="{5759751C-A68A-42BA-84FD-4DE3086C6F49}"/>
    <cellStyle name="60% - Accent2 2 11" xfId="37422" xr:uid="{459D4789-5932-4337-B21B-4EA555492956}"/>
    <cellStyle name="60% - Accent2 2 2" xfId="82" xr:uid="{0D9CEA1A-32A3-4977-B2F6-88EEDD578977}"/>
    <cellStyle name="60% - Accent2 2 3" xfId="143" xr:uid="{98798855-ECCD-4FDD-B2AF-076721750BAA}"/>
    <cellStyle name="60% - Accent2 2 4" xfId="204" xr:uid="{55CEB913-08EC-4088-9386-6F764E56DF28}"/>
    <cellStyle name="60% - Accent2 2 5" xfId="34428" xr:uid="{6B655C2F-955A-41C9-8CAC-12D7EAAB1F6E}"/>
    <cellStyle name="60% - Accent2 2 5 2" xfId="34755" xr:uid="{0F78C1EC-307F-4DC6-85A4-55C28B98E193}"/>
    <cellStyle name="60% - Accent2 2 6" xfId="34350" xr:uid="{09EDA452-E71F-4466-BFAE-92C327E61B9F}"/>
    <cellStyle name="60% - Accent2 2 6 2" xfId="34945" xr:uid="{3C114A79-B80B-459A-814E-D1614ECAF01C}"/>
    <cellStyle name="60% - Accent2 2 7" xfId="35150" xr:uid="{4FACF593-40FB-4BCE-8003-738EFAC54DB5}"/>
    <cellStyle name="60% - Accent2 2 8" xfId="35379" xr:uid="{05AC61C2-2BE5-4A5E-83A0-2A5CC427D7AD}"/>
    <cellStyle name="60% - Accent2 2 9" xfId="36251" xr:uid="{82C05C52-91CC-4FB8-A956-69BCED69A358}"/>
    <cellStyle name="60% - Accent2 20" xfId="35701" xr:uid="{E7B5CCD4-4569-425D-A1BF-6C5A8013D2D3}"/>
    <cellStyle name="60% - Accent2 20 2" xfId="36870" xr:uid="{1F091812-9067-41FB-B753-F4B0BE33FF9E}"/>
    <cellStyle name="60% - Accent2 20 3" xfId="37761" xr:uid="{D64DE4E4-0D00-4532-84C6-6CC58D9848DE}"/>
    <cellStyle name="60% - Accent2 21" xfId="35720" xr:uid="{EFEC2C87-6589-45CC-90CC-A46BA1EFDB71}"/>
    <cellStyle name="60% - Accent2 21 2" xfId="36890" xr:uid="{AC235754-0557-4A49-843F-C7AA1BCD3B4D}"/>
    <cellStyle name="60% - Accent2 21 3" xfId="37781" xr:uid="{3CC0A44C-FC57-4F92-9C44-F78D8E63DC02}"/>
    <cellStyle name="60% - Accent2 22" xfId="35739" xr:uid="{2F498668-59D0-4F4D-8C88-669A0D5B19A0}"/>
    <cellStyle name="60% - Accent2 22 2" xfId="36910" xr:uid="{BDF0D42A-B854-4188-8690-81D357247379}"/>
    <cellStyle name="60% - Accent2 22 3" xfId="37801" xr:uid="{9DD8FA37-F637-4466-BD09-556D5CC094F6}"/>
    <cellStyle name="60% - Accent2 23" xfId="35759" xr:uid="{B0EFE5E0-D37B-491A-9E1A-1A60466D572A}"/>
    <cellStyle name="60% - Accent2 23 2" xfId="36929" xr:uid="{4591E8BC-ED0D-4989-84A8-2F4BA387ACF1}"/>
    <cellStyle name="60% - Accent2 23 3" xfId="37821" xr:uid="{D20A4C6B-BE2E-4D4B-BF84-B792C5D6A944}"/>
    <cellStyle name="60% - Accent2 24" xfId="35779" xr:uid="{FF41A26E-FA3E-4EE9-8C70-499E8B8E27AA}"/>
    <cellStyle name="60% - Accent2 24 2" xfId="36948" xr:uid="{284E8A6D-8A9C-4895-A959-688329E1FB61}"/>
    <cellStyle name="60% - Accent2 24 3" xfId="37841" xr:uid="{75882677-5154-4B64-B82C-4DA3AEBE0EB1}"/>
    <cellStyle name="60% - Accent2 25" xfId="35798" xr:uid="{CEF0AF80-A93F-4FB3-B381-3FAD5658454E}"/>
    <cellStyle name="60% - Accent2 25 2" xfId="36968" xr:uid="{0028CD6A-5554-4931-8671-EE2D0D1C4F9E}"/>
    <cellStyle name="60% - Accent2 25 3" xfId="37861" xr:uid="{CA5429E5-3ECB-4B16-BABC-EE96E93B0AB6}"/>
    <cellStyle name="60% - Accent2 26" xfId="35817" xr:uid="{16903177-AB43-4C71-A267-9DE4E5407689}"/>
    <cellStyle name="60% - Accent2 26 2" xfId="36988" xr:uid="{17194004-4A72-488D-BCED-39C2D505B4A6}"/>
    <cellStyle name="60% - Accent2 26 3" xfId="37881" xr:uid="{7B37DA66-3044-451A-8473-9B23756B71A7}"/>
    <cellStyle name="60% - Accent2 27" xfId="35836" xr:uid="{F828C8FD-78E9-4884-A1BF-064BE05CE4A5}"/>
    <cellStyle name="60% - Accent2 27 2" xfId="37008" xr:uid="{5AEC9E00-D25A-43DE-9088-B5FDBA01C1FF}"/>
    <cellStyle name="60% - Accent2 27 3" xfId="37901" xr:uid="{D0BF3270-8725-4B6B-856D-B59B0E3EFB5F}"/>
    <cellStyle name="60% - Accent2 28" xfId="35855" xr:uid="{21EC958A-1D6A-4AA4-9F73-D2185C685D56}"/>
    <cellStyle name="60% - Accent2 28 2" xfId="37028" xr:uid="{30BED45C-ABC2-4B33-A0CB-0E795A4109F8}"/>
    <cellStyle name="60% - Accent2 28 3" xfId="37921" xr:uid="{803681FC-5EF8-4EE4-A6FC-CD0840479F0E}"/>
    <cellStyle name="60% - Accent2 29" xfId="35882" xr:uid="{BCD82437-5FD2-4F62-859D-37E5650C5123}"/>
    <cellStyle name="60% - Accent2 29 2" xfId="37054" xr:uid="{B1CC0497-EBC9-4EAD-80D5-836D06DE4A01}"/>
    <cellStyle name="60% - Accent2 29 3" xfId="37948" xr:uid="{1F4548E6-4BF9-48D7-AF07-21BDD7F886F2}"/>
    <cellStyle name="60% - Accent2 3" xfId="102" xr:uid="{253E7991-8B52-4FB0-B64D-64FC2CB0B551}"/>
    <cellStyle name="60% - Accent2 3 10" xfId="37441" xr:uid="{7373BD0B-EAF3-4F98-9034-FBC0061A77C2}"/>
    <cellStyle name="60% - Accent2 3 2" xfId="163" xr:uid="{AEA47971-6AF4-4003-B182-865E7355764D}"/>
    <cellStyle name="60% - Accent2 3 3" xfId="224" xr:uid="{CCE5B815-326E-4F0F-94A7-F94B702596E7}"/>
    <cellStyle name="60% - Accent2 3 4" xfId="34456" xr:uid="{C3A86194-E476-4E82-AA08-45ADEDDCE618}"/>
    <cellStyle name="60% - Accent2 3 5" xfId="21634" xr:uid="{10D96041-41AD-4BAF-B9A7-46834C808FB6}"/>
    <cellStyle name="60% - Accent2 3 5 2" xfId="34964" xr:uid="{E51F762C-3DFB-4D1A-9BF6-C9E0D4A05B53}"/>
    <cellStyle name="60% - Accent2 3 6" xfId="35169" xr:uid="{7C0FCD20-15A8-4E9A-A052-E1E6D011156A}"/>
    <cellStyle name="60% - Accent2 3 7" xfId="35398" xr:uid="{2D57BBCC-2707-4752-A291-AC34F03FBBE8}"/>
    <cellStyle name="60% - Accent2 3 8" xfId="36270" xr:uid="{D9A78EB5-E228-4E9A-AF4E-F07414042120}"/>
    <cellStyle name="60% - Accent2 3 9" xfId="36556" xr:uid="{40669FCC-DC8F-4509-9B86-58AC9CC1A074}"/>
    <cellStyle name="60% - Accent2 30" xfId="35895" xr:uid="{844EF389-C42C-43E2-A481-7A614CA93BF2}"/>
    <cellStyle name="60% - Accent2 30 2" xfId="37067" xr:uid="{A9236A4C-80A9-41D1-B3E0-31CA637A055D}"/>
    <cellStyle name="60% - Accent2 30 3" xfId="37962" xr:uid="{616EBA28-B55C-4BBC-AA83-CAC2EA1886F4}"/>
    <cellStyle name="60% - Accent2 31" xfId="35915" xr:uid="{4AEF0A86-5C47-4C43-9CDA-62DB6F2D982B}"/>
    <cellStyle name="60% - Accent2 31 2" xfId="37086" xr:uid="{56D95B86-6300-4112-B176-41959FC45319}"/>
    <cellStyle name="60% - Accent2 31 3" xfId="37982" xr:uid="{1757A402-91FC-4215-9C99-B71E5E074E53}"/>
    <cellStyle name="60% - Accent2 32" xfId="35935" xr:uid="{B0202A37-A7A7-4AFA-A74A-2B4509CBD4D6}"/>
    <cellStyle name="60% - Accent2 32 2" xfId="37105" xr:uid="{3252962E-D64F-44F0-BE53-201258CDCBCA}"/>
    <cellStyle name="60% - Accent2 32 3" xfId="38002" xr:uid="{D8DD7315-E1F4-442F-98A8-694D968764AE}"/>
    <cellStyle name="60% - Accent2 33" xfId="35955" xr:uid="{A10F6797-E2D1-4B5D-A180-437DC5C0207D}"/>
    <cellStyle name="60% - Accent2 33 2" xfId="37124" xr:uid="{531F6719-C7D7-4423-BF92-72FF19B0CB9C}"/>
    <cellStyle name="60% - Accent2 33 3" xfId="38022" xr:uid="{18494BB0-E621-4256-8568-B7D6FFDC59B7}"/>
    <cellStyle name="60% - Accent2 34" xfId="35975" xr:uid="{DB16CB29-4F8B-4489-BB95-E2CE5555C7F5}"/>
    <cellStyle name="60% - Accent2 34 2" xfId="37144" xr:uid="{07E7703E-4D22-49B3-A27F-0CF1E2DFCF0E}"/>
    <cellStyle name="60% - Accent2 34 3" xfId="38042" xr:uid="{0EACA017-359C-4D46-90E7-B61C03A4B2B2}"/>
    <cellStyle name="60% - Accent2 35" xfId="35995" xr:uid="{58F3B55F-50B5-4711-B408-D15768D5A712}"/>
    <cellStyle name="60% - Accent2 35 2" xfId="37164" xr:uid="{E4F7A0F5-80A6-40EB-AD53-8E9278A11CDB}"/>
    <cellStyle name="60% - Accent2 35 3" xfId="38062" xr:uid="{7A9FADC5-7861-467E-9DE5-EAC34F730894}"/>
    <cellStyle name="60% - Accent2 36" xfId="36015" xr:uid="{C01855DA-7490-4808-B46F-21EEB25D4B06}"/>
    <cellStyle name="60% - Accent2 36 2" xfId="37184" xr:uid="{9D429FB8-FDA1-4AA8-B7F9-09B834401802}"/>
    <cellStyle name="60% - Accent2 36 3" xfId="38082" xr:uid="{FCA2BBC3-51A8-46F7-AEE2-D7C134A809E4}"/>
    <cellStyle name="60% - Accent2 37" xfId="36035" xr:uid="{16F1CA61-0189-4AA6-B370-57B17A7AB452}"/>
    <cellStyle name="60% - Accent2 37 2" xfId="37204" xr:uid="{18305AE3-CB5C-4157-A9CD-8969529F8E0D}"/>
    <cellStyle name="60% - Accent2 37 3" xfId="38102" xr:uid="{EFD22A1A-18F2-4F91-A7AD-EBCC482422FC}"/>
    <cellStyle name="60% - Accent2 38" xfId="36055" xr:uid="{19EBDD0D-8463-4CCF-8AA0-6CF6DDDE6985}"/>
    <cellStyle name="60% - Accent2 38 2" xfId="37224" xr:uid="{1389DF3A-BC75-4D74-A9F2-F5840D4F5AE2}"/>
    <cellStyle name="60% - Accent2 38 3" xfId="38122" xr:uid="{95CFD9F6-6FB5-49E3-BAA5-51764863176E}"/>
    <cellStyle name="60% - Accent2 39" xfId="36075" xr:uid="{FE47CA47-2857-4D77-979E-031C9CE19C22}"/>
    <cellStyle name="60% - Accent2 39 2" xfId="37244" xr:uid="{6802F0E6-B154-478E-9342-E9F0178EF163}"/>
    <cellStyle name="60% - Accent2 39 3" xfId="38142" xr:uid="{B7F69982-0AB5-4A07-AF09-E71FDCA6D458}"/>
    <cellStyle name="60% - Accent2 4" xfId="121" xr:uid="{83224E30-9C0D-4B2B-B985-A7FFF694CFE8}"/>
    <cellStyle name="60% - Accent2 4 2" xfId="244" xr:uid="{D598ABCF-7172-47C9-8708-FFFF95716206}"/>
    <cellStyle name="60% - Accent2 4 3" xfId="34475" xr:uid="{D77AA5C6-1527-44BB-9400-599146B85104}"/>
    <cellStyle name="60% - Accent2 4 4" xfId="17615" xr:uid="{C6F8B584-3A41-4ED9-BD23-8AF0B3CBBA12}"/>
    <cellStyle name="60% - Accent2 4 4 2" xfId="34983" xr:uid="{59533B10-1535-450B-BB28-E8002B328F3D}"/>
    <cellStyle name="60% - Accent2 4 5" xfId="35188" xr:uid="{D1CE59E5-25D1-4BC9-A550-29FA0C50C339}"/>
    <cellStyle name="60% - Accent2 4 6" xfId="35417" xr:uid="{1FC47B44-6C22-4C30-AA30-9969C34D9A77}"/>
    <cellStyle name="60% - Accent2 4 7" xfId="36289" xr:uid="{CF293EB6-A55E-40CC-ADAF-8BEDA5B61611}"/>
    <cellStyle name="60% - Accent2 4 8" xfId="36575" xr:uid="{55097732-85DA-4541-B895-74E80F8B6210}"/>
    <cellStyle name="60% - Accent2 4 9" xfId="37460" xr:uid="{9B27EC52-FD48-471C-AFFE-F6399FA06861}"/>
    <cellStyle name="60% - Accent2 40" xfId="36095" xr:uid="{24161D5D-77B2-439C-94E5-D86280C77716}"/>
    <cellStyle name="60% - Accent2 40 2" xfId="37264" xr:uid="{0C5BD111-CDB5-4B7A-B0F6-80C18E98C044}"/>
    <cellStyle name="60% - Accent2 40 3" xfId="38162" xr:uid="{20ED52FA-23FB-4713-A06C-F25C9446246E}"/>
    <cellStyle name="60% - Accent2 41" xfId="36115" xr:uid="{AC603B53-A035-4885-8319-0246D7F40E79}"/>
    <cellStyle name="60% - Accent2 41 2" xfId="37284" xr:uid="{394DD2DF-CD61-40EB-98F3-2516E6E24DB7}"/>
    <cellStyle name="60% - Accent2 41 3" xfId="38182" xr:uid="{D0215547-4B57-49DC-A02E-12CCC8302C44}"/>
    <cellStyle name="60% - Accent2 42" xfId="36135" xr:uid="{45ECADA7-D1B2-4EE9-A669-FF15FD0E6C32}"/>
    <cellStyle name="60% - Accent2 42 2" xfId="37304" xr:uid="{8694E48C-BE70-4E92-A26F-45522966F3C8}"/>
    <cellStyle name="60% - Accent2 42 3" xfId="38202" xr:uid="{AE67F26A-952A-405B-A983-E89C0A0CA01A}"/>
    <cellStyle name="60% - Accent2 43" xfId="36155" xr:uid="{A8BD6696-7620-499D-909B-862FF74481F9}"/>
    <cellStyle name="60% - Accent2 43 2" xfId="37324" xr:uid="{AA353E00-C43F-48D1-A303-9BC2B2EEA1DF}"/>
    <cellStyle name="60% - Accent2 43 3" xfId="38222" xr:uid="{D4A7979E-A600-4452-93F0-ACE30C7E6F31}"/>
    <cellStyle name="60% - Accent2 44" xfId="36175" xr:uid="{B58522B8-A442-494C-ADEE-3B617AFAF748}"/>
    <cellStyle name="60% - Accent2 44 2" xfId="37344" xr:uid="{7A0AC813-F547-4C05-AD92-DE0CF3694129}"/>
    <cellStyle name="60% - Accent2 44 3" xfId="38242" xr:uid="{A6DE8E6C-E73D-427C-AA13-DA73A3531A6A}"/>
    <cellStyle name="60% - Accent2 45" xfId="36195" xr:uid="{71E6154E-191C-4EA5-BC19-95E7C7C9FBCD}"/>
    <cellStyle name="60% - Accent2 45 2" xfId="37364" xr:uid="{410EE9F6-AF7E-4C6E-ABA1-AEB1088695E3}"/>
    <cellStyle name="60% - Accent2 45 3" xfId="38262" xr:uid="{3A297FAD-7847-4673-85C0-5D14ED90AD46}"/>
    <cellStyle name="60% - Accent2 46" xfId="36215" xr:uid="{5D352D19-698C-4FBD-9C94-ACC1CCF2E946}"/>
    <cellStyle name="60% - Accent2 46 2" xfId="37382" xr:uid="{5E455791-374D-4C13-9746-C9F56D950829}"/>
    <cellStyle name="60% - Accent2 46 3" xfId="38282" xr:uid="{340BE350-64F7-4128-83DA-C9B106602A5B}"/>
    <cellStyle name="60% - Accent2 47" xfId="36516" xr:uid="{4E05AC4D-18AA-416B-8261-D7F5EC59559C}"/>
    <cellStyle name="60% - Accent2 48" xfId="37401" xr:uid="{DD142CF9-7840-43F2-8D03-92884986E288}"/>
    <cellStyle name="60% - Accent2 5" xfId="264" xr:uid="{AB886FF0-AB72-44DB-B079-413C6400EA21}"/>
    <cellStyle name="60% - Accent2 5 2" xfId="34800" xr:uid="{9704A57B-CE4D-4F70-9F94-0A48A8A65C4C}"/>
    <cellStyle name="60% - Accent2 5 3" xfId="35002" xr:uid="{1BFDEAFD-8BDD-4DEB-95A3-7F42D5D65472}"/>
    <cellStyle name="60% - Accent2 5 4" xfId="35208" xr:uid="{31C4142A-9F08-44DE-84EB-8D61DF8C84DE}"/>
    <cellStyle name="60% - Accent2 5 5" xfId="35437" xr:uid="{5E015767-E58C-4F2F-B464-9F6AE0C82CE3}"/>
    <cellStyle name="60% - Accent2 5 6" xfId="36309" xr:uid="{5E59C4C4-DADB-48AE-9A30-9029D9DDDC95}"/>
    <cellStyle name="60% - Accent2 5 7" xfId="36595" xr:uid="{5C12B5C9-8720-4483-BCA5-CA4B67DAB629}"/>
    <cellStyle name="60% - Accent2 5 8" xfId="37480" xr:uid="{7CB64488-388D-49F2-8185-CC909B9FB316}"/>
    <cellStyle name="60% - Accent2 6" xfId="284" xr:uid="{447F2646-9CDA-49E2-9E0F-2C24317D7A43}"/>
    <cellStyle name="60% - Accent2 6 2" xfId="34819" xr:uid="{FE0AA387-00C0-46C9-817C-C6250256A8BA}"/>
    <cellStyle name="60% - Accent2 6 3" xfId="35021" xr:uid="{3777A994-CD80-4BB5-9F55-7542CD8A3046}"/>
    <cellStyle name="60% - Accent2 6 4" xfId="35227" xr:uid="{265415D8-AFC6-415A-BF39-EE6E44C1E74D}"/>
    <cellStyle name="60% - Accent2 6 5" xfId="35456" xr:uid="{43C2A5BD-D618-4DA7-B692-1C1A36062E90}"/>
    <cellStyle name="60% - Accent2 6 6" xfId="36328" xr:uid="{D9ED11B0-601B-467A-B325-C49185245E31}"/>
    <cellStyle name="60% - Accent2 6 7" xfId="36614" xr:uid="{5C83901A-67AB-4ECD-8F55-99D8BED148FA}"/>
    <cellStyle name="60% - Accent2 6 8" xfId="37494" xr:uid="{D4942402-5967-4D07-B643-981297B399BF}"/>
    <cellStyle name="60% - Accent2 7" xfId="304" xr:uid="{FB0B045E-54EA-4320-8785-6F9D37D379ED}"/>
    <cellStyle name="60% - Accent2 7 2" xfId="34838" xr:uid="{0A098863-DA38-4798-8E70-1A918EF536CE}"/>
    <cellStyle name="60% - Accent2 7 3" xfId="35040" xr:uid="{EA3668E1-65CD-4DD5-8893-70E883AFB17B}"/>
    <cellStyle name="60% - Accent2 7 4" xfId="35247" xr:uid="{02C7A259-DCB9-47D5-BFDB-F567FAD4A542}"/>
    <cellStyle name="60% - Accent2 7 5" xfId="35476" xr:uid="{9FED17AD-E814-4AAA-A8E4-0B291DB3310C}"/>
    <cellStyle name="60% - Accent2 7 6" xfId="36348" xr:uid="{6F3EB2A9-7106-4C2A-ACE7-CE1FF79D9C2F}"/>
    <cellStyle name="60% - Accent2 7 7" xfId="36629" xr:uid="{3556AA5D-7F9D-4A5E-8976-D37AD44B45A6}"/>
    <cellStyle name="60% - Accent2 7 8" xfId="37506" xr:uid="{D8D34187-C333-47D2-827D-E4B9AE69E6A0}"/>
    <cellStyle name="60% - Accent2 8" xfId="324" xr:uid="{05EEE8A3-F2AE-464B-81BA-A8F1E42592F6}"/>
    <cellStyle name="60% - Accent2 8 2" xfId="34857" xr:uid="{B2064FED-23D4-4085-8FC7-8BF32F2D2E2E}"/>
    <cellStyle name="60% - Accent2 8 3" xfId="35059" xr:uid="{D72618EC-9A64-4277-9B60-51291A6CB68F}"/>
    <cellStyle name="60% - Accent2 8 4" xfId="35266" xr:uid="{CC3745F3-D736-41DA-9DCB-235890E74E66}"/>
    <cellStyle name="60% - Accent2 8 5" xfId="35495" xr:uid="{EFEEF27E-F534-479E-9B65-A449CE586040}"/>
    <cellStyle name="60% - Accent2 8 6" xfId="36362" xr:uid="{24D33813-B326-430F-A1AF-E060D02F2203}"/>
    <cellStyle name="60% - Accent2 8 7" xfId="36640" xr:uid="{59BC82E4-6E0F-467D-ABAC-B897EB2C45DE}"/>
    <cellStyle name="60% - Accent2 8 8" xfId="37525" xr:uid="{E0F65024-57C4-4AB1-AF8C-3D2182D9B288}"/>
    <cellStyle name="60% - Accent2 9" xfId="344" xr:uid="{C541BF4F-F3DB-40EB-98FE-5536D8E1C76F}"/>
    <cellStyle name="60% - Accent2 9 2" xfId="34877" xr:uid="{1B127AF7-5AAD-4F13-A81A-BF2C1EDF1945}"/>
    <cellStyle name="60% - Accent2 9 3" xfId="35078" xr:uid="{68E94DA1-2AB1-48E0-993E-8970F404AD54}"/>
    <cellStyle name="60% - Accent2 9 4" xfId="35286" xr:uid="{648188B7-4092-4F39-B9B5-E0E3EA122578}"/>
    <cellStyle name="60% - Accent2 9 5" xfId="35510" xr:uid="{98FDB807-D423-4609-B012-A65E80EBB491}"/>
    <cellStyle name="60% - Accent2 9 6" xfId="36374" xr:uid="{65B08DD2-480D-450F-8016-29FD65A0B014}"/>
    <cellStyle name="60% - Accent2 9 7" xfId="36660" xr:uid="{F7892BE7-CFFB-46AA-B131-5853837FCACA}"/>
    <cellStyle name="60% - Accent2 9 8" xfId="37545" xr:uid="{F5FA57A3-A9D5-40C3-8AE4-200BEB47B5AD}"/>
    <cellStyle name="60% - Accent3" xfId="32" builtinId="40" customBuiltin="1"/>
    <cellStyle name="60% - Accent3 10" xfId="185" xr:uid="{C446F75B-830B-4FDD-996C-855D1B98F52F}"/>
    <cellStyle name="60% - Accent3 10 2" xfId="34898" xr:uid="{5FD84F42-DDC5-4737-B9E4-3EE2B69FF602}"/>
    <cellStyle name="60% - Accent3 10 3" xfId="35100" xr:uid="{52360887-BE63-4DF2-B53F-D58E90362B4B}"/>
    <cellStyle name="60% - Accent3 10 4" xfId="35302" xr:uid="{782BFD45-D48D-401A-B676-9F1348D49229}"/>
    <cellStyle name="60% - Accent3 10 5" xfId="35523" xr:uid="{3B4EEFE3-5E14-42CB-839D-0CAFA9545151}"/>
    <cellStyle name="60% - Accent3 10 6" xfId="36396" xr:uid="{EE3BD6AC-61E3-422B-A3BF-1372B9F84335}"/>
    <cellStyle name="60% - Accent3 10 7" xfId="36682" xr:uid="{4D4F1FB7-E6C0-48B8-9EC4-D827EF5C0777}"/>
    <cellStyle name="60% - Accent3 10 8" xfId="37567" xr:uid="{4FBB7DE7-DA51-4646-B65F-5DB15F4D05E8}"/>
    <cellStyle name="60% - Accent3 11" xfId="34660" xr:uid="{4CA7A5B7-644C-40D1-9D22-CE29A10CB28E}"/>
    <cellStyle name="60% - Accent3 11 2" xfId="35119" xr:uid="{92A7A597-C697-4299-864C-F717410885EA}"/>
    <cellStyle name="60% - Accent3 11 3" xfId="35309" xr:uid="{E66B761B-84EB-4D0D-B5E2-68B295B2A871}"/>
    <cellStyle name="60% - Accent3 11 4" xfId="35543" xr:uid="{45DD4CDB-D11D-4C0E-9C53-3FA5CAD4F032}"/>
    <cellStyle name="60% - Accent3 11 5" xfId="36416" xr:uid="{05016328-ABF8-4553-ABB4-7819320CA7BE}"/>
    <cellStyle name="60% - Accent3 11 6" xfId="36702" xr:uid="{BFCA0EE2-320A-46D9-8726-633B4679F1E2}"/>
    <cellStyle name="60% - Accent3 11 7" xfId="37587" xr:uid="{E53C4870-155B-4DA8-8A15-EE3CB90640F2}"/>
    <cellStyle name="60% - Accent3 12" xfId="34709" xr:uid="{DD6E308E-ACCB-4FC8-9BDF-1EA5A418AD73}"/>
    <cellStyle name="60% - Accent3 12 2" xfId="35131" xr:uid="{9CC7A2E1-ACBF-4C48-B1BA-07BB35496CA7}"/>
    <cellStyle name="60% - Accent3 12 3" xfId="35322" xr:uid="{F2EC50A5-11D7-41E8-BF20-D999A92A1853}"/>
    <cellStyle name="60% - Accent3 12 4" xfId="35562" xr:uid="{7992A3F3-6649-4A8C-8856-ECFF0B2B77D3}"/>
    <cellStyle name="60% - Accent3 12 5" xfId="36435" xr:uid="{6DFA7161-D23B-48D7-974F-140E7393CEE7}"/>
    <cellStyle name="60% - Accent3 12 6" xfId="36721" xr:uid="{A8E29F8C-387C-49BD-97BA-37288A8427C3}"/>
    <cellStyle name="60% - Accent3 12 7" xfId="37606" xr:uid="{E487DCB3-FBC1-4A0E-98D9-A4D70D364B64}"/>
    <cellStyle name="60% - Accent3 13" xfId="34737" xr:uid="{B052BEE8-E45B-4543-B88B-545154751213}"/>
    <cellStyle name="60% - Accent3 13 2" xfId="35336" xr:uid="{EDB2964B-2318-4C15-B81A-86538E9AD534}"/>
    <cellStyle name="60% - Accent3 13 3" xfId="35581" xr:uid="{BFA4A182-D64A-466E-A315-4C28DCCC99AA}"/>
    <cellStyle name="60% - Accent3 13 4" xfId="36456" xr:uid="{08CD0FCB-B1EB-4AD6-928F-2E7115E05497}"/>
    <cellStyle name="60% - Accent3 13 5" xfId="36742" xr:uid="{24AE8627-EC54-4F24-8DD0-98B224447FD2}"/>
    <cellStyle name="60% - Accent3 13 6" xfId="37627" xr:uid="{D0323406-55B7-4905-897A-C89939DB8A6F}"/>
    <cellStyle name="60% - Accent3 14" xfId="34927" xr:uid="{DA30F468-5E3E-42A7-A3FB-3BEE0D0FA017}"/>
    <cellStyle name="60% - Accent3 14 2" xfId="36468" xr:uid="{164EB042-F5B1-49FA-88E7-8207285BE476}"/>
    <cellStyle name="60% - Accent3 14 3" xfId="36766" xr:uid="{1C0AE063-FDD0-41F6-B92A-14218CCE4FE1}"/>
    <cellStyle name="60% - Accent3 14 4" xfId="37651" xr:uid="{563D4D11-17BF-40DB-B639-65411D30E594}"/>
    <cellStyle name="60% - Accent3 15" xfId="35138" xr:uid="{686B817E-23FB-4364-B33A-1975CF203927}"/>
    <cellStyle name="60% - Accent3 15 2" xfId="36481" xr:uid="{D1F666D8-F540-416C-A7E1-824B39D0EF8D}"/>
    <cellStyle name="60% - Accent3 15 3" xfId="36779" xr:uid="{792B01E3-ADD8-42A6-9BF9-5521C83DCC43}"/>
    <cellStyle name="60% - Accent3 15 4" xfId="37667" xr:uid="{66269CBF-4D72-4D15-B5C9-454D90060292}"/>
    <cellStyle name="60% - Accent3 16" xfId="35361" xr:uid="{5C36B30C-CDE1-41E1-8919-F0DB9C403C90}"/>
    <cellStyle name="60% - Accent3 16 2" xfId="36499" xr:uid="{B7B472CE-2E3C-4F2D-B429-9B3A7719B536}"/>
    <cellStyle name="60% - Accent3 16 3" xfId="36797" xr:uid="{BFC15DAF-6E75-49BF-ADB4-4102D908EE0B}"/>
    <cellStyle name="60% - Accent3 16 4" xfId="37686" xr:uid="{FE15244E-54BC-46F7-87CA-178B7A6F7911}"/>
    <cellStyle name="60% - Accent3 17" xfId="35648" xr:uid="{CE624CEA-5718-4F9F-80C0-D15B677FF175}"/>
    <cellStyle name="60% - Accent3 17 2" xfId="36816" xr:uid="{C6BB4FED-5920-430A-9DA0-6F750AEA68F1}"/>
    <cellStyle name="60% - Accent3 17 3" xfId="37706" xr:uid="{46607885-9489-460B-BF3A-EFDDB449A291}"/>
    <cellStyle name="60% - Accent3 18" xfId="35666" xr:uid="{9551E50F-C2FA-47AA-A39E-5CFDCD14A7E8}"/>
    <cellStyle name="60% - Accent3 18 2" xfId="36835" xr:uid="{20C25967-4E80-4B77-850A-CE02BE3DAB4C}"/>
    <cellStyle name="60% - Accent3 18 3" xfId="37725" xr:uid="{2EB0E682-8427-4748-99E7-6510A6D334D2}"/>
    <cellStyle name="60% - Accent3 19" xfId="35685" xr:uid="{A97F1B0A-D8AA-4CDA-A711-81DE49F83B4A}"/>
    <cellStyle name="60% - Accent3 19 2" xfId="36854" xr:uid="{88C8F11A-B76F-404C-9DC6-8E12F5C3D8EF}"/>
    <cellStyle name="60% - Accent3 19 3" xfId="37744" xr:uid="{0AFD3693-E26E-4EF5-8313-3B3D968E6A12}"/>
    <cellStyle name="60% - Accent3 2" xfId="56" xr:uid="{E0E169D0-610D-4D29-8B47-DD292DBC174F}"/>
    <cellStyle name="60% - Accent3 2 10" xfId="36540" xr:uid="{9DE22760-2347-4176-A94E-174F8168F94C}"/>
    <cellStyle name="60% - Accent3 2 11" xfId="37425" xr:uid="{35F9EB39-5C92-4C2A-9114-497D75486C55}"/>
    <cellStyle name="60% - Accent3 2 2" xfId="85" xr:uid="{938907D4-DE18-4EB8-A12E-9EFFC6FBF667}"/>
    <cellStyle name="60% - Accent3 2 3" xfId="146" xr:uid="{22F326D4-D717-4237-9A6B-885393142A83}"/>
    <cellStyle name="60% - Accent3 2 4" xfId="207" xr:uid="{CDD5762B-660E-49E3-894C-43A214FFD292}"/>
    <cellStyle name="60% - Accent3 2 5" xfId="34420" xr:uid="{8D4F100D-22C1-4AF6-9203-5CCBD7AF482F}"/>
    <cellStyle name="60% - Accent3 2 5 2" xfId="34758" xr:uid="{D2CC6F69-DB60-46DB-B87F-DA7D67B4BBA9}"/>
    <cellStyle name="60% - Accent3 2 6" xfId="17509" xr:uid="{A6C5F220-E87F-4A15-97EB-F4822E5C7360}"/>
    <cellStyle name="60% - Accent3 2 6 2" xfId="34948" xr:uid="{FD453F72-D0BD-4BF9-8830-F8FDAE46FDC6}"/>
    <cellStyle name="60% - Accent3 2 7" xfId="35153" xr:uid="{09DB3B21-6CDA-4612-9F77-73C9331D1E01}"/>
    <cellStyle name="60% - Accent3 2 8" xfId="35382" xr:uid="{EEA7B0AF-F1A3-4E86-BA9A-F6D9EACC0EC5}"/>
    <cellStyle name="60% - Accent3 2 9" xfId="36254" xr:uid="{C967062E-E046-426E-AB11-B0F9B72AC2E7}"/>
    <cellStyle name="60% - Accent3 20" xfId="35704" xr:uid="{CE360237-3A44-45D9-B09D-284202E25456}"/>
    <cellStyle name="60% - Accent3 20 2" xfId="36873" xr:uid="{BB5FF59A-F9C8-40CB-8BE6-D878C55B8296}"/>
    <cellStyle name="60% - Accent3 20 3" xfId="37764" xr:uid="{3E354836-5E85-4AD6-94AF-1D0E19F3D11C}"/>
    <cellStyle name="60% - Accent3 21" xfId="35723" xr:uid="{4C067C3D-3F10-41C0-A72B-90A9FE333F35}"/>
    <cellStyle name="60% - Accent3 21 2" xfId="36893" xr:uid="{4689ED65-7098-4413-B896-D2977E611900}"/>
    <cellStyle name="60% - Accent3 21 3" xfId="37784" xr:uid="{6B567EAC-ABEC-4D0B-A0CF-B2F09ACCC07A}"/>
    <cellStyle name="60% - Accent3 22" xfId="35742" xr:uid="{C5CA4548-DD9B-4A2D-8906-2371F982135D}"/>
    <cellStyle name="60% - Accent3 22 2" xfId="36913" xr:uid="{672CA41F-2454-4350-8A44-8E9B10A56DA2}"/>
    <cellStyle name="60% - Accent3 22 3" xfId="37804" xr:uid="{39A1617B-806E-47CF-B942-FA09BF5E67EB}"/>
    <cellStyle name="60% - Accent3 23" xfId="35762" xr:uid="{31BF58F6-A54B-45B7-85FF-602A2A9AEDE6}"/>
    <cellStyle name="60% - Accent3 23 2" xfId="36932" xr:uid="{C9DC88F7-3EDA-4ECD-9BA2-C83C55812941}"/>
    <cellStyle name="60% - Accent3 23 3" xfId="37824" xr:uid="{88BE5084-0F21-464A-8D3E-B56BB536F5A5}"/>
    <cellStyle name="60% - Accent3 24" xfId="35782" xr:uid="{B1413991-6D64-4DDB-BCF3-64F31DD16CC1}"/>
    <cellStyle name="60% - Accent3 24 2" xfId="36951" xr:uid="{80C1517A-1224-4DCD-8E55-595D6250003B}"/>
    <cellStyle name="60% - Accent3 24 3" xfId="37844" xr:uid="{5490CA2B-5FA4-42E6-89A2-AB6F79615409}"/>
    <cellStyle name="60% - Accent3 25" xfId="35801" xr:uid="{D6C1EBF2-4301-436E-AB24-3B6312598265}"/>
    <cellStyle name="60% - Accent3 25 2" xfId="36971" xr:uid="{E7F0BDCA-0B07-426B-8877-8422348C9212}"/>
    <cellStyle name="60% - Accent3 25 3" xfId="37864" xr:uid="{541B1503-279F-49BA-AE97-983B21745873}"/>
    <cellStyle name="60% - Accent3 26" xfId="35820" xr:uid="{1A3EDB68-1D9C-4C98-A03A-EA3CBD8FC992}"/>
    <cellStyle name="60% - Accent3 26 2" xfId="36991" xr:uid="{C51D59A7-5BA2-4D34-981C-ECECF9F43573}"/>
    <cellStyle name="60% - Accent3 26 3" xfId="37884" xr:uid="{92A2EAA9-E73A-4BD1-8B75-4BDBAE5367D2}"/>
    <cellStyle name="60% - Accent3 27" xfId="35839" xr:uid="{53442287-FBAD-400C-80B3-A17E08B4D22F}"/>
    <cellStyle name="60% - Accent3 27 2" xfId="37011" xr:uid="{CE2BBC0D-EDA3-46AA-9565-01D1BCFD34B9}"/>
    <cellStyle name="60% - Accent3 27 3" xfId="37904" xr:uid="{0135694C-B5DE-453C-9067-70895FFD3E5D}"/>
    <cellStyle name="60% - Accent3 28" xfId="35858" xr:uid="{7571D5D8-00BB-4344-B61E-B8903FDF1895}"/>
    <cellStyle name="60% - Accent3 28 2" xfId="37031" xr:uid="{EF437FB1-E95C-479B-8EC3-8B0DFE838023}"/>
    <cellStyle name="60% - Accent3 28 3" xfId="37924" xr:uid="{51407FFE-9645-4264-BA4D-9066E0951A9B}"/>
    <cellStyle name="60% - Accent3 29" xfId="35883" xr:uid="{C56D5342-52EE-4975-A199-F7F01A7EC631}"/>
    <cellStyle name="60% - Accent3 29 2" xfId="37055" xr:uid="{5D9C1F3C-FBED-4CF0-A6BD-8F7198A58353}"/>
    <cellStyle name="60% - Accent3 29 3" xfId="37949" xr:uid="{73075260-CF0C-4898-8CE0-90B3A4C98AB8}"/>
    <cellStyle name="60% - Accent3 3" xfId="105" xr:uid="{5697FD51-A0A3-4EF8-9E2D-9F9E8E2FA0D9}"/>
    <cellStyle name="60% - Accent3 3 10" xfId="37444" xr:uid="{51B0C618-5EFE-41BD-932B-C9BDF825641D}"/>
    <cellStyle name="60% - Accent3 3 2" xfId="166" xr:uid="{F4262964-2184-4657-917C-80BC41346164}"/>
    <cellStyle name="60% - Accent3 3 3" xfId="227" xr:uid="{FC36E06E-B980-4955-9095-8CB5DE687C71}"/>
    <cellStyle name="60% - Accent3 3 4" xfId="34459" xr:uid="{89025C5A-AA56-47BA-A683-4304BA89A348}"/>
    <cellStyle name="60% - Accent3 3 5" xfId="17506" xr:uid="{41B6CB8D-CFD6-4E45-95F1-7D8E20EB3FE2}"/>
    <cellStyle name="60% - Accent3 3 5 2" xfId="34967" xr:uid="{7BC9F6C3-AFAC-492C-BC52-D69B7C6CEC0F}"/>
    <cellStyle name="60% - Accent3 3 6" xfId="35172" xr:uid="{799B8FC2-86E5-4840-AAA8-DB8D32A8C65A}"/>
    <cellStyle name="60% - Accent3 3 7" xfId="35401" xr:uid="{F5F3DBD9-788B-43BD-8AFE-FC0957E9405F}"/>
    <cellStyle name="60% - Accent3 3 8" xfId="36273" xr:uid="{85BC547D-9177-47D1-87EC-16293445F1E6}"/>
    <cellStyle name="60% - Accent3 3 9" xfId="36559" xr:uid="{A057F5AC-DD26-4C45-AC2E-360C4F130EDE}"/>
    <cellStyle name="60% - Accent3 30" xfId="35898" xr:uid="{7690B9F1-3C25-4427-B742-DAE4D6A473E1}"/>
    <cellStyle name="60% - Accent3 30 2" xfId="37070" xr:uid="{8B296DCC-CD42-43CB-B223-4215543A0932}"/>
    <cellStyle name="60% - Accent3 30 3" xfId="37965" xr:uid="{8C130456-CF09-4BDD-AB66-773F2638BE89}"/>
    <cellStyle name="60% - Accent3 31" xfId="35918" xr:uid="{CF1924A0-6538-479E-ABA8-7263BE710E4A}"/>
    <cellStyle name="60% - Accent3 31 2" xfId="37089" xr:uid="{FFF63033-84BD-4D63-89C6-C7134481E6AD}"/>
    <cellStyle name="60% - Accent3 31 3" xfId="37985" xr:uid="{B042EA8C-062B-4401-A67E-68A7A54C5FD6}"/>
    <cellStyle name="60% - Accent3 32" xfId="35938" xr:uid="{32DA36BD-B66E-4962-8001-00101346B0D8}"/>
    <cellStyle name="60% - Accent3 32 2" xfId="37108" xr:uid="{24558D33-B452-4487-AC23-70F90CB6E8F1}"/>
    <cellStyle name="60% - Accent3 32 3" xfId="38005" xr:uid="{83CFA968-F19D-4C80-865B-05CB3FAB7BEB}"/>
    <cellStyle name="60% - Accent3 33" xfId="35958" xr:uid="{953FE498-58EE-483D-B13C-B3439A64714B}"/>
    <cellStyle name="60% - Accent3 33 2" xfId="37127" xr:uid="{54A4399D-BBBA-4502-9B6B-33F9F4BA6CB3}"/>
    <cellStyle name="60% - Accent3 33 3" xfId="38025" xr:uid="{27983DE0-AC49-4291-9A28-734D12A29B49}"/>
    <cellStyle name="60% - Accent3 34" xfId="35978" xr:uid="{66A225BC-E0F6-4FF0-9BEA-3CED2A6CFB28}"/>
    <cellStyle name="60% - Accent3 34 2" xfId="37147" xr:uid="{EADAE5F8-E681-49BD-A266-5419190B065C}"/>
    <cellStyle name="60% - Accent3 34 3" xfId="38045" xr:uid="{DEE5F33F-B047-4406-9DEA-90429195C798}"/>
    <cellStyle name="60% - Accent3 35" xfId="35998" xr:uid="{B4F31210-8FC3-4E35-953A-278765336436}"/>
    <cellStyle name="60% - Accent3 35 2" xfId="37167" xr:uid="{B30D7ADF-6D57-407E-A4D0-B222CA874165}"/>
    <cellStyle name="60% - Accent3 35 3" xfId="38065" xr:uid="{B9E7CE0E-99EA-4EED-A606-CB9B4AD0BA88}"/>
    <cellStyle name="60% - Accent3 36" xfId="36018" xr:uid="{E22F24E1-1487-423F-AB55-3AD75F1013BD}"/>
    <cellStyle name="60% - Accent3 36 2" xfId="37187" xr:uid="{83480390-F410-4825-8AD1-C7CACDF8480F}"/>
    <cellStyle name="60% - Accent3 36 3" xfId="38085" xr:uid="{0DED88BE-A22B-41C7-9F9C-84FD9597C98F}"/>
    <cellStyle name="60% - Accent3 37" xfId="36038" xr:uid="{7C76F828-BB51-4A74-A52A-9F3DC4419DBB}"/>
    <cellStyle name="60% - Accent3 37 2" xfId="37207" xr:uid="{57415367-0C02-49E7-A64D-F8BE8ED39471}"/>
    <cellStyle name="60% - Accent3 37 3" xfId="38105" xr:uid="{8B6C348D-3B6D-4980-8B4E-47A234808BFC}"/>
    <cellStyle name="60% - Accent3 38" xfId="36058" xr:uid="{232B4573-BBD4-4802-AFF2-664C13BCF8AF}"/>
    <cellStyle name="60% - Accent3 38 2" xfId="37227" xr:uid="{AEA68610-0ED5-4840-80D2-5251FA7FAC96}"/>
    <cellStyle name="60% - Accent3 38 3" xfId="38125" xr:uid="{8134BAFB-E44F-412B-9E1D-A73F93AB28FC}"/>
    <cellStyle name="60% - Accent3 39" xfId="36078" xr:uid="{F4AB2978-C0F3-475F-B1D4-9D6E01576746}"/>
    <cellStyle name="60% - Accent3 39 2" xfId="37247" xr:uid="{1C69BFE3-E1FA-4952-BD80-4C08FB635D17}"/>
    <cellStyle name="60% - Accent3 39 3" xfId="38145" xr:uid="{AE607254-F57F-45ED-9284-96A88CDB3F2F}"/>
    <cellStyle name="60% - Accent3 4" xfId="124" xr:uid="{84C0658C-56C1-40B1-B7EA-301AC16962F2}"/>
    <cellStyle name="60% - Accent3 4 2" xfId="247" xr:uid="{772296B2-590A-47A8-B51E-7DF66C2F4AF5}"/>
    <cellStyle name="60% - Accent3 4 3" xfId="34478" xr:uid="{AC3E8433-04F2-4DF2-93BA-C63AE51ACB1C}"/>
    <cellStyle name="60% - Accent3 4 4" xfId="17499" xr:uid="{592B79A8-2D6C-4950-ABA4-990D336FCB07}"/>
    <cellStyle name="60% - Accent3 4 4 2" xfId="34986" xr:uid="{B6BD7164-17B9-4CFD-9592-421293580D08}"/>
    <cellStyle name="60% - Accent3 4 5" xfId="35191" xr:uid="{EF0D6E2C-4BBD-44EE-A7B8-4D2D908B8A1B}"/>
    <cellStyle name="60% - Accent3 4 6" xfId="35420" xr:uid="{76AD63BB-3248-4FA6-B9BB-68EE80E383EB}"/>
    <cellStyle name="60% - Accent3 4 7" xfId="36292" xr:uid="{6B9CC760-C192-40C7-A306-7895DACAC3E2}"/>
    <cellStyle name="60% - Accent3 4 8" xfId="36578" xr:uid="{EA3C9595-A8DD-474C-9ECE-6CA2BAA7C3C7}"/>
    <cellStyle name="60% - Accent3 4 9" xfId="37463" xr:uid="{98F84CD3-DD43-4B13-A9A5-F881213AD3A0}"/>
    <cellStyle name="60% - Accent3 40" xfId="36098" xr:uid="{63D671D7-C16B-4C20-951D-221B049F4B4D}"/>
    <cellStyle name="60% - Accent3 40 2" xfId="37267" xr:uid="{B42E3BF5-8279-4858-B2F5-3D6C4D6011DC}"/>
    <cellStyle name="60% - Accent3 40 3" xfId="38165" xr:uid="{A12A4613-CEA3-47B6-B7D9-41132F6C6599}"/>
    <cellStyle name="60% - Accent3 41" xfId="36118" xr:uid="{A60174DF-425D-4BCA-BEE2-CAD49EB408B8}"/>
    <cellStyle name="60% - Accent3 41 2" xfId="37287" xr:uid="{C16CA515-6455-4A15-B70C-89E0C68590DA}"/>
    <cellStyle name="60% - Accent3 41 3" xfId="38185" xr:uid="{D6AD6440-DAC5-419B-8FA6-7E63165C64B1}"/>
    <cellStyle name="60% - Accent3 42" xfId="36138" xr:uid="{38B01AE4-384A-4D2A-8E97-46C70C440367}"/>
    <cellStyle name="60% - Accent3 42 2" xfId="37307" xr:uid="{90324273-2F5C-4001-8E80-08F443ADFD95}"/>
    <cellStyle name="60% - Accent3 42 3" xfId="38205" xr:uid="{163CB19B-DF15-4876-B554-4F5A9C06B521}"/>
    <cellStyle name="60% - Accent3 43" xfId="36158" xr:uid="{B1C4CC30-F25F-4253-91C8-12F54E053E04}"/>
    <cellStyle name="60% - Accent3 43 2" xfId="37327" xr:uid="{537D63A8-2346-4058-BD67-461E130E876B}"/>
    <cellStyle name="60% - Accent3 43 3" xfId="38225" xr:uid="{22A0E6A8-EF43-41C0-A574-2AA9E3888E1C}"/>
    <cellStyle name="60% - Accent3 44" xfId="36178" xr:uid="{DFB4503A-F321-493A-BC5A-9EB7867BEA7B}"/>
    <cellStyle name="60% - Accent3 44 2" xfId="37347" xr:uid="{830518D5-3B49-426B-BFB6-67AE64CABA70}"/>
    <cellStyle name="60% - Accent3 44 3" xfId="38245" xr:uid="{97621C9B-92BF-43C5-BC83-B4CBDB16318B}"/>
    <cellStyle name="60% - Accent3 45" xfId="36198" xr:uid="{274D5891-79A7-4E71-A0E7-AB8B9A897984}"/>
    <cellStyle name="60% - Accent3 45 2" xfId="37367" xr:uid="{C6411439-C68B-4ADD-8984-E870EC277B37}"/>
    <cellStyle name="60% - Accent3 45 3" xfId="38265" xr:uid="{E3271E0A-85B6-47CB-9FB2-E0B7760FCDEE}"/>
    <cellStyle name="60% - Accent3 46" xfId="36218" xr:uid="{4A313025-436C-459E-B474-4940713F1CA7}"/>
    <cellStyle name="60% - Accent3 46 2" xfId="37385" xr:uid="{3368939A-8A3E-489F-8097-6460C596F02C}"/>
    <cellStyle name="60% - Accent3 46 3" xfId="38285" xr:uid="{135316EB-B98E-4A19-B9AD-EF270A708E02}"/>
    <cellStyle name="60% - Accent3 47" xfId="36519" xr:uid="{8C166A0B-A272-4AE7-96A2-8013B8708551}"/>
    <cellStyle name="60% - Accent3 48" xfId="37404" xr:uid="{59E74EA0-8BAB-42F0-957C-7497021F5493}"/>
    <cellStyle name="60% - Accent3 5" xfId="267" xr:uid="{48365529-18AA-4928-A1D1-DFA814D0B32B}"/>
    <cellStyle name="60% - Accent3 5 2" xfId="34803" xr:uid="{524A0CD6-6576-40AE-95D0-5BA5E40DBAEB}"/>
    <cellStyle name="60% - Accent3 5 3" xfId="35005" xr:uid="{3E339F11-92CA-465E-B059-55EB96C29EC5}"/>
    <cellStyle name="60% - Accent3 5 4" xfId="35211" xr:uid="{4FF283CA-D8FA-42C2-9E01-93505E187D73}"/>
    <cellStyle name="60% - Accent3 5 5" xfId="35440" xr:uid="{0CADDB0B-8FE4-4C20-93BE-15212F4CF303}"/>
    <cellStyle name="60% - Accent3 5 6" xfId="36312" xr:uid="{D4433752-4E8E-4B4D-A4C6-F745162F711C}"/>
    <cellStyle name="60% - Accent3 5 7" xfId="36598" xr:uid="{2F65C4DF-31BE-4447-872A-CB569BE96281}"/>
    <cellStyle name="60% - Accent3 5 8" xfId="37483" xr:uid="{DB174291-E1B8-4D06-AA03-76EA356772BE}"/>
    <cellStyle name="60% - Accent3 6" xfId="287" xr:uid="{F07825D5-D93F-442F-8D1C-51247EA3D681}"/>
    <cellStyle name="60% - Accent3 6 2" xfId="34822" xr:uid="{EC73B79C-7FF2-4DE7-BCB8-ADC5CB29D047}"/>
    <cellStyle name="60% - Accent3 6 3" xfId="35024" xr:uid="{5AB07560-1437-4054-92C2-E569B17AE813}"/>
    <cellStyle name="60% - Accent3 6 4" xfId="35230" xr:uid="{3C5C905A-F0E2-431E-B641-D8C1C4A88BD2}"/>
    <cellStyle name="60% - Accent3 6 5" xfId="35459" xr:uid="{0AB0A568-DEE2-4D2F-816D-E1DDC01D2410}"/>
    <cellStyle name="60% - Accent3 6 6" xfId="36331" xr:uid="{178304B9-41C8-41E8-8451-39838A94040C}"/>
    <cellStyle name="60% - Accent3 6 7" xfId="36617" xr:uid="{84FEB4B9-C7FC-47F5-BDCB-D389974BAE14}"/>
    <cellStyle name="60% - Accent3 6 8" xfId="37495" xr:uid="{148CA439-916C-4D99-8530-E72890985EB4}"/>
    <cellStyle name="60% - Accent3 7" xfId="307" xr:uid="{4180F56A-A247-4023-BB7B-C04C845D9018}"/>
    <cellStyle name="60% - Accent3 7 2" xfId="34841" xr:uid="{7091F305-4E8E-4384-9435-17D6E8E3E7C3}"/>
    <cellStyle name="60% - Accent3 7 3" xfId="35043" xr:uid="{02509F7F-AC1D-4B54-8C43-7C0126592215}"/>
    <cellStyle name="60% - Accent3 7 4" xfId="35250" xr:uid="{484F414D-852A-4E07-8CE7-54213B175B38}"/>
    <cellStyle name="60% - Accent3 7 5" xfId="35479" xr:uid="{BF4C4021-0678-49F8-9FCA-1DC1EAA3E949}"/>
    <cellStyle name="60% - Accent3 7 6" xfId="36351" xr:uid="{DA6B41BD-D492-4CD1-B668-00CBA6C8AF44}"/>
    <cellStyle name="60% - Accent3 7 7" xfId="36630" xr:uid="{0C3B79E5-E380-4DE4-9E92-D878A4E6084D}"/>
    <cellStyle name="60% - Accent3 7 8" xfId="37509" xr:uid="{852A07E7-F4A0-4B24-9729-585B7D6BC38B}"/>
    <cellStyle name="60% - Accent3 8" xfId="327" xr:uid="{88DC2A49-F90D-4DB9-8E26-2A90745E881B}"/>
    <cellStyle name="60% - Accent3 8 2" xfId="34860" xr:uid="{81E17829-6D2A-4292-9462-FE191F7CC63F}"/>
    <cellStyle name="60% - Accent3 8 3" xfId="35062" xr:uid="{34242421-F82C-4E72-B466-E72D8E5D4204}"/>
    <cellStyle name="60% - Accent3 8 4" xfId="35269" xr:uid="{4A482752-12B5-4895-84E7-C2A2C0D2D24B}"/>
    <cellStyle name="60% - Accent3 8 5" xfId="35498" xr:uid="{E60A9A88-D379-4531-8035-422A2A725154}"/>
    <cellStyle name="60% - Accent3 8 6" xfId="36363" xr:uid="{1213BEFD-F870-465E-8AE3-64B9BA7DABE7}"/>
    <cellStyle name="60% - Accent3 8 7" xfId="36643" xr:uid="{46CD2F04-2517-485A-BF78-238B8B12E82D}"/>
    <cellStyle name="60% - Accent3 8 8" xfId="37528" xr:uid="{25C01A70-D8B5-4CA0-8F41-66BDB6442155}"/>
    <cellStyle name="60% - Accent3 9" xfId="347" xr:uid="{9AB9EB88-D11E-4A60-AD74-138A402EB1D6}"/>
    <cellStyle name="60% - Accent3 9 2" xfId="34880" xr:uid="{E6AA8DFD-8C84-44AB-8039-69FB6C694601}"/>
    <cellStyle name="60% - Accent3 9 3" xfId="35081" xr:uid="{249DBC6C-3EB0-468A-BF4F-168FF465817A}"/>
    <cellStyle name="60% - Accent3 9 4" xfId="35289" xr:uid="{CCF57DE0-4952-45AF-BEEF-AAF46BB8A5E0}"/>
    <cellStyle name="60% - Accent3 9 5" xfId="35511" xr:uid="{C4246A7A-CC62-4A2B-960C-C7152B6DC69A}"/>
    <cellStyle name="60% - Accent3 9 6" xfId="36377" xr:uid="{99EF96A5-44B3-4FF0-A94C-46B4C47D5791}"/>
    <cellStyle name="60% - Accent3 9 7" xfId="36663" xr:uid="{BD6F1329-03F0-4C32-A8AB-225815E0AF71}"/>
    <cellStyle name="60% - Accent3 9 8" xfId="37548" xr:uid="{4FBD03FA-43D7-4893-AA92-FA2F98D69088}"/>
    <cellStyle name="60% - Accent4" xfId="36" builtinId="44" customBuiltin="1"/>
    <cellStyle name="60% - Accent4 10" xfId="188" xr:uid="{402A5EDC-EE1A-4A0F-88BA-7A517D4BF292}"/>
    <cellStyle name="60% - Accent4 10 2" xfId="34901" xr:uid="{F229EF63-59CA-48C6-A5BE-91E7B563B068}"/>
    <cellStyle name="60% - Accent4 10 3" xfId="35103" xr:uid="{151F835B-F4F0-4997-9649-03D31990D9CD}"/>
    <cellStyle name="60% - Accent4 10 4" xfId="35303" xr:uid="{EC1CD8F5-A1B5-4E9F-B517-2B236940A369}"/>
    <cellStyle name="60% - Accent4 10 5" xfId="35526" xr:uid="{BC34D9CB-0DC1-4E6D-AF27-F0166D0BAFE8}"/>
    <cellStyle name="60% - Accent4 10 6" xfId="36399" xr:uid="{DDFFEFA9-FAB3-4118-8AD2-A1FD7B26B1A8}"/>
    <cellStyle name="60% - Accent4 10 7" xfId="36685" xr:uid="{EA9C75DA-E720-4C54-BDDE-8A5F21AF0785}"/>
    <cellStyle name="60% - Accent4 10 8" xfId="37570" xr:uid="{A419E4FC-83BC-4A35-A1AA-98348B72A1CB}"/>
    <cellStyle name="60% - Accent4 11" xfId="34661" xr:uid="{009A4ACB-877E-4D5E-9224-5D71FEF1F24B}"/>
    <cellStyle name="60% - Accent4 11 2" xfId="35122" xr:uid="{03CF8510-1100-4E61-AD0F-6AECFBCB99D9}"/>
    <cellStyle name="60% - Accent4 11 3" xfId="35310" xr:uid="{8BD59EE6-C529-4B77-8FF7-A77F53C26203}"/>
    <cellStyle name="60% - Accent4 11 4" xfId="35546" xr:uid="{2F256561-FD85-4BF5-BD15-FAAB352B3EF6}"/>
    <cellStyle name="60% - Accent4 11 5" xfId="36419" xr:uid="{192CD4CF-95B5-4DF5-B95D-C24CE063A9B1}"/>
    <cellStyle name="60% - Accent4 11 6" xfId="36705" xr:uid="{74F831DE-59FF-4151-B3E6-85B815936E05}"/>
    <cellStyle name="60% - Accent4 11 7" xfId="37590" xr:uid="{B00C9B7F-138C-45C0-8501-7CD17834E0C2}"/>
    <cellStyle name="60% - Accent4 12" xfId="34712" xr:uid="{5D58E1A8-CE83-44E3-A233-0A7FCC11839A}"/>
    <cellStyle name="60% - Accent4 12 2" xfId="35132" xr:uid="{C18E3480-252D-45D9-97FB-0896278A361E}"/>
    <cellStyle name="60% - Accent4 12 3" xfId="35325" xr:uid="{8AEE840D-2E0F-4ACB-A29E-F5E4381816A7}"/>
    <cellStyle name="60% - Accent4 12 4" xfId="35565" xr:uid="{7514F2A6-E83D-4D02-9931-54328730A363}"/>
    <cellStyle name="60% - Accent4 12 5" xfId="36438" xr:uid="{B7070A6D-DD8F-4862-AD3D-BFB7BE2A554D}"/>
    <cellStyle name="60% - Accent4 12 6" xfId="36724" xr:uid="{6B645B29-C716-42B1-86E0-9D9312B13A72}"/>
    <cellStyle name="60% - Accent4 12 7" xfId="37609" xr:uid="{0BF7377E-D9FC-484B-AD2F-D38491810B1E}"/>
    <cellStyle name="60% - Accent4 13" xfId="34740" xr:uid="{5E14A3A5-DD3F-49DA-BC06-AE12EF8D247F}"/>
    <cellStyle name="60% - Accent4 13 2" xfId="35337" xr:uid="{DF30AAD3-40D6-4448-98D5-288BB33D3142}"/>
    <cellStyle name="60% - Accent4 13 3" xfId="35584" xr:uid="{D2540916-7877-4353-B869-7B282D2B4A46}"/>
    <cellStyle name="60% - Accent4 13 4" xfId="36459" xr:uid="{C535BCA5-FB1F-468B-B184-78AA64C8D823}"/>
    <cellStyle name="60% - Accent4 13 5" xfId="36745" xr:uid="{A8BF2298-A99D-4778-8F10-3BA2E3A30D97}"/>
    <cellStyle name="60% - Accent4 13 6" xfId="37630" xr:uid="{E64B0C4D-BECA-4C48-9B21-2E48F5AE9C1C}"/>
    <cellStyle name="60% - Accent4 14" xfId="34930" xr:uid="{469C4F26-F4EC-462E-BF12-AEE34FFA844C}"/>
    <cellStyle name="60% - Accent4 14 2" xfId="36469" xr:uid="{67D4FC1C-1664-4FB8-B617-670697986F57}"/>
    <cellStyle name="60% - Accent4 14 3" xfId="36767" xr:uid="{85DFADF8-FE4C-4DDF-A0DB-9F0EABB432F5}"/>
    <cellStyle name="60% - Accent4 14 4" xfId="37652" xr:uid="{9BBF5BBF-9C76-4060-9CE0-6C3673F672E3}"/>
    <cellStyle name="60% - Accent4 15" xfId="35139" xr:uid="{8F66EBF3-4C0C-4255-823E-288606FB3268}"/>
    <cellStyle name="60% - Accent4 15 2" xfId="36484" xr:uid="{CBC0C156-1332-464C-AD74-4639B7F81EDA}"/>
    <cellStyle name="60% - Accent4 15 3" xfId="36782" xr:uid="{5ECD8E34-B686-4473-B55A-8AF6244FF068}"/>
    <cellStyle name="60% - Accent4 15 4" xfId="37670" xr:uid="{8FDDC797-1986-4B97-BD25-FCE0AE224E71}"/>
    <cellStyle name="60% - Accent4 16" xfId="35364" xr:uid="{BB597A21-32E4-4107-92B6-9247DDCBCA1F}"/>
    <cellStyle name="60% - Accent4 16 2" xfId="36502" xr:uid="{08A77D64-8679-4BA1-A215-3D135F591F52}"/>
    <cellStyle name="60% - Accent4 16 3" xfId="36800" xr:uid="{F6A33604-5E23-4BA0-8B9A-C96C5CEF6B8C}"/>
    <cellStyle name="60% - Accent4 16 4" xfId="37689" xr:uid="{21616B5B-BB4B-4F3C-8098-05079FABF44D}"/>
    <cellStyle name="60% - Accent4 17" xfId="35651" xr:uid="{A5D96DC9-592F-40BE-8A6E-6E87C9FD03BA}"/>
    <cellStyle name="60% - Accent4 17 2" xfId="36819" xr:uid="{1135B5B9-D21B-47E3-8603-3766130D3CEB}"/>
    <cellStyle name="60% - Accent4 17 3" xfId="37709" xr:uid="{053FB50E-028A-48B5-A10A-8D5378F9389F}"/>
    <cellStyle name="60% - Accent4 18" xfId="35669" xr:uid="{59BFB74D-B933-467E-BD2E-8B625656B431}"/>
    <cellStyle name="60% - Accent4 18 2" xfId="36838" xr:uid="{DD6A3520-59F3-4766-9E28-A511BB70D98D}"/>
    <cellStyle name="60% - Accent4 18 3" xfId="37728" xr:uid="{C3D90293-2A9E-4CC6-9378-322F1636E08F}"/>
    <cellStyle name="60% - Accent4 19" xfId="35688" xr:uid="{0EFA9B39-DD52-4F37-80E3-659DF99074BA}"/>
    <cellStyle name="60% - Accent4 19 2" xfId="36857" xr:uid="{8410569E-B43B-42A1-B8EB-0BDDD76331F8}"/>
    <cellStyle name="60% - Accent4 19 3" xfId="37747" xr:uid="{1D9C4471-514C-4FC9-9D19-049DFEC1DE24}"/>
    <cellStyle name="60% - Accent4 2" xfId="54" xr:uid="{5E6833BC-20C9-4D27-8C52-C7F77C630E00}"/>
    <cellStyle name="60% - Accent4 2 10" xfId="36543" xr:uid="{0C10F512-5422-4147-9774-1A487344FF98}"/>
    <cellStyle name="60% - Accent4 2 11" xfId="37428" xr:uid="{021DCD6C-B17E-48AC-8CF9-6588F00D9B97}"/>
    <cellStyle name="60% - Accent4 2 2" xfId="88" xr:uid="{9B258494-F6B7-4AC3-AC85-BD179BF79912}"/>
    <cellStyle name="60% - Accent4 2 3" xfId="149" xr:uid="{F441D96E-4854-4EAB-B00B-D663FE6E25EE}"/>
    <cellStyle name="60% - Accent4 2 4" xfId="210" xr:uid="{1DDA145C-A2CD-44B6-ABE5-B25FD5FD304F}"/>
    <cellStyle name="60% - Accent4 2 5" xfId="34418" xr:uid="{27D4B3EC-3AC1-4300-BE7B-9024C6515AAE}"/>
    <cellStyle name="60% - Accent4 2 5 2" xfId="34761" xr:uid="{88BC96ED-0902-47D6-889C-75787AC42F7A}"/>
    <cellStyle name="60% - Accent4 2 6" xfId="24140" xr:uid="{2ACD5C57-29F1-4F5C-94E5-F1F0BB8132AB}"/>
    <cellStyle name="60% - Accent4 2 6 2" xfId="34951" xr:uid="{7527F49C-6B1F-4FB1-A98B-2A779F358FF6}"/>
    <cellStyle name="60% - Accent4 2 7" xfId="35156" xr:uid="{D51BC193-205A-4F92-9F44-0AB2E7140D21}"/>
    <cellStyle name="60% - Accent4 2 8" xfId="35385" xr:uid="{8A21F024-8CEA-40FD-BB15-D58C5AF0B319}"/>
    <cellStyle name="60% - Accent4 2 9" xfId="36257" xr:uid="{EB1AB155-A54C-4CF8-B952-2AD72162DCB3}"/>
    <cellStyle name="60% - Accent4 20" xfId="35707" xr:uid="{A6123E62-771B-420A-90F0-BEDBB2799091}"/>
    <cellStyle name="60% - Accent4 20 2" xfId="36876" xr:uid="{D16C0AE4-5204-49F7-BD2F-8EF41658EEFE}"/>
    <cellStyle name="60% - Accent4 20 3" xfId="37767" xr:uid="{5B605EDC-39E5-4AF5-A826-00086E2F7F69}"/>
    <cellStyle name="60% - Accent4 21" xfId="35726" xr:uid="{479C671C-FE14-4C7B-B4C1-B0FE811BD025}"/>
    <cellStyle name="60% - Accent4 21 2" xfId="36896" xr:uid="{8DCE9A4C-4CC1-4058-9344-0448FE58C4E8}"/>
    <cellStyle name="60% - Accent4 21 3" xfId="37787" xr:uid="{C7B4E862-0B07-4C31-8A3E-5FFF2EAAC414}"/>
    <cellStyle name="60% - Accent4 22" xfId="35745" xr:uid="{0A09DBE4-44A8-46D0-A307-59D60891DA82}"/>
    <cellStyle name="60% - Accent4 22 2" xfId="36916" xr:uid="{4B7EA3DC-CB51-4364-BED3-DB9E2B7ABBE3}"/>
    <cellStyle name="60% - Accent4 22 3" xfId="37807" xr:uid="{A6C6ADD5-0E29-452A-9A8E-795FC760EE09}"/>
    <cellStyle name="60% - Accent4 23" xfId="35765" xr:uid="{F0EB2627-4F00-46CA-851A-67DDC994B831}"/>
    <cellStyle name="60% - Accent4 23 2" xfId="36935" xr:uid="{1B06A48F-9A03-421C-AC3C-CBE976803BBB}"/>
    <cellStyle name="60% - Accent4 23 3" xfId="37827" xr:uid="{2AEC69DE-5039-448E-9564-674F650BEE4B}"/>
    <cellStyle name="60% - Accent4 24" xfId="35785" xr:uid="{B1D7C4C9-B348-4C51-84D1-6765DB102A93}"/>
    <cellStyle name="60% - Accent4 24 2" xfId="36954" xr:uid="{341D928A-49AA-4420-96E1-E999D0BE94AF}"/>
    <cellStyle name="60% - Accent4 24 3" xfId="37847" xr:uid="{8483BEF2-4AA8-4811-9CE0-F74BFA11B520}"/>
    <cellStyle name="60% - Accent4 25" xfId="35804" xr:uid="{FBBD6B88-A201-483A-864B-C09DBB62F975}"/>
    <cellStyle name="60% - Accent4 25 2" xfId="36974" xr:uid="{6067EB97-8FCE-4AE9-B0D8-410AECAE0D45}"/>
    <cellStyle name="60% - Accent4 25 3" xfId="37867" xr:uid="{2EBD9BA5-2A81-4471-B17D-60C8BB37384D}"/>
    <cellStyle name="60% - Accent4 26" xfId="35823" xr:uid="{74BF5755-0147-45E3-893E-3D527AA3621E}"/>
    <cellStyle name="60% - Accent4 26 2" xfId="36994" xr:uid="{CB67BF1D-0527-4356-B4B1-58893BB56BF6}"/>
    <cellStyle name="60% - Accent4 26 3" xfId="37887" xr:uid="{EE83A6F1-FF8F-407C-A18B-3CB08EB90A55}"/>
    <cellStyle name="60% - Accent4 27" xfId="35842" xr:uid="{B682E6FB-3243-4291-BEBE-5AFFD789AA6E}"/>
    <cellStyle name="60% - Accent4 27 2" xfId="37014" xr:uid="{923C3031-2A57-4C8B-B139-3DB64171A47E}"/>
    <cellStyle name="60% - Accent4 27 3" xfId="37907" xr:uid="{39C6A088-6F7A-45BE-96F6-DE2DBDB08A7C}"/>
    <cellStyle name="60% - Accent4 28" xfId="35861" xr:uid="{E4796056-E067-436D-A143-886F34254F40}"/>
    <cellStyle name="60% - Accent4 28 2" xfId="37034" xr:uid="{9958A51D-BE3B-4DE7-8205-F656CCCB5574}"/>
    <cellStyle name="60% - Accent4 28 3" xfId="37927" xr:uid="{694FC227-0E5C-4AD8-A376-5C53C72C9FAD}"/>
    <cellStyle name="60% - Accent4 29" xfId="35884" xr:uid="{8531C65E-F953-47E1-B574-701042637A2D}"/>
    <cellStyle name="60% - Accent4 29 2" xfId="37056" xr:uid="{57A9A73E-C763-441D-958C-60625B3E1757}"/>
    <cellStyle name="60% - Accent4 29 3" xfId="37950" xr:uid="{5F4EA192-246B-44A3-B4A9-BA7413CC1918}"/>
    <cellStyle name="60% - Accent4 3" xfId="108" xr:uid="{EE263DAB-3A04-4D1A-94A6-290309A18DDD}"/>
    <cellStyle name="60% - Accent4 3 10" xfId="37447" xr:uid="{F8E59BC5-0057-458D-99AF-90B8B0DA858A}"/>
    <cellStyle name="60% - Accent4 3 2" xfId="169" xr:uid="{F776597F-FC7C-4DC5-A0D0-55642DBE09C4}"/>
    <cellStyle name="60% - Accent4 3 3" xfId="230" xr:uid="{0864A0CE-5C2F-4AC3-B07A-70337F011838}"/>
    <cellStyle name="60% - Accent4 3 4" xfId="34462" xr:uid="{D76E37C9-0A97-457C-8619-39176260FEA8}"/>
    <cellStyle name="60% - Accent4 3 5" xfId="24128" xr:uid="{0D1EDEBB-1613-4700-8899-86E173F49BAF}"/>
    <cellStyle name="60% - Accent4 3 5 2" xfId="34970" xr:uid="{DEBC11D9-46EE-4231-A094-A3CA89804B5D}"/>
    <cellStyle name="60% - Accent4 3 6" xfId="35175" xr:uid="{5A075275-CBF4-4A0C-AF07-368F01633412}"/>
    <cellStyle name="60% - Accent4 3 7" xfId="35404" xr:uid="{ABCF1479-AB85-4475-B6A7-3DD13332FD3E}"/>
    <cellStyle name="60% - Accent4 3 8" xfId="36276" xr:uid="{04B0F510-1D0A-4297-A1F5-FFCE3E3D2B0F}"/>
    <cellStyle name="60% - Accent4 3 9" xfId="36562" xr:uid="{ECC37D88-8AB2-45C7-B3B2-935C221977D7}"/>
    <cellStyle name="60% - Accent4 30" xfId="35901" xr:uid="{31825624-6813-4C85-AC12-452F12755A17}"/>
    <cellStyle name="60% - Accent4 30 2" xfId="37073" xr:uid="{E7D54F32-0D7D-4485-8C00-668116BE3A40}"/>
    <cellStyle name="60% - Accent4 30 3" xfId="37968" xr:uid="{D9C4EA48-E2D3-475E-908C-15225C09F229}"/>
    <cellStyle name="60% - Accent4 31" xfId="35921" xr:uid="{1044EE2F-BE6E-451E-BC88-8E55F581E6F3}"/>
    <cellStyle name="60% - Accent4 31 2" xfId="37092" xr:uid="{DB179FE7-6B69-4E80-BC84-95F6CA15AB87}"/>
    <cellStyle name="60% - Accent4 31 3" xfId="37988" xr:uid="{829C2E19-8CB3-48A9-AB11-31A554129DA5}"/>
    <cellStyle name="60% - Accent4 32" xfId="35941" xr:uid="{51638400-F03F-4D7F-ACC9-F5B2701AC475}"/>
    <cellStyle name="60% - Accent4 32 2" xfId="37111" xr:uid="{5CBFFE5B-00CE-4A34-8912-267448A09493}"/>
    <cellStyle name="60% - Accent4 32 3" xfId="38008" xr:uid="{793EF54E-DA2D-46D2-89A1-A06E4F40FE5C}"/>
    <cellStyle name="60% - Accent4 33" xfId="35961" xr:uid="{53ADCC70-AE9C-467B-A57C-7F3B08B284D4}"/>
    <cellStyle name="60% - Accent4 33 2" xfId="37130" xr:uid="{2B75B253-92C2-479F-9374-5C8FBDABE05C}"/>
    <cellStyle name="60% - Accent4 33 3" xfId="38028" xr:uid="{F4C54A56-B169-4DA7-B896-47F736B029C8}"/>
    <cellStyle name="60% - Accent4 34" xfId="35981" xr:uid="{A9347F31-51D3-4882-99F5-4A2487F11BBA}"/>
    <cellStyle name="60% - Accent4 34 2" xfId="37150" xr:uid="{73D6C1B5-DD9B-4BC2-80B2-51AD829FB9A4}"/>
    <cellStyle name="60% - Accent4 34 3" xfId="38048" xr:uid="{628C508F-776F-4ACF-AE4B-B37CDACBEF15}"/>
    <cellStyle name="60% - Accent4 35" xfId="36001" xr:uid="{6C4D15C6-D9DA-4215-9CFD-43FFCD1C2E91}"/>
    <cellStyle name="60% - Accent4 35 2" xfId="37170" xr:uid="{6D66BE59-FDB4-433B-A0F8-8B7F20C5E0EC}"/>
    <cellStyle name="60% - Accent4 35 3" xfId="38068" xr:uid="{02EA8864-4243-4480-A829-78F44D16B473}"/>
    <cellStyle name="60% - Accent4 36" xfId="36021" xr:uid="{AAE672B6-787D-4E24-8563-AC3DFECD116C}"/>
    <cellStyle name="60% - Accent4 36 2" xfId="37190" xr:uid="{D8EA4ABD-B4B0-4793-B979-BEE1C8FA0F08}"/>
    <cellStyle name="60% - Accent4 36 3" xfId="38088" xr:uid="{63954ED6-27E6-4559-904F-F834CD6D0B08}"/>
    <cellStyle name="60% - Accent4 37" xfId="36041" xr:uid="{1BE10E67-49FE-4265-8580-C9300D6BD195}"/>
    <cellStyle name="60% - Accent4 37 2" xfId="37210" xr:uid="{3931378E-11DD-460B-BF58-DC7D8B0102CE}"/>
    <cellStyle name="60% - Accent4 37 3" xfId="38108" xr:uid="{EAD6FAB4-D430-47FF-9D47-5C3D3844B793}"/>
    <cellStyle name="60% - Accent4 38" xfId="36061" xr:uid="{A2A3C271-84DC-4494-93AC-FE8C77745CD2}"/>
    <cellStyle name="60% - Accent4 38 2" xfId="37230" xr:uid="{F8E47B3B-FF78-4A73-901A-01F320C43E91}"/>
    <cellStyle name="60% - Accent4 38 3" xfId="38128" xr:uid="{14A4087B-E77E-4930-92EE-1AC71598BE3B}"/>
    <cellStyle name="60% - Accent4 39" xfId="36081" xr:uid="{75D4940D-ABA7-4AFF-A955-DFFF953981FF}"/>
    <cellStyle name="60% - Accent4 39 2" xfId="37250" xr:uid="{2291A996-EFB1-4397-82BE-52B9458348A8}"/>
    <cellStyle name="60% - Accent4 39 3" xfId="38148" xr:uid="{FD9D8DBD-DB35-4811-9B66-8D5F9282F836}"/>
    <cellStyle name="60% - Accent4 4" xfId="127" xr:uid="{37EAD424-F56D-4AE3-85DA-4F57BAFA283B}"/>
    <cellStyle name="60% - Accent4 4 2" xfId="250" xr:uid="{07F9E548-31BB-41AD-9EF8-AB5FC7A6CDA2}"/>
    <cellStyle name="60% - Accent4 4 3" xfId="34481" xr:uid="{A1DBE0F8-E73C-4953-A312-3EFD8FD93F30}"/>
    <cellStyle name="60% - Accent4 4 4" xfId="34115" xr:uid="{BAED85CA-5B8F-49E3-BA65-9671EE552D37}"/>
    <cellStyle name="60% - Accent4 4 4 2" xfId="34989" xr:uid="{5F932B3A-01EE-424F-85C6-329A4711D03C}"/>
    <cellStyle name="60% - Accent4 4 5" xfId="35194" xr:uid="{A30CAFC0-AAC0-4BE3-A51B-3155F1ECCDDA}"/>
    <cellStyle name="60% - Accent4 4 6" xfId="35423" xr:uid="{8836532F-2A1C-4501-8D7C-22182B302363}"/>
    <cellStyle name="60% - Accent4 4 7" xfId="36295" xr:uid="{48B3B13F-14BB-4EDF-A0B4-182EC2E033A6}"/>
    <cellStyle name="60% - Accent4 4 8" xfId="36581" xr:uid="{7D0B119E-2511-4CDB-AD3C-BAC3CC97735E}"/>
    <cellStyle name="60% - Accent4 4 9" xfId="37466" xr:uid="{82272463-87F5-4CF0-920F-200A4ED93546}"/>
    <cellStyle name="60% - Accent4 40" xfId="36101" xr:uid="{5CB76667-7273-4872-ACCC-4291642A0D2D}"/>
    <cellStyle name="60% - Accent4 40 2" xfId="37270" xr:uid="{C9EE3339-4C2B-4E41-9970-BA4797E1F7F0}"/>
    <cellStyle name="60% - Accent4 40 3" xfId="38168" xr:uid="{498A74FE-37A3-4F36-8364-C3D4EDD65B67}"/>
    <cellStyle name="60% - Accent4 41" xfId="36121" xr:uid="{A654339E-4A86-4BA9-AA82-170099A33EAD}"/>
    <cellStyle name="60% - Accent4 41 2" xfId="37290" xr:uid="{B3D1F391-D9B0-42EB-9DC2-E733811F39BE}"/>
    <cellStyle name="60% - Accent4 41 3" xfId="38188" xr:uid="{36AC1BE0-7F69-4798-87C4-13BC1B8ADAC6}"/>
    <cellStyle name="60% - Accent4 42" xfId="36141" xr:uid="{6469E606-9B8D-4CB3-96ED-284EBDAC2B09}"/>
    <cellStyle name="60% - Accent4 42 2" xfId="37310" xr:uid="{1D98CCF8-B957-4058-939A-41C62574CA6B}"/>
    <cellStyle name="60% - Accent4 42 3" xfId="38208" xr:uid="{C4215B9D-58B2-41EA-BBA2-A0465910EF6F}"/>
    <cellStyle name="60% - Accent4 43" xfId="36161" xr:uid="{FC8C9005-A982-4E57-BDAB-775AD6F0A26D}"/>
    <cellStyle name="60% - Accent4 43 2" xfId="37330" xr:uid="{B6C0124D-1297-4A1D-8980-44721D417816}"/>
    <cellStyle name="60% - Accent4 43 3" xfId="38228" xr:uid="{A5EDD1C2-C65D-4A5F-BB0C-5558BE88DFE7}"/>
    <cellStyle name="60% - Accent4 44" xfId="36181" xr:uid="{2E2F507D-F163-42F0-81B5-C8E9BF835311}"/>
    <cellStyle name="60% - Accent4 44 2" xfId="37350" xr:uid="{150A565C-1C2B-4501-95CD-8E3ABF99389B}"/>
    <cellStyle name="60% - Accent4 44 3" xfId="38248" xr:uid="{50356DE7-ED4A-4DB5-BBFB-540AAA9039A8}"/>
    <cellStyle name="60% - Accent4 45" xfId="36201" xr:uid="{6BE9D0B1-33EA-41A7-8F54-9F20ADD10551}"/>
    <cellStyle name="60% - Accent4 45 2" xfId="37370" xr:uid="{BF769E11-F14B-4DD1-A314-ED96C43128D6}"/>
    <cellStyle name="60% - Accent4 45 3" xfId="38268" xr:uid="{DCDF36C6-AAD2-490B-8276-162BA8E81469}"/>
    <cellStyle name="60% - Accent4 46" xfId="36221" xr:uid="{5AB4073E-0644-4ECD-8AB9-7712B7369122}"/>
    <cellStyle name="60% - Accent4 46 2" xfId="37388" xr:uid="{FB9EAE7E-3355-4D83-B616-83ED7D88823F}"/>
    <cellStyle name="60% - Accent4 46 3" xfId="38288" xr:uid="{3FADC566-03E3-4B7E-B3D6-FAE44AA6B666}"/>
    <cellStyle name="60% - Accent4 47" xfId="36522" xr:uid="{D3A80114-5418-4DE3-A70A-64A79BB8C0A9}"/>
    <cellStyle name="60% - Accent4 48" xfId="37407" xr:uid="{2A9C54A7-020A-4F0B-884D-0612BF861264}"/>
    <cellStyle name="60% - Accent4 5" xfId="270" xr:uid="{2A8E0820-8ED8-42A4-A24D-AD21BCD325AB}"/>
    <cellStyle name="60% - Accent4 5 2" xfId="34806" xr:uid="{20586301-1C30-456E-8F68-FC2C144B10BF}"/>
    <cellStyle name="60% - Accent4 5 3" xfId="35008" xr:uid="{C960FD45-A03F-48ED-9DC4-D99F01CB36D5}"/>
    <cellStyle name="60% - Accent4 5 4" xfId="35214" xr:uid="{09702DE0-163E-480F-B1AE-B02C09F41B38}"/>
    <cellStyle name="60% - Accent4 5 5" xfId="35443" xr:uid="{C052A735-D4EC-437A-911B-AE4B1A3BE0EE}"/>
    <cellStyle name="60% - Accent4 5 6" xfId="36315" xr:uid="{D58D5888-CDC5-4C43-B788-67383148B278}"/>
    <cellStyle name="60% - Accent4 5 7" xfId="36601" xr:uid="{D5D5A65E-EDE2-431E-B77A-FE80D1854398}"/>
    <cellStyle name="60% - Accent4 5 8" xfId="37486" xr:uid="{3455D046-6DBF-4778-B3F0-B44C8663E468}"/>
    <cellStyle name="60% - Accent4 6" xfId="290" xr:uid="{C4760B65-C168-4206-8407-4E17FF2D69AA}"/>
    <cellStyle name="60% - Accent4 6 2" xfId="34825" xr:uid="{F7FEB34C-7D1A-4F02-A432-2D191569CAAA}"/>
    <cellStyle name="60% - Accent4 6 3" xfId="35027" xr:uid="{94456D56-20DA-4B53-B159-14719B39354C}"/>
    <cellStyle name="60% - Accent4 6 4" xfId="35233" xr:uid="{0C5D040A-AE04-45E7-BCB2-17623E11B72A}"/>
    <cellStyle name="60% - Accent4 6 5" xfId="35462" xr:uid="{C53A2E23-D642-43A6-B517-073344C7D955}"/>
    <cellStyle name="60% - Accent4 6 6" xfId="36334" xr:uid="{A32396DD-0EF2-460B-B867-3BA00D454E54}"/>
    <cellStyle name="60% - Accent4 6 7" xfId="36620" xr:uid="{57E836D4-69AA-4D6C-A636-869BE615937E}"/>
    <cellStyle name="60% - Accent4 6 8" xfId="37496" xr:uid="{72868C11-1B87-4FA4-BACA-8B21E5F95B26}"/>
    <cellStyle name="60% - Accent4 7" xfId="310" xr:uid="{8CFAA8AC-44E9-4CF2-B6CE-E5D7733BE21B}"/>
    <cellStyle name="60% - Accent4 7 2" xfId="34844" xr:uid="{53CCA00C-6E17-435C-A4A8-FB65A388B02A}"/>
    <cellStyle name="60% - Accent4 7 3" xfId="35046" xr:uid="{E8B84517-E13C-40BB-9E25-3D9AD823E72C}"/>
    <cellStyle name="60% - Accent4 7 4" xfId="35253" xr:uid="{5755C434-0B23-4EFB-8CFF-AA138404CD22}"/>
    <cellStyle name="60% - Accent4 7 5" xfId="35482" xr:uid="{5CD98729-BC90-4628-8EC6-875EDFD157F6}"/>
    <cellStyle name="60% - Accent4 7 6" xfId="36354" xr:uid="{D22F1986-08E7-4C2D-99E8-3A5354A0DADA}"/>
    <cellStyle name="60% - Accent4 7 7" xfId="36631" xr:uid="{BA1921BC-B47E-4C0B-A322-1682A228E50F}"/>
    <cellStyle name="60% - Accent4 7 8" xfId="37512" xr:uid="{45EC6900-9A79-4D7D-AD6F-80BBF9179829}"/>
    <cellStyle name="60% - Accent4 8" xfId="330" xr:uid="{4746935F-6963-441B-A85A-D6700289268B}"/>
    <cellStyle name="60% - Accent4 8 2" xfId="34863" xr:uid="{218F0890-A75D-4E5E-B73F-78BC1F0097EB}"/>
    <cellStyle name="60% - Accent4 8 3" xfId="35065" xr:uid="{5C228CB7-3478-4132-8BEB-EAF95CEF2B5D}"/>
    <cellStyle name="60% - Accent4 8 4" xfId="35272" xr:uid="{2BFC1DDA-EE2B-4B4B-9F16-CC94CD50470A}"/>
    <cellStyle name="60% - Accent4 8 5" xfId="35501" xr:uid="{43A93CCC-73A9-4039-9F95-390D7F6FA13E}"/>
    <cellStyle name="60% - Accent4 8 6" xfId="36364" xr:uid="{2BE1F529-DBE2-4190-9C96-A3DF49FA85DE}"/>
    <cellStyle name="60% - Accent4 8 7" xfId="36646" xr:uid="{3CE3F9DF-A18C-4076-A138-F73FB563DCA1}"/>
    <cellStyle name="60% - Accent4 8 8" xfId="37531" xr:uid="{ABB30F93-FD70-4D80-BBC8-B554BCD428E6}"/>
    <cellStyle name="60% - Accent4 9" xfId="350" xr:uid="{F48B5A03-EB2F-49FD-8587-57D1698F3989}"/>
    <cellStyle name="60% - Accent4 9 2" xfId="34883" xr:uid="{C1F9B9DA-4A6D-4D84-A5D4-D16994139961}"/>
    <cellStyle name="60% - Accent4 9 3" xfId="35084" xr:uid="{0C63CA6B-7867-4CB1-92D7-4C6356F41D7B}"/>
    <cellStyle name="60% - Accent4 9 4" xfId="35292" xr:uid="{E446C5EF-5B32-4165-A381-61CA66F68AE9}"/>
    <cellStyle name="60% - Accent4 9 5" xfId="35512" xr:uid="{95BC20C6-DE4E-42A3-BD6A-2EB8E505BAED}"/>
    <cellStyle name="60% - Accent4 9 6" xfId="36380" xr:uid="{90BD52AF-CD22-4ACC-940B-1682710979D6}"/>
    <cellStyle name="60% - Accent4 9 7" xfId="36666" xr:uid="{249B9DD1-7521-40B5-A296-AA840E89F2A2}"/>
    <cellStyle name="60% - Accent4 9 8" xfId="37551" xr:uid="{76FD9DF7-137B-40E0-BA3B-BAA26BD652EF}"/>
    <cellStyle name="60% - Accent5" xfId="40" builtinId="48" customBuiltin="1"/>
    <cellStyle name="60% - Accent5 10" xfId="191" xr:uid="{34E87058-A732-4593-A8D0-C4823F43FAEA}"/>
    <cellStyle name="60% - Accent5 10 2" xfId="34904" xr:uid="{6E08A5A0-1690-433C-B98C-FD5DDA367B51}"/>
    <cellStyle name="60% - Accent5 10 3" xfId="35106" xr:uid="{1BC4C5ED-38C7-4864-85A0-1FB6ADEC314F}"/>
    <cellStyle name="60% - Accent5 10 4" xfId="35304" xr:uid="{12E3197D-1E2D-433B-8800-3AC2A413F34C}"/>
    <cellStyle name="60% - Accent5 10 5" xfId="35529" xr:uid="{68A90168-4D92-4DA1-910C-8183615AE9E8}"/>
    <cellStyle name="60% - Accent5 10 6" xfId="36402" xr:uid="{59DD2280-63AF-4394-9FB3-3245F9315D43}"/>
    <cellStyle name="60% - Accent5 10 7" xfId="36688" xr:uid="{96DFE086-C543-4335-9561-C82C66D45791}"/>
    <cellStyle name="60% - Accent5 10 8" xfId="37573" xr:uid="{7AE9C36B-C07E-4C23-A8E8-8551EA1C69E0}"/>
    <cellStyle name="60% - Accent5 11" xfId="34662" xr:uid="{3035D971-878E-4F4F-B57A-A59B8CF34D6C}"/>
    <cellStyle name="60% - Accent5 11 2" xfId="35125" xr:uid="{48D02E3C-2C75-4106-8998-5BABA9FB44F2}"/>
    <cellStyle name="60% - Accent5 11 3" xfId="35311" xr:uid="{7B3122FE-A0E0-4518-AA01-52ED77DDC533}"/>
    <cellStyle name="60% - Accent5 11 4" xfId="35549" xr:uid="{4B317363-B234-4D68-9706-D72A68DF3A5D}"/>
    <cellStyle name="60% - Accent5 11 5" xfId="36422" xr:uid="{83F838E7-E0DA-44CF-9D1E-FB4D8AC8FA39}"/>
    <cellStyle name="60% - Accent5 11 6" xfId="36708" xr:uid="{7C809C36-AD7E-477B-AE4B-962D2768EFAB}"/>
    <cellStyle name="60% - Accent5 11 7" xfId="37593" xr:uid="{C48E8C8C-659F-4B29-BE51-EB135A0FC015}"/>
    <cellStyle name="60% - Accent5 12" xfId="34715" xr:uid="{C2477F11-00BF-4D1B-A683-B8BC3D3E7BE8}"/>
    <cellStyle name="60% - Accent5 12 2" xfId="35133" xr:uid="{A1017A4E-CFFE-4282-8600-292319B4DB22}"/>
    <cellStyle name="60% - Accent5 12 3" xfId="35328" xr:uid="{BF2F2D2C-E463-4350-89A5-F9F6ED29C2A5}"/>
    <cellStyle name="60% - Accent5 12 4" xfId="35568" xr:uid="{4D2FF3F3-1E0C-40DD-8EE3-C55280E1E448}"/>
    <cellStyle name="60% - Accent5 12 5" xfId="36441" xr:uid="{11007592-0933-4396-AA61-1ED3F944146A}"/>
    <cellStyle name="60% - Accent5 12 6" xfId="36727" xr:uid="{37D9BFF6-77F1-4388-9BED-FD486024F7A2}"/>
    <cellStyle name="60% - Accent5 12 7" xfId="37612" xr:uid="{109B7BE5-30C2-41AA-9DAD-EEA88CBBB0EB}"/>
    <cellStyle name="60% - Accent5 13" xfId="34743" xr:uid="{E11FB439-AB2D-4AFB-B5DE-BF4405C1201F}"/>
    <cellStyle name="60% - Accent5 13 2" xfId="35338" xr:uid="{BCCF093B-63A8-4CF0-BE13-6B2D926BB95D}"/>
    <cellStyle name="60% - Accent5 13 3" xfId="35587" xr:uid="{E93E4B65-2D5D-47AF-AD89-EE420AC1B046}"/>
    <cellStyle name="60% - Accent5 13 4" xfId="36462" xr:uid="{579ABFC9-6657-4BF1-A749-DB9343BB979B}"/>
    <cellStyle name="60% - Accent5 13 5" xfId="36748" xr:uid="{D241C407-6B54-44D5-AB60-4C7D80A66621}"/>
    <cellStyle name="60% - Accent5 13 6" xfId="37633" xr:uid="{815732FE-F066-44D4-B248-AA60D17E231A}"/>
    <cellStyle name="60% - Accent5 14" xfId="34933" xr:uid="{7C1ECC64-9E0F-4345-BC32-F3C18B4119A6}"/>
    <cellStyle name="60% - Accent5 14 2" xfId="36470" xr:uid="{69170F13-784C-422B-9D71-7EB35513DAD7}"/>
    <cellStyle name="60% - Accent5 14 3" xfId="36768" xr:uid="{830D218F-E64B-4716-A159-46F5BDB8BE3E}"/>
    <cellStyle name="60% - Accent5 14 4" xfId="37653" xr:uid="{E64CA933-D03F-47F9-AED5-230A5D38B440}"/>
    <cellStyle name="60% - Accent5 15" xfId="35140" xr:uid="{6C4CC473-8224-4AAC-B740-1851EDEE031A}"/>
    <cellStyle name="60% - Accent5 15 2" xfId="36487" xr:uid="{C88F9B12-4CE5-4913-9426-D2F3F68F8F32}"/>
    <cellStyle name="60% - Accent5 15 3" xfId="36785" xr:uid="{17882EDA-A164-4499-B806-5F614884A390}"/>
    <cellStyle name="60% - Accent5 15 4" xfId="37673" xr:uid="{463AAD2E-1283-495C-BDE8-92BC508F04F0}"/>
    <cellStyle name="60% - Accent5 16" xfId="35367" xr:uid="{44D594C1-3FA9-4D3F-BA9E-FB4233F13F56}"/>
    <cellStyle name="60% - Accent5 16 2" xfId="36505" xr:uid="{64BE5D51-C9E0-4430-B32E-18D6851B8670}"/>
    <cellStyle name="60% - Accent5 16 3" xfId="36803" xr:uid="{95A907D0-E827-48B5-8A5C-E0BA3B94F134}"/>
    <cellStyle name="60% - Accent5 16 4" xfId="37692" xr:uid="{237CB25F-60CF-4AFA-8133-788AE12DBBCE}"/>
    <cellStyle name="60% - Accent5 17" xfId="35654" xr:uid="{5C3A8B1A-DCC0-4673-A67F-B43AB9635379}"/>
    <cellStyle name="60% - Accent5 17 2" xfId="36822" xr:uid="{A41220D4-7AEB-4985-B77E-F0F167E9B762}"/>
    <cellStyle name="60% - Accent5 17 3" xfId="37712" xr:uid="{CC2A4D82-9C35-4D2C-B0C9-B60331727FCB}"/>
    <cellStyle name="60% - Accent5 18" xfId="35672" xr:uid="{C27E74B8-3E38-4025-807D-29829DD87EEA}"/>
    <cellStyle name="60% - Accent5 18 2" xfId="36841" xr:uid="{33A4543B-6A10-45DD-BFC2-B71A50406DC4}"/>
    <cellStyle name="60% - Accent5 18 3" xfId="37731" xr:uid="{623C58A2-66AF-437D-94A2-DA5CA2E040F9}"/>
    <cellStyle name="60% - Accent5 19" xfId="35691" xr:uid="{B1779831-84FD-44B8-8652-CDE089ED4048}"/>
    <cellStyle name="60% - Accent5 19 2" xfId="36860" xr:uid="{98070B5D-6874-455E-8298-BC33F3621E82}"/>
    <cellStyle name="60% - Accent5 19 3" xfId="37750" xr:uid="{5143FB09-ACE8-4CEA-A326-D4758620FB45}"/>
    <cellStyle name="60% - Accent5 2" xfId="59" xr:uid="{7FD169BA-327A-45C1-A88C-257571BCC19F}"/>
    <cellStyle name="60% - Accent5 2 10" xfId="36546" xr:uid="{3DF4D278-E173-4456-9C93-A56BD9A1BD75}"/>
    <cellStyle name="60% - Accent5 2 11" xfId="37431" xr:uid="{E1001011-A590-4AB9-B668-AAB5325D650D}"/>
    <cellStyle name="60% - Accent5 2 2" xfId="91" xr:uid="{AC0658A2-42C5-44AD-95D7-87C19074080E}"/>
    <cellStyle name="60% - Accent5 2 3" xfId="152" xr:uid="{B37AF3C2-A65B-47FF-9393-38367FEF81D9}"/>
    <cellStyle name="60% - Accent5 2 4" xfId="213" xr:uid="{62824B53-5AC0-4A7F-9ED3-4AC74D0E7B8B}"/>
    <cellStyle name="60% - Accent5 2 5" xfId="34423" xr:uid="{C3846FA0-79A5-4EED-98A7-AEE4EA4D5055}"/>
    <cellStyle name="60% - Accent5 2 5 2" xfId="34764" xr:uid="{0263B79A-AFA2-44FD-984E-AF4DFC8D2BE7}"/>
    <cellStyle name="60% - Accent5 2 6" xfId="17452" xr:uid="{510306A6-E525-4AD7-A0C7-08977656960E}"/>
    <cellStyle name="60% - Accent5 2 6 2" xfId="34954" xr:uid="{25661CFC-E802-4596-A782-E6B7A41641EE}"/>
    <cellStyle name="60% - Accent5 2 7" xfId="35159" xr:uid="{C86961E2-0DA4-41A3-B760-7DC10D6CFA8B}"/>
    <cellStyle name="60% - Accent5 2 8" xfId="35388" xr:uid="{1A74B65A-40B0-460C-BA3F-593DD59CC741}"/>
    <cellStyle name="60% - Accent5 2 9" xfId="36260" xr:uid="{D20ECA9B-0AE6-4000-8E0A-0EE0CE527234}"/>
    <cellStyle name="60% - Accent5 20" xfId="35710" xr:uid="{DB762DA3-2F0B-4012-B265-37C1C33675F1}"/>
    <cellStyle name="60% - Accent5 20 2" xfId="36879" xr:uid="{F542A084-B1AC-4CE9-AC66-6790A14396CB}"/>
    <cellStyle name="60% - Accent5 20 3" xfId="37770" xr:uid="{AE7E8348-B75D-4A1F-9C90-4F0E7CD12656}"/>
    <cellStyle name="60% - Accent5 21" xfId="35729" xr:uid="{8F6BD930-645E-45BA-A511-FF4B9D03E528}"/>
    <cellStyle name="60% - Accent5 21 2" xfId="36899" xr:uid="{D931BE9A-8C2D-4C57-9AEE-E023F33F72F4}"/>
    <cellStyle name="60% - Accent5 21 3" xfId="37790" xr:uid="{E3DA3375-78FB-442B-8D6D-543EB0114C53}"/>
    <cellStyle name="60% - Accent5 22" xfId="35748" xr:uid="{64EDED37-F905-4C28-A313-507AA9B8872A}"/>
    <cellStyle name="60% - Accent5 22 2" xfId="36919" xr:uid="{82913AC0-40DD-42CD-AF38-6B70601DA70F}"/>
    <cellStyle name="60% - Accent5 22 3" xfId="37810" xr:uid="{21B0837B-FFBA-4F02-A585-0987059596AC}"/>
    <cellStyle name="60% - Accent5 23" xfId="35768" xr:uid="{E41533C1-B9CE-4232-A058-994197DF2316}"/>
    <cellStyle name="60% - Accent5 23 2" xfId="36938" xr:uid="{8D45EB6B-FB7C-4345-AA90-DC9CA1C3E495}"/>
    <cellStyle name="60% - Accent5 23 3" xfId="37830" xr:uid="{B7932914-4B9D-4598-BC84-1564B0311370}"/>
    <cellStyle name="60% - Accent5 24" xfId="35788" xr:uid="{CD2C5F34-D455-4563-BC7F-0A12522DFE65}"/>
    <cellStyle name="60% - Accent5 24 2" xfId="36957" xr:uid="{AD59A1E8-7796-4200-935E-2573E390FB42}"/>
    <cellStyle name="60% - Accent5 24 3" xfId="37850" xr:uid="{DEDE49EB-734B-4230-8AC3-93DBADAA0ECB}"/>
    <cellStyle name="60% - Accent5 25" xfId="35807" xr:uid="{268323A0-2173-4117-BD0D-A03BE8F11EC8}"/>
    <cellStyle name="60% - Accent5 25 2" xfId="36977" xr:uid="{BD86AE3B-E9CD-46C0-9090-EC8F616DF459}"/>
    <cellStyle name="60% - Accent5 25 3" xfId="37870" xr:uid="{88EEB4D0-AC01-43F5-A2F1-FFFAC1E73B3B}"/>
    <cellStyle name="60% - Accent5 26" xfId="35826" xr:uid="{FF76BE2B-C743-4EE0-B7AF-2BC57913CE80}"/>
    <cellStyle name="60% - Accent5 26 2" xfId="36997" xr:uid="{A07814BE-8F73-4C50-B3A1-38618C3B999D}"/>
    <cellStyle name="60% - Accent5 26 3" xfId="37890" xr:uid="{C936CFEB-6A0B-4ED1-9CD5-C506D141F1B5}"/>
    <cellStyle name="60% - Accent5 27" xfId="35845" xr:uid="{B3D8ED6E-A989-481A-B4E0-58BB320AFC37}"/>
    <cellStyle name="60% - Accent5 27 2" xfId="37017" xr:uid="{CF3CCF76-0048-4023-98A6-9C4AFCA8D918}"/>
    <cellStyle name="60% - Accent5 27 3" xfId="37910" xr:uid="{D809E659-B85A-48A3-8BC8-F151AA95C12D}"/>
    <cellStyle name="60% - Accent5 28" xfId="35864" xr:uid="{4CB0C7A1-86AB-4035-8D5E-A78FD4918CE4}"/>
    <cellStyle name="60% - Accent5 28 2" xfId="37037" xr:uid="{2B0E8DD2-6361-4378-A864-AB2D4988E2A4}"/>
    <cellStyle name="60% - Accent5 28 3" xfId="37930" xr:uid="{865D8ED3-E301-4E53-8145-8D9D210D4E2C}"/>
    <cellStyle name="60% - Accent5 29" xfId="35885" xr:uid="{15CB06FA-087C-4F4A-A294-AC32B32F5E23}"/>
    <cellStyle name="60% - Accent5 29 2" xfId="37057" xr:uid="{3DBDAA41-5887-40D7-959A-ABD0C9B78307}"/>
    <cellStyle name="60% - Accent5 29 3" xfId="37951" xr:uid="{56A0D070-809A-497E-A21C-AE4A3D2405B7}"/>
    <cellStyle name="60% - Accent5 3" xfId="111" xr:uid="{BBD0877C-81A7-4DBF-869A-D3BF1AFCFA26}"/>
    <cellStyle name="60% - Accent5 3 10" xfId="37450" xr:uid="{9E65AB14-9FD8-4EDC-BF85-39C763CE6010}"/>
    <cellStyle name="60% - Accent5 3 2" xfId="172" xr:uid="{1BDE3A74-DD19-4C4F-B3F7-1E7EE8FDA33D}"/>
    <cellStyle name="60% - Accent5 3 3" xfId="233" xr:uid="{CC70CAC5-69FD-437B-AA3E-5ED02B7424C2}"/>
    <cellStyle name="60% - Accent5 3 4" xfId="34465" xr:uid="{0ACB9D68-3461-4171-B5E5-4126191D700A}"/>
    <cellStyle name="60% - Accent5 3 5" xfId="26264" xr:uid="{92E91F98-273C-4BCC-A74F-7F82A4C9DF65}"/>
    <cellStyle name="60% - Accent5 3 5 2" xfId="34973" xr:uid="{B4FD6B10-41D4-4258-9E0B-914497816D7C}"/>
    <cellStyle name="60% - Accent5 3 6" xfId="35178" xr:uid="{68BC68EE-F98F-4A24-8EF1-F3C2C8665F7E}"/>
    <cellStyle name="60% - Accent5 3 7" xfId="35407" xr:uid="{4886CECE-470A-4A61-A2C7-A1D67B000675}"/>
    <cellStyle name="60% - Accent5 3 8" xfId="36279" xr:uid="{3AF2174A-2B9F-4D38-967E-2273A1206864}"/>
    <cellStyle name="60% - Accent5 3 9" xfId="36565" xr:uid="{EAAA534F-05F6-452B-B41C-12842B9493ED}"/>
    <cellStyle name="60% - Accent5 30" xfId="35904" xr:uid="{18AFB40E-46FD-42DE-A66B-B5BC9C8E517F}"/>
    <cellStyle name="60% - Accent5 30 2" xfId="37076" xr:uid="{EEB67DFF-9F1E-4219-B9BF-6E07618FEA1A}"/>
    <cellStyle name="60% - Accent5 30 3" xfId="37971" xr:uid="{70618550-08B3-4595-9E7F-645DCEAC5DDB}"/>
    <cellStyle name="60% - Accent5 31" xfId="35924" xr:uid="{6771AB61-2E4D-48E7-ADFC-0F663FC33CFE}"/>
    <cellStyle name="60% - Accent5 31 2" xfId="37095" xr:uid="{7C742968-00C8-4BB9-9EDD-EF5943AAB2FD}"/>
    <cellStyle name="60% - Accent5 31 3" xfId="37991" xr:uid="{3BAD8BB5-241A-49DC-AA50-F813DA8A9E52}"/>
    <cellStyle name="60% - Accent5 32" xfId="35944" xr:uid="{56202BDA-68CE-4100-90F8-0C4F822CA583}"/>
    <cellStyle name="60% - Accent5 32 2" xfId="37114" xr:uid="{A301C85A-CE6C-47CF-8F35-CB7D26703A19}"/>
    <cellStyle name="60% - Accent5 32 3" xfId="38011" xr:uid="{B5D9E2F2-236E-46FC-B031-5591410E6140}"/>
    <cellStyle name="60% - Accent5 33" xfId="35964" xr:uid="{65C8107B-5B1C-4C50-B638-1762E61B3DC1}"/>
    <cellStyle name="60% - Accent5 33 2" xfId="37133" xr:uid="{46445822-1705-4E9B-BC95-34B1EE788005}"/>
    <cellStyle name="60% - Accent5 33 3" xfId="38031" xr:uid="{6C5F341E-F615-4CA3-A932-C60C29780021}"/>
    <cellStyle name="60% - Accent5 34" xfId="35984" xr:uid="{B2B60A8A-FF72-4E19-8178-135B3A27F513}"/>
    <cellStyle name="60% - Accent5 34 2" xfId="37153" xr:uid="{44D43A5C-C7A3-4965-BF15-E0F4D2B495AD}"/>
    <cellStyle name="60% - Accent5 34 3" xfId="38051" xr:uid="{205BE13D-015E-4853-B42A-4C36F90CAA71}"/>
    <cellStyle name="60% - Accent5 35" xfId="36004" xr:uid="{362212AE-7EE5-41F1-AA19-6830E3E7670D}"/>
    <cellStyle name="60% - Accent5 35 2" xfId="37173" xr:uid="{A68B77A2-5BA9-41DD-AD61-C92BFE5E8632}"/>
    <cellStyle name="60% - Accent5 35 3" xfId="38071" xr:uid="{3E84D4EC-7D2F-4686-9D32-4E9197E0FFC4}"/>
    <cellStyle name="60% - Accent5 36" xfId="36024" xr:uid="{5A693357-179F-4CD1-9C02-1BB48C28AC29}"/>
    <cellStyle name="60% - Accent5 36 2" xfId="37193" xr:uid="{B9061DEB-BB4E-4EA2-A863-D29B0E1586D3}"/>
    <cellStyle name="60% - Accent5 36 3" xfId="38091" xr:uid="{38A1B1C2-2B45-432E-8784-AF75C1F079F3}"/>
    <cellStyle name="60% - Accent5 37" xfId="36044" xr:uid="{F05B12DA-8847-4795-9665-69A377DFEC6A}"/>
    <cellStyle name="60% - Accent5 37 2" xfId="37213" xr:uid="{54EC8286-A375-462C-8AFE-96055B8EE698}"/>
    <cellStyle name="60% - Accent5 37 3" xfId="38111" xr:uid="{2E7E6D73-99C6-42BD-B93E-59859BEB9296}"/>
    <cellStyle name="60% - Accent5 38" xfId="36064" xr:uid="{32B8DE25-E8A5-4DB8-B405-7EC7C3954783}"/>
    <cellStyle name="60% - Accent5 38 2" xfId="37233" xr:uid="{087D5DD5-BBB8-485D-B509-6623F432DA7D}"/>
    <cellStyle name="60% - Accent5 38 3" xfId="38131" xr:uid="{4413CE50-7102-4F66-B45A-65ADEBBFB897}"/>
    <cellStyle name="60% - Accent5 39" xfId="36084" xr:uid="{90455193-858F-40C5-B82A-D031E20EA0D2}"/>
    <cellStyle name="60% - Accent5 39 2" xfId="37253" xr:uid="{2D625813-49CB-4290-A8E0-D91DBD81358E}"/>
    <cellStyle name="60% - Accent5 39 3" xfId="38151" xr:uid="{3816C825-A4E9-4668-ABBD-52E778BAFD7A}"/>
    <cellStyle name="60% - Accent5 4" xfId="130" xr:uid="{9DBC034B-7E89-414D-900D-D529206B400C}"/>
    <cellStyle name="60% - Accent5 4 2" xfId="253" xr:uid="{051CEB2A-B047-46EA-BB8F-638C13A124E0}"/>
    <cellStyle name="60% - Accent5 4 3" xfId="34484" xr:uid="{0737F64A-A5EC-448D-ACEF-A2CFB8B38412}"/>
    <cellStyle name="60% - Accent5 4 4" xfId="24880" xr:uid="{F12EAEAD-F41C-4CAD-B39C-2F0B367F3598}"/>
    <cellStyle name="60% - Accent5 4 4 2" xfId="34992" xr:uid="{41D774E1-028D-4768-BAC8-FE27CD7680FB}"/>
    <cellStyle name="60% - Accent5 4 5" xfId="35197" xr:uid="{E03010A1-B11F-4D29-A2E7-1D2A9A6CF72B}"/>
    <cellStyle name="60% - Accent5 4 6" xfId="35426" xr:uid="{6C24077D-3F02-4E70-9C55-A64076E84F1B}"/>
    <cellStyle name="60% - Accent5 4 7" xfId="36298" xr:uid="{ACD706FA-10E5-4906-988B-CC9422B92416}"/>
    <cellStyle name="60% - Accent5 4 8" xfId="36584" xr:uid="{DB4A4A3D-0954-4922-9618-A3DD8B6C9DEE}"/>
    <cellStyle name="60% - Accent5 4 9" xfId="37469" xr:uid="{F97C4531-802F-4A24-9667-452B5B1CE764}"/>
    <cellStyle name="60% - Accent5 40" xfId="36104" xr:uid="{5FCF581C-E9CE-42FF-8414-154B6939847D}"/>
    <cellStyle name="60% - Accent5 40 2" xfId="37273" xr:uid="{B7D8058C-BC53-46F7-A7DF-DB041B58D0B6}"/>
    <cellStyle name="60% - Accent5 40 3" xfId="38171" xr:uid="{D44FB995-4518-4982-905D-2F2F7121375D}"/>
    <cellStyle name="60% - Accent5 41" xfId="36124" xr:uid="{4DEB240E-C4DD-4680-BFAE-FCA128867595}"/>
    <cellStyle name="60% - Accent5 41 2" xfId="37293" xr:uid="{24F60906-7978-430C-BF9F-8517D713CBFE}"/>
    <cellStyle name="60% - Accent5 41 3" xfId="38191" xr:uid="{5A2691E5-ABF8-414C-BC38-A40D0C2BFE95}"/>
    <cellStyle name="60% - Accent5 42" xfId="36144" xr:uid="{A1CAA83C-05C6-4FF0-AD7B-792045337C40}"/>
    <cellStyle name="60% - Accent5 42 2" xfId="37313" xr:uid="{8CA2781C-7AAF-4D25-AF8C-CD6D81617677}"/>
    <cellStyle name="60% - Accent5 42 3" xfId="38211" xr:uid="{8FDF045F-4D4B-4154-ADD5-A7267368B6B0}"/>
    <cellStyle name="60% - Accent5 43" xfId="36164" xr:uid="{F3803454-60CA-4E49-A1D7-02B7C30D0F82}"/>
    <cellStyle name="60% - Accent5 43 2" xfId="37333" xr:uid="{B9D45CBA-33AC-42CF-BC79-3C8E310B9961}"/>
    <cellStyle name="60% - Accent5 43 3" xfId="38231" xr:uid="{43C23573-3287-4D76-A01B-7134F54A0B71}"/>
    <cellStyle name="60% - Accent5 44" xfId="36184" xr:uid="{701C5EA7-8C63-4570-B8E6-B410A2D086FD}"/>
    <cellStyle name="60% - Accent5 44 2" xfId="37353" xr:uid="{C5F2DBEA-6211-401D-BD3D-CC99065EC669}"/>
    <cellStyle name="60% - Accent5 44 3" xfId="38251" xr:uid="{777A641A-E9A3-4A29-B11D-ADD22FD928CD}"/>
    <cellStyle name="60% - Accent5 45" xfId="36204" xr:uid="{FE923669-8EF0-4D9B-ACD2-B47F0BB42230}"/>
    <cellStyle name="60% - Accent5 45 2" xfId="37373" xr:uid="{37863E2D-ABA9-44C4-8230-CB0A283EA4FA}"/>
    <cellStyle name="60% - Accent5 45 3" xfId="38271" xr:uid="{0AC9C502-5BAD-43C3-934C-200602F392EB}"/>
    <cellStyle name="60% - Accent5 46" xfId="36224" xr:uid="{C26350F2-A5CD-455F-BE95-929AC0B489FA}"/>
    <cellStyle name="60% - Accent5 46 2" xfId="37391" xr:uid="{CBD2226B-32FA-4F6A-BC4C-F9EB44A66536}"/>
    <cellStyle name="60% - Accent5 46 3" xfId="38291" xr:uid="{77300F8F-079B-4851-9676-85AA9C195C22}"/>
    <cellStyle name="60% - Accent5 47" xfId="36525" xr:uid="{5EAB5C10-6C72-4A18-B795-8C033DCACA61}"/>
    <cellStyle name="60% - Accent5 48" xfId="37410" xr:uid="{A27E501C-7A0D-4927-AECA-500A2AB97904}"/>
    <cellStyle name="60% - Accent5 5" xfId="273" xr:uid="{41054BE0-4352-48BD-AD45-FACBD2AC3729}"/>
    <cellStyle name="60% - Accent5 5 2" xfId="34809" xr:uid="{853339D3-5A50-4C72-8251-1F3326D27A94}"/>
    <cellStyle name="60% - Accent5 5 3" xfId="35011" xr:uid="{9D83180E-E2AE-48C8-B498-0BFFCCF792C1}"/>
    <cellStyle name="60% - Accent5 5 4" xfId="35217" xr:uid="{ACDC32FF-8D84-4904-869A-0350227767A1}"/>
    <cellStyle name="60% - Accent5 5 5" xfId="35446" xr:uid="{C9CBB1E8-67F6-46D3-AFBA-B364C37C3A94}"/>
    <cellStyle name="60% - Accent5 5 6" xfId="36318" xr:uid="{C16F37AC-40CF-44E7-A284-5B29C2460953}"/>
    <cellStyle name="60% - Accent5 5 7" xfId="36604" xr:uid="{6A3EC454-1CD6-4B55-8AE7-C55E445C4AED}"/>
    <cellStyle name="60% - Accent5 5 8" xfId="37489" xr:uid="{9EABC97D-4D48-48A8-B894-24D181800844}"/>
    <cellStyle name="60% - Accent5 6" xfId="293" xr:uid="{252B4084-41DD-4E3D-903C-B14C6DF7EB27}"/>
    <cellStyle name="60% - Accent5 6 2" xfId="34828" xr:uid="{C24AD55B-75AC-4C2B-A60F-65E7B6254462}"/>
    <cellStyle name="60% - Accent5 6 3" xfId="35030" xr:uid="{27BACF92-5992-46F1-B7CB-D29CD701784E}"/>
    <cellStyle name="60% - Accent5 6 4" xfId="35236" xr:uid="{1D6D6729-CD46-4886-A4E2-FD96D6A65548}"/>
    <cellStyle name="60% - Accent5 6 5" xfId="35465" xr:uid="{01815421-2749-4036-9B5C-CD01A65D3D40}"/>
    <cellStyle name="60% - Accent5 6 6" xfId="36337" xr:uid="{7F2D4CEF-EE65-445E-BFAA-D41CFB65EE43}"/>
    <cellStyle name="60% - Accent5 6 7" xfId="36623" xr:uid="{16241199-71FE-4247-9CBD-EFC161779B5F}"/>
    <cellStyle name="60% - Accent5 6 8" xfId="37497" xr:uid="{8F7E90EF-CEFC-4B07-9CF3-E066E1393211}"/>
    <cellStyle name="60% - Accent5 7" xfId="313" xr:uid="{19483EF2-0D90-4379-B95B-0C91F21DB105}"/>
    <cellStyle name="60% - Accent5 7 2" xfId="34847" xr:uid="{FE159C0E-8198-4165-8FD7-1F4B71E7F079}"/>
    <cellStyle name="60% - Accent5 7 3" xfId="35049" xr:uid="{401B3909-314E-4C65-AB69-23D50026C28B}"/>
    <cellStyle name="60% - Accent5 7 4" xfId="35256" xr:uid="{632ECF98-EFBA-492C-835C-A165BCB1B33E}"/>
    <cellStyle name="60% - Accent5 7 5" xfId="35485" xr:uid="{FBDBAF68-FFCA-407C-BB6B-8292ABFC5801}"/>
    <cellStyle name="60% - Accent5 7 6" xfId="36357" xr:uid="{9F6FC325-265A-4066-9FD3-0840B077C80B}"/>
    <cellStyle name="60% - Accent5 7 7" xfId="36632" xr:uid="{9661C624-DFB2-4532-91EE-1C378DB16D57}"/>
    <cellStyle name="60% - Accent5 7 8" xfId="37515" xr:uid="{0B0C1CEB-5A12-40CC-8056-4031BA43CD15}"/>
    <cellStyle name="60% - Accent5 8" xfId="333" xr:uid="{A5F6FF9C-5447-4135-981D-D42A40FD57B4}"/>
    <cellStyle name="60% - Accent5 8 2" xfId="34866" xr:uid="{CF4FFE8B-E3C2-4C37-BF4A-1C4395DE67A5}"/>
    <cellStyle name="60% - Accent5 8 3" xfId="35068" xr:uid="{B55B6840-B033-4DDD-BDA6-3719EAA978AF}"/>
    <cellStyle name="60% - Accent5 8 4" xfId="35275" xr:uid="{B8BBBE4B-C996-4561-9A28-CE858FB4FA25}"/>
    <cellStyle name="60% - Accent5 8 5" xfId="35504" xr:uid="{625B7B4F-4169-46B2-80AF-8206F09E9AB1}"/>
    <cellStyle name="60% - Accent5 8 6" xfId="36365" xr:uid="{A40293ED-CDDF-42FD-8535-22D36393D0DA}"/>
    <cellStyle name="60% - Accent5 8 7" xfId="36649" xr:uid="{CBF4FA3C-075E-42C8-92EF-764044FF3E18}"/>
    <cellStyle name="60% - Accent5 8 8" xfId="37534" xr:uid="{59DAD50D-C9A0-433B-8AE4-F9E56CBC3F35}"/>
    <cellStyle name="60% - Accent5 9" xfId="353" xr:uid="{D3B98B65-5D6F-4548-B5D5-701D107E4676}"/>
    <cellStyle name="60% - Accent5 9 2" xfId="34886" xr:uid="{649D8E6E-E5F5-4BAF-BC9D-163FC3111494}"/>
    <cellStyle name="60% - Accent5 9 3" xfId="35087" xr:uid="{A6883204-83D1-4E32-AD54-B5859743DED4}"/>
    <cellStyle name="60% - Accent5 9 4" xfId="35295" xr:uid="{324FDAE7-A497-42FC-A6AC-CEDCD76DE113}"/>
    <cellStyle name="60% - Accent5 9 5" xfId="35513" xr:uid="{BF9C4C46-B837-40BB-9F02-B1227CDEDAF7}"/>
    <cellStyle name="60% - Accent5 9 6" xfId="36383" xr:uid="{FB5C7DAF-6E37-46CE-95F7-4031F5C1C61D}"/>
    <cellStyle name="60% - Accent5 9 7" xfId="36669" xr:uid="{992B252E-1B2D-4EF6-80F9-043B08ACE8DA}"/>
    <cellStyle name="60% - Accent5 9 8" xfId="37554" xr:uid="{C9DBF965-EB5F-43E1-A6E6-2CF38B453EFB}"/>
    <cellStyle name="60% - Accent6" xfId="44" builtinId="52" customBuiltin="1"/>
    <cellStyle name="60% - Accent6 10" xfId="194" xr:uid="{43E9B6E9-AFA0-4098-9233-650B15F0B024}"/>
    <cellStyle name="60% - Accent6 10 2" xfId="34907" xr:uid="{B0A78A63-2FF7-487D-9EF3-FCE0F17E6D18}"/>
    <cellStyle name="60% - Accent6 10 3" xfId="35109" xr:uid="{5523F5BD-A627-49D0-BB16-F5331AE100AA}"/>
    <cellStyle name="60% - Accent6 10 4" xfId="35305" xr:uid="{13B29B1A-115B-41F8-83F8-FFF43F2CC5E1}"/>
    <cellStyle name="60% - Accent6 10 5" xfId="35532" xr:uid="{614EF049-FD75-48F9-BF77-29A413BC185D}"/>
    <cellStyle name="60% - Accent6 10 6" xfId="36405" xr:uid="{B2B49500-E5FC-4DC3-B3A4-5FBBCEC8ABEF}"/>
    <cellStyle name="60% - Accent6 10 7" xfId="36691" xr:uid="{5E720082-0FB2-48E6-AB31-6DC8421F63E4}"/>
    <cellStyle name="60% - Accent6 10 8" xfId="37576" xr:uid="{3A08C2BB-282F-4C49-9BEB-A0FD197614FF}"/>
    <cellStyle name="60% - Accent6 11" xfId="34663" xr:uid="{8D5C1B7F-0A90-4E0C-B568-A22529AE28B9}"/>
    <cellStyle name="60% - Accent6 11 2" xfId="35128" xr:uid="{F7B39AD2-A32D-42B5-83CC-5A3E75EAE705}"/>
    <cellStyle name="60% - Accent6 11 3" xfId="35312" xr:uid="{1D6F0397-9B3B-4E4D-8429-5F609A558C81}"/>
    <cellStyle name="60% - Accent6 11 4" xfId="35552" xr:uid="{B0AACF41-9DB6-43D6-8C80-AF677A5C7C8A}"/>
    <cellStyle name="60% - Accent6 11 5" xfId="36425" xr:uid="{2AA7FD81-2237-4DE6-9BBB-44444EAF6683}"/>
    <cellStyle name="60% - Accent6 11 6" xfId="36711" xr:uid="{89D11220-DED2-4F51-AC45-22577D3A9D2D}"/>
    <cellStyle name="60% - Accent6 11 7" xfId="37596" xr:uid="{F75A90A2-FFC1-4D92-A444-C6037A90EC6A}"/>
    <cellStyle name="60% - Accent6 12" xfId="34718" xr:uid="{6B0834F2-BE98-4BB0-9204-693306B02ECE}"/>
    <cellStyle name="60% - Accent6 12 2" xfId="35134" xr:uid="{B752BE20-4D4A-4AC6-B5C6-E86EE1DE1014}"/>
    <cellStyle name="60% - Accent6 12 3" xfId="35331" xr:uid="{2371FF33-3488-438F-B511-B09D40664496}"/>
    <cellStyle name="60% - Accent6 12 4" xfId="35571" xr:uid="{F7B5318E-9F0A-4BD6-9B96-41B88A829C54}"/>
    <cellStyle name="60% - Accent6 12 5" xfId="36444" xr:uid="{BD2A9CE5-4702-4F79-93D3-0B22951E1008}"/>
    <cellStyle name="60% - Accent6 12 6" xfId="36730" xr:uid="{03705EC5-979A-4A3A-8A36-02D92C713747}"/>
    <cellStyle name="60% - Accent6 12 7" xfId="37615" xr:uid="{887DBE81-FC26-4E8D-B169-5B12647B9CA2}"/>
    <cellStyle name="60% - Accent6 13" xfId="34746" xr:uid="{D92FD894-7081-4E3F-B7FE-DC9DDA66982C}"/>
    <cellStyle name="60% - Accent6 13 2" xfId="35339" xr:uid="{548A73D6-9FD5-4333-8441-32290ED33AE6}"/>
    <cellStyle name="60% - Accent6 13 3" xfId="35590" xr:uid="{F72ACBCD-115B-410A-AD24-34F1A6027BFF}"/>
    <cellStyle name="60% - Accent6 13 4" xfId="36465" xr:uid="{FC65C9D9-F795-46CE-99ED-6698C59DE742}"/>
    <cellStyle name="60% - Accent6 13 5" xfId="36751" xr:uid="{E65EE41F-1BC5-48CC-A42F-D58580450D75}"/>
    <cellStyle name="60% - Accent6 13 6" xfId="37636" xr:uid="{C6B77057-4F2E-4B9F-ABFD-45FCC10C7EF4}"/>
    <cellStyle name="60% - Accent6 14" xfId="34936" xr:uid="{2757735C-8801-417E-B622-3FF5CD2026D5}"/>
    <cellStyle name="60% - Accent6 14 2" xfId="36471" xr:uid="{3CCA5A64-AA74-4F82-9F74-B5C91FFD5CB7}"/>
    <cellStyle name="60% - Accent6 14 3" xfId="36769" xr:uid="{BE1BF952-A9EF-43C2-98C2-440B27FDE46D}"/>
    <cellStyle name="60% - Accent6 14 4" xfId="37654" xr:uid="{57D2D168-EB67-41A7-8ADF-EE2D3E888244}"/>
    <cellStyle name="60% - Accent6 15" xfId="35141" xr:uid="{4CAE6629-06C3-4B0D-B2D3-0DF12DE87034}"/>
    <cellStyle name="60% - Accent6 15 2" xfId="36490" xr:uid="{4DD02CCC-F397-4CF1-8E54-142185E7BB7B}"/>
    <cellStyle name="60% - Accent6 15 3" xfId="36788" xr:uid="{E098FBC4-83DA-4564-AB29-4C60BC1C1589}"/>
    <cellStyle name="60% - Accent6 15 4" xfId="37676" xr:uid="{8B7C2913-9E17-4B4D-92DB-D30890B4CCB9}"/>
    <cellStyle name="60% - Accent6 16" xfId="35370" xr:uid="{06DEA2C5-A721-48D1-953F-1A075F30F1F7}"/>
    <cellStyle name="60% - Accent6 16 2" xfId="36508" xr:uid="{4D6C510C-4DA7-43DA-80C9-9ABF5D1C5671}"/>
    <cellStyle name="60% - Accent6 16 3" xfId="36806" xr:uid="{61C1D9F5-C308-4D99-AE51-7AC490BECCE0}"/>
    <cellStyle name="60% - Accent6 16 4" xfId="37695" xr:uid="{FD9F5F3E-D3FA-4618-AA01-7396694BD2B9}"/>
    <cellStyle name="60% - Accent6 17" xfId="35657" xr:uid="{C1306947-66D4-4BCF-9619-AE991486D8B8}"/>
    <cellStyle name="60% - Accent6 17 2" xfId="36825" xr:uid="{FB284CC7-332A-470B-A7EF-875FC4E9D53E}"/>
    <cellStyle name="60% - Accent6 17 3" xfId="37715" xr:uid="{64D320D8-6A02-49E3-B240-12560C7E0383}"/>
    <cellStyle name="60% - Accent6 18" xfId="35675" xr:uid="{826AD1FE-978C-4767-A0A4-DD037B3DA253}"/>
    <cellStyle name="60% - Accent6 18 2" xfId="36844" xr:uid="{88A4438E-59B6-42C0-926D-6127E879948A}"/>
    <cellStyle name="60% - Accent6 18 3" xfId="37734" xr:uid="{91B38677-41A9-440D-88D5-EA403001A443}"/>
    <cellStyle name="60% - Accent6 19" xfId="35694" xr:uid="{BFA2ECC1-8104-4D68-A78F-772790043171}"/>
    <cellStyle name="60% - Accent6 19 2" xfId="36863" xr:uid="{BFE9C055-5A8D-4C45-8949-DB02A9410FAF}"/>
    <cellStyle name="60% - Accent6 19 3" xfId="37753" xr:uid="{668D1DE6-BEAA-4C33-B817-7C4BC575DD65}"/>
    <cellStyle name="60% - Accent6 2" xfId="68" xr:uid="{2598B0EC-088D-4F76-B5AD-9590F7D09C9A}"/>
    <cellStyle name="60% - Accent6 2 10" xfId="36549" xr:uid="{15657616-2850-465A-8EB7-4CA8A6E6A4BB}"/>
    <cellStyle name="60% - Accent6 2 11" xfId="37434" xr:uid="{84AC6FFE-0C29-4530-90E2-F8B836432D6F}"/>
    <cellStyle name="60% - Accent6 2 2" xfId="94" xr:uid="{833ABE67-6156-418C-A00C-033A5045AB18}"/>
    <cellStyle name="60% - Accent6 2 3" xfId="155" xr:uid="{E3568192-ED79-47F7-B5E3-446F220B65CC}"/>
    <cellStyle name="60% - Accent6 2 4" xfId="216" xr:uid="{753B13F2-0021-43F1-B225-DF3389A19F1E}"/>
    <cellStyle name="60% - Accent6 2 5" xfId="34430" xr:uid="{C1898482-9258-40E8-BA32-4A9938A75508}"/>
    <cellStyle name="60% - Accent6 2 5 2" xfId="34767" xr:uid="{3708E877-7E8F-4D26-8F85-514185DEDF47}"/>
    <cellStyle name="60% - Accent6 2 6" xfId="19153" xr:uid="{638A1281-E240-4507-BBE3-06ADD295B012}"/>
    <cellStyle name="60% - Accent6 2 6 2" xfId="34957" xr:uid="{FAD817EB-98AC-4FAB-9E73-035D39F5EF2F}"/>
    <cellStyle name="60% - Accent6 2 7" xfId="35162" xr:uid="{1D136C1D-8405-4DFE-86E9-04A5B444492E}"/>
    <cellStyle name="60% - Accent6 2 8" xfId="35391" xr:uid="{F9F9CF22-04EE-4239-9C41-9D82EA3C43E5}"/>
    <cellStyle name="60% - Accent6 2 9" xfId="36263" xr:uid="{D300BDFB-FB45-41E6-8A94-096D61122488}"/>
    <cellStyle name="60% - Accent6 20" xfId="35713" xr:uid="{66CE6E87-BC01-4669-9C00-C137EC4333EB}"/>
    <cellStyle name="60% - Accent6 20 2" xfId="36882" xr:uid="{2731D51D-353E-46F9-8D93-D56A10C65A60}"/>
    <cellStyle name="60% - Accent6 20 3" xfId="37773" xr:uid="{2B585757-1944-4812-BA8C-B2A86BE0141E}"/>
    <cellStyle name="60% - Accent6 21" xfId="35732" xr:uid="{B215EE29-A8C7-4D53-AC7D-BF293FCC67C4}"/>
    <cellStyle name="60% - Accent6 21 2" xfId="36902" xr:uid="{A330D98E-8D95-4FC1-8D32-423236F3D19E}"/>
    <cellStyle name="60% - Accent6 21 3" xfId="37793" xr:uid="{555B3EDA-4F95-4E09-9386-FA27AC00138C}"/>
    <cellStyle name="60% - Accent6 22" xfId="35751" xr:uid="{E3ECD1B4-D90C-4599-9F29-4D77F135B8F1}"/>
    <cellStyle name="60% - Accent6 22 2" xfId="36922" xr:uid="{1D7C48FF-280D-4457-A9A4-EE7AB7B3ED31}"/>
    <cellStyle name="60% - Accent6 22 3" xfId="37813" xr:uid="{3653A2CC-D9D3-451F-A216-D9AC37754BBE}"/>
    <cellStyle name="60% - Accent6 23" xfId="35771" xr:uid="{C2B37F25-A885-40C6-9B1E-264E9EDF157A}"/>
    <cellStyle name="60% - Accent6 23 2" xfId="36941" xr:uid="{993927D7-A011-4169-AA3E-458CBA7B61DB}"/>
    <cellStyle name="60% - Accent6 23 3" xfId="37833" xr:uid="{BE32B2D0-3DC5-4D8C-9AF0-F55833229020}"/>
    <cellStyle name="60% - Accent6 24" xfId="35791" xr:uid="{633C8BE9-D251-4D78-8B18-2561CAFDA2B4}"/>
    <cellStyle name="60% - Accent6 24 2" xfId="36960" xr:uid="{3C9AD365-69ED-4751-8BC5-77D8EAB37427}"/>
    <cellStyle name="60% - Accent6 24 3" xfId="37853" xr:uid="{1E8CF176-06C1-4B7E-86F0-25E54C10E77E}"/>
    <cellStyle name="60% - Accent6 25" xfId="35810" xr:uid="{C50337D3-D62B-4E64-A778-26A5452D71FF}"/>
    <cellStyle name="60% - Accent6 25 2" xfId="36980" xr:uid="{7BE43719-BE1A-4261-B7A6-A8AFD618DE0C}"/>
    <cellStyle name="60% - Accent6 25 3" xfId="37873" xr:uid="{EB4F05AA-B19D-41F0-8850-31D390AEAAA7}"/>
    <cellStyle name="60% - Accent6 26" xfId="35829" xr:uid="{0CF35197-93B3-4E6A-9862-C56E26B1D4B3}"/>
    <cellStyle name="60% - Accent6 26 2" xfId="37000" xr:uid="{E6DB85B8-A4C1-4F77-8E04-4B6955C6B283}"/>
    <cellStyle name="60% - Accent6 26 3" xfId="37893" xr:uid="{41BF8277-8EDA-4036-8E28-538A81B69E02}"/>
    <cellStyle name="60% - Accent6 27" xfId="35848" xr:uid="{658C1F9F-B996-438A-AB86-1A13AF27046F}"/>
    <cellStyle name="60% - Accent6 27 2" xfId="37020" xr:uid="{13734D09-53B1-47D2-8CD4-082ED0F4BD88}"/>
    <cellStyle name="60% - Accent6 27 3" xfId="37913" xr:uid="{2198FD32-319E-46F5-B127-63FB90F078EC}"/>
    <cellStyle name="60% - Accent6 28" xfId="35867" xr:uid="{823255CD-FFFF-4EC5-81B0-29EEF7178A59}"/>
    <cellStyle name="60% - Accent6 28 2" xfId="37040" xr:uid="{CEFFF49E-EF5D-46D4-9951-159C5AF7D6E7}"/>
    <cellStyle name="60% - Accent6 28 3" xfId="37933" xr:uid="{BC8312CA-F7C2-4613-80F9-BE23E27C3C5C}"/>
    <cellStyle name="60% - Accent6 29" xfId="35886" xr:uid="{EC5F3649-730E-4CF4-94D2-DEA08AFD9F48}"/>
    <cellStyle name="60% - Accent6 29 2" xfId="37058" xr:uid="{C560184C-CC5A-45EB-8018-1D6EE4F14954}"/>
    <cellStyle name="60% - Accent6 29 3" xfId="37952" xr:uid="{1732AA7B-5B3A-4EBB-A009-1D25C3BE285C}"/>
    <cellStyle name="60% - Accent6 3" xfId="114" xr:uid="{33BCF8CB-C1B2-47BE-96FE-99430E584AEA}"/>
    <cellStyle name="60% - Accent6 3 10" xfId="37453" xr:uid="{71D102B9-A175-4312-9D8B-B8D275F5CA32}"/>
    <cellStyle name="60% - Accent6 3 2" xfId="175" xr:uid="{71D96E10-3129-4404-8E41-1BC5196C2AF9}"/>
    <cellStyle name="60% - Accent6 3 3" xfId="236" xr:uid="{26123074-CC1A-450C-A94A-E213C7ED13B0}"/>
    <cellStyle name="60% - Accent6 3 4" xfId="34468" xr:uid="{761A4887-0518-4F96-ABE3-150F7C3C9CDB}"/>
    <cellStyle name="60% - Accent6 3 5" xfId="6655" xr:uid="{3E87D41E-6A3C-48EC-8AEC-2D936397D2BE}"/>
    <cellStyle name="60% - Accent6 3 5 2" xfId="34976" xr:uid="{D10099DA-5052-4751-80C7-C91480CE2798}"/>
    <cellStyle name="60% - Accent6 3 6" xfId="35181" xr:uid="{69C50E6D-246F-4795-893A-0C9EEE6E2166}"/>
    <cellStyle name="60% - Accent6 3 7" xfId="35410" xr:uid="{B5AEC24B-44DA-42D5-9985-4F7649CB4611}"/>
    <cellStyle name="60% - Accent6 3 8" xfId="36282" xr:uid="{8F8E8534-E07C-429E-B269-F960360A8343}"/>
    <cellStyle name="60% - Accent6 3 9" xfId="36568" xr:uid="{BFB5BF2B-703C-4739-8AA1-FC79EB77701F}"/>
    <cellStyle name="60% - Accent6 30" xfId="35907" xr:uid="{C37E1374-52B5-4386-AF75-9CB9F87B70A9}"/>
    <cellStyle name="60% - Accent6 30 2" xfId="37079" xr:uid="{02559191-7D0B-4365-AACB-6006679A0088}"/>
    <cellStyle name="60% - Accent6 30 3" xfId="37974" xr:uid="{51C0E8EE-95BE-4DB4-8962-7092AE8309C8}"/>
    <cellStyle name="60% - Accent6 31" xfId="35927" xr:uid="{D5A06187-728F-4BBB-9FAA-BE87792F0256}"/>
    <cellStyle name="60% - Accent6 31 2" xfId="37098" xr:uid="{348EDC65-D7C0-4498-89D7-F8CB1537A445}"/>
    <cellStyle name="60% - Accent6 31 3" xfId="37994" xr:uid="{CF22E9E4-466A-4BB8-84AD-A13F361B9B63}"/>
    <cellStyle name="60% - Accent6 32" xfId="35947" xr:uid="{6E1E254D-FB58-44C9-A6CE-B9722D09E581}"/>
    <cellStyle name="60% - Accent6 32 2" xfId="37117" xr:uid="{4D353B42-2AD3-40DD-9C48-9C1941CB426F}"/>
    <cellStyle name="60% - Accent6 32 3" xfId="38014" xr:uid="{94AD473E-67C8-4FBA-91AF-FE76D3E8775B}"/>
    <cellStyle name="60% - Accent6 33" xfId="35967" xr:uid="{9321F5D8-8BDE-444E-A192-E77755C9BF25}"/>
    <cellStyle name="60% - Accent6 33 2" xfId="37136" xr:uid="{58B17FD6-8271-45D9-BF5E-E900F6A8E122}"/>
    <cellStyle name="60% - Accent6 33 3" xfId="38034" xr:uid="{158B4FA5-976C-42F8-89FD-6B386C5D6174}"/>
    <cellStyle name="60% - Accent6 34" xfId="35987" xr:uid="{10E41098-9C53-4B60-8019-55D4BCFBC119}"/>
    <cellStyle name="60% - Accent6 34 2" xfId="37156" xr:uid="{6FF17C77-1CCF-47CC-A831-23DA867E7514}"/>
    <cellStyle name="60% - Accent6 34 3" xfId="38054" xr:uid="{86D41026-4107-4E49-8278-84CCB64FF898}"/>
    <cellStyle name="60% - Accent6 35" xfId="36007" xr:uid="{8C516D73-7AAE-4858-8239-A124C16C70DD}"/>
    <cellStyle name="60% - Accent6 35 2" xfId="37176" xr:uid="{1C116566-F68C-427D-9E35-1793BDEF4DC9}"/>
    <cellStyle name="60% - Accent6 35 3" xfId="38074" xr:uid="{C93B4576-7477-4364-904C-94BF9B593F4A}"/>
    <cellStyle name="60% - Accent6 36" xfId="36027" xr:uid="{AEE96903-190D-4F25-98BD-C76986FF8E69}"/>
    <cellStyle name="60% - Accent6 36 2" xfId="37196" xr:uid="{83AAA97D-251D-40B1-8970-E2FC1E558EE5}"/>
    <cellStyle name="60% - Accent6 36 3" xfId="38094" xr:uid="{FE11E824-8A77-4B84-B9F8-690CE9BDA651}"/>
    <cellStyle name="60% - Accent6 37" xfId="36047" xr:uid="{CC4446FB-4F6F-44CD-B3A4-DE1FC6CC7063}"/>
    <cellStyle name="60% - Accent6 37 2" xfId="37216" xr:uid="{0ED24493-608A-4F1B-A17B-2B3F46FC3A14}"/>
    <cellStyle name="60% - Accent6 37 3" xfId="38114" xr:uid="{F7C83EE3-725D-47C3-B715-F1949F58F8C0}"/>
    <cellStyle name="60% - Accent6 38" xfId="36067" xr:uid="{0151DE4B-DA61-41ED-8484-ECD9531A1F91}"/>
    <cellStyle name="60% - Accent6 38 2" xfId="37236" xr:uid="{3DE66EA2-FC3C-4B62-B1D4-03E4AD7A3B13}"/>
    <cellStyle name="60% - Accent6 38 3" xfId="38134" xr:uid="{EE2857F6-F33F-4262-8548-15A9F7730523}"/>
    <cellStyle name="60% - Accent6 39" xfId="36087" xr:uid="{958D0C62-300B-4466-B914-9DCD7014C0EE}"/>
    <cellStyle name="60% - Accent6 39 2" xfId="37256" xr:uid="{B32697AA-6C80-4DE8-BFE1-723733AB5AE5}"/>
    <cellStyle name="60% - Accent6 39 3" xfId="38154" xr:uid="{38B7EC37-4C95-44F4-84C8-433966584ACB}"/>
    <cellStyle name="60% - Accent6 4" xfId="133" xr:uid="{B6F3B40F-68C0-4E90-BA88-46C9C352BA0C}"/>
    <cellStyle name="60% - Accent6 4 2" xfId="256" xr:uid="{FE8D1F16-5317-490E-8D18-D988909D6429}"/>
    <cellStyle name="60% - Accent6 4 3" xfId="34487" xr:uid="{9F7AFEB7-E964-4968-963E-83352701106C}"/>
    <cellStyle name="60% - Accent6 4 4" xfId="28280" xr:uid="{BBC7426F-81FA-446F-9CD7-A07F96782BED}"/>
    <cellStyle name="60% - Accent6 4 4 2" xfId="34995" xr:uid="{4C348479-FB8E-4191-9E98-32B3B788A884}"/>
    <cellStyle name="60% - Accent6 4 5" xfId="35200" xr:uid="{6DB7B078-E146-4B23-84B9-9CCA3E1790B7}"/>
    <cellStyle name="60% - Accent6 4 6" xfId="35429" xr:uid="{93FCE684-0909-4AAE-B7E1-D7833A77A658}"/>
    <cellStyle name="60% - Accent6 4 7" xfId="36301" xr:uid="{5DCB6B2A-EAEC-494F-881C-BD450C30BF18}"/>
    <cellStyle name="60% - Accent6 4 8" xfId="36587" xr:uid="{E84FFF82-3833-409C-9A0D-D99B9BCC7202}"/>
    <cellStyle name="60% - Accent6 4 9" xfId="37472" xr:uid="{AC37CE69-7AAD-4525-9507-A6440BAE89F4}"/>
    <cellStyle name="60% - Accent6 40" xfId="36107" xr:uid="{45B220B6-003D-403B-A706-11FCDC76BEBB}"/>
    <cellStyle name="60% - Accent6 40 2" xfId="37276" xr:uid="{636C4E71-F721-46D5-B458-8EB7A11A6290}"/>
    <cellStyle name="60% - Accent6 40 3" xfId="38174" xr:uid="{5D057849-23DC-471C-94B5-4BD6968641A5}"/>
    <cellStyle name="60% - Accent6 41" xfId="36127" xr:uid="{5D82F163-8ABE-4D56-A581-B0420D0B2DFB}"/>
    <cellStyle name="60% - Accent6 41 2" xfId="37296" xr:uid="{52FCDFBD-46F3-4493-AE72-145A7172B9DF}"/>
    <cellStyle name="60% - Accent6 41 3" xfId="38194" xr:uid="{50B94B82-46F0-46CA-A682-460DD24245D5}"/>
    <cellStyle name="60% - Accent6 42" xfId="36147" xr:uid="{447679DA-2A10-4B0A-ABF2-36FCB732E37E}"/>
    <cellStyle name="60% - Accent6 42 2" xfId="37316" xr:uid="{D370F646-8A7F-4372-9291-67A8486BE114}"/>
    <cellStyle name="60% - Accent6 42 3" xfId="38214" xr:uid="{8C51D2FC-C32D-4D7E-9FC8-F047537CAD90}"/>
    <cellStyle name="60% - Accent6 43" xfId="36167" xr:uid="{C78752B6-C3F8-4DC6-BA39-43F6930B8CBD}"/>
    <cellStyle name="60% - Accent6 43 2" xfId="37336" xr:uid="{D1F8E386-74A4-4AEE-A4E5-CA4D827DF5E1}"/>
    <cellStyle name="60% - Accent6 43 3" xfId="38234" xr:uid="{70D1CC7A-4727-4646-8532-5962A83D309A}"/>
    <cellStyle name="60% - Accent6 44" xfId="36187" xr:uid="{F430B85A-FF19-4EC3-A5BD-437812EF6A94}"/>
    <cellStyle name="60% - Accent6 44 2" xfId="37356" xr:uid="{FE7897FE-9E89-42D5-9B12-FDA309FBEFFD}"/>
    <cellStyle name="60% - Accent6 44 3" xfId="38254" xr:uid="{D2763B5D-3D23-4E53-9482-782B533DF3AC}"/>
    <cellStyle name="60% - Accent6 45" xfId="36207" xr:uid="{72EF42E2-9228-4A4A-A473-3B8B42C4A33E}"/>
    <cellStyle name="60% - Accent6 45 2" xfId="37376" xr:uid="{93FD9E5A-FCFF-459C-8C49-E2A18A36F384}"/>
    <cellStyle name="60% - Accent6 45 3" xfId="38274" xr:uid="{E94D8A47-1E24-4EC3-A1A0-C50EB6B7C7B9}"/>
    <cellStyle name="60% - Accent6 46" xfId="36227" xr:uid="{2994B516-C366-48ED-9484-919F2E8B9175}"/>
    <cellStyle name="60% - Accent6 46 2" xfId="37394" xr:uid="{4A636B2C-AB02-4716-A766-ED37DF712727}"/>
    <cellStyle name="60% - Accent6 46 3" xfId="38294" xr:uid="{F41EE73F-780A-4B1D-894F-BCF9EB328C16}"/>
    <cellStyle name="60% - Accent6 47" xfId="36528" xr:uid="{71EFC6EE-F11B-472C-B6AF-2BD19A6E69D5}"/>
    <cellStyle name="60% - Accent6 48" xfId="37413" xr:uid="{3E92298B-EC91-43CE-A3BA-E3DFE422D201}"/>
    <cellStyle name="60% - Accent6 5" xfId="276" xr:uid="{AA07FD94-2678-42FF-9D1D-E4F8FF5978EB}"/>
    <cellStyle name="60% - Accent6 5 2" xfId="34812" xr:uid="{951982EB-FC53-4F2E-8D3F-B7AC6511D169}"/>
    <cellStyle name="60% - Accent6 5 3" xfId="35014" xr:uid="{8F6394A4-C10F-4120-A9ED-6A42A4331B92}"/>
    <cellStyle name="60% - Accent6 5 4" xfId="35220" xr:uid="{CCDD7383-676F-4F11-A92B-55F368B3985D}"/>
    <cellStyle name="60% - Accent6 5 5" xfId="35449" xr:uid="{145158C4-64E0-467A-8BA9-EB5598126FFF}"/>
    <cellStyle name="60% - Accent6 5 6" xfId="36321" xr:uid="{94B22A5D-40DE-4127-8341-1BFB31A85EAD}"/>
    <cellStyle name="60% - Accent6 5 7" xfId="36607" xr:uid="{4962CB97-DF20-4670-ABFD-E0CABA567515}"/>
    <cellStyle name="60% - Accent6 5 8" xfId="37492" xr:uid="{2A8F2CE7-DE4B-4A69-9B38-DE2A3B44CA2B}"/>
    <cellStyle name="60% - Accent6 6" xfId="296" xr:uid="{1D743458-B6DE-4B0D-939E-49167F9F64E5}"/>
    <cellStyle name="60% - Accent6 6 2" xfId="34831" xr:uid="{BE01A626-8F38-4632-8772-059583DDDB9C}"/>
    <cellStyle name="60% - Accent6 6 3" xfId="35033" xr:uid="{FB277977-3FFD-4F53-84D5-48B7C78A9B45}"/>
    <cellStyle name="60% - Accent6 6 4" xfId="35239" xr:uid="{7CAB60BB-936D-4906-9E57-6CD3B86D216E}"/>
    <cellStyle name="60% - Accent6 6 5" xfId="35468" xr:uid="{C13077EF-C97F-4AD2-AA0B-E5782317CECE}"/>
    <cellStyle name="60% - Accent6 6 6" xfId="36340" xr:uid="{1B84ECC9-7440-40BE-9868-596C3944F246}"/>
    <cellStyle name="60% - Accent6 6 7" xfId="36626" xr:uid="{16944463-A5BB-45A3-8299-35868E041676}"/>
    <cellStyle name="60% - Accent6 6 8" xfId="37498" xr:uid="{406D5A3A-8FA7-45BA-8C0C-CA8FF8E8C007}"/>
    <cellStyle name="60% - Accent6 7" xfId="316" xr:uid="{E4483DEE-0A29-4A07-B45F-61C04A5701AF}"/>
    <cellStyle name="60% - Accent6 7 2" xfId="34850" xr:uid="{7461664B-181E-4ECF-98E0-BF7FEA1D2976}"/>
    <cellStyle name="60% - Accent6 7 3" xfId="35052" xr:uid="{0D7499FF-D54A-4ADB-AD3D-C1615B0B2B68}"/>
    <cellStyle name="60% - Accent6 7 4" xfId="35259" xr:uid="{4DFC8918-ADEE-4E28-A6F7-151470F632C8}"/>
    <cellStyle name="60% - Accent6 7 5" xfId="35488" xr:uid="{5E802F7A-3BC2-4D8D-9212-5E6930F41FAC}"/>
    <cellStyle name="60% - Accent6 7 6" xfId="36360" xr:uid="{71C8C725-F1DB-4D28-B82D-5C81CC48C965}"/>
    <cellStyle name="60% - Accent6 7 7" xfId="36633" xr:uid="{1DE65EF2-D0A4-48E8-8302-8CE06625E03F}"/>
    <cellStyle name="60% - Accent6 7 8" xfId="37518" xr:uid="{DEA47827-1991-4458-A822-1D39E277F4E7}"/>
    <cellStyle name="60% - Accent6 8" xfId="336" xr:uid="{B2696C5F-32D8-4601-80D6-251E133DDC6B}"/>
    <cellStyle name="60% - Accent6 8 2" xfId="34869" xr:uid="{79557F26-88DB-4910-A5BB-69E16894086E}"/>
    <cellStyle name="60% - Accent6 8 3" xfId="35071" xr:uid="{109CE5E6-DC35-45A9-9E9F-6FC0FDC9CC0B}"/>
    <cellStyle name="60% - Accent6 8 4" xfId="35278" xr:uid="{6EBAC654-A624-425D-A9C1-11DE1E1A9ED8}"/>
    <cellStyle name="60% - Accent6 8 5" xfId="35507" xr:uid="{AFCC75C2-9C99-4916-BDBC-7BDE1C76765F}"/>
    <cellStyle name="60% - Accent6 8 6" xfId="36366" xr:uid="{497F3E55-010A-4C12-B799-A7322390C58D}"/>
    <cellStyle name="60% - Accent6 8 7" xfId="36652" xr:uid="{CA771F94-5A41-46DE-A7CE-14841684E1FD}"/>
    <cellStyle name="60% - Accent6 8 8" xfId="37537" xr:uid="{508B872E-AADB-4987-985A-3EDA71A396B4}"/>
    <cellStyle name="60% - Accent6 9" xfId="356" xr:uid="{41107E1D-5BB1-4CC5-BBEF-0EBB4DE6F95E}"/>
    <cellStyle name="60% - Accent6 9 2" xfId="34889" xr:uid="{662A8769-4BC3-4CFF-8338-D4E5D4D61C9D}"/>
    <cellStyle name="60% - Accent6 9 3" xfId="35090" xr:uid="{2A15E653-6891-401F-8185-66718676FF8F}"/>
    <cellStyle name="60% - Accent6 9 4" xfId="35298" xr:uid="{ADEA89EA-0872-4B07-88FB-0EDE0F5FDF9B}"/>
    <cellStyle name="60% - Accent6 9 5" xfId="35514" xr:uid="{0EDC221A-BE96-4B72-8213-F8E8DEA2A372}"/>
    <cellStyle name="60% - Accent6 9 6" xfId="36386" xr:uid="{CE9A6956-72E7-474A-B9B2-9F8AA2C6F2DF}"/>
    <cellStyle name="60% - Accent6 9 7" xfId="36672" xr:uid="{AAC3D1DA-C08A-453D-90B4-1F6EE3E9BCC7}"/>
    <cellStyle name="60% - Accent6 9 8" xfId="37557" xr:uid="{3C79252B-9145-4CDA-AF1D-7D28E6993329}"/>
    <cellStyle name="Accent1" xfId="21" builtinId="29" customBuiltin="1"/>
    <cellStyle name="Accent1 2" xfId="20786" xr:uid="{7E64EFA8-9C05-4671-897B-680D91C4ED18}"/>
    <cellStyle name="Accent1 3" xfId="5829" xr:uid="{8430DA9B-18B5-42B6-B646-D24E87DBBAE3}"/>
    <cellStyle name="Accent2" xfId="25" builtinId="33" customBuiltin="1"/>
    <cellStyle name="Accent2 2" xfId="22391" xr:uid="{9344B8B7-BAD9-4ED3-A285-548D3F2CEE70}"/>
    <cellStyle name="Accent2 3" xfId="24767" xr:uid="{5C308FBA-AD24-40D5-BA88-574D0B673F07}"/>
    <cellStyle name="Accent3" xfId="29" builtinId="37" customBuiltin="1"/>
    <cellStyle name="Accent3 2" xfId="24340" xr:uid="{D3BAD390-79F7-424E-91C2-2C4F0A0BAC21}"/>
    <cellStyle name="Accent3 3" xfId="22826" xr:uid="{9F13F654-ED47-40B7-9B0D-FECCB6A43678}"/>
    <cellStyle name="Accent4" xfId="33" builtinId="41" customBuiltin="1"/>
    <cellStyle name="Accent4 2" xfId="9444" xr:uid="{8CF76E47-5D53-4D19-87C2-5047525B8953}"/>
    <cellStyle name="Accent4 3" xfId="22818" xr:uid="{D4EE2ACE-CEA1-49F9-B26F-170D597A19FF}"/>
    <cellStyle name="Accent5" xfId="37" builtinId="45" customBuiltin="1"/>
    <cellStyle name="Accent5 2" xfId="17004" xr:uid="{AC9990DF-3FED-4D9C-AAA8-AAE5557989BC}"/>
    <cellStyle name="Accent5 3" xfId="22804" xr:uid="{42F1AB57-639C-41C7-8BCC-D703EEECAB94}"/>
    <cellStyle name="Accent6" xfId="41" builtinId="49" customBuiltin="1"/>
    <cellStyle name="Accent6 2" xfId="9374" xr:uid="{7F5C966B-5F65-49D6-8994-2F8E49A3A5F5}"/>
    <cellStyle name="Accent6 3" xfId="9370" xr:uid="{09D1C0C4-E35B-463C-88D6-2AC644B7A78D}"/>
    <cellStyle name="Bad" xfId="11" builtinId="27" customBuiltin="1"/>
    <cellStyle name="Bad 2" xfId="5828" xr:uid="{A6F7268B-D517-48CB-82A6-4939D1945760}"/>
    <cellStyle name="Bad 3" xfId="5825" xr:uid="{732FBD1B-3EE5-4C6F-ABAE-F5004F884EAB}"/>
    <cellStyle name="Calculation" xfId="15" builtinId="22" customBuiltin="1"/>
    <cellStyle name="Calculation 2" xfId="23206" xr:uid="{FD9D0F81-542A-4460-9464-D7D54F914F4D}"/>
    <cellStyle name="Calculation 3" xfId="9551" xr:uid="{B8A3A852-FF4C-46D6-8DC4-153A0E351DB4}"/>
    <cellStyle name="Check Cell" xfId="17" builtinId="23" customBuiltin="1"/>
    <cellStyle name="Check Cell 2" xfId="6593" xr:uid="{8D3ECBEE-2AB0-44E4-83B4-D7D965F31F90}"/>
    <cellStyle name="Check Cell 3" xfId="6648" xr:uid="{7B18E9E8-58EB-4344-A98E-1392E533B22B}"/>
    <cellStyle name="Comma" xfId="1" builtinId="3"/>
    <cellStyle name="Comma 10" xfId="34724" xr:uid="{AD7B613A-F4E0-441F-A08A-5BBDAF15CAD8}"/>
    <cellStyle name="Comma 11" xfId="34913" xr:uid="{E9F6AD58-62E1-4F95-AE60-5729522331A6}"/>
    <cellStyle name="Comma 12" xfId="35345" xr:uid="{0AF99697-C5B7-42DD-BB7C-C5B3B3E9C599}"/>
    <cellStyle name="Comma 13" xfId="35597" xr:uid="{2681B2FD-0B9B-40E2-94F3-CB175126067F}"/>
    <cellStyle name="Comma 14" xfId="35611" xr:uid="{3FB211B1-5FB7-4F75-AC23-B9393E79F878}"/>
    <cellStyle name="Comma 15" xfId="35625" xr:uid="{92B31F62-1FBE-4AC7-B1B9-8B095EECE1D1}"/>
    <cellStyle name="Comma 16" xfId="36234" xr:uid="{56899112-6458-4EA7-B011-876DF3DD4833}"/>
    <cellStyle name="Comma 2" xfId="53" xr:uid="{8C2EF72A-9BC9-4D46-87D8-7BEECD13100B}"/>
    <cellStyle name="Comma 2 10" xfId="19488" xr:uid="{02ED3B66-F393-436B-9B86-4E7C5D8101D7}"/>
    <cellStyle name="Comma 2 10 2" xfId="34918" xr:uid="{71240768-8BBD-4D9E-BC68-AE711CF07A68}"/>
    <cellStyle name="Comma 2 10 3" xfId="35350" xr:uid="{D6C52A03-4417-4257-B6EB-7FA1B7F357CC}"/>
    <cellStyle name="Comma 2 10 4" xfId="35602" xr:uid="{67E4CC5A-9647-4D52-9E7B-F437C5921B6A}"/>
    <cellStyle name="Comma 2 10 5" xfId="35616" xr:uid="{349791DB-4935-4642-9662-5E5155260AB4}"/>
    <cellStyle name="Comma 2 10 6" xfId="35630" xr:uid="{B3AF87A4-2938-4356-A8E2-D761619FF811}"/>
    <cellStyle name="Comma 2 10 7" xfId="36239" xr:uid="{07120A88-201F-4C40-842E-441DACCCF1D5}"/>
    <cellStyle name="Comma 2 11" xfId="34668" xr:uid="{EE5CE2C5-E30C-4D39-A391-13C8E3248386}"/>
    <cellStyle name="Comma 2 11 2" xfId="35135" xr:uid="{A93B30B0-A638-4D15-AB00-A5D8FBFB8C3B}"/>
    <cellStyle name="Comma 2 11 3" xfId="35351" xr:uid="{565A6A8C-195C-4EDC-959A-AE380B5CCD6A}"/>
    <cellStyle name="Comma 2 11 4" xfId="35603" xr:uid="{E4335034-D762-4591-B6A7-1B5301AADE74}"/>
    <cellStyle name="Comma 2 11 5" xfId="35617" xr:uid="{B9E3123B-816E-4875-9579-BFB43532F9A4}"/>
    <cellStyle name="Comma 2 11 6" xfId="35631" xr:uid="{D4CED5B8-09DB-4953-BA99-7B8209736644}"/>
    <cellStyle name="Comma 2 11 7" xfId="36240" xr:uid="{FEC7CD39-328A-4444-A632-B1E37005F96B}"/>
    <cellStyle name="Comma 2 12" xfId="34677" xr:uid="{E49F0CEB-B040-4AA4-BB5A-399539B804CD}"/>
    <cellStyle name="Comma 2 12 2" xfId="35352" xr:uid="{FED56CD2-5A44-4A6B-B824-7B5A83A6CCB4}"/>
    <cellStyle name="Comma 2 12 3" xfId="35604" xr:uid="{1999F6CD-062A-4E63-91A0-DCA53EF74316}"/>
    <cellStyle name="Comma 2 12 4" xfId="35618" xr:uid="{72869243-8477-4A52-ABFF-A63B262527C9}"/>
    <cellStyle name="Comma 2 12 5" xfId="35632" xr:uid="{E27D41FC-80C5-4911-8925-8ED578EC4E56}"/>
    <cellStyle name="Comma 2 12 6" xfId="36241" xr:uid="{DE0A1A6B-4E21-4725-ACC8-A31E1664ED72}"/>
    <cellStyle name="Comma 2 13" xfId="34684" xr:uid="{1618FDF9-AFF4-417F-9EED-159A943BE839}"/>
    <cellStyle name="Comma 2 13 2" xfId="36242" xr:uid="{78C8F39D-1028-4C9E-8D0E-67C53C31FB9E}"/>
    <cellStyle name="Comma 2 14" xfId="34721" xr:uid="{9F5E667F-C3FC-4B14-9CCE-65C148CC755C}"/>
    <cellStyle name="Comma 2 14 2" xfId="36510" xr:uid="{901BDE59-A777-480A-9023-A2A18889647B}"/>
    <cellStyle name="Comma 2 15" xfId="34910" xr:uid="{9A2BD448-E32E-40B9-9CDB-D49EA43ECBA2}"/>
    <cellStyle name="Comma 2 15 2" xfId="37395" xr:uid="{48ACB335-D8B7-4090-88EB-FA86A8D46757}"/>
    <cellStyle name="Comma 2 16" xfId="35342" xr:uid="{9D2EDA88-6654-4428-85F9-15B1A7FC87F3}"/>
    <cellStyle name="Comma 2 17" xfId="35594" xr:uid="{0A03FB04-EE02-4623-8156-74B1E58FAB55}"/>
    <cellStyle name="Comma 2 18" xfId="35608" xr:uid="{8D8A8616-B426-4EF6-BBA3-3C848D1F90C7}"/>
    <cellStyle name="Comma 2 19" xfId="35623" xr:uid="{19E6BE0F-F66E-4C52-A146-0C37F3005ED0}"/>
    <cellStyle name="Comma 2 2" xfId="52" xr:uid="{5247EB2B-7B3A-4213-8207-926A583FC8D1}"/>
    <cellStyle name="Comma 2 2 10" xfId="35619" xr:uid="{553BD775-F73A-4E19-8808-E44063E9141A}"/>
    <cellStyle name="Comma 2 2 11" xfId="36230" xr:uid="{A4D2BF2E-B97A-42AB-B6AD-6245B869D964}"/>
    <cellStyle name="Comma 2 2 2" xfId="34416" xr:uid="{388221B9-F5E5-4557-B415-E7042C4E071A}"/>
    <cellStyle name="Comma 2 2 3" xfId="34667" xr:uid="{230E9428-D3C0-4DC8-AE32-AF8BD674C7C5}"/>
    <cellStyle name="Comma 2 2 4" xfId="34676" xr:uid="{846C0F84-5AE3-41C2-97A0-909D8F0A2352}"/>
    <cellStyle name="Comma 2 2 5" xfId="34720" xr:uid="{2A86FF51-A070-467E-80A3-DF4510480A83}"/>
    <cellStyle name="Comma 2 2 6" xfId="34909" xr:uid="{2CC2BC45-2E4F-44E7-94C8-1CFE992E0B17}"/>
    <cellStyle name="Comma 2 2 7" xfId="35341" xr:uid="{C99E5778-A50C-4F29-AB6F-F5FEB8C5265E}"/>
    <cellStyle name="Comma 2 2 8" xfId="35593" xr:uid="{833F09A0-9D4C-46B4-A140-A8DDA2998386}"/>
    <cellStyle name="Comma 2 2 9" xfId="35607" xr:uid="{5F5E11A9-9DF7-49E0-A9FD-70D82A93F465}"/>
    <cellStyle name="Comma 2 20" xfId="35634" xr:uid="{D363A894-D3CC-4344-BE0A-C84F7EAC04EE}"/>
    <cellStyle name="Comma 2 21" xfId="36231" xr:uid="{138C0164-20BD-48C3-A28D-11AD05DA3168}"/>
    <cellStyle name="Comma 2 3" xfId="63" xr:uid="{B7245928-8299-4851-93F9-9BA00D378AB3}"/>
    <cellStyle name="Comma 2 3 10" xfId="35624" xr:uid="{44C774C1-3D71-4FCA-8E01-7765C362A782}"/>
    <cellStyle name="Comma 2 3 11" xfId="36233" xr:uid="{F278233A-F705-4098-98D0-D2D883CC1D84}"/>
    <cellStyle name="Comma 2 3 2" xfId="34425" xr:uid="{7EB27E13-039C-4AB2-85AE-58C390D05C46}"/>
    <cellStyle name="Comma 2 3 3" xfId="34670" xr:uid="{27C0F86C-FB86-47E8-BD7D-DD42CB85B213}"/>
    <cellStyle name="Comma 2 3 4" xfId="34679" xr:uid="{F5BF5E1C-CCB1-4C47-805B-DE4EA0D435C8}"/>
    <cellStyle name="Comma 2 3 5" xfId="34723" xr:uid="{FA3534C1-C5FF-45BE-98A1-6440AD32CCDD}"/>
    <cellStyle name="Comma 2 3 6" xfId="34912" xr:uid="{8B916FD7-E9B8-416D-BD10-FB1A9AB0E75C}"/>
    <cellStyle name="Comma 2 3 7" xfId="35344" xr:uid="{D92737DD-C683-48B3-BFA2-2935B8F812CD}"/>
    <cellStyle name="Comma 2 3 8" xfId="35596" xr:uid="{3B159422-CBA3-4D2B-ACBF-4815459D2C41}"/>
    <cellStyle name="Comma 2 3 9" xfId="35610" xr:uid="{79A0D8B1-60EC-45E8-A6E9-55B3ED7D9956}"/>
    <cellStyle name="Comma 2 4" xfId="51" xr:uid="{EEDD7AA0-8DBB-4DC9-AD88-28853593150C}"/>
    <cellStyle name="Comma 2 4 10" xfId="35620" xr:uid="{46540723-D654-4FC8-BDD4-175AC9807322}"/>
    <cellStyle name="Comma 2 4 11" xfId="36229" xr:uid="{8436BF65-F0CC-4E97-ADF0-9242652E42A3}"/>
    <cellStyle name="Comma 2 4 2" xfId="34415" xr:uid="{1070F3D2-F9BF-49D0-8919-EC12E38469AA}"/>
    <cellStyle name="Comma 2 4 3" xfId="34666" xr:uid="{DDA6836F-E6B0-4CA6-9317-DF6BD64862BA}"/>
    <cellStyle name="Comma 2 4 4" xfId="34675" xr:uid="{6673C0A9-0756-4F87-BE19-DB8B7FB14D43}"/>
    <cellStyle name="Comma 2 4 5" xfId="34719" xr:uid="{369CDEAF-C40F-4FA2-9A45-689C289FC317}"/>
    <cellStyle name="Comma 2 4 6" xfId="34908" xr:uid="{D0A363DC-3AB2-4E9E-B5D9-5D5137C81971}"/>
    <cellStyle name="Comma 2 4 7" xfId="35340" xr:uid="{F4BBA60D-E00A-4E3B-9413-AC57C6D4097F}"/>
    <cellStyle name="Comma 2 4 8" xfId="35592" xr:uid="{6D9E736B-A686-449E-A875-84694679D578}"/>
    <cellStyle name="Comma 2 4 9" xfId="35606" xr:uid="{2459593E-22B1-4AFB-ADD3-DFCBF8BE9A7B}"/>
    <cellStyle name="Comma 2 5" xfId="55" xr:uid="{8F8B665D-EF82-4299-A9C4-F0073759AE89}"/>
    <cellStyle name="Comma 2 5 10" xfId="35622" xr:uid="{2876ECA8-479B-403E-A999-53BFE1F4F4E5}"/>
    <cellStyle name="Comma 2 5 11" xfId="36232" xr:uid="{2DB20D1F-F341-47CB-981B-5CCFE48183CE}"/>
    <cellStyle name="Comma 2 5 2" xfId="34419" xr:uid="{464245A0-46D2-4EE9-BC6F-F6FCF03E4655}"/>
    <cellStyle name="Comma 2 5 3" xfId="34669" xr:uid="{ECE8F9D9-7B3E-4BBE-93D1-78ED21C7B0D3}"/>
    <cellStyle name="Comma 2 5 4" xfId="34678" xr:uid="{A5AB20E2-B0D5-4730-8EEC-4481DBBDABB0}"/>
    <cellStyle name="Comma 2 5 5" xfId="34722" xr:uid="{61485842-99BC-4878-83CB-855BAC07C966}"/>
    <cellStyle name="Comma 2 5 6" xfId="34911" xr:uid="{298863FE-3B4F-40CF-9608-798CD561C2DD}"/>
    <cellStyle name="Comma 2 5 7" xfId="35343" xr:uid="{1F83C9FF-CCD7-48D9-90FD-F1D2BD2BF524}"/>
    <cellStyle name="Comma 2 5 8" xfId="35595" xr:uid="{62EC7D2E-015B-4C96-9A11-EFA3DC00B093}"/>
    <cellStyle name="Comma 2 5 9" xfId="35609" xr:uid="{772AFF4E-C6A5-4A57-8D57-867830CEA683}"/>
    <cellStyle name="Comma 2 6" xfId="70" xr:uid="{172F4E63-A74D-444E-8D31-AB62E8B21669}"/>
    <cellStyle name="Comma 2 6 10" xfId="35626" xr:uid="{51B0336B-1B7A-4D33-8EC5-74AF8275A786}"/>
    <cellStyle name="Comma 2 6 11" xfId="36235" xr:uid="{203627DC-201D-44C2-A273-77055D5B58E1}"/>
    <cellStyle name="Comma 2 6 2" xfId="34432" xr:uid="{1F7EED48-DBDC-4CD5-87CB-730F385C4537}"/>
    <cellStyle name="Comma 2 6 3" xfId="34672" xr:uid="{F3EBE3DF-EDDB-4607-8CCE-DFF000C1B24F}"/>
    <cellStyle name="Comma 2 6 4" xfId="34681" xr:uid="{1064537D-A7EB-43E8-B11B-CCA69A607D4E}"/>
    <cellStyle name="Comma 2 6 5" xfId="34725" xr:uid="{5B24A63F-3A60-46C6-8DEF-756213827238}"/>
    <cellStyle name="Comma 2 6 6" xfId="34914" xr:uid="{7E18C199-A22D-4D99-8A80-7D812A73F305}"/>
    <cellStyle name="Comma 2 6 7" xfId="35346" xr:uid="{5A764A79-E306-4BA8-8ABD-6DCB880CFFD4}"/>
    <cellStyle name="Comma 2 6 8" xfId="35598" xr:uid="{C311D703-6B9A-4451-B4CD-37E6861E3F40}"/>
    <cellStyle name="Comma 2 6 9" xfId="35612" xr:uid="{D28CCDB8-E0C2-41A1-8AF2-EB6076EC98AB}"/>
    <cellStyle name="Comma 2 7" xfId="115" xr:uid="{50CD22A7-B06F-4F96-BF02-FA52C01EA9B8}"/>
    <cellStyle name="Comma 2 7 10" xfId="35627" xr:uid="{9076FC6B-BA89-49AB-8D81-036BF76748FA}"/>
    <cellStyle name="Comma 2 7 11" xfId="36236" xr:uid="{7D66E3C9-38E9-4C5C-97A8-38D87485C0CE}"/>
    <cellStyle name="Comma 2 7 2" xfId="34469" xr:uid="{043066FE-8898-46B5-82C5-70E41E4A86F3}"/>
    <cellStyle name="Comma 2 7 3" xfId="34673" xr:uid="{43034182-BCF4-41EE-B6F1-A40C9B36DCC5}"/>
    <cellStyle name="Comma 2 7 4" xfId="34682" xr:uid="{983A6EBD-1607-459F-BDF4-B31B939D8332}"/>
    <cellStyle name="Comma 2 7 5" xfId="34726" xr:uid="{9750CE8A-1D18-4C3B-804B-5EA553E397CA}"/>
    <cellStyle name="Comma 2 7 6" xfId="34915" xr:uid="{4A467DB6-FEC6-4D77-B3F7-6016AA565DC3}"/>
    <cellStyle name="Comma 2 7 7" xfId="35347" xr:uid="{AD867587-21ED-4826-BD55-FEC5C7D85F14}"/>
    <cellStyle name="Comma 2 7 8" xfId="35599" xr:uid="{751690A0-041F-45B4-AA9C-804AC621F5B5}"/>
    <cellStyle name="Comma 2 7 9" xfId="35613" xr:uid="{70365C06-DA3F-42FD-AB98-F17132D27963}"/>
    <cellStyle name="Comma 2 8" xfId="176" xr:uid="{025D1127-50F9-4648-A2BA-C4E618DEF357}"/>
    <cellStyle name="Comma 2 8 10" xfId="35628" xr:uid="{39673686-61C5-49F5-940A-7DB2D770BF6B}"/>
    <cellStyle name="Comma 2 8 11" xfId="36237" xr:uid="{9BA5E9E1-7A62-4FD7-8129-A27FFA5FDCDC}"/>
    <cellStyle name="Comma 2 8 2" xfId="34518" xr:uid="{04F600F7-9BB4-45C7-ADF8-6002CBF9B36F}"/>
    <cellStyle name="Comma 2 8 3" xfId="34674" xr:uid="{13C0230E-E22C-4CF2-9DAE-A86FDAB4234F}"/>
    <cellStyle name="Comma 2 8 4" xfId="34683" xr:uid="{354A1374-1C52-4ED6-A8E9-63C300DE8341}"/>
    <cellStyle name="Comma 2 8 5" xfId="34727" xr:uid="{3CCFF8FB-FBE8-447B-8F26-A2D2B0DC3090}"/>
    <cellStyle name="Comma 2 8 6" xfId="34916" xr:uid="{3F66B8A3-ACB7-4DD4-BDE4-8D839FB60EF0}"/>
    <cellStyle name="Comma 2 8 7" xfId="35348" xr:uid="{585E650B-A883-4A37-BACC-645F2F36BBE8}"/>
    <cellStyle name="Comma 2 8 8" xfId="35600" xr:uid="{41DE9960-2672-466A-88D4-A2AEEE55E994}"/>
    <cellStyle name="Comma 2 8 9" xfId="35614" xr:uid="{4C6917B0-6696-4AF3-94DE-1F8BC135EC08}"/>
    <cellStyle name="Comma 2 9" xfId="34417" xr:uid="{885A02CB-AC04-4830-AD3E-EE8A877CDAFA}"/>
    <cellStyle name="Comma 2 9 2" xfId="34728" xr:uid="{A5854B6D-199B-45C8-A24C-930F82017461}"/>
    <cellStyle name="Comma 2 9 3" xfId="34917" xr:uid="{2EF4C19E-C236-4BCE-84AC-90026D59DC9D}"/>
    <cellStyle name="Comma 2 9 4" xfId="35349" xr:uid="{BD5DCCE1-0ADA-499E-BE2A-B79A39C87080}"/>
    <cellStyle name="Comma 2 9 5" xfId="35601" xr:uid="{A2719E69-498B-4720-A902-AA6931536997}"/>
    <cellStyle name="Comma 2 9 6" xfId="35615" xr:uid="{B4C9D992-20B8-432F-81AC-58AFD8D537C3}"/>
    <cellStyle name="Comma 2 9 7" xfId="35629" xr:uid="{93E28705-D81E-4760-9E36-0A6DCD68A994}"/>
    <cellStyle name="Comma 2 9 8" xfId="36238" xr:uid="{ABA9072F-0AD5-4881-B206-E70AFDF27D9B}"/>
    <cellStyle name="Comma 3" xfId="69" xr:uid="{25BB7130-F1B0-4D5D-942F-35738CAD3377}"/>
    <cellStyle name="Comma 3 2" xfId="34431" xr:uid="{710A1F98-7079-49E8-AFB8-4791AEDE6C67}"/>
    <cellStyle name="Comma 3 3" xfId="11235" xr:uid="{AE66ECE0-1017-4F1A-AC32-0CC4397FD402}"/>
    <cellStyle name="Comma 4" xfId="11223" xr:uid="{7E6A14C7-3998-483C-91C4-D4490A22BECB}"/>
    <cellStyle name="Comma 5" xfId="11215" xr:uid="{D03A2931-ED3C-474D-A2BE-FA853FEB5F17}"/>
    <cellStyle name="Comma 6" xfId="34409" xr:uid="{70769B71-CDA7-4153-BF5A-74EDEF692693}"/>
    <cellStyle name="Comma 7" xfId="24586" xr:uid="{AA233CF6-BBB6-4370-A7AB-4F53B1D5E4AD}"/>
    <cellStyle name="Comma 8" xfId="34671" xr:uid="{6F8F361B-BB64-48E9-BCE5-A2EEA9A9D3E8}"/>
    <cellStyle name="Comma 9" xfId="34680" xr:uid="{B6D0DC2F-9AEB-46F6-A0D0-C99C8E7452A8}"/>
    <cellStyle name="Excel Built-in Normal" xfId="50" xr:uid="{C27F69BF-6FBE-4F1D-B603-8C9C5D5E5686}"/>
    <cellStyle name="Excel Built-in Normal 2" xfId="61" xr:uid="{33518BD0-E402-4B79-9FC8-44EBF8D0E603}"/>
    <cellStyle name="Explanatory Text" xfId="19" builtinId="53" customBuiltin="1"/>
    <cellStyle name="Explanatory Text 2" xfId="21605" xr:uid="{2AD95A98-D5E1-477D-851E-0CC0584309D7}"/>
    <cellStyle name="Good" xfId="10" builtinId="26" customBuiltin="1"/>
    <cellStyle name="Good 2" xfId="26428" xr:uid="{7BA2970C-3817-4F22-94BE-81F153C12451}"/>
    <cellStyle name="Good 3" xfId="26422" xr:uid="{27302EB9-9632-4913-9FB4-A7840179E40D}"/>
    <cellStyle name="Heading 1" xfId="6" builtinId="16" customBuiltin="1"/>
    <cellStyle name="Heading 1 2" xfId="5824" xr:uid="{F21C1F3A-6129-4AB8-B4AA-3542428BB51A}"/>
    <cellStyle name="Heading 2" xfId="7" builtinId="17" customBuiltin="1"/>
    <cellStyle name="Heading 2 2" xfId="5822" xr:uid="{C91882D1-732B-48FA-AFBD-BD62B425EA32}"/>
    <cellStyle name="Heading 3" xfId="8" builtinId="18" customBuiltin="1"/>
    <cellStyle name="Heading 3 2" xfId="5821" xr:uid="{3EA4C7FC-7EC8-463B-8237-678170CF355D}"/>
    <cellStyle name="Heading 3 3" xfId="19997" xr:uid="{4046874A-042F-4306-B8B4-9266168C4D8E}"/>
    <cellStyle name="Heading 4" xfId="9" builtinId="19" customBuiltin="1"/>
    <cellStyle name="Heading 4 2" xfId="31294" xr:uid="{3EA3B111-B91F-448C-8911-94C39E7571BB}"/>
    <cellStyle name="Input" xfId="13" builtinId="20" customBuiltin="1"/>
    <cellStyle name="Input 2" xfId="12472" xr:uid="{645BDC11-B4B7-4EF9-87D0-BF33CC8C42AD}"/>
    <cellStyle name="Input 3" xfId="16371" xr:uid="{F5FB1CFD-7B00-4590-A754-CEB5977FE6A4}"/>
    <cellStyle name="Linked Cell" xfId="16" builtinId="24" customBuiltin="1"/>
    <cellStyle name="Linked Cell 2" xfId="26521" xr:uid="{6ED9C6EC-23A8-4093-AB7E-6892EA61EB08}"/>
    <cellStyle name="Neutral" xfId="12" builtinId="28" customBuiltin="1"/>
    <cellStyle name="Neutral 2" xfId="67" xr:uid="{2408CA0E-19A4-49DB-BE31-6325C810C159}"/>
    <cellStyle name="Neutral 2 2" xfId="34429" xr:uid="{51806F0C-11D3-4EF7-A802-A00695BDF0D2}"/>
    <cellStyle name="Neutral 2 3" xfId="14113" xr:uid="{CA270FE9-B26D-40B8-931C-9A82D392A133}"/>
    <cellStyle name="Neutral 3" xfId="20233" xr:uid="{C73610F3-CD27-4300-BFB8-6FA96B4B5680}"/>
    <cellStyle name="Normal" xfId="0" builtinId="0"/>
    <cellStyle name="Normal 10" xfId="337" xr:uid="{F84DCA33-6041-4431-883E-724BC8981B81}"/>
    <cellStyle name="Normal 10 2" xfId="23301" xr:uid="{EEE2C626-6D1C-433D-B242-B522D4FAD9B0}"/>
    <cellStyle name="Normal 10 2 2" xfId="34870" xr:uid="{F0166FD8-60C4-40B7-A7B3-713AA014C013}"/>
    <cellStyle name="Normal 10 3" xfId="34630" xr:uid="{E3A0C6F1-ED7C-49F5-8E73-2A69B994D2E3}"/>
    <cellStyle name="Normal 10 4" xfId="14836" xr:uid="{9B73A6F0-D2ED-4A3E-8ABB-EA22CFB78073}"/>
    <cellStyle name="Normal 10 4 2" xfId="35279" xr:uid="{D2ED0305-B652-46CA-B3D7-79B476BE2AB5}"/>
    <cellStyle name="Normal 10 5" xfId="35508" xr:uid="{E5C83D27-BB53-4829-98C0-872A374C619A}"/>
    <cellStyle name="Normal 10 6" xfId="36367" xr:uid="{6B31B7CB-B316-487A-8400-402654E150C6}"/>
    <cellStyle name="Normal 10 7" xfId="36653" xr:uid="{1810EDCC-D2DE-47A5-8F0D-A797DD163736}"/>
    <cellStyle name="Normal 10 8" xfId="37538" xr:uid="{04386193-4EA3-4EFE-82FF-7095F11CC0FA}"/>
    <cellStyle name="Normal 11" xfId="45" xr:uid="{99ABDF4C-FDCE-4ABC-9E40-A97A5AFE4729}"/>
    <cellStyle name="Normal 11 10" xfId="34412" xr:uid="{968C8997-3A80-4647-B19D-E8A0A61C2C1E}"/>
    <cellStyle name="Normal 11 11" xfId="21909" xr:uid="{2F67A859-8954-4733-97AC-98970F36BA31}"/>
    <cellStyle name="Normal 11 2" xfId="24821" xr:uid="{5EF4F2B9-A907-40DC-9644-A2C027349610}"/>
    <cellStyle name="Normal 11 2 2" xfId="23878" xr:uid="{E2A14756-F699-4305-A792-1DF1556489E1}"/>
    <cellStyle name="Normal 11 2 2 2" xfId="5820" xr:uid="{17C26FA2-AC39-4338-834F-FDF0F538FA54}"/>
    <cellStyle name="Normal 11 2 2 2 2" xfId="32222" xr:uid="{EFBC1796-A4B1-48E9-A29E-E54399FE2CA1}"/>
    <cellStyle name="Normal 11 2 2 2 2 2" xfId="7714" xr:uid="{6C171C11-03DD-47C1-9B3C-032B70E05C1D}"/>
    <cellStyle name="Normal 11 2 2 2 2 2 2" xfId="5819" xr:uid="{31C64236-9AB6-4B6B-9D56-EE438C930EA9}"/>
    <cellStyle name="Normal 11 2 2 2 2 2 2 2" xfId="12908" xr:uid="{DC5683C7-DE9B-47A8-B052-D557648570FF}"/>
    <cellStyle name="Normal 11 2 2 2 2 2 3" xfId="5816" xr:uid="{66678203-E322-4377-833C-9404B2C3DF5D}"/>
    <cellStyle name="Normal 11 2 2 2 2 3" xfId="7708" xr:uid="{4CBE7AC2-E2A1-430D-A5FD-9A564700B0B2}"/>
    <cellStyle name="Normal 11 2 2 2 2 3 2" xfId="5814" xr:uid="{A4E9F731-BF7F-465C-88B6-72FE6922C617}"/>
    <cellStyle name="Normal 11 2 2 2 2 4" xfId="6030" xr:uid="{9E591247-7576-4824-9DE9-3BB896E92E79}"/>
    <cellStyle name="Normal 11 2 2 2 3" xfId="13218" xr:uid="{4C4A2D9F-76A2-4DE4-9BEF-076B2E19FCB0}"/>
    <cellStyle name="Normal 11 2 2 2 3 2" xfId="13213" xr:uid="{2BF787F4-C61E-4656-B439-736B681D9DAF}"/>
    <cellStyle name="Normal 11 2 2 2 3 2 2" xfId="17531" xr:uid="{60050F02-34BD-41F0-A2E2-0113E7B48297}"/>
    <cellStyle name="Normal 11 2 2 2 3 3" xfId="13195" xr:uid="{FDD5886C-5268-4E27-8B10-9C91EBABDACB}"/>
    <cellStyle name="Normal 11 2 2 2 4" xfId="19581" xr:uid="{3F487D45-994E-463C-94AA-3C3E31B89E99}"/>
    <cellStyle name="Normal 11 2 2 2 4 2" xfId="13182" xr:uid="{D8F549DA-0A5B-4430-AF70-44BAE23D5551}"/>
    <cellStyle name="Normal 11 2 2 2 5" xfId="12867" xr:uid="{CFEB64A0-3B29-422C-AACD-BA40DFF7F376}"/>
    <cellStyle name="Normal 11 2 2 3" xfId="23988" xr:uid="{65328C6B-F8CF-47F3-A7A5-400A7DA048B2}"/>
    <cellStyle name="Normal 11 2 2 3 2" xfId="5812" xr:uid="{E6534B39-8EF2-4564-8996-5F78C50E0243}"/>
    <cellStyle name="Normal 11 2 2 3 2 2" xfId="7700" xr:uid="{BB3A9D49-904E-482E-95F1-4CE03150DA31}"/>
    <cellStyle name="Normal 11 2 2 3 2 2 2" xfId="14555" xr:uid="{F3068D15-2CCD-447D-A33E-34C6DB1C0749}"/>
    <cellStyle name="Normal 11 2 2 3 2 3" xfId="25440" xr:uid="{238FFBDF-28EF-49EB-B3E1-D7441B6D7A90}"/>
    <cellStyle name="Normal 11 2 2 3 3" xfId="13156" xr:uid="{80232996-3993-4DA4-B8B1-2C119057914D}"/>
    <cellStyle name="Normal 11 2 2 3 3 2" xfId="13154" xr:uid="{15537289-F98C-4825-B66F-AC27047A54F2}"/>
    <cellStyle name="Normal 11 2 2 3 4" xfId="13143" xr:uid="{7A936936-C083-46A6-83F3-C0001E7E06E2}"/>
    <cellStyle name="Normal 11 2 2 4" xfId="7487" xr:uid="{0BB03287-CC1C-468A-B6AD-756D5B7664EF}"/>
    <cellStyle name="Normal 11 2 2 4 2" xfId="5810" xr:uid="{2AB48D1E-164C-4365-A7C0-19B017C9A6E3}"/>
    <cellStyle name="Normal 11 2 2 4 2 2" xfId="6422" xr:uid="{9B95138F-07A9-4E23-9B8B-134F8093AA55}"/>
    <cellStyle name="Normal 11 2 2 4 3" xfId="13123" xr:uid="{3E4FA6C0-FF20-45A1-88D4-922B17C1D7D0}"/>
    <cellStyle name="Normal 11 2 2 5" xfId="6104" xr:uid="{F5B1CE4A-AB1C-4A81-95EA-6D6D517432DF}"/>
    <cellStyle name="Normal 11 2 2 5 2" xfId="17376" xr:uid="{0E10214C-C9B8-4A4C-910B-AD3664CA67EF}"/>
    <cellStyle name="Normal 11 2 2 6" xfId="21127" xr:uid="{F6F1D4BB-DA3E-4C51-8CF6-AEF4F4737DB3}"/>
    <cellStyle name="Normal 11 2 3" xfId="33455" xr:uid="{1F1217F7-06E4-4998-9B18-8D5BC32875E6}"/>
    <cellStyle name="Normal 11 2 3 2" xfId="5808" xr:uid="{56897DAB-AD1D-47DC-B9F4-82B0E837EB74}"/>
    <cellStyle name="Normal 11 2 3 2 2" xfId="5807" xr:uid="{F9B2C878-2DEA-42D5-B034-7FA6A23AF1F6}"/>
    <cellStyle name="Normal 11 2 3 2 2 2" xfId="23441" xr:uid="{97077EBE-EB95-44EA-849E-383EE39E8F48}"/>
    <cellStyle name="Normal 11 2 3 2 2 2 2" xfId="5804" xr:uid="{5A149217-3A83-4E09-B217-48F3F164C29E}"/>
    <cellStyle name="Normal 11 2 3 2 2 3" xfId="5801" xr:uid="{111A48BA-87D2-4AA8-974F-10AF548F22F8}"/>
    <cellStyle name="Normal 11 2 3 2 3" xfId="12938" xr:uid="{10D2E644-BAC7-495F-8F23-EE7483DE77BF}"/>
    <cellStyle name="Normal 11 2 3 2 3 2" xfId="32713" xr:uid="{96FC9435-7046-4373-9DE7-CEF667403824}"/>
    <cellStyle name="Normal 11 2 3 2 4" xfId="12927" xr:uid="{618165F8-4C85-41E1-8744-A6DE4F870D8B}"/>
    <cellStyle name="Normal 11 2 3 3" xfId="7484" xr:uid="{F48D3FC0-BC43-4983-A77A-7E18FE26D4A3}"/>
    <cellStyle name="Normal 11 2 3 3 2" xfId="5798" xr:uid="{7C3E10CD-6671-414E-9C56-CAEC27307570}"/>
    <cellStyle name="Normal 11 2 3 3 2 2" xfId="5795" xr:uid="{2C5800E7-645D-4FD5-8BA5-5D8E47E3D687}"/>
    <cellStyle name="Normal 11 2 3 3 3" xfId="12914" xr:uid="{6ECBEEFD-078E-4AB6-94B5-DC21ADA0170A}"/>
    <cellStyle name="Normal 11 2 3 4" xfId="5792" xr:uid="{A4D88578-9DEE-45D8-92A3-4B30F0C52AE6}"/>
    <cellStyle name="Normal 11 2 3 4 2" xfId="5791" xr:uid="{4FC908D7-847C-469A-81C2-CC2B6BC1858B}"/>
    <cellStyle name="Normal 11 2 3 5" xfId="5788" xr:uid="{8DE71418-B2B5-4E33-AD46-88AE2E355F48}"/>
    <cellStyle name="Normal 11 2 4" xfId="5787" xr:uid="{607DF1E3-FCF5-482E-8ACC-082135FF1477}"/>
    <cellStyle name="Normal 11 2 4 2" xfId="14675" xr:uid="{A0B5A240-48D4-4870-8C5C-90106751C3CC}"/>
    <cellStyle name="Normal 11 2 4 2 2" xfId="27977" xr:uid="{40B573B4-7F8F-4005-A82D-55D8B6194EC7}"/>
    <cellStyle name="Normal 11 2 4 2 2 2" xfId="27970" xr:uid="{A19CC73A-196E-4569-9ACA-B39EF70E9963}"/>
    <cellStyle name="Normal 11 2 4 2 3" xfId="27966" xr:uid="{94724017-8732-4A63-BCA8-DE53319F6812}"/>
    <cellStyle name="Normal 11 2 4 3" xfId="14672" xr:uid="{19F5E939-6C68-4D37-9F9E-16A203D17662}"/>
    <cellStyle name="Normal 11 2 4 3 2" xfId="25342" xr:uid="{1BD44F65-F8AB-4920-8FF3-A37027CB28B1}"/>
    <cellStyle name="Normal 11 2 4 4" xfId="28700" xr:uid="{33D1D902-AF87-444B-BCD6-0BC3F414C5BC}"/>
    <cellStyle name="Normal 11 2 5" xfId="5786" xr:uid="{D1907F8F-EE09-4299-B968-1B8EBED08538}"/>
    <cellStyle name="Normal 11 2 5 2" xfId="14241" xr:uid="{B1CFCA98-1A32-421C-A121-9E625CDEDC11}"/>
    <cellStyle name="Normal 11 2 5 2 2" xfId="29538" xr:uid="{23F2341C-61A9-461D-90F9-0740AE2E6686}"/>
    <cellStyle name="Normal 11 2 5 3" xfId="28319" xr:uid="{8D3C02BC-DBAF-401A-BB99-3F612A79032E}"/>
    <cellStyle name="Normal 11 2 6" xfId="18259" xr:uid="{DAD301B2-C468-4F16-A487-2F0E7824FA55}"/>
    <cellStyle name="Normal 11 2 6 2" xfId="13902" xr:uid="{3A2D2B6E-B190-425A-9F22-C520262B92AB}"/>
    <cellStyle name="Normal 11 2 7" xfId="21762" xr:uid="{BEF0BDF9-3C2D-4DE8-8856-1ED3CA5ECAB1}"/>
    <cellStyle name="Normal 11 2 8" xfId="22904" xr:uid="{4EBD6493-AADD-450F-8040-1F674CC4A90B}"/>
    <cellStyle name="Normal 11 3" xfId="23876" xr:uid="{49DAFBCE-A533-4FF8-A085-6D5859CF9298}"/>
    <cellStyle name="Normal 11 3 2" xfId="5785" xr:uid="{818C969D-2BB7-4B0C-AAFA-D98117941612}"/>
    <cellStyle name="Normal 11 3 2 2" xfId="5784" xr:uid="{AB7275FC-55AB-424C-BA43-1AB146E07A25}"/>
    <cellStyle name="Normal 11 3 2 2 2" xfId="5782" xr:uid="{C8E87D2C-5139-4FD9-A42A-D0C47A4B8704}"/>
    <cellStyle name="Normal 11 3 2 2 2 2" xfId="7692" xr:uid="{09A8D098-DCE1-4551-8B97-E452389919FA}"/>
    <cellStyle name="Normal 11 3 2 2 2 2 2" xfId="5779" xr:uid="{E6BB19C3-4B85-4319-8D4C-C2E1D7F889D4}"/>
    <cellStyle name="Normal 11 3 2 2 2 3" xfId="5777" xr:uid="{C6CFE655-1161-4DBD-9016-556931632D57}"/>
    <cellStyle name="Normal 11 3 2 2 3" xfId="12476" xr:uid="{F0B6F910-C4D5-4A06-98EC-5C9AB190D8DB}"/>
    <cellStyle name="Normal 11 3 2 2 3 2" xfId="12473" xr:uid="{066F4D5D-45E4-4D0F-836B-33662ACC26AE}"/>
    <cellStyle name="Normal 11 3 2 2 4" xfId="12463" xr:uid="{6971EAD2-112A-4943-B696-87F54F4DA8BF}"/>
    <cellStyle name="Normal 11 3 2 3" xfId="7478" xr:uid="{76F6F79E-420C-4759-8391-84A3EB9D0ABF}"/>
    <cellStyle name="Normal 11 3 2 3 2" xfId="5775" xr:uid="{EE0B20CC-7D4B-42D8-AB5C-03FAA7E97F6E}"/>
    <cellStyle name="Normal 11 3 2 3 2 2" xfId="5771" xr:uid="{68A2D97F-8F86-4CEC-8EA0-1916913FE7C5}"/>
    <cellStyle name="Normal 11 3 2 3 3" xfId="12453" xr:uid="{840EA6A7-1AC0-4782-8E20-015B6398AB63}"/>
    <cellStyle name="Normal 11 3 2 4" xfId="5767" xr:uid="{6E513C5A-3DDA-4EB8-918F-8FDA0F1FE7E1}"/>
    <cellStyle name="Normal 11 3 2 4 2" xfId="24003" xr:uid="{49185BA0-F084-4CBA-A6B4-6E2107748539}"/>
    <cellStyle name="Normal 11 3 2 5" xfId="5766" xr:uid="{33ACE055-AF37-436C-A67D-7B292B478472}"/>
    <cellStyle name="Normal 11 3 3" xfId="5765" xr:uid="{98C0943C-6450-421D-92F6-6C242F1B666B}"/>
    <cellStyle name="Normal 11 3 3 2" xfId="5764" xr:uid="{058B7CBA-8372-49A7-8A58-29909E362FF7}"/>
    <cellStyle name="Normal 11 3 3 2 2" xfId="5762" xr:uid="{0AB61582-2299-4EA0-9C4C-B9B181A8EFE5}"/>
    <cellStyle name="Normal 11 3 3 2 2 2" xfId="15765" xr:uid="{62F735C3-9DCB-42E3-9DD9-201A6D616FE9}"/>
    <cellStyle name="Normal 11 3 3 2 3" xfId="12347" xr:uid="{F1FC45EF-A009-4135-8C48-BFB00E8C5969}"/>
    <cellStyle name="Normal 11 3 3 3" xfId="5759" xr:uid="{56DB7473-9F66-4307-BBA7-1E2587C3EAB0}"/>
    <cellStyle name="Normal 11 3 3 3 2" xfId="5758" xr:uid="{2F7480E6-DF71-4C07-ADAE-4BF6F9DCE3C8}"/>
    <cellStyle name="Normal 11 3 3 4" xfId="5755" xr:uid="{80CBE262-6844-45CE-8463-7988D018BBB1}"/>
    <cellStyle name="Normal 11 3 4" xfId="5754" xr:uid="{63E94434-6BF6-430D-A030-3578E1562B0F}"/>
    <cellStyle name="Normal 11 3 4 2" xfId="12727" xr:uid="{DD2A9A73-05C8-4C6A-BDCB-7D999B6AB388}"/>
    <cellStyle name="Normal 11 3 4 2 2" xfId="27852" xr:uid="{0D87D736-280D-4922-BED2-9B4CBEB728B1}"/>
    <cellStyle name="Normal 11 3 4 3" xfId="12717" xr:uid="{EE1F9ACA-A6E9-4E9D-9A7C-243EEFC636CF}"/>
    <cellStyle name="Normal 11 3 5" xfId="5753" xr:uid="{A1BAC0FD-410C-4AB8-A834-57D01E1815B9}"/>
    <cellStyle name="Normal 11 3 5 2" xfId="12231" xr:uid="{B9C80340-B800-4B68-9DE8-01AE75C431F4}"/>
    <cellStyle name="Normal 11 3 6" xfId="13247" xr:uid="{41A52247-E51A-42C5-A40E-DEFE7E165E2F}"/>
    <cellStyle name="Normal 11 4" xfId="5751" xr:uid="{9026B22D-1D6D-49C9-A21C-F05E8AAA96D7}"/>
    <cellStyle name="Normal 11 4 2" xfId="18118" xr:uid="{A5559894-BB4E-41DB-A193-ACFD03FA637E}"/>
    <cellStyle name="Normal 11 4 2 2" xfId="8241" xr:uid="{D5CD5333-4D62-420E-B707-317AFF70651D}"/>
    <cellStyle name="Normal 11 4 2 2 2" xfId="28364" xr:uid="{42B073C1-93A0-47E6-92B9-CB1361D56023}"/>
    <cellStyle name="Normal 11 4 2 2 2 2" xfId="5750" xr:uid="{BE2F4C9A-C600-485B-8F3B-849FBA21C37A}"/>
    <cellStyle name="Normal 11 4 2 2 3" xfId="12124" xr:uid="{70507876-4672-464C-BB00-27962775841C}"/>
    <cellStyle name="Normal 11 4 2 3" xfId="27728" xr:uid="{A5EF9A52-5ABB-4C31-8744-F4C4378BB63F}"/>
    <cellStyle name="Normal 11 4 2 3 2" xfId="5748" xr:uid="{90B39820-B6BD-4B59-90EE-CCB762D902E4}"/>
    <cellStyle name="Normal 11 4 2 4" xfId="5746" xr:uid="{C06D2A44-6A52-442D-998A-9B3F7B2C749F}"/>
    <cellStyle name="Normal 11 4 3" xfId="33693" xr:uid="{72208166-0E52-4F1E-B950-9CEE6AAFA1EA}"/>
    <cellStyle name="Normal 11 4 3 2" xfId="27702" xr:uid="{48CDC98D-132E-436B-B02A-EDF5C34A2126}"/>
    <cellStyle name="Normal 11 4 3 2 2" xfId="5745" xr:uid="{84DBD07E-B4E5-4F99-9C79-3B93FECED6FD}"/>
    <cellStyle name="Normal 11 4 3 3" xfId="5743" xr:uid="{56D4D80E-F3BB-4A55-8525-A20989F1559F}"/>
    <cellStyle name="Normal 11 4 4" xfId="18113" xr:uid="{66E44219-1353-43D1-8C06-FADAD42A3F6E}"/>
    <cellStyle name="Normal 11 4 4 2" xfId="12538" xr:uid="{7EB67F79-EE1A-4385-BDB5-57DAE52FDD58}"/>
    <cellStyle name="Normal 11 4 5" xfId="13243" xr:uid="{22C2B0ED-998E-4A24-9BFA-58D8B2F1CB6D}"/>
    <cellStyle name="Normal 11 5" xfId="5742" xr:uid="{27300F67-DEEA-409C-ADEB-C38988B5BEBC}"/>
    <cellStyle name="Normal 11 5 2" xfId="11948" xr:uid="{1BC73A42-7025-40E9-A652-EC3EB93ACD93}"/>
    <cellStyle name="Normal 11 5 2 2" xfId="8156" xr:uid="{6CEE449C-2D4E-4C24-B2A2-BC37B76319C9}"/>
    <cellStyle name="Normal 11 5 2 2 2" xfId="23436" xr:uid="{07A83A19-2095-451D-A45D-646D15436648}"/>
    <cellStyle name="Normal 11 5 2 3" xfId="15196" xr:uid="{3B891268-E432-4DD4-BC0B-FA8F86151D48}"/>
    <cellStyle name="Normal 11 5 3" xfId="18099" xr:uid="{0E68FEBF-DDFA-4338-B7A5-0331AD75BB2B}"/>
    <cellStyle name="Normal 11 5 3 2" xfId="7890" xr:uid="{BFC9BCA2-49FB-479D-AE15-71D9FFA30A75}"/>
    <cellStyle name="Normal 11 5 4" xfId="26440" xr:uid="{233DBA05-B015-4B84-883F-B321FB20631B}"/>
    <cellStyle name="Normal 11 6" xfId="19516" xr:uid="{BF154FAB-2F78-4DFF-9063-3FAC337D2CA3}"/>
    <cellStyle name="Normal 11 6 2" xfId="18095" xr:uid="{FAA2C1EF-80E5-4F4E-85F3-891793FF68D0}"/>
    <cellStyle name="Normal 11 6 2 2" xfId="8068" xr:uid="{C8FFA047-626A-41EB-B49F-563D9660A776}"/>
    <cellStyle name="Normal 11 6 3" xfId="32671" xr:uid="{65CAD2CF-EC61-4C42-8677-888162133AB3}"/>
    <cellStyle name="Normal 11 7" xfId="22134" xr:uid="{6AA440C6-AEC3-40AC-AF3A-A9A0C3FC1A10}"/>
    <cellStyle name="Normal 11 7 2" xfId="29280" xr:uid="{D5A5C61C-084E-4200-BC7E-70E68020FB5D}"/>
    <cellStyle name="Normal 11 8" xfId="23288" xr:uid="{78B3AB33-C02C-4912-8C46-EF0A0CF4AF58}"/>
    <cellStyle name="Normal 11 9" xfId="5741" xr:uid="{74A7F8A5-9A57-46C7-AA88-BD17C1D7E367}"/>
    <cellStyle name="Normal 12" xfId="21190" xr:uid="{B19F740A-883E-49E6-8625-18F5B03A6A45}"/>
    <cellStyle name="Normal 12 2" xfId="34686" xr:uid="{539E65FF-8653-4971-9176-7707ACC13846}"/>
    <cellStyle name="Normal 12 3" xfId="35306" xr:uid="{41EDDF83-9A10-473B-9345-C8CE6D6EEFDF}"/>
    <cellStyle name="Normal 12 4" xfId="35533" xr:uid="{9617A076-78FA-4468-BE0E-348E56A1BAE5}"/>
    <cellStyle name="Normal 12 5" xfId="36406" xr:uid="{021AF28C-C081-4B2B-AA71-FFBD6F298BCF}"/>
    <cellStyle name="Normal 12 6" xfId="36692" xr:uid="{619D1035-4C0B-47BC-BFB1-B2F1628EEB78}"/>
    <cellStyle name="Normal 12 7" xfId="37577" xr:uid="{6B8D101A-AF07-47A5-B514-E07F841299CC}"/>
    <cellStyle name="Normal 13" xfId="5939" xr:uid="{E4F31923-5FC4-4890-9E19-68445439B11D}"/>
    <cellStyle name="Normal 13 2" xfId="33259" xr:uid="{7083990C-68A8-4D33-B928-944AF0ECAA8E}"/>
    <cellStyle name="Normal 13 2 2" xfId="11147" xr:uid="{A89C0DCD-C0F7-4AF0-B714-599EBDC55DB0}"/>
    <cellStyle name="Normal 13 2 2 2" xfId="5739" xr:uid="{7A37F40C-E315-4886-8145-F96E20696A00}"/>
    <cellStyle name="Normal 13 2 2 2 2" xfId="5738" xr:uid="{B83AC845-FDC2-4A5B-9143-94DDD23DB81E}"/>
    <cellStyle name="Normal 13 2 2 2 2 2" xfId="5736" xr:uid="{CBE00ABC-A044-42B8-B829-02AB0B0B4EB4}"/>
    <cellStyle name="Normal 13 2 2 2 2 2 2" xfId="5732" xr:uid="{AE596C7E-F047-4B58-A017-23854652D68A}"/>
    <cellStyle name="Normal 13 2 2 2 2 3" xfId="5730" xr:uid="{8DEC15B4-0B98-4C95-845A-BAB1E165202D}"/>
    <cellStyle name="Normal 13 2 2 2 3" xfId="8563" xr:uid="{DEF4B9DE-37E4-4D6B-A78D-E6A254E33496}"/>
    <cellStyle name="Normal 13 2 2 2 3 2" xfId="8559" xr:uid="{A2AE5C16-9171-47C3-8A78-32F7D2E432DE}"/>
    <cellStyle name="Normal 13 2 2 2 4" xfId="8518" xr:uid="{99A0B87F-6D44-4831-A00A-79AECBE4AB27}"/>
    <cellStyle name="Normal 13 2 2 3" xfId="30681" xr:uid="{0930B6BF-F84B-4429-9BF2-CDD5E727021D}"/>
    <cellStyle name="Normal 13 2 2 3 2" xfId="5727" xr:uid="{EF355E31-5E37-4940-A411-FEA76BA45B87}"/>
    <cellStyle name="Normal 13 2 2 3 2 2" xfId="10916" xr:uid="{4461391F-9C87-4992-8A3E-32E9025A2488}"/>
    <cellStyle name="Normal 13 2 2 3 3" xfId="25413" xr:uid="{BA5DBB28-A85D-4D59-ABD0-4296C5EB0BFC}"/>
    <cellStyle name="Normal 13 2 2 4" xfId="12591" xr:uid="{7D2B4BA7-586B-4BB2-A777-7BC38578F3AB}"/>
    <cellStyle name="Normal 13 2 2 4 2" xfId="5725" xr:uid="{28D0D1A9-07CC-4528-8A66-A36CEE7135CD}"/>
    <cellStyle name="Normal 13 2 2 5" xfId="5723" xr:uid="{D4345F01-62D5-4FF5-B0A1-DEF1E6FBA2CF}"/>
    <cellStyle name="Normal 13 2 3" xfId="5721" xr:uid="{D296E8DF-CB12-4477-B3B0-2EDA015B1B88}"/>
    <cellStyle name="Normal 13 2 3 2" xfId="5719" xr:uid="{80C405A6-D6B4-466E-9453-DE23067D32D7}"/>
    <cellStyle name="Normal 13 2 3 2 2" xfId="5718" xr:uid="{8E0BACC0-479E-4817-B96F-C5EA140FCDB3}"/>
    <cellStyle name="Normal 13 2 3 2 2 2" xfId="19398" xr:uid="{E09B1271-9D96-42F7-9379-5FE4A9BF9C70}"/>
    <cellStyle name="Normal 13 2 3 2 3" xfId="12193" xr:uid="{8BBCF167-08B1-4E2B-AA02-FED5DA264E3D}"/>
    <cellStyle name="Normal 13 2 3 3" xfId="5716" xr:uid="{0D3B1D8A-D8AC-4AE4-AAA8-08BD8FA6DCE9}"/>
    <cellStyle name="Normal 13 2 3 3 2" xfId="5715" xr:uid="{37C705CE-AC87-483A-A82F-556641F7711D}"/>
    <cellStyle name="Normal 13 2 3 4" xfId="10531" xr:uid="{3C17439F-77BD-4ABE-9DCA-8383866760C9}"/>
    <cellStyle name="Normal 13 2 4" xfId="6747" xr:uid="{914E57E1-5AB2-45F9-B4D9-D32FCFC6DBDA}"/>
    <cellStyle name="Normal 13 2 4 2" xfId="5713" xr:uid="{4EE84F1A-4518-457C-AEF7-218ED1286104}"/>
    <cellStyle name="Normal 13 2 4 2 2" xfId="32856" xr:uid="{96BD533F-2900-4144-8C7E-E79BF599554D}"/>
    <cellStyle name="Normal 13 2 4 3" xfId="5712" xr:uid="{574F7F57-47B5-46F1-A1BF-EC0BEC864EF4}"/>
    <cellStyle name="Normal 13 2 5" xfId="6742" xr:uid="{3DD4E75B-A408-43C4-862C-3A93F6F969E5}"/>
    <cellStyle name="Normal 13 2 5 2" xfId="5711" xr:uid="{3A0439D6-1896-44B4-BFDF-B723384C9A82}"/>
    <cellStyle name="Normal 13 2 6" xfId="21732" xr:uid="{8CD8933D-4FC8-449B-9774-5C5647BAEFB3}"/>
    <cellStyle name="Normal 13 3" xfId="33379" xr:uid="{19A2E31B-016F-43D4-84E2-4BBE78B3F299}"/>
    <cellStyle name="Normal 13 3 2" xfId="11187" xr:uid="{B7170840-DC7D-416F-B159-7A5654E90D22}"/>
    <cellStyle name="Normal 13 3 2 2" xfId="5710" xr:uid="{0E38A304-2992-46BD-B56E-F51650D690BC}"/>
    <cellStyle name="Normal 13 3 2 2 2" xfId="5709" xr:uid="{ED683EC4-D636-44A4-8655-4F4F450688E0}"/>
    <cellStyle name="Normal 13 3 2 2 2 2" xfId="21656" xr:uid="{CEF1F1F8-72F2-441B-8E7E-CF4B589F786E}"/>
    <cellStyle name="Normal 13 3 2 2 3" xfId="7751" xr:uid="{6AFFDE3E-38FC-4F36-B152-13BC9D157EF9}"/>
    <cellStyle name="Normal 13 3 2 3" xfId="5707" xr:uid="{9B1E3D5C-1405-4315-AA10-346075522FA9}"/>
    <cellStyle name="Normal 13 3 2 3 2" xfId="5706" xr:uid="{5362556B-A0FD-48FC-8DB9-DAC8DAF7EA77}"/>
    <cellStyle name="Normal 13 3 2 4" xfId="5704" xr:uid="{8CE3CD5A-BD6E-4B25-8209-0F14894CA77F}"/>
    <cellStyle name="Normal 13 3 3" xfId="5703" xr:uid="{928F51FF-B11F-4FD4-A465-490A1CFE3375}"/>
    <cellStyle name="Normal 13 3 3 2" xfId="5702" xr:uid="{2FAC5945-72FD-4EAF-A04D-259742E24E40}"/>
    <cellStyle name="Normal 13 3 3 2 2" xfId="14158" xr:uid="{0EDFB49C-66A8-4A15-B6C4-276E3806B986}"/>
    <cellStyle name="Normal 13 3 3 3" xfId="5701" xr:uid="{6015B2AB-9F72-4627-8B0B-4BDD75D5999F}"/>
    <cellStyle name="Normal 13 3 4" xfId="6739" xr:uid="{4C3760A6-50C3-47CE-8AB9-663FA0326174}"/>
    <cellStyle name="Normal 13 3 4 2" xfId="5700" xr:uid="{8A16360B-1228-4CB6-A549-F1E42FB0FA31}"/>
    <cellStyle name="Normal 13 3 5" xfId="6736" xr:uid="{70D20C8A-382D-4E70-A199-E60412031BC6}"/>
    <cellStyle name="Normal 13 4" xfId="5699" xr:uid="{A89F093C-5D4D-4B2C-B282-9958A9C1F11B}"/>
    <cellStyle name="Normal 13 4 2" xfId="27509" xr:uid="{73EF674E-E8F5-4B4F-8856-67E276567F34}"/>
    <cellStyle name="Normal 13 4 2 2" xfId="5698" xr:uid="{F7370A45-EB31-44F9-ADA3-88992219EC68}"/>
    <cellStyle name="Normal 13 4 2 2 2" xfId="5697" xr:uid="{E61E49D7-CDE0-4EFE-A998-A588488721D5}"/>
    <cellStyle name="Normal 13 4 2 3" xfId="24397" xr:uid="{58D40AB6-90AF-475A-BC59-90CF61A8BEEB}"/>
    <cellStyle name="Normal 13 4 3" xfId="5695" xr:uid="{5D6D5B9E-729C-470D-A094-50B30F795C1B}"/>
    <cellStyle name="Normal 13 4 3 2" xfId="5694" xr:uid="{E76DDA75-ACE3-4762-8DB2-3F7B415F244B}"/>
    <cellStyle name="Normal 13 4 4" xfId="6734" xr:uid="{57F1DBFA-E2C8-432B-9F39-1FCAFF038911}"/>
    <cellStyle name="Normal 13 5" xfId="16156" xr:uid="{0BA4AA5A-0773-4A8E-AEDD-F4D850A69133}"/>
    <cellStyle name="Normal 13 5 2" xfId="5693" xr:uid="{BC0148D7-853B-4C72-8F1D-D8AC70832734}"/>
    <cellStyle name="Normal 13 5 2 2" xfId="9588" xr:uid="{8E8AB0BB-110B-419D-8BAA-126A1ABF0C8F}"/>
    <cellStyle name="Normal 13 5 3" xfId="22634" xr:uid="{DA9CD3B7-9FE7-4AA8-9166-E0D95073A236}"/>
    <cellStyle name="Normal 13 6" xfId="8266" xr:uid="{4E659F19-47F7-4B3D-8C38-151E80B41654}"/>
    <cellStyle name="Normal 13 6 2" xfId="5692" xr:uid="{EF42AE66-9F7C-4DBD-A6BD-A0836E954A45}"/>
    <cellStyle name="Normal 13 7" xfId="9386" xr:uid="{29568C4A-F6EC-4276-AC95-98DDAE1F2600}"/>
    <cellStyle name="Normal 14" xfId="5690" xr:uid="{9FC3EC58-C5BE-4B22-A22F-D526B4ABD599}"/>
    <cellStyle name="Normal 14 2" xfId="35332" xr:uid="{4A6E9943-5B92-461F-8718-AA01C17560ED}"/>
    <cellStyle name="Normal 14 3" xfId="36446" xr:uid="{75CCF970-BFE7-40BE-AE38-C5B6CF94E6C0}"/>
    <cellStyle name="Normal 14 4" xfId="36732" xr:uid="{EDB3132E-1C0A-4F0C-BE2F-5065DD98D2D8}"/>
    <cellStyle name="Normal 14 5" xfId="37617" xr:uid="{D1B08383-7F66-403A-9D20-C4C5D61C6456}"/>
    <cellStyle name="Normal 15" xfId="5689" xr:uid="{DC806D2F-78D0-4420-A14F-5C451184355D}"/>
    <cellStyle name="Normal 15 2" xfId="9222" xr:uid="{9A929188-AB29-4C67-8AEB-CCA0A17E1C34}"/>
    <cellStyle name="Normal 15 2 2" xfId="5687" xr:uid="{E715A8DC-5456-4F97-8425-C7A674CBE1AE}"/>
    <cellStyle name="Normal 15 2 2 2" xfId="34124" xr:uid="{B3064B74-D4E3-4E2F-B3FC-A9D2D737B042}"/>
    <cellStyle name="Normal 15 2 2 2 2" xfId="5682" xr:uid="{8DCAC080-4F5A-466A-8321-C0C70F637E84}"/>
    <cellStyle name="Normal 15 2 2 2 2 2" xfId="5680" xr:uid="{247F81C8-8002-4D05-BDDD-6C1885A64464}"/>
    <cellStyle name="Normal 15 2 2 2 3" xfId="18244" xr:uid="{E3E51ACC-927E-448A-B31F-C94BE9099480}"/>
    <cellStyle name="Normal 15 2 2 3" xfId="25831" xr:uid="{7313422E-07FD-461A-B1E6-5B480B507FA1}"/>
    <cellStyle name="Normal 15 2 2 3 2" xfId="30778" xr:uid="{02149350-260D-402F-8880-00C7D83CE278}"/>
    <cellStyle name="Normal 15 2 2 4" xfId="5678" xr:uid="{0B8FB2DD-FA24-4ECA-B55F-7D47DD8688AE}"/>
    <cellStyle name="Normal 15 2 3" xfId="5677" xr:uid="{12BE97C9-D35C-490D-B774-B93369DDE9D7}"/>
    <cellStyle name="Normal 15 2 3 2" xfId="5675" xr:uid="{94A7468A-EBEB-492F-983C-82B4F890F362}"/>
    <cellStyle name="Normal 15 2 3 2 2" xfId="5673" xr:uid="{A8156AC0-1587-495B-8E8D-962A59A8C0D3}"/>
    <cellStyle name="Normal 15 2 3 3" xfId="5670" xr:uid="{8B6BAE33-0027-46F0-AF08-E086557F162E}"/>
    <cellStyle name="Normal 15 2 4" xfId="6719" xr:uid="{3FFA423B-C113-47F4-8F38-8FA52EF29CC2}"/>
    <cellStyle name="Normal 15 2 4 2" xfId="5668" xr:uid="{5B20D2CF-0D9A-4D4C-B570-B48EB7881271}"/>
    <cellStyle name="Normal 15 2 5" xfId="5665" xr:uid="{4CC12705-3EAA-40B3-A474-10A89FFAD0B7}"/>
    <cellStyle name="Normal 15 3" xfId="5663" xr:uid="{68AAF5F1-00E0-4FEB-A3C9-9A3E45B14DA9}"/>
    <cellStyle name="Normal 15 3 2" xfId="5656" xr:uid="{C8C8B88B-A215-42E6-98A5-15EA9E185A48}"/>
    <cellStyle name="Normal 15 3 2 2" xfId="5655" xr:uid="{69039976-79AB-4CAD-B6E1-4B99706A3406}"/>
    <cellStyle name="Normal 15 3 2 2 2" xfId="15536" xr:uid="{5644B041-1761-4EA5-96C5-3FA2A1E86E42}"/>
    <cellStyle name="Normal 15 3 2 3" xfId="5654" xr:uid="{0F1CD299-4576-4AC7-8650-35AB67329C03}"/>
    <cellStyle name="Normal 15 3 3" xfId="5653" xr:uid="{2A1340DE-8079-418C-AA11-B46BC9E15DA8}"/>
    <cellStyle name="Normal 15 3 3 2" xfId="16753" xr:uid="{A327180C-A534-46E5-B6D0-ACFEEA87FFBB}"/>
    <cellStyle name="Normal 15 3 4" xfId="5651" xr:uid="{8586E47F-8A08-4DB8-98EF-9245FDEB3682}"/>
    <cellStyle name="Normal 15 4" xfId="5650" xr:uid="{AA11C5FA-727E-40B3-B344-9ABB8F108D38}"/>
    <cellStyle name="Normal 15 4 2" xfId="5649" xr:uid="{667539A0-DB63-49E2-9C7A-10E9E8D7478B}"/>
    <cellStyle name="Normal 15 4 2 2" xfId="16727" xr:uid="{2E533C6A-374C-4113-A917-F8D979EEC99D}"/>
    <cellStyle name="Normal 15 4 3" xfId="5647" xr:uid="{BE71E339-14AA-4928-9D58-F4EC6757E713}"/>
    <cellStyle name="Normal 15 5" xfId="16133" xr:uid="{F8BAF5E2-FB32-42A0-BA48-B9A0B6D7794C}"/>
    <cellStyle name="Normal 15 5 2" xfId="5646" xr:uid="{2A8124C2-7477-4DDF-B81E-28BB91679A92}"/>
    <cellStyle name="Normal 15 6" xfId="5645" xr:uid="{11761CAB-DA1D-4575-992E-708F9E22732B}"/>
    <cellStyle name="Normal 16" xfId="5643" xr:uid="{42A7D310-A3C0-47CF-827F-774F0E8092A4}"/>
    <cellStyle name="Normal 16 2" xfId="35636" xr:uid="{F5F8C2F9-5714-44E8-8E3B-BDA7A20FF4E6}"/>
    <cellStyle name="Normal 16 3" xfId="37657" xr:uid="{0F365239-21CD-4F4C-82EA-E7733C92961E}"/>
    <cellStyle name="Normal 17" xfId="5641" xr:uid="{B11C8413-2ECC-4B93-975A-72F345883078}"/>
    <cellStyle name="Normal 17 2" xfId="5639" xr:uid="{8062A1AF-A1D1-46B9-A814-F4D71A295403}"/>
    <cellStyle name="Normal 17 2 2" xfId="9427" xr:uid="{36616DF6-80DA-48A2-B7C1-A8510E760F72}"/>
    <cellStyle name="Normal 17 2 2 2" xfId="9424" xr:uid="{43C94546-DAC7-461E-88FE-DB2ABFE1F267}"/>
    <cellStyle name="Normal 17 2 2 2 2" xfId="33336" xr:uid="{204937F4-CDF9-47E7-BC70-14F2B7C3D4CF}"/>
    <cellStyle name="Normal 17 2 2 3" xfId="5637" xr:uid="{7FFC9A8B-8055-47D3-938A-E2C8C4C65133}"/>
    <cellStyle name="Normal 17 2 3" xfId="9421" xr:uid="{E6125EC4-3264-4B78-9357-7DB92627CBE8}"/>
    <cellStyle name="Normal 17 2 3 2" xfId="5635" xr:uid="{C14884D8-AA12-4DD5-B06D-BDE7C2CAED0D}"/>
    <cellStyle name="Normal 17 2 4" xfId="5631" xr:uid="{C0864AC0-6D1B-4AE5-ACC6-C1D36795141F}"/>
    <cellStyle name="Normal 17 3" xfId="5629" xr:uid="{C5C88645-28D6-41E6-8B36-DBB7189453BD}"/>
    <cellStyle name="Normal 17 3 2" xfId="33156" xr:uid="{9A9F8A89-7267-4045-AF5F-D1B8A0497F6D}"/>
    <cellStyle name="Normal 17 3 2 2" xfId="29215" xr:uid="{38AFDE4E-6CBA-4642-8FCA-FEAFE771933C}"/>
    <cellStyle name="Normal 17 3 3" xfId="11245" xr:uid="{248DC99A-01E1-4D7C-ABB9-A7226C6D85B8}"/>
    <cellStyle name="Normal 17 4" xfId="5627" xr:uid="{73A13A4E-254F-4966-ABCD-F7223D3AAB1A}"/>
    <cellStyle name="Normal 17 4 2" xfId="11213" xr:uid="{705B3056-547F-41A1-8354-78BF0F4302B1}"/>
    <cellStyle name="Normal 17 5" xfId="5625" xr:uid="{69F57755-AE29-4505-B8E3-AEADB166B137}"/>
    <cellStyle name="Normal 18" xfId="31393" xr:uid="{83C4FDD2-C119-4221-8884-A8963965755D}"/>
    <cellStyle name="Normal 18 2" xfId="35639" xr:uid="{E71C4476-A2B7-4B8B-B8E4-8A64E5073738}"/>
    <cellStyle name="Normal 18 3" xfId="37696" xr:uid="{BD7BE6BC-8F4F-4F25-8850-41FFF0BDE245}"/>
    <cellStyle name="Normal 19" xfId="8551" xr:uid="{0C70490A-767C-4B90-B48A-4DF3A403CC0E}"/>
    <cellStyle name="Normal 19 2" xfId="5623" xr:uid="{F47E20CF-EA56-47F6-B48F-099DF0CF1508}"/>
    <cellStyle name="Normal 19 2 2" xfId="18964" xr:uid="{5B10D603-5A9D-4431-A7D3-4F19F2C03830}"/>
    <cellStyle name="Normal 19 2 2 2" xfId="12331" xr:uid="{63984165-651E-4C14-8B16-9FC099BA619B}"/>
    <cellStyle name="Normal 19 2 3" xfId="25057" xr:uid="{84C5DB20-568D-4112-AA70-2B3304E62C5C}"/>
    <cellStyle name="Normal 19 3" xfId="5621" xr:uid="{07A0C6EE-7E30-43F4-A19A-2FF55376B409}"/>
    <cellStyle name="Normal 19 3 2" xfId="18954" xr:uid="{7A021CBF-3AC9-46AC-BE2E-BF161BEF7C60}"/>
    <cellStyle name="Normal 19 4" xfId="5406" xr:uid="{9FF31B5B-693F-4A87-AEDA-892ED5842594}"/>
    <cellStyle name="Normal 2" xfId="3" xr:uid="{63095DBA-8C58-4B92-9D1B-F6B10DB41C35}"/>
    <cellStyle name="Normal 2 10" xfId="36243" xr:uid="{6FFB1BF7-01A3-4EAC-B30A-0163AF6B2EA6}"/>
    <cellStyle name="Normal 2 11" xfId="36529" xr:uid="{FA70E65B-3C93-480C-9D48-537221463F91}"/>
    <cellStyle name="Normal 2 12" xfId="37414" xr:uid="{AFCBC39F-01D2-420E-8A1D-B39E2FF1A251}"/>
    <cellStyle name="Normal 2 13" xfId="38296" xr:uid="{CCD66395-B698-4E68-9E8E-E5310C1680E2}"/>
    <cellStyle name="Normal 2 2" xfId="48" xr:uid="{8C61140E-1EC1-42D2-B43C-B6A102102AF6}"/>
    <cellStyle name="Normal 2 2 2" xfId="5617" xr:uid="{6B38ED8A-45F6-4CA4-B4ED-977A8C9753E3}"/>
    <cellStyle name="Normal 2 2 3" xfId="34414" xr:uid="{098F1A7B-5EDD-41B2-8081-550BAACA6574}"/>
    <cellStyle name="Normal 2 2 4" xfId="5618" xr:uid="{963DD3E8-68AE-43F4-8EC1-6CAA755A300D}"/>
    <cellStyle name="Normal 2 3" xfId="71" xr:uid="{35EC2EAF-E5EE-454C-8C2F-F4F810EB14AE}"/>
    <cellStyle name="Normal 2 3 2" xfId="15314" xr:uid="{687CD5AE-BF9E-4EE3-AADE-A1574596780B}"/>
    <cellStyle name="Normal 2 3 3" xfId="34433" xr:uid="{42A790B1-B0FF-48DB-AAA1-CD0441826EBF}"/>
    <cellStyle name="Normal 2 3 4" xfId="15316" xr:uid="{8C9A21A1-6CF8-41F5-8A20-146A40AAA99B}"/>
    <cellStyle name="Normal 2 4" xfId="134" xr:uid="{44130696-455C-4822-B8CF-A7B491C49C9B}"/>
    <cellStyle name="Normal 2 4 2" xfId="34488" xr:uid="{A715DC99-11ED-448E-9E36-BB7DEC057271}"/>
    <cellStyle name="Normal 2 4 3" xfId="19615" xr:uid="{B5C649C5-8320-4B91-8835-EDB23DE72E13}"/>
    <cellStyle name="Normal 2 5" xfId="195" xr:uid="{AE5BBB2B-0B5B-41E0-8D60-FD4B580C797E}"/>
    <cellStyle name="Normal 2 6" xfId="49" xr:uid="{1A2D5378-BCE8-4553-81E7-7F96F2F023B9}"/>
    <cellStyle name="Normal 2 6 2" xfId="34747" xr:uid="{20BDAE57-EE5D-4C51-B3DD-7C75797011DE}"/>
    <cellStyle name="Normal 2 7" xfId="34937" xr:uid="{75C9904E-5097-4EC6-8245-CDCC23AC8D2B}"/>
    <cellStyle name="Normal 2 8" xfId="35142" xr:uid="{ED98D99A-9A1D-4511-821B-2B5DECE7A0AF}"/>
    <cellStyle name="Normal 2 9" xfId="35371" xr:uid="{6637E646-1753-4D28-8A3C-8303B3469B1F}"/>
    <cellStyle name="Normal 20" xfId="5688" xr:uid="{1AB1A3DE-4131-4CE7-8447-B75F96E02DC7}"/>
    <cellStyle name="Normal 20 2" xfId="9221" xr:uid="{917DB4DF-9DC0-4842-8B36-B53E02972B2E}"/>
    <cellStyle name="Normal 20 2 2" xfId="5686" xr:uid="{47A9DEA4-63E4-409F-A766-C266926A93BB}"/>
    <cellStyle name="Normal 20 3" xfId="5662" xr:uid="{5299EE87-A9D9-4710-8B66-A7AC7F15A093}"/>
    <cellStyle name="Normal 21" xfId="5642" xr:uid="{10896A6B-926F-47D0-8A26-0D435DDE50A6}"/>
    <cellStyle name="Normal 21 2" xfId="10647" xr:uid="{C4624136-C4E9-46BE-B9EA-97193659E8A7}"/>
    <cellStyle name="Normal 21 3" xfId="37754" xr:uid="{5A3B8976-D008-4407-BC44-E20D5BAD5BBB}"/>
    <cellStyle name="Normal 22" xfId="5640" xr:uid="{C6D33D12-D988-464A-A0D5-CFE0F99BB85B}"/>
    <cellStyle name="Normal 22 2" xfId="36883" xr:uid="{9B25778A-5B3D-4EB8-B7E7-DEF268DD6512}"/>
    <cellStyle name="Normal 22 3" xfId="37774" xr:uid="{39FE9AE0-3957-4465-87E0-00AC7599625D}"/>
    <cellStyle name="Normal 23" xfId="31392" xr:uid="{BF773DBA-75C6-4964-B4D5-48D1A702DF60}"/>
    <cellStyle name="Normal 23 2" xfId="36903" xr:uid="{F6CAC5AA-E774-4CB7-90B2-BED253D7CB12}"/>
    <cellStyle name="Normal 23 3" xfId="37794" xr:uid="{4D26E927-E07C-4774-9C2A-190C18824EE8}"/>
    <cellStyle name="Normal 24" xfId="8550" xr:uid="{6559B842-675E-4B0F-8D7B-32E9C117E9AD}"/>
    <cellStyle name="Normal 24 2" xfId="35752" xr:uid="{1CC627E5-5B67-40AD-9B96-E0C9E692CE7F}"/>
    <cellStyle name="Normal 24 3" xfId="37814" xr:uid="{029AC400-D0AA-47CB-962B-5276D7F25B47}"/>
    <cellStyle name="Normal 25" xfId="5615" xr:uid="{DF80DB02-2D87-445B-B453-19591D72B476}"/>
    <cellStyle name="Normal 25 2" xfId="35772" xr:uid="{34A920FA-22F9-4F09-8628-5B59D5C3E278}"/>
    <cellStyle name="Normal 25 3" xfId="37834" xr:uid="{44ED492B-1A62-43BF-9910-0795DF1342E4}"/>
    <cellStyle name="Normal 26 2" xfId="34411" xr:uid="{12B29C02-7DED-4167-8279-9C4B1FFC57EE}"/>
    <cellStyle name="Normal 26 2 2" xfId="36472" xr:uid="{38B101FB-3434-46EE-B310-D421F8E150F8}"/>
    <cellStyle name="Normal 26 2 3" xfId="36770" xr:uid="{D943A504-6DD6-4C58-96DE-ACC4C471ECE1}"/>
    <cellStyle name="Normal 26 2 4" xfId="37656" xr:uid="{27AD777C-B437-488A-83A1-E9BF8E481A0E}"/>
    <cellStyle name="Normal 26 3" xfId="34665" xr:uid="{ACADE9BD-124F-4AB9-8614-CBDEF8BE12BE}"/>
    <cellStyle name="Normal 26 3 2" xfId="36509" xr:uid="{75A07459-20D8-4950-B833-C57F6AF5D184}"/>
    <cellStyle name="Normal 26 3 3" xfId="37060" xr:uid="{95232DBA-BC72-4B78-B11D-D95D0F7404A2}"/>
    <cellStyle name="Normal 26 3 4" xfId="37954" xr:uid="{4403F7B7-AC7E-4EEC-815E-A5B14AE87912}"/>
    <cellStyle name="Normal 26 4" xfId="35572" xr:uid="{932F18F2-3D3E-42BF-99EA-B6DDCD05CDBF}"/>
    <cellStyle name="Normal 26 5" xfId="36445" xr:uid="{D0EE1C30-2B56-40CC-9B9B-0DF544588688}"/>
    <cellStyle name="Normal 26 6" xfId="36731" xr:uid="{82476D6E-AB76-46EF-B183-159F56A2E456}"/>
    <cellStyle name="Normal 26 7" xfId="37616" xr:uid="{250F0611-B78D-40E2-BA96-FDEF123E3DA2}"/>
    <cellStyle name="Normal 27" xfId="20796" xr:uid="{20D15EC0-0E2C-4101-B72C-C9112B731DA5}"/>
    <cellStyle name="Normal 27 2" xfId="36961" xr:uid="{11F95D95-3BE3-46E1-ADB0-9916299EA20E}"/>
    <cellStyle name="Normal 27 3" xfId="37854" xr:uid="{E33C017B-0466-4127-9220-BAFD98EC54C8}"/>
    <cellStyle name="Normal 28" xfId="5610" xr:uid="{162C0827-E754-43A5-80ED-7C48F40C20E4}"/>
    <cellStyle name="Normal 28 2" xfId="36981" xr:uid="{9EB959CA-1A6C-43C7-B413-97B85B6E320C}"/>
    <cellStyle name="Normal 28 3" xfId="37874" xr:uid="{4AE670DB-5081-48FE-8548-CC57A779E5AF}"/>
    <cellStyle name="Normal 29" xfId="34408" xr:uid="{E08B12A9-41E1-4F76-980E-A4B42D21539E}"/>
    <cellStyle name="Normal 29 2" xfId="37001" xr:uid="{0205863B-B0E6-4A1A-874E-82C0B11B943F}"/>
    <cellStyle name="Normal 29 3" xfId="37894" xr:uid="{F4D3B4A3-30CE-4E34-B6E4-CCA08105A3C6}"/>
    <cellStyle name="Normal 3" xfId="60" xr:uid="{9EC4CD51-159A-459B-BE77-72238B50B539}"/>
    <cellStyle name="Normal 3 10" xfId="25876" xr:uid="{BF8AB003-A01C-4722-BB49-AAF41D1C8468}"/>
    <cellStyle name="Normal 3 10 2" xfId="19023" xr:uid="{9B7F24A7-3E6E-49AB-8BAC-C0F205FF2EF1}"/>
    <cellStyle name="Normal 3 10 2 2" xfId="22673" xr:uid="{CB896888-FAFA-468B-AB9F-63DFB2414267}"/>
    <cellStyle name="Normal 3 10 2 2 2" xfId="5608" xr:uid="{1D4719C4-3B58-4BEF-B44F-A8FCDC059C8F}"/>
    <cellStyle name="Normal 3 10 2 3" xfId="5607" xr:uid="{7BC01897-BE2E-4C95-914F-043101C9D565}"/>
    <cellStyle name="Normal 3 10 2 3 2" xfId="28522" xr:uid="{FA2AED93-76F2-44EC-B4F9-AF12F752DD0A}"/>
    <cellStyle name="Normal 3 10 2 4" xfId="20864" xr:uid="{628A43F0-7D43-4553-8097-A0C1A7F5E7DE}"/>
    <cellStyle name="Normal 3 10 2 4 2" xfId="28507" xr:uid="{D6EC94BD-3267-40A0-97F4-AC9B47131E26}"/>
    <cellStyle name="Normal 3 10 2 5" xfId="20968" xr:uid="{E6993CFF-0EB0-4EA0-9624-0E79D0BB67C1}"/>
    <cellStyle name="Normal 3 10 2 5 2" xfId="27100" xr:uid="{54FA0085-67FD-41C8-82F2-D62DA780992B}"/>
    <cellStyle name="Normal 3 10 2 6" xfId="20860" xr:uid="{A614D0D2-AD43-4DCA-A9AE-00ACA114C9D5}"/>
    <cellStyle name="Normal 3 10 2 6 2" xfId="30772" xr:uid="{AB592DF0-BE4C-4BBF-9E9E-19877BAF1B7E}"/>
    <cellStyle name="Normal 3 10 2 7" xfId="12146" xr:uid="{1D50AA64-E6F2-4D60-AAC6-1D64E1D2224B}"/>
    <cellStyle name="Normal 3 10 3" xfId="5605" xr:uid="{3E6A1D4E-5E3D-49B8-80AF-EEB3CF242E77}"/>
    <cellStyle name="Normal 3 10 3 2" xfId="15298" xr:uid="{0024C585-B23B-4F8E-A272-9694CBA22234}"/>
    <cellStyle name="Normal 3 10 4" xfId="8163" xr:uid="{73AAAA07-CB75-4661-BAC5-325CD67D721F}"/>
    <cellStyle name="Normal 3 10 4 2" xfId="17473" xr:uid="{BF77C42E-11FB-4F64-B3FD-D1348ED7B19D}"/>
    <cellStyle name="Normal 3 10 5" xfId="5604" xr:uid="{62233873-CAEA-4260-80D2-C4F10DEA90EC}"/>
    <cellStyle name="Normal 3 10 5 2" xfId="5603" xr:uid="{89782898-F5A5-4B3A-8D64-4441C8FC83D7}"/>
    <cellStyle name="Normal 3 10 6" xfId="5601" xr:uid="{FED3B7A6-3A2E-40C0-8B4F-41B626D2E93C}"/>
    <cellStyle name="Normal 3 10 6 2" xfId="21723" xr:uid="{ED9964F0-53C0-4DC4-A1B6-257B9619D6F3}"/>
    <cellStyle name="Normal 3 10 7" xfId="5600" xr:uid="{231B7880-B262-42E1-B31C-14FFCC1ABE0A}"/>
    <cellStyle name="Normal 3 10 7 2" xfId="21366" xr:uid="{30C7E7C8-7D52-4D9E-B192-E15D0E18506F}"/>
    <cellStyle name="Normal 3 10 8" xfId="6561" xr:uid="{2A60C97D-79D1-44F5-81C5-435AD8DF596F}"/>
    <cellStyle name="Normal 3 11" xfId="32623" xr:uid="{456BA2C8-C0CD-4DBF-90FB-42DCF1D59E04}"/>
    <cellStyle name="Normal 3 11 2" xfId="5598" xr:uid="{FCCF8FF6-7E3A-4B43-A41A-BABDD70D7397}"/>
    <cellStyle name="Normal 3 11 2 2" xfId="11307" xr:uid="{8F5A2D6B-7375-4A79-A01D-C2B30CD4277D}"/>
    <cellStyle name="Normal 3 11 2 2 2" xfId="5596" xr:uid="{9C819090-9F4E-45CD-B641-427A36FB4E85}"/>
    <cellStyle name="Normal 3 11 2 3" xfId="5595" xr:uid="{3E3A4CE9-8DA2-434C-BAF5-04D45F556991}"/>
    <cellStyle name="Normal 3 11 2 3 2" xfId="29702" xr:uid="{CDCFBB37-F29F-4CBA-88A1-78D6306EAB3A}"/>
    <cellStyle name="Normal 3 11 2 4" xfId="21235" xr:uid="{9D312CB4-EC70-4470-8D7F-A9F921B25124}"/>
    <cellStyle name="Normal 3 11 2 4 2" xfId="27010" xr:uid="{0F64CD93-2405-40C4-AE85-5EC3ABF783F4}"/>
    <cellStyle name="Normal 3 11 2 5" xfId="22178" xr:uid="{FFFD4E9F-2812-424D-B10C-6829C559CD74}"/>
    <cellStyle name="Normal 3 11 2 5 2" xfId="30548" xr:uid="{329757C3-87C8-4B2A-99CA-5D22C3E7FDE6}"/>
    <cellStyle name="Normal 3 11 2 6" xfId="21964" xr:uid="{6AFB33D9-BBCA-4911-8472-EAF9DA42E570}"/>
    <cellStyle name="Normal 3 11 2 6 2" xfId="5594" xr:uid="{688E6382-6A4D-49AD-98D5-5D443FA8C875}"/>
    <cellStyle name="Normal 3 11 2 7" xfId="5592" xr:uid="{46BA407C-F45A-4564-9505-5DE217DE4867}"/>
    <cellStyle name="Normal 3 11 3" xfId="5591" xr:uid="{BF8EF8AF-AEE4-4BAD-BE49-2E3949DA4029}"/>
    <cellStyle name="Normal 3 11 3 2" xfId="33134" xr:uid="{0C72B84C-CAE4-418E-B0EF-B147D13DCFFE}"/>
    <cellStyle name="Normal 3 11 4" xfId="5590" xr:uid="{187285DB-3798-43CD-B800-55D87898DA5E}"/>
    <cellStyle name="Normal 3 11 4 2" xfId="5589" xr:uid="{07B50930-0951-4B13-A93E-7DE3D640DB88}"/>
    <cellStyle name="Normal 3 11 5" xfId="5588" xr:uid="{37DD1B2C-C28A-4F83-BBC8-30CBD040E517}"/>
    <cellStyle name="Normal 3 11 5 2" xfId="5586" xr:uid="{7D707828-B217-48E5-AA61-EEB7F02F18AF}"/>
    <cellStyle name="Normal 3 11 6" xfId="6195" xr:uid="{FCAC867E-B5C6-4BC6-A13D-86867663A1D5}"/>
    <cellStyle name="Normal 3 11 6 2" xfId="20871" xr:uid="{BBBB3B51-69A1-4EAA-86E6-99789030FC4B}"/>
    <cellStyle name="Normal 3 11 7" xfId="6533" xr:uid="{4D925282-362D-4C1F-A2A7-0F0713ED577C}"/>
    <cellStyle name="Normal 3 11 7 2" xfId="20688" xr:uid="{3CDE7237-8143-4DE6-AA2E-3768B534F304}"/>
    <cellStyle name="Normal 3 11 8" xfId="32911" xr:uid="{164B9ABC-09F5-42D2-B66D-3A08057E8AA8}"/>
    <cellStyle name="Normal 3 12" xfId="5584" xr:uid="{D5B79FAF-9AB9-440A-AD93-1D38D973A4E2}"/>
    <cellStyle name="Normal 3 12 2" xfId="5583" xr:uid="{B64B4C42-6B94-4C62-9AAA-C6F7FAF1880E}"/>
    <cellStyle name="Normal 3 12 2 2" xfId="5582" xr:uid="{6B1B7982-F8FD-40D8-BE0E-F3A034D25B1C}"/>
    <cellStyle name="Normal 3 12 2 2 2" xfId="5578" xr:uid="{D385ECE3-079E-4C23-9020-BB86F958037B}"/>
    <cellStyle name="Normal 3 12 2 3" xfId="21816" xr:uid="{731258E8-F242-4592-AC6C-60711B69A4E2}"/>
    <cellStyle name="Normal 3 12 2 3 2" xfId="26959" xr:uid="{0A256BCF-768F-4B05-BE73-C112DAC36580}"/>
    <cellStyle name="Normal 3 12 2 4" xfId="20828" xr:uid="{9D8FD1D3-97F4-4213-9997-CAB2AFACA556}"/>
    <cellStyle name="Normal 3 12 2 4 2" xfId="29423" xr:uid="{721209E4-FB66-476A-9BB6-5B8C6F2B5170}"/>
    <cellStyle name="Normal 3 12 2 5" xfId="5577" xr:uid="{006DE8E2-2FF0-4B07-B58F-7DB2D030D47A}"/>
    <cellStyle name="Normal 3 12 2 5 2" xfId="33711" xr:uid="{B4746304-CB32-4902-AD43-B68600B742E9}"/>
    <cellStyle name="Normal 3 12 2 6" xfId="5576" xr:uid="{BFDEE646-6B38-4873-8BE0-A7F8B8D7629F}"/>
    <cellStyle name="Normal 3 12 2 6 2" xfId="32428" xr:uid="{9F3C20A3-14E5-4C81-82C7-77068A6C013D}"/>
    <cellStyle name="Normal 3 12 2 7" xfId="5575" xr:uid="{1BC7A8FF-A622-4806-8C13-6D4D5562E9B5}"/>
    <cellStyle name="Normal 3 12 3" xfId="5574" xr:uid="{C6857CF9-A39F-43AF-AE0C-E05F5C4F24EF}"/>
    <cellStyle name="Normal 3 12 3 2" xfId="5572" xr:uid="{F4D70260-DB3C-4D45-AB96-3B592F205264}"/>
    <cellStyle name="Normal 3 12 4" xfId="23711" xr:uid="{F2751BD5-9251-49F6-A6FA-0774B4943161}"/>
    <cellStyle name="Normal 3 12 4 2" xfId="25820" xr:uid="{1C993502-CFDC-43CA-93ED-0918AAD78EC1}"/>
    <cellStyle name="Normal 3 12 5" xfId="25734" xr:uid="{C822C473-34AD-4DB8-9A69-1B8EB8E4DED8}"/>
    <cellStyle name="Normal 3 12 5 2" xfId="21197" xr:uid="{3362A867-D1A7-42E4-BD41-ACD0D7298659}"/>
    <cellStyle name="Normal 3 12 6" xfId="18884" xr:uid="{FE41ABE0-DFF7-47DB-8B6D-0EF5D683F432}"/>
    <cellStyle name="Normal 3 12 6 2" xfId="20471" xr:uid="{82DA171D-6E12-488D-A057-90B532036CFC}"/>
    <cellStyle name="Normal 3 12 7" xfId="28954" xr:uid="{028DDED3-AC5E-41C7-8517-921FCDCF9B3B}"/>
    <cellStyle name="Normal 3 12 7 2" xfId="22663" xr:uid="{6E19292D-76E7-4799-96FD-B88E7E4C0DA1}"/>
    <cellStyle name="Normal 3 12 8" xfId="5570" xr:uid="{8C597D37-0A33-4450-BCC9-218774C549B6}"/>
    <cellStyle name="Normal 3 13" xfId="5569" xr:uid="{802D4358-D81C-4AD7-B633-102C232B358F}"/>
    <cellStyle name="Normal 3 13 2" xfId="5568" xr:uid="{30726E38-6618-48DA-B119-8D42E89CB8F3}"/>
    <cellStyle name="Normal 3 13 2 2" xfId="5567" xr:uid="{746F066A-930D-45FC-81B1-F12D1133EC83}"/>
    <cellStyle name="Normal 3 13 2 2 2" xfId="5565" xr:uid="{E61D3B83-0E87-48A6-8725-F640A42729FA}"/>
    <cellStyle name="Normal 3 13 2 3" xfId="21804" xr:uid="{F94F4953-4D5E-48AA-87E7-30B4B07E9DCD}"/>
    <cellStyle name="Normal 3 13 2 3 2" xfId="29284" xr:uid="{BA284A17-1978-4996-8485-2A89E07CE1AB}"/>
    <cellStyle name="Normal 3 13 2 4" xfId="5564" xr:uid="{67927FFE-041C-470B-8C1D-864F4F7B4C1B}"/>
    <cellStyle name="Normal 3 13 2 4 2" xfId="5562" xr:uid="{E7308D7B-49B8-4082-9BDF-29FCA3F13205}"/>
    <cellStyle name="Normal 3 13 2 5" xfId="5773" xr:uid="{F66FA236-9F15-4917-887C-105B8CCE4167}"/>
    <cellStyle name="Normal 3 13 2 5 2" xfId="5768" xr:uid="{E6BE82CC-3464-453D-BF8A-F66183344D43}"/>
    <cellStyle name="Normal 3 13 2 6" xfId="12451" xr:uid="{F1B6465D-530B-4F95-9E11-4C0938CBB192}"/>
    <cellStyle name="Normal 3 13 2 6 2" xfId="12450" xr:uid="{9B52F100-9509-489C-9FB5-826F752C33D5}"/>
    <cellStyle name="Normal 3 13 2 7" xfId="12443" xr:uid="{28CA7869-E549-4432-8988-93B88EDF4196}"/>
    <cellStyle name="Normal 3 13 3" xfId="24026" xr:uid="{0428C226-82C6-453C-80C5-F62E6C81DA3A}"/>
    <cellStyle name="Normal 3 13 3 2" xfId="26376" xr:uid="{39967215-8E3F-495E-A9B6-295DE63C7F96}"/>
    <cellStyle name="Normal 3 13 4" xfId="23703" xr:uid="{ABF52BD0-BA3B-4630-93EB-AB809F35A2E8}"/>
    <cellStyle name="Normal 3 13 4 2" xfId="23998" xr:uid="{3E84B090-5B32-47E7-8C69-5379CE9AAC01}"/>
    <cellStyle name="Normal 3 13 5" xfId="23986" xr:uid="{EDE8A019-4225-4962-99F1-E0393FE293B6}"/>
    <cellStyle name="Normal 3 13 5 2" xfId="23980" xr:uid="{1DDC42F5-8B78-428D-B59E-36D5D8C6FD93}"/>
    <cellStyle name="Normal 3 13 6" xfId="23975" xr:uid="{EF051E84-0A0C-4689-BA8A-109806062DE0}"/>
    <cellStyle name="Normal 3 13 6 2" xfId="20316" xr:uid="{0E5EC5CD-B8BF-4649-B440-5B88C7FF9AAE}"/>
    <cellStyle name="Normal 3 13 7" xfId="25217" xr:uid="{20025A1A-C82C-455E-85E6-6B0B0A0FA01D}"/>
    <cellStyle name="Normal 3 13 7 2" xfId="20280" xr:uid="{01B960B8-2D8F-4F9D-BC34-01755BBDD817}"/>
    <cellStyle name="Normal 3 13 8" xfId="5561" xr:uid="{25E2FF92-DDF6-4569-919B-C4C20DC7AFD7}"/>
    <cellStyle name="Normal 3 13 9" xfId="5559" xr:uid="{1C08429C-76B9-4681-8F57-E7305520B03F}"/>
    <cellStyle name="Normal 3 14" xfId="29250" xr:uid="{15EC3919-A4D4-40BE-8F39-6C3FF23D99F5}"/>
    <cellStyle name="Normal 3 14 2" xfId="6209" xr:uid="{9D9C52B0-66C6-4298-98E9-7B3103D10DBF}"/>
    <cellStyle name="Normal 3 14 2 2" xfId="34319" xr:uid="{229526FD-56C4-44FB-8662-585D5AA839B8}"/>
    <cellStyle name="Normal 3 14 3" xfId="32797" xr:uid="{C8E0259F-B0D5-49E6-8E70-BA278D7E131E}"/>
    <cellStyle name="Normal 3 14 3 2" xfId="23972" xr:uid="{074BB300-3209-4085-91CA-8D88C6B57DF8}"/>
    <cellStyle name="Normal 3 14 4" xfId="32582" xr:uid="{2677482A-3A1F-4E72-8795-27741D384C02}"/>
    <cellStyle name="Normal 3 14 4 2" xfId="23959" xr:uid="{4BA4A6AC-1019-4F48-9472-AF96C10C3091}"/>
    <cellStyle name="Normal 3 14 5" xfId="32565" xr:uid="{A00E0F1C-0780-4CFE-9C49-CF77701BD7E0}"/>
    <cellStyle name="Normal 3 14 5 2" xfId="23956" xr:uid="{73977656-B9D7-4124-A1C6-FC8E5E275418}"/>
    <cellStyle name="Normal 3 14 6" xfId="23949" xr:uid="{550B1BD9-2F73-42DA-A8F6-C2C409B633F9}"/>
    <cellStyle name="Normal 3 14 6 2" xfId="20223" xr:uid="{1C84225B-08F5-44D8-B30D-B6D11373A46A}"/>
    <cellStyle name="Normal 3 14 7" xfId="5557" xr:uid="{12B2C5B4-2F02-4851-A6CE-02EDDB6271E1}"/>
    <cellStyle name="Normal 3 15" xfId="6206" xr:uid="{85DC10D2-5BF9-46DE-8BAB-927A707C52FC}"/>
    <cellStyle name="Normal 3 15 2" xfId="31917" xr:uid="{5BDBE115-16EF-4F9A-89E8-76279F34F8A8}"/>
    <cellStyle name="Normal 3 15 2 2" xfId="31911" xr:uid="{56B90B25-B45C-4FC7-8A4E-B249210CFA74}"/>
    <cellStyle name="Normal 3 15 3" xfId="32992" xr:uid="{4FBC6D71-A434-4403-8ABB-C53EC1F3CDF6}"/>
    <cellStyle name="Normal 3 15 3 2" xfId="23937" xr:uid="{351D1C66-3DC5-4EC2-B8B2-63DDB0D326A3}"/>
    <cellStyle name="Normal 3 15 4" xfId="32979" xr:uid="{3E275A62-6DA0-4134-87D5-505E291BAFA6}"/>
    <cellStyle name="Normal 3 15 4 2" xfId="28119" xr:uid="{81305267-F68A-4FBE-8509-4C12F03BA2CC}"/>
    <cellStyle name="Normal 3 15 5" xfId="23931" xr:uid="{4E6B0F93-6284-40C5-A497-47CAD29435B6}"/>
    <cellStyle name="Normal 3 15 5 2" xfId="24332" xr:uid="{2487C5C6-E13D-41A4-9B91-80F587F22B2F}"/>
    <cellStyle name="Normal 3 15 6" xfId="33406" xr:uid="{0A902653-B20F-48FF-9FE5-D856723BF0A4}"/>
    <cellStyle name="Normal 3 15 6 2" xfId="20164" xr:uid="{55190AD6-4D3B-43AD-A488-7AFA35C775AE}"/>
    <cellStyle name="Normal 3 15 7" xfId="31803" xr:uid="{CC20C40E-BECB-4723-8BC3-683586C57000}"/>
    <cellStyle name="Normal 3 16" xfId="6203" xr:uid="{73139E1A-DB5E-49C7-B95C-7698FFE2C063}"/>
    <cellStyle name="Normal 3 16 2" xfId="31716" xr:uid="{79DC686B-2AC4-45CF-8538-6542BFBC4734}"/>
    <cellStyle name="Normal 3 16 2 2" xfId="32255" xr:uid="{2B980A97-107B-48B2-8D3B-BD830EAAC5E5}"/>
    <cellStyle name="Normal 3 16 3" xfId="32964" xr:uid="{82CD4A09-2767-46FD-9C5B-FCF829A3D60D}"/>
    <cellStyle name="Normal 3 16 3 2" xfId="23927" xr:uid="{DEE9FAA1-41D8-45E1-8C7C-3C995D081A17}"/>
    <cellStyle name="Normal 3 16 4" xfId="23924" xr:uid="{2FFE254A-3FAC-49E9-974E-6D6D2141BDC0}"/>
    <cellStyle name="Normal 3 16 4 2" xfId="34185" xr:uid="{AF85642D-846F-4419-92BA-407FD26B91FE}"/>
    <cellStyle name="Normal 3 16 5" xfId="33361" xr:uid="{F23F383A-9C78-4840-A7C0-922711857F6C}"/>
    <cellStyle name="Normal 3 16 5 2" xfId="27741" xr:uid="{5DBC92A8-D620-454C-ADDF-FA0D810CE8BF}"/>
    <cellStyle name="Normal 3 16 6" xfId="33358" xr:uid="{0FAD22B9-25E9-4CE1-86F0-8A706ABD1153}"/>
    <cellStyle name="Normal 3 16 6 2" xfId="27547" xr:uid="{553D006A-5686-492D-8BB4-5A99F4E65230}"/>
    <cellStyle name="Normal 3 16 7" xfId="16196" xr:uid="{1F276D11-3F4A-44E2-91A0-77E04BA42F0D}"/>
    <cellStyle name="Normal 3 17" xfId="12035" xr:uid="{31B36BE2-64FE-462F-8BF7-99C5EFA4D7CD}"/>
    <cellStyle name="Normal 3 17 2" xfId="31615" xr:uid="{B70D519E-3616-4E54-92BF-D72AE947EC50}"/>
    <cellStyle name="Normal 3 18" xfId="5555" xr:uid="{9BFB2AD3-D3EF-40E5-9837-C3308FE9726E}"/>
    <cellStyle name="Normal 3 18 2" xfId="31560" xr:uid="{2D4B8215-71A9-4584-B41F-C5FC93813F61}"/>
    <cellStyle name="Normal 3 19" xfId="5553" xr:uid="{4FB8ECA2-4E92-46C8-9D83-3E58436B484A}"/>
    <cellStyle name="Normal 3 19 2" xfId="31541" xr:uid="{4FB52FEB-1A0F-42FE-BB51-AC895CE33FD5}"/>
    <cellStyle name="Normal 3 2" xfId="62" xr:uid="{081D6277-7387-4593-983B-51B569306822}"/>
    <cellStyle name="Normal 3 2 10" xfId="5551" xr:uid="{A80A0B88-5F19-4528-ACE1-3C92A56E9AEB}"/>
    <cellStyle name="Normal 3 2 10 2" xfId="5549" xr:uid="{3AC97C7C-3F07-4533-A864-FA60FBED83E1}"/>
    <cellStyle name="Normal 3 2 10 2 2" xfId="10401" xr:uid="{21336D98-7FA7-4AE2-A295-8379B5DA8E54}"/>
    <cellStyle name="Normal 3 2 10 2 2 2" xfId="5547" xr:uid="{3C2608CA-59D1-4135-839E-0DBEE189D199}"/>
    <cellStyle name="Normal 3 2 10 2 3" xfId="22027" xr:uid="{403E89FF-C2D9-46DB-875D-0144B734BB4B}"/>
    <cellStyle name="Normal 3 2 10 2 3 2" xfId="16610" xr:uid="{1EB0A111-C41B-4979-AFC1-A899013FB856}"/>
    <cellStyle name="Normal 3 2 10 2 4" xfId="10395" xr:uid="{8797A1D8-1833-4CD2-A7A7-9A1D50A8460D}"/>
    <cellStyle name="Normal 3 2 10 2 4 2" xfId="14716" xr:uid="{501646C6-80B0-48DC-9968-3E55DCF35E02}"/>
    <cellStyle name="Normal 3 2 10 2 5" xfId="16592" xr:uid="{53C366CC-DDCD-4F87-9E66-396C1C9C7CAC}"/>
    <cellStyle name="Normal 3 2 10 2 5 2" xfId="14277" xr:uid="{DE58DB78-D537-4225-9532-F059F984F948}"/>
    <cellStyle name="Normal 3 2 10 2 6" xfId="16199" xr:uid="{21A958CE-2D2E-48EC-B837-5F89147A3970}"/>
    <cellStyle name="Normal 3 2 10 2 6 2" xfId="5544" xr:uid="{9278FB18-931D-4B12-9501-D13FAD330211}"/>
    <cellStyle name="Normal 3 2 10 2 7" xfId="17449" xr:uid="{EEC006C6-93F1-4DE2-BDB1-10E6B81C250B}"/>
    <cellStyle name="Normal 3 2 10 3" xfId="12900" xr:uid="{5FF371C6-1666-4AD2-98E6-78B3EDC64146}"/>
    <cellStyle name="Normal 3 2 10 3 2" xfId="13396" xr:uid="{47F5FAC3-8600-459D-B48C-0F478EE819ED}"/>
    <cellStyle name="Normal 3 2 10 4" xfId="12896" xr:uid="{AAD2858B-12F1-4359-9148-9A921583B821}"/>
    <cellStyle name="Normal 3 2 10 4 2" xfId="10292" xr:uid="{710814A2-499C-4DD7-A564-48C236B90C89}"/>
    <cellStyle name="Normal 3 2 10 5" xfId="6470" xr:uid="{C1AC6AC8-A12A-4D2C-863D-5BA03B8FBC88}"/>
    <cellStyle name="Normal 3 2 10 5 2" xfId="29026" xr:uid="{CB5EC528-5C5A-4472-A8A0-08EE4C932DF9}"/>
    <cellStyle name="Normal 3 2 10 6" xfId="6367" xr:uid="{A536F900-6B31-422F-AF49-0FAB58E86C60}"/>
    <cellStyle name="Normal 3 2 10 6 2" xfId="5542" xr:uid="{E2555E88-534B-4170-ABFF-34054B1826C3}"/>
    <cellStyle name="Normal 3 2 10 7" xfId="5541" xr:uid="{F40C1ABA-D26D-41ED-8310-0355DA05D4E4}"/>
    <cellStyle name="Normal 3 2 10 7 2" xfId="5538" xr:uid="{B0A981B0-16A4-4F8A-8810-6E4CF5F34154}"/>
    <cellStyle name="Normal 3 2 10 8" xfId="5537" xr:uid="{16A7914F-DFAE-4C27-A314-6B6314FEB654}"/>
    <cellStyle name="Normal 3 2 11" xfId="26156" xr:uid="{E09943FE-6AF8-4CF9-9FEF-E66FD527CC57}"/>
    <cellStyle name="Normal 3 2 11 2" xfId="5533" xr:uid="{145B1B2F-93DB-4D33-B539-12E4E3F4F04B}"/>
    <cellStyle name="Normal 3 2 11 2 2" xfId="5530" xr:uid="{262D386D-97E4-4015-962B-C66FE140ACDB}"/>
    <cellStyle name="Normal 3 2 11 3" xfId="12891" xr:uid="{CB86FF7D-77F1-4D1B-B73C-13E6303ADCB2}"/>
    <cellStyle name="Normal 3 2 11 3 2" xfId="9552" xr:uid="{AD768D2E-89B9-400D-A40F-847608C5207A}"/>
    <cellStyle name="Normal 3 2 11 4" xfId="5528" xr:uid="{07AEA4F8-D07A-4FDC-9500-F384681D19BC}"/>
    <cellStyle name="Normal 3 2 11 4 2" xfId="31073" xr:uid="{4044B426-7CCE-48EB-959D-7F8C54608849}"/>
    <cellStyle name="Normal 3 2 11 5" xfId="5526" xr:uid="{25EFE2CA-FC71-461C-B81E-04C14E064B9E}"/>
    <cellStyle name="Normal 3 2 11 5 2" xfId="5522" xr:uid="{A4BC237B-7229-40DC-B956-1FDD494B8E5E}"/>
    <cellStyle name="Normal 3 2 11 6" xfId="5521" xr:uid="{518FAD6F-35B3-47E2-A602-CC78F41508F4}"/>
    <cellStyle name="Normal 3 2 11 6 2" xfId="25101" xr:uid="{25A95C8C-F512-4CFE-8930-1F2F3ADA9827}"/>
    <cellStyle name="Normal 3 2 11 7" xfId="5519" xr:uid="{2D9F3000-9F8E-4993-B0B3-05FCA98AF250}"/>
    <cellStyle name="Normal 3 2 12" xfId="18273" xr:uid="{36EFF73C-F45A-4169-8DA8-0C35B29D7B63}"/>
    <cellStyle name="Normal 3 2 12 2" xfId="5517" xr:uid="{88D7D7A8-4311-448A-B9F8-A811EF35553C}"/>
    <cellStyle name="Normal 3 2 12 2 2" xfId="5516" xr:uid="{F1F288CF-6B2E-4B25-86BC-8699AAD13621}"/>
    <cellStyle name="Normal 3 2 12 3" xfId="5513" xr:uid="{29976F37-5286-48EF-AC65-4DA4F4AB2989}"/>
    <cellStyle name="Normal 3 2 12 3 2" xfId="20394" xr:uid="{FC53E00A-38E3-47F8-B7BE-C3F28B78B257}"/>
    <cellStyle name="Normal 3 2 12 4" xfId="6797" xr:uid="{7B413FC7-BEC1-4C2B-B9F4-B2439E7E47BC}"/>
    <cellStyle name="Normal 3 2 12 4 2" xfId="7581" xr:uid="{A0BE5EA0-62FF-49D5-B38F-4D51161A2E75}"/>
    <cellStyle name="Normal 3 2 12 5" xfId="12469" xr:uid="{85A85AE1-22D4-4533-A8F9-C53F96F9C20A}"/>
    <cellStyle name="Normal 3 2 12 5 2" xfId="7577" xr:uid="{162D2301-96BC-4308-B172-88CEFB1C35D0}"/>
    <cellStyle name="Normal 3 2 12 6" xfId="29070" xr:uid="{564E3271-A5A3-411A-89AB-F8E186482588}"/>
    <cellStyle name="Normal 3 2 12 6 2" xfId="6144" xr:uid="{4095CFBE-2980-4626-94B9-49F976B8F76C}"/>
    <cellStyle name="Normal 3 2 12 7" xfId="10425" xr:uid="{12C4CA29-16CD-441F-92CC-8C8A3DA91ABF}"/>
    <cellStyle name="Normal 3 2 13" xfId="18270" xr:uid="{9D06E663-11ED-48F6-B38F-8FB0C8BDB2F2}"/>
    <cellStyle name="Normal 3 2 13 2" xfId="30997" xr:uid="{B5BE3F05-A992-4D3B-9A5F-9A782254E424}"/>
    <cellStyle name="Normal 3 2 14" xfId="5511" xr:uid="{428BB769-F110-4E67-8BB6-8EEBEEF9773E}"/>
    <cellStyle name="Normal 3 2 14 2" xfId="26346" xr:uid="{E50BB934-D684-49B7-A068-B1E29DA837D1}"/>
    <cellStyle name="Normal 3 2 15" xfId="5510" xr:uid="{7D876128-A232-45D8-A994-10595D941A0C}"/>
    <cellStyle name="Normal 3 2 15 2" xfId="26343" xr:uid="{8FAAEC6B-934F-4739-81A0-C8A3F7C881CA}"/>
    <cellStyle name="Normal 3 2 16" xfId="5508" xr:uid="{409EAB26-E76F-424B-AC60-B077931006F9}"/>
    <cellStyle name="Normal 3 2 16 2" xfId="30073" xr:uid="{D8C130D9-9826-47CC-99F9-F3E2FC43CF69}"/>
    <cellStyle name="Normal 3 2 17" xfId="11902" xr:uid="{3DC262F5-7F08-4080-A02F-23AFBC186BFC}"/>
    <cellStyle name="Normal 3 2 17 2" xfId="5506" xr:uid="{495F1FB5-F907-44C2-B45C-348439635C9A}"/>
    <cellStyle name="Normal 3 2 18" xfId="24468" xr:uid="{4FA78B3D-69CC-4D21-A323-ACB1431D39A1}"/>
    <cellStyle name="Normal 3 2 19" xfId="34424" xr:uid="{868262FF-40C2-4553-BC10-1796BE2E9C34}"/>
    <cellStyle name="Normal 3 2 2" xfId="5504" xr:uid="{9F298E2B-27B3-4F23-9058-E4E3282A967E}"/>
    <cellStyle name="Normal 3 2 2 10" xfId="5648" xr:uid="{9194EB07-51A0-4F01-9765-F53B4773DCBC}"/>
    <cellStyle name="Normal 3 2 2 2" xfId="15188" xr:uid="{C5A5EF08-33D1-42C6-A67E-CCAFD172786E}"/>
    <cellStyle name="Normal 3 2 2 2 2" xfId="9340" xr:uid="{FF363D26-28C2-4922-BA09-FCE79F8DEA34}"/>
    <cellStyle name="Normal 3 2 2 2 2 2" xfId="9337" xr:uid="{FF65CDF2-2F6A-4D00-8232-7CF58132147F}"/>
    <cellStyle name="Normal 3 2 2 2 2 2 2" xfId="34268" xr:uid="{205C01B3-B57B-4CA1-80DA-2C601B40333D}"/>
    <cellStyle name="Normal 3 2 2 2 2 2 2 2" xfId="24552" xr:uid="{91073F72-51D0-4A48-9CEC-AE9EC11D4076}"/>
    <cellStyle name="Normal 3 2 2 2 2 2 2 2 2" xfId="9335" xr:uid="{83C8486C-E0D1-4DBE-A00A-BD6D614B2445}"/>
    <cellStyle name="Normal 3 2 2 2 2 2 2 2 2 2" xfId="6157" xr:uid="{08045459-4A2D-4FA2-B2CD-BEBD5E316D0C}"/>
    <cellStyle name="Normal 3 2 2 2 2 2 2 2 2 2 2" xfId="23471" xr:uid="{592489A5-064D-4AD2-A07A-3277DEA8EAF7}"/>
    <cellStyle name="Normal 3 2 2 2 2 2 2 2 2 2 2 2" xfId="29278" xr:uid="{ED1184C3-028E-4606-B274-B41665678553}"/>
    <cellStyle name="Normal 3 2 2 2 2 2 2 2 2 2 3" xfId="10235" xr:uid="{FE2E0144-F359-4F56-9185-10526CDCAC23}"/>
    <cellStyle name="Normal 3 2 2 2 2 2 2 2 2 3" xfId="6154" xr:uid="{B26D7311-3DF7-47EE-834F-49599CD4C6D2}"/>
    <cellStyle name="Normal 3 2 2 2 2 2 2 2 2 3 2" xfId="6438" xr:uid="{4D571C6A-92B0-4E3D-BAD1-67F91441F9BE}"/>
    <cellStyle name="Normal 3 2 2 2 2 2 2 2 2 4" xfId="5502" xr:uid="{D3776747-9034-4DEC-ABCA-7B507A729352}"/>
    <cellStyle name="Normal 3 2 2 2 2 2 2 2 3" xfId="30868" xr:uid="{1AC4B16C-140C-4AFE-9626-63E525876105}"/>
    <cellStyle name="Normal 3 2 2 2 2 2 2 2 3 2" xfId="6151" xr:uid="{B301977D-504F-41A6-8462-6E62CED493E0}"/>
    <cellStyle name="Normal 3 2 2 2 2 2 2 2 3 2 2" xfId="6433" xr:uid="{F099660C-5B90-4803-AA93-5F49A20955E7}"/>
    <cellStyle name="Normal 3 2 2 2 2 2 2 2 3 3" xfId="5501" xr:uid="{FB35FEE8-1729-4628-BCB7-23EF02F41537}"/>
    <cellStyle name="Normal 3 2 2 2 2 2 2 2 4" xfId="23891" xr:uid="{819E3D83-97FE-4470-BEA9-3AD090E93879}"/>
    <cellStyle name="Normal 3 2 2 2 2 2 2 2 4 2" xfId="5500" xr:uid="{966803D7-2AD5-4026-8CE3-CC10D7930D4E}"/>
    <cellStyle name="Normal 3 2 2 2 2 2 2 2 5" xfId="6913" xr:uid="{2FF5E0FF-1FF1-4EBE-B0F9-4B28CB3A1D38}"/>
    <cellStyle name="Normal 3 2 2 2 2 2 2 3" xfId="9327" xr:uid="{3AF50DDB-CB52-4CAF-A2AD-9700982BB36C}"/>
    <cellStyle name="Normal 3 2 2 2 2 2 2 3 2" xfId="9325" xr:uid="{A7C9B524-B4A1-459E-9791-C1A1DD1BDCB5}"/>
    <cellStyle name="Normal 3 2 2 2 2 2 2 3 2 2" xfId="30791" xr:uid="{25D84096-9733-45B2-87BA-F5EED8D51BB2}"/>
    <cellStyle name="Normal 3 2 2 2 2 2 2 3 2 2 2" xfId="6388" xr:uid="{23CB4DCF-A9E9-4098-9B07-093211302A51}"/>
    <cellStyle name="Normal 3 2 2 2 2 2 2 3 2 3" xfId="30700" xr:uid="{6A57CC6A-640B-4FCC-966D-631BF60115FB}"/>
    <cellStyle name="Normal 3 2 2 2 2 2 2 3 3" xfId="9323" xr:uid="{EC305E8C-4B71-4DE2-B996-28B34A2A0309}"/>
    <cellStyle name="Normal 3 2 2 2 2 2 2 3 3 2" xfId="15404" xr:uid="{29383B9F-E841-4DFE-9359-6A299643FC15}"/>
    <cellStyle name="Normal 3 2 2 2 2 2 2 3 4" xfId="7439" xr:uid="{6A2283F4-3A76-4BFF-996B-FA75DFAFECDA}"/>
    <cellStyle name="Normal 3 2 2 2 2 2 2 4" xfId="9320" xr:uid="{36E55CF7-3F2D-4F97-908F-EC6199739873}"/>
    <cellStyle name="Normal 3 2 2 2 2 2 2 4 2" xfId="9317" xr:uid="{1D13A3EB-2896-4BCA-9538-578D9D0A4B2A}"/>
    <cellStyle name="Normal 3 2 2 2 2 2 2 4 2 2" xfId="33909" xr:uid="{12241EC5-17C2-4F92-BA08-73BC3F99B92D}"/>
    <cellStyle name="Normal 3 2 2 2 2 2 2 4 3" xfId="5499" xr:uid="{783E3588-C3CA-4D0A-9E03-7796C82AF6D4}"/>
    <cellStyle name="Normal 3 2 2 2 2 2 2 5" xfId="9315" xr:uid="{ECFD13BB-B777-4E55-A74D-24139EC8E6C1}"/>
    <cellStyle name="Normal 3 2 2 2 2 2 2 5 2" xfId="5497" xr:uid="{F0011E39-A0F8-487B-9522-424EF69363F7}"/>
    <cellStyle name="Normal 3 2 2 2 2 2 2 6" xfId="5496" xr:uid="{88EE5E1B-6FEC-4119-BDCE-922EE2A721C1}"/>
    <cellStyle name="Normal 3 2 2 2 2 2 3" xfId="24547" xr:uid="{D69805A9-25D7-4E96-9636-B7E3DE41B144}"/>
    <cellStyle name="Normal 3 2 2 2 2 2 3 2" xfId="10877" xr:uid="{FFCE2DBF-C850-4DBF-BE99-2C69FD6DC4EA}"/>
    <cellStyle name="Normal 3 2 2 2 2 2 3 2 2" xfId="9310" xr:uid="{6CB3DA19-4723-48E0-BBCC-AB77F52B6E82}"/>
    <cellStyle name="Normal 3 2 2 2 2 2 3 2 2 2" xfId="33812" xr:uid="{E54355D9-5C09-4388-B789-3CD2D62DC81C}"/>
    <cellStyle name="Normal 3 2 2 2 2 2 3 2 2 2 2" xfId="17655" xr:uid="{7A72A5FC-4754-4BD4-A0B0-6AD71AA12F4B}"/>
    <cellStyle name="Normal 3 2 2 2 2 2 3 2 2 3" xfId="34363" xr:uid="{2E33FFAA-40E4-44FE-BB34-AE891059ED1E}"/>
    <cellStyle name="Normal 3 2 2 2 2 2 3 2 3" xfId="9305" xr:uid="{C191C655-AB94-459B-B5CC-C4390387E19B}"/>
    <cellStyle name="Normal 3 2 2 2 2 2 3 2 3 2" xfId="21440" xr:uid="{B0CA2FD5-3F1D-4740-A028-00C53B174AA7}"/>
    <cellStyle name="Normal 3 2 2 2 2 2 3 2 4" xfId="7432" xr:uid="{01292B21-1071-4A52-AFFC-AA2CD6C77A50}"/>
    <cellStyle name="Normal 3 2 2 2 2 2 3 3" xfId="10867" xr:uid="{8637805C-1736-42DE-ABB3-B37F25C9A6A4}"/>
    <cellStyle name="Normal 3 2 2 2 2 2 3 3 2" xfId="9302" xr:uid="{6494BB7C-D268-4183-BD34-75B2F432407A}"/>
    <cellStyle name="Normal 3 2 2 2 2 2 3 3 2 2" xfId="32484" xr:uid="{CBE535DC-0DEC-46C0-9401-12F595D05FDB}"/>
    <cellStyle name="Normal 3 2 2 2 2 2 3 3 3" xfId="6054" xr:uid="{C88D3735-9F06-45C3-AEFF-8439AF5D3586}"/>
    <cellStyle name="Normal 3 2 2 2 2 2 3 4" xfId="10862" xr:uid="{4560D2A0-81A3-4963-A3C8-104691658EEB}"/>
    <cellStyle name="Normal 3 2 2 2 2 2 3 4 2" xfId="5495" xr:uid="{805945C7-7306-4013-984E-66F482A3F868}"/>
    <cellStyle name="Normal 3 2 2 2 2 2 3 5" xfId="10857" xr:uid="{0F617668-C309-4F97-B783-6F44320A4BB4}"/>
    <cellStyle name="Normal 3 2 2 2 2 2 4" xfId="22194" xr:uid="{1AF0B61A-9C32-48E0-9741-5C4070B7C720}"/>
    <cellStyle name="Normal 3 2 2 2 2 2 4 2" xfId="10853" xr:uid="{65469D72-21DE-4F94-86D2-122A35F49667}"/>
    <cellStyle name="Normal 3 2 2 2 2 2 4 2 2" xfId="9300" xr:uid="{340F28BC-9388-463F-8304-77EE2251434A}"/>
    <cellStyle name="Normal 3 2 2 2 2 2 4 2 2 2" xfId="32941" xr:uid="{3078F892-7DA0-4C0C-9BE3-0751CB3C392A}"/>
    <cellStyle name="Normal 3 2 2 2 2 2 4 2 3" xfId="12625" xr:uid="{4510A910-EFEA-4912-B20C-62EBE250081C}"/>
    <cellStyle name="Normal 3 2 2 2 2 2 4 3" xfId="10845" xr:uid="{0AEECEF1-AB22-4D2F-A7BA-E0B0D8E4FFD5}"/>
    <cellStyle name="Normal 3 2 2 2 2 2 4 3 2" xfId="10893" xr:uid="{36AC3E4B-E240-4D86-AEBF-425D95776012}"/>
    <cellStyle name="Normal 3 2 2 2 2 2 4 4" xfId="10840" xr:uid="{8A12AAD5-B6E8-4617-A9F1-A5E06516A289}"/>
    <cellStyle name="Normal 3 2 2 2 2 2 5" xfId="13223" xr:uid="{E2B9E2D2-57F2-465A-B0BF-D96F63F2D15E}"/>
    <cellStyle name="Normal 3 2 2 2 2 2 5 2" xfId="10837" xr:uid="{1B1AE158-FCBC-4210-93C3-C72FED1B97D7}"/>
    <cellStyle name="Normal 3 2 2 2 2 2 5 2 2" xfId="5494" xr:uid="{70FF9D36-D9A0-4826-A0D4-6BBCD410CDF5}"/>
    <cellStyle name="Normal 3 2 2 2 2 2 5 3" xfId="10833" xr:uid="{9072FF0A-8A46-4730-BF79-177F979DF8F0}"/>
    <cellStyle name="Normal 3 2 2 2 2 2 6" xfId="10830" xr:uid="{26F9E047-81C3-4924-8A35-CE3B8654C4B3}"/>
    <cellStyle name="Normal 3 2 2 2 2 2 6 2" xfId="10828" xr:uid="{8463FA2E-A614-4755-8840-78BB83280366}"/>
    <cellStyle name="Normal 3 2 2 2 2 2 7" xfId="10826" xr:uid="{0A2BEEFC-1FB5-4EBD-AFDB-D2176C9FDC12}"/>
    <cellStyle name="Normal 3 2 2 2 2 3" xfId="31700" xr:uid="{1898F14F-6267-4D9E-A443-C40599318741}"/>
    <cellStyle name="Normal 3 2 2 2 2 3 2" xfId="24431" xr:uid="{B889315E-40CF-4AA1-9B03-3BB48193976F}"/>
    <cellStyle name="Normal 3 2 2 2 2 3 2 2" xfId="9296" xr:uid="{208C98C3-1B9C-4A0C-8287-CF58722C6FE0}"/>
    <cellStyle name="Normal 3 2 2 2 2 3 2 2 2" xfId="8549" xr:uid="{69EC8B43-8743-4A4E-8E58-5D9B7E74D0AB}"/>
    <cellStyle name="Normal 3 2 2 2 2 3 2 2 2 2" xfId="6116" xr:uid="{66A2C5B1-08FB-4C1B-A1E1-EB6760497A02}"/>
    <cellStyle name="Normal 3 2 2 2 2 3 2 2 2 2 2" xfId="20931" xr:uid="{3A44B8B8-44C4-481A-A52D-F76B0ACAF106}"/>
    <cellStyle name="Normal 3 2 2 2 2 3 2 2 2 3" xfId="21553" xr:uid="{3407D78D-4C1D-45ED-BD4C-B47C7F6FCA86}"/>
    <cellStyle name="Normal 3 2 2 2 2 3 2 2 3" xfId="5614" xr:uid="{A0D4712B-0336-4A93-AC07-7722F6D0D1A5}"/>
    <cellStyle name="Normal 3 2 2 2 2 3 2 2 3 2" xfId="5493" xr:uid="{2C84404A-4326-43EE-AE08-DAEE97E7C8B2}"/>
    <cellStyle name="Normal 3 2 2 2 2 3 2 2 4" xfId="5612" xr:uid="{2DEC622C-8A0C-406B-ABE7-7A95B189A51F}"/>
    <cellStyle name="Normal 3 2 2 2 2 3 2 3" xfId="9289" xr:uid="{F658DCF0-3971-4158-9A39-57B518AE7505}"/>
    <cellStyle name="Normal 3 2 2 2 2 3 2 3 2" xfId="9286" xr:uid="{FD5F5824-64F3-4D22-BA50-EBDDF505D7F5}"/>
    <cellStyle name="Normal 3 2 2 2 2 3 2 3 2 2" xfId="26631" xr:uid="{32BF9592-A6D7-4D3B-B73C-5BEF08D0D6D3}"/>
    <cellStyle name="Normal 3 2 2 2 2 3 2 3 3" xfId="6751" xr:uid="{D730B167-09CB-4554-B53A-48A5A4F3619A}"/>
    <cellStyle name="Normal 3 2 2 2 2 3 2 4" xfId="9283" xr:uid="{CDE897DA-919B-4596-9E30-CC97D977FD45}"/>
    <cellStyle name="Normal 3 2 2 2 2 3 2 4 2" xfId="6714" xr:uid="{762F469D-30CA-493C-9897-E3B8D5300800}"/>
    <cellStyle name="Normal 3 2 2 2 2 3 2 5" xfId="5491" xr:uid="{C0F2D522-D724-4B43-A942-E2B8CFBDAA1E}"/>
    <cellStyle name="Normal 3 2 2 2 2 3 3" xfId="31680" xr:uid="{DABC7C56-30A7-462C-8139-87CE5DE76C6E}"/>
    <cellStyle name="Normal 3 2 2 2 2 3 3 2" xfId="10819" xr:uid="{C759FEAD-9A16-4B72-AF12-015D61B84BE5}"/>
    <cellStyle name="Normal 3 2 2 2 2 3 3 2 2" xfId="5599" xr:uid="{C58F04F2-CBDA-4244-975A-F258C4FE6B13}"/>
    <cellStyle name="Normal 3 2 2 2 2 3 3 2 2 2" xfId="34198" xr:uid="{5BF54B73-83BB-471B-B9DF-B7F2C7B0646F}"/>
    <cellStyle name="Normal 3 2 2 2 2 3 3 2 3" xfId="6562" xr:uid="{ADDDC8AA-C6A1-4C77-A0FF-CC8544535980}"/>
    <cellStyle name="Normal 3 2 2 2 2 3 3 3" xfId="10813" xr:uid="{17CA857C-36D0-4CCB-BD75-4100DF779014}"/>
    <cellStyle name="Normal 3 2 2 2 2 3 3 3 2" xfId="6535" xr:uid="{13A9431A-3443-4F10-9DC7-63DFFC562391}"/>
    <cellStyle name="Normal 3 2 2 2 2 3 3 4" xfId="10809" xr:uid="{B3D4D320-FC2E-4FB9-91B1-A9327F7EBB4E}"/>
    <cellStyle name="Normal 3 2 2 2 2 3 4" xfId="32882" xr:uid="{24C33936-3412-45EB-85F9-A0CD421FBC49}"/>
    <cellStyle name="Normal 3 2 2 2 2 3 4 2" xfId="16508" xr:uid="{D4EAB306-2EC4-476D-BA44-21241666BD9C}"/>
    <cellStyle name="Normal 3 2 2 2 2 3 4 2 2" xfId="16504" xr:uid="{36984E5F-839B-4151-9EF0-990A8C082651}"/>
    <cellStyle name="Normal 3 2 2 2 2 3 4 3" xfId="16497" xr:uid="{49994A5F-3EA4-4AD4-A99B-78C58734A17E}"/>
    <cellStyle name="Normal 3 2 2 2 2 3 5" xfId="10804" xr:uid="{F4A9E117-D680-448D-BE29-A1648408A80B}"/>
    <cellStyle name="Normal 3 2 2 2 2 3 5 2" xfId="16475" xr:uid="{D3F3DF05-5852-44A3-95D8-F7D6D79A27B8}"/>
    <cellStyle name="Normal 3 2 2 2 2 3 6" xfId="10802" xr:uid="{98CAE3E1-36EC-408A-9493-333344856E83}"/>
    <cellStyle name="Normal 3 2 2 2 2 4" xfId="31674" xr:uid="{C7E37273-32D1-43A2-88E6-DA3F349BAFBF}"/>
    <cellStyle name="Normal 3 2 2 2 2 4 2" xfId="31662" xr:uid="{EF0DF99A-46A3-45CD-8E4B-86A70BC0942D}"/>
    <cellStyle name="Normal 3 2 2 2 2 4 2 2" xfId="13644" xr:uid="{ED73D7C8-9710-4C82-9042-A20B20961DA1}"/>
    <cellStyle name="Normal 3 2 2 2 2 4 2 2 2" xfId="9275" xr:uid="{E3151D9D-7BFD-436D-BA87-23F131F69419}"/>
    <cellStyle name="Normal 3 2 2 2 2 4 2 2 2 2" xfId="12596" xr:uid="{EA8DE0D0-F8F3-42BE-BA5E-B9378F2A19E3}"/>
    <cellStyle name="Normal 3 2 2 2 2 4 2 2 3" xfId="6222" xr:uid="{EB9206FE-4D44-4BF2-8B25-0AA17158AF41}"/>
    <cellStyle name="Normal 3 2 2 2 2 4 2 3" xfId="13641" xr:uid="{D2C71790-88B9-4D53-95C2-550B5D9F3045}"/>
    <cellStyle name="Normal 3 2 2 2 2 4 2 3 2" xfId="13892" xr:uid="{556B5CF4-0966-4564-AEFD-9574CBDBC01C}"/>
    <cellStyle name="Normal 3 2 2 2 2 4 2 4" xfId="5489" xr:uid="{2FC7F737-28A7-497A-9931-E60D45513323}"/>
    <cellStyle name="Normal 3 2 2 2 2 4 3" xfId="10798" xr:uid="{4507BA71-60D7-4BA8-A2C5-455D1FB77329}"/>
    <cellStyle name="Normal 3 2 2 2 2 4 3 2" xfId="13633" xr:uid="{89072E64-F1DE-40F9-80A3-C65B33E1062D}"/>
    <cellStyle name="Normal 3 2 2 2 2 4 3 2 2" xfId="17857" xr:uid="{C70C190B-5582-4AB0-9A66-07A397A27691}"/>
    <cellStyle name="Normal 3 2 2 2 2 4 3 3" xfId="10794" xr:uid="{992C85B3-A98F-4635-A24E-532096DF2246}"/>
    <cellStyle name="Normal 3 2 2 2 2 4 4" xfId="10788" xr:uid="{DC9B3FB1-7CBD-4B19-B962-AF83C7D6A081}"/>
    <cellStyle name="Normal 3 2 2 2 2 4 4 2" xfId="16432" xr:uid="{B30E201E-8072-436A-8AC6-1EC864C8CC09}"/>
    <cellStyle name="Normal 3 2 2 2 2 4 5" xfId="10785" xr:uid="{E146E1EF-6D75-482F-86FC-4CE8A1FA9900}"/>
    <cellStyle name="Normal 3 2 2 2 2 5" xfId="31658" xr:uid="{17212C26-2F20-4F8D-BCFC-1524ABA6914C}"/>
    <cellStyle name="Normal 3 2 2 2 2 5 2" xfId="7116" xr:uid="{3FD70348-7C65-4307-8956-BFF15E139DD5}"/>
    <cellStyle name="Normal 3 2 2 2 2 5 2 2" xfId="13607" xr:uid="{82A03729-666F-46C0-A6CE-78B646A61AD9}"/>
    <cellStyle name="Normal 3 2 2 2 2 5 2 2 2" xfId="11431" xr:uid="{DAA1434D-487E-4250-B341-3AB894DB4DE1}"/>
    <cellStyle name="Normal 3 2 2 2 2 5 2 3" xfId="5487" xr:uid="{999542E2-36D5-407B-974C-5CBC611A630E}"/>
    <cellStyle name="Normal 3 2 2 2 2 5 3" xfId="22878" xr:uid="{BF83E611-6F05-422B-A291-CF11BD143776}"/>
    <cellStyle name="Normal 3 2 2 2 2 5 3 2" xfId="10782" xr:uid="{BC935932-EDAF-447F-B92D-39BF174EAAFE}"/>
    <cellStyle name="Normal 3 2 2 2 2 5 4" xfId="19080" xr:uid="{5C855FD9-C8A4-43C4-9F3C-2B4F5E4DB4F2}"/>
    <cellStyle name="Normal 3 2 2 2 2 6" xfId="22788" xr:uid="{5D2BC868-0318-401D-A409-89CF0854C067}"/>
    <cellStyle name="Normal 3 2 2 2 2 6 2" xfId="7111" xr:uid="{4082A005-C58C-4AAE-94F2-5F7959758FAA}"/>
    <cellStyle name="Normal 3 2 2 2 2 6 2 2" xfId="5485" xr:uid="{30396334-550E-4321-A13F-E7CEFA5D0053}"/>
    <cellStyle name="Normal 3 2 2 2 2 6 3" xfId="7106" xr:uid="{45F9DB10-B33A-4E1C-BB4C-52AA96A68FB8}"/>
    <cellStyle name="Normal 3 2 2 2 2 7" xfId="29925" xr:uid="{4DD95AF3-06D8-4E3D-9C1C-78E864744CC3}"/>
    <cellStyle name="Normal 3 2 2 2 2 7 2" xfId="7098" xr:uid="{D432E4D4-053B-4DF5-8119-EFF69E220257}"/>
    <cellStyle name="Normal 3 2 2 2 2 8" xfId="29919" xr:uid="{E3A5D71F-FB26-42F4-BDAC-270C7B4F8663}"/>
    <cellStyle name="Normal 3 2 2 2 3" xfId="11860" xr:uid="{94497DAF-4F18-40CB-83C9-A838BC44BA0D}"/>
    <cellStyle name="Normal 3 2 2 2 3 2" xfId="9269" xr:uid="{FE24479C-1594-4110-BA71-146824D62138}"/>
    <cellStyle name="Normal 3 2 2 2 3 2 2" xfId="24089" xr:uid="{74A4F0C8-DBCA-430C-8857-E031B631DAE3}"/>
    <cellStyle name="Normal 3 2 2 2 3 2 2 2" xfId="9266" xr:uid="{4566261E-1E50-4F5C-BA80-42C9958C1EB8}"/>
    <cellStyle name="Normal 3 2 2 2 3 2 2 2 2" xfId="34258" xr:uid="{2816A1AD-E185-440A-B795-549B1CE4FD8E}"/>
    <cellStyle name="Normal 3 2 2 2 3 2 2 2 2 2" xfId="28359" xr:uid="{0099AEDC-D386-4EED-AB1F-7BBE9E71BA7F}"/>
    <cellStyle name="Normal 3 2 2 2 3 2 2 2 2 2 2" xfId="5484" xr:uid="{3462ED6D-B33F-4151-8341-BF210E8D9478}"/>
    <cellStyle name="Normal 3 2 2 2 3 2 2 2 2 3" xfId="12164" xr:uid="{4E3881B9-D9BE-4C69-A774-CE837987CBA1}"/>
    <cellStyle name="Normal 3 2 2 2 3 2 2 2 3" xfId="9262" xr:uid="{B44D078C-6AC4-4EDF-B51E-A911C820C5A1}"/>
    <cellStyle name="Normal 3 2 2 2 3 2 2 2 3 2" xfId="5482" xr:uid="{1823BE22-E285-4C4E-8133-D0556D16FFD2}"/>
    <cellStyle name="Normal 3 2 2 2 3 2 2 2 4" xfId="7408" xr:uid="{5DD74993-6F9A-46AB-BFE2-858002BDFA48}"/>
    <cellStyle name="Normal 3 2 2 2 3 2 2 3" xfId="9259" xr:uid="{719289C1-D9C7-4885-8B72-BDC346D33C42}"/>
    <cellStyle name="Normal 3 2 2 2 3 2 2 3 2" xfId="9255" xr:uid="{CB986891-832B-4A19-8499-2F630C25032C}"/>
    <cellStyle name="Normal 3 2 2 2 3 2 2 3 2 2" xfId="14704" xr:uid="{1B4CAF71-AA3C-4471-BC94-7501651FB4FC}"/>
    <cellStyle name="Normal 3 2 2 2 3 2 2 3 3" xfId="5481" xr:uid="{BC29CC04-D068-4944-B150-2115E14F9813}"/>
    <cellStyle name="Normal 3 2 2 2 3 2 2 4" xfId="9252" xr:uid="{D0C0E103-4B5F-41B0-8149-D7944DBC97DB}"/>
    <cellStyle name="Normal 3 2 2 2 3 2 2 4 2" xfId="12085" xr:uid="{1A24DFA5-759B-474D-AF62-32BF91B59DA9}"/>
    <cellStyle name="Normal 3 2 2 2 3 2 2 5" xfId="5478" xr:uid="{191896D8-0C31-43C9-809B-53398123D493}"/>
    <cellStyle name="Normal 3 2 2 2 3 2 3" xfId="10740" xr:uid="{458D1B55-FCB4-461F-8ADE-950B6D5FCF6F}"/>
    <cellStyle name="Normal 3 2 2 2 3 2 3 2" xfId="10736" xr:uid="{770719CB-FDEF-446C-B5EE-C4312D228336}"/>
    <cellStyle name="Normal 3 2 2 2 3 2 3 2 2" xfId="9247" xr:uid="{A3C7BE80-E2AC-4F70-B289-3BE74C0B66CC}"/>
    <cellStyle name="Normal 3 2 2 2 3 2 3 2 2 2" xfId="32610" xr:uid="{DC7F8FA9-87CC-4A86-91EE-DB6E69746528}"/>
    <cellStyle name="Normal 3 2 2 2 3 2 3 2 3" xfId="6037" xr:uid="{8B95F75C-EC4B-446F-BD50-F6870304AF93}"/>
    <cellStyle name="Normal 3 2 2 2 3 2 3 3" xfId="10730" xr:uid="{AD218DA7-09CE-4804-93A1-1D07591B2E13}"/>
    <cellStyle name="Normal 3 2 2 2 3 2 3 3 2" xfId="5475" xr:uid="{50051E26-B454-4103-8E16-25BEB45A9EF2}"/>
    <cellStyle name="Normal 3 2 2 2 3 2 3 4" xfId="29292" xr:uid="{26C22457-DCCC-4C8B-9BB8-D1438AF58607}"/>
    <cellStyle name="Normal 3 2 2 2 3 2 4" xfId="10724" xr:uid="{9FE9734C-8710-4BB4-95A8-1644D6978C83}"/>
    <cellStyle name="Normal 3 2 2 2 3 2 4 2" xfId="10720" xr:uid="{0EF2DBDC-5187-4E54-A282-4952F3C7429B}"/>
    <cellStyle name="Normal 3 2 2 2 3 2 4 2 2" xfId="5472" xr:uid="{BFA0BCB6-D7BE-48D6-A4A8-FF1B48FCB986}"/>
    <cellStyle name="Normal 3 2 2 2 3 2 4 3" xfId="10717" xr:uid="{FA720931-386D-442D-BE97-34873A09C122}"/>
    <cellStyle name="Normal 3 2 2 2 3 2 5" xfId="10710" xr:uid="{C65488BA-BDD7-419D-B891-8CE37BBCAD07}"/>
    <cellStyle name="Normal 3 2 2 2 3 2 5 2" xfId="10708" xr:uid="{E80EFBDC-E26D-403B-8E6F-5E63283F3675}"/>
    <cellStyle name="Normal 3 2 2 2 3 2 6" xfId="10706" xr:uid="{BD0A5199-B206-4718-80C9-94507E967A04}"/>
    <cellStyle name="Normal 3 2 2 2 3 3" xfId="31642" xr:uid="{B6B35D5C-9E47-4975-8719-A9F3B157F28A}"/>
    <cellStyle name="Normal 3 2 2 2 3 3 2" xfId="31639" xr:uid="{4E6E066E-D413-47A6-B9D0-DAACC519ADE3}"/>
    <cellStyle name="Normal 3 2 2 2 3 3 2 2" xfId="9245" xr:uid="{47E6A891-1FF5-4C60-A0B9-36E8CA997084}"/>
    <cellStyle name="Normal 3 2 2 2 3 3 2 2 2" xfId="9242" xr:uid="{F6DED56B-2BF3-4522-8D83-9A589F707504}"/>
    <cellStyle name="Normal 3 2 2 2 3 3 2 2 2 2" xfId="5471" xr:uid="{BA12A578-6A73-4BCA-832E-BF438B8723AF}"/>
    <cellStyle name="Normal 3 2 2 2 3 3 2 2 3" xfId="13082" xr:uid="{B3CE65EE-2ACD-459F-A00C-198D3A5B86FB}"/>
    <cellStyle name="Normal 3 2 2 2 3 3 2 3" xfId="9240" xr:uid="{72151D62-65C0-449F-8DC8-50003658FF31}"/>
    <cellStyle name="Normal 3 2 2 2 3 3 2 3 2" xfId="5470" xr:uid="{FF4FD340-7E75-4F21-91A4-13262F4EAA64}"/>
    <cellStyle name="Normal 3 2 2 2 3 3 2 4" xfId="14687" xr:uid="{92B365BB-3876-4E06-B7D6-FACF7144B53F}"/>
    <cellStyle name="Normal 3 2 2 2 3 3 3" xfId="14572" xr:uid="{463A4FB7-5C84-449E-8783-FFC66A073287}"/>
    <cellStyle name="Normal 3 2 2 2 3 3 3 2" xfId="10700" xr:uid="{95900E10-6DA0-4062-AE1A-D32F03D6DD02}"/>
    <cellStyle name="Normal 3 2 2 2 3 3 3 2 2" xfId="5467" xr:uid="{01D06F6B-70C6-47D9-B3B0-C0CF4FF4BBB4}"/>
    <cellStyle name="Normal 3 2 2 2 3 3 3 3" xfId="10697" xr:uid="{50B17C17-42D6-4E74-A00D-B9563DC6CB49}"/>
    <cellStyle name="Normal 3 2 2 2 3 3 4" xfId="10691" xr:uid="{8039EF67-59AE-42FF-BE6E-46575918B7A9}"/>
    <cellStyle name="Normal 3 2 2 2 3 3 4 2" xfId="16355" xr:uid="{B4199A9B-2968-4608-A784-EE875BC1BBEF}"/>
    <cellStyle name="Normal 3 2 2 2 3 3 5" xfId="10689" xr:uid="{2106640F-B596-43E7-A3D8-8A4A29AC4A58}"/>
    <cellStyle name="Normal 3 2 2 2 3 4" xfId="31629" xr:uid="{2EC101F9-6B8A-42A4-9A26-6C13F113EB93}"/>
    <cellStyle name="Normal 3 2 2 2 3 4 2" xfId="14564" xr:uid="{55FA6DBB-B760-40B2-AAAB-C59E99AED16B}"/>
    <cellStyle name="Normal 3 2 2 2 3 4 2 2" xfId="13568" xr:uid="{CB52A831-09FE-4A43-B981-23E8439C6728}"/>
    <cellStyle name="Normal 3 2 2 2 3 4 2 2 2" xfId="5466" xr:uid="{BDD776A9-0A2E-4E39-99C6-D4A6718E8ED3}"/>
    <cellStyle name="Normal 3 2 2 2 3 4 2 3" xfId="5465" xr:uid="{106DA0D5-177D-4683-9072-FE5AB9097022}"/>
    <cellStyle name="Normal 3 2 2 2 3 4 3" xfId="10685" xr:uid="{8F0F8C84-E846-476B-A044-8D345D2C5A35}"/>
    <cellStyle name="Normal 3 2 2 2 3 4 3 2" xfId="10682" xr:uid="{EEDD57A9-3BCE-414F-9EB2-489E9613B111}"/>
    <cellStyle name="Normal 3 2 2 2 3 4 4" xfId="10679" xr:uid="{6B27D491-D68F-445F-9230-2C396F0C598F}"/>
    <cellStyle name="Normal 3 2 2 2 3 5" xfId="9236" xr:uid="{BBEF0E87-CE73-4114-BCEB-F1920491109E}"/>
    <cellStyle name="Normal 3 2 2 2 3 5 2" xfId="7090" xr:uid="{F42155F6-C181-4EEB-8749-5FCEEB45DD44}"/>
    <cellStyle name="Normal 3 2 2 2 3 5 2 2" xfId="5462" xr:uid="{22B12808-F7AE-4BAE-8CF5-9359E396D30C}"/>
    <cellStyle name="Normal 3 2 2 2 3 5 3" xfId="7088" xr:uid="{13361635-1F85-48EE-84A4-00C73E9489C5}"/>
    <cellStyle name="Normal 3 2 2 2 3 6" xfId="9231" xr:uid="{FC039DD3-5B57-4D3D-A2DB-664AE53465AF}"/>
    <cellStyle name="Normal 3 2 2 2 3 6 2" xfId="7121" xr:uid="{E82B6C9B-CA2D-4967-B9DC-3C3D6AE48C43}"/>
    <cellStyle name="Normal 3 2 2 2 3 7" xfId="30870" xr:uid="{FFE7CD55-CA4E-49CC-B88F-CD1DF0DF1CB0}"/>
    <cellStyle name="Normal 3 2 2 2 4" xfId="9229" xr:uid="{7EE9EAE7-2961-43A4-A883-6A2A233169AB}"/>
    <cellStyle name="Normal 3 2 2 2 4 2" xfId="10772" xr:uid="{D4E72AD9-C59D-46EA-9657-7DD1EDC6B7C6}"/>
    <cellStyle name="Normal 3 2 2 2 4 2 2" xfId="20023" xr:uid="{38023A1E-FB54-4B26-845A-CA07C77BF9BF}"/>
    <cellStyle name="Normal 3 2 2 2 4 2 2 2" xfId="19033" xr:uid="{F59F5E06-261A-45F4-8CB5-D7E246FFAAC9}"/>
    <cellStyle name="Normal 3 2 2 2 4 2 2 2 2" xfId="9226" xr:uid="{5ADDAB5C-D290-49A4-9E14-886F03D8818F}"/>
    <cellStyle name="Normal 3 2 2 2 4 2 2 2 2 2" xfId="13947" xr:uid="{B7CF78F2-E08C-498B-B397-431869C39C82}"/>
    <cellStyle name="Normal 3 2 2 2 4 2 2 2 3" xfId="5460" xr:uid="{3C0B6746-D9C1-434B-96F5-90C7D7B5BA64}"/>
    <cellStyle name="Normal 3 2 2 2 4 2 2 3" xfId="9219" xr:uid="{960214BF-EC43-4C0F-B08D-D90E201559AB}"/>
    <cellStyle name="Normal 3 2 2 2 4 2 2 3 2" xfId="5685" xr:uid="{A82477CA-DB5E-4D37-B4ED-4EDD442239C0}"/>
    <cellStyle name="Normal 3 2 2 2 4 2 2 4" xfId="5659" xr:uid="{E6F53B59-F4E4-4E93-BC93-A0990DEEEE16}"/>
    <cellStyle name="Normal 3 2 2 2 4 2 3" xfId="10657" xr:uid="{1FC53525-282B-424A-A68F-3D2838EE7DD6}"/>
    <cellStyle name="Normal 3 2 2 2 4 2 3 2" xfId="10651" xr:uid="{0892F09E-B8BB-4E0B-A826-600C11E1E113}"/>
    <cellStyle name="Normal 3 2 2 2 4 2 3 2 2" xfId="6178" xr:uid="{A6E7F35F-F28E-4942-B2A3-6D5F18080DCC}"/>
    <cellStyle name="Normal 3 2 2 2 4 2 3 3" xfId="10645" xr:uid="{F76CC601-8ED5-4B78-8526-A210227524A8}"/>
    <cellStyle name="Normal 3 2 2 2 4 2 4" xfId="10638" xr:uid="{B774EA70-B0C7-4AEB-B657-BF88E7A68150}"/>
    <cellStyle name="Normal 3 2 2 2 4 2 4 2" xfId="10635" xr:uid="{61661DE3-59A0-4A7A-BEA3-CD022E6BCBB3}"/>
    <cellStyle name="Normal 3 2 2 2 4 2 5" xfId="10631" xr:uid="{31F9D528-374D-442E-B96A-D65973CFE368}"/>
    <cellStyle name="Normal 3 2 2 2 4 3" xfId="31622" xr:uid="{5DB5A6AF-8D36-4F95-96FA-D00984DB794B}"/>
    <cellStyle name="Normal 3 2 2 2 4 3 2" xfId="14558" xr:uid="{8570947C-5853-4874-AAB6-3AC3E1B66085}"/>
    <cellStyle name="Normal 3 2 2 2 4 3 2 2" xfId="9215" xr:uid="{5BC0FD44-DEF1-4406-B155-5F49EA5BDA42}"/>
    <cellStyle name="Normal 3 2 2 2 4 3 2 2 2" xfId="5457" xr:uid="{A6600C93-C13C-4556-9916-9BF4F25F5A40}"/>
    <cellStyle name="Normal 3 2 2 2 4 3 2 3" xfId="5455" xr:uid="{A2A25189-20F7-4DF1-A05A-F2A80ABE33EF}"/>
    <cellStyle name="Normal 3 2 2 2 4 3 3" xfId="10624" xr:uid="{207A19C2-F329-44FA-8823-6267A81A0F40}"/>
    <cellStyle name="Normal 3 2 2 2 4 3 3 2" xfId="10620" xr:uid="{626E8175-1E04-41F0-8DB7-9240623349EA}"/>
    <cellStyle name="Normal 3 2 2 2 4 3 4" xfId="10616" xr:uid="{86F68825-4BB3-4AF1-A83D-FD2F20EA6C18}"/>
    <cellStyle name="Normal 3 2 2 2 4 4" xfId="18207" xr:uid="{0D46CBD6-FE09-4721-9B37-000836F167F8}"/>
    <cellStyle name="Normal 3 2 2 2 4 4 2" xfId="9211" xr:uid="{15CC0C69-094B-43CD-913A-CD5850C256BB}"/>
    <cellStyle name="Normal 3 2 2 2 4 4 2 2" xfId="6745" xr:uid="{61C285FF-C43C-432F-BDF6-D07A694E482B}"/>
    <cellStyle name="Normal 3 2 2 2 4 4 3" xfId="10613" xr:uid="{A4B926AB-1295-4F2E-A6ED-AC5105628EDE}"/>
    <cellStyle name="Normal 3 2 2 2 4 5" xfId="27712" xr:uid="{2B63BCC4-57CB-4C35-8AC3-396F312A3C17}"/>
    <cellStyle name="Normal 3 2 2 2 4 5 2" xfId="5452" xr:uid="{561FB1F5-F37E-4943-81DD-1B9710CEE9AC}"/>
    <cellStyle name="Normal 3 2 2 2 4 6" xfId="5449" xr:uid="{2682D33A-1EEE-4CF7-AB5D-03A6818375E6}"/>
    <cellStyle name="Normal 3 2 2 2 5" xfId="6148" xr:uid="{3F5EE6A3-B808-422F-BE3F-5555129986DA}"/>
    <cellStyle name="Normal 3 2 2 2 5 2" xfId="6146" xr:uid="{687F5B27-15C4-4CFF-BEFE-781F0B673BF3}"/>
    <cellStyle name="Normal 3 2 2 2 5 2 2" xfId="9207" xr:uid="{F3222DF8-1948-42E2-9F50-01180F777A26}"/>
    <cellStyle name="Normal 3 2 2 2 5 2 2 2" xfId="18500" xr:uid="{7479A4BF-6FF2-4993-AA82-77A44F88D969}"/>
    <cellStyle name="Normal 3 2 2 2 5 2 2 2 2" xfId="5448" xr:uid="{D7737D4D-1661-4982-BFAC-6BE5287FEC87}"/>
    <cellStyle name="Normal 3 2 2 2 5 2 2 3" xfId="5446" xr:uid="{210FB83B-6AD0-4E23-9D9C-6F53BAB40DBC}"/>
    <cellStyle name="Normal 3 2 2 2 5 2 3" xfId="7574" xr:uid="{51749C1C-7089-48FA-8C7D-0546FCB28D8E}"/>
    <cellStyle name="Normal 3 2 2 2 5 2 3 2" xfId="10594" xr:uid="{D5E8AB17-51CC-404F-8F31-36AF7BAA6C26}"/>
    <cellStyle name="Normal 3 2 2 2 5 2 4" xfId="6142" xr:uid="{F56C140D-60AC-4FE7-984A-94A4A164C4C1}"/>
    <cellStyle name="Normal 3 2 2 2 5 3" xfId="6139" xr:uid="{D8AC2F69-6BD2-4560-9FF2-93BA98FB169C}"/>
    <cellStyle name="Normal 3 2 2 2 5 3 2" xfId="7568" xr:uid="{304F9E12-08D0-4A59-84DC-72C055FB05F1}"/>
    <cellStyle name="Normal 3 2 2 2 5 3 2 2" xfId="5443" xr:uid="{FF95B359-398B-4FE9-A4D4-767E17CD4998}"/>
    <cellStyle name="Normal 3 2 2 2 5 3 3" xfId="6136" xr:uid="{38AA4F69-0132-4891-AB44-081D543574DF}"/>
    <cellStyle name="Normal 3 2 2 2 5 4" xfId="18203" xr:uid="{C7490D40-A281-433B-87E3-556D0898EB4F}"/>
    <cellStyle name="Normal 3 2 2 2 5 4 2" xfId="5440" xr:uid="{4CB275CA-BAF3-40D5-9C40-8AA4A655DD6B}"/>
    <cellStyle name="Normal 3 2 2 2 5 5" xfId="5436" xr:uid="{E79F2500-833C-4221-9AE8-1C4ABDA07A2C}"/>
    <cellStyle name="Normal 3 2 2 2 6" xfId="6132" xr:uid="{13BC8210-6E02-4AFF-8338-F84027729624}"/>
    <cellStyle name="Normal 3 2 2 2 6 2" xfId="9201" xr:uid="{D6027E2A-BEC1-4105-AD0B-A5496D2700CF}"/>
    <cellStyle name="Normal 3 2 2 2 6 2 2" xfId="9198" xr:uid="{9CDC9E2A-9B37-4DC7-8847-9BCE7B756BA4}"/>
    <cellStyle name="Normal 3 2 2 2 6 2 2 2" xfId="23106" xr:uid="{13244425-EF6D-4642-97D5-7FA7C0F6070B}"/>
    <cellStyle name="Normal 3 2 2 2 6 2 3" xfId="10577" xr:uid="{8A8E3682-ACF6-4F80-A55E-A15C7C9C6B8C}"/>
    <cellStyle name="Normal 3 2 2 2 6 3" xfId="9193" xr:uid="{866C756F-9B5C-4928-A9BC-5FF1BA1A6955}"/>
    <cellStyle name="Normal 3 2 2 2 6 3 2" xfId="5434" xr:uid="{1FE2BB0E-3176-4F3E-8186-EF1171489C74}"/>
    <cellStyle name="Normal 3 2 2 2 6 4" xfId="15121" xr:uid="{8659ACFF-DAFA-4FD1-915F-35F038716DE6}"/>
    <cellStyle name="Normal 3 2 2 2 7" xfId="6129" xr:uid="{189BB4C7-F796-4C49-B27E-C0BD6DC195E6}"/>
    <cellStyle name="Normal 3 2 2 2 7 2" xfId="9189" xr:uid="{F235A19A-C799-4EEB-A7E1-339D2B515E8E}"/>
    <cellStyle name="Normal 3 2 2 2 7 2 2" xfId="5431" xr:uid="{45FD7A7D-706C-4ABD-A06A-03CF0C752970}"/>
    <cellStyle name="Normal 3 2 2 2 7 3" xfId="5428" xr:uid="{42B25EFB-989B-4F73-B76B-6C4A8E15E855}"/>
    <cellStyle name="Normal 3 2 2 2 8" xfId="6126" xr:uid="{5F689B8F-4C6D-40B0-8EB1-AFA62114B2EC}"/>
    <cellStyle name="Normal 3 2 2 2 8 2" xfId="5426" xr:uid="{66E037C4-BCFA-42F1-9E56-8D8265B2341F}"/>
    <cellStyle name="Normal 3 2 2 2 9" xfId="16438" xr:uid="{6C0A336E-446A-4774-AC3D-ECC46B52B235}"/>
    <cellStyle name="Normal 3 2 2 3" xfId="7742" xr:uid="{13CC9E03-0426-452D-9BD6-3A489F0B6941}"/>
    <cellStyle name="Normal 3 2 2 3 2" xfId="9184" xr:uid="{915447B7-7A2F-486A-B2AF-6206A0FC28E1}"/>
    <cellStyle name="Normal 3 2 2 3 2 2" xfId="9181" xr:uid="{E59BA21F-5B76-443C-84D2-D60B48CE50C1}"/>
    <cellStyle name="Normal 3 2 2 3 2 2 2" xfId="23319" xr:uid="{D11CCC12-DF63-42C4-BBA1-534A91B08603}"/>
    <cellStyle name="Normal 3 2 2 3 2 2 2 2" xfId="9173" xr:uid="{8E24EF24-937D-4D9A-A96A-1E2DD0C6B15E}"/>
    <cellStyle name="Normal 3 2 2 3 2 2 2 2 2" xfId="9170" xr:uid="{E5A5C499-FB4A-4BB1-9DAA-F14975440E23}"/>
    <cellStyle name="Normal 3 2 2 3 2 2 2 2 2 2" xfId="5423" xr:uid="{1C3BE0BC-CF1F-4D23-B1D0-D0389D5A97D7}"/>
    <cellStyle name="Normal 3 2 2 3 2 2 2 2 2 2 2" xfId="5421" xr:uid="{71AD29B5-67DD-4378-A617-ABDA8F2A25DC}"/>
    <cellStyle name="Normal 3 2 2 3 2 2 2 2 2 3" xfId="5420" xr:uid="{4A899F71-C716-4EC1-A441-652670611AFF}"/>
    <cellStyle name="Normal 3 2 2 3 2 2 2 2 3" xfId="9167" xr:uid="{24BABEA2-29A9-4316-BC00-AD04200C38AC}"/>
    <cellStyle name="Normal 3 2 2 3 2 2 2 2 3 2" xfId="33106" xr:uid="{2CB20C57-1839-4CFB-A73B-01504022F1ED}"/>
    <cellStyle name="Normal 3 2 2 3 2 2 2 2 4" xfId="7264" xr:uid="{7E6CE373-6E90-49F7-8AD9-C5A114CA1154}"/>
    <cellStyle name="Normal 3 2 2 3 2 2 2 3" xfId="9163" xr:uid="{237385FB-D0E2-41EF-B8C0-8AF3D4FB84FF}"/>
    <cellStyle name="Normal 3 2 2 3 2 2 2 3 2" xfId="9161" xr:uid="{53BDCA64-CB9C-40D0-B42E-7F3B642D0B10}"/>
    <cellStyle name="Normal 3 2 2 3 2 2 2 3 2 2" xfId="5419" xr:uid="{0900E810-6F94-4BAD-8DBA-2B54AD2ABA39}"/>
    <cellStyle name="Normal 3 2 2 3 2 2 2 3 3" xfId="5418" xr:uid="{5B7E52AE-0022-440B-8764-91D7F3CAFFD0}"/>
    <cellStyle name="Normal 3 2 2 3 2 2 2 4" xfId="9157" xr:uid="{367659DE-CD8B-49DD-A89C-0F1C0F065C95}"/>
    <cellStyle name="Normal 3 2 2 3 2 2 2 4 2" xfId="5416" xr:uid="{C5C753B8-FACA-4FA2-A2AA-D4B81B46E09A}"/>
    <cellStyle name="Normal 3 2 2 3 2 2 2 5" xfId="5415" xr:uid="{C124B637-3295-4D68-9C5D-BB6A57225052}"/>
    <cellStyle name="Normal 3 2 2 3 2 2 3" xfId="8230" xr:uid="{4B173B40-66C1-42F0-9425-0D064BCED40D}"/>
    <cellStyle name="Normal 3 2 2 3 2 2 3 2" xfId="12611" xr:uid="{2A58DDE6-82EE-4E52-82D3-F916615544D7}"/>
    <cellStyle name="Normal 3 2 2 3 2 2 3 2 2" xfId="9154" xr:uid="{CE2F8AB1-94D5-4E96-8A10-F65D52F4D9DC}"/>
    <cellStyle name="Normal 3 2 2 3 2 2 3 2 2 2" xfId="30877" xr:uid="{5B5ED2F5-F93B-4CC2-96AD-1E2B82697CC8}"/>
    <cellStyle name="Normal 3 2 2 3 2 2 3 2 3" xfId="6014" xr:uid="{BBA5EC6D-4D9B-4903-9537-47253AD4207A}"/>
    <cellStyle name="Normal 3 2 2 3 2 2 3 3" xfId="12602" xr:uid="{D3B3B134-644A-42BF-A697-1C30BED0001C}"/>
    <cellStyle name="Normal 3 2 2 3 2 2 3 3 2" xfId="5414" xr:uid="{5D082409-B36C-4D1A-ABB3-5CF2FE4C6468}"/>
    <cellStyle name="Normal 3 2 2 3 2 2 3 4" xfId="10540" xr:uid="{31174AAE-CD76-46A3-870B-B9E40550504D}"/>
    <cellStyle name="Normal 3 2 2 3 2 2 4" xfId="10536" xr:uid="{27655A79-14DD-41C4-A55F-0FFF4010D8BA}"/>
    <cellStyle name="Normal 3 2 2 3 2 2 4 2" xfId="12585" xr:uid="{4F6D3F8C-4C65-494A-8C5B-EDC95EF530C5}"/>
    <cellStyle name="Normal 3 2 2 3 2 2 4 2 2" xfId="5413" xr:uid="{C16E22FF-1994-49A1-8475-1B77DFCAD566}"/>
    <cellStyle name="Normal 3 2 2 3 2 2 4 3" xfId="10528" xr:uid="{6C76A423-8D38-4463-B6FD-BEE308E8C12E}"/>
    <cellStyle name="Normal 3 2 2 3 2 2 5" xfId="10524" xr:uid="{0D2F9B8C-DF6F-4636-9A68-A1CF0D3F8A34}"/>
    <cellStyle name="Normal 3 2 2 3 2 2 5 2" xfId="14047" xr:uid="{DC4C4317-9089-4F27-9D60-DC527BD17416}"/>
    <cellStyle name="Normal 3 2 2 3 2 2 6" xfId="10521" xr:uid="{59345F67-D8A6-4727-9CCE-1ED4576D8D49}"/>
    <cellStyle name="Normal 3 2 2 3 2 3" xfId="9673" xr:uid="{250C0D0A-D6FD-4FA0-A794-1334F91F6F59}"/>
    <cellStyle name="Normal 3 2 2 3 2 3 2" xfId="24556" xr:uid="{A8199A23-14D3-45AD-8A94-D0CFD72B293D}"/>
    <cellStyle name="Normal 3 2 2 3 2 3 2 2" xfId="9151" xr:uid="{D1958C76-08C9-4C96-A1B7-2B715007C427}"/>
    <cellStyle name="Normal 3 2 2 3 2 3 2 2 2" xfId="9148" xr:uid="{2CEF6270-513F-4DB0-91EA-3BD551B9FF98}"/>
    <cellStyle name="Normal 3 2 2 3 2 3 2 2 2 2" xfId="19436" xr:uid="{2AC9B39D-F83F-41CE-BDAF-07C796443A77}"/>
    <cellStyle name="Normal 3 2 2 3 2 3 2 2 3" xfId="21826" xr:uid="{ABB0AA43-B113-4612-8AE7-56F1A430B342}"/>
    <cellStyle name="Normal 3 2 2 3 2 3 2 3" xfId="9143" xr:uid="{43837FAC-AD9F-4F19-8BE0-E9DECD520E3B}"/>
    <cellStyle name="Normal 3 2 2 3 2 3 2 3 2" xfId="5412" xr:uid="{C2B984BC-C1B9-4C00-A795-85A360715010}"/>
    <cellStyle name="Normal 3 2 2 3 2 3 2 4" xfId="5733" xr:uid="{E07FAC39-F585-472D-9527-B8ADA6E54195}"/>
    <cellStyle name="Normal 3 2 2 3 2 3 3" xfId="10510" xr:uid="{B1F9B018-D467-409F-8253-E39B6D9BEADC}"/>
    <cellStyle name="Normal 3 2 2 3 2 3 3 2" xfId="12564" xr:uid="{B16CCB46-8147-49DB-AA63-1C90A1FE2ECD}"/>
    <cellStyle name="Normal 3 2 2 3 2 3 3 2 2" xfId="5409" xr:uid="{9F6C8901-F63E-4A0B-8300-1D24AEC90B9F}"/>
    <cellStyle name="Normal 3 2 2 3 2 3 3 3" xfId="10509" xr:uid="{4BE5B3EF-6918-440B-B607-EF9108781A1F}"/>
    <cellStyle name="Normal 3 2 2 3 2 3 4" xfId="10504" xr:uid="{BF32DD74-061A-4EA2-8EAF-01D06FDA5C32}"/>
    <cellStyle name="Normal 3 2 2 3 2 3 4 2" xfId="16036" xr:uid="{EB1FC8E0-F6EC-4189-AF8B-0CE297E1CF86}"/>
    <cellStyle name="Normal 3 2 2 3 2 3 5" xfId="10501" xr:uid="{F51AD65D-83BC-4007-9F0E-00C514E5C293}"/>
    <cellStyle name="Normal 3 2 2 3 2 4" xfId="25483" xr:uid="{B2CA6D38-0002-40D0-8386-9E0EF27041AF}"/>
    <cellStyle name="Normal 3 2 2 3 2 4 2" xfId="9139" xr:uid="{1B4BDE05-DD9C-4E78-AF8E-1F877D6101A4}"/>
    <cellStyle name="Normal 3 2 2 3 2 4 2 2" xfId="13503" xr:uid="{36C702B4-6F59-43FF-AC76-24A30789E558}"/>
    <cellStyle name="Normal 3 2 2 3 2 4 2 2 2" xfId="5407" xr:uid="{0A433538-6E3B-4E17-930A-429E0C71B9E1}"/>
    <cellStyle name="Normal 3 2 2 3 2 4 2 3" xfId="5403" xr:uid="{FD4D7216-EC72-4EA5-95AC-7D19EA97EA93}"/>
    <cellStyle name="Normal 3 2 2 3 2 4 3" xfId="10495" xr:uid="{F99E2EDE-9E24-4EC7-B594-9D9B5C3E4256}"/>
    <cellStyle name="Normal 3 2 2 3 2 4 3 2" xfId="10490" xr:uid="{564ECAB0-731B-4A04-9D88-5243492093DA}"/>
    <cellStyle name="Normal 3 2 2 3 2 4 4" xfId="10486" xr:uid="{E797DCBC-46EB-4219-B32D-FE325399D7F3}"/>
    <cellStyle name="Normal 3 2 2 3 2 5" xfId="33751" xr:uid="{741E0665-138D-4EC7-9441-3CF98C1170D9}"/>
    <cellStyle name="Normal 3 2 2 3 2 5 2" xfId="9135" xr:uid="{5B8E40E9-5636-4944-A770-9CBA387390EB}"/>
    <cellStyle name="Normal 3 2 2 3 2 5 2 2" xfId="21039" xr:uid="{E355ADBA-52B2-4BFF-8318-988A2D3BCB22}"/>
    <cellStyle name="Normal 3 2 2 3 2 5 3" xfId="7067" xr:uid="{8F304424-CC50-48C0-95F6-DC9D39F6038A}"/>
    <cellStyle name="Normal 3 2 2 3 2 6" xfId="16032" xr:uid="{99466FF3-0D9B-44B9-9CFD-650C3F7B22C7}"/>
    <cellStyle name="Normal 3 2 2 3 2 6 2" xfId="5401" xr:uid="{F9A58420-7D9A-4FCF-95C7-2153892FC5B6}"/>
    <cellStyle name="Normal 3 2 2 3 2 7" xfId="31936" xr:uid="{546B4025-E8E6-4D27-8B2C-3C75753B1BAA}"/>
    <cellStyle name="Normal 3 2 2 3 3" xfId="23942" xr:uid="{2F130B6D-502F-47E8-ADE4-8DC7645F60EE}"/>
    <cellStyle name="Normal 3 2 2 3 3 2" xfId="9130" xr:uid="{B088F37C-4406-4420-AB56-3671A8B46CA2}"/>
    <cellStyle name="Normal 3 2 2 3 3 2 2" xfId="9125" xr:uid="{B244D052-2052-47A5-8D99-98176850E9EA}"/>
    <cellStyle name="Normal 3 2 2 3 3 2 2 2" xfId="9121" xr:uid="{844F489A-01E0-47E1-88D8-1312389B742C}"/>
    <cellStyle name="Normal 3 2 2 3 3 2 2 2 2" xfId="9118" xr:uid="{8B4AC4D2-8D58-4D7D-A4E8-699DE0D9B9E0}"/>
    <cellStyle name="Normal 3 2 2 3 3 2 2 2 2 2" xfId="5398" xr:uid="{F9D6DF13-C7E5-4AD8-A999-F967B3B63ED1}"/>
    <cellStyle name="Normal 3 2 2 3 3 2 2 2 3" xfId="5397" xr:uid="{91EE4F50-77C2-49A1-A5E2-4376CBAC1279}"/>
    <cellStyle name="Normal 3 2 2 3 3 2 2 3" xfId="9115" xr:uid="{05138F99-FC2E-49E6-9FC5-E15F2E4A6E7A}"/>
    <cellStyle name="Normal 3 2 2 3 3 2 2 3 2" xfId="5394" xr:uid="{B83695A3-F6EB-41CD-9C40-0647AC57DB5F}"/>
    <cellStyle name="Normal 3 2 2 3 3 2 2 4" xfId="5392" xr:uid="{B4FCE815-F762-4E55-BC6C-02347D9728BF}"/>
    <cellStyle name="Normal 3 2 2 3 3 2 3" xfId="10462" xr:uid="{7FAF8027-B78D-47CA-BA2B-00261DAF9A3A}"/>
    <cellStyle name="Normal 3 2 2 3 3 2 3 2" xfId="12496" xr:uid="{3B6CBE24-2750-4678-B0E3-A99F5ED880A0}"/>
    <cellStyle name="Normal 3 2 2 3 3 2 3 2 2" xfId="5390" xr:uid="{47BB7504-99C2-47D1-A598-F2299019638F}"/>
    <cellStyle name="Normal 3 2 2 3 3 2 3 3" xfId="10459" xr:uid="{679E9BD5-2E48-4C66-B18A-01B911D00E44}"/>
    <cellStyle name="Normal 3 2 2 3 3 2 4" xfId="10453" xr:uid="{B02753EA-FDB9-4B22-B3FA-588F56FD9113}"/>
    <cellStyle name="Normal 3 2 2 3 3 2 4 2" xfId="10450" xr:uid="{B07E72D8-E11C-4C1B-963D-A06176BEFF58}"/>
    <cellStyle name="Normal 3 2 2 3 3 2 5" xfId="10446" xr:uid="{D8DCDB4A-CD5A-4D27-B87C-DA68A24E4CF2}"/>
    <cellStyle name="Normal 3 2 2 3 3 3" xfId="19349" xr:uid="{56F0309D-7DD0-4E7A-A014-CF8BCB24771C}"/>
    <cellStyle name="Normal 3 2 2 3 3 3 2" xfId="14536" xr:uid="{FEA938F2-A516-4CB2-B37D-2A7A785101F9}"/>
    <cellStyle name="Normal 3 2 2 3 3 3 2 2" xfId="33849" xr:uid="{F6E75FE4-6C87-45B6-907B-AEFA15EEDD2C}"/>
    <cellStyle name="Normal 3 2 2 3 3 3 2 2 2" xfId="5389" xr:uid="{D77EFE3F-493C-4178-BE17-24E20702D692}"/>
    <cellStyle name="Normal 3 2 2 3 3 3 2 3" xfId="32188" xr:uid="{D9A61C98-2689-4E85-A7D8-E3F99A63CEB3}"/>
    <cellStyle name="Normal 3 2 2 3 3 3 3" xfId="10438" xr:uid="{28208BEB-41FD-4B61-8439-5D22B7B4382B}"/>
    <cellStyle name="Normal 3 2 2 3 3 3 3 2" xfId="33646" xr:uid="{74C1698D-1F32-47B6-8517-574C29DC60C3}"/>
    <cellStyle name="Normal 3 2 2 3 3 3 4" xfId="10436" xr:uid="{0158AEE0-013E-4847-AC11-BA54F92F4727}"/>
    <cellStyle name="Normal 3 2 2 3 3 4" xfId="25478" xr:uid="{C39AD9EE-A7E5-47FA-B912-2A6C2ADC37E9}"/>
    <cellStyle name="Normal 3 2 2 3 3 4 2" xfId="9110" xr:uid="{62AA06EA-12CB-4B90-A8D2-27EA77A8D1D8}"/>
    <cellStyle name="Normal 3 2 2 3 3 4 2 2" xfId="33899" xr:uid="{E29DA821-0B2B-405B-9411-9F1FF7299F18}"/>
    <cellStyle name="Normal 3 2 2 3 3 4 3" xfId="10432" xr:uid="{C652177F-52D5-4CC0-9690-993C30E48B0A}"/>
    <cellStyle name="Normal 3 2 2 3 3 5" xfId="21875" xr:uid="{BA85AB61-765F-462F-839D-B96B857AAA90}"/>
    <cellStyle name="Normal 3 2 2 3 3 5 2" xfId="5387" xr:uid="{89DC81B1-4AEB-4E5E-9AE1-C5ED2E6A2232}"/>
    <cellStyle name="Normal 3 2 2 3 3 6" xfId="16025" xr:uid="{AE5EB2DD-90EA-4339-9E8A-C0ADDAEC8AB7}"/>
    <cellStyle name="Normal 3 2 2 3 4" xfId="21676" xr:uid="{487B8EC2-A2FE-40BE-8E4C-5B994EB0A110}"/>
    <cellStyle name="Normal 3 2 2 3 4 2" xfId="8981" xr:uid="{9DC56C2F-F7C2-43FE-92E7-20E47A28877A}"/>
    <cellStyle name="Normal 3 2 2 3 4 2 2" xfId="9103" xr:uid="{8A92F157-B93F-4B42-BE26-6E5896193E4D}"/>
    <cellStyle name="Normal 3 2 2 3 4 2 2 2" xfId="9099" xr:uid="{E1A03917-F7D4-4296-B74F-68A7DF8DF865}"/>
    <cellStyle name="Normal 3 2 2 3 4 2 2 2 2" xfId="5385" xr:uid="{0BAA9F39-D489-4FBA-B780-FCB64379A664}"/>
    <cellStyle name="Normal 3 2 2 3 4 2 2 3" xfId="5384" xr:uid="{FF9A2BFC-F4B5-4064-870B-FC12C9F8E837}"/>
    <cellStyle name="Normal 3 2 2 3 4 2 3" xfId="29051" xr:uid="{4C5B6B3E-DA00-4E57-90BA-A80222705DD7}"/>
    <cellStyle name="Normal 3 2 2 3 4 2 3 2" xfId="10416" xr:uid="{243413A4-AC24-4825-910B-77B8B96FB828}"/>
    <cellStyle name="Normal 3 2 2 3 4 2 4" xfId="10412" xr:uid="{00631F28-96A2-4D60-89F3-6CBACE6FCA84}"/>
    <cellStyle name="Normal 3 2 2 3 4 3" xfId="8979" xr:uid="{A9AB6078-A809-40D3-92F7-C18D2B6B47E7}"/>
    <cellStyle name="Normal 3 2 2 3 4 3 2" xfId="9094" xr:uid="{78F52275-18B2-434E-BABB-2A6A4DE480FE}"/>
    <cellStyle name="Normal 3 2 2 3 4 3 2 2" xfId="31865" xr:uid="{7EDFC2E2-FE7C-4997-9816-82DAB25ACFF6}"/>
    <cellStyle name="Normal 3 2 2 3 4 3 3" xfId="14311" xr:uid="{C9A937AC-2CD6-45A8-9742-3BBB1AA63B20}"/>
    <cellStyle name="Normal 3 2 2 3 4 4" xfId="18200" xr:uid="{F0C54CC6-1D9A-4774-ACAB-2E4F94A678DE}"/>
    <cellStyle name="Normal 3 2 2 3 4 4 2" xfId="7078" xr:uid="{83836963-1074-4C4B-98B2-33459FA4D8B0}"/>
    <cellStyle name="Normal 3 2 2 3 4 5" xfId="19192" xr:uid="{D13C79F3-409A-495D-8D66-4420934816B8}"/>
    <cellStyle name="Normal 3 2 2 3 5" xfId="21669" xr:uid="{26936345-6B6B-426E-930C-0D06C90BBDAE}"/>
    <cellStyle name="Normal 3 2 2 3 5 2" xfId="9090" xr:uid="{BBBE2AEC-53A5-4E9E-A150-0F474E997DBB}"/>
    <cellStyle name="Normal 3 2 2 3 5 2 2" xfId="7535" xr:uid="{8F655BE9-99ED-4D49-BD31-20B5C3029534}"/>
    <cellStyle name="Normal 3 2 2 3 5 2 2 2" xfId="15306" xr:uid="{92D6EB90-B69F-4DCE-A44E-F54935F2E461}"/>
    <cellStyle name="Normal 3 2 2 3 5 2 3" xfId="6122" xr:uid="{323C56C8-91F0-4DC0-A301-B92F2BA38348}"/>
    <cellStyle name="Normal 3 2 2 3 5 3" xfId="17721" xr:uid="{35AB837F-1921-4268-B995-6CE31D32BBA2}"/>
    <cellStyle name="Normal 3 2 2 3 5 3 2" xfId="6120" xr:uid="{A780BD9D-CB33-4A8B-9CC1-D88739D15F76}"/>
    <cellStyle name="Normal 3 2 2 3 5 4" xfId="5382" xr:uid="{8206FA71-5DDF-4E64-AAE1-9CDD7C10CCDC}"/>
    <cellStyle name="Normal 3 2 2 3 6" xfId="9083" xr:uid="{5FD90B99-F07D-46D8-AA51-3CCA31BD677B}"/>
    <cellStyle name="Normal 3 2 2 3 6 2" xfId="17708" xr:uid="{2D134ADF-A36E-429F-A8CB-94F6447F749E}"/>
    <cellStyle name="Normal 3 2 2 3 6 2 2" xfId="7037" xr:uid="{C64665BE-21E7-4870-B2D2-C8AB6B9C7A8B}"/>
    <cellStyle name="Normal 3 2 2 3 6 3" xfId="5380" xr:uid="{0BAF73C6-E197-4C6E-BCE4-1401B1817082}"/>
    <cellStyle name="Normal 3 2 2 3 7" xfId="9078" xr:uid="{93B6B260-FD98-4D8D-8D67-555E521A5A39}"/>
    <cellStyle name="Normal 3 2 2 3 7 2" xfId="5377" xr:uid="{638DD64C-2AF5-43E0-9FB4-067EFC3FD229}"/>
    <cellStyle name="Normal 3 2 2 3 8" xfId="5375" xr:uid="{3090634F-6D91-4DAE-8207-81DD10B10689}"/>
    <cellStyle name="Normal 3 2 2 4" xfId="33173" xr:uid="{73E5F877-4F22-48E9-A721-153BADB49C56}"/>
    <cellStyle name="Normal 3 2 2 4 2" xfId="9072" xr:uid="{93036604-4F31-42FA-8098-E75C16D8C0A7}"/>
    <cellStyle name="Normal 3 2 2 4 2 2" xfId="9068" xr:uid="{A0A5CA90-D8D7-4184-B93D-872284E94424}"/>
    <cellStyle name="Normal 3 2 2 4 2 2 2" xfId="17626" xr:uid="{1427CEC7-B931-49D2-BE5E-B62F8AD446C6}"/>
    <cellStyle name="Normal 3 2 2 4 2 2 2 2" xfId="28053" xr:uid="{6D3166F2-4C83-48F8-8804-7485C20DDC47}"/>
    <cellStyle name="Normal 3 2 2 4 2 2 2 2 2" xfId="33046" xr:uid="{79974BBA-B486-4617-91E0-7DB3EA09B0AD}"/>
    <cellStyle name="Normal 3 2 2 4 2 2 2 2 2 2" xfId="5371" xr:uid="{9E42B58E-0D48-4631-A8C1-3E408D0C241D}"/>
    <cellStyle name="Normal 3 2 2 4 2 2 2 2 3" xfId="25291" xr:uid="{45F0D08F-7650-4095-90E7-E34B3CBDA880}"/>
    <cellStyle name="Normal 3 2 2 4 2 2 2 3" xfId="20070" xr:uid="{3B502153-9805-4646-A046-C6406AAF07ED}"/>
    <cellStyle name="Normal 3 2 2 4 2 2 2 3 2" xfId="29787" xr:uid="{804D6324-5B94-494C-A2C2-F2D42FF85257}"/>
    <cellStyle name="Normal 3 2 2 4 2 2 2 4" xfId="20060" xr:uid="{D8D5D835-B8AB-4F8A-9F16-DCA6B30DC61E}"/>
    <cellStyle name="Normal 3 2 2 4 2 2 3" xfId="17622" xr:uid="{3A312A34-55CB-4193-89F4-609DB83479D9}"/>
    <cellStyle name="Normal 3 2 2 4 2 2 3 2" xfId="31833" xr:uid="{88ACB532-480F-4AFE-A583-D5C96BAC98F3}"/>
    <cellStyle name="Normal 3 2 2 4 2 2 3 2 2" xfId="31830" xr:uid="{5061E694-8D27-4FF2-AFC9-574825EACDEF}"/>
    <cellStyle name="Normal 3 2 2 4 2 2 3 3" xfId="28080" xr:uid="{AD67D51A-B194-4FC9-8254-10FA7755094F}"/>
    <cellStyle name="Normal 3 2 2 4 2 2 4" xfId="10378" xr:uid="{8123FC36-00C1-4583-BF51-453D91E4B8C6}"/>
    <cellStyle name="Normal 3 2 2 4 2 2 4 2" xfId="33413" xr:uid="{93432282-27AE-4737-90CA-C866D13D89D3}"/>
    <cellStyle name="Normal 3 2 2 4 2 2 5" xfId="10374" xr:uid="{FD09FC11-1407-43A4-9E85-FDB145316784}"/>
    <cellStyle name="Normal 3 2 2 4 2 3" xfId="25468" xr:uid="{A8CD34F3-2B14-41C4-A999-829420B4DF3E}"/>
    <cellStyle name="Normal 3 2 2 4 2 3 2" xfId="17619" xr:uid="{B880F598-4A3A-447A-80CF-0EECFD5822A8}"/>
    <cellStyle name="Normal 3 2 2 4 2 3 2 2" xfId="34293" xr:uid="{B1B7636B-39E0-4B84-AEF8-86C6C5D489A4}"/>
    <cellStyle name="Normal 3 2 2 4 2 3 2 2 2" xfId="13093" xr:uid="{F09444C5-5ED7-4C93-89D2-06E93587F61A}"/>
    <cellStyle name="Normal 3 2 2 4 2 3 2 3" xfId="25995" xr:uid="{68FD023F-D49C-4824-ADF1-E68550F1D313}"/>
    <cellStyle name="Normal 3 2 2 4 2 3 3" xfId="10368" xr:uid="{DA20FEE0-FAE2-4CED-8D0A-1ADF6B9CF0AB}"/>
    <cellStyle name="Normal 3 2 2 4 2 3 3 2" xfId="33370" xr:uid="{E18A1625-8D1E-453D-BE1F-0DAB4C85A9A5}"/>
    <cellStyle name="Normal 3 2 2 4 2 3 4" xfId="10365" xr:uid="{A19C2584-7045-433F-98B8-8907590E8391}"/>
    <cellStyle name="Normal 3 2 2 4 2 4" xfId="25456" xr:uid="{227C74A8-9198-425B-91D4-736297374BE5}"/>
    <cellStyle name="Normal 3 2 2 4 2 4 2" xfId="9063" xr:uid="{701A9E32-B343-4210-8D28-A0238BD13465}"/>
    <cellStyle name="Normal 3 2 2 4 2 4 2 2" xfId="34174" xr:uid="{619DAAC7-05FF-4944-86C4-97E85DC016C5}"/>
    <cellStyle name="Normal 3 2 2 4 2 4 3" xfId="10361" xr:uid="{CE28DC4C-B2E2-4DAE-907F-A4BE19F956D7}"/>
    <cellStyle name="Normal 3 2 2 4 2 5" xfId="21849" xr:uid="{34BE6F18-27D7-4215-B1E8-BDC94849BE53}"/>
    <cellStyle name="Normal 3 2 2 4 2 5 2" xfId="7043" xr:uid="{31238153-35C3-48A6-90EF-FE3D2AAEA247}"/>
    <cellStyle name="Normal 3 2 2 4 2 6" xfId="18234" xr:uid="{F4B27A3D-1811-4EA1-AE6D-7DA794C67D77}"/>
    <cellStyle name="Normal 3 2 2 4 3" xfId="30600" xr:uid="{B1A94B8F-68F7-4566-A3EA-AE4C8EF06F06}"/>
    <cellStyle name="Normal 3 2 2 4 3 2" xfId="9059" xr:uid="{13502210-69B4-46BB-8379-EA255F1E5654}"/>
    <cellStyle name="Normal 3 2 2 4 3 2 2" xfId="17515" xr:uid="{60E54176-CD25-41B1-BF99-B6526E17D47E}"/>
    <cellStyle name="Normal 3 2 2 4 3 2 2 2" xfId="23464" xr:uid="{F665550D-FF0B-4A0D-8006-108FAFF9F7C4}"/>
    <cellStyle name="Normal 3 2 2 4 3 2 2 2 2" xfId="23456" xr:uid="{5F54D4C3-2EEA-43BB-A498-B0665F6E4FEA}"/>
    <cellStyle name="Normal 3 2 2 4 3 2 2 3" xfId="20000" xr:uid="{9AB93A31-75CE-435E-BFDB-A65BCFD2A087}"/>
    <cellStyle name="Normal 3 2 2 4 3 2 3" xfId="12023" xr:uid="{6960D018-A034-4D2E-B5BB-1CD990AE180F}"/>
    <cellStyle name="Normal 3 2 2 4 3 2 3 2" xfId="15606" xr:uid="{EB6A44B9-141C-414A-B0EE-A46312E8EDAC}"/>
    <cellStyle name="Normal 3 2 2 4 3 2 4" xfId="10349" xr:uid="{B5E15D12-C1C9-463C-99BA-DD972BCBA803}"/>
    <cellStyle name="Normal 3 2 2 4 3 3" xfId="25451" xr:uid="{439E91E6-3D7F-4F22-80C7-967F6653A2AD}"/>
    <cellStyle name="Normal 3 2 2 4 3 3 2" xfId="9055" xr:uid="{50702D90-3B53-45D2-A287-7AE281EF36F9}"/>
    <cellStyle name="Normal 3 2 2 4 3 3 2 2" xfId="22832" xr:uid="{E262BB38-96E8-45EB-81AF-86A18C208B1F}"/>
    <cellStyle name="Normal 3 2 2 4 3 3 3" xfId="10346" xr:uid="{F5BD22DA-87EF-4845-91F7-2F7724BA53BC}"/>
    <cellStyle name="Normal 3 2 2 4 3 4" xfId="21841" xr:uid="{6849A761-77FE-477D-A6FB-3AD2A36FEA84}"/>
    <cellStyle name="Normal 3 2 2 4 3 4 2" xfId="5370" xr:uid="{A0A4EA11-2B4C-4BFB-8CE0-9C0B1FD015EC}"/>
    <cellStyle name="Normal 3 2 2 4 3 5" xfId="5369" xr:uid="{694950E8-F973-476B-9B52-0A5155A7D774}"/>
    <cellStyle name="Normal 3 2 2 4 4" xfId="21663" xr:uid="{004416C0-8BB8-43DB-B5C2-9D0AF5736878}"/>
    <cellStyle name="Normal 3 2 2 4 4 2" xfId="9051" xr:uid="{6745B2BA-EFAF-4F99-908A-C6D80D0A83F8}"/>
    <cellStyle name="Normal 3 2 2 4 4 2 2" xfId="9046" xr:uid="{AB31BF2B-8181-4A21-BCB8-471EE025F930}"/>
    <cellStyle name="Normal 3 2 2 4 4 2 2 2" xfId="20929" xr:uid="{DD56F563-06EA-4AF4-8853-83B6B8624A17}"/>
    <cellStyle name="Normal 3 2 2 4 4 2 3" xfId="10336" xr:uid="{9BA9B1F7-F281-40C7-BD17-722890FF4933}"/>
    <cellStyle name="Normal 3 2 2 4 4 3" xfId="31113" xr:uid="{D0E850A6-72BF-44D5-A85A-7FBF48D96941}"/>
    <cellStyle name="Normal 3 2 2 4 4 3 2" xfId="32487" xr:uid="{F507812E-E7C1-48C8-B6FA-5182AC83B83C}"/>
    <cellStyle name="Normal 3 2 2 4 4 4" xfId="5368" xr:uid="{4543E6E0-929E-47A9-AAFA-6C374621A2D7}"/>
    <cellStyle name="Normal 3 2 2 4 5" xfId="9042" xr:uid="{433FC87C-4B81-494F-BA90-B71657E08AFE}"/>
    <cellStyle name="Normal 3 2 2 4 5 2" xfId="9038" xr:uid="{0B615EB8-F0A2-4CA7-A857-4C8DF33B3225}"/>
    <cellStyle name="Normal 3 2 2 4 5 2 2" xfId="6118" xr:uid="{BB702B75-ED52-42E4-9B70-835129059C5F}"/>
    <cellStyle name="Normal 3 2 2 4 5 3" xfId="5365" xr:uid="{E9B51DB1-77AB-4504-BE9E-9F4E314298AF}"/>
    <cellStyle name="Normal 3 2 2 4 6" xfId="9033" xr:uid="{1FCC44E1-A8C0-47EC-B6D5-BD595D0EF735}"/>
    <cellStyle name="Normal 3 2 2 4 6 2" xfId="5362" xr:uid="{249DB883-848E-467F-972F-B6D3C80771C3}"/>
    <cellStyle name="Normal 3 2 2 4 7" xfId="9912" xr:uid="{8B9B5C72-2BB9-4943-B868-49C0A1B8D0F8}"/>
    <cellStyle name="Normal 3 2 2 5" xfId="6402" xr:uid="{50875B56-304C-4FC4-A96A-3FE275EDDC25}"/>
    <cellStyle name="Normal 3 2 2 5 2" xfId="9028" xr:uid="{8450D8FF-45F4-4200-AF40-158F66D45273}"/>
    <cellStyle name="Normal 3 2 2 5 2 2" xfId="11341" xr:uid="{D400A5EF-D005-4C56-8741-CF64D9C8654A}"/>
    <cellStyle name="Normal 3 2 2 5 2 2 2" xfId="17226" xr:uid="{56B3AA1D-43BA-454F-B786-C45C0C689836}"/>
    <cellStyle name="Normal 3 2 2 5 2 2 2 2" xfId="9025" xr:uid="{CDC11167-309F-4C21-BA1D-2941BA6F8140}"/>
    <cellStyle name="Normal 3 2 2 5 2 2 2 2 2" xfId="5359" xr:uid="{A407E54F-B1E8-4537-B5A9-AAE981A763D8}"/>
    <cellStyle name="Normal 3 2 2 5 2 2 2 3" xfId="5358" xr:uid="{87CFEEBF-0B33-420E-918B-0008BCCCBF52}"/>
    <cellStyle name="Normal 3 2 2 5 2 2 3" xfId="10316" xr:uid="{F1F19583-83B6-417B-B663-AF3250A175F8}"/>
    <cellStyle name="Normal 3 2 2 5 2 2 3 2" xfId="10313" xr:uid="{D45C21E6-C5AF-4D89-BAF1-D136DE2D09E3}"/>
    <cellStyle name="Normal 3 2 2 5 2 2 4" xfId="10310" xr:uid="{EDBA8E15-3D4D-44B6-BAF2-3CF4A0AEECA4}"/>
    <cellStyle name="Normal 3 2 2 5 2 3" xfId="25534" xr:uid="{52889F39-F70E-4174-AE9B-A2B97C1B9AEE}"/>
    <cellStyle name="Normal 3 2 2 5 2 3 2" xfId="9020" xr:uid="{6B426452-E615-4258-ACC3-019CAE3D66A3}"/>
    <cellStyle name="Normal 3 2 2 5 2 3 2 2" xfId="5355" xr:uid="{6E013216-47C6-40B1-BCDA-824F25D87953}"/>
    <cellStyle name="Normal 3 2 2 5 2 3 3" xfId="10305" xr:uid="{69839C92-5634-4742-85C6-FEBCBB31EE74}"/>
    <cellStyle name="Normal 3 2 2 5 2 4" xfId="13029" xr:uid="{9E7BB992-FB3C-4D04-AA61-2FE23746E6A2}"/>
    <cellStyle name="Normal 3 2 2 5 2 4 2" xfId="5354" xr:uid="{FB505AE4-7845-4708-B822-BBAC12EF6A16}"/>
    <cellStyle name="Normal 3 2 2 5 2 5" xfId="5353" xr:uid="{1F3910FB-C878-40E6-9D7D-2032F3E282B0}"/>
    <cellStyle name="Normal 3 2 2 5 3" xfId="23459" xr:uid="{BF596AE1-3672-48D4-A974-E192ECA82CB0}"/>
    <cellStyle name="Normal 3 2 2 5 3 2" xfId="9015" xr:uid="{4708922B-A8D9-4D4C-972C-D5BFEA591D98}"/>
    <cellStyle name="Normal 3 2 2 5 3 2 2" xfId="9012" xr:uid="{65744388-7083-43B9-B6C1-605031D2EAD5}"/>
    <cellStyle name="Normal 3 2 2 5 3 2 2 2" xfId="18268" xr:uid="{902E4E9A-5645-4D55-B609-6F213DABC61D}"/>
    <cellStyle name="Normal 3 2 2 5 3 2 3" xfId="10299" xr:uid="{A89904D4-06BF-46C1-9291-FC50E3F45DC3}"/>
    <cellStyle name="Normal 3 2 2 5 3 3" xfId="23135" xr:uid="{1933B227-C77C-4E5A-BF67-54BEE0AFE98D}"/>
    <cellStyle name="Normal 3 2 2 5 3 3 2" xfId="5351" xr:uid="{521A08A8-EA80-48C2-A163-E491A01C240B}"/>
    <cellStyle name="Normal 3 2 2 5 3 4" xfId="5350" xr:uid="{9D638549-991E-42EA-A165-528CEC55B98E}"/>
    <cellStyle name="Normal 3 2 2 5 4" xfId="17854" xr:uid="{15107911-566D-4D94-A8B5-5AB0049182FA}"/>
    <cellStyle name="Normal 3 2 2 5 4 2" xfId="9008" xr:uid="{45AA459F-BB12-46D6-B85C-31AA028F5CA6}"/>
    <cellStyle name="Normal 3 2 2 5 4 2 2" xfId="6949" xr:uid="{A72D3FE5-F8DC-42AF-A840-A6011EF6832C}"/>
    <cellStyle name="Normal 3 2 2 5 4 3" xfId="5349" xr:uid="{F1DE7096-AFD3-4887-9A7E-F62D06523BA6}"/>
    <cellStyle name="Normal 3 2 2 5 5" xfId="17632" xr:uid="{A6602CC9-CB46-448D-A359-6C448A1ECC4B}"/>
    <cellStyle name="Normal 3 2 2 5 5 2" xfId="5347" xr:uid="{0B69B50A-175E-4B19-8ABD-31B036EB47C5}"/>
    <cellStyle name="Normal 3 2 2 5 6" xfId="17628" xr:uid="{A9158866-B145-4B70-A781-416CAE345F4E}"/>
    <cellStyle name="Normal 3 2 2 6" xfId="9004" xr:uid="{0896B850-5EFF-4178-A6D9-08EED3D1013A}"/>
    <cellStyle name="Normal 3 2 2 6 2" xfId="9001" xr:uid="{294E7B7A-FF06-495B-8A7D-D457A4B6D6A2}"/>
    <cellStyle name="Normal 3 2 2 6 2 2" xfId="8997" xr:uid="{3CA95D3E-5AAF-4DDF-B095-B5D48B54CDF7}"/>
    <cellStyle name="Normal 3 2 2 6 2 2 2" xfId="27389" xr:uid="{82783EA4-7681-41C6-8AFF-1B3DA9FE24F4}"/>
    <cellStyle name="Normal 3 2 2 6 2 2 2 2" xfId="28603" xr:uid="{E918ABDD-9FEC-45C1-8866-D7D88FEA9CF0}"/>
    <cellStyle name="Normal 3 2 2 6 2 2 3" xfId="26642" xr:uid="{C0947571-68F2-4174-AB40-1AAB38514EBC}"/>
    <cellStyle name="Normal 3 2 2 6 2 3" xfId="23128" xr:uid="{D689E8EF-F045-40BA-BB78-C2F2BAACE99E}"/>
    <cellStyle name="Normal 3 2 2 6 2 3 2" xfId="5344" xr:uid="{0CFF306B-4C0C-45D5-A36E-781D443D26A6}"/>
    <cellStyle name="Normal 3 2 2 6 2 4" xfId="5826" xr:uid="{60FB0532-7546-49A3-B5D5-E77DF6FF1D95}"/>
    <cellStyle name="Normal 3 2 2 6 3" xfId="8993" xr:uid="{00D12C75-E8EB-45AA-9FE0-FD7DD0B40AA6}"/>
    <cellStyle name="Normal 3 2 2 6 3 2" xfId="8989" xr:uid="{F8A0C8B0-0F9D-4D5B-BF3B-2DD19BC4F426}"/>
    <cellStyle name="Normal 3 2 2 6 3 2 2" xfId="17106" xr:uid="{9417E8E3-C400-4774-B3F0-0E22E140A973}"/>
    <cellStyle name="Normal 3 2 2 6 3 3" xfId="5343" xr:uid="{6DECA5D8-0503-45C8-9552-C146275B315A}"/>
    <cellStyle name="Normal 3 2 2 6 4" xfId="31176" xr:uid="{84613680-EA21-4D6E-8FAD-642E6B736C36}"/>
    <cellStyle name="Normal 3 2 2 6 4 2" xfId="5342" xr:uid="{AF2E9F22-1DCC-4E11-9307-D808DC1C6EA8}"/>
    <cellStyle name="Normal 3 2 2 6 5" xfId="21702" xr:uid="{995D55B7-BC35-4C4F-A464-081212D057CE}"/>
    <cellStyle name="Normal 3 2 2 7" xfId="14209" xr:uid="{8563F9F7-25B8-42F0-8C6B-5D0102CAD5DA}"/>
    <cellStyle name="Normal 3 2 2 7 2" xfId="5339" xr:uid="{A6402017-8B43-4108-B849-D3178D595A80}"/>
    <cellStyle name="Normal 3 2 2 7 2 2" xfId="5336" xr:uid="{1E57950E-1C59-4DA4-A92D-0E5671391478}"/>
    <cellStyle name="Normal 3 2 2 7 2 2 2" xfId="5334" xr:uid="{2DC77BD4-12C3-476F-A3FB-09F858F34BEA}"/>
    <cellStyle name="Normal 3 2 2 7 2 3" xfId="16831" xr:uid="{A4925804-A14C-4135-8FC1-5F18F237BF83}"/>
    <cellStyle name="Normal 3 2 2 7 3" xfId="5333" xr:uid="{87977688-FEB1-49F7-95C2-F62C45B318C2}"/>
    <cellStyle name="Normal 3 2 2 7 3 2" xfId="5330" xr:uid="{40148DAE-F10C-4FB6-9B63-B5F1089A8F35}"/>
    <cellStyle name="Normal 3 2 2 7 4" xfId="31165" xr:uid="{9787F084-F59C-4DF3-A919-06F103206652}"/>
    <cellStyle name="Normal 3 2 2 8" xfId="14205" xr:uid="{91A66CA4-D4D2-4399-AC1D-0857FDCAD3BA}"/>
    <cellStyle name="Normal 3 2 2 8 2" xfId="8086" xr:uid="{DA37E715-E189-4EA5-A004-A522D947951F}"/>
    <cellStyle name="Normal 3 2 2 8 2 2" xfId="29185" xr:uid="{D1013F88-8BD2-45DF-9207-EB190DF2285A}"/>
    <cellStyle name="Normal 3 2 2 8 3" xfId="9628" xr:uid="{7B315AD9-979F-4992-9CBA-CF8E2CF63346}"/>
    <cellStyle name="Normal 3 2 2 9" xfId="9624" xr:uid="{DA4AA0AE-4F61-400F-A766-42A7BC9F947B}"/>
    <cellStyle name="Normal 3 2 2 9 2" xfId="9620" xr:uid="{5486B7C2-90FC-4D6D-9C21-A9428957A3B2}"/>
    <cellStyle name="Normal 3 2 20" xfId="5552" xr:uid="{F0645E73-3B54-4B74-BF16-46F3CC673832}"/>
    <cellStyle name="Normal 3 2 3" xfId="33197" xr:uid="{D0F106EC-6D32-464A-B463-C0D520BC3BBD}"/>
    <cellStyle name="Normal 3 2 3 2" xfId="15175" xr:uid="{F24D2DA7-F2A4-4601-AE53-590E3E094435}"/>
    <cellStyle name="Normal 3 2 3 2 2" xfId="7378" xr:uid="{C33D2247-DD16-42FB-B9F2-9CF12C060BEB}"/>
    <cellStyle name="Normal 3 2 3 2 2 2" xfId="7375" xr:uid="{0C36654A-5510-4DCC-A5B9-1B839E7F0E68}"/>
    <cellStyle name="Normal 3 2 3 2 2 2 2" xfId="28386" xr:uid="{6A564737-6108-4C81-AC82-1E4D1CDB1678}"/>
    <cellStyle name="Normal 3 2 3 2 2 2 2 2" xfId="21725" xr:uid="{8112F34E-D4B5-41C2-8602-C6C3F081919F}"/>
    <cellStyle name="Normal 3 2 3 2 2 2 2 2 2" xfId="7372" xr:uid="{8B6711F2-1C42-4FAE-A581-F33CA2D2E8C2}"/>
    <cellStyle name="Normal 3 2 3 2 2 2 2 2 2 2" xfId="5329" xr:uid="{B51B284E-926C-416D-BB3B-3DDF2A201FF8}"/>
    <cellStyle name="Normal 3 2 3 2 2 2 2 2 2 2 2" xfId="5328" xr:uid="{0581AEB3-F104-419F-ADBC-99E044BDFC6C}"/>
    <cellStyle name="Normal 3 2 3 2 2 2 2 2 2 3" xfId="22736" xr:uid="{6E335DDC-DC18-4E3D-BBF1-50EF531B8508}"/>
    <cellStyle name="Normal 3 2 3 2 2 2 2 2 3" xfId="7367" xr:uid="{D1674BCE-BAA8-440A-AC6D-10AD69755B10}"/>
    <cellStyle name="Normal 3 2 3 2 2 2 2 2 3 2" xfId="5327" xr:uid="{0B84111C-0BB4-46EB-9276-AB8EA4611E73}"/>
    <cellStyle name="Normal 3 2 3 2 2 2 2 2 4" xfId="7361" xr:uid="{51AB55B6-864C-4A4C-A2EB-00188FDE5FC1}"/>
    <cellStyle name="Normal 3 2 3 2 2 2 2 3" xfId="6337" xr:uid="{E471F2EF-DCC5-46BD-9BAE-A696E702D524}"/>
    <cellStyle name="Normal 3 2 3 2 2 2 2 3 2" xfId="7356" xr:uid="{B00129F1-65B6-4316-8007-E3F0C839CF1C}"/>
    <cellStyle name="Normal 3 2 3 2 2 2 2 3 2 2" xfId="5325" xr:uid="{2686B9A8-F18C-4E94-9F47-21D9D2B2FF6C}"/>
    <cellStyle name="Normal 3 2 3 2 2 2 2 3 3" xfId="7352" xr:uid="{A8A3AB54-6B5B-4210-A296-7889F8475B70}"/>
    <cellStyle name="Normal 3 2 3 2 2 2 2 4" xfId="6335" xr:uid="{91D28D0E-FFF8-4FAE-87F9-2A66FF862D86}"/>
    <cellStyle name="Normal 3 2 3 2 2 2 2 4 2" xfId="7348" xr:uid="{8051EF22-2F32-47CA-B9BC-0AB1D8D79BD3}"/>
    <cellStyle name="Normal 3 2 3 2 2 2 2 5" xfId="33949" xr:uid="{56399E13-6BF9-4652-880C-92B850FB3498}"/>
    <cellStyle name="Normal 3 2 3 2 2 2 3" xfId="33383" xr:uid="{6BDC06F3-F59D-417B-9195-5CC4FE5526C6}"/>
    <cellStyle name="Normal 3 2 3 2 2 2 3 2" xfId="9866" xr:uid="{EB2E4C8F-C42D-4A82-8919-88DE1D3F7EEE}"/>
    <cellStyle name="Normal 3 2 3 2 2 2 3 2 2" xfId="7343" xr:uid="{9B0EB649-D5DE-47AD-BFF3-D20CD15B3E48}"/>
    <cellStyle name="Normal 3 2 3 2 2 2 3 2 2 2" xfId="5323" xr:uid="{4C46F2EF-1F2E-4C9F-B826-1338E50F4C67}"/>
    <cellStyle name="Normal 3 2 3 2 2 2 3 2 3" xfId="29859" xr:uid="{EA6C7EF4-ED1C-4620-9D23-886F7F34A1EA}"/>
    <cellStyle name="Normal 3 2 3 2 2 2 3 3" xfId="9855" xr:uid="{925860DF-37E9-4272-ACDA-7037C651B75C}"/>
    <cellStyle name="Normal 3 2 3 2 2 2 3 3 2" xfId="7339" xr:uid="{A36AA42C-66ED-4C46-981E-9721636DDE5B}"/>
    <cellStyle name="Normal 3 2 3 2 2 2 3 4" xfId="31401" xr:uid="{5A5EE550-799D-4A53-9AEF-3B8E9B1622B0}"/>
    <cellStyle name="Normal 3 2 3 2 2 2 4" xfId="9847" xr:uid="{A813AF2C-4DC3-4238-B6C7-7293008F5180}"/>
    <cellStyle name="Normal 3 2 3 2 2 2 4 2" xfId="9841" xr:uid="{8BB3F7CF-3480-47C8-96D7-A773BC5635EA}"/>
    <cellStyle name="Normal 3 2 3 2 2 2 4 2 2" xfId="30368" xr:uid="{41C38FAF-46A9-405F-ADE8-D6994DDD931A}"/>
    <cellStyle name="Normal 3 2 3 2 2 2 4 3" xfId="9832" xr:uid="{5B36FEE6-4DC3-43FF-B2DC-A4D7F2D04601}"/>
    <cellStyle name="Normal 3 2 3 2 2 2 5" xfId="9828" xr:uid="{940D367C-AD05-4EE6-B2B4-68B035A37A25}"/>
    <cellStyle name="Normal 3 2 3 2 2 2 5 2" xfId="23003" xr:uid="{B81F7531-B3FE-43AE-922E-2292D0198732}"/>
    <cellStyle name="Normal 3 2 3 2 2 2 6" xfId="9824" xr:uid="{DFC04394-78BC-4864-AB62-64DEDCD7FCA2}"/>
    <cellStyle name="Normal 3 2 3 2 2 3" xfId="31582" xr:uid="{EF0E193C-6F16-430F-BC64-FA021A4B35DA}"/>
    <cellStyle name="Normal 3 2 3 2 2 3 2" xfId="21624" xr:uid="{0220FB61-8A96-4ECF-8832-471CC296EB01}"/>
    <cellStyle name="Normal 3 2 3 2 2 3 2 2" xfId="7335" xr:uid="{F2AE104D-037A-444B-86FD-84D379505676}"/>
    <cellStyle name="Normal 3 2 3 2 2 3 2 2 2" xfId="5321" xr:uid="{3D97E0E6-C45C-4BFD-8CF7-D5A45267CC57}"/>
    <cellStyle name="Normal 3 2 3 2 2 3 2 2 2 2" xfId="5320" xr:uid="{69BBE8EE-22DA-448C-B9E9-05F23EA4A1ED}"/>
    <cellStyle name="Normal 3 2 3 2 2 3 2 2 3" xfId="5319" xr:uid="{415AB691-0EC2-4A9C-A325-C7FD8EAB05E4}"/>
    <cellStyle name="Normal 3 2 3 2 2 3 2 3" xfId="25699" xr:uid="{1DAF03C7-49D7-412F-BC85-466723BC6535}"/>
    <cellStyle name="Normal 3 2 3 2 2 3 2 3 2" xfId="24262" xr:uid="{664C864C-4F19-4EA3-8418-9DC61A5BA705}"/>
    <cellStyle name="Normal 3 2 3 2 2 3 2 4" xfId="5318" xr:uid="{156BBDAC-A0C9-4C17-A04D-686744BF82E6}"/>
    <cellStyle name="Normal 3 2 3 2 2 3 3" xfId="5317" xr:uid="{B5025BDB-CAAA-4A1F-8E32-0CB9CE305FF5}"/>
    <cellStyle name="Normal 3 2 3 2 2 3 3 2" xfId="5316" xr:uid="{D340B7E8-41A5-432B-BA91-5B14D4E08821}"/>
    <cellStyle name="Normal 3 2 3 2 2 3 3 2 2" xfId="5315" xr:uid="{A4EB37B6-12E8-48E3-911E-7A463A8C4379}"/>
    <cellStyle name="Normal 3 2 3 2 2 3 3 3" xfId="5314" xr:uid="{B42DCC90-848B-42EF-A765-97125DC84202}"/>
    <cellStyle name="Normal 3 2 3 2 2 3 4" xfId="16975" xr:uid="{8A691496-7027-41FE-B28C-0F105DD5EE3E}"/>
    <cellStyle name="Normal 3 2 3 2 2 3 4 2" xfId="16973" xr:uid="{F9204303-EF15-4792-8206-22CFDB7BEA33}"/>
    <cellStyle name="Normal 3 2 3 2 2 3 5" xfId="16944" xr:uid="{EA68BAAC-9F63-4F28-BDB4-BE5D5B36722C}"/>
    <cellStyle name="Normal 3 2 3 2 2 4" xfId="5313" xr:uid="{2D689878-879E-4516-BB81-E8CD1F396EBC}"/>
    <cellStyle name="Normal 3 2 3 2 2 4 2" xfId="5312" xr:uid="{CECB8AE6-128C-49EA-84E7-D0E091A66076}"/>
    <cellStyle name="Normal 3 2 3 2 2 4 2 2" xfId="5311" xr:uid="{4BF24A47-55C5-4006-98B0-062805D9C88C}"/>
    <cellStyle name="Normal 3 2 3 2 2 4 2 2 2" xfId="5310" xr:uid="{6951997C-9D0F-4CCD-A35E-405CF726DBAA}"/>
    <cellStyle name="Normal 3 2 3 2 2 4 2 3" xfId="22029" xr:uid="{A4E1BBC1-1F83-4283-A960-8D0EB72608F9}"/>
    <cellStyle name="Normal 3 2 3 2 2 4 3" xfId="5309" xr:uid="{1793BC11-CD3F-4296-B952-BA9190F0A792}"/>
    <cellStyle name="Normal 3 2 3 2 2 4 3 2" xfId="5307" xr:uid="{BBD7D740-A004-46AB-83E3-CA9A9C13EEA6}"/>
    <cellStyle name="Normal 3 2 3 2 2 4 4" xfId="16927" xr:uid="{1A446A42-25A6-4DBA-AF2A-0AD123264427}"/>
    <cellStyle name="Normal 3 2 3 2 2 5" xfId="5305" xr:uid="{10233F1D-F7F9-4DBA-907D-F2052254E4EB}"/>
    <cellStyle name="Normal 3 2 3 2 2 5 2" xfId="7007" xr:uid="{5AF39EAD-60CF-4FC2-BD8F-A604F942932B}"/>
    <cellStyle name="Normal 3 2 3 2 2 5 2 2" xfId="33643" xr:uid="{B5AEA016-E106-4B97-8E13-684344BDCB23}"/>
    <cellStyle name="Normal 3 2 3 2 2 5 3" xfId="7005" xr:uid="{DBC86AC2-575A-46DD-8BCA-3E1669498C7D}"/>
    <cellStyle name="Normal 3 2 3 2 2 6" xfId="5304" xr:uid="{FC1B0503-10BC-4957-8A2F-3D1645C0D4F8}"/>
    <cellStyle name="Normal 3 2 3 2 2 6 2" xfId="11614" xr:uid="{42410329-969C-41E7-A4E2-284EED8FCB92}"/>
    <cellStyle name="Normal 3 2 3 2 2 7" xfId="11504" xr:uid="{CCF5A6B8-5026-49BF-835D-78F0867BAEA7}"/>
    <cellStyle name="Normal 3 2 3 2 3" xfId="29294" xr:uid="{19D3E357-056D-4355-9656-9FFBD2F60020}"/>
    <cellStyle name="Normal 3 2 3 2 3 2" xfId="5303" xr:uid="{08A41D3E-7974-4AB5-8585-E41062867BAF}"/>
    <cellStyle name="Normal 3 2 3 2 3 2 2" xfId="5302" xr:uid="{6B9F085F-AE4D-4120-95FE-457F7A9EF291}"/>
    <cellStyle name="Normal 3 2 3 2 3 2 2 2" xfId="15149" xr:uid="{E34DC20F-08B2-4D6C-8DE5-1FDC6F2A0054}"/>
    <cellStyle name="Normal 3 2 3 2 3 2 2 2 2" xfId="5301" xr:uid="{5A82D75E-CEB5-4C97-AA75-7397C13A1D77}"/>
    <cellStyle name="Normal 3 2 3 2 3 2 2 2 2 2" xfId="5300" xr:uid="{CF17792C-F2B9-4863-8784-6ECD0AC14B34}"/>
    <cellStyle name="Normal 3 2 3 2 3 2 2 2 3" xfId="5299" xr:uid="{E96774F1-5435-48AC-8C95-0F052CFE9898}"/>
    <cellStyle name="Normal 3 2 3 2 3 2 2 3" xfId="6328" xr:uid="{DB5B00A1-4767-45A3-A410-F7ECCC86A602}"/>
    <cellStyle name="Normal 3 2 3 2 3 2 2 3 2" xfId="24540" xr:uid="{C8108118-2F6A-4098-8085-A218709F8FCA}"/>
    <cellStyle name="Normal 3 2 3 2 3 2 2 4" xfId="5298" xr:uid="{B013DA50-CA53-4E16-9EC5-0037C9E92D65}"/>
    <cellStyle name="Normal 3 2 3 2 3 2 3" xfId="5296" xr:uid="{E04D6FAB-21C8-4AA8-A695-E0020EDD9B82}"/>
    <cellStyle name="Normal 3 2 3 2 3 2 3 2" xfId="5295" xr:uid="{0892308D-A0BC-4F1B-AB33-EF7F465416F2}"/>
    <cellStyle name="Normal 3 2 3 2 3 2 3 2 2" xfId="32804" xr:uid="{3559A63A-AAB3-42BF-9796-E5BE798874CF}"/>
    <cellStyle name="Normal 3 2 3 2 3 2 3 3" xfId="5294" xr:uid="{4B149D63-AB17-49C9-A36D-1BBC30BA0025}"/>
    <cellStyle name="Normal 3 2 3 2 3 2 4" xfId="5292" xr:uid="{C83BD706-053A-4188-A3F4-CEBFD95E7E72}"/>
    <cellStyle name="Normal 3 2 3 2 3 2 4 2" xfId="5291" xr:uid="{517339BE-4371-452C-80DB-CE481409058C}"/>
    <cellStyle name="Normal 3 2 3 2 3 2 5" xfId="5290" xr:uid="{5E204808-9ACA-477F-9500-F0227AB01D6A}"/>
    <cellStyle name="Normal 3 2 3 2 3 3" xfId="5289" xr:uid="{AD4D4295-87FE-4B00-ACAA-468CC042643C}"/>
    <cellStyle name="Normal 3 2 3 2 3 3 2" xfId="7537" xr:uid="{A6CFEC71-E88F-4522-8F64-63AD5A46EB88}"/>
    <cellStyle name="Normal 3 2 3 2 3 3 2 2" xfId="5288" xr:uid="{62F7BEE4-4871-40CA-8F30-1ECE2B93F028}"/>
    <cellStyle name="Normal 3 2 3 2 3 3 2 2 2" xfId="5287" xr:uid="{062F0864-5663-4406-B340-460B637DD959}"/>
    <cellStyle name="Normal 3 2 3 2 3 3 2 3" xfId="5286" xr:uid="{2EC9F471-349E-407F-A81A-06C02CCDC973}"/>
    <cellStyle name="Normal 3 2 3 2 3 3 3" xfId="5284" xr:uid="{A269C919-978E-43A0-99B1-46BE44272F51}"/>
    <cellStyle name="Normal 3 2 3 2 3 3 3 2" xfId="5283" xr:uid="{0D390428-303B-4D71-B62D-A35027585588}"/>
    <cellStyle name="Normal 3 2 3 2 3 3 4" xfId="16871" xr:uid="{5EE3A43F-7A3D-413A-9553-2295919761DE}"/>
    <cellStyle name="Normal 3 2 3 2 3 4" xfId="5282" xr:uid="{BD34FC23-2885-4FF2-BA4E-F93D33868935}"/>
    <cellStyle name="Normal 3 2 3 2 3 4 2" xfId="5281" xr:uid="{BBF3A64B-FEB3-4EBD-92BA-DE160EAEAA48}"/>
    <cellStyle name="Normal 3 2 3 2 3 4 2 2" xfId="5280" xr:uid="{BE72EBF9-BADA-418E-961E-007C97EAEDEE}"/>
    <cellStyle name="Normal 3 2 3 2 3 4 3" xfId="5279" xr:uid="{CDFE03B9-E1B8-4277-AB2D-D39652CC78BA}"/>
    <cellStyle name="Normal 3 2 3 2 3 5" xfId="5277" xr:uid="{A57CC029-0B7B-4BA3-914A-C6849D3F3DA2}"/>
    <cellStyle name="Normal 3 2 3 2 3 5 2" xfId="6997" xr:uid="{14C18C96-BC36-42E2-9E0E-97E02AC37469}"/>
    <cellStyle name="Normal 3 2 3 2 3 6" xfId="5276" xr:uid="{EA19D7A1-E428-42D0-93EC-3AAE1B1D9477}"/>
    <cellStyle name="Normal 3 2 3 2 4" xfId="27956" xr:uid="{F178DF4D-CE68-43C3-9C44-D46C53F560E0}"/>
    <cellStyle name="Normal 3 2 3 2 4 2" xfId="5275" xr:uid="{3D133D4B-B14D-45BD-9CFC-4CD0DF61E3DD}"/>
    <cellStyle name="Normal 3 2 3 2 4 2 2" xfId="5274" xr:uid="{1E1594DB-18C5-4F17-9581-18EB11538229}"/>
    <cellStyle name="Normal 3 2 3 2 4 2 2 2" xfId="5273" xr:uid="{1924CBFE-8DF3-4ABC-B45B-14A9D5C2E264}"/>
    <cellStyle name="Normal 3 2 3 2 4 2 2 2 2" xfId="21202" xr:uid="{97B75220-B5A4-4696-A2E3-BC7D091425D6}"/>
    <cellStyle name="Normal 3 2 3 2 4 2 2 3" xfId="5272" xr:uid="{2E914C3B-4F15-40A0-A9CC-844832317D36}"/>
    <cellStyle name="Normal 3 2 3 2 4 2 3" xfId="5270" xr:uid="{23EF2C7B-7D8C-4253-9799-210CC7150A34}"/>
    <cellStyle name="Normal 3 2 3 2 4 2 3 2" xfId="5269" xr:uid="{30771661-4E57-4FEE-83E6-9630CC285515}"/>
    <cellStyle name="Normal 3 2 3 2 4 2 4" xfId="8063" xr:uid="{24E38B1A-0E48-440D-9C5D-9E9C1668B865}"/>
    <cellStyle name="Normal 3 2 3 2 4 3" xfId="5268" xr:uid="{89DA5BBF-6BF3-4BA7-A87F-38CE207A9676}"/>
    <cellStyle name="Normal 3 2 3 2 4 3 2" xfId="5267" xr:uid="{E0368AAF-441E-41B3-AD64-8FA8CD1B9814}"/>
    <cellStyle name="Normal 3 2 3 2 4 3 2 2" xfId="28476" xr:uid="{F8995B2E-C20C-47EA-BBF7-4ACE072F1FA2}"/>
    <cellStyle name="Normal 3 2 3 2 4 3 3" xfId="5266" xr:uid="{101A4A2C-0D2E-4B98-B5D4-DB9367B617CD}"/>
    <cellStyle name="Normal 3 2 3 2 4 4" xfId="5265" xr:uid="{3758B590-497D-4FCB-8F9B-46A766F9F2B4}"/>
    <cellStyle name="Normal 3 2 3 2 4 4 2" xfId="5264" xr:uid="{106E5B78-02D8-4B8B-8A96-BC374847688C}"/>
    <cellStyle name="Normal 3 2 3 2 4 5" xfId="5263" xr:uid="{5296A65B-B772-4A31-B5C4-393C7C74A9B4}"/>
    <cellStyle name="Normal 3 2 3 2 5" xfId="23787" xr:uid="{68C7240D-3FFD-4EA5-96E5-3146E167E7B7}"/>
    <cellStyle name="Normal 3 2 3 2 5 2" xfId="12488" xr:uid="{B093EF5B-491B-4C46-AAA2-D7A6ED9AD67C}"/>
    <cellStyle name="Normal 3 2 3 2 5 2 2" xfId="7491" xr:uid="{086C5EBA-016B-4891-B7F0-E026DAB149DA}"/>
    <cellStyle name="Normal 3 2 3 2 5 2 2 2" xfId="5262" xr:uid="{B6CCA69C-7F7B-44A7-97C5-4533632D811C}"/>
    <cellStyle name="Normal 3 2 3 2 5 2 3" xfId="6109" xr:uid="{BE6F6930-1E88-405E-8627-DD2A78E333E4}"/>
    <cellStyle name="Normal 3 2 3 2 5 3" xfId="6107" xr:uid="{C7B992CE-BF4B-4A94-B555-3398005194D9}"/>
    <cellStyle name="Normal 3 2 3 2 5 3 2" xfId="6105" xr:uid="{F36B6F4F-FD32-4A5F-B807-65C88AC278F1}"/>
    <cellStyle name="Normal 3 2 3 2 5 4" xfId="22479" xr:uid="{8DD5DD81-DD5F-4EDA-8E43-D146BCED28C6}"/>
    <cellStyle name="Normal 3 2 3 2 6" xfId="8154" xr:uid="{FAE4433D-6BEC-46D8-89A8-0DC42CD5AB17}"/>
    <cellStyle name="Normal 3 2 3 2 6 2" xfId="15962" xr:uid="{C4E6CFFE-9736-4A19-A13D-DD8E5A87DB8A}"/>
    <cellStyle name="Normal 3 2 3 2 6 2 2" xfId="15958" xr:uid="{8032A58A-5D87-4AAF-BB4B-76D60225B5D8}"/>
    <cellStyle name="Normal 3 2 3 2 6 3" xfId="15955" xr:uid="{F3330EAA-50CB-478B-987D-E284BB407B6C}"/>
    <cellStyle name="Normal 3 2 3 2 7" xfId="6102" xr:uid="{33DEC067-99DD-4225-8ADB-96457C678998}"/>
    <cellStyle name="Normal 3 2 3 2 7 2" xfId="15939" xr:uid="{82081170-415F-49C5-9369-837D70C3C90C}"/>
    <cellStyle name="Normal 3 2 3 2 8" xfId="6098" xr:uid="{F20B6BB9-FE47-4448-96EB-59F3080CDB2B}"/>
    <cellStyle name="Normal 3 2 3 3" xfId="5261" xr:uid="{817269BD-C51B-4591-9A02-B6FB20A25091}"/>
    <cellStyle name="Normal 3 2 3 3 2" xfId="5260" xr:uid="{CE428EEB-E96C-4FD9-9EB4-1729E367D59B}"/>
    <cellStyle name="Normal 3 2 3 3 2 2" xfId="9660" xr:uid="{BCC786C4-C8F6-491C-81F1-7F6AAED2D56F}"/>
    <cellStyle name="Normal 3 2 3 3 2 2 2" xfId="21047" xr:uid="{E55CC601-245B-4426-9812-6455EECD8D75}"/>
    <cellStyle name="Normal 3 2 3 3 2 2 2 2" xfId="5259" xr:uid="{469A6B08-1C96-419B-BF72-FDED6BD8EDE3}"/>
    <cellStyle name="Normal 3 2 3 3 2 2 2 2 2" xfId="5258" xr:uid="{B84353E9-88F4-4294-B590-4D9FA7D22C0A}"/>
    <cellStyle name="Normal 3 2 3 3 2 2 2 2 2 2" xfId="5257" xr:uid="{8C5B7222-17EB-4825-B0C6-DBE6DFF56D47}"/>
    <cellStyle name="Normal 3 2 3 3 2 2 2 2 3" xfId="5256" xr:uid="{5DE3DEDB-BD6A-4CFE-8737-78231E964EE9}"/>
    <cellStyle name="Normal 3 2 3 3 2 2 2 3" xfId="6312" xr:uid="{F2DF9806-2A91-425E-B36F-5EFD42332FAE}"/>
    <cellStyle name="Normal 3 2 3 3 2 2 2 3 2" xfId="21616" xr:uid="{F482F6AC-DA10-471D-A336-D4F253BA301E}"/>
    <cellStyle name="Normal 3 2 3 3 2 2 2 4" xfId="5255" xr:uid="{1A5B0DF7-836E-4A24-AF7B-9B9E85BD5817}"/>
    <cellStyle name="Normal 3 2 3 3 2 2 3" xfId="5254" xr:uid="{660AFB97-7532-4031-AA58-35CE3A3653D1}"/>
    <cellStyle name="Normal 3 2 3 3 2 2 3 2" xfId="5253" xr:uid="{FF49550A-918D-46D7-87BF-5D2D7FD3EAD9}"/>
    <cellStyle name="Normal 3 2 3 3 2 2 3 2 2" xfId="5252" xr:uid="{24C911F7-071D-443D-B087-387B30CD0B42}"/>
    <cellStyle name="Normal 3 2 3 3 2 2 3 3" xfId="5251" xr:uid="{16853987-204C-4FD4-9F0B-991B23F9833F}"/>
    <cellStyle name="Normal 3 2 3 3 2 2 4" xfId="24276" xr:uid="{E88C661B-6EA8-4C83-A4CA-62E24BCBAFFA}"/>
    <cellStyle name="Normal 3 2 3 3 2 2 4 2" xfId="5250" xr:uid="{81BB31B5-6A4D-4B8A-88A7-679FEFDB00B8}"/>
    <cellStyle name="Normal 3 2 3 3 2 2 5" xfId="24274" xr:uid="{C5CC6798-CAFB-45CD-9363-9A675A8FA242}"/>
    <cellStyle name="Normal 3 2 3 3 2 3" xfId="5249" xr:uid="{0CA7D078-6193-4457-9238-8B66277162CD}"/>
    <cellStyle name="Normal 3 2 3 3 2 3 2" xfId="5248" xr:uid="{B8BF2091-0F67-45D7-848F-B2E80E93A4BE}"/>
    <cellStyle name="Normal 3 2 3 3 2 3 2 2" xfId="5247" xr:uid="{1FEE8607-2FD1-4CA5-996C-7533CDE12547}"/>
    <cellStyle name="Normal 3 2 3 3 2 3 2 2 2" xfId="12685" xr:uid="{2A749D34-CA3A-457F-A767-6058D76486BA}"/>
    <cellStyle name="Normal 3 2 3 3 2 3 2 3" xfId="5246" xr:uid="{922BBE89-57A5-4F6A-8B29-7076BBBB29B9}"/>
    <cellStyle name="Normal 3 2 3 3 2 3 3" xfId="5245" xr:uid="{444B8AB4-D338-4DCD-8E33-B939145627AE}"/>
    <cellStyle name="Normal 3 2 3 3 2 3 3 2" xfId="5244" xr:uid="{6705078E-F963-4579-B186-3527CF6FAE26}"/>
    <cellStyle name="Normal 3 2 3 3 2 3 4" xfId="24270" xr:uid="{ECAF6619-E337-4FA0-9A6C-A6A49B643A4B}"/>
    <cellStyle name="Normal 3 2 3 3 2 4" xfId="5243" xr:uid="{64F63C4A-F348-4206-8D43-79AD8CCEDD4D}"/>
    <cellStyle name="Normal 3 2 3 3 2 4 2" xfId="5242" xr:uid="{274511AD-CD3B-4274-B285-A40A373E64AB}"/>
    <cellStyle name="Normal 3 2 3 3 2 4 2 2" xfId="5241" xr:uid="{F88BF59F-9269-4B11-88D8-CD9B0F1BF47E}"/>
    <cellStyle name="Normal 3 2 3 3 2 4 3" xfId="33749" xr:uid="{13CD870C-D716-453A-A7E0-5597C68BFA8B}"/>
    <cellStyle name="Normal 3 2 3 3 2 5" xfId="5240" xr:uid="{E01F3BA3-43E5-4188-B99A-B6A0B7029903}"/>
    <cellStyle name="Normal 3 2 3 3 2 5 2" xfId="6985" xr:uid="{AD9FF1A6-22A5-416F-9902-47E8B32E15F4}"/>
    <cellStyle name="Normal 3 2 3 3 2 6" xfId="15966" xr:uid="{69A91743-899A-4B96-8473-77E61363F5C3}"/>
    <cellStyle name="Normal 3 2 3 3 3" xfId="5239" xr:uid="{182B6428-0D5A-458E-8288-F94C44963EE4}"/>
    <cellStyle name="Normal 3 2 3 3 3 2" xfId="5238" xr:uid="{37C21974-76C5-4D31-884C-893E24BDE05A}"/>
    <cellStyle name="Normal 3 2 3 3 3 2 2" xfId="5237" xr:uid="{A13EDAD6-E7DA-4A71-918E-0616B59A7757}"/>
    <cellStyle name="Normal 3 2 3 3 3 2 2 2" xfId="5236" xr:uid="{AD1B7A09-3CDC-44DA-BE0E-053A15CBB5D0}"/>
    <cellStyle name="Normal 3 2 3 3 3 2 2 2 2" xfId="5235" xr:uid="{B2AFC214-B511-41D4-A4FA-FA9B890FBFFB}"/>
    <cellStyle name="Normal 3 2 3 3 3 2 2 3" xfId="5234" xr:uid="{682F8681-8A08-4DBC-8707-631807FBAF60}"/>
    <cellStyle name="Normal 3 2 3 3 3 2 3" xfId="5232" xr:uid="{C5F2A35D-83A9-499F-8BED-3EA82CBA09BE}"/>
    <cellStyle name="Normal 3 2 3 3 3 2 3 2" xfId="5231" xr:uid="{62C8149F-D1AA-4EE0-B852-7D0C45EDA7AD}"/>
    <cellStyle name="Normal 3 2 3 3 3 2 4" xfId="24265" xr:uid="{9F346658-85F9-4DAF-B8D1-9CB511965A98}"/>
    <cellStyle name="Normal 3 2 3 3 3 3" xfId="5230" xr:uid="{64D391E7-12BB-415E-AE3C-8280DABE7615}"/>
    <cellStyle name="Normal 3 2 3 3 3 3 2" xfId="5229" xr:uid="{1403B971-DC47-427B-B68E-7B318A197AA5}"/>
    <cellStyle name="Normal 3 2 3 3 3 3 2 2" xfId="5228" xr:uid="{7CAC59F4-F39F-4379-970C-88E9226FFC79}"/>
    <cellStyle name="Normal 3 2 3 3 3 3 3" xfId="5227" xr:uid="{BF6C33C1-E980-4D8B-8EF4-1DE09369A967}"/>
    <cellStyle name="Normal 3 2 3 3 3 4" xfId="5226" xr:uid="{DAE1F563-F277-43A0-A9DB-D3E6ABFACD07}"/>
    <cellStyle name="Normal 3 2 3 3 3 4 2" xfId="5225" xr:uid="{86D230C2-F108-4557-ADF9-17567ECA3EBC}"/>
    <cellStyle name="Normal 3 2 3 3 3 5" xfId="5224" xr:uid="{F8D2F380-FFAC-4B5E-82DE-5CEBB39783C2}"/>
    <cellStyle name="Normal 3 2 3 3 4" xfId="5223" xr:uid="{F80228F0-1234-4325-9D40-06C1906170CD}"/>
    <cellStyle name="Normal 3 2 3 3 4 2" xfId="5222" xr:uid="{3AFFC52B-50EE-4867-A860-93D517EB6286}"/>
    <cellStyle name="Normal 3 2 3 3 4 2 2" xfId="5221" xr:uid="{DE4D73E6-3A9C-479A-936E-B47361E08927}"/>
    <cellStyle name="Normal 3 2 3 3 4 2 2 2" xfId="5220" xr:uid="{B8659E65-6549-4BA9-AAA7-C1A0D01C18CA}"/>
    <cellStyle name="Normal 3 2 3 3 4 2 3" xfId="5219" xr:uid="{6F57FF37-A2BC-46FF-83AC-56294B68EA83}"/>
    <cellStyle name="Normal 3 2 3 3 4 3" xfId="5218" xr:uid="{E948306C-705B-4D37-81A9-875D0E74F3B8}"/>
    <cellStyle name="Normal 3 2 3 3 4 3 2" xfId="5217" xr:uid="{CEC5F95F-7779-4DB5-979A-0ACBEA4D6B13}"/>
    <cellStyle name="Normal 3 2 3 3 4 4" xfId="5216" xr:uid="{FDA3961F-D2E0-49AF-9EAA-D97A5BA899A4}"/>
    <cellStyle name="Normal 3 2 3 3 5" xfId="27461" xr:uid="{098C8F17-43A9-4F87-A89D-FC144A2038F2}"/>
    <cellStyle name="Normal 3 2 3 3 5 2" xfId="17600" xr:uid="{E48046EB-9331-43E0-964F-40C541BC0694}"/>
    <cellStyle name="Normal 3 2 3 3 5 2 2" xfId="12657" xr:uid="{01CB152C-25C9-4F4B-8DEB-41B376BF4105}"/>
    <cellStyle name="Normal 3 2 3 3 5 3" xfId="17593" xr:uid="{0EE2A8F1-F1FD-42A9-8BC9-4A5F8EFAF74B}"/>
    <cellStyle name="Normal 3 2 3 3 6" xfId="17585" xr:uid="{70E913E5-4765-45AD-916C-A9C0B0E4AFC6}"/>
    <cellStyle name="Normal 3 2 3 3 6 2" xfId="17581" xr:uid="{6B97D627-AC60-42AA-A70C-AA277778EC07}"/>
    <cellStyle name="Normal 3 2 3 3 7" xfId="27662" xr:uid="{57056887-BE70-4342-91B8-5027CE237972}"/>
    <cellStyle name="Normal 3 2 3 4" xfId="5215" xr:uid="{EF2D0CC4-ADFC-4934-B73E-7BE402B8F958}"/>
    <cellStyle name="Normal 3 2 3 4 2" xfId="5214" xr:uid="{A5C0EBD6-4F31-40F4-BCEF-30A5C51878D9}"/>
    <cellStyle name="Normal 3 2 3 4 2 2" xfId="5213" xr:uid="{8BC919E8-93AD-442F-9D44-3E0EF1ABC9C4}"/>
    <cellStyle name="Normal 3 2 3 4 2 2 2" xfId="5212" xr:uid="{98E4E55C-546C-4AE4-8483-5DB9303263B9}"/>
    <cellStyle name="Normal 3 2 3 4 2 2 2 2" xfId="5211" xr:uid="{FAA337BC-D32C-41D4-937E-BF01D3ED2CA1}"/>
    <cellStyle name="Normal 3 2 3 4 2 2 2 2 2" xfId="5210" xr:uid="{50FF1A6F-024D-44D7-AC3F-7E626010E6F8}"/>
    <cellStyle name="Normal 3 2 3 4 2 2 2 3" xfId="19681" xr:uid="{09A93195-4FEC-447D-AB05-24E239EC98CE}"/>
    <cellStyle name="Normal 3 2 3 4 2 2 3" xfId="26524" xr:uid="{42FD3C87-1654-49EF-BD89-300F6C3415FB}"/>
    <cellStyle name="Normal 3 2 3 4 2 2 3 2" xfId="5209" xr:uid="{CD37F1CF-4871-4AC3-9407-BE302D05677B}"/>
    <cellStyle name="Normal 3 2 3 4 2 2 4" xfId="24250" xr:uid="{4B6232F4-B605-4061-BB09-D002B23577E3}"/>
    <cellStyle name="Normal 3 2 3 4 2 3" xfId="27682" xr:uid="{A0C68993-0F61-400C-94AD-CAABD5467211}"/>
    <cellStyle name="Normal 3 2 3 4 2 3 2" xfId="11475" xr:uid="{5DB1E839-7533-495E-897F-AB5EABA321F1}"/>
    <cellStyle name="Normal 3 2 3 4 2 3 2 2" xfId="5208" xr:uid="{DF3F7B2F-5D7B-4F17-93CC-021ACF9CC6C8}"/>
    <cellStyle name="Normal 3 2 3 4 2 3 3" xfId="11468" xr:uid="{11689E58-A8DE-48F2-90E6-A9826D4041A2}"/>
    <cellStyle name="Normal 3 2 3 4 2 4" xfId="5207" xr:uid="{A0610AD4-C63E-4644-B299-8BD45EB47C0E}"/>
    <cellStyle name="Normal 3 2 3 4 2 4 2" xfId="11433" xr:uid="{77B9F4DB-C4E2-4318-8B39-88634A7EEDB6}"/>
    <cellStyle name="Normal 3 2 3 4 2 5" xfId="5206" xr:uid="{B366998F-F40A-4A52-97BB-D2704B856A2F}"/>
    <cellStyle name="Normal 3 2 3 4 3" xfId="31907" xr:uid="{8FD453A5-D725-4AB9-8D34-9C056DE1A625}"/>
    <cellStyle name="Normal 3 2 3 4 3 2" xfId="5205" xr:uid="{8A44F729-BCB3-4AAC-90B7-FCE0BAC75F70}"/>
    <cellStyle name="Normal 3 2 3 4 3 2 2" xfId="5203" xr:uid="{AA32B351-8833-4451-BF25-8F21FB521846}"/>
    <cellStyle name="Normal 3 2 3 4 3 2 2 2" xfId="5201" xr:uid="{D5465ACD-AD9D-4D72-9662-870ED588C141}"/>
    <cellStyle name="Normal 3 2 3 4 3 2 3" xfId="5199" xr:uid="{FDAF7BAE-61F6-4D7A-995B-11FE46E78F2F}"/>
    <cellStyle name="Normal 3 2 3 4 3 3" xfId="5197" xr:uid="{6AB13882-F78F-460A-9F76-E92AB087DB1B}"/>
    <cellStyle name="Normal 3 2 3 4 3 3 2" xfId="11391" xr:uid="{5CD8B38F-8F39-4B9B-A47E-5D72D9378D5D}"/>
    <cellStyle name="Normal 3 2 3 4 3 4" xfId="5195" xr:uid="{BDF92054-DEFB-4571-8F94-4924586FA646}"/>
    <cellStyle name="Normal 3 2 3 4 4" xfId="5193" xr:uid="{539F6F44-41B9-495C-B2FD-EC71428CE29E}"/>
    <cellStyle name="Normal 3 2 3 4 4 2" xfId="5192" xr:uid="{378C20F1-0733-4476-93EF-8FC277CE1827}"/>
    <cellStyle name="Normal 3 2 3 4 4 2 2" xfId="5189" xr:uid="{5E22004D-16DB-44B6-9784-407E476D4D2C}"/>
    <cellStyle name="Normal 3 2 3 4 4 3" xfId="5186" xr:uid="{4CD25001-BFD0-4CE5-93CF-99B53A522AD8}"/>
    <cellStyle name="Normal 3 2 3 4 5" xfId="17553" xr:uid="{E4339B74-61EE-4928-9BC5-4166BB6D20A4}"/>
    <cellStyle name="Normal 3 2 3 4 5 2" xfId="17549" xr:uid="{706A207E-3580-4348-BE7B-76772AF67A3D}"/>
    <cellStyle name="Normal 3 2 3 4 6" xfId="17538" xr:uid="{FCC430F4-AF38-4510-9348-7FD89B6D23D8}"/>
    <cellStyle name="Normal 3 2 3 5" xfId="5183" xr:uid="{7767EDF7-DC28-495A-80C2-829653CBADE9}"/>
    <cellStyle name="Normal 3 2 3 5 2" xfId="5182" xr:uid="{48B0A479-9DD9-4878-B005-68D4A639808C}"/>
    <cellStyle name="Normal 3 2 3 5 2 2" xfId="5181" xr:uid="{08227968-4C5D-47B6-A1B9-53069FE0C4EB}"/>
    <cellStyle name="Normal 3 2 3 5 2 2 2" xfId="5180" xr:uid="{6F752D8F-CC38-4481-A2AA-90E93016A794}"/>
    <cellStyle name="Normal 3 2 3 5 2 2 2 2" xfId="5179" xr:uid="{CA8639FC-CBC6-47F0-B1C1-9E4D3785E3AD}"/>
    <cellStyle name="Normal 3 2 3 5 2 2 3" xfId="5178" xr:uid="{A7EA319B-3F03-4470-B272-E7EA7838B61F}"/>
    <cellStyle name="Normal 3 2 3 5 2 3" xfId="5177" xr:uid="{79A641DB-0C65-4875-AC7C-F5738BEED017}"/>
    <cellStyle name="Normal 3 2 3 5 2 3 2" xfId="11247" xr:uid="{82E8FAB3-0A78-46E5-AAF2-173B0958F659}"/>
    <cellStyle name="Normal 3 2 3 5 2 4" xfId="5176" xr:uid="{1C17C6F0-73F2-4DD3-9666-FCDFD471774E}"/>
    <cellStyle name="Normal 3 2 3 5 3" xfId="5175" xr:uid="{614AE491-8363-41CA-BE8C-639ED2014EE1}"/>
    <cellStyle name="Normal 3 2 3 5 3 2" xfId="5174" xr:uid="{F7AFB7EF-72F5-4DC1-A3BE-8C88743B189C}"/>
    <cellStyle name="Normal 3 2 3 5 3 2 2" xfId="5172" xr:uid="{B3FF79E0-D3CA-4C56-9D7F-52DA5E20FF39}"/>
    <cellStyle name="Normal 3 2 3 5 3 3" xfId="5170" xr:uid="{06AAEF82-A7CF-4963-AB45-642420BA659D}"/>
    <cellStyle name="Normal 3 2 3 5 4" xfId="7160" xr:uid="{42F7E55B-AF4E-48A6-A927-4B8318D579F2}"/>
    <cellStyle name="Normal 3 2 3 5 4 2" xfId="5168" xr:uid="{E36251EF-7B3A-41E3-A057-A86F0FB04794}"/>
    <cellStyle name="Normal 3 2 3 5 5" xfId="17520" xr:uid="{058E7182-31C8-43FE-9253-FB3112734C03}"/>
    <cellStyle name="Normal 3 2 3 6" xfId="5165" xr:uid="{A04B523F-6FA4-4FA9-A107-F9C065AD73FF}"/>
    <cellStyle name="Normal 3 2 3 6 2" xfId="25900" xr:uid="{2D2D21D8-E104-410C-9F05-3533AB7C6FDD}"/>
    <cellStyle name="Normal 3 2 3 6 2 2" xfId="5164" xr:uid="{E919BD71-AAA5-482A-A499-8D94F6DE406C}"/>
    <cellStyle name="Normal 3 2 3 6 2 2 2" xfId="5163" xr:uid="{40F731EB-87BC-4D84-98DC-A58184875A0C}"/>
    <cellStyle name="Normal 3 2 3 6 2 3" xfId="5162" xr:uid="{228D9663-7AAD-479C-B6DB-CD70AB69F888}"/>
    <cellStyle name="Normal 3 2 3 6 3" xfId="31647" xr:uid="{4E465C34-C018-452A-B913-631683ABED7E}"/>
    <cellStyle name="Normal 3 2 3 6 3 2" xfId="5161" xr:uid="{49102C02-E5FC-43F6-9661-1613E7D456AD}"/>
    <cellStyle name="Normal 3 2 3 6 4" xfId="5159" xr:uid="{F6FE1725-058D-4E44-AC8A-1115529CEA1F}"/>
    <cellStyle name="Normal 3 2 3 7" xfId="5158" xr:uid="{A4DC8DDA-3D60-46D3-A882-1002D4C06B6D}"/>
    <cellStyle name="Normal 3 2 3 7 2" xfId="8074" xr:uid="{A6186657-9131-4A3D-AB98-9037E0AD3C3C}"/>
    <cellStyle name="Normal 3 2 3 7 2 2" xfId="5157" xr:uid="{739778E7-A875-4CA6-976D-D31C400FFC5D}"/>
    <cellStyle name="Normal 3 2 3 7 3" xfId="5156" xr:uid="{582A9840-E44A-4459-8A87-8AE2B379DE8D}"/>
    <cellStyle name="Normal 3 2 3 8" xfId="5155" xr:uid="{4C757096-BBFD-49AC-AF5D-F019492A97FC}"/>
    <cellStyle name="Normal 3 2 3 8 2" xfId="5154" xr:uid="{1E7E5953-9597-4690-9272-E69F920909AB}"/>
    <cellStyle name="Normal 3 2 3 9" xfId="5153" xr:uid="{E2ADE7B9-018F-410F-8979-4575FE32D7FA}"/>
    <cellStyle name="Normal 3 2 4" xfId="32841" xr:uid="{1982109E-0055-41C7-BBD1-69DAC9FE7D20}"/>
    <cellStyle name="Normal 3 2 4 2" xfId="33171" xr:uid="{7BE6B983-BE26-45BB-B09A-E6E8827BBA39}"/>
    <cellStyle name="Normal 3 2 4 2 2" xfId="30411" xr:uid="{39646D23-A3B2-4EAF-90DB-20A0C7FA2E7C}"/>
    <cellStyle name="Normal 3 2 4 2 2 2" xfId="30396" xr:uid="{316AB7B9-541C-4532-8E04-A260BBCC91AA}"/>
    <cellStyle name="Normal 3 2 4 2 2 2 2" xfId="5152" xr:uid="{9DC708C3-5709-4317-869A-CB962FAA28FC}"/>
    <cellStyle name="Normal 3 2 4 2 2 2 2 2" xfId="5151" xr:uid="{DECFB429-BDD7-4328-AFE8-9FBC7F71D914}"/>
    <cellStyle name="Normal 3 2 4 2 2 2 2 2 2" xfId="5150" xr:uid="{82A65E78-C446-4893-8B5A-EEAC32281951}"/>
    <cellStyle name="Normal 3 2 4 2 2 2 2 2 2 2" xfId="28430" xr:uid="{4A240DEB-332D-4079-91CB-CCBF14B3EDA0}"/>
    <cellStyle name="Normal 3 2 4 2 2 2 2 2 3" xfId="5149" xr:uid="{C96FAC25-6BBB-4A0F-A166-02F9F06053D6}"/>
    <cellStyle name="Normal 3 2 4 2 2 2 2 3" xfId="13289" xr:uid="{339879A8-6A17-415B-BD84-3A8152050F1E}"/>
    <cellStyle name="Normal 3 2 4 2 2 2 2 3 2" xfId="16800" xr:uid="{119BBD2A-3543-400B-B383-85D537BB0E7E}"/>
    <cellStyle name="Normal 3 2 4 2 2 2 2 4" xfId="5148" xr:uid="{C9AB5A8E-0B89-43A6-91E2-4D0C643FE59B}"/>
    <cellStyle name="Normal 3 2 4 2 2 2 3" xfId="5147" xr:uid="{03F4D5F2-13AD-452B-B5FD-59E9F1E35408}"/>
    <cellStyle name="Normal 3 2 4 2 2 2 3 2" xfId="5146" xr:uid="{B0E9D930-D887-4A0B-825E-E0FD2E312EAA}"/>
    <cellStyle name="Normal 3 2 4 2 2 2 3 2 2" xfId="5145" xr:uid="{7A289346-5954-43CA-B5B3-6515E3D02CD8}"/>
    <cellStyle name="Normal 3 2 4 2 2 2 3 3" xfId="5143" xr:uid="{6AFF47F2-F009-437D-B436-CCB44739D482}"/>
    <cellStyle name="Normal 3 2 4 2 2 2 4" xfId="5142" xr:uid="{E21DBC51-CF10-4C41-87EF-5E2CCD8B3AF1}"/>
    <cellStyle name="Normal 3 2 4 2 2 2 4 2" xfId="5141" xr:uid="{5A126D90-AF28-409A-A900-0DEA63FABE5E}"/>
    <cellStyle name="Normal 3 2 4 2 2 2 5" xfId="5140" xr:uid="{C2946343-42BC-42D8-BDD7-4FAF389C232B}"/>
    <cellStyle name="Normal 3 2 4 2 2 3" xfId="30377" xr:uid="{55E55E52-9ED2-4B8F-869D-D5943628E571}"/>
    <cellStyle name="Normal 3 2 4 2 2 3 2" xfId="5139" xr:uid="{81FE2D04-AF19-4408-843B-B02DA4F15611}"/>
    <cellStyle name="Normal 3 2 4 2 2 3 2 2" xfId="5138" xr:uid="{F5871DD9-29A4-4005-A84B-28B05193E905}"/>
    <cellStyle name="Normal 3 2 4 2 2 3 2 2 2" xfId="5137" xr:uid="{63BD3416-A44D-4E3F-AEE4-99D0BC7EB425}"/>
    <cellStyle name="Normal 3 2 4 2 2 3 2 3" xfId="5136" xr:uid="{FC701D11-4A9D-40E5-9BEC-237D5BC8082B}"/>
    <cellStyle name="Normal 3 2 4 2 2 3 3" xfId="32453" xr:uid="{B810C5DF-B637-4FD7-B378-B03021E091F7}"/>
    <cellStyle name="Normal 3 2 4 2 2 3 3 2" xfId="5135" xr:uid="{43683803-30A8-4E07-9EF5-689E08C15BC6}"/>
    <cellStyle name="Normal 3 2 4 2 2 3 4" xfId="14819" xr:uid="{06BB97BA-28C3-487B-B897-B26AB8AB048D}"/>
    <cellStyle name="Normal 3 2 4 2 2 4" xfId="30375" xr:uid="{805DACDF-7867-4DA4-8F58-BBBA31F76983}"/>
    <cellStyle name="Normal 3 2 4 2 2 4 2" xfId="5134" xr:uid="{F3DDAA28-04F2-4D23-AB69-F09364E9A8B1}"/>
    <cellStyle name="Normal 3 2 4 2 2 4 2 2" xfId="5133" xr:uid="{B18ABD4A-D771-4F43-AA9D-F21AF2B856D5}"/>
    <cellStyle name="Normal 3 2 4 2 2 4 3" xfId="32697" xr:uid="{5208BF0E-8DA4-4B7E-A2D2-09089DBC6196}"/>
    <cellStyle name="Normal 3 2 4 2 2 5" xfId="30500" xr:uid="{4C21AE3B-F333-4867-A28B-F27A5530625B}"/>
    <cellStyle name="Normal 3 2 4 2 2 5 2" xfId="33879" xr:uid="{F12A2892-37CC-4AD7-A844-C128BCF4C5EA}"/>
    <cellStyle name="Normal 3 2 4 2 2 6" xfId="30908" xr:uid="{3C8605E7-3879-4C6B-8705-4C352C2D8C74}"/>
    <cellStyle name="Normal 3 2 4 2 3" xfId="30373" xr:uid="{3B6756DC-9026-417B-A41F-932A417AF66A}"/>
    <cellStyle name="Normal 3 2 4 2 3 2" xfId="30360" xr:uid="{4A0203FA-EED2-4B7F-BB9F-868E55F70DCF}"/>
    <cellStyle name="Normal 3 2 4 2 3 2 2" xfId="19628" xr:uid="{170F3A8D-1C6D-4625-B452-96A19442BC67}"/>
    <cellStyle name="Normal 3 2 4 2 3 2 2 2" xfId="5132" xr:uid="{F33AD3E0-9FCB-45E2-BFDC-E48E47919D42}"/>
    <cellStyle name="Normal 3 2 4 2 3 2 2 2 2" xfId="5130" xr:uid="{D7E2B33D-F197-43EE-A0B1-F524BE52148F}"/>
    <cellStyle name="Normal 3 2 4 2 3 2 2 3" xfId="5129" xr:uid="{051EE763-43F3-410D-8B09-4BB14BABC948}"/>
    <cellStyle name="Normal 3 2 4 2 3 2 3" xfId="5128" xr:uid="{A3308E58-E1ED-462C-AC98-E7AEDC879B9C}"/>
    <cellStyle name="Normal 3 2 4 2 3 2 3 2" xfId="5127" xr:uid="{FB186844-7996-46C9-BD57-BBAAC82FCE75}"/>
    <cellStyle name="Normal 3 2 4 2 3 2 4" xfId="5126" xr:uid="{71A1E47A-068F-40A9-8B95-08CC3EB74FBB}"/>
    <cellStyle name="Normal 3 2 4 2 3 3" xfId="30332" xr:uid="{9B2AC233-21B7-4969-A228-E221B4C39F67}"/>
    <cellStyle name="Normal 3 2 4 2 3 3 2" xfId="5125" xr:uid="{2E6BD018-E280-4FCE-B961-A0B148782948}"/>
    <cellStyle name="Normal 3 2 4 2 3 3 2 2" xfId="5124" xr:uid="{F0DB0DA3-F481-4FF3-9BBB-604A539E12EA}"/>
    <cellStyle name="Normal 3 2 4 2 3 3 3" xfId="32980" xr:uid="{5D6CDE48-E5F6-4F2D-8EF5-5F2BA6893E78}"/>
    <cellStyle name="Normal 3 2 4 2 3 4" xfId="30330" xr:uid="{86EF190F-E032-44CF-9DB8-EBD775CBFF29}"/>
    <cellStyle name="Normal 3 2 4 2 3 4 2" xfId="5123" xr:uid="{87C989E3-7BE5-467C-A510-1E9BFDAB1C7F}"/>
    <cellStyle name="Normal 3 2 4 2 3 5" xfId="32575" xr:uid="{869C8E40-D0C4-491C-A077-267229862E7B}"/>
    <cellStyle name="Normal 3 2 4 2 4" xfId="31308" xr:uid="{28489139-0CE0-412D-9822-4BEEF02B4BC4}"/>
    <cellStyle name="Normal 3 2 4 2 4 2" xfId="28304" xr:uid="{73F169E7-E676-4E10-B81B-43A6D12B85FB}"/>
    <cellStyle name="Normal 3 2 4 2 4 2 2" xfId="5122" xr:uid="{B680FCB1-564A-4649-96C6-DC9F39AA8112}"/>
    <cellStyle name="Normal 3 2 4 2 4 2 2 2" xfId="5120" xr:uid="{FE2DC78B-EE85-44D7-8EBF-F2ED8138C538}"/>
    <cellStyle name="Normal 3 2 4 2 4 2 3" xfId="5119" xr:uid="{17A98269-E032-4A67-9D0A-DDE4942742F0}"/>
    <cellStyle name="Normal 3 2 4 2 4 3" xfId="11769" xr:uid="{34C082E5-3CF7-4C87-BAB0-56A319A8E33F}"/>
    <cellStyle name="Normal 3 2 4 2 4 3 2" xfId="11764" xr:uid="{3FED4C8C-E5F8-492C-8A8D-A00B02C75347}"/>
    <cellStyle name="Normal 3 2 4 2 4 4" xfId="11760" xr:uid="{409F2941-1484-4025-86A4-19273DF1173A}"/>
    <cellStyle name="Normal 3 2 4 2 5" xfId="25135" xr:uid="{31D7A5BA-FD3B-4787-8430-A836F5E631DF}"/>
    <cellStyle name="Normal 3 2 4 2 5 2" xfId="6091" xr:uid="{DBAE6EE0-5909-42D1-9370-F6D38D9FCA20}"/>
    <cellStyle name="Normal 3 2 4 2 5 2 2" xfId="6088" xr:uid="{12CC4785-0AE4-4934-82A9-9C52922A5937}"/>
    <cellStyle name="Normal 3 2 4 2 5 3" xfId="13491" xr:uid="{4046A12C-3D4E-4F70-80F4-BD519F0907B8}"/>
    <cellStyle name="Normal 3 2 4 2 6" xfId="19789" xr:uid="{E242C12D-9354-427A-AEE5-F01130A61122}"/>
    <cellStyle name="Normal 3 2 4 2 6 2" xfId="15786" xr:uid="{77F305F3-04F2-41A4-9E04-5C890F7ACCD7}"/>
    <cellStyle name="Normal 3 2 4 2 7" xfId="19782" xr:uid="{54ABEEBF-3B07-498E-BE6E-B50662F7D80C}"/>
    <cellStyle name="Normal 3 2 4 3" xfId="27454" xr:uid="{8E4EB3B1-A446-45C5-AA67-6C4774FA380F}"/>
    <cellStyle name="Normal 3 2 4 3 2" xfId="32720" xr:uid="{DD787DFA-75C1-4CF5-AFC8-F108710C7D1C}"/>
    <cellStyle name="Normal 3 2 4 3 2 2" xfId="29579" xr:uid="{E77FDE0D-EE3A-4468-BD61-4E4C2CC9F5D5}"/>
    <cellStyle name="Normal 3 2 4 3 2 2 2" xfId="5117" xr:uid="{19A19247-5BB2-4E56-BD0D-33942CCBD209}"/>
    <cellStyle name="Normal 3 2 4 3 2 2 2 2" xfId="5116" xr:uid="{DAD2CA94-2DD2-417B-97FD-4402EB2FF4EA}"/>
    <cellStyle name="Normal 3 2 4 3 2 2 2 2 2" xfId="29131" xr:uid="{76D2776E-0FD6-4B6B-A383-37A40C002A71}"/>
    <cellStyle name="Normal 3 2 4 3 2 2 2 3" xfId="5115" xr:uid="{5F55C664-B7CB-4E9F-9C28-5B35D2487D85}"/>
    <cellStyle name="Normal 3 2 4 3 2 2 3" xfId="5114" xr:uid="{14E635DA-73A4-426B-997A-21BF739A4A87}"/>
    <cellStyle name="Normal 3 2 4 3 2 2 3 2" xfId="5113" xr:uid="{0109F3E4-23B6-468A-928D-37FE33C65B1A}"/>
    <cellStyle name="Normal 3 2 4 3 2 2 4" xfId="24212" xr:uid="{8B093445-0891-40DC-A059-5173C6CA9A4D}"/>
    <cellStyle name="Normal 3 2 4 3 2 3" xfId="28877" xr:uid="{F991D542-9C35-4B28-85BD-012443D255C1}"/>
    <cellStyle name="Normal 3 2 4 3 2 3 2" xfId="5112" xr:uid="{D12261C6-8F23-450C-A785-EC8E6FBD7F43}"/>
    <cellStyle name="Normal 3 2 4 3 2 3 2 2" xfId="5111" xr:uid="{38D4A627-F992-472B-A3F8-216FAE0A6C4E}"/>
    <cellStyle name="Normal 3 2 4 3 2 3 3" xfId="33924" xr:uid="{8A8B9914-805D-4376-A290-021D37D7CC50}"/>
    <cellStyle name="Normal 3 2 4 3 2 4" xfId="28875" xr:uid="{859DD71B-1EBE-4E7E-BC23-805033045AC4}"/>
    <cellStyle name="Normal 3 2 4 3 2 4 2" xfId="5110" xr:uid="{F4156148-BCD8-4CDF-9E0A-5D5F78415023}"/>
    <cellStyle name="Normal 3 2 4 3 2 5" xfId="30295" xr:uid="{89C944D7-26AE-41D7-B72B-0C14DA0CEE26}"/>
    <cellStyle name="Normal 3 2 4 3 3" xfId="34370" xr:uid="{DF49758C-2F28-4E28-8752-F17180F8C72C}"/>
    <cellStyle name="Normal 3 2 4 3 3 2" xfId="32076" xr:uid="{EA7B5295-9FE4-4A22-89E6-F5496212C12A}"/>
    <cellStyle name="Normal 3 2 4 3 3 2 2" xfId="5109" xr:uid="{A33C7202-9F72-45DF-8489-1B6BB207E51A}"/>
    <cellStyle name="Normal 3 2 4 3 3 2 2 2" xfId="5108" xr:uid="{1C63E2E3-A1EE-4746-9FB5-1E0C02CB3E99}"/>
    <cellStyle name="Normal 3 2 4 3 3 2 3" xfId="5107" xr:uid="{B1546E2F-D209-4DD2-A201-E221055DB345}"/>
    <cellStyle name="Normal 3 2 4 3 3 3" xfId="26518" xr:uid="{55C3DF28-4316-4310-BF41-23ADBFD19184}"/>
    <cellStyle name="Normal 3 2 4 3 3 3 2" xfId="5106" xr:uid="{A7FAB347-260F-43CC-9F61-FDFDDF163F48}"/>
    <cellStyle name="Normal 3 2 4 3 3 4" xfId="30292" xr:uid="{44000ACF-5E3C-4BB5-AF8D-FB3E04025E2B}"/>
    <cellStyle name="Normal 3 2 4 3 4" xfId="28815" xr:uid="{39E6D2B8-D3CE-4992-8ADD-EBBE65647776}"/>
    <cellStyle name="Normal 3 2 4 3 4 2" xfId="30311" xr:uid="{790A7AF0-182A-4278-B2A2-3897E2ED994E}"/>
    <cellStyle name="Normal 3 2 4 3 4 2 2" xfId="5105" xr:uid="{D037D9A9-5B32-4C36-B03C-5F0E3D903B22}"/>
    <cellStyle name="Normal 3 2 4 3 4 3" xfId="11748" xr:uid="{4B26435F-0C9E-461D-8A45-CB26EA22226A}"/>
    <cellStyle name="Normal 3 2 4 3 5" xfId="17487" xr:uid="{0F84AD7D-6FDE-4651-90DA-554D63298F03}"/>
    <cellStyle name="Normal 3 2 4 3 5 2" xfId="27111" xr:uid="{466DE7D0-4237-4905-BDDF-9CF7FC9B23B5}"/>
    <cellStyle name="Normal 3 2 4 3 6" xfId="17481" xr:uid="{B0D512A3-F310-41A5-9B79-CB1F60E532F6}"/>
    <cellStyle name="Normal 3 2 4 4" xfId="26386" xr:uid="{A5278D2F-852F-4777-B5A1-E62C1FB6ACE1}"/>
    <cellStyle name="Normal 3 2 4 4 2" xfId="30290" xr:uid="{6F343927-8386-46E8-910A-94A4C71D2150}"/>
    <cellStyle name="Normal 3 2 4 4 2 2" xfId="30452" xr:uid="{7C1DF48F-FCCF-42C7-BFBD-D210F7941306}"/>
    <cellStyle name="Normal 3 2 4 4 2 2 2" xfId="5103" xr:uid="{E6702669-2AB1-43E1-855C-05EEAC137C29}"/>
    <cellStyle name="Normal 3 2 4 4 2 2 2 2" xfId="5102" xr:uid="{044326ED-96C4-4405-B220-7EBD3C98C832}"/>
    <cellStyle name="Normal 3 2 4 4 2 2 3" xfId="15313" xr:uid="{26CDE625-7789-46C7-A7C3-8D995DD99587}"/>
    <cellStyle name="Normal 3 2 4 4 2 3" xfId="28861" xr:uid="{CEA54BA2-AD85-4466-A784-2ED1689C1282}"/>
    <cellStyle name="Normal 3 2 4 4 2 3 2" xfId="10858" xr:uid="{A15EF372-4DF0-4D0B-B011-07828705BE5F}"/>
    <cellStyle name="Normal 3 2 4 4 2 4" xfId="30280" xr:uid="{287B388B-BC94-42E8-BE2C-813BD8B03772}"/>
    <cellStyle name="Normal 3 2 4 4 3" xfId="32074" xr:uid="{10F5ADCA-7158-4ABE-B6B8-192B3086B35F}"/>
    <cellStyle name="Normal 3 2 4 4 3 2" xfId="30277" xr:uid="{82988703-3EBB-4038-81C3-52E7B4457C3B}"/>
    <cellStyle name="Normal 3 2 4 4 3 2 2" xfId="5101" xr:uid="{F391C4B6-1501-4264-96D0-5F4E42C6A03C}"/>
    <cellStyle name="Normal 3 2 4 4 3 3" xfId="30274" xr:uid="{DC7D36B7-0DF4-4EAA-8D14-31EDF6E8CDFA}"/>
    <cellStyle name="Normal 3 2 4 4 4" xfId="30271" xr:uid="{66AA4E23-DF5C-49B2-969C-2FFB7A3E177F}"/>
    <cellStyle name="Normal 3 2 4 4 4 2" xfId="30267" xr:uid="{426CFF00-0613-48FF-A4FB-F473B0E25685}"/>
    <cellStyle name="Normal 3 2 4 4 5" xfId="17467" xr:uid="{64E9A2B2-5F9F-45D7-BCF6-6299D352FF7A}"/>
    <cellStyle name="Normal 3 2 4 5" xfId="34357" xr:uid="{BCCC16B7-F4C1-40FD-A9F7-D4D350365F03}"/>
    <cellStyle name="Normal 3 2 4 5 2" xfId="30262" xr:uid="{1B6D0635-839C-41CE-95C5-A2759F1EF6C2}"/>
    <cellStyle name="Normal 3 2 4 5 2 2" xfId="30260" xr:uid="{F412876A-F00C-4085-9FB4-38BF9D0BC43A}"/>
    <cellStyle name="Normal 3 2 4 5 2 2 2" xfId="15568" xr:uid="{A2A5A1D9-F3F4-429A-A230-1320F6B715A2}"/>
    <cellStyle name="Normal 3 2 4 5 2 3" xfId="30256" xr:uid="{0A3E8420-B24F-49D7-9AD9-0C82BDA451FD}"/>
    <cellStyle name="Normal 3 2 4 5 3" xfId="30250" xr:uid="{E531C4B5-9B86-4595-B994-0A853802690C}"/>
    <cellStyle name="Normal 3 2 4 5 3 2" xfId="30245" xr:uid="{63E81764-BDDE-460C-AD1D-2953EA0F8883}"/>
    <cellStyle name="Normal 3 2 4 5 4" xfId="33154" xr:uid="{03E8523A-69EF-409D-A90C-5225AEB0F0FA}"/>
    <cellStyle name="Normal 3 2 4 6" xfId="32481" xr:uid="{0748C35A-2B17-40A7-AC42-39DC85D23C79}"/>
    <cellStyle name="Normal 3 2 4 6 2" xfId="30241" xr:uid="{65C7F436-F342-46F9-B644-60F39C126E2C}"/>
    <cellStyle name="Normal 3 2 4 6 2 2" xfId="17642" xr:uid="{5897733D-D0BB-4EB7-BAC0-444A4D725164}"/>
    <cellStyle name="Normal 3 2 4 6 3" xfId="29145" xr:uid="{A9D3211F-B66A-4040-B9F8-B2C6C1A8CEEC}"/>
    <cellStyle name="Normal 3 2 4 7" xfId="30233" xr:uid="{40B05D10-8D91-4F27-AE06-71589C75D0CF}"/>
    <cellStyle name="Normal 3 2 4 7 2" xfId="30226" xr:uid="{37D0A37B-927D-41C6-854C-A1AB7E617124}"/>
    <cellStyle name="Normal 3 2 4 8" xfId="30223" xr:uid="{B94A8F83-70A8-4C19-8626-F6322D45C1C6}"/>
    <cellStyle name="Normal 3 2 5" xfId="31814" xr:uid="{40D2D376-2384-437C-BC33-598137B1C209}"/>
    <cellStyle name="Normal 3 2 5 2" xfId="33911" xr:uid="{9FCDF769-3729-4904-918B-A9B8ECC8BE97}"/>
    <cellStyle name="Normal 3 2 5 2 2" xfId="30217" xr:uid="{D8EC54FC-2A64-4905-8714-B9897FDDDBD1}"/>
    <cellStyle name="Normal 3 2 5 2 2 2" xfId="32326" xr:uid="{45728E4C-0EE5-48AB-AC64-9430FA9BBBF7}"/>
    <cellStyle name="Normal 3 2 5 2 2 2 2" xfId="5099" xr:uid="{35B75EFD-117E-4271-A957-C17CAB53802B}"/>
    <cellStyle name="Normal 3 2 5 2 2 2 2 2" xfId="5098" xr:uid="{97C5B16F-EF97-4E6B-B011-38D64492B09F}"/>
    <cellStyle name="Normal 3 2 5 2 2 2 2 2 2" xfId="5097" xr:uid="{15584036-81EC-4496-A37A-DCF0BB2266F8}"/>
    <cellStyle name="Normal 3 2 5 2 2 2 2 3" xfId="5096" xr:uid="{4E58EF81-B05C-4BFB-8835-E9B8EE26C5F9}"/>
    <cellStyle name="Normal 3 2 5 2 2 2 3" xfId="5095" xr:uid="{37D768B8-8283-4322-9CA3-CD59081D2E6D}"/>
    <cellStyle name="Normal 3 2 5 2 2 2 3 2" xfId="5094" xr:uid="{241D5392-6386-49B8-8B9B-3733CE918D22}"/>
    <cellStyle name="Normal 3 2 5 2 2 2 4" xfId="5093" xr:uid="{062D9BDC-9A29-4F29-AF30-DBA1DAAD754F}"/>
    <cellStyle name="Normal 3 2 5 2 2 3" xfId="28039" xr:uid="{284FEEF5-0F85-4D35-B288-7BF5803AF3B6}"/>
    <cellStyle name="Normal 3 2 5 2 2 3 2" xfId="32858" xr:uid="{85E603F7-6C48-4ADF-8AF6-A647BE83484C}"/>
    <cellStyle name="Normal 3 2 5 2 2 3 2 2" xfId="5092" xr:uid="{C1FE6CE1-FA9C-4693-8586-85418A736FF4}"/>
    <cellStyle name="Normal 3 2 5 2 2 3 3" xfId="17756" xr:uid="{229E4D62-D3CE-4A23-B439-51D2C757F379}"/>
    <cellStyle name="Normal 3 2 5 2 2 4" xfId="11568" xr:uid="{669ECDFC-86DF-4288-A9BF-47BCA57E66F5}"/>
    <cellStyle name="Normal 3 2 5 2 2 4 2" xfId="5091" xr:uid="{0113573A-F449-4D5E-9D72-4D57052F3C2F}"/>
    <cellStyle name="Normal 3 2 5 2 2 5" xfId="30164" xr:uid="{E7B04B5D-CE75-4251-B5D3-EE1BCD45D7C1}"/>
    <cellStyle name="Normal 3 2 5 2 3" xfId="28524" xr:uid="{1DB8C31E-85D2-45EB-9CB4-9865441B79B0}"/>
    <cellStyle name="Normal 3 2 5 2 3 2" xfId="11560" xr:uid="{29F4D2F1-CBA3-48DB-BB2F-BE3450C9EE29}"/>
    <cellStyle name="Normal 3 2 5 2 3 2 2" xfId="5090" xr:uid="{04187AA6-674F-41E9-AD57-77DB2682B432}"/>
    <cellStyle name="Normal 3 2 5 2 3 2 2 2" xfId="5089" xr:uid="{6D216579-252C-47A3-9B71-E051FF5DCBA0}"/>
    <cellStyle name="Normal 3 2 5 2 3 2 3" xfId="22656" xr:uid="{C3FB8235-D26D-4471-9D2C-C32AE0DA96FF}"/>
    <cellStyle name="Normal 3 2 5 2 3 3" xfId="11557" xr:uid="{84D63D15-E393-476A-94AE-FEA1E20C49B3}"/>
    <cellStyle name="Normal 3 2 5 2 3 3 2" xfId="5088" xr:uid="{04DD4329-D620-485D-8363-AD1ECEB6C3AE}"/>
    <cellStyle name="Normal 3 2 5 2 3 4" xfId="30148" xr:uid="{36A55599-469C-454F-A643-00343FC46BA7}"/>
    <cellStyle name="Normal 3 2 5 2 4" xfId="28515" xr:uid="{F8C92F82-4974-4073-BC29-CD2D7B6E0997}"/>
    <cellStyle name="Normal 3 2 5 2 4 2" xfId="11550" xr:uid="{95C92C19-C2ED-44E2-96B9-308CC98121A6}"/>
    <cellStyle name="Normal 3 2 5 2 4 2 2" xfId="5087" xr:uid="{39ECFB94-47C2-48D0-86DE-D97D925F014C}"/>
    <cellStyle name="Normal 3 2 5 2 4 3" xfId="11729" xr:uid="{4E556838-39BC-484E-B70B-5939B13F8850}"/>
    <cellStyle name="Normal 3 2 5 2 5" xfId="15519" xr:uid="{FB8E4D5E-D4A9-4E89-9F34-79206C4F59EF}"/>
    <cellStyle name="Normal 3 2 5 2 5 2" xfId="6081" xr:uid="{03500056-63EE-4012-B405-DA0601C0D45B}"/>
    <cellStyle name="Normal 3 2 5 2 6" xfId="27187" xr:uid="{437B9427-B4CB-488D-9DCF-317008F2A154}"/>
    <cellStyle name="Normal 3 2 5 2 6 2" xfId="32419" xr:uid="{016558E1-56F9-47D5-9087-7868C5D5CF30}"/>
    <cellStyle name="Normal 3 2 5 2 7" xfId="5085" xr:uid="{3854FC95-A49B-4424-B87B-955F9EE0B136}"/>
    <cellStyle name="Normal 3 2 5 3" xfId="34327" xr:uid="{242FDA56-A9AD-4728-83EF-3CF864E7BD98}"/>
    <cellStyle name="Normal 3 2 5 3 2" xfId="30143" xr:uid="{070DA0ED-D089-4F72-B35A-01D7EAE4B473}"/>
    <cellStyle name="Normal 3 2 5 3 2 2" xfId="11536" xr:uid="{B0DC3616-482C-4FD6-8581-40EA9C7BCDBF}"/>
    <cellStyle name="Normal 3 2 5 3 2 2 2" xfId="5083" xr:uid="{B756B728-60F7-4FBC-AC8A-3E0323E7C2B9}"/>
    <cellStyle name="Normal 3 2 5 3 2 2 2 2" xfId="5082" xr:uid="{64EF23FC-D264-4740-A4B9-522DC35522D6}"/>
    <cellStyle name="Normal 3 2 5 3 2 2 3" xfId="5081" xr:uid="{C06463D5-CAF6-48BD-8452-E799E49994D2}"/>
    <cellStyle name="Normal 3 2 5 3 2 3" xfId="11533" xr:uid="{E8062686-AF0C-40E3-B2CB-6468ABC157D0}"/>
    <cellStyle name="Normal 3 2 5 3 2 3 2" xfId="5080" xr:uid="{861D1140-54A3-4A15-A922-DF931EC69A6E}"/>
    <cellStyle name="Normal 3 2 5 3 2 4" xfId="30126" xr:uid="{C1D0834A-106E-4D93-9456-F53654D83A87}"/>
    <cellStyle name="Normal 3 2 5 3 3" xfId="28508" xr:uid="{61D5602F-1C5E-44F0-BD0D-3550FB9F452F}"/>
    <cellStyle name="Normal 3 2 5 3 3 2" xfId="11528" xr:uid="{A3CDDADC-A5BA-474D-9703-48685FEF10C4}"/>
    <cellStyle name="Normal 3 2 5 3 3 2 2" xfId="5079" xr:uid="{1A6C76D3-223E-433B-BF55-915DE403E04B}"/>
    <cellStyle name="Normal 3 2 5 3 3 3" xfId="30111" xr:uid="{569D583D-DCE9-4369-B0A6-F15644DD0722}"/>
    <cellStyle name="Normal 3 2 5 3 4" xfId="27103" xr:uid="{CF4DCF21-8011-4DDF-A9DB-FC43BD34AAD3}"/>
    <cellStyle name="Normal 3 2 5 3 4 2" xfId="33659" xr:uid="{C70CCD3C-C22D-4019-A91A-EBFEB022BE5B}"/>
    <cellStyle name="Normal 3 2 5 3 5" xfId="19769" xr:uid="{65F5E56D-E67E-4195-A938-F201BE26224A}"/>
    <cellStyle name="Normal 3 2 5 4" xfId="25255" xr:uid="{15BF9AE0-514D-4E24-BEA2-99F61768A5B7}"/>
    <cellStyle name="Normal 3 2 5 4 2" xfId="30608" xr:uid="{E36C44F2-19AB-4C56-9E51-C6A4CB65AD56}"/>
    <cellStyle name="Normal 3 2 5 4 2 2" xfId="11517" xr:uid="{EDD418D5-A4A8-4B52-B7EE-44F624A8BC39}"/>
    <cellStyle name="Normal 3 2 5 4 2 2 2" xfId="5078" xr:uid="{2D605F4E-B9BF-4D55-B672-0D7DB2FEE326}"/>
    <cellStyle name="Normal 3 2 5 4 2 3" xfId="30103" xr:uid="{CA781903-C8F5-4858-8930-71729E1CC89F}"/>
    <cellStyle name="Normal 3 2 5 4 3" xfId="27101" xr:uid="{00425299-BE69-41DA-A965-30AD3608DCB2}"/>
    <cellStyle name="Normal 3 2 5 4 3 2" xfId="31135" xr:uid="{B580D0A9-F022-4BF5-986C-C008FA6C8798}"/>
    <cellStyle name="Normal 3 2 5 4 4" xfId="25539" xr:uid="{CE1FE971-FC19-42C2-8A0C-3856F8F8052A}"/>
    <cellStyle name="Normal 3 2 5 5" xfId="30101" xr:uid="{58BE788D-4EFA-40F6-A393-DAA0D7B888FA}"/>
    <cellStyle name="Normal 3 2 5 5 2" xfId="30594" xr:uid="{EFAB7001-E23D-4DB1-A2AA-CD8DDAE8D62F}"/>
    <cellStyle name="Normal 3 2 5 5 2 2" xfId="8682" xr:uid="{124B9ED0-DDF6-4373-B80B-B85E3FD4FD4B}"/>
    <cellStyle name="Normal 3 2 5 5 3" xfId="30773" xr:uid="{AE0E3983-5464-4D5E-B09B-14E8F643F2B7}"/>
    <cellStyle name="Normal 3 2 5 6" xfId="30091" xr:uid="{B33BF226-8340-402B-AF05-E0F79EE54DF1}"/>
    <cellStyle name="Normal 3 2 5 6 2" xfId="30587" xr:uid="{ABDD3008-A101-4758-9BF9-AAA342810011}"/>
    <cellStyle name="Normal 3 2 5 7" xfId="30085" xr:uid="{00F9CC9A-FD5E-4895-AEFE-CBB9F2C63F9B}"/>
    <cellStyle name="Normal 3 2 5 7 2" xfId="5077" xr:uid="{28105412-DCC1-4614-AF08-085A4269E8B4}"/>
    <cellStyle name="Normal 3 2 5 8" xfId="31103" xr:uid="{891C7A6C-5470-4BDD-960C-DF52E260E061}"/>
    <cellStyle name="Normal 3 2 6" xfId="21721" xr:uid="{AF4ED49C-594F-4FFE-934A-A48AC1FD6F83}"/>
    <cellStyle name="Normal 3 2 6 2" xfId="27129" xr:uid="{B8DA485E-82FC-4609-9D5D-B61D4D49AFFC}"/>
    <cellStyle name="Normal 3 2 6 2 2" xfId="30079" xr:uid="{58682E5A-B27C-41EB-85D1-5E1EB464C65D}"/>
    <cellStyle name="Normal 3 2 6 2 2 2" xfId="11454" xr:uid="{1B503606-7857-472E-947B-55D5AAE9C74E}"/>
    <cellStyle name="Normal 3 2 6 2 2 2 2" xfId="5076" xr:uid="{05B0F40A-D00B-4DB3-8D5F-1EBAC6B554F4}"/>
    <cellStyle name="Normal 3 2 6 2 2 2 2 2" xfId="5075" xr:uid="{6175B20A-42C4-4E6E-AAB4-6B532985CB03}"/>
    <cellStyle name="Normal 3 2 6 2 2 2 3" xfId="5074" xr:uid="{E234D9BB-ECD5-4BE7-BD5C-6231F995562B}"/>
    <cellStyle name="Normal 3 2 6 2 2 3" xfId="11451" xr:uid="{759A84F9-6128-4729-8EB9-08AE34ED3FA1}"/>
    <cellStyle name="Normal 3 2 6 2 2 3 2" xfId="5073" xr:uid="{E18690CC-D318-49E9-8DA3-9F978586FF8B}"/>
    <cellStyle name="Normal 3 2 6 2 2 4" xfId="22397" xr:uid="{3BB2C7A8-A091-48A2-9082-D23177717C1B}"/>
    <cellStyle name="Normal 3 2 6 2 3" xfId="30054" xr:uid="{57788284-814C-49E9-ACAC-A24AF2F4FE4A}"/>
    <cellStyle name="Normal 3 2 6 2 3 2" xfId="11442" xr:uid="{3819F868-C1CC-40EF-BC38-A20DBBBBD96F}"/>
    <cellStyle name="Normal 3 2 6 2 3 2 2" xfId="5072" xr:uid="{58944AD2-0015-493D-8740-7CC6FBEFE366}"/>
    <cellStyle name="Normal 3 2 6 2 3 3" xfId="30049" xr:uid="{F8FBED38-20D9-44CA-8B80-7A5F104C44C9}"/>
    <cellStyle name="Normal 3 2 6 2 4" xfId="27081" xr:uid="{A587604E-52FA-4C8D-A441-1C4BBDE97E21}"/>
    <cellStyle name="Normal 3 2 6 2 4 2" xfId="32784" xr:uid="{03114F42-FAE3-46F0-A3F8-5FCFBE9DF7E8}"/>
    <cellStyle name="Normal 3 2 6 2 5" xfId="19761" xr:uid="{3C61DB45-113D-48E3-A83A-F5C1C79EC7EC}"/>
    <cellStyle name="Normal 3 2 6 2 5 2" xfId="5071" xr:uid="{FF043C2C-BF33-4EAA-B597-70F02C49484D}"/>
    <cellStyle name="Normal 3 2 6 2 6" xfId="5070" xr:uid="{C1C0082F-1F8E-47B1-B0E3-895E7D715C86}"/>
    <cellStyle name="Normal 3 2 6 2 6 2" xfId="26341" xr:uid="{0FA60C7D-4BFB-4759-B29B-60529D72B36F}"/>
    <cellStyle name="Normal 3 2 6 2 7" xfId="5069" xr:uid="{BFC49EFB-7292-4323-AD97-B67376F57C75}"/>
    <cellStyle name="Normal 3 2 6 3" xfId="34379" xr:uid="{C4521A44-601E-4F08-B6CB-C629A3DF7ADA}"/>
    <cellStyle name="Normal 3 2 6 3 2" xfId="27015" xr:uid="{81EB9F4C-9E5F-4897-AA96-525CA7D04F12}"/>
    <cellStyle name="Normal 3 2 6 3 2 2" xfId="11427" xr:uid="{FBFEA38A-2E27-4AB4-AA79-D952B8BA09F1}"/>
    <cellStyle name="Normal 3 2 6 3 2 2 2" xfId="5067" xr:uid="{9E089997-0D65-4EAC-8681-E40CF7B5E5A2}"/>
    <cellStyle name="Normal 3 2 6 3 2 3" xfId="30026" xr:uid="{FFD1A08D-6A94-4B60-A193-40D9E92B19FD}"/>
    <cellStyle name="Normal 3 2 6 3 3" xfId="27079" xr:uid="{C3DF974E-7BD9-436C-8FFD-8E1A309AEB75}"/>
    <cellStyle name="Normal 3 2 6 3 3 2" xfId="33485" xr:uid="{ABE45BA8-A786-485C-9574-977507A67FFF}"/>
    <cellStyle name="Normal 3 2 6 3 4" xfId="33986" xr:uid="{B8C6E65B-510D-4100-8026-EA23ED1CD6C7}"/>
    <cellStyle name="Normal 3 2 6 4" xfId="30010" xr:uid="{15377979-91A3-43B2-84E2-D5AF1D82EB2F}"/>
    <cellStyle name="Normal 3 2 6 4 2" xfId="30584" xr:uid="{A280EE2B-A15C-4CC5-B3B0-7AE9CE33696E}"/>
    <cellStyle name="Normal 3 2 6 4 2 2" xfId="30007" xr:uid="{D7F6D4BA-4283-4C50-B583-7329E676FA10}"/>
    <cellStyle name="Normal 3 2 6 4 3" xfId="34276" xr:uid="{5B4A80D2-8648-4DCB-9446-D8FD1753818E}"/>
    <cellStyle name="Normal 3 2 6 5" xfId="29999" xr:uid="{BA86E893-BC99-42FC-9E34-DFDBEF8BEBDD}"/>
    <cellStyle name="Normal 3 2 6 5 2" xfId="19390" xr:uid="{4563F3B9-2CD1-46DF-B9E0-D3A1E2FD6171}"/>
    <cellStyle name="Normal 3 2 6 6" xfId="29986" xr:uid="{95F19947-498E-451D-A51D-CCFFB130640C}"/>
    <cellStyle name="Normal 3 2 6 6 2" xfId="5065" xr:uid="{DFA1BE70-BB10-46C9-A1A7-B92CA716CDF4}"/>
    <cellStyle name="Normal 3 2 6 7" xfId="5064" xr:uid="{5DCF92D0-8B3C-443F-95EC-C557B5349404}"/>
    <cellStyle name="Normal 3 2 6 7 2" xfId="5063" xr:uid="{E78088A8-2A08-452A-BD76-710EBC18D464}"/>
    <cellStyle name="Normal 3 2 6 8" xfId="5062" xr:uid="{0E36DBCD-2B60-42AF-86F0-A691E234E503}"/>
    <cellStyle name="Normal 3 2 7" xfId="20110" xr:uid="{BA08759A-BD7B-49F8-A5F5-B027318A09E8}"/>
    <cellStyle name="Normal 3 2 7 2" xfId="34395" xr:uid="{CE21A752-2942-4E2E-ADDD-3AA23554122E}"/>
    <cellStyle name="Normal 3 2 7 2 2" xfId="29977" xr:uid="{47865813-B08E-4A87-BE78-3447075DCF9D}"/>
    <cellStyle name="Normal 3 2 7 2 2 2" xfId="11377" xr:uid="{93147611-6EE9-41D0-8BD8-D607EE6B805E}"/>
    <cellStyle name="Normal 3 2 7 2 2 2 2" xfId="5061" xr:uid="{4BA21B5A-5C75-4EDF-B39B-10A3A9D3DD37}"/>
    <cellStyle name="Normal 3 2 7 2 2 3" xfId="33649" xr:uid="{441C8DD8-3B0C-41DD-8FC1-9D281F75A65C}"/>
    <cellStyle name="Normal 3 2 7 2 3" xfId="27069" xr:uid="{0C855CCA-074C-4FD5-89D7-EFAB7C36686C}"/>
    <cellStyle name="Normal 3 2 7 2 3 2" xfId="29974" xr:uid="{DDDA3CBE-599B-4770-B872-19A9DF709DE2}"/>
    <cellStyle name="Normal 3 2 7 2 4" xfId="30713" xr:uid="{37C8C8E7-C081-456A-B938-E9FC05E82F34}"/>
    <cellStyle name="Normal 3 2 7 2 4 2" xfId="5060" xr:uid="{6C0FFFA1-DE87-4154-BCE4-8CDCA5F8FC11}"/>
    <cellStyle name="Normal 3 2 7 2 5" xfId="5059" xr:uid="{918DB9AD-4004-48CA-A826-9D1B1E88E8D5}"/>
    <cellStyle name="Normal 3 2 7 2 5 2" xfId="5058" xr:uid="{2B8DD789-6F8D-4380-9AEF-4DD64B6C530B}"/>
    <cellStyle name="Normal 3 2 7 2 6" xfId="5056" xr:uid="{80A6E91A-264B-4956-A569-643B8CB81ED7}"/>
    <cellStyle name="Normal 3 2 7 2 6 2" xfId="26317" xr:uid="{319DDE70-59A1-4F95-AE23-FD24EA87F01B}"/>
    <cellStyle name="Normal 3 2 7 2 7" xfId="5055" xr:uid="{29A0D6F6-0BD5-4179-99EA-D7A4117CE51F}"/>
    <cellStyle name="Normal 3 2 7 3" xfId="32529" xr:uid="{2C0847F1-3083-4BA4-9A8B-67A9D11EF220}"/>
    <cellStyle name="Normal 3 2 7 3 2" xfId="29962" xr:uid="{02992148-411F-4309-B0EE-F82F5C9EF611}"/>
    <cellStyle name="Normal 3 2 7 3 2 2" xfId="29958" xr:uid="{4C8ED7D6-0E43-4950-8759-A5C381DAF91A}"/>
    <cellStyle name="Normal 3 2 7 3 3" xfId="29956" xr:uid="{ACEF6C69-6B16-4553-8C76-F7B745F247F7}"/>
    <cellStyle name="Normal 3 2 7 4" xfId="23629" xr:uid="{32633FB9-299F-4F57-8266-814C88ED0C78}"/>
    <cellStyle name="Normal 3 2 7 4 2" xfId="30562" xr:uid="{9287DD7C-DD82-4F57-B41B-A66C86FAF258}"/>
    <cellStyle name="Normal 3 2 7 5" xfId="23623" xr:uid="{1DDE3FB8-1840-4902-A3D1-EDA9BF67E534}"/>
    <cellStyle name="Normal 3 2 7 5 2" xfId="5053" xr:uid="{CD3003F3-286A-4E30-BE23-A8E03C49ABE2}"/>
    <cellStyle name="Normal 3 2 7 6" xfId="5052" xr:uid="{A5C55763-1C12-47E5-8918-EC417C513C8F}"/>
    <cellStyle name="Normal 3 2 7 6 2" xfId="5051" xr:uid="{DA1976A8-08F3-4551-8693-998AB6C25BC7}"/>
    <cellStyle name="Normal 3 2 7 7" xfId="5050" xr:uid="{22E68473-48EA-4AE6-A9E9-CF110FD2A77E}"/>
    <cellStyle name="Normal 3 2 7 7 2" xfId="5049" xr:uid="{CBF2A0DC-2925-4C43-AD71-FF7943463697}"/>
    <cellStyle name="Normal 3 2 7 8" xfId="5048" xr:uid="{ADA252B0-FEBF-4580-A482-DB7F4B117943}"/>
    <cellStyle name="Normal 3 2 8" xfId="28887" xr:uid="{9276F579-B44F-4763-BB8B-18E65281B1B0}"/>
    <cellStyle name="Normal 3 2 8 2" xfId="29944" xr:uid="{01EF220E-08F6-45F9-827C-9A6C81F1D023}"/>
    <cellStyle name="Normal 3 2 8 2 2" xfId="29942" xr:uid="{F7B56B0F-0CAD-4516-96AF-8551C5428F08}"/>
    <cellStyle name="Normal 3 2 8 2 2 2" xfId="29468" xr:uid="{00DF07C9-D406-43CE-B63E-2A13249F83FF}"/>
    <cellStyle name="Normal 3 2 8 2 3" xfId="29930" xr:uid="{2D89AF94-4BB6-4E93-AE6B-8C9B3E30DF76}"/>
    <cellStyle name="Normal 3 2 8 2 3 2" xfId="34013" xr:uid="{F43B0223-A3FE-4D62-8837-9688A7640389}"/>
    <cellStyle name="Normal 3 2 8 2 4" xfId="5047" xr:uid="{E6526133-1AFE-4CFA-A5AB-57F434C8E4DA}"/>
    <cellStyle name="Normal 3 2 8 2 4 2" xfId="21928" xr:uid="{E2717351-5785-4DB1-8E82-AA77A5A61DC9}"/>
    <cellStyle name="Normal 3 2 8 2 5" xfId="5046" xr:uid="{EA33215A-B962-487E-A7FD-9DF6D28EABAB}"/>
    <cellStyle name="Normal 3 2 8 2 5 2" xfId="16679" xr:uid="{C25AACBE-CA03-48DD-AF44-2F67AE8BB3A5}"/>
    <cellStyle name="Normal 3 2 8 2 6" xfId="5045" xr:uid="{816C0480-3734-4CCC-B6B8-0945B84AAF37}"/>
    <cellStyle name="Normal 3 2 8 2 6 2" xfId="5044" xr:uid="{9E3749A4-91AD-4CCB-927B-371F810AADE2}"/>
    <cellStyle name="Normal 3 2 8 2 7" xfId="15835" xr:uid="{C6CCC2F4-00BB-4E48-9ED6-B32965112992}"/>
    <cellStyle name="Normal 3 2 8 3" xfId="29927" xr:uid="{50BB9A14-C1B0-4C7C-8E39-54215E893550}"/>
    <cellStyle name="Normal 3 2 8 3 2" xfId="23020" xr:uid="{D3415AE9-D118-4A90-8F7E-C0D149414DBC}"/>
    <cellStyle name="Normal 3 2 8 4" xfId="23271" xr:uid="{71833819-6EFB-44CF-B4DC-691D4AB2FA05}"/>
    <cellStyle name="Normal 3 2 8 4 2" xfId="5043" xr:uid="{67ECDC79-0048-4A4F-9ABD-D03D73F267E0}"/>
    <cellStyle name="Normal 3 2 8 5" xfId="5042" xr:uid="{2DEEBA4D-0616-495A-9CFB-819E55125C22}"/>
    <cellStyle name="Normal 3 2 8 5 2" xfId="5041" xr:uid="{8F0BD3CE-AD6F-4824-8996-C7F7E61EA673}"/>
    <cellStyle name="Normal 3 2 8 6" xfId="5040" xr:uid="{CFA7E318-739D-496F-B769-EDBBB981A224}"/>
    <cellStyle name="Normal 3 2 8 6 2" xfId="5039" xr:uid="{749DC23D-EDA0-446C-ADF9-08215959A39F}"/>
    <cellStyle name="Normal 3 2 8 7" xfId="5038" xr:uid="{E8053109-0613-4FE1-8805-006BE6A7DCCE}"/>
    <cellStyle name="Normal 3 2 8 7 2" xfId="5037" xr:uid="{8381AD49-7585-4F87-88A9-34A8E11C91BF}"/>
    <cellStyle name="Normal 3 2 8 8" xfId="5036" xr:uid="{D7272ADC-EE58-4FBD-8978-3439868BD0DE}"/>
    <cellStyle name="Normal 3 2 9" xfId="25650" xr:uid="{9ADCDF7B-55D4-4154-AF2B-8D8C0D0CD2ED}"/>
    <cellStyle name="Normal 3 2 9 2" xfId="25644" xr:uid="{1BAB1ACD-9A33-43B0-A07F-ECC28D96256D}"/>
    <cellStyle name="Normal 3 2 9 2 2" xfId="19954" xr:uid="{6CFAD5FB-0603-412F-9C5C-C5C7ABA47F6D}"/>
    <cellStyle name="Normal 3 2 9 2 2 2" xfId="20485" xr:uid="{D62E1E51-F764-4AA4-8054-4C5E72A3D583}"/>
    <cellStyle name="Normal 3 2 9 2 3" xfId="22175" xr:uid="{FD83553B-9B27-4958-B494-9438C6A7AD2A}"/>
    <cellStyle name="Normal 3 2 9 2 3 2" xfId="21418" xr:uid="{3A6A7B09-329D-4FEF-8F96-38D5EDFDBF9A}"/>
    <cellStyle name="Normal 3 2 9 2 4" xfId="22129" xr:uid="{9D581C47-A4C0-434E-A93C-9AC238633F85}"/>
    <cellStyle name="Normal 3 2 9 2 4 2" xfId="16617" xr:uid="{9A4BB2A6-DBD8-4D8E-A43A-8848DFC4BCFA}"/>
    <cellStyle name="Normal 3 2 9 2 5" xfId="5035" xr:uid="{6DF08855-B12A-433E-A259-A9B6DCDFCD26}"/>
    <cellStyle name="Normal 3 2 9 2 5 2" xfId="5034" xr:uid="{4458B892-27E9-49B3-8FF7-C481E8E8240E}"/>
    <cellStyle name="Normal 3 2 9 2 6" xfId="5033" xr:uid="{F0D6CEDB-7288-44BC-982E-F79EF6120E40}"/>
    <cellStyle name="Normal 3 2 9 2 6 2" xfId="5032" xr:uid="{61C08342-0769-4320-B7A9-BC519B35623F}"/>
    <cellStyle name="Normal 3 2 9 2 7" xfId="15817" xr:uid="{CFD907FC-71E8-4E65-8C4B-562F3020D50B}"/>
    <cellStyle name="Normal 3 2 9 3" xfId="16285" xr:uid="{00013FBC-1C42-4B94-A6A2-71809211F82C}"/>
    <cellStyle name="Normal 3 2 9 3 2" xfId="22337" xr:uid="{F6D5553A-08F8-4315-8C33-C3510BD07633}"/>
    <cellStyle name="Normal 3 2 9 4" xfId="5031" xr:uid="{FB0AD943-50B9-4BD5-91DE-6F95524B6E0E}"/>
    <cellStyle name="Normal 3 2 9 4 2" xfId="13430" xr:uid="{8DE12889-0ABE-4289-8B08-E3385EF5D3B0}"/>
    <cellStyle name="Normal 3 2 9 5" xfId="5030" xr:uid="{8ECCF3DC-2776-43E2-822C-359B9600C0A5}"/>
    <cellStyle name="Normal 3 2 9 5 2" xfId="5029" xr:uid="{81B652AD-D19D-41FD-904A-6317F406BB4F}"/>
    <cellStyle name="Normal 3 2 9 6" xfId="5027" xr:uid="{57AE864E-4298-4FFF-BA3F-594A726BCAA1}"/>
    <cellStyle name="Normal 3 2 9 6 2" xfId="5026" xr:uid="{D24F19B5-3B10-4E82-A401-3F38EBB1231C}"/>
    <cellStyle name="Normal 3 2 9 7" xfId="5024" xr:uid="{44A3AAF2-9AD7-4971-8414-D7D02C2DB061}"/>
    <cellStyle name="Normal 3 2 9 7 2" xfId="5023" xr:uid="{2C4A9F60-4E5E-459D-8016-C4F3066AC693}"/>
    <cellStyle name="Normal 3 2 9 8" xfId="5021" xr:uid="{C5E10CCC-C7DB-446B-91E2-05902373AE88}"/>
    <cellStyle name="Normal 3 20" xfId="6205" xr:uid="{0C610A30-68C6-4D6E-A3F5-6F6AFBAB4446}"/>
    <cellStyle name="Normal 3 20 2" xfId="31916" xr:uid="{288F517C-535B-48E2-944B-6DCE34AC9EC4}"/>
    <cellStyle name="Normal 3 21" xfId="6202" xr:uid="{C641FDCE-4818-41AE-A18E-B46CF74A742A}"/>
    <cellStyle name="Normal 3 21 2" xfId="31715" xr:uid="{F931FFDD-33A5-4D1E-A741-E8CD8F507533}"/>
    <cellStyle name="Normal 3 22" xfId="12034" xr:uid="{E725C339-AF14-4ADB-86BA-CB20BBDE406F}"/>
    <cellStyle name="Normal 3 23" xfId="5554" xr:uid="{57365C56-6676-4444-81F7-66D94AA66078}"/>
    <cellStyle name="Normal 3 24" xfId="38297" xr:uid="{FEA697D1-CE74-4B5B-B5D4-39A061CBF0BF}"/>
    <cellStyle name="Normal 3 3" xfId="73" xr:uid="{D3B7BCEF-F404-4FA2-8F28-F2E3269225F8}"/>
    <cellStyle name="Normal 3 3 10" xfId="5020" xr:uid="{3FD13615-BF79-4999-B907-9DD81E842A51}"/>
    <cellStyle name="Normal 3 3 11" xfId="34435" xr:uid="{EEAC039D-473B-4F3E-896F-AB7426ADC673}"/>
    <cellStyle name="Normal 3 3 2" xfId="5019" xr:uid="{2EC69246-E842-42BC-B1D4-86CA27BA4AE9}"/>
    <cellStyle name="Normal 3 3 2 2" xfId="5017" xr:uid="{B0B935A7-97E7-4E2B-BE40-3774121C9EB8}"/>
    <cellStyle name="Normal 3 3 2 2 2" xfId="5016" xr:uid="{6A69BC0C-0492-4AA7-9A09-3859411261CB}"/>
    <cellStyle name="Normal 3 3 2 2 2 2" xfId="29955" xr:uid="{98F84492-2153-43FB-952A-A1280C067B4D}"/>
    <cellStyle name="Normal 3 3 2 2 2 2 2" xfId="5015" xr:uid="{76BF1429-E319-404A-83E1-181F8FA18D74}"/>
    <cellStyle name="Normal 3 3 2 2 2 2 2 2" xfId="5014" xr:uid="{E35BA651-9886-42F1-9999-6E905037FBDC}"/>
    <cellStyle name="Normal 3 3 2 2 2 2 2 2 2" xfId="18362" xr:uid="{C9DA7932-AB71-45BD-8F98-DF0843A675A5}"/>
    <cellStyle name="Normal 3 3 2 2 2 2 2 2 2 2" xfId="5013" xr:uid="{F352BC9C-E644-4E3D-941D-185AA4B64F64}"/>
    <cellStyle name="Normal 3 3 2 2 2 2 2 2 2 2 2" xfId="5012" xr:uid="{B75F1172-083E-4C2B-9CF8-6F7766225B04}"/>
    <cellStyle name="Normal 3 3 2 2 2 2 2 2 2 3" xfId="5011" xr:uid="{8BEEDD5C-7E4F-4CBF-A5F5-F24D8E107D40}"/>
    <cellStyle name="Normal 3 3 2 2 2 2 2 2 3" xfId="18354" xr:uid="{250FEE0D-7B9C-4132-9A73-5F2906CCC55E}"/>
    <cellStyle name="Normal 3 3 2 2 2 2 2 2 3 2" xfId="20774" xr:uid="{EFEC7768-92A1-417B-AA59-C9FDF8BB73BB}"/>
    <cellStyle name="Normal 3 3 2 2 2 2 2 2 4" xfId="5010" xr:uid="{DB0EAAC7-5C5E-44B4-9A78-5CE50E3F0AC5}"/>
    <cellStyle name="Normal 3 3 2 2 2 2 2 3" xfId="27041" xr:uid="{27068896-731C-4424-A880-E3A9D7141EED}"/>
    <cellStyle name="Normal 3 3 2 2 2 2 2 3 2" xfId="28623" xr:uid="{2FC9C5EC-5DBE-4655-9D73-145667316B1A}"/>
    <cellStyle name="Normal 3 3 2 2 2 2 2 3 2 2" xfId="5009" xr:uid="{9CCF6CF7-3AE1-4B46-8C68-DB1F40DBC50A}"/>
    <cellStyle name="Normal 3 3 2 2 2 2 2 3 3" xfId="5008" xr:uid="{CEA594BD-AA54-4B55-905E-548267DE586D}"/>
    <cellStyle name="Normal 3 3 2 2 2 2 2 4" xfId="15037" xr:uid="{65D6AAD6-DD4B-406B-8177-487730616E40}"/>
    <cellStyle name="Normal 3 3 2 2 2 2 2 4 2" xfId="5007" xr:uid="{C87086C9-AA45-4702-B8AE-0DDFCC313194}"/>
    <cellStyle name="Normal 3 3 2 2 2 2 2 5" xfId="15035" xr:uid="{52C288DE-7FBA-46AE-82D7-D76FD7036CBA}"/>
    <cellStyle name="Normal 3 3 2 2 2 2 3" xfId="5006" xr:uid="{792DCC41-1E27-40C8-AA3B-792C9C79E3D2}"/>
    <cellStyle name="Normal 3 3 2 2 2 2 3 2" xfId="5005" xr:uid="{1485F0C9-3508-447C-B430-1749DE8BFE54}"/>
    <cellStyle name="Normal 3 3 2 2 2 2 3 2 2" xfId="18310" xr:uid="{73A565B0-1388-4F19-909B-6CCEFEC84EFE}"/>
    <cellStyle name="Normal 3 3 2 2 2 2 3 2 2 2" xfId="5004" xr:uid="{D29C9894-64A7-4415-AFD6-17A7BDD6E4F5}"/>
    <cellStyle name="Normal 3 3 2 2 2 2 3 2 3" xfId="5003" xr:uid="{00D98BAB-8BBD-4509-B2DC-0C52D762DE58}"/>
    <cellStyle name="Normal 3 3 2 2 2 2 3 3" xfId="27037" xr:uid="{B2DA015B-E1FD-4C11-854C-DE35ABA47EDF}"/>
    <cellStyle name="Normal 3 3 2 2 2 2 3 3 2" xfId="5002" xr:uid="{3504E27B-EA6F-48F7-82E2-26085C3B5939}"/>
    <cellStyle name="Normal 3 3 2 2 2 2 3 4" xfId="24426" xr:uid="{F5BD2FE4-9B5E-4205-8895-1F7D642B47F0}"/>
    <cellStyle name="Normal 3 3 2 2 2 2 4" xfId="5001" xr:uid="{13DEB069-7BEA-4A9C-8DE6-7D7343E5DBCC}"/>
    <cellStyle name="Normal 3 3 2 2 2 2 4 2" xfId="5000" xr:uid="{33DA2724-42D8-4827-B2D8-B65747B32268}"/>
    <cellStyle name="Normal 3 3 2 2 2 2 4 2 2" xfId="4999" xr:uid="{3C6ED414-5062-43F2-8AAB-A2F95AB31932}"/>
    <cellStyle name="Normal 3 3 2 2 2 2 4 3" xfId="4998" xr:uid="{AE0EBD39-973B-4632-ACB4-99F4551BF9B1}"/>
    <cellStyle name="Normal 3 3 2 2 2 2 5" xfId="4997" xr:uid="{8500F524-B9E0-4BEB-8651-C8A524CD6F5B}"/>
    <cellStyle name="Normal 3 3 2 2 2 2 5 2" xfId="29129" xr:uid="{C36E88D6-0F36-4BD7-9745-C08CD2577060}"/>
    <cellStyle name="Normal 3 3 2 2 2 2 6" xfId="4996" xr:uid="{2B5EECE7-6812-432A-8058-C84AC7C1083C}"/>
    <cellStyle name="Normal 3 3 2 2 2 3" xfId="4995" xr:uid="{89BB61A0-979D-4DA5-970D-B1EF089E1FDA}"/>
    <cellStyle name="Normal 3 3 2 2 2 3 2" xfId="4994" xr:uid="{142A081B-7F25-40EB-82CD-E996B9853190}"/>
    <cellStyle name="Normal 3 3 2 2 2 3 2 2" xfId="4993" xr:uid="{C9986839-2A3D-4670-9E20-76E24A88172C}"/>
    <cellStyle name="Normal 3 3 2 2 2 3 2 2 2" xfId="18189" xr:uid="{5995BE38-B14C-4C74-B41F-DF2D0A48EFCD}"/>
    <cellStyle name="Normal 3 3 2 2 2 3 2 2 2 2" xfId="31673" xr:uid="{6B4BF707-3A2A-472D-AE5A-780D72C89C06}"/>
    <cellStyle name="Normal 3 3 2 2 2 3 2 2 3" xfId="15579" xr:uid="{44E4F6FA-E8B7-4D17-B3B6-782BB2A55090}"/>
    <cellStyle name="Normal 3 3 2 2 2 3 2 3" xfId="27026" xr:uid="{E581B095-36F5-47C5-ADD4-1C333DFDDAFD}"/>
    <cellStyle name="Normal 3 3 2 2 2 3 2 3 2" xfId="4992" xr:uid="{313DCD48-C383-4166-AF49-C325D3D31860}"/>
    <cellStyle name="Normal 3 3 2 2 2 3 2 4" xfId="15019" xr:uid="{BE922087-0857-4AB1-96B7-E6913E433F74}"/>
    <cellStyle name="Normal 3 3 2 2 2 3 3" xfId="4991" xr:uid="{7D1E526F-D5FC-4BF8-9037-BFF4A4460510}"/>
    <cellStyle name="Normal 3 3 2 2 2 3 3 2" xfId="4990" xr:uid="{A9A0A437-85F2-41DC-92AA-13BAE63BB4AB}"/>
    <cellStyle name="Normal 3 3 2 2 2 3 3 2 2" xfId="15189" xr:uid="{A0DA26E2-9BDB-4189-9166-7B8CE2B37969}"/>
    <cellStyle name="Normal 3 3 2 2 2 3 3 3" xfId="4989" xr:uid="{307EBDB5-8AF5-4BA1-8425-D7074223F934}"/>
    <cellStyle name="Normal 3 3 2 2 2 3 4" xfId="4988" xr:uid="{FC06FE4B-932F-49E9-BD9E-0715E0172282}"/>
    <cellStyle name="Normal 3 3 2 2 2 3 4 2" xfId="4987" xr:uid="{E2626835-EED4-429A-B629-33C6907F2ED0}"/>
    <cellStyle name="Normal 3 3 2 2 2 3 5" xfId="24904" xr:uid="{8F578985-D070-4A40-816E-7E3C192F3F9C}"/>
    <cellStyle name="Normal 3 3 2 2 2 4" xfId="4986" xr:uid="{337C14A5-B00C-470D-BCAC-96E0871D854B}"/>
    <cellStyle name="Normal 3 3 2 2 2 4 2" xfId="4985" xr:uid="{74EAD5DC-5729-44E5-A66D-F94592B48189}"/>
    <cellStyle name="Normal 3 3 2 2 2 4 2 2" xfId="4984" xr:uid="{908E45F0-FB9E-4AB0-A2FC-D151342BEF2E}"/>
    <cellStyle name="Normal 3 3 2 2 2 4 2 2 2" xfId="4983" xr:uid="{A4A087B2-D1EF-45B2-A4CF-33061DF801D0}"/>
    <cellStyle name="Normal 3 3 2 2 2 4 2 3" xfId="4982" xr:uid="{194CEB54-DD43-49EB-B266-E8EC4671A05F}"/>
    <cellStyle name="Normal 3 3 2 2 2 4 3" xfId="4981" xr:uid="{5C64A65B-9011-4217-8E50-7212DD9B11BB}"/>
    <cellStyle name="Normal 3 3 2 2 2 4 3 2" xfId="4979" xr:uid="{B990E37F-57B7-4F90-9F15-3C7934769B14}"/>
    <cellStyle name="Normal 3 3 2 2 2 4 4" xfId="4977" xr:uid="{0686F946-18DB-428B-90F5-9C89D5976072}"/>
    <cellStyle name="Normal 3 3 2 2 2 5" xfId="4975" xr:uid="{03110055-B021-44CB-974F-23C98252F4CC}"/>
    <cellStyle name="Normal 3 3 2 2 2 5 2" xfId="6898" xr:uid="{45391689-8EAD-4F80-AB6A-B0B8CFC5AAAE}"/>
    <cellStyle name="Normal 3 3 2 2 2 5 2 2" xfId="4974" xr:uid="{9E4DABA0-785F-465E-AD96-80ABD0B430EE}"/>
    <cellStyle name="Normal 3 3 2 2 2 5 3" xfId="11738" xr:uid="{95D71E57-62BD-4E2B-9445-2240A1ABCEE7}"/>
    <cellStyle name="Normal 3 3 2 2 2 6" xfId="4973" xr:uid="{38137576-958F-4DD0-A5DF-AAB664CD5083}"/>
    <cellStyle name="Normal 3 3 2 2 2 6 2" xfId="10065" xr:uid="{B3ABE856-6FF9-4294-B7A9-A2E6A20027D2}"/>
    <cellStyle name="Normal 3 3 2 2 2 7" xfId="4972" xr:uid="{5C4C93FF-6D87-4A2E-823B-B86336A5507C}"/>
    <cellStyle name="Normal 3 3 2 2 3" xfId="23462" xr:uid="{9487D9E3-48B0-42CF-A288-B48F9F41E1F7}"/>
    <cellStyle name="Normal 3 3 2 2 3 2" xfId="4971" xr:uid="{4348AAB1-2246-43EC-AA25-7040C2C7F38C}"/>
    <cellStyle name="Normal 3 3 2 2 3 2 2" xfId="4970" xr:uid="{DD495112-EB9D-4411-9210-59FD1A051F11}"/>
    <cellStyle name="Normal 3 3 2 2 3 2 2 2" xfId="14642" xr:uid="{1B17D1E6-46CC-47F5-A426-703141440795}"/>
    <cellStyle name="Normal 3 3 2 2 3 2 2 2 2" xfId="28499" xr:uid="{56700E8D-FB82-4A0D-B906-8C6A8E730725}"/>
    <cellStyle name="Normal 3 3 2 2 3 2 2 2 2 2" xfId="4969" xr:uid="{8C2B3982-EA2E-4B10-BC90-F6F3A84213E4}"/>
    <cellStyle name="Normal 3 3 2 2 3 2 2 2 3" xfId="28494" xr:uid="{F91E3EFE-579A-4439-B003-F1EEDBAB13C0}"/>
    <cellStyle name="Normal 3 3 2 2 3 2 2 3" xfId="26991" xr:uid="{CD5E9AF3-B449-4F44-BA71-E8C6B903DC26}"/>
    <cellStyle name="Normal 3 3 2 2 3 2 2 3 2" xfId="28485" xr:uid="{6B6D6CEF-572A-47DB-AE6C-6C71A8F6393F}"/>
    <cellStyle name="Normal 3 3 2 2 3 2 2 4" xfId="14992" xr:uid="{F38F7AD4-D0F7-4058-9C34-83CB564D518C}"/>
    <cellStyle name="Normal 3 3 2 2 3 2 3" xfId="4968" xr:uid="{B8AE547B-119F-4805-8AF8-679E30FF11C4}"/>
    <cellStyle name="Normal 3 3 2 2 3 2 3 2" xfId="4967" xr:uid="{8329F1C3-E543-47B8-A321-7CE6AFE034D6}"/>
    <cellStyle name="Normal 3 3 2 2 3 2 3 2 2" xfId="28474" xr:uid="{531F3A66-04F0-4EDB-9F4C-B47097729E5E}"/>
    <cellStyle name="Normal 3 3 2 2 3 2 3 3" xfId="4966" xr:uid="{0B0260BB-345C-41A0-9FF5-116D48BB273A}"/>
    <cellStyle name="Normal 3 3 2 2 3 2 4" xfId="4965" xr:uid="{B7D86B07-A26E-4B6B-844A-0B8144B84B69}"/>
    <cellStyle name="Normal 3 3 2 2 3 2 4 2" xfId="4964" xr:uid="{93E91A65-904E-4E3F-AC54-5936A93F339E}"/>
    <cellStyle name="Normal 3 3 2 2 3 2 5" xfId="4963" xr:uid="{01162A08-EF57-4C19-9A7A-2E1CCB3D8C73}"/>
    <cellStyle name="Normal 3 3 2 2 3 3" xfId="26708" xr:uid="{A2A98DE9-3941-43D2-9E70-5AB73835858F}"/>
    <cellStyle name="Normal 3 3 2 2 3 3 2" xfId="4961" xr:uid="{88BEEEA1-21A3-443C-897D-9F15180A7743}"/>
    <cellStyle name="Normal 3 3 2 2 3 3 2 2" xfId="4960" xr:uid="{3F59D1F7-66B5-4E90-AB72-487632BCAB18}"/>
    <cellStyle name="Normal 3 3 2 2 3 3 2 2 2" xfId="28468" xr:uid="{A201248C-A597-4A42-9870-11C0446F7F84}"/>
    <cellStyle name="Normal 3 3 2 2 3 3 2 3" xfId="4959" xr:uid="{93FEB986-44C6-442F-BC96-572366799AF0}"/>
    <cellStyle name="Normal 3 3 2 2 3 3 3" xfId="4958" xr:uid="{13957D7C-9CCC-4F32-BB39-4C0CF1ED41C6}"/>
    <cellStyle name="Normal 3 3 2 2 3 3 3 2" xfId="4957" xr:uid="{8802B8C7-FF46-401A-9D9D-6586D73FD5ED}"/>
    <cellStyle name="Normal 3 3 2 2 3 3 4" xfId="4956" xr:uid="{5ED21C1C-153E-4994-A806-96E6FD555B69}"/>
    <cellStyle name="Normal 3 3 2 2 3 4" xfId="19964" xr:uid="{69B76495-45A7-49C6-A663-40403E413330}"/>
    <cellStyle name="Normal 3 3 2 2 3 4 2" xfId="4955" xr:uid="{DC2E86C2-3441-4A40-9769-BF83767B5B2A}"/>
    <cellStyle name="Normal 3 3 2 2 3 4 2 2" xfId="4954" xr:uid="{8F22B9BE-79BE-43F6-88B6-9234ED03E787}"/>
    <cellStyle name="Normal 3 3 2 2 3 4 3" xfId="4953" xr:uid="{3CD8EDD3-FFCC-4EFA-839B-4B0F62F2EB15}"/>
    <cellStyle name="Normal 3 3 2 2 3 5" xfId="28637" xr:uid="{B4F7A084-7724-44EE-BCF4-73A558574BC9}"/>
    <cellStyle name="Normal 3 3 2 2 3 5 2" xfId="6886" xr:uid="{AB67BE5D-719A-4461-B105-6F8705CD9F40}"/>
    <cellStyle name="Normal 3 3 2 2 3 6" xfId="4951" xr:uid="{0795C78B-EB9E-4013-A92E-C500445145AA}"/>
    <cellStyle name="Normal 3 3 2 2 4" xfId="23674" xr:uid="{436803A7-B8E8-4E72-AB13-6DC870009C04}"/>
    <cellStyle name="Normal 3 3 2 2 4 2" xfId="4950" xr:uid="{AB17AF4A-0F57-4761-83EE-D1C766DD7D6E}"/>
    <cellStyle name="Normal 3 3 2 2 4 2 2" xfId="4949" xr:uid="{4D11823B-FF23-4DDD-9E6E-95879DD1EEDE}"/>
    <cellStyle name="Normal 3 3 2 2 4 2 2 2" xfId="4948" xr:uid="{9385B74C-563C-4ADD-8E17-BB40E1721302}"/>
    <cellStyle name="Normal 3 3 2 2 4 2 2 2 2" xfId="32883" xr:uid="{D67609EB-9ADC-4A7C-9CD9-D54F25C45AB2}"/>
    <cellStyle name="Normal 3 3 2 2 4 2 2 3" xfId="4946" xr:uid="{2878A756-5E31-412C-8FC0-268D1D1F2718}"/>
    <cellStyle name="Normal 3 3 2 2 4 2 3" xfId="4945" xr:uid="{95AD3943-E2C4-4E57-B438-3DB88B3D3EBB}"/>
    <cellStyle name="Normal 3 3 2 2 4 2 3 2" xfId="4944" xr:uid="{45E4AC51-460C-4AC6-94BF-6E7839356230}"/>
    <cellStyle name="Normal 3 3 2 2 4 2 4" xfId="4943" xr:uid="{FE53B907-8A2D-449F-B33E-223B6BFBE4D6}"/>
    <cellStyle name="Normal 3 3 2 2 4 3" xfId="19948" xr:uid="{FBCCA60D-FB57-4C76-ABB4-DBB4DD5FD892}"/>
    <cellStyle name="Normal 3 3 2 2 4 3 2" xfId="4942" xr:uid="{DDFF7BB1-4CBD-4CB4-85CC-EDAD15335A75}"/>
    <cellStyle name="Normal 3 3 2 2 4 3 2 2" xfId="4941" xr:uid="{4C222C3B-C009-43E6-850D-38E085A5A844}"/>
    <cellStyle name="Normal 3 3 2 2 4 3 3" xfId="4940" xr:uid="{5AEED002-06B2-4583-93C1-C4F63DD860BA}"/>
    <cellStyle name="Normal 3 3 2 2 4 4" xfId="19946" xr:uid="{B4372EDB-B675-4A0B-8385-6A6AB7581773}"/>
    <cellStyle name="Normal 3 3 2 2 4 4 2" xfId="4939" xr:uid="{4EDD86F7-F610-4421-9448-D5CA4E5AD329}"/>
    <cellStyle name="Normal 3 3 2 2 4 5" xfId="4938" xr:uid="{1AB4996B-1544-4E3F-BC28-C159166541D2}"/>
    <cellStyle name="Normal 3 3 2 2 5" xfId="6003" xr:uid="{9D6F9DF9-1CC1-4998-96FA-D6B31EF90FCE}"/>
    <cellStyle name="Normal 3 3 2 2 5 2" xfId="6001" xr:uid="{6C022F00-DE6A-467F-81BE-778222541FBC}"/>
    <cellStyle name="Normal 3 3 2 2 5 2 2" xfId="7362" xr:uid="{333955FF-E81C-497B-84CC-3973570F5F99}"/>
    <cellStyle name="Normal 3 3 2 2 5 2 2 2" xfId="4937" xr:uid="{6A540D8B-2ED8-491A-B4D3-F74C9695AE31}"/>
    <cellStyle name="Normal 3 3 2 2 5 2 3" xfId="5999" xr:uid="{73ABB8C1-197E-433D-B9F3-EFB19FAD0D74}"/>
    <cellStyle name="Normal 3 3 2 2 5 3" xfId="5996" xr:uid="{47839ECB-663D-40D6-8A57-40507410C4F5}"/>
    <cellStyle name="Normal 3 3 2 2 5 3 2" xfId="5994" xr:uid="{5BA3B075-E2D4-4D4C-966A-03AC2967E444}"/>
    <cellStyle name="Normal 3 3 2 2 5 4" xfId="34208" xr:uid="{8D175AB5-F219-40AA-A85E-53ECB8691803}"/>
    <cellStyle name="Normal 3 3 2 2 6" xfId="11362" xr:uid="{3F27BB2B-579E-4B43-B714-A6FC6632C11C}"/>
    <cellStyle name="Normal 3 3 2 2 6 2" xfId="14375" xr:uid="{20A7AC22-08B3-4EE3-9F7D-E56F3A6B368A}"/>
    <cellStyle name="Normal 3 3 2 2 6 2 2" xfId="29231" xr:uid="{F95CE5A2-6244-4EEF-A081-54FE2483531A}"/>
    <cellStyle name="Normal 3 3 2 2 6 3" xfId="14371" xr:uid="{8299A0C6-DA2A-4705-8817-C8D4AE1194D9}"/>
    <cellStyle name="Normal 3 3 2 2 7" xfId="12509" xr:uid="{D441ED95-1C5C-49B9-A990-F14BE2B44B85}"/>
    <cellStyle name="Normal 3 3 2 2 7 2" xfId="14351" xr:uid="{737C6D7D-9074-4669-9D4F-9D2F50774757}"/>
    <cellStyle name="Normal 3 3 2 2 8" xfId="11355" xr:uid="{0780DD07-2A3E-43B7-B17D-78AD22B2AB6C}"/>
    <cellStyle name="Normal 3 3 2 3" xfId="4936" xr:uid="{EA2AC0B3-AD2C-4F8D-A4D3-2392507279E2}"/>
    <cellStyle name="Normal 3 3 2 3 2" xfId="4935" xr:uid="{221D5330-9180-400F-A8E5-444D2766EB6F}"/>
    <cellStyle name="Normal 3 3 2 3 2 2" xfId="9631" xr:uid="{71295E55-1DDF-407E-943E-AD1BBF606A54}"/>
    <cellStyle name="Normal 3 3 2 3 2 2 2" xfId="21747" xr:uid="{DEADF058-1036-4FC9-B5DA-182D6EE572A4}"/>
    <cellStyle name="Normal 3 3 2 3 2 2 2 2" xfId="21744" xr:uid="{024CDF94-071C-4E21-B1B3-EBD9ABEF07DE}"/>
    <cellStyle name="Normal 3 3 2 3 2 2 2 2 2" xfId="4934" xr:uid="{7931FD17-F8EA-46D4-A96B-481BCFB07F89}"/>
    <cellStyle name="Normal 3 3 2 3 2 2 2 2 2 2" xfId="4933" xr:uid="{C2908664-19E1-40BA-BEA4-9F561C051665}"/>
    <cellStyle name="Normal 3 3 2 3 2 2 2 2 3" xfId="4932" xr:uid="{CF7E73F5-AE6B-4546-954C-D2A34A94A621}"/>
    <cellStyle name="Normal 3 3 2 3 2 2 2 3" xfId="28446" xr:uid="{A17C7189-4A17-4ED9-8B63-B0337126D416}"/>
    <cellStyle name="Normal 3 3 2 3 2 2 2 3 2" xfId="4931" xr:uid="{3D5B8AF6-AF57-4E2E-86CE-374CE183430D}"/>
    <cellStyle name="Normal 3 3 2 3 2 2 2 4" xfId="30645" xr:uid="{2D303CBB-E2ED-408E-B6B1-FDB4BFA4F7D4}"/>
    <cellStyle name="Normal 3 3 2 3 2 2 3" xfId="21740" xr:uid="{17430EA9-A8F1-4212-9C3D-BD8CE99DBB0E}"/>
    <cellStyle name="Normal 3 3 2 3 2 2 3 2" xfId="30372" xr:uid="{F7BDE262-617E-42E5-9CD9-1CE5A15A7442}"/>
    <cellStyle name="Normal 3 3 2 3 2 2 3 2 2" xfId="30359" xr:uid="{BE52CD4F-5E16-49B3-A0D2-AC61E4FB924E}"/>
    <cellStyle name="Normal 3 3 2 3 2 2 3 3" xfId="31307" xr:uid="{08AD74D8-E0BF-4C43-8B97-64803C71344E}"/>
    <cellStyle name="Normal 3 3 2 3 2 2 4" xfId="24707" xr:uid="{6A741841-AAA3-45E2-9736-6415F470B692}"/>
    <cellStyle name="Normal 3 3 2 3 2 2 4 2" xfId="34369" xr:uid="{8A59B095-1894-4CC0-9C42-230CC539CBDA}"/>
    <cellStyle name="Normal 3 3 2 3 2 2 5" xfId="24699" xr:uid="{A9FAA0E7-D7CA-46C2-9506-F378B837DD11}"/>
    <cellStyle name="Normal 3 3 2 3 2 3" xfId="4930" xr:uid="{1F999240-D683-45B2-B97C-D45926B57E7B}"/>
    <cellStyle name="Normal 3 3 2 3 2 3 2" xfId="21729" xr:uid="{57170D6D-54F5-43D2-B16B-B7DDA3597671}"/>
    <cellStyle name="Normal 3 3 2 3 2 3 2 2" xfId="4929" xr:uid="{86FD7937-6A2A-401E-83D2-4C76710B20D3}"/>
    <cellStyle name="Normal 3 3 2 3 2 3 2 2 2" xfId="11604" xr:uid="{30F4D5E1-7458-4F59-873D-576BAF3A4A8E}"/>
    <cellStyle name="Normal 3 3 2 3 2 3 2 3" xfId="4928" xr:uid="{CCD72BD9-654D-4A15-9F59-C7BF6D621F71}"/>
    <cellStyle name="Normal 3 3 2 3 2 3 3" xfId="4927" xr:uid="{DE673235-0586-47D1-AD83-1C78A6CFEB0C}"/>
    <cellStyle name="Normal 3 3 2 3 2 3 3 2" xfId="28523" xr:uid="{19F41443-A95C-435F-B74C-477EF44BA3DC}"/>
    <cellStyle name="Normal 3 3 2 3 2 3 4" xfId="24690" xr:uid="{F0D3D08D-C33E-4135-83B2-63F1FA8F6AB9}"/>
    <cellStyle name="Normal 3 3 2 3 2 4" xfId="4926" xr:uid="{EA37CFCB-5957-4CD4-A7C1-609E007CEE6E}"/>
    <cellStyle name="Normal 3 3 2 3 2 4 2" xfId="4925" xr:uid="{E8DE235C-58AF-40C9-9FAC-EBC99CDCFAB2}"/>
    <cellStyle name="Normal 3 3 2 3 2 4 2 2" xfId="4924" xr:uid="{F461B888-C94B-4B96-90C4-09E3B7655928}"/>
    <cellStyle name="Normal 3 3 2 3 2 4 3" xfId="4923" xr:uid="{98D5FEB2-8553-4871-83F0-B88E136971B4}"/>
    <cellStyle name="Normal 3 3 2 3 2 5" xfId="10289" xr:uid="{EA3B3A06-C6F4-429F-83F1-E7EBD75CAD32}"/>
    <cellStyle name="Normal 3 3 2 3 2 5 2" xfId="10286" xr:uid="{03A8DBE2-6F5A-4EC0-B75D-4A133E986B37}"/>
    <cellStyle name="Normal 3 3 2 3 2 6" xfId="10283" xr:uid="{C97FAFC5-1834-4CEA-8C50-A43162772600}"/>
    <cellStyle name="Normal 3 3 2 3 3" xfId="4921" xr:uid="{780F6176-EC20-4FE1-BD60-4E097AC3E27A}"/>
    <cellStyle name="Normal 3 3 2 3 3 2" xfId="4920" xr:uid="{5F0EBBF9-E35C-44A5-A4B9-0DE87E1C98F8}"/>
    <cellStyle name="Normal 3 3 2 3 3 2 2" xfId="21632" xr:uid="{0D2E3860-AF22-44BB-9E26-802EAAB30582}"/>
    <cellStyle name="Normal 3 3 2 3 3 2 2 2" xfId="11626" xr:uid="{1A5E7FBA-352D-4B48-87F8-4ADE835D2BAF}"/>
    <cellStyle name="Normal 3 3 2 3 3 2 2 2 2" xfId="4919" xr:uid="{13DC7689-E31A-4D5D-9D1D-D1F4E9090F1C}"/>
    <cellStyle name="Normal 3 3 2 3 3 2 2 3" xfId="4918" xr:uid="{B70999A4-B292-4A36-BE99-EA4CAD7C4BC4}"/>
    <cellStyle name="Normal 3 3 2 3 3 2 3" xfId="4917" xr:uid="{06CF8206-8C9C-4481-8C33-2F187A2DAB5E}"/>
    <cellStyle name="Normal 3 3 2 3 3 2 3 2" xfId="29843" xr:uid="{A03EDDB9-8E75-4E1D-8C8A-5B71FEFE4F5D}"/>
    <cellStyle name="Normal 3 3 2 3 3 2 4" xfId="24658" xr:uid="{EDF1E634-016C-4DA4-947D-FF02CEEEAC83}"/>
    <cellStyle name="Normal 3 3 2 3 3 3" xfId="19944" xr:uid="{77A234A7-AB29-4D8A-8C8D-5D2E23D0D5FB}"/>
    <cellStyle name="Normal 3 3 2 3 3 3 2" xfId="4916" xr:uid="{508792A6-C1E6-4804-9E6D-349313513540}"/>
    <cellStyle name="Normal 3 3 2 3 3 3 2 2" xfId="4915" xr:uid="{8FCDBF61-416B-4910-970B-893E812CE035}"/>
    <cellStyle name="Normal 3 3 2 3 3 3 3" xfId="4914" xr:uid="{3F225A70-F989-40F4-870A-878796333F7E}"/>
    <cellStyle name="Normal 3 3 2 3 3 4" xfId="19942" xr:uid="{09536493-A662-4CE4-B24C-04E6F0C1C0F0}"/>
    <cellStyle name="Normal 3 3 2 3 3 4 2" xfId="4913" xr:uid="{8674D98A-B2D0-4EA9-B664-8A35D29211F2}"/>
    <cellStyle name="Normal 3 3 2 3 3 5" xfId="26643" xr:uid="{6607B7BB-1105-4BCA-9405-3A691B81FEF0}"/>
    <cellStyle name="Normal 3 3 2 3 4" xfId="4912" xr:uid="{AC315266-D993-49F8-905F-A722ACB3A137}"/>
    <cellStyle name="Normal 3 3 2 3 4 2" xfId="4911" xr:uid="{07A9D628-40EB-49C5-900F-4CE6EFE17C93}"/>
    <cellStyle name="Normal 3 3 2 3 4 2 2" xfId="4910" xr:uid="{EE1D4E01-237B-44AF-86DB-1FE7B84A22AC}"/>
    <cellStyle name="Normal 3 3 2 3 4 2 2 2" xfId="4909" xr:uid="{5E9C6D11-C6BC-4A53-B521-BFF9F8C62630}"/>
    <cellStyle name="Normal 3 3 2 3 4 2 3" xfId="4908" xr:uid="{AB4DF434-21A3-4098-9A0F-6182AB29E088}"/>
    <cellStyle name="Normal 3 3 2 3 4 3" xfId="19939" xr:uid="{8B061AAE-4BD4-4C0F-9E44-BDC46B3750FD}"/>
    <cellStyle name="Normal 3 3 2 3 4 3 2" xfId="4907" xr:uid="{2F71CE42-F746-42DA-90EB-4D79602C0391}"/>
    <cellStyle name="Normal 3 3 2 3 4 4" xfId="4906" xr:uid="{31CE1215-00FB-48BC-A210-994C663A49C2}"/>
    <cellStyle name="Normal 3 3 2 3 5" xfId="17279" xr:uid="{468F89FB-23C8-41CC-9819-40A7AF0E3FC3}"/>
    <cellStyle name="Normal 3 3 2 3 5 2" xfId="17276" xr:uid="{F9D838F0-D9D9-4814-85E9-77718BC4FAE9}"/>
    <cellStyle name="Normal 3 3 2 3 5 2 2" xfId="5990" xr:uid="{40AE3948-ACFF-41BE-AC43-EB6B89662B8C}"/>
    <cellStyle name="Normal 3 3 2 3 5 3" xfId="17268" xr:uid="{365E0BBE-8F39-4BDE-B6E6-D307E16DE0FF}"/>
    <cellStyle name="Normal 3 3 2 3 6" xfId="17262" xr:uid="{33582BD5-B63E-421A-A5B4-6E351622581E}"/>
    <cellStyle name="Normal 3 3 2 3 6 2" xfId="17257" xr:uid="{7B6FFD86-D16F-4C51-819F-6E7904778E73}"/>
    <cellStyle name="Normal 3 3 2 3 7" xfId="16714" xr:uid="{0B636C42-5425-4349-8487-4B97BAAEF20A}"/>
    <cellStyle name="Normal 3 3 2 4" xfId="4905" xr:uid="{3282E48C-A10C-4877-A09D-D1F8D6ECFB9C}"/>
    <cellStyle name="Normal 3 3 2 4 2" xfId="4904" xr:uid="{8F2E2F0D-5F24-4814-B58C-E73FCCBA6579}"/>
    <cellStyle name="Normal 3 3 2 4 2 2" xfId="33099" xr:uid="{1E7A3972-7A43-4DFA-887D-80C27097D1F4}"/>
    <cellStyle name="Normal 3 3 2 4 2 2 2" xfId="16570" xr:uid="{8B8CD0CF-923E-4523-8370-3FADE055ED60}"/>
    <cellStyle name="Normal 3 3 2 4 2 2 2 2" xfId="22271" xr:uid="{E8BC9B9F-7F52-40A2-9AA3-E6D93530920D}"/>
    <cellStyle name="Normal 3 3 2 4 2 2 2 2 2" xfId="4903" xr:uid="{DEE8F874-FAAE-4B6A-9FDF-DE962032AEA8}"/>
    <cellStyle name="Normal 3 3 2 4 2 2 2 3" xfId="22567" xr:uid="{4B506E63-340F-46FF-AE8E-906CEFF7131E}"/>
    <cellStyle name="Normal 3 3 2 4 2 2 3" xfId="27242" xr:uid="{6E4CEB84-E2DD-4FCE-A3FC-21A52C66C1A4}"/>
    <cellStyle name="Normal 3 3 2 4 2 2 3 2" xfId="24282" xr:uid="{07EA4A26-FE9B-483D-B79B-D396CAF0C9BA}"/>
    <cellStyle name="Normal 3 3 2 4 2 2 4" xfId="24619" xr:uid="{F9204386-5766-4A47-9132-FB23DBF8CDAE}"/>
    <cellStyle name="Normal 3 3 2 4 2 3" xfId="19567" xr:uid="{F6CF3C3A-1BF9-4203-82DF-9806ACF3DE5E}"/>
    <cellStyle name="Normal 3 3 2 4 2 3 2" xfId="4902" xr:uid="{FB28025C-341B-41ED-87AF-1C721E278FA9}"/>
    <cellStyle name="Normal 3 3 2 4 2 3 2 2" xfId="4901" xr:uid="{AFC2569F-62FC-48F5-9BDA-C210A57731EB}"/>
    <cellStyle name="Normal 3 3 2 4 2 3 3" xfId="4900" xr:uid="{1B23D29A-5357-40D4-B316-E09C5ED3E209}"/>
    <cellStyle name="Normal 3 3 2 4 2 4" xfId="4899" xr:uid="{70604A7E-3F24-46BB-86A1-D14D20A134F3}"/>
    <cellStyle name="Normal 3 3 2 4 2 4 2" xfId="4898" xr:uid="{F50AE087-BF9E-473D-819E-062B0DEDFBDD}"/>
    <cellStyle name="Normal 3 3 2 4 2 5" xfId="10278" xr:uid="{C73E8CF1-62B7-4302-910C-001847DBD0A6}"/>
    <cellStyle name="Normal 3 3 2 4 3" xfId="4897" xr:uid="{1367A5E0-CB88-4456-8EDE-D867FD4AD835}"/>
    <cellStyle name="Normal 3 3 2 4 3 2" xfId="4896" xr:uid="{A0376B0E-84E2-46B8-BB9F-138D84C4CD5E}"/>
    <cellStyle name="Normal 3 3 2 4 3 2 2" xfId="4895" xr:uid="{1F0F1B4C-C06C-4F26-AE65-748D37C3738D}"/>
    <cellStyle name="Normal 3 3 2 4 3 2 2 2" xfId="20161" xr:uid="{ED99FBA9-25C1-4C22-BCAC-EA941539C6E9}"/>
    <cellStyle name="Normal 3 3 2 4 3 2 3" xfId="4894" xr:uid="{C113745E-7383-4F90-9DA0-6DD4CDDE216B}"/>
    <cellStyle name="Normal 3 3 2 4 3 3" xfId="19937" xr:uid="{50FC28DF-31C7-42BD-BCD5-9467B9AAFF4D}"/>
    <cellStyle name="Normal 3 3 2 4 3 3 2" xfId="4893" xr:uid="{8AAED48A-FEC1-4C5F-AA29-8586DDB5E96F}"/>
    <cellStyle name="Normal 3 3 2 4 3 4" xfId="4892" xr:uid="{2A7EDF81-4DAA-49C3-926D-58819DEDDC00}"/>
    <cellStyle name="Normal 3 3 2 4 4" xfId="4891" xr:uid="{3AD2821E-276F-4820-B78E-1E94EB458730}"/>
    <cellStyle name="Normal 3 3 2 4 4 2" xfId="4890" xr:uid="{52AF2279-ED6F-49AC-9101-9C1CCC70BD16}"/>
    <cellStyle name="Normal 3 3 2 4 4 2 2" xfId="4888" xr:uid="{94BEEA5F-1AE5-46DB-A4E4-47F758BF41A6}"/>
    <cellStyle name="Normal 3 3 2 4 4 3" xfId="4886" xr:uid="{30A15899-9D67-4D8F-A2DF-CB2DAF3F80ED}"/>
    <cellStyle name="Normal 3 3 2 4 5" xfId="22594" xr:uid="{D12D2B7D-7A83-4BF4-A3F5-37AE5BA6AE79}"/>
    <cellStyle name="Normal 3 3 2 4 5 2" xfId="17238" xr:uid="{DE72C97B-7085-45EA-9171-2194BC51AEAE}"/>
    <cellStyle name="Normal 3 3 2 4 6" xfId="17231" xr:uid="{4A566E2A-F782-4A1B-8DCA-AF2543E13305}"/>
    <cellStyle name="Normal 3 3 2 5" xfId="4884" xr:uid="{DFABF121-0BE2-485E-A702-4DACC3573A85}"/>
    <cellStyle name="Normal 3 3 2 5 2" xfId="4883" xr:uid="{6ED75A94-AC98-49A3-89C8-91208303D7D2}"/>
    <cellStyle name="Normal 3 3 2 5 2 2" xfId="4882" xr:uid="{FA31375F-B592-404B-BEDE-93A3339CAC33}"/>
    <cellStyle name="Normal 3 3 2 5 2 2 2" xfId="4881" xr:uid="{228521E2-0201-45AC-A064-7FC8DB971DD8}"/>
    <cellStyle name="Normal 3 3 2 5 2 2 2 2" xfId="4880" xr:uid="{2667647F-180F-41A5-8F19-4E8EE8510B8D}"/>
    <cellStyle name="Normal 3 3 2 5 2 2 3" xfId="4879" xr:uid="{3759DE96-A423-4710-9F92-1884D0FBBFA7}"/>
    <cellStyle name="Normal 3 3 2 5 2 3" xfId="4878" xr:uid="{00D02AD2-1079-4B9B-8F17-6B863EE71BE4}"/>
    <cellStyle name="Normal 3 3 2 5 2 3 2" xfId="4877" xr:uid="{7A366A1F-999D-47BC-80F4-9112CC58406D}"/>
    <cellStyle name="Normal 3 3 2 5 2 4" xfId="32071" xr:uid="{41A10DBF-63E5-499D-88BD-6AF5FBE319AF}"/>
    <cellStyle name="Normal 3 3 2 5 3" xfId="4876" xr:uid="{4DDF255E-9A1B-46E5-958F-CF82D2600AA0}"/>
    <cellStyle name="Normal 3 3 2 5 3 2" xfId="4875" xr:uid="{B2109894-11EC-4D02-A929-91A49A4CE91B}"/>
    <cellStyle name="Normal 3 3 2 5 3 2 2" xfId="24679" xr:uid="{293C9677-6A13-446B-AE24-B6A34E71C829}"/>
    <cellStyle name="Normal 3 3 2 5 3 3" xfId="4874" xr:uid="{652F6B51-986E-42C1-AF1A-3D185CCCDBC3}"/>
    <cellStyle name="Normal 3 3 2 5 4" xfId="4873" xr:uid="{0ABE06C6-A3F8-49E2-AD55-067D60DC02F6}"/>
    <cellStyle name="Normal 3 3 2 5 4 2" xfId="4872" xr:uid="{FAADFE0C-D9A3-4695-901A-86CF4ED116ED}"/>
    <cellStyle name="Normal 3 3 2 5 5" xfId="32703" xr:uid="{5CA0F325-457D-4191-B5FB-342372831098}"/>
    <cellStyle name="Normal 3 3 2 6" xfId="4870" xr:uid="{7D2011F9-D13F-434F-A698-0C9CF9B35E0D}"/>
    <cellStyle name="Normal 3 3 2 6 2" xfId="4869" xr:uid="{723F7507-57CE-493B-B714-D863DA2D6920}"/>
    <cellStyle name="Normal 3 3 2 6 2 2" xfId="4868" xr:uid="{20D07B3A-C248-410A-B1AC-95751CA17574}"/>
    <cellStyle name="Normal 3 3 2 6 2 2 2" xfId="4867" xr:uid="{0E644736-CEF9-4579-AC5A-03136AA14739}"/>
    <cellStyle name="Normal 3 3 2 6 2 3" xfId="4866" xr:uid="{2024E9CD-3380-44B7-A773-0094C9EB3714}"/>
    <cellStyle name="Normal 3 3 2 6 3" xfId="4865" xr:uid="{1BB1167D-A316-4FEC-855A-8D0CDFAAC9F2}"/>
    <cellStyle name="Normal 3 3 2 6 3 2" xfId="4864" xr:uid="{D4950433-50C1-43D1-B98B-1E806DAA6FA0}"/>
    <cellStyle name="Normal 3 3 2 6 4" xfId="4863" xr:uid="{35895EBC-EC82-43BA-953B-3A98673C6FCB}"/>
    <cellStyle name="Normal 3 3 2 7" xfId="9393" xr:uid="{53244DA9-9EBE-40EC-BEA6-3F8356C14434}"/>
    <cellStyle name="Normal 3 3 2 7 2" xfId="8014" xr:uid="{4E50B4CC-FEDB-4A61-83F9-156AB37799EA}"/>
    <cellStyle name="Normal 3 3 2 7 2 2" xfId="4862" xr:uid="{1F6833FB-261E-4C21-96D7-28C42D09BBC1}"/>
    <cellStyle name="Normal 3 3 2 7 3" xfId="4861" xr:uid="{A1948D37-652A-44A3-A492-9CE2AE2DA972}"/>
    <cellStyle name="Normal 3 3 2 8" xfId="4860" xr:uid="{4DC6D402-B4C3-4342-87B4-84FF1670F772}"/>
    <cellStyle name="Normal 3 3 2 8 2" xfId="4859" xr:uid="{20B83C91-A93A-4BD3-8752-463691E91516}"/>
    <cellStyle name="Normal 3 3 2 9" xfId="15227" xr:uid="{F0761712-4C36-46F2-9106-27FCBDBEAB47}"/>
    <cellStyle name="Normal 3 3 3" xfId="4858" xr:uid="{1949715A-7CE9-41CE-BF92-BFFAB7E7FD8B}"/>
    <cellStyle name="Normal 3 3 3 2" xfId="4857" xr:uid="{E77C9391-236B-4221-82A6-9AD95D1A0E3F}"/>
    <cellStyle name="Normal 3 3 3 2 2" xfId="4856" xr:uid="{BDB59296-9532-4647-B05E-AA89AF8FF91B}"/>
    <cellStyle name="Normal 3 3 3 2 2 2" xfId="4855" xr:uid="{725A2402-8B4E-41B8-A8A0-5D8D7579D0A5}"/>
    <cellStyle name="Normal 3 3 3 2 2 2 2" xfId="4854" xr:uid="{B5018334-EB44-47C9-A0CA-9D7092FC7A01}"/>
    <cellStyle name="Normal 3 3 3 2 2 2 2 2" xfId="4853" xr:uid="{2690BF6E-8EEB-4E15-AE4A-F421342E86E1}"/>
    <cellStyle name="Normal 3 3 3 2 2 2 2 2 2" xfId="4852" xr:uid="{81010DB6-966E-4DED-AF9E-6DA34D4028F6}"/>
    <cellStyle name="Normal 3 3 3 2 2 2 2 2 2 2" xfId="21255" xr:uid="{846D7299-B701-4C08-95A9-15986FED9431}"/>
    <cellStyle name="Normal 3 3 3 2 2 2 2 2 3" xfId="22299" xr:uid="{FC794E5A-A703-4CAA-A42B-E5981381E824}"/>
    <cellStyle name="Normal 3 3 3 2 2 2 2 3" xfId="30207" xr:uid="{67C4D0B4-DDEB-426F-B1C0-0FC18FD0A8BF}"/>
    <cellStyle name="Normal 3 3 3 2 2 2 2 3 2" xfId="25595" xr:uid="{994D36C4-8742-4E17-B1BC-864226EF5900}"/>
    <cellStyle name="Normal 3 3 3 2 2 2 2 4" xfId="20303" xr:uid="{0CB649FE-FA67-48BB-9672-B0FC1B17142E}"/>
    <cellStyle name="Normal 3 3 3 2 2 2 3" xfId="4851" xr:uid="{DDCBEFCA-B71C-46F7-A7E8-E2DEBD0E5814}"/>
    <cellStyle name="Normal 3 3 3 2 2 2 3 2" xfId="4850" xr:uid="{BCD9F765-04FC-4E4B-9865-A29B28FA16BA}"/>
    <cellStyle name="Normal 3 3 3 2 2 2 3 2 2" xfId="4849" xr:uid="{A7F098FF-FC7C-4BE1-90E5-8AD7B8DEBFCA}"/>
    <cellStyle name="Normal 3 3 3 2 2 2 3 3" xfId="4848" xr:uid="{BC361D93-66E7-481E-9B3B-EA1279F9009B}"/>
    <cellStyle name="Normal 3 3 3 2 2 2 4" xfId="4847" xr:uid="{EA0F899D-B32E-4840-8897-F9C4667CF992}"/>
    <cellStyle name="Normal 3 3 3 2 2 2 4 2" xfId="4846" xr:uid="{5AAE7906-5C80-4812-B2DF-6EA96FC0BCEA}"/>
    <cellStyle name="Normal 3 3 3 2 2 2 5" xfId="4845" xr:uid="{F2722D92-8099-46F8-994B-123BEA846FDC}"/>
    <cellStyle name="Normal 3 3 3 2 2 3" xfId="4844" xr:uid="{E04AF8A1-F763-4A18-BAA1-1102366F0269}"/>
    <cellStyle name="Normal 3 3 3 2 2 3 2" xfId="4843" xr:uid="{CAEFB92C-327B-42F7-B9CF-60FD3127C83A}"/>
    <cellStyle name="Normal 3 3 3 2 2 3 2 2" xfId="4842" xr:uid="{3D190D47-7376-492D-8BB8-AEC64732CC3E}"/>
    <cellStyle name="Normal 3 3 3 2 2 3 2 2 2" xfId="4841" xr:uid="{B1A7B4EF-B624-4CD7-A864-7B6326C61D82}"/>
    <cellStyle name="Normal 3 3 3 2 2 3 2 3" xfId="4840" xr:uid="{DDF4BE40-B388-48AD-861F-2C3013047F6D}"/>
    <cellStyle name="Normal 3 3 3 2 2 3 3" xfId="4839" xr:uid="{2416ED00-B354-493F-87BB-06F4BF1BEA49}"/>
    <cellStyle name="Normal 3 3 3 2 2 3 3 2" xfId="4838" xr:uid="{440EE746-F919-4838-8FA1-58AE5D28CE6B}"/>
    <cellStyle name="Normal 3 3 3 2 2 3 4" xfId="4837" xr:uid="{87AC4C25-35C5-4214-9C0F-511C1C646074}"/>
    <cellStyle name="Normal 3 3 3 2 2 4" xfId="19219" xr:uid="{5DDC4D9D-0105-4F16-905C-D501E503D59A}"/>
    <cellStyle name="Normal 3 3 3 2 2 4 2" xfId="24142" xr:uid="{C05DAA56-8626-4023-A540-08869D47F0D6}"/>
    <cellStyle name="Normal 3 3 3 2 2 4 2 2" xfId="22610" xr:uid="{9B859FA3-8150-4C8A-9F4E-E95B888D2C8D}"/>
    <cellStyle name="Normal 3 3 3 2 2 4 3" xfId="24134" xr:uid="{9414FF50-DBB5-4C3D-BD2B-4424B83B562E}"/>
    <cellStyle name="Normal 3 3 3 2 2 5" xfId="22577" xr:uid="{AC761910-3E83-4A5D-99F0-D88E3B6DEEAF}"/>
    <cellStyle name="Normal 3 3 3 2 2 5 2" xfId="6846" xr:uid="{5510FC2C-FF08-4CFD-9263-D2A72F58A97E}"/>
    <cellStyle name="Normal 3 3 3 2 2 6" xfId="22552" xr:uid="{B1B75F0C-741F-4B10-B123-6BB6293459C1}"/>
    <cellStyle name="Normal 3 3 3 2 3" xfId="4836" xr:uid="{6430004B-8FFF-4E91-8582-3BB984292037}"/>
    <cellStyle name="Normal 3 3 3 2 3 2" xfId="4835" xr:uid="{187C83B8-07F2-4885-8F70-D5A30E0741C8}"/>
    <cellStyle name="Normal 3 3 3 2 3 2 2" xfId="4834" xr:uid="{798BEF45-967A-4259-A8D4-173470FE68CD}"/>
    <cellStyle name="Normal 3 3 3 2 3 2 2 2" xfId="4833" xr:uid="{24456283-B072-4541-BD08-FC8DF357BD2C}"/>
    <cellStyle name="Normal 3 3 3 2 3 2 2 2 2" xfId="4832" xr:uid="{D3CC9BAB-75D1-4619-8B6D-581A4FA424AE}"/>
    <cellStyle name="Normal 3 3 3 2 3 2 2 3" xfId="4831" xr:uid="{737E956A-A36C-4DC7-AE77-53B5C8D1308C}"/>
    <cellStyle name="Normal 3 3 3 2 3 2 3" xfId="4830" xr:uid="{54BCD2EA-552D-44AF-9834-6A608B63EB48}"/>
    <cellStyle name="Normal 3 3 3 2 3 2 3 2" xfId="4829" xr:uid="{F385F455-0E18-44CD-A691-55FE1B25A3B1}"/>
    <cellStyle name="Normal 3 3 3 2 3 2 4" xfId="4828" xr:uid="{61E62622-C193-41A8-9382-9BEF44D6073B}"/>
    <cellStyle name="Normal 3 3 3 2 3 3" xfId="19825" xr:uid="{6814283B-FDAD-48F8-9D4A-0CD45BAC17F3}"/>
    <cellStyle name="Normal 3 3 3 2 3 3 2" xfId="4827" xr:uid="{FF1A95F6-7F44-47F1-B127-A50B3C6936C5}"/>
    <cellStyle name="Normal 3 3 3 2 3 3 2 2" xfId="4825" xr:uid="{2EFBD8A9-1683-47C2-A929-5601A5650B4B}"/>
    <cellStyle name="Normal 3 3 3 2 3 3 3" xfId="4824" xr:uid="{F4B24007-3BAB-4BA7-9BCF-7FC3187D19C0}"/>
    <cellStyle name="Normal 3 3 3 2 3 4" xfId="19822" xr:uid="{CDCA1465-1D1D-4F79-A2F6-F6BBE0C13DA5}"/>
    <cellStyle name="Normal 3 3 3 2 3 4 2" xfId="24115" xr:uid="{3C68248E-553E-41F4-B664-D83E9CD08546}"/>
    <cellStyle name="Normal 3 3 3 2 3 5" xfId="22414" xr:uid="{050C0180-B3F3-411A-B1C7-DFD57C6E1177}"/>
    <cellStyle name="Normal 3 3 3 2 4" xfId="4823" xr:uid="{EF2C9616-A681-4849-8935-5D3FB3B275B3}"/>
    <cellStyle name="Normal 3 3 3 2 4 2" xfId="4822" xr:uid="{7E714731-C317-4F8A-990C-BFF313D10C04}"/>
    <cellStyle name="Normal 3 3 3 2 4 2 2" xfId="4821" xr:uid="{C88C988D-B249-4BB5-9EC1-A62276FB72E9}"/>
    <cellStyle name="Normal 3 3 3 2 4 2 2 2" xfId="4819" xr:uid="{AD641743-355A-45B8-93D8-4149F43564FB}"/>
    <cellStyle name="Normal 3 3 3 2 4 2 3" xfId="4817" xr:uid="{D5378C3D-3B45-47D1-8B3C-73F1B3A984B9}"/>
    <cellStyle name="Normal 3 3 3 2 4 3" xfId="19809" xr:uid="{CF34E48D-0727-4065-A9FC-2DF17D003FA5}"/>
    <cellStyle name="Normal 3 3 3 2 4 3 2" xfId="4815" xr:uid="{43CA5882-C2D7-42BB-88D7-8072436C5EE5}"/>
    <cellStyle name="Normal 3 3 3 2 4 4" xfId="28158" xr:uid="{75B1071F-91CE-4D0F-9690-224B79AE843B}"/>
    <cellStyle name="Normal 3 3 3 2 5" xfId="5983" xr:uid="{49CF8C8A-5ECC-4CE7-8827-73CBCBE8A259}"/>
    <cellStyle name="Normal 3 3 3 2 5 2" xfId="5981" xr:uid="{BF190E81-2206-4E06-A9B4-71D74FFA2D66}"/>
    <cellStyle name="Normal 3 3 3 2 5 2 2" xfId="5979" xr:uid="{D0896767-7355-43D4-9033-FE29FB12F6C8}"/>
    <cellStyle name="Normal 3 3 3 2 5 3" xfId="5976" xr:uid="{A61F8894-9358-4949-97BB-FEED4B61CCB1}"/>
    <cellStyle name="Normal 3 3 3 2 6" xfId="11334" xr:uid="{AF847461-50F5-48E3-9D07-DE25A550FDBC}"/>
    <cellStyle name="Normal 3 3 3 2 6 2" xfId="13967" xr:uid="{3018A526-6040-4795-A14E-14D644809309}"/>
    <cellStyle name="Normal 3 3 3 2 7" xfId="11328" xr:uid="{EB3E7EEF-0B31-47A9-9986-4EB320A29F61}"/>
    <cellStyle name="Normal 3 3 3 3" xfId="4814" xr:uid="{5243CC8F-8BA1-40A8-A63A-8A190F45ECBF}"/>
    <cellStyle name="Normal 3 3 3 3 2" xfId="4813" xr:uid="{57534B8A-9525-4CAA-9BC5-CC538ABFBA00}"/>
    <cellStyle name="Normal 3 3 3 3 2 2" xfId="4812" xr:uid="{29837529-C5A6-469C-BC45-1327292265F2}"/>
    <cellStyle name="Normal 3 3 3 3 2 2 2" xfId="29194" xr:uid="{AB4704F0-8F4B-4FDE-B604-4337E0AB9402}"/>
    <cellStyle name="Normal 3 3 3 3 2 2 2 2" xfId="4811" xr:uid="{FEB64C2A-B755-485B-ACD4-47A92444C0B7}"/>
    <cellStyle name="Normal 3 3 3 3 2 2 2 2 2" xfId="4810" xr:uid="{43B2F554-FCA2-4CFB-BE9F-B75C9630DDD3}"/>
    <cellStyle name="Normal 3 3 3 3 2 2 2 3" xfId="4809" xr:uid="{74B74EBB-7113-4D9C-9B8E-1F9054E02B2F}"/>
    <cellStyle name="Normal 3 3 3 3 2 2 3" xfId="4807" xr:uid="{63ABB77B-EFE8-40F2-BD42-968E1948C43E}"/>
    <cellStyle name="Normal 3 3 3 3 2 2 3 2" xfId="34330" xr:uid="{269C0D73-EF0B-438F-8298-500EAD475C5D}"/>
    <cellStyle name="Normal 3 3 3 3 2 2 4" xfId="24506" xr:uid="{1D68A23A-6EAE-412D-BA88-2EA9DAB53AF2}"/>
    <cellStyle name="Normal 3 3 3 3 2 3" xfId="4806" xr:uid="{0AF0BE10-B3E9-4A5A-BF0B-5F143175BD98}"/>
    <cellStyle name="Normal 3 3 3 3 2 3 2" xfId="4805" xr:uid="{99B6DA39-433F-4119-A74B-CC5B59A7C869}"/>
    <cellStyle name="Normal 3 3 3 3 2 3 2 2" xfId="4804" xr:uid="{A619C9AA-0586-48CD-BF35-1ECD25B99943}"/>
    <cellStyle name="Normal 3 3 3 3 2 3 3" xfId="4803" xr:uid="{67E9646D-9C3A-4061-8713-A309BB9F8952}"/>
    <cellStyle name="Normal 3 3 3 3 2 4" xfId="20387" xr:uid="{8E034DCF-4B15-4712-8F60-884FCB5417D8}"/>
    <cellStyle name="Normal 3 3 3 3 2 4 2" xfId="24099" xr:uid="{EFF8DFFD-0752-4298-A75F-B70F48DE95DD}"/>
    <cellStyle name="Normal 3 3 3 3 2 5" xfId="10261" xr:uid="{8672A849-2612-4B49-9362-36EEF030586C}"/>
    <cellStyle name="Normal 3 3 3 3 3" xfId="4802" xr:uid="{AEFC3F92-F47C-4556-977B-F1EEA4A1F5B8}"/>
    <cellStyle name="Normal 3 3 3 3 3 2" xfId="4801" xr:uid="{C8D5AF7A-2508-4350-B16B-81870CF5DBAD}"/>
    <cellStyle name="Normal 3 3 3 3 3 2 2" xfId="4800" xr:uid="{5BB6C344-C872-47F5-8F6B-F7AF666E8913}"/>
    <cellStyle name="Normal 3 3 3 3 3 2 2 2" xfId="4799" xr:uid="{9CFA9ECA-15B2-453B-B000-9BD30D1C028F}"/>
    <cellStyle name="Normal 3 3 3 3 3 2 3" xfId="4798" xr:uid="{16B41031-B962-47BE-B2BB-084777F83A15}"/>
    <cellStyle name="Normal 3 3 3 3 3 3" xfId="19805" xr:uid="{4A21E755-505D-4D1A-AB94-1C251EE298AB}"/>
    <cellStyle name="Normal 3 3 3 3 3 3 2" xfId="4797" xr:uid="{B8D37D46-E06D-4BB2-ACAE-74C7E9812741}"/>
    <cellStyle name="Normal 3 3 3 3 3 4" xfId="20251" xr:uid="{E508AEDC-6B1E-4F81-B8CB-73BFC27E7B30}"/>
    <cellStyle name="Normal 3 3 3 3 4" xfId="24849" xr:uid="{CF3403F5-022D-4692-B3DC-4FE07C4399F2}"/>
    <cellStyle name="Normal 3 3 3 3 4 2" xfId="13834" xr:uid="{80D09EDE-5801-448C-AB06-207B33DDA026}"/>
    <cellStyle name="Normal 3 3 3 3 4 2 2" xfId="29909" xr:uid="{0B952A71-B3B7-4BC3-96F8-D380BB4DF267}"/>
    <cellStyle name="Normal 3 3 3 3 4 3" xfId="4796" xr:uid="{DA42A1BA-8A93-4C36-B2D5-61E24B77D6CF}"/>
    <cellStyle name="Normal 3 3 3 3 5" xfId="29198" xr:uid="{B4EEF040-1E40-4DD4-801C-8973F66D935D}"/>
    <cellStyle name="Normal 3 3 3 3 5 2" xfId="17202" xr:uid="{7776D90F-E861-40E4-953A-FA6C953D3EDB}"/>
    <cellStyle name="Normal 3 3 3 3 6" xfId="33527" xr:uid="{58F883EF-FFF5-45FD-B2DF-9C28C84EE7FF}"/>
    <cellStyle name="Normal 3 3 3 4" xfId="4795" xr:uid="{DD7D97E5-4EAE-4BAC-9F5F-71B3E0FAF77D}"/>
    <cellStyle name="Normal 3 3 3 4 2" xfId="4794" xr:uid="{54011F5D-69D1-47BD-9F7E-F7FB28102716}"/>
    <cellStyle name="Normal 3 3 3 4 2 2" xfId="4793" xr:uid="{33F0F730-EE6D-4132-9B9F-587F459FE57D}"/>
    <cellStyle name="Normal 3 3 3 4 2 2 2" xfId="28698" xr:uid="{BD0CCAD4-C7DA-4B5A-94E9-BBF217D66739}"/>
    <cellStyle name="Normal 3 3 3 4 2 2 2 2" xfId="4792" xr:uid="{EC326088-5F7F-4F37-990C-0CA5B0A3E4BE}"/>
    <cellStyle name="Normal 3 3 3 4 2 2 3" xfId="4791" xr:uid="{102C7181-633B-4BC6-B749-C9069A9CBAC8}"/>
    <cellStyle name="Normal 3 3 3 4 2 3" xfId="4790" xr:uid="{7C29083E-2F14-4FCA-A245-75867B2CB69E}"/>
    <cellStyle name="Normal 3 3 3 4 2 3 2" xfId="25039" xr:uid="{A40035F3-6B91-416D-AEE0-C64EFE14F478}"/>
    <cellStyle name="Normal 3 3 3 4 2 4" xfId="24322" xr:uid="{A0DF1085-2EAE-40F9-959D-D86582664C04}"/>
    <cellStyle name="Normal 3 3 3 4 3" xfId="4789" xr:uid="{07CCD679-93AD-404A-919F-F3C66366B70C}"/>
    <cellStyle name="Normal 3 3 3 4 3 2" xfId="4788" xr:uid="{5D152DCD-BF3E-4FC3-BC6E-DC7F3604DD75}"/>
    <cellStyle name="Normal 3 3 3 4 3 2 2" xfId="4786" xr:uid="{9ECB9690-100D-4CED-9CCE-9A5940050F06}"/>
    <cellStyle name="Normal 3 3 3 4 3 3" xfId="4784" xr:uid="{B6D71F2D-ACE4-49E5-B7FA-26C39E406ACA}"/>
    <cellStyle name="Normal 3 3 3 4 4" xfId="32667" xr:uid="{94A8F84E-C21B-4EA3-A677-9F9269A9DD29}"/>
    <cellStyle name="Normal 3 3 3 4 4 2" xfId="4782" xr:uid="{D03F16BD-E624-4025-A153-A2B13F5E41D6}"/>
    <cellStyle name="Normal 3 3 3 4 5" xfId="33758" xr:uid="{AEA3B1FE-AC31-4DD0-B163-EC10950DB01D}"/>
    <cellStyle name="Normal 3 3 3 5" xfId="4779" xr:uid="{46981539-47FC-4783-9987-1583F48EF867}"/>
    <cellStyle name="Normal 3 3 3 5 2" xfId="4778" xr:uid="{C556E26E-DC74-48F2-9899-BA014D8BD819}"/>
    <cellStyle name="Normal 3 3 3 5 2 2" xfId="4777" xr:uid="{67A147D7-0F43-4F5F-B66B-6AEAF6CCA6F8}"/>
    <cellStyle name="Normal 3 3 3 5 2 2 2" xfId="4776" xr:uid="{2A6DEF35-A7A0-41B4-971D-D25C4B47B15C}"/>
    <cellStyle name="Normal 3 3 3 5 2 3" xfId="4775" xr:uid="{7C41926E-BA2F-4263-ADA4-E355902F8B33}"/>
    <cellStyle name="Normal 3 3 3 5 3" xfId="4774" xr:uid="{818C9346-F973-41BB-9B06-91D739E0EB35}"/>
    <cellStyle name="Normal 3 3 3 5 3 2" xfId="4772" xr:uid="{23E2052A-F5F7-4EF0-9A64-71B6613B050C}"/>
    <cellStyle name="Normal 3 3 3 5 4" xfId="4770" xr:uid="{05AC91BB-BBDA-43A3-8666-87EDA37BE8AA}"/>
    <cellStyle name="Normal 3 3 3 6" xfId="4769" xr:uid="{D0789AF8-A412-45D8-8439-995D7F561980}"/>
    <cellStyle name="Normal 3 3 3 6 2" xfId="31378" xr:uid="{7C42F0DC-61DB-4907-86D1-67C5A578E367}"/>
    <cellStyle name="Normal 3 3 3 6 2 2" xfId="4768" xr:uid="{A625032B-1662-4564-9EB5-333FCB53B5EB}"/>
    <cellStyle name="Normal 3 3 3 6 3" xfId="4767" xr:uid="{56591E7C-8007-4F50-A2BE-10226E9F8B04}"/>
    <cellStyle name="Normal 3 3 3 7" xfId="4766" xr:uid="{71B04F6D-8011-4710-A65B-362AEFC60F9B}"/>
    <cellStyle name="Normal 3 3 3 7 2" xfId="4765" xr:uid="{C3655C40-C821-4D8B-BF73-D8F7F4DEDC01}"/>
    <cellStyle name="Normal 3 3 3 8" xfId="4764" xr:uid="{7497385B-AE24-4893-9510-92BDE8C562A7}"/>
    <cellStyle name="Normal 3 3 4" xfId="29900" xr:uid="{6C0C26CD-450C-4147-8B1F-C5DB5E2C9D87}"/>
    <cellStyle name="Normal 3 3 4 2" xfId="32422" xr:uid="{2FF87202-19A4-4391-B5B5-23A787B7D4B9}"/>
    <cellStyle name="Normal 3 3 4 2 2" xfId="29896" xr:uid="{0096D7F5-E061-4028-A75D-D22045E9F40C}"/>
    <cellStyle name="Normal 3 3 4 2 2 2" xfId="26772" xr:uid="{70A069ED-D498-4253-A6AC-402DB8F27CCA}"/>
    <cellStyle name="Normal 3 3 4 2 2 2 2" xfId="9510" xr:uid="{2FC6A674-B746-432E-BC6D-24C7EA3DD984}"/>
    <cellStyle name="Normal 3 3 4 2 2 2 2 2" xfId="4763" xr:uid="{B75A0D8F-7696-4618-9A52-6AA65C395D88}"/>
    <cellStyle name="Normal 3 3 4 2 2 2 2 2 2" xfId="4762" xr:uid="{AC7D3E59-4F76-496A-B088-4F9D44648973}"/>
    <cellStyle name="Normal 3 3 4 2 2 2 2 3" xfId="4761" xr:uid="{F2BF1111-0A9D-4489-99EB-D7CCF67C6D70}"/>
    <cellStyle name="Normal 3 3 4 2 2 2 3" xfId="4760" xr:uid="{CB067BF3-2C39-485A-A144-34A6282B18A3}"/>
    <cellStyle name="Normal 3 3 4 2 2 2 3 2" xfId="4759" xr:uid="{9EE98357-4595-499F-99F5-BC8AE72C4F23}"/>
    <cellStyle name="Normal 3 3 4 2 2 2 4" xfId="4758" xr:uid="{C5F837B3-F44E-42AC-B31A-D84EEE795769}"/>
    <cellStyle name="Normal 3 3 4 2 2 3" xfId="29877" xr:uid="{164373D0-44EE-4168-83A3-5D69B2B05003}"/>
    <cellStyle name="Normal 3 3 4 2 2 3 2" xfId="4757" xr:uid="{0B31899F-AC8F-43F6-862F-9F04C80ED1C2}"/>
    <cellStyle name="Normal 3 3 4 2 2 3 2 2" xfId="4756" xr:uid="{AA3D4A0A-3724-4DEF-8895-2DC0A90F2DBB}"/>
    <cellStyle name="Normal 3 3 4 2 2 3 3" xfId="15166" xr:uid="{68190AEC-FE63-430E-A51F-485AF340C225}"/>
    <cellStyle name="Normal 3 3 4 2 2 4" xfId="29244" xr:uid="{03AE6EA6-E150-4FF2-9910-ED4F0A22C7B6}"/>
    <cellStyle name="Normal 3 3 4 2 2 4 2" xfId="4755" xr:uid="{7769A921-130E-4FBC-A7F5-A3F1BB04E6EA}"/>
    <cellStyle name="Normal 3 3 4 2 2 5" xfId="29848" xr:uid="{189B2D04-ACFC-4B8D-89D3-637C03598351}"/>
    <cellStyle name="Normal 3 3 4 2 3" xfId="29842" xr:uid="{DA3F3936-83CA-4CAC-ACE8-6E5FF80BB4F1}"/>
    <cellStyle name="Normal 3 3 4 2 3 2" xfId="29840" xr:uid="{3692DF29-7AF5-46FD-8FD2-CB6726572401}"/>
    <cellStyle name="Normal 3 3 4 2 3 2 2" xfId="4754" xr:uid="{09EC1EF4-C815-4EF9-82BF-C28D7B412BC2}"/>
    <cellStyle name="Normal 3 3 4 2 3 2 2 2" xfId="4753" xr:uid="{907623B6-600F-4324-B2BC-51E024BD9239}"/>
    <cellStyle name="Normal 3 3 4 2 3 2 3" xfId="4752" xr:uid="{C902B53D-CFA4-459C-9898-F9C01AD7B84B}"/>
    <cellStyle name="Normal 3 3 4 2 3 3" xfId="19764" xr:uid="{3D02E8F4-0619-4FFF-B557-358A0A8A1747}"/>
    <cellStyle name="Normal 3 3 4 2 3 3 2" xfId="4751" xr:uid="{01F3B95C-4936-4E0D-AE8E-0F720F02A1D2}"/>
    <cellStyle name="Normal 3 3 4 2 3 4" xfId="29828" xr:uid="{64AF62CC-9420-490C-B65B-681CEFE35C6F}"/>
    <cellStyle name="Normal 3 3 4 2 4" xfId="31280" xr:uid="{F576F028-05BF-4FA3-A23A-657DE210EDEA}"/>
    <cellStyle name="Normal 3 3 4 2 4 2" xfId="26757" xr:uid="{E317FC50-5F34-424B-8252-7C930FF27321}"/>
    <cellStyle name="Normal 3 3 4 2 4 2 2" xfId="4750" xr:uid="{19B029D6-5513-4304-B02D-2AC7B4C04474}"/>
    <cellStyle name="Normal 3 3 4 2 4 3" xfId="20260" xr:uid="{CD0049C4-C47F-4CBD-855A-76922A5F3C08}"/>
    <cellStyle name="Normal 3 3 4 2 5" xfId="19752" xr:uid="{C728ECA7-B0F3-4AB3-A606-CFC31428ED03}"/>
    <cellStyle name="Normal 3 3 4 2 5 2" xfId="27635" xr:uid="{3D70C101-3B85-4BAF-A266-72C06679E92A}"/>
    <cellStyle name="Normal 3 3 4 2 6" xfId="19745" xr:uid="{32C9575E-8416-49D1-AE2D-7457D4889960}"/>
    <cellStyle name="Normal 3 3 4 3" xfId="32135" xr:uid="{85C93435-459B-455A-91F0-A30438401BB1}"/>
    <cellStyle name="Normal 3 3 4 3 2" xfId="29798" xr:uid="{88B4EB49-E0AC-460D-AFB3-4EEDADA727AD}"/>
    <cellStyle name="Normal 3 3 4 3 2 2" xfId="26681" xr:uid="{E05F3177-5E20-4D5A-AFCD-A3B9CC1CE71A}"/>
    <cellStyle name="Normal 3 3 4 3 2 2 2" xfId="4748" xr:uid="{A388AD2E-30B4-4119-B505-7237DDCD0BE1}"/>
    <cellStyle name="Normal 3 3 4 3 2 2 2 2" xfId="4747" xr:uid="{DDBE351D-F863-4815-9818-A4ED588469C2}"/>
    <cellStyle name="Normal 3 3 4 3 2 2 3" xfId="4746" xr:uid="{EEFB9E35-F402-49B3-BE41-E07EFE4BB651}"/>
    <cellStyle name="Normal 3 3 4 3 2 3" xfId="22514" xr:uid="{27DB7362-08C9-43AE-B4DE-90751C194AB0}"/>
    <cellStyle name="Normal 3 3 4 3 2 3 2" xfId="4745" xr:uid="{CFD174CD-5587-42FA-BF1F-79D9313F8687}"/>
    <cellStyle name="Normal 3 3 4 3 2 4" xfId="29790" xr:uid="{C6DB54AB-68D1-44EA-B784-8829F0C88718}"/>
    <cellStyle name="Normal 3 3 4 3 3" xfId="17215" xr:uid="{442B2C94-7E0F-4D9B-9FD8-C65B93A9FA10}"/>
    <cellStyle name="Normal 3 3 4 3 3 2" xfId="26672" xr:uid="{E68F5DAC-876D-48C9-8DA9-2240635444BE}"/>
    <cellStyle name="Normal 3 3 4 3 3 2 2" xfId="4744" xr:uid="{28A625BE-C12C-49EE-BE8A-81071FD77BFE}"/>
    <cellStyle name="Normal 3 3 4 3 3 3" xfId="29784" xr:uid="{49CD679C-70F7-499F-8119-41421C145D3A}"/>
    <cellStyle name="Normal 3 3 4 3 4" xfId="29781" xr:uid="{0CFD6CB5-616E-45B1-B2FE-310E6AEBE94A}"/>
    <cellStyle name="Normal 3 3 4 3 4 2" xfId="31979" xr:uid="{739D77EB-EFFA-47E2-9194-6886537BC9FE}"/>
    <cellStyle name="Normal 3 3 4 3 5" xfId="19735" xr:uid="{0F558CAB-6DBF-490E-B971-652A9D959554}"/>
    <cellStyle name="Normal 3 3 4 4" xfId="20593" xr:uid="{8BDDD2C8-66CF-4D2A-AA8B-B692DA9DC12A}"/>
    <cellStyle name="Normal 3 3 4 4 2" xfId="29777" xr:uid="{04395C80-2904-4461-A40E-F651B48A2149}"/>
    <cellStyle name="Normal 3 3 4 4 2 2" xfId="25840" xr:uid="{7EAC7E8C-189A-4759-97C4-291FF58C82DC}"/>
    <cellStyle name="Normal 3 3 4 4 2 2 2" xfId="4743" xr:uid="{5D627277-F578-415C-ACC9-538FA919E981}"/>
    <cellStyle name="Normal 3 3 4 4 2 3" xfId="29775" xr:uid="{1EA43DD1-D65D-41EB-A5DE-B2E7D4912DC8}"/>
    <cellStyle name="Normal 3 3 4 4 3" xfId="29773" xr:uid="{85323DAA-22B3-40DC-B46D-A740F0DD624D}"/>
    <cellStyle name="Normal 3 3 4 4 3 2" xfId="29767" xr:uid="{94DAE5A8-97D9-4B45-8E6F-2F809DFA4D89}"/>
    <cellStyle name="Normal 3 3 4 4 4" xfId="29764" xr:uid="{81CBC4B5-A6C6-4BC2-930D-EE2FB73B7663}"/>
    <cellStyle name="Normal 3 3 4 5" xfId="30071" xr:uid="{F49F8506-9F26-4386-9D6D-B80A207B7F48}"/>
    <cellStyle name="Normal 3 3 4 5 2" xfId="29759" xr:uid="{E7D35A1D-A323-47F3-B113-3C6E63DAF7E1}"/>
    <cellStyle name="Normal 3 3 4 5 2 2" xfId="29753" xr:uid="{70D94B0A-AD45-41D9-AAD7-0F3F45578B88}"/>
    <cellStyle name="Normal 3 3 4 5 3" xfId="29750" xr:uid="{6D311357-8BFF-4549-BFB5-8E4878057C60}"/>
    <cellStyle name="Normal 3 3 4 6" xfId="30062" xr:uid="{FC14A5E7-BAC9-474D-BB9D-0F385E33D54C}"/>
    <cellStyle name="Normal 3 3 4 6 2" xfId="29744" xr:uid="{BFAF9CBF-9D28-4CB3-B2A8-09B6AFE8B6D6}"/>
    <cellStyle name="Normal 3 3 4 7" xfId="29741" xr:uid="{5919ABED-47AC-42C6-AB7C-B67B797D7C72}"/>
    <cellStyle name="Normal 3 3 5" xfId="28924" xr:uid="{26E88FEC-5AA7-4C8D-A1A5-3FF33E933B53}"/>
    <cellStyle name="Normal 3 3 5 2" xfId="33826" xr:uid="{46E4A283-028C-4D1C-80A8-51200395E729}"/>
    <cellStyle name="Normal 3 3 5 2 2" xfId="29736" xr:uid="{15433397-071B-4740-8C3B-9BD2B1C45EE0}"/>
    <cellStyle name="Normal 3 3 5 2 2 2" xfId="29721" xr:uid="{85B294E0-00D5-4456-9BDD-440BD87732EE}"/>
    <cellStyle name="Normal 3 3 5 2 2 2 2" xfId="25762" xr:uid="{49BF9138-3300-4078-8AD9-17656FD7470D}"/>
    <cellStyle name="Normal 3 3 5 2 2 2 2 2" xfId="4742" xr:uid="{3D82F524-B086-47BF-B462-F986114F721E}"/>
    <cellStyle name="Normal 3 3 5 2 2 2 3" xfId="4741" xr:uid="{D6728B08-B594-4381-B5BE-70E6AFE3B766}"/>
    <cellStyle name="Normal 3 3 5 2 2 3" xfId="11294" xr:uid="{135477F9-7877-490C-B366-A4BF1804EA6A}"/>
    <cellStyle name="Normal 3 3 5 2 2 3 2" xfId="4740" xr:uid="{A68F1B6B-096D-4FA9-BDC2-B63E4FDEC4B6}"/>
    <cellStyle name="Normal 3 3 5 2 2 4" xfId="5579" xr:uid="{1D130CD6-8021-4613-9F1E-B3D231E2BAA1}"/>
    <cellStyle name="Normal 3 3 5 2 3" xfId="29703" xr:uid="{C343C406-2A9C-4E21-974A-C40B06FE6248}"/>
    <cellStyle name="Normal 3 3 5 2 3 2" xfId="11289" xr:uid="{A428559B-144C-4F28-94FA-D22952A68239}"/>
    <cellStyle name="Normal 3 3 5 2 3 2 2" xfId="4739" xr:uid="{C03311A3-3EF6-431C-AA36-A7358AC317B3}"/>
    <cellStyle name="Normal 3 3 5 2 3 3" xfId="20334" xr:uid="{74749BDA-CCD2-477F-942C-0AAA5AE609B0}"/>
    <cellStyle name="Normal 3 3 5 2 4" xfId="27021" xr:uid="{B46B2101-1CBA-49F8-8B11-D613F4FD6E6E}"/>
    <cellStyle name="Normal 3 3 5 2 4 2" xfId="20324" xr:uid="{C89EB334-4523-4E6B-88A7-C82DE543CC5A}"/>
    <cellStyle name="Normal 3 3 5 2 5" xfId="19727" xr:uid="{091EF761-87F9-470E-839E-134597B19F7C}"/>
    <cellStyle name="Normal 3 3 5 3" xfId="20589" xr:uid="{939B4811-163E-4EBD-83C7-F3CC81D845AE}"/>
    <cellStyle name="Normal 3 3 5 3 2" xfId="29677" xr:uid="{601D22F3-3AF9-42D1-872D-ABF17203D855}"/>
    <cellStyle name="Normal 3 3 5 3 2 2" xfId="11275" xr:uid="{ADEBF868-89ED-42E1-ABA0-C5719E829B2A}"/>
    <cellStyle name="Normal 3 3 5 3 2 2 2" xfId="4738" xr:uid="{50EC7AE7-58F1-4EB1-92B6-B55F03A3AA2E}"/>
    <cellStyle name="Normal 3 3 5 3 2 3" xfId="29671" xr:uid="{3AB05606-D2C3-4848-8CB7-239E5E76FC2B}"/>
    <cellStyle name="Normal 3 3 5 3 3" xfId="27011" xr:uid="{6D93994A-CF9A-44A6-9846-077F19A78DEC}"/>
    <cellStyle name="Normal 3 3 5 3 3 2" xfId="28802" xr:uid="{CB551CB1-BC87-4EC5-AB6F-6689BCC2FDC9}"/>
    <cellStyle name="Normal 3 3 5 3 4" xfId="29503" xr:uid="{C734041A-E0EA-4542-BA0E-797DE8F3B8A4}"/>
    <cellStyle name="Normal 3 3 5 4" xfId="30051" xr:uid="{B6725A6D-A6C5-4B54-9AA0-7AD2B3093C6E}"/>
    <cellStyle name="Normal 3 3 5 4 2" xfId="28434" xr:uid="{C243B0F6-C5BF-4002-9788-0A14B277C9E6}"/>
    <cellStyle name="Normal 3 3 5 4 2 2" xfId="29654" xr:uid="{4DA1895F-AA94-4FE7-BB75-CBA83EBC8E63}"/>
    <cellStyle name="Normal 3 3 5 4 3" xfId="30549" xr:uid="{845D01F3-5C7B-4850-B6E7-B901A8ACF625}"/>
    <cellStyle name="Normal 3 3 5 5" xfId="30046" xr:uid="{3ADB3D76-4747-4DC0-A6D8-D3B66A9E0CD7}"/>
    <cellStyle name="Normal 3 3 5 5 2" xfId="30536" xr:uid="{2D1D7B55-E41B-46FA-98AF-14DB5C1AC708}"/>
    <cellStyle name="Normal 3 3 5 6" xfId="29650" xr:uid="{BA7E0101-4D09-4B9D-BFF9-70A3AB6F4E51}"/>
    <cellStyle name="Normal 3 3 6" xfId="21364" xr:uid="{A03BA7F5-166B-4C65-B1AF-585BDE557CB6}"/>
    <cellStyle name="Normal 3 3 6 2" xfId="32516" xr:uid="{6A24CCC5-89EE-4E38-BBD8-DDEDFBEFD75D}"/>
    <cellStyle name="Normal 3 3 6 2 2" xfId="29642" xr:uid="{8DB9DF38-8A36-4570-B416-4EB2FEDD5DCD}"/>
    <cellStyle name="Normal 3 3 6 2 2 2" xfId="11229" xr:uid="{F9059830-6A41-47BB-80FD-4D05AA0EC90C}"/>
    <cellStyle name="Normal 3 3 6 2 2 2 2" xfId="4737" xr:uid="{5BF44072-16E9-43E4-8EAC-1FF4CBC630FF}"/>
    <cellStyle name="Normal 3 3 6 2 2 3" xfId="29637" xr:uid="{FA12CC48-A726-4B2F-A626-DECC6BA5F1A0}"/>
    <cellStyle name="Normal 3 3 6 2 3" xfId="29632" xr:uid="{BF72DB3D-A736-4792-B09F-1EDA310A0071}"/>
    <cellStyle name="Normal 3 3 6 2 3 2" xfId="29628" xr:uid="{42F282B7-9B60-41A6-81B0-6278A432BE67}"/>
    <cellStyle name="Normal 3 3 6 2 4" xfId="29880" xr:uid="{61FFC5FE-AD7E-41F3-90A5-5455851CA69E}"/>
    <cellStyle name="Normal 3 3 6 3" xfId="33333" xr:uid="{F56CA674-E0D1-4A89-ABDB-7AA890EF9366}"/>
    <cellStyle name="Normal 3 3 6 3 2" xfId="29620" xr:uid="{49B53B51-AB04-4E7B-84D0-4FF92E74FCA7}"/>
    <cellStyle name="Normal 3 3 6 3 2 2" xfId="24888" xr:uid="{82BDD5EF-D7A4-4D74-B113-8F15DA3076AA}"/>
    <cellStyle name="Normal 3 3 6 3 3" xfId="29615" xr:uid="{962EF839-BD68-45B8-92AC-A580D99975A7}"/>
    <cellStyle name="Normal 3 3 6 4" xfId="32781" xr:uid="{DB68C924-7976-4EFF-A747-18C3AE0D5165}"/>
    <cellStyle name="Normal 3 3 6 4 2" xfId="30531" xr:uid="{3CCE4833-411D-4775-8B07-7B6516A0464A}"/>
    <cellStyle name="Normal 3 3 6 5" xfId="32171" xr:uid="{D8E88050-58B3-4025-B940-C2FEDD84F5F0}"/>
    <cellStyle name="Normal 3 3 7" xfId="13423" xr:uid="{E55F7AC5-DDF0-4A7D-B0D7-A2136F942CEC}"/>
    <cellStyle name="Normal 3 3 7 2" xfId="29606" xr:uid="{6B05A821-3296-43D5-957B-BD9037BB9E2C}"/>
    <cellStyle name="Normal 3 3 7 2 2" xfId="25737" xr:uid="{F4A5FFCC-5A06-42D0-9B22-1A95FD315936}"/>
    <cellStyle name="Normal 3 3 7 2 2 2" xfId="24352" xr:uid="{7E42245F-F8E9-4F99-8206-8ED1EB486568}"/>
    <cellStyle name="Normal 3 3 7 2 3" xfId="29599" xr:uid="{27093819-3502-4957-82E9-DC15266C68FF}"/>
    <cellStyle name="Normal 3 3 7 3" xfId="13038" xr:uid="{A2FDB90B-488E-4C0E-8206-AEA8AF950C69}"/>
    <cellStyle name="Normal 3 3 7 3 2" xfId="29597" xr:uid="{99C8AD6A-2F2B-4014-8E17-67B6E90EAD1B}"/>
    <cellStyle name="Normal 3 3 7 4" xfId="32757" xr:uid="{7A65C7BC-E5FB-40FA-A58F-174B02173D7E}"/>
    <cellStyle name="Normal 3 3 8" xfId="28855" xr:uid="{74C5B891-2812-45B3-B496-9528458A4420}"/>
    <cellStyle name="Normal 3 3 8 2" xfId="29589" xr:uid="{D118D402-00BC-41F2-9951-0384D53C48E9}"/>
    <cellStyle name="Normal 3 3 8 2 2" xfId="29587" xr:uid="{818C7037-5FD1-4877-88B4-705C14974D27}"/>
    <cellStyle name="Normal 3 3 8 3" xfId="23259" xr:uid="{83E10C86-E5CB-4792-A6F8-865402952AA7}"/>
    <cellStyle name="Normal 3 3 9" xfId="25625" xr:uid="{CF268B92-4349-4B63-A09E-3A1DEFFA005F}"/>
    <cellStyle name="Normal 3 3 9 2" xfId="29582" xr:uid="{7E854BCC-7828-4C3F-A5A4-1C7FF3B4DBAE}"/>
    <cellStyle name="Normal 3 4" xfId="136" xr:uid="{BB8B641B-B4B2-41D6-A90D-AA44CDA9EC23}"/>
    <cellStyle name="Normal 3 4 10" xfId="34490" xr:uid="{752B43D7-A42B-4A32-8F55-808A57AAEEB4}"/>
    <cellStyle name="Normal 3 4 2" xfId="32945" xr:uid="{021847D9-2DC6-4095-87BA-1957431CA03A}"/>
    <cellStyle name="Normal 3 4 2 2" xfId="8423" xr:uid="{1070B959-25BC-4366-8FBF-0B874A9D3D65}"/>
    <cellStyle name="Normal 3 4 2 2 2" xfId="4736" xr:uid="{7F943885-78F1-4885-8830-D37BF97BF06C}"/>
    <cellStyle name="Normal 3 4 2 2 2 2" xfId="4735" xr:uid="{2A6255FE-6437-42E8-9F31-56CC55628E34}"/>
    <cellStyle name="Normal 3 4 2 2 2 2 2" xfId="4734" xr:uid="{A599BA92-FB72-4F55-A080-8368AB1551F1}"/>
    <cellStyle name="Normal 3 4 2 2 2 2 2 2" xfId="4733" xr:uid="{EB86B963-1392-4D62-9C9D-15BF2D5686F5}"/>
    <cellStyle name="Normal 3 4 2 2 2 2 2 2 2" xfId="4731" xr:uid="{ADE09D38-0F01-4698-B07F-3ACC42A22810}"/>
    <cellStyle name="Normal 3 4 2 2 2 2 2 2 2 2" xfId="4730" xr:uid="{BF0B6F36-DFFF-403E-9D25-5EF652AA8748}"/>
    <cellStyle name="Normal 3 4 2 2 2 2 2 2 3" xfId="4729" xr:uid="{51E42CCD-1048-49F6-B14B-DCD4A367D753}"/>
    <cellStyle name="Normal 3 4 2 2 2 2 2 3" xfId="26012" xr:uid="{0A26988D-1B1B-4B58-8F6A-27016A7D7481}"/>
    <cellStyle name="Normal 3 4 2 2 2 2 2 3 2" xfId="4728" xr:uid="{D8309A1C-49D1-4A12-9AF6-0479E06E0DE4}"/>
    <cellStyle name="Normal 3 4 2 2 2 2 2 4" xfId="18287" xr:uid="{8AC6EF3D-11A1-4E41-836D-A7DF7612F023}"/>
    <cellStyle name="Normal 3 4 2 2 2 2 3" xfId="4727" xr:uid="{2324EA5F-2028-4CE5-B117-4E4898AE586A}"/>
    <cellStyle name="Normal 3 4 2 2 2 2 3 2" xfId="32549" xr:uid="{BFF5A52A-EDB8-4473-8A32-DC02B49E79A7}"/>
    <cellStyle name="Normal 3 4 2 2 2 2 3 2 2" xfId="31291" xr:uid="{51A9FEB9-4AF9-4728-95F5-EBA40D043615}"/>
    <cellStyle name="Normal 3 4 2 2 2 2 3 3" xfId="31578" xr:uid="{603A69F9-8016-4EE9-8A4B-1182F0FEF1AB}"/>
    <cellStyle name="Normal 3 4 2 2 2 2 4" xfId="4726" xr:uid="{2B86AC15-5BFD-4E2F-B5F9-E42B81F8C84F}"/>
    <cellStyle name="Normal 3 4 2 2 2 2 4 2" xfId="31271" xr:uid="{BAFE2958-9502-4052-9253-46EE814849D7}"/>
    <cellStyle name="Normal 3 4 2 2 2 2 5" xfId="4725" xr:uid="{5D4437A4-6821-4171-B2C3-B8B1B9D53BD8}"/>
    <cellStyle name="Normal 3 4 2 2 2 3" xfId="4724" xr:uid="{1CA836CD-EC2A-47CD-AB54-558E570592B3}"/>
    <cellStyle name="Normal 3 4 2 2 2 3 2" xfId="12895" xr:uid="{9D6B627E-B00C-49D5-8BE1-82D9321EB86E}"/>
    <cellStyle name="Normal 3 4 2 2 2 3 2 2" xfId="10291" xr:uid="{B8CF0BFB-97F8-4530-9B87-014523CAA14B}"/>
    <cellStyle name="Normal 3 4 2 2 2 3 2 2 2" xfId="4723" xr:uid="{4E9B7C82-159B-486B-8F60-99DA321171D5}"/>
    <cellStyle name="Normal 3 4 2 2 2 3 2 3" xfId="4722" xr:uid="{117C73B2-8096-4E8C-A76E-B7DBF9D13EBD}"/>
    <cellStyle name="Normal 3 4 2 2 2 3 3" xfId="6468" xr:uid="{99612C72-DBA1-413D-96E6-723E115FA6DA}"/>
    <cellStyle name="Normal 3 4 2 2 2 3 3 2" xfId="29025" xr:uid="{459788B7-8648-4FEB-A1A8-4FB48098E7BC}"/>
    <cellStyle name="Normal 3 4 2 2 2 3 4" xfId="6364" xr:uid="{8D8DFD66-5E12-4215-89A1-86DC91BA4A9F}"/>
    <cellStyle name="Normal 3 4 2 2 2 4" xfId="4721" xr:uid="{2CF225D9-2017-4F14-9818-F0C89CA4890F}"/>
    <cellStyle name="Normal 3 4 2 2 2 4 2" xfId="5527" xr:uid="{9F67FC67-7BD3-49A9-A77A-E1CB6BD4CBE4}"/>
    <cellStyle name="Normal 3 4 2 2 2 4 2 2" xfId="31072" xr:uid="{1B05A71A-33C2-48CC-9B14-993D164E3E9C}"/>
    <cellStyle name="Normal 3 4 2 2 2 4 3" xfId="5524" xr:uid="{7CAC877F-E60B-4B14-90E4-8B3786BA4643}"/>
    <cellStyle name="Normal 3 4 2 2 2 5" xfId="4720" xr:uid="{70ADC4E3-FBB7-4F95-AF3B-AB516847D865}"/>
    <cellStyle name="Normal 3 4 2 2 2 5 2" xfId="6796" xr:uid="{1074382F-360F-4EC3-B75C-CD49EEDB987D}"/>
    <cellStyle name="Normal 3 4 2 2 2 6" xfId="4719" xr:uid="{FB82C379-BBC6-4403-8D18-3825E0C02E52}"/>
    <cellStyle name="Normal 3 4 2 2 3" xfId="4718" xr:uid="{1810E178-8557-4ABF-938F-A724C1F51760}"/>
    <cellStyle name="Normal 3 4 2 2 3 2" xfId="4717" xr:uid="{142A2542-BD5C-46B6-B4C2-674897543598}"/>
    <cellStyle name="Normal 3 4 2 2 3 2 2" xfId="4716" xr:uid="{410DCB6C-8A71-485C-97C4-5ECE8890DFEB}"/>
    <cellStyle name="Normal 3 4 2 2 3 2 2 2" xfId="4715" xr:uid="{9A50F791-09FB-465C-B1E4-A2D44BA45744}"/>
    <cellStyle name="Normal 3 4 2 2 3 2 2 2 2" xfId="4714" xr:uid="{ED7F9BF0-7274-4B54-B407-0666A1B8F482}"/>
    <cellStyle name="Normal 3 4 2 2 3 2 2 3" xfId="4713" xr:uid="{532824B9-5BBB-47F8-AD50-C12A85D3EA02}"/>
    <cellStyle name="Normal 3 4 2 2 3 2 3" xfId="4712" xr:uid="{FB78477A-5A52-4956-9860-B4442FB8B2AB}"/>
    <cellStyle name="Normal 3 4 2 2 3 2 3 2" xfId="33011" xr:uid="{F671E15C-4635-4680-AD37-8E8F4525A9DD}"/>
    <cellStyle name="Normal 3 4 2 2 3 2 4" xfId="4711" xr:uid="{95AE6CDA-C9BB-4871-909B-B8CF727538F5}"/>
    <cellStyle name="Normal 3 4 2 2 3 3" xfId="22635" xr:uid="{741D04E1-94A7-4C9B-9473-3CCCE77F781B}"/>
    <cellStyle name="Normal 3 4 2 2 3 3 2" xfId="4710" xr:uid="{D137ACB4-1D14-4F0F-BB6C-0C2020B625D3}"/>
    <cellStyle name="Normal 3 4 2 2 3 3 2 2" xfId="7948" xr:uid="{F874593E-1C1F-4B72-BCA8-FD284D6C5969}"/>
    <cellStyle name="Normal 3 4 2 2 3 3 3" xfId="32554" xr:uid="{4D1AB61A-C0DE-4B9E-9555-BDE91BAD450B}"/>
    <cellStyle name="Normal 3 4 2 2 3 4" xfId="19631" xr:uid="{517390A6-BD00-4798-BDE6-74C8CE5A1F35}"/>
    <cellStyle name="Normal 3 4 2 2 3 4 2" xfId="4709" xr:uid="{DB0A7A3D-10FA-4F7E-AF31-47ED2B50C5D0}"/>
    <cellStyle name="Normal 3 4 2 2 3 5" xfId="4708" xr:uid="{57E721FA-3C48-478E-8C46-9B969921DD0E}"/>
    <cellStyle name="Normal 3 4 2 2 4" xfId="4707" xr:uid="{D946D9AB-D809-4694-82BF-B09AFC3BDF44}"/>
    <cellStyle name="Normal 3 4 2 2 4 2" xfId="4706" xr:uid="{0656FF03-9798-4AED-A17E-F2335FE591EF}"/>
    <cellStyle name="Normal 3 4 2 2 4 2 2" xfId="4705" xr:uid="{C6398ACB-8EE2-4B04-B7B2-92BDE8860C45}"/>
    <cellStyle name="Normal 3 4 2 2 4 2 2 2" xfId="4704" xr:uid="{CDBE0695-B69E-4CCF-BFEC-8E3CA9D7EE95}"/>
    <cellStyle name="Normal 3 4 2 2 4 2 3" xfId="4703" xr:uid="{FCA84012-6BD9-4E72-9D12-FC1BA28134EC}"/>
    <cellStyle name="Normal 3 4 2 2 4 3" xfId="19625" xr:uid="{3A1FF8CF-4D78-47CF-B930-0F3AC97402AC}"/>
    <cellStyle name="Normal 3 4 2 2 4 3 2" xfId="4702" xr:uid="{E33C3AD5-FCD9-4B7D-A566-A91120C097EC}"/>
    <cellStyle name="Normal 3 4 2 2 4 4" xfId="4701" xr:uid="{FABB10C2-ACB5-498B-9386-4A00900C5BED}"/>
    <cellStyle name="Normal 3 4 2 2 5" xfId="5950" xr:uid="{D9DB985E-ABCA-4C05-BB3A-8077E89D2259}"/>
    <cellStyle name="Normal 3 4 2 2 5 2" xfId="12820" xr:uid="{EC5F9E2A-8F21-4EC4-AF40-C62E208ABFB9}"/>
    <cellStyle name="Normal 3 4 2 2 5 2 2" xfId="18846" xr:uid="{1D75499E-78C0-4B5F-A860-4E264CB90257}"/>
    <cellStyle name="Normal 3 4 2 2 5 3" xfId="12816" xr:uid="{25500BDF-5426-4598-B9DD-49911C7EBAD1}"/>
    <cellStyle name="Normal 3 4 2 2 6" xfId="11160" xr:uid="{885CD217-49BA-4964-9C8A-C0752210C4D8}"/>
    <cellStyle name="Normal 3 4 2 2 6 2" xfId="12761" xr:uid="{3D800FFC-224F-47ED-8DF2-EB810E746717}"/>
    <cellStyle name="Normal 3 4 2 2 7" xfId="11154" xr:uid="{8EC13F23-6E74-411A-A15A-9080F914455C}"/>
    <cellStyle name="Normal 3 4 2 3" xfId="8419" xr:uid="{A996251C-F67E-4B98-96B9-F20A98C05A5D}"/>
    <cellStyle name="Normal 3 4 2 3 2" xfId="4700" xr:uid="{707828C4-D010-4862-8380-59210AE38D0D}"/>
    <cellStyle name="Normal 3 4 2 3 2 2" xfId="4699" xr:uid="{2FCEA93C-2420-4B41-A883-FA258B0B898A}"/>
    <cellStyle name="Normal 3 4 2 3 2 2 2" xfId="19565" xr:uid="{33B48EAD-F742-41CE-909A-374A713706FA}"/>
    <cellStyle name="Normal 3 4 2 3 2 2 2 2" xfId="19559" xr:uid="{840938F7-E1F9-4DB3-8904-49EE9CCC715A}"/>
    <cellStyle name="Normal 3 4 2 3 2 2 2 2 2" xfId="15912" xr:uid="{02A2333D-3009-4AF4-808C-CB3F12A14482}"/>
    <cellStyle name="Normal 3 4 2 3 2 2 2 3" xfId="4698" xr:uid="{6DD07043-EA30-4A94-94A8-75F75047966F}"/>
    <cellStyle name="Normal 3 4 2 3 2 2 3" xfId="19159" xr:uid="{EBAE4390-C043-4204-82AB-BB9A19DD1B56}"/>
    <cellStyle name="Normal 3 4 2 3 2 2 3 2" xfId="12474" xr:uid="{FEC843A6-534E-471C-93CD-BF43246DD904}"/>
    <cellStyle name="Normal 3 4 2 3 2 2 4" xfId="20825" xr:uid="{322BD5B5-11DD-4401-B9DC-7225DDA9B724}"/>
    <cellStyle name="Normal 3 4 2 3 2 3" xfId="4697" xr:uid="{61557754-6E6B-4CF1-BACC-97EF092095BA}"/>
    <cellStyle name="Normal 3 4 2 3 2 3 2" xfId="19551" xr:uid="{CFF0ED19-E8E7-4066-A612-0421575A3483}"/>
    <cellStyle name="Normal 3 4 2 3 2 3 2 2" xfId="4696" xr:uid="{8A3DE939-E8CE-4BA7-9426-8B0FA27EEE87}"/>
    <cellStyle name="Normal 3 4 2 3 2 3 3" xfId="33506" xr:uid="{5670E696-31D8-45A9-9034-020EB4B73BEA}"/>
    <cellStyle name="Normal 3 4 2 3 2 4" xfId="4694" xr:uid="{21F1594F-0D14-4DA4-8658-B9FAB03DC647}"/>
    <cellStyle name="Normal 3 4 2 3 2 4 2" xfId="4693" xr:uid="{EB9ECDAC-90C5-42B1-AF71-8EBA09A312EB}"/>
    <cellStyle name="Normal 3 4 2 3 2 5" xfId="9528" xr:uid="{D8733319-7E3C-4C09-8DE5-127FB22373A0}"/>
    <cellStyle name="Normal 3 4 2 3 3" xfId="4692" xr:uid="{F3C79208-9D0F-4A58-8CC7-0B7A77B17137}"/>
    <cellStyle name="Normal 3 4 2 3 3 2" xfId="4691" xr:uid="{3EBD60B9-EF5E-4B85-BD62-0B3E3C8B19A8}"/>
    <cellStyle name="Normal 3 4 2 3 3 2 2" xfId="24717" xr:uid="{6DC2F796-ED4F-4BE8-8D72-615C2D9AC7EA}"/>
    <cellStyle name="Normal 3 4 2 3 3 2 2 2" xfId="4690" xr:uid="{AC2D8405-1A95-4D7E-9AC2-D6D5B5328887}"/>
    <cellStyle name="Normal 3 4 2 3 3 2 3" xfId="34263" xr:uid="{B7C2AC58-9213-49BE-862C-3E735DE9232F}"/>
    <cellStyle name="Normal 3 4 2 3 3 3" xfId="19623" xr:uid="{EC4FF8AE-A18B-457F-A196-882545A0373D}"/>
    <cellStyle name="Normal 3 4 2 3 3 3 2" xfId="4689" xr:uid="{2B88A63F-B712-4881-96BF-7DAE637F6D4D}"/>
    <cellStyle name="Normal 3 4 2 3 3 4" xfId="4688" xr:uid="{54E702ED-9F97-4919-8DD3-A0F09FB86B56}"/>
    <cellStyle name="Normal 3 4 2 3 4" xfId="4687" xr:uid="{61ADCF5E-25AE-497D-A9C5-FF5BD0201A43}"/>
    <cellStyle name="Normal 3 4 2 3 4 2" xfId="4686" xr:uid="{BC3320D1-8B37-4A4D-A8E5-D76ED78014E6}"/>
    <cellStyle name="Normal 3 4 2 3 4 2 2" xfId="4685" xr:uid="{3CD7B697-C6D0-4080-A544-EC8912681BDF}"/>
    <cellStyle name="Normal 3 4 2 3 4 3" xfId="4684" xr:uid="{FA0D0D90-2B9B-4782-93F3-FE8102BE4B58}"/>
    <cellStyle name="Normal 3 4 2 3 5" xfId="17054" xr:uid="{A6BB7D70-F988-42AA-A330-413FE358BC21}"/>
    <cellStyle name="Normal 3 4 2 3 5 2" xfId="17048" xr:uid="{F17B2B6C-8627-420E-9C55-C2BCD058B466}"/>
    <cellStyle name="Normal 3 4 2 3 6" xfId="17040" xr:uid="{7D9008CA-C32E-4823-A287-79B5BA1A7A8D}"/>
    <cellStyle name="Normal 3 4 2 4" xfId="8415" xr:uid="{59B03DF7-4BF0-44AC-8F94-37B2865FAA7B}"/>
    <cellStyle name="Normal 3 4 2 4 2" xfId="4683" xr:uid="{087C0FC4-ADCA-448D-975C-EF28DE844C10}"/>
    <cellStyle name="Normal 3 4 2 4 2 2" xfId="4682" xr:uid="{71779AF8-7056-4151-A424-60E16B4A37C1}"/>
    <cellStyle name="Normal 3 4 2 4 2 2 2" xfId="19267" xr:uid="{F02CBDC9-D331-4618-9CAE-9B1D3238C239}"/>
    <cellStyle name="Normal 3 4 2 4 2 2 2 2" xfId="4681" xr:uid="{11DECA56-FAA6-44A3-94FE-BC619B92E80B}"/>
    <cellStyle name="Normal 3 4 2 4 2 2 3" xfId="4680" xr:uid="{853BD32B-305A-40C3-A85D-923A9007D28F}"/>
    <cellStyle name="Normal 3 4 2 4 2 3" xfId="4679" xr:uid="{E644693A-F1F1-4649-A4FC-C3B9B739F822}"/>
    <cellStyle name="Normal 3 4 2 4 2 3 2" xfId="4678" xr:uid="{2323DF81-2B88-4C6E-BE3C-24AD984CFA0B}"/>
    <cellStyle name="Normal 3 4 2 4 2 4" xfId="4677" xr:uid="{3D5C6D0B-7DDE-4D63-9446-6EB7FE1069BE}"/>
    <cellStyle name="Normal 3 4 2 4 3" xfId="4676" xr:uid="{9411DC93-3C0F-479D-824D-757CF6CB32D3}"/>
    <cellStyle name="Normal 3 4 2 4 3 2" xfId="4675" xr:uid="{FC6833BE-223B-46AF-A5FD-60DD70893AE5}"/>
    <cellStyle name="Normal 3 4 2 4 3 2 2" xfId="4674" xr:uid="{F33785D3-39C0-4151-8076-8E1CF4E14DB5}"/>
    <cellStyle name="Normal 3 4 2 4 3 3" xfId="4673" xr:uid="{BF22ADB1-5978-4788-AD6D-D80D2B9513B6}"/>
    <cellStyle name="Normal 3 4 2 4 4" xfId="4672" xr:uid="{CB70F717-91A6-47E0-ADF5-22C96E327878}"/>
    <cellStyle name="Normal 3 4 2 4 4 2" xfId="11979" xr:uid="{47AA0ABD-05D3-43C4-BD81-4A8E51117448}"/>
    <cellStyle name="Normal 3 4 2 4 5" xfId="17031" xr:uid="{BEEEF6AB-4788-46D2-9C1E-B3BD487BE722}"/>
    <cellStyle name="Normal 3 4 2 5" xfId="26508" xr:uid="{EA759E93-E9DF-453F-8E9E-0828147CBE1D}"/>
    <cellStyle name="Normal 3 4 2 5 2" xfId="17019" xr:uid="{C6E5D6EF-0649-4726-AB2F-F584176E1224}"/>
    <cellStyle name="Normal 3 4 2 5 2 2" xfId="4671" xr:uid="{CE75BDBD-1BC4-45EC-8ED4-8DD7FABB3A78}"/>
    <cellStyle name="Normal 3 4 2 5 2 2 2" xfId="4670" xr:uid="{D994D157-0DF3-489B-BB14-F9D924C1AE7F}"/>
    <cellStyle name="Normal 3 4 2 5 2 3" xfId="4669" xr:uid="{C8C01AA3-3A98-42FB-A847-59B08853A0E8}"/>
    <cellStyle name="Normal 3 4 2 5 3" xfId="4668" xr:uid="{A2F72105-4FFC-43B3-95A2-A932C2E110F6}"/>
    <cellStyle name="Normal 3 4 2 5 3 2" xfId="4667" xr:uid="{6CABDB60-96DA-4252-B915-8034D75AD723}"/>
    <cellStyle name="Normal 3 4 2 5 4" xfId="4666" xr:uid="{47419D28-DD7A-483E-8655-31EDA9C06D85}"/>
    <cellStyle name="Normal 3 4 2 6" xfId="4665" xr:uid="{257ED6BF-8087-4426-A64F-6AE8153B3163}"/>
    <cellStyle name="Normal 3 4 2 6 2" xfId="4664" xr:uid="{6A858F73-E918-4814-99C4-56405081B35D}"/>
    <cellStyle name="Normal 3 4 2 6 2 2" xfId="4663" xr:uid="{799C688D-091A-43CA-8372-5A5EC10243F6}"/>
    <cellStyle name="Normal 3 4 2 6 3" xfId="28931" xr:uid="{86BFB54A-843B-433A-A39A-DE2201FE549E}"/>
    <cellStyle name="Normal 3 4 2 7" xfId="4662" xr:uid="{DAA2E1DC-2FB4-4BC1-8F4F-4991BA1D1DAC}"/>
    <cellStyle name="Normal 3 4 2 7 2" xfId="4661" xr:uid="{4EFA244C-94C6-41A7-B394-4F42FCC977CE}"/>
    <cellStyle name="Normal 3 4 2 8" xfId="4660" xr:uid="{8D72333E-3E32-43CD-92D8-486415F02A2C}"/>
    <cellStyle name="Normal 3 4 3" xfId="13917" xr:uid="{69DA46DF-0074-4581-B70D-52B714CCDA8F}"/>
    <cellStyle name="Normal 3 4 3 2" xfId="13914" xr:uid="{E3469BD8-C80F-4842-AF58-C156C215DAA4}"/>
    <cellStyle name="Normal 3 4 3 2 2" xfId="4659" xr:uid="{BF33F211-1E8D-40FD-811C-7C3821A26466}"/>
    <cellStyle name="Normal 3 4 3 2 2 2" xfId="4658" xr:uid="{C7B91C1F-8459-4BB3-98F0-92768C8A995D}"/>
    <cellStyle name="Normal 3 4 3 2 2 2 2" xfId="33148" xr:uid="{61DCD060-CC01-43B4-933F-2469E76F2AC9}"/>
    <cellStyle name="Normal 3 4 3 2 2 2 2 2" xfId="6504" xr:uid="{D97B28BF-B342-4C53-B6AF-0546044DFF87}"/>
    <cellStyle name="Normal 3 4 3 2 2 2 2 2 2" xfId="26467" xr:uid="{9AEA837C-FB77-4041-8CBB-8D51508BFBB4}"/>
    <cellStyle name="Normal 3 4 3 2 2 2 2 3" xfId="6502" xr:uid="{5BC84FAF-5E28-40A8-96BF-0F06ADEC0693}"/>
    <cellStyle name="Normal 3 4 3 2 2 2 3" xfId="15104" xr:uid="{B546E315-E28C-4BF8-BC2B-ACC6E33E0563}"/>
    <cellStyle name="Normal 3 4 3 2 2 2 3 2" xfId="6500" xr:uid="{0C38D800-4D84-4AED-AF7A-7BF75228EDD7}"/>
    <cellStyle name="Normal 3 4 3 2 2 2 4" xfId="33594" xr:uid="{7DFC9EAA-2274-4129-952B-74ABC8311EF0}"/>
    <cellStyle name="Normal 3 4 3 2 2 3" xfId="4657" xr:uid="{FF25DCC0-EB41-4A30-8A7A-5F200582C5BD}"/>
    <cellStyle name="Normal 3 4 3 2 2 3 2" xfId="6427" xr:uid="{EBD30C9B-AEB8-4FE3-828F-E2BBCA3B2986}"/>
    <cellStyle name="Normal 3 4 3 2 2 3 2 2" xfId="6425" xr:uid="{18A3A56A-CADE-4D10-A30D-FF9706AAED61}"/>
    <cellStyle name="Normal 3 4 3 2 2 3 3" xfId="15098" xr:uid="{E1DD5A62-1C7B-4529-83E4-F4842A7D4AC6}"/>
    <cellStyle name="Normal 3 4 3 2 2 4" xfId="4656" xr:uid="{C4247170-7A68-419A-A589-D18255F280FC}"/>
    <cellStyle name="Normal 3 4 3 2 2 4 2" xfId="6379" xr:uid="{D13B9A68-8E89-45FA-86AD-ED8999849140}"/>
    <cellStyle name="Normal 3 4 3 2 2 5" xfId="4654" xr:uid="{462A7A8F-D4B6-488E-BC2D-0557D4FC267C}"/>
    <cellStyle name="Normal 3 4 3 2 3" xfId="4653" xr:uid="{46CDBDA7-6358-4E35-B4EA-07B642E224EF}"/>
    <cellStyle name="Normal 3 4 3 2 3 2" xfId="25838" xr:uid="{CF901F6A-A6D6-41C7-BD48-67A7326E166A}"/>
    <cellStyle name="Normal 3 4 3 2 3 2 2" xfId="32819" xr:uid="{0FD3B5ED-D687-46EB-A0C1-4A089B0ACBA6}"/>
    <cellStyle name="Normal 3 4 3 2 3 2 2 2" xfId="23328" xr:uid="{E8B13D71-8574-4677-BAC5-9CCBDBA7748F}"/>
    <cellStyle name="Normal 3 4 3 2 3 2 3" xfId="23323" xr:uid="{E287B878-04E6-4288-87A0-D4B9DA7477EF}"/>
    <cellStyle name="Normal 3 4 3 2 3 3" xfId="19595" xr:uid="{06449C06-ED5F-439D-B9A2-06CC73DAC477}"/>
    <cellStyle name="Normal 3 4 3 2 3 3 2" xfId="31507" xr:uid="{CDDC4F6B-EA4C-4CCE-95F8-CA6C92ACC2D6}"/>
    <cellStyle name="Normal 3 4 3 2 3 4" xfId="4652" xr:uid="{3864B73C-ED33-4DF4-AB9F-95DD618240D3}"/>
    <cellStyle name="Normal 3 4 3 2 4" xfId="4651" xr:uid="{F4237E34-FE31-404C-B7B4-34A992BA5BAD}"/>
    <cellStyle name="Normal 3 4 3 2 4 2" xfId="4650" xr:uid="{C92A540C-F3E7-48C3-A26B-760C9A95A310}"/>
    <cellStyle name="Normal 3 4 3 2 4 2 2" xfId="24705" xr:uid="{1BB77D68-2485-4DC5-A722-AC1E65A336CF}"/>
    <cellStyle name="Normal 3 4 3 2 4 3" xfId="4649" xr:uid="{04665D91-201C-4144-B466-29D4896CB342}"/>
    <cellStyle name="Normal 3 4 3 2 5" xfId="5945" xr:uid="{E91C0B4F-523E-480B-9541-031D5F1DEB7C}"/>
    <cellStyle name="Normal 3 4 3 2 5 2" xfId="10406" xr:uid="{6C5B1280-A041-451B-99BC-A3B8B1A38A3B}"/>
    <cellStyle name="Normal 3 4 3 2 6" xfId="11141" xr:uid="{AA761BC6-5F4C-48D7-B983-5B69DBC88858}"/>
    <cellStyle name="Normal 3 4 3 3" xfId="8402" xr:uid="{41359C91-A1BC-4B8F-AC61-2805FDBDA786}"/>
    <cellStyle name="Normal 3 4 3 3 2" xfId="4648" xr:uid="{B108EDE1-2116-4F58-97AF-3D910FCFF488}"/>
    <cellStyle name="Normal 3 4 3 3 2 2" xfId="4647" xr:uid="{3B0D8298-10BE-452F-A60C-5F2999BCF67B}"/>
    <cellStyle name="Normal 3 4 3 3 2 2 2" xfId="32679" xr:uid="{F2D4E491-DD89-47FC-932A-D6E33924CCCB}"/>
    <cellStyle name="Normal 3 4 3 3 2 2 2 2" xfId="29242" xr:uid="{E9FFD988-C44B-4B5B-8156-225D579A2557}"/>
    <cellStyle name="Normal 3 4 3 3 2 2 3" xfId="4646" xr:uid="{8910B1F5-74A3-45F1-8AA4-14E5F9778613}"/>
    <cellStyle name="Normal 3 4 3 3 2 3" xfId="4645" xr:uid="{84EE40A5-D409-4ED7-A1B8-96D0DA6A36CC}"/>
    <cellStyle name="Normal 3 4 3 3 2 3 2" xfId="4644" xr:uid="{07B87B85-9F96-46BA-BAF2-758BDC304884}"/>
    <cellStyle name="Normal 3 4 3 3 2 4" xfId="4643" xr:uid="{55D2C337-FA22-4379-8989-6DF3961D23FA}"/>
    <cellStyle name="Normal 3 4 3 3 3" xfId="4642" xr:uid="{71FDE088-C3FC-4650-8FE3-32CABE0E6BC9}"/>
    <cellStyle name="Normal 3 4 3 3 3 2" xfId="4641" xr:uid="{99EBCB24-DC9E-46A8-9830-0A9657AA44AC}"/>
    <cellStyle name="Normal 3 4 3 3 3 2 2" xfId="4640" xr:uid="{17AFCE47-8FA0-4862-B16B-8903109CB055}"/>
    <cellStyle name="Normal 3 4 3 3 3 3" xfId="4639" xr:uid="{2AF19572-F105-4CE1-9160-C02753FB58DF}"/>
    <cellStyle name="Normal 3 4 3 3 4" xfId="32874" xr:uid="{8D647503-2279-48C1-BE07-5800C5FA3A25}"/>
    <cellStyle name="Normal 3 4 3 3 4 2" xfId="4638" xr:uid="{061BC895-23E1-421E-BDB9-1BF743AA7DB1}"/>
    <cellStyle name="Normal 3 4 3 3 5" xfId="29149" xr:uid="{A401CE3F-E8B3-4702-ADAF-7582712AFD55}"/>
    <cellStyle name="Normal 3 4 3 4" xfId="8399" xr:uid="{3D7493C6-8C30-4341-AAF1-5612652466D0}"/>
    <cellStyle name="Normal 3 4 3 4 2" xfId="4637" xr:uid="{816848C8-1C16-43D2-8356-5ED9E0B27AB7}"/>
    <cellStyle name="Normal 3 4 3 4 2 2" xfId="4636" xr:uid="{59E089B3-F9C6-4807-AB31-8CC7FFE4DE02}"/>
    <cellStyle name="Normal 3 4 3 4 2 2 2" xfId="4635" xr:uid="{ECC8D90E-7D77-4232-B77A-9ECA0B29EA8A}"/>
    <cellStyle name="Normal 3 4 3 4 2 3" xfId="4634" xr:uid="{2EB6738C-5494-4230-A620-417518A97D40}"/>
    <cellStyle name="Normal 3 4 3 4 3" xfId="4633" xr:uid="{8B058D7F-0B52-4DD0-AF6B-F2DEDF53A7F8}"/>
    <cellStyle name="Normal 3 4 3 4 3 2" xfId="4632" xr:uid="{B7FAD638-AD21-493D-A991-C3B66DF0BD78}"/>
    <cellStyle name="Normal 3 4 3 4 4" xfId="4630" xr:uid="{726EB71C-A889-46C4-B823-715927495C11}"/>
    <cellStyle name="Normal 3 4 3 5" xfId="4629" xr:uid="{54E075F7-15AF-44C8-8F0D-21A51E3B0F5E}"/>
    <cellStyle name="Normal 3 4 3 5 2" xfId="22865" xr:uid="{61C0D33B-36E1-4056-92EC-C631EFDFA637}"/>
    <cellStyle name="Normal 3 4 3 5 2 2" xfId="31224" xr:uid="{FED656BD-4F5F-488A-A803-35E736B3CCF9}"/>
    <cellStyle name="Normal 3 4 3 5 3" xfId="26622" xr:uid="{70DD3784-C7EA-462D-BA08-6B9909BDC8D1}"/>
    <cellStyle name="Normal 3 4 3 6" xfId="4628" xr:uid="{CD29AE88-A9C6-440E-B2EC-A3C1DCA41C91}"/>
    <cellStyle name="Normal 3 4 3 6 2" xfId="22853" xr:uid="{4D50DF74-1585-4EA7-924B-2D3F79541C25}"/>
    <cellStyle name="Normal 3 4 3 7" xfId="4627" xr:uid="{07D4AE3D-6325-487C-8C2B-09EE31A57346}"/>
    <cellStyle name="Normal 3 4 4" xfId="13911" xr:uid="{7DAE224F-21BD-4A7A-8E80-7E6CBA1AA767}"/>
    <cellStyle name="Normal 3 4 4 2" xfId="25210" xr:uid="{5CCCA126-BDE8-4B4C-93EF-B671E8B47BBC}"/>
    <cellStyle name="Normal 3 4 4 2 2" xfId="29556" xr:uid="{2FB35B2B-6613-4818-AD6F-5E73DD4687E7}"/>
    <cellStyle name="Normal 3 4 4 2 2 2" xfId="29546" xr:uid="{137D7A64-57B0-415D-A94E-C20AB9A50B3E}"/>
    <cellStyle name="Normal 3 4 4 2 2 2 2" xfId="4626" xr:uid="{90E15A81-A613-408F-8778-3C8B1F3C4039}"/>
    <cellStyle name="Normal 3 4 4 2 2 2 2 2" xfId="4625" xr:uid="{F30BD163-D337-4AB6-A29A-0658AA920336}"/>
    <cellStyle name="Normal 3 4 4 2 2 2 3" xfId="4624" xr:uid="{EC7F0440-A198-4334-9BE3-838DF1F4EC39}"/>
    <cellStyle name="Normal 3 4 4 2 2 3" xfId="29534" xr:uid="{30C0CC90-CDDC-4C40-84E0-9FDACE9A04F4}"/>
    <cellStyle name="Normal 3 4 4 2 2 3 2" xfId="4623" xr:uid="{64E029F0-5283-46AE-BA30-12310652D7AF}"/>
    <cellStyle name="Normal 3 4 4 2 2 4" xfId="29569" xr:uid="{D8BBD34E-015A-4163-9FED-BE2802533447}"/>
    <cellStyle name="Normal 3 4 4 2 3" xfId="31479" xr:uid="{9BD89433-F64C-42B5-893B-D37B8EE0646D}"/>
    <cellStyle name="Normal 3 4 4 2 3 2" xfId="18472" xr:uid="{FA9BD434-CF36-431B-ABFD-71BF81DC010E}"/>
    <cellStyle name="Normal 3 4 4 2 3 2 2" xfId="4622" xr:uid="{6FDF597D-0A3E-4EC9-8B25-D195B9AEE800}"/>
    <cellStyle name="Normal 3 4 4 2 3 3" xfId="24532" xr:uid="{D4AFF877-7194-4130-AFE3-8F47775E45D6}"/>
    <cellStyle name="Normal 3 4 4 2 4" xfId="31472" xr:uid="{60E8DDA3-4EAC-4A54-BFC2-E8A4E857ED2D}"/>
    <cellStyle name="Normal 3 4 4 2 4 2" xfId="18466" xr:uid="{69BD177C-C17C-4138-A9A2-DC4F2E67BECE}"/>
    <cellStyle name="Normal 3 4 4 2 5" xfId="19707" xr:uid="{B2E6741E-7C8F-4E14-BD07-6B9865103D94}"/>
    <cellStyle name="Normal 3 4 4 3" xfId="8394" xr:uid="{B4BB3699-A69D-405E-9BDB-203056554D1B}"/>
    <cellStyle name="Normal 3 4 4 3 2" xfId="30987" xr:uid="{37102BCB-A3A5-41B8-BF9E-E273CA8BCF15}"/>
    <cellStyle name="Normal 3 4 4 3 2 2" xfId="28013" xr:uid="{414D9A58-C4A3-4409-91E8-894357DEE496}"/>
    <cellStyle name="Normal 3 4 4 3 2 2 2" xfId="4621" xr:uid="{C0306C60-3463-49D0-BD6A-CAF8B3A49AE8}"/>
    <cellStyle name="Normal 3 4 4 3 2 3" xfId="28004" xr:uid="{11A67CEE-18F3-4764-B511-B679E6A17B59}"/>
    <cellStyle name="Normal 3 4 4 3 3" xfId="31460" xr:uid="{63C5EEEE-4C79-434F-AF92-EE512B8924A2}"/>
    <cellStyle name="Normal 3 4 4 3 3 2" xfId="18456" xr:uid="{48B6EA43-95E3-4A3F-BA8B-EE2A194731C7}"/>
    <cellStyle name="Normal 3 4 4 3 4" xfId="28414" xr:uid="{7AF55255-D0F5-4348-81F1-E604B75F9D3F}"/>
    <cellStyle name="Normal 3 4 4 4" xfId="30039" xr:uid="{27333178-628F-4738-B6CF-44ACA3DE216B}"/>
    <cellStyle name="Normal 3 4 4 4 2" xfId="30954" xr:uid="{D2052FAB-E685-47B7-848E-2B85BA751AEC}"/>
    <cellStyle name="Normal 3 4 4 4 2 2" xfId="27973" xr:uid="{D24E2DE1-3018-4DE1-904B-8EEBDD9C7A4C}"/>
    <cellStyle name="Normal 3 4 4 4 3" xfId="29501" xr:uid="{7A3D36F1-0FB0-42D7-ABDE-974817362121}"/>
    <cellStyle name="Normal 3 4 4 5" xfId="30023" xr:uid="{9F2A5FBA-27E3-49AD-8B1F-375BC60D235A}"/>
    <cellStyle name="Normal 3 4 4 5 2" xfId="22797" xr:uid="{771966CE-33BB-4D9B-8974-75C75335ED51}"/>
    <cellStyle name="Normal 3 4 4 6" xfId="29473" xr:uid="{4C9F92C3-6019-42F1-82CF-0710A8ECCFD0}"/>
    <cellStyle name="Normal 3 4 5" xfId="27872" xr:uid="{D56C732B-304D-4643-927D-2AF91CE606E7}"/>
    <cellStyle name="Normal 3 4 5 2" xfId="8391" xr:uid="{5FBA5BCC-F404-4E83-A4CC-0E37E42CFBCB}"/>
    <cellStyle name="Normal 3 4 5 2 2" xfId="29160" xr:uid="{AA6C547C-6AAD-46F8-8DD2-1902AB933FDD}"/>
    <cellStyle name="Normal 3 4 5 2 2 2" xfId="11280" xr:uid="{0CD1FCF0-B7A3-4C15-9DDC-92CA7AC4AF13}"/>
    <cellStyle name="Normal 3 4 5 2 2 2 2" xfId="32078" xr:uid="{4A02BFD1-8E7B-4FF7-A11D-604E0E54FDDC}"/>
    <cellStyle name="Normal 3 4 5 2 2 3" xfId="11270" xr:uid="{CCAD8D32-57EB-45B0-9749-5F5BC24C79DD}"/>
    <cellStyle name="Normal 3 4 5 2 3" xfId="26960" xr:uid="{D6F7622C-122B-4ACA-8F41-9509B02DA4E6}"/>
    <cellStyle name="Normal 3 4 5 2 3 2" xfId="13233" xr:uid="{425CF466-E2D0-4AC0-BE60-3BC47FCB7569}"/>
    <cellStyle name="Normal 3 4 5 2 4" xfId="26044" xr:uid="{B52218A8-3FA4-4D4D-8E63-D63598881E8B}"/>
    <cellStyle name="Normal 3 4 5 3" xfId="29446" xr:uid="{73B4BB67-CA3E-41F9-8B59-2FE840717251}"/>
    <cellStyle name="Normal 3 4 5 3 2" xfId="29577" xr:uid="{3CD25204-1B22-4EFC-BBEF-8007615918BA}"/>
    <cellStyle name="Normal 3 4 5 3 2 2" xfId="27875" xr:uid="{906F16C3-DF60-48A1-A82C-BB4A9852ACCB}"/>
    <cellStyle name="Normal 3 4 5 3 3" xfId="29426" xr:uid="{15486599-EB6F-430D-A594-0BB4F4D241D1}"/>
    <cellStyle name="Normal 3 4 5 4" xfId="28024" xr:uid="{C46AD423-1B44-44E4-A24C-E9C426953C21}"/>
    <cellStyle name="Normal 3 4 5 4 2" xfId="30171" xr:uid="{783B9129-8233-4EB6-B6AB-94F624D62AD8}"/>
    <cellStyle name="Normal 3 4 5 5" xfId="29417" xr:uid="{940F46E6-4263-409D-9188-4D060D4CB0BB}"/>
    <cellStyle name="Normal 3 4 6" xfId="26546" xr:uid="{57A995FB-3BB8-4249-8FEB-E83960F69310}"/>
    <cellStyle name="Normal 3 4 6 2" xfId="29405" xr:uid="{D8AC6822-8C1A-4053-86B8-478CEE0FE02F}"/>
    <cellStyle name="Normal 3 4 6 2 2" xfId="30874" xr:uid="{42845839-4A85-4B63-8685-F65578654D37}"/>
    <cellStyle name="Normal 3 4 6 2 2 2" xfId="10752" xr:uid="{6B328708-7490-4C99-A6EF-8D04399246BA}"/>
    <cellStyle name="Normal 3 4 6 2 3" xfId="27161" xr:uid="{2A9296BD-2A3F-46AC-A295-880035292DA0}"/>
    <cellStyle name="Normal 3 4 6 3" xfId="23245" xr:uid="{8E8A5B96-A1B1-4250-B815-EADCD64A78C8}"/>
    <cellStyle name="Normal 3 4 6 3 2" xfId="30188" xr:uid="{5D92D7B3-BFE8-437A-AE15-1CA26377180D}"/>
    <cellStyle name="Normal 3 4 6 4" xfId="23237" xr:uid="{E72C8EF6-6D8A-43DD-B658-BCF02D68E42F}"/>
    <cellStyle name="Normal 3 4 7" xfId="13420" xr:uid="{63CC6FD2-BD1D-449B-8DA4-197D12ECBA5C}"/>
    <cellStyle name="Normal 3 4 7 2" xfId="23739" xr:uid="{3719AF26-D27B-4506-BCC3-43374DFAE690}"/>
    <cellStyle name="Normal 3 4 7 2 2" xfId="29387" xr:uid="{757795A9-9A72-4E01-96A9-9EE73450D394}"/>
    <cellStyle name="Normal 3 4 7 3" xfId="23229" xr:uid="{90713B80-04CC-4DAF-A1DC-BFFA01102EA3}"/>
    <cellStyle name="Normal 3 4 8" xfId="33185" xr:uid="{4A732244-9099-4BE7-8C98-C0FD88DC7518}"/>
    <cellStyle name="Normal 3 4 8 2" xfId="30343" xr:uid="{AB7407B5-820A-4262-B14E-D13B05E46C86}"/>
    <cellStyle name="Normal 3 4 9" xfId="29380" xr:uid="{E6DFED43-CC36-4514-B874-5C88ABEB162A}"/>
    <cellStyle name="Normal 3 5" xfId="197" xr:uid="{50C7AEDB-8E22-418B-A9E0-15394F82CFB4}"/>
    <cellStyle name="Normal 3 5 2" xfId="25124" xr:uid="{1A61DFB3-D537-4D35-9AFB-C396A2D68BB5}"/>
    <cellStyle name="Normal 3 5 2 2" xfId="25576" xr:uid="{6D970085-E055-463E-AB27-63344356F49C}"/>
    <cellStyle name="Normal 3 5 2 2 2" xfId="4619" xr:uid="{690E8F78-5816-4C5B-BC49-C6C45010936E}"/>
    <cellStyle name="Normal 3 5 2 2 2 2" xfId="4618" xr:uid="{A76C8C05-7075-4C0B-B843-CD0C139E9350}"/>
    <cellStyle name="Normal 3 5 2 2 2 2 2" xfId="9946" xr:uid="{4475B722-B5BD-4627-B0C6-88F732CF698D}"/>
    <cellStyle name="Normal 3 5 2 2 2 2 2 2" xfId="4617" xr:uid="{518EFB72-69FE-4E8D-A6B8-26EE06336E3E}"/>
    <cellStyle name="Normal 3 5 2 2 2 2 2 2 2" xfId="4616" xr:uid="{468BAE08-8F92-43BC-995C-A2A11A892443}"/>
    <cellStyle name="Normal 3 5 2 2 2 2 2 3" xfId="4615" xr:uid="{A27D2688-03C2-4718-9584-801C41420161}"/>
    <cellStyle name="Normal 3 5 2 2 2 2 3" xfId="4614" xr:uid="{BFA32F77-E4A0-4446-B653-01DAF36EED5F}"/>
    <cellStyle name="Normal 3 5 2 2 2 2 3 2" xfId="4613" xr:uid="{2B27E0D0-607A-42DA-BC21-E469FD86DEEC}"/>
    <cellStyle name="Normal 3 5 2 2 2 2 4" xfId="4612" xr:uid="{BD8846DE-A8B0-4032-9BE9-12919D9C5639}"/>
    <cellStyle name="Normal 3 5 2 2 2 3" xfId="4611" xr:uid="{489EB22E-124C-43D8-A803-F2BD6B3036FD}"/>
    <cellStyle name="Normal 3 5 2 2 2 3 2" xfId="4610" xr:uid="{A15AFD8F-DE77-4325-BEBF-C4691F375879}"/>
    <cellStyle name="Normal 3 5 2 2 2 3 2 2" xfId="4609" xr:uid="{441ADAA3-9050-4360-A362-8EB9B0691D25}"/>
    <cellStyle name="Normal 3 5 2 2 2 3 3" xfId="12441" xr:uid="{171A2293-BD2F-439B-AF87-845A3B131826}"/>
    <cellStyle name="Normal 3 5 2 2 2 4" xfId="4608" xr:uid="{DA6BB841-8635-4CCC-AB21-C87794E737FF}"/>
    <cellStyle name="Normal 3 5 2 2 2 4 2" xfId="4607" xr:uid="{EAEAB1BB-2B37-4B51-AAE7-E420A7143279}"/>
    <cellStyle name="Normal 3 5 2 2 2 5" xfId="4606" xr:uid="{9F3AC4B1-67E5-4FC8-A02A-F25718FD74BC}"/>
    <cellStyle name="Normal 3 5 2 2 3" xfId="26706" xr:uid="{E8A61B06-C3F7-45EB-9157-EF069798464A}"/>
    <cellStyle name="Normal 3 5 2 2 3 2" xfId="4605" xr:uid="{AFCF6DB7-1454-4899-AC88-4D24223AC1A2}"/>
    <cellStyle name="Normal 3 5 2 2 3 2 2" xfId="4603" xr:uid="{25A547A0-AA13-4264-BAF3-DFD74E1FC553}"/>
    <cellStyle name="Normal 3 5 2 2 3 2 2 2" xfId="4601" xr:uid="{7026B6E8-DBEF-42F9-8F2F-C72E14888CBD}"/>
    <cellStyle name="Normal 3 5 2 2 3 2 3" xfId="4598" xr:uid="{9F1BCD35-BC41-4E0C-B05A-B809155DF974}"/>
    <cellStyle name="Normal 3 5 2 2 3 3" xfId="33995" xr:uid="{FF729E31-49F8-49BF-8914-385A19129236}"/>
    <cellStyle name="Normal 3 5 2 2 3 3 2" xfId="4596" xr:uid="{6509F466-881F-4A1E-86BE-A997E00D7D05}"/>
    <cellStyle name="Normal 3 5 2 2 3 4" xfId="4594" xr:uid="{F2C6AA23-F5E8-4690-9A4B-41134C2EDF85}"/>
    <cellStyle name="Normal 3 5 2 2 4" xfId="4592" xr:uid="{D21E8740-E3F3-473B-95FE-E67816F97CD7}"/>
    <cellStyle name="Normal 3 5 2 2 4 2" xfId="4591" xr:uid="{9B9404B1-FB56-41E7-A540-DC7314897B3D}"/>
    <cellStyle name="Normal 3 5 2 2 4 2 2" xfId="4589" xr:uid="{C51F18E2-12B3-49CA-B5DA-CACB9230DED7}"/>
    <cellStyle name="Normal 3 5 2 2 4 3" xfId="4587" xr:uid="{482D55B7-0CC4-4FD1-87A7-81E2F8A041F0}"/>
    <cellStyle name="Normal 3 5 2 2 5" xfId="6789" xr:uid="{11BD6801-0CE2-429F-8F48-72A8C02378F5}"/>
    <cellStyle name="Normal 3 5 2 2 5 2" xfId="5884" xr:uid="{87B02156-C24F-41AE-B9CE-07117E084392}"/>
    <cellStyle name="Normal 3 5 2 2 6" xfId="11031" xr:uid="{7994CCC0-46AE-4C02-8A10-F9C01DF3393A}"/>
    <cellStyle name="Normal 3 5 2 3" xfId="25145" xr:uid="{DD31D16C-65A9-4E01-BE93-9FEA67B65C1C}"/>
    <cellStyle name="Normal 3 5 2 3 2" xfId="4585" xr:uid="{E388E070-8152-42C7-A533-B640C5BB0F7F}"/>
    <cellStyle name="Normal 3 5 2 3 2 2" xfId="16193" xr:uid="{1CD1D1BE-81F7-4125-AD2A-5DCD1705B87A}"/>
    <cellStyle name="Normal 3 5 2 3 2 2 2" xfId="4584" xr:uid="{759D5A61-C814-4DB9-BCF6-D7E1D6091374}"/>
    <cellStyle name="Normal 3 5 2 3 2 2 2 2" xfId="4583" xr:uid="{70E79324-B038-4E12-9020-9FC660D3C3D2}"/>
    <cellStyle name="Normal 3 5 2 3 2 2 3" xfId="4582" xr:uid="{B9684FFF-FF46-4B0F-87F5-C91234DE776A}"/>
    <cellStyle name="Normal 3 5 2 3 2 3" xfId="4581" xr:uid="{0BC132E1-D20D-48BE-A901-78024E82CBB6}"/>
    <cellStyle name="Normal 3 5 2 3 2 3 2" xfId="4580" xr:uid="{B16EB1C5-DB7D-4DDA-B820-045519FC89C2}"/>
    <cellStyle name="Normal 3 5 2 3 2 4" xfId="4579" xr:uid="{F69DF8C5-9844-4032-BE22-7F93DA39B1D1}"/>
    <cellStyle name="Normal 3 5 2 3 3" xfId="4578" xr:uid="{A814D2E6-DF46-4CE9-BE5E-EB71671CB6D4}"/>
    <cellStyle name="Normal 3 5 2 3 3 2" xfId="4577" xr:uid="{A7329C57-C640-4920-AF92-D3B3F9D4337C}"/>
    <cellStyle name="Normal 3 5 2 3 3 2 2" xfId="4575" xr:uid="{8C850D75-9E54-4734-A19F-96D9F7806D30}"/>
    <cellStyle name="Normal 3 5 2 3 3 3" xfId="4573" xr:uid="{2699BBA1-A8B7-48E2-B0A3-6F487AD6793E}"/>
    <cellStyle name="Normal 3 5 2 3 4" xfId="4571" xr:uid="{748F670D-8D4B-4D5D-87F9-A563F90D1C03}"/>
    <cellStyle name="Normal 3 5 2 3 4 2" xfId="4570" xr:uid="{A8241FB8-7A48-455D-9B36-58C51AA3E972}"/>
    <cellStyle name="Normal 3 5 2 3 5" xfId="12117" xr:uid="{9F0CB13B-2F5F-4BB8-9C57-DC0A8D7E68AF}"/>
    <cellStyle name="Normal 3 5 2 4" xfId="33081" xr:uid="{525F8D17-0BB7-4A75-A5DD-5EE935B8EFC3}"/>
    <cellStyle name="Normal 3 5 2 4 2" xfId="4568" xr:uid="{812B3E8E-FC68-48D2-94D4-0594CB3105E1}"/>
    <cellStyle name="Normal 3 5 2 4 2 2" xfId="4567" xr:uid="{56D7CF66-9441-40F7-BA0E-BF6ED49092C0}"/>
    <cellStyle name="Normal 3 5 2 4 2 2 2" xfId="15916" xr:uid="{C4E32196-BDA2-4DF2-9604-FC22E9689074}"/>
    <cellStyle name="Normal 3 5 2 4 2 3" xfId="4566" xr:uid="{077EF2AF-EE5D-42E5-BDE3-FBA232119E4F}"/>
    <cellStyle name="Normal 3 5 2 4 3" xfId="4565" xr:uid="{9514FAE3-9B20-4E51-B605-177A3B0D5E4E}"/>
    <cellStyle name="Normal 3 5 2 4 3 2" xfId="4564" xr:uid="{31CF67A7-DC26-4AD1-8F6F-B8F449450E32}"/>
    <cellStyle name="Normal 3 5 2 4 4" xfId="4562" xr:uid="{2E1210F2-6DAA-4760-87FB-BB00B4E976A2}"/>
    <cellStyle name="Normal 3 5 2 5" xfId="4561" xr:uid="{DB5E8ED4-1BD2-4C2A-917C-45D2E5927D76}"/>
    <cellStyle name="Normal 3 5 2 5 2" xfId="22169" xr:uid="{85FE76F1-6E50-447D-9D9C-780DA3E93CB4}"/>
    <cellStyle name="Normal 3 5 2 5 2 2" xfId="4560" xr:uid="{28E5E2F6-C21B-4E24-8557-B5C4D13354A1}"/>
    <cellStyle name="Normal 3 5 2 5 3" xfId="9311" xr:uid="{F789DBE7-2E52-4CA0-8088-FB910AC38710}"/>
    <cellStyle name="Normal 3 5 2 6" xfId="4559" xr:uid="{742286E6-9F92-40DF-A37A-B3D1604ED6BF}"/>
    <cellStyle name="Normal 3 5 2 6 2" xfId="4558" xr:uid="{C7B2779A-9213-4AD3-B502-824B3C7740D9}"/>
    <cellStyle name="Normal 3 5 2 7" xfId="4557" xr:uid="{66BBC3CB-1563-4207-9966-E85B93A8B183}"/>
    <cellStyle name="Normal 3 5 3" xfId="14152" xr:uid="{5F3C1597-032A-4348-8991-D892E5D29BCE}"/>
    <cellStyle name="Normal 3 5 3 2" xfId="8382" xr:uid="{1E414CD5-F7E9-433D-89FE-ABE1D389445B}"/>
    <cellStyle name="Normal 3 5 3 2 2" xfId="4556" xr:uid="{FD5F6844-9763-4756-8CA7-4272026CFEAE}"/>
    <cellStyle name="Normal 3 5 3 2 2 2" xfId="4555" xr:uid="{F3D2F7A8-FD74-4D87-A319-4FCA02E02603}"/>
    <cellStyle name="Normal 3 5 3 2 2 2 2" xfId="17230" xr:uid="{DD630C69-5177-458A-84B0-4DF5E84E91EA}"/>
    <cellStyle name="Normal 3 5 3 2 2 2 2 2" xfId="4554" xr:uid="{47683FAE-A323-4070-8573-AA8ADFB5FC7B}"/>
    <cellStyle name="Normal 3 5 3 2 2 2 3" xfId="16707" xr:uid="{C19EEC58-5E27-4BB1-94A5-AB3FF6E53B60}"/>
    <cellStyle name="Normal 3 5 3 2 2 3" xfId="4552" xr:uid="{DB2D749E-CCFC-4105-BDE6-B1D5A4B2123A}"/>
    <cellStyle name="Normal 3 5 3 2 2 3 2" xfId="22062" xr:uid="{48D8ABDC-C610-466F-BF5E-87F6570741B0}"/>
    <cellStyle name="Normal 3 5 3 2 2 4" xfId="4551" xr:uid="{1A454F89-05B2-4E4E-9E6E-CEFFC6062B8E}"/>
    <cellStyle name="Normal 3 5 3 2 3" xfId="4550" xr:uid="{F87A5E5D-150D-45DB-8725-55E3E02BBAB0}"/>
    <cellStyle name="Normal 3 5 3 2 3 2" xfId="4549" xr:uid="{2D156FF2-A6FF-4225-85A6-E7C91BACE0BA}"/>
    <cellStyle name="Normal 3 5 3 2 3 2 2" xfId="22057" xr:uid="{DD2164FE-C3FA-4B56-9C34-073D4CD83E85}"/>
    <cellStyle name="Normal 3 5 3 2 3 3" xfId="4547" xr:uid="{361CCA66-B0A7-48D0-B2C9-09AA44847F03}"/>
    <cellStyle name="Normal 3 5 3 2 4" xfId="4545" xr:uid="{D915CDC4-C497-4E7D-8198-18B375F56A61}"/>
    <cellStyle name="Normal 3 5 3 2 4 2" xfId="4544" xr:uid="{3B861655-6733-4A7B-8257-6FF6FFE6ED3A}"/>
    <cellStyle name="Normal 3 5 3 2 5" xfId="6778" xr:uid="{DB302811-9FD8-4358-9CAC-EB1597FA1B5E}"/>
    <cellStyle name="Normal 3 5 3 3" xfId="33063" xr:uid="{B0AE7372-8458-4B9C-B51F-2125E3448145}"/>
    <cellStyle name="Normal 3 5 3 3 2" xfId="4542" xr:uid="{56079B63-AD45-4AD4-AAE5-BE6E4015D4D3}"/>
    <cellStyle name="Normal 3 5 3 3 2 2" xfId="4541" xr:uid="{066C8ECC-23BF-4766-9E2B-A725676A0188}"/>
    <cellStyle name="Normal 3 5 3 3 2 2 2" xfId="22047" xr:uid="{C954E836-CA6A-4AEF-9D39-A9989EC75D05}"/>
    <cellStyle name="Normal 3 5 3 3 2 3" xfId="4540" xr:uid="{7FAA0D22-8AA0-45E9-A15E-3224259C4B68}"/>
    <cellStyle name="Normal 3 5 3 3 3" xfId="4539" xr:uid="{DD3D5FAB-51F3-46B7-9811-2D1B25006478}"/>
    <cellStyle name="Normal 3 5 3 3 3 2" xfId="4538" xr:uid="{74E52019-BA64-48DA-82D7-942F7854FCFF}"/>
    <cellStyle name="Normal 3 5 3 3 4" xfId="4536" xr:uid="{7F1EDFCC-2E2C-4195-99C1-1783F06E4F53}"/>
    <cellStyle name="Normal 3 5 3 4" xfId="4535" xr:uid="{1F5F1BCA-96D3-4C59-85D2-623DE5B1F2B8}"/>
    <cellStyle name="Normal 3 5 3 4 2" xfId="4534" xr:uid="{7F077F70-6BD0-4248-B46C-C6DB1A5220F0}"/>
    <cellStyle name="Normal 3 5 3 4 2 2" xfId="4533" xr:uid="{871737FB-464B-4CAD-8DFA-26B0C28A05A2}"/>
    <cellStyle name="Normal 3 5 3 4 3" xfId="4532" xr:uid="{C7AA3ED4-4D5D-4ABE-A1F6-F5C15CD27C88}"/>
    <cellStyle name="Normal 3 5 3 5" xfId="4531" xr:uid="{5A03E56F-1B49-4F72-B179-E7B76493E2A6}"/>
    <cellStyle name="Normal 3 5 3 5 2" xfId="29609" xr:uid="{CD34C059-DE91-43ED-B95C-B95A3B97CB7E}"/>
    <cellStyle name="Normal 3 5 3 6" xfId="4530" xr:uid="{EE95E806-1951-4929-80B5-A63DD5E5831E}"/>
    <cellStyle name="Normal 3 5 4" xfId="18924" xr:uid="{1A69EABB-FB16-475F-BAF3-2C8735DEB131}"/>
    <cellStyle name="Normal 3 5 4 2" xfId="30703" xr:uid="{16A541E6-A855-439A-A1F2-A9A1DE392230}"/>
    <cellStyle name="Normal 3 5 4 2 2" xfId="24536" xr:uid="{1AA25F6D-5F86-49B1-A37F-930A58056EAB}"/>
    <cellStyle name="Normal 3 5 4 2 2 2" xfId="29370" xr:uid="{8628B673-B78A-4D34-835D-244248079A66}"/>
    <cellStyle name="Normal 3 5 4 2 2 2 2" xfId="21994" xr:uid="{F7232B19-8AC1-44E1-8565-EF6C331FECFD}"/>
    <cellStyle name="Normal 3 5 4 2 2 3" xfId="29361" xr:uid="{C684EF09-0D58-4C12-A39F-CB53741DEF26}"/>
    <cellStyle name="Normal 3 5 4 2 3" xfId="31262" xr:uid="{0FC96272-FDFA-41FF-99FC-686CCF640685}"/>
    <cellStyle name="Normal 3 5 4 2 3 2" xfId="19423" xr:uid="{BCD298B3-501E-44F8-9C5E-C1CD4B375A63}"/>
    <cellStyle name="Normal 3 5 4 2 4" xfId="29351" xr:uid="{1F6385F3-C376-4B44-8504-DE3F692598A5}"/>
    <cellStyle name="Normal 3 5 4 3" xfId="31603" xr:uid="{73EFD675-2B6D-483B-8E56-6899A682FCD5}"/>
    <cellStyle name="Normal 3 5 4 3 2" xfId="24523" xr:uid="{3F075781-F5A8-47AA-B352-929385E42810}"/>
    <cellStyle name="Normal 3 5 4 3 2 2" xfId="30891" xr:uid="{6FDF7432-D9B3-4EAC-992B-6822205D7A0F}"/>
    <cellStyle name="Normal 3 5 4 3 3" xfId="29340" xr:uid="{C802EA56-5BA4-473C-9C61-1115D684140F}"/>
    <cellStyle name="Normal 3 5 4 4" xfId="30005" xr:uid="{5B6B22EE-B7D5-4C66-8FFE-FD38A953170A}"/>
    <cellStyle name="Normal 3 5 4 4 2" xfId="29326" xr:uid="{011505C0-473D-46D3-A7FA-CA4E15C5F205}"/>
    <cellStyle name="Normal 3 5 4 5" xfId="29312" xr:uid="{DBDB5D0E-199A-4997-BEA1-0B663D4CF869}"/>
    <cellStyle name="Normal 3 5 5" xfId="18914" xr:uid="{C1574EEF-0646-413A-8671-7946260EE57B}"/>
    <cellStyle name="Normal 3 5 5 2" xfId="30214" xr:uid="{32394C90-25CC-44ED-818B-BBB9C39D22E0}"/>
    <cellStyle name="Normal 3 5 5 2 2" xfId="24516" xr:uid="{8174D3C5-7119-4B2E-8A11-3279ADF2C4A6}"/>
    <cellStyle name="Normal 3 5 5 2 2 2" xfId="10047" xr:uid="{AA5B1892-DA39-4A6D-A859-9E77C1E64693}"/>
    <cellStyle name="Normal 3 5 5 2 3" xfId="29286" xr:uid="{A125A4BB-451A-4BCC-A2D6-5514D9EE4F6F}"/>
    <cellStyle name="Normal 3 5 5 3" xfId="30203" xr:uid="{CD9033A1-5BC1-48ED-BE87-A55DB3A35E1D}"/>
    <cellStyle name="Normal 3 5 5 3 2" xfId="29276" xr:uid="{AC80BFB9-6C89-40C8-B743-8DF34367AB27}"/>
    <cellStyle name="Normal 3 5 5 4" xfId="30407" xr:uid="{CCEBBA97-950A-484C-A180-021938BCB6AE}"/>
    <cellStyle name="Normal 3 5 6" xfId="17980" xr:uid="{044AF23D-1F26-4F43-9E2A-C72B59B324F4}"/>
    <cellStyle name="Normal 3 5 6 2" xfId="20556" xr:uid="{03033E1F-9F65-4485-AF83-84AD90714A86}"/>
    <cellStyle name="Normal 3 5 6 2 2" xfId="29256" xr:uid="{48A6A812-B09E-4997-A922-0ABD44651B22}"/>
    <cellStyle name="Normal 3 5 6 3" xfId="23213" xr:uid="{37A24AAD-0FA7-49F3-8FA1-B469EA190D85}"/>
    <cellStyle name="Normal 3 5 7" xfId="28960" xr:uid="{311F021E-AE9B-4744-BBE7-F5F2DF3C483D}"/>
    <cellStyle name="Normal 3 5 7 2" xfId="30635" xr:uid="{5688143F-E4B0-4706-B652-B079188F4CD1}"/>
    <cellStyle name="Normal 3 5 8" xfId="27603" xr:uid="{1BB66BA2-69C7-4ADA-B588-5FED786A31D3}"/>
    <cellStyle name="Normal 3 5 9" xfId="34532" xr:uid="{68219BEA-A733-48E6-B096-F40BF3FB91A3}"/>
    <cellStyle name="Normal 3 6" xfId="7566" xr:uid="{265047A6-002D-4D37-B0AA-B8B68AAA3346}"/>
    <cellStyle name="Normal 3 6 2" xfId="5441" xr:uid="{42C7B251-2182-43CB-BAD6-2AAC9AFC47FC}"/>
    <cellStyle name="Normal 3 6 2 2" xfId="8375" xr:uid="{72BD0604-F96C-45A1-B819-217DCC725104}"/>
    <cellStyle name="Normal 3 6 2 2 2" xfId="4529" xr:uid="{9E20F37E-9801-451B-A914-817F85D54228}"/>
    <cellStyle name="Normal 3 6 2 2 2 2" xfId="4528" xr:uid="{9641F3D8-DC67-489E-B2EC-A513F5B17F2C}"/>
    <cellStyle name="Normal 3 6 2 2 2 2 2" xfId="4526" xr:uid="{D10C0584-2392-4F3A-A22D-30FF2929F0EC}"/>
    <cellStyle name="Normal 3 6 2 2 2 2 2 2" xfId="22317" xr:uid="{2587D82F-CAF1-4626-990E-BAC5E19D0F6A}"/>
    <cellStyle name="Normal 3 6 2 2 2 2 3" xfId="4524" xr:uid="{23C4F40C-9C47-4DF7-9C0F-2D4B040C9F08}"/>
    <cellStyle name="Normal 3 6 2 2 2 3" xfId="15429" xr:uid="{16C8DF9E-09E0-49C0-807A-194F4408480C}"/>
    <cellStyle name="Normal 3 6 2 2 2 3 2" xfId="15426" xr:uid="{EB5B5138-B85A-4DE5-B1D5-18ED3F2D0814}"/>
    <cellStyle name="Normal 3 6 2 2 2 4" xfId="15421" xr:uid="{EEE1ADC5-5425-4F34-8278-CC8930E4153C}"/>
    <cellStyle name="Normal 3 6 2 2 3" xfId="4523" xr:uid="{07D33AD7-189C-4B9A-A924-364CE26E180D}"/>
    <cellStyle name="Normal 3 6 2 2 3 2" xfId="4522" xr:uid="{95346607-D40D-4C3E-AC7E-9239D598B252}"/>
    <cellStyle name="Normal 3 6 2 2 3 2 2" xfId="4519" xr:uid="{C906B94D-7780-43DD-B23F-14182D06BBC2}"/>
    <cellStyle name="Normal 3 6 2 2 3 3" xfId="20816" xr:uid="{341090B2-73C7-4CF0-B3D4-34F92CFB3F92}"/>
    <cellStyle name="Normal 3 6 2 2 4" xfId="4517" xr:uid="{7FDA4D1E-607C-4602-848E-A75034C025D3}"/>
    <cellStyle name="Normal 3 6 2 2 4 2" xfId="4516" xr:uid="{3909C9D1-E62E-4520-AE5C-59DFC510AAB3}"/>
    <cellStyle name="Normal 3 6 2 2 5" xfId="6762" xr:uid="{45700BFC-189F-4A3C-B5B2-4F87545BDAE5}"/>
    <cellStyle name="Normal 3 6 2 3" xfId="32999" xr:uid="{06462443-671A-4C99-9F3C-EE6C52B2452F}"/>
    <cellStyle name="Normal 3 6 2 3 2" xfId="17994" xr:uid="{BCC9D489-C6B2-43C8-BEAB-52D4BC436284}"/>
    <cellStyle name="Normal 3 6 2 3 2 2" xfId="4514" xr:uid="{5A4869F7-6D76-49C9-A447-D05B199F7E2F}"/>
    <cellStyle name="Normal 3 6 2 3 2 2 2" xfId="4511" xr:uid="{AC947AF8-ECAD-4FB2-B12D-CD9AF80CB618}"/>
    <cellStyle name="Normal 3 6 2 3 2 3" xfId="15325" xr:uid="{9FB71D66-3103-4CC8-ACE9-DB87E96F6FB5}"/>
    <cellStyle name="Normal 3 6 2 3 3" xfId="27199" xr:uid="{ACC0B86A-7CAF-4071-9D3F-E9223AF8AA6E}"/>
    <cellStyle name="Normal 3 6 2 3 3 2" xfId="16488" xr:uid="{0C82D046-3EAD-432B-B829-D770BEF84563}"/>
    <cellStyle name="Normal 3 6 2 3 4" xfId="30968" xr:uid="{DE4F285D-D27B-4697-9ECD-81DE90EE1F21}"/>
    <cellStyle name="Normal 3 6 2 4" xfId="4510" xr:uid="{264990EF-AD1F-467F-82E7-C38101BF60E8}"/>
    <cellStyle name="Normal 3 6 2 4 2" xfId="33605" xr:uid="{FF9D6E81-220B-45DB-B595-E7D80F6AEA11}"/>
    <cellStyle name="Normal 3 6 2 4 2 2" xfId="4509" xr:uid="{02CFE0C6-657F-4097-A39B-3EF3A99D806B}"/>
    <cellStyle name="Normal 3 6 2 4 3" xfId="30297" xr:uid="{06B9A70A-0333-4949-9EC8-89CB3AD2FF61}"/>
    <cellStyle name="Normal 3 6 2 5" xfId="4508" xr:uid="{D96A26F1-EDFF-46CE-BF3A-1B346D357E03}"/>
    <cellStyle name="Normal 3 6 2 5 2" xfId="25142" xr:uid="{FDE67DE0-E107-47B4-9FEC-D00E2E36E7AA}"/>
    <cellStyle name="Normal 3 6 2 6" xfId="4507" xr:uid="{EF359619-6738-4C3F-94B0-A7493BFED3C1}"/>
    <cellStyle name="Normal 3 6 2 6 2" xfId="25132" xr:uid="{E1ED1ACA-BBF5-4C57-9736-83D49DDA8842}"/>
    <cellStyle name="Normal 3 6 2 7" xfId="13630" xr:uid="{D19F9951-BE56-47AF-884C-30EC8BA800FA}"/>
    <cellStyle name="Normal 3 6 3" xfId="4506" xr:uid="{B4697708-B3E4-4280-8EF7-392B495D9C96}"/>
    <cellStyle name="Normal 3 6 3 2" xfId="8372" xr:uid="{A59F9F33-EF58-40E3-9D58-7C252950C0B5}"/>
    <cellStyle name="Normal 3 6 3 2 2" xfId="4505" xr:uid="{2B0482C9-B16D-4BFC-94E7-1BCAEB789408}"/>
    <cellStyle name="Normal 3 6 3 2 2 2" xfId="4504" xr:uid="{8D79AABA-2274-4920-A17A-C95DBB700DE3}"/>
    <cellStyle name="Normal 3 6 3 2 2 2 2" xfId="25854" xr:uid="{7DFB2660-791C-4CD0-9317-784C43381817}"/>
    <cellStyle name="Normal 3 6 3 2 2 3" xfId="33425" xr:uid="{3F281D07-036C-46A5-9D37-35491B1C7CF8}"/>
    <cellStyle name="Normal 3 6 3 2 3" xfId="4502" xr:uid="{1BFB33AF-33BE-4680-9BB9-E1BA56BFCBF8}"/>
    <cellStyle name="Normal 3 6 3 2 3 2" xfId="4501" xr:uid="{9696C9E6-96E5-4476-B859-18A812D99C3C}"/>
    <cellStyle name="Normal 3 6 3 2 4" xfId="4499" xr:uid="{3F0B8301-5866-4177-9EB2-AF4915FBA882}"/>
    <cellStyle name="Normal 3 6 3 3" xfId="4498" xr:uid="{1EF46B9E-BE17-41F5-B4B5-5DD29DC09CF7}"/>
    <cellStyle name="Normal 3 6 3 3 2" xfId="17945" xr:uid="{2D175BED-D1F2-4364-A6B7-37833B6972D5}"/>
    <cellStyle name="Normal 3 6 3 3 2 2" xfId="4497" xr:uid="{5C9BDDC8-6B27-4616-A3A4-22A71E79BB74}"/>
    <cellStyle name="Normal 3 6 3 3 3" xfId="33786" xr:uid="{5DAD76FA-B1A2-4F05-B952-96B7BDAA6115}"/>
    <cellStyle name="Normal 3 6 3 4" xfId="4496" xr:uid="{BE0FB636-77BD-4CA4-AA91-767D9DC04DD2}"/>
    <cellStyle name="Normal 3 6 3 4 2" xfId="25121" xr:uid="{AF233648-68B3-43CB-A9C6-D1594B0F5325}"/>
    <cellStyle name="Normal 3 6 3 5" xfId="32970" xr:uid="{040F9A92-F8FB-4ACC-BAE3-C50495AD83F6}"/>
    <cellStyle name="Normal 3 6 4" xfId="18909" xr:uid="{4A876DB7-57F2-4065-A427-6F78BA00A103}"/>
    <cellStyle name="Normal 3 6 4 2" xfId="26273" xr:uid="{2C042E2E-8B71-4A7C-AD72-572053581984}"/>
    <cellStyle name="Normal 3 6 4 2 2" xfId="24490" xr:uid="{806355B6-90A2-4260-B7A4-7B4CEC8454F0}"/>
    <cellStyle name="Normal 3 6 4 2 2 2" xfId="18956" xr:uid="{A1D1C5C3-3116-4E4F-8CA3-B08C31A1AFE0}"/>
    <cellStyle name="Normal 3 6 4 2 3" xfId="32619" xr:uid="{C45AA4E5-E3E2-427F-9573-9469D73A12DF}"/>
    <cellStyle name="Normal 3 6 4 3" xfId="32641" xr:uid="{EF653C16-568B-4771-802E-20B467CD64B7}"/>
    <cellStyle name="Normal 3 6 4 3 2" xfId="24846" xr:uid="{056B3A86-B1F0-42A7-8816-9C7F87924CDD}"/>
    <cellStyle name="Normal 3 6 4 4" xfId="32156" xr:uid="{DF7B8762-0CEC-40EA-9002-DFA32663217E}"/>
    <cellStyle name="Normal 3 6 5" xfId="17976" xr:uid="{38CFA353-91B6-4B45-988B-8B4F61F3825E}"/>
    <cellStyle name="Normal 3 6 5 2" xfId="30746" xr:uid="{226FC1E2-AF8E-4FC4-A7A2-9A4F85C8B4ED}"/>
    <cellStyle name="Normal 3 6 5 2 2" xfId="15367" xr:uid="{5254B27B-C312-4085-BDB1-8FF394BF1A51}"/>
    <cellStyle name="Normal 3 6 5 3" xfId="32605" xr:uid="{F12F4481-85D0-4161-A262-1CC8A78248F2}"/>
    <cellStyle name="Normal 3 6 6" xfId="28940" xr:uid="{BB2C0911-033A-4EB8-98AC-2B02EF526F96}"/>
    <cellStyle name="Normal 3 6 6 2" xfId="17840" xr:uid="{54DFDA49-A4F7-4167-AB89-159DF029B644}"/>
    <cellStyle name="Normal 3 6 7" xfId="11102" xr:uid="{9D768990-AE5A-42A6-9C34-F2C9C9575AF3}"/>
    <cellStyle name="Normal 3 6 7 2" xfId="4495" xr:uid="{D32F6F17-60F3-4B3B-B279-E42125CFE6F8}"/>
    <cellStyle name="Normal 3 6 8" xfId="11089" xr:uid="{06EDCE29-3B6F-483E-B73B-7F92B39C7583}"/>
    <cellStyle name="Normal 3 7" xfId="6134" xr:uid="{614CECCE-CD71-43AA-BDAD-0FDC6B59411C}"/>
    <cellStyle name="Normal 3 7 2" xfId="4494" xr:uid="{1D6C1ABC-007F-4F07-85F7-0C5244D7220B}"/>
    <cellStyle name="Normal 3 7 2 2" xfId="8369" xr:uid="{CE24A25E-4ED8-4F65-8811-E24B2F1080CA}"/>
    <cellStyle name="Normal 3 7 2 2 2" xfId="4492" xr:uid="{B579CA82-BA33-4366-AAD7-9BEDC874DBC2}"/>
    <cellStyle name="Normal 3 7 2 2 2 2" xfId="15690" xr:uid="{0D3E79FD-2DB7-4674-8F23-943671458DA4}"/>
    <cellStyle name="Normal 3 7 2 2 2 2 2" xfId="4490" xr:uid="{CDEA1DCA-330B-4F59-9FAC-780CA2C9491A}"/>
    <cellStyle name="Normal 3 7 2 2 2 3" xfId="6879" xr:uid="{4F8F76E7-CF38-48A6-9499-F824938019C6}"/>
    <cellStyle name="Normal 3 7 2 2 3" xfId="4489" xr:uid="{3C878A98-AAAB-41E4-997F-4304EDA70C0D}"/>
    <cellStyle name="Normal 3 7 2 2 3 2" xfId="6867" xr:uid="{BCA046A0-F015-4F09-9605-16034AFAFD02}"/>
    <cellStyle name="Normal 3 7 2 2 4" xfId="4488" xr:uid="{37D21DB4-AA79-4C28-8DEA-D8E0BEE5A2D3}"/>
    <cellStyle name="Normal 3 7 2 3" xfId="4487" xr:uid="{08E55559-0B0C-463A-BDFD-E8F9938FD1C8}"/>
    <cellStyle name="Normal 3 7 2 3 2" xfId="17901" xr:uid="{EB817FFF-D395-41CD-BEFB-82BE9E3DDF6A}"/>
    <cellStyle name="Normal 3 7 2 3 2 2" xfId="6837" xr:uid="{3B69CF31-9E1E-4E01-9201-89CD01D78F80}"/>
    <cellStyle name="Normal 3 7 2 3 3" xfId="30283" xr:uid="{7B0E125A-9A01-41B3-BAC6-6E44008428F2}"/>
    <cellStyle name="Normal 3 7 2 4" xfId="4485" xr:uid="{9663B3DB-104D-40CC-B109-3C0AAD9F08CC}"/>
    <cellStyle name="Normal 3 7 2 4 2" xfId="32401" xr:uid="{E59197F6-9A56-44EE-B8D9-FD9AD6D49BF7}"/>
    <cellStyle name="Normal 3 7 2 5" xfId="34049" xr:uid="{4D1D5EDB-8F7E-41FE-A7EC-EF7542A489BD}"/>
    <cellStyle name="Normal 3 7 2 5 2" xfId="34009" xr:uid="{0B4D4BBA-DDFA-4D79-9A39-4ADDCED14E3F}"/>
    <cellStyle name="Normal 3 7 2 6" xfId="4484" xr:uid="{F63C0205-7DE2-48C6-9C71-C2C58037F76E}"/>
    <cellStyle name="Normal 3 7 2 6 2" xfId="4483" xr:uid="{7DDCA9AB-7DAE-4F13-A61F-D860A981AD0F}"/>
    <cellStyle name="Normal 3 7 2 7" xfId="33510" xr:uid="{65C3D49F-E3B5-4FFA-8D5C-203F1479F5C8}"/>
    <cellStyle name="Normal 3 7 3" xfId="4482" xr:uid="{BFA2A360-A51A-4CF3-93B0-4506E4FE6F50}"/>
    <cellStyle name="Normal 3 7 3 2" xfId="4480" xr:uid="{A84215E1-7FE1-4077-9DFA-BA5EF4A5AE39}"/>
    <cellStyle name="Normal 3 7 3 2 2" xfId="4478" xr:uid="{9C860A6E-8F35-4D28-A4CF-7C18A64CAD72}"/>
    <cellStyle name="Normal 3 7 3 2 2 2" xfId="21930" xr:uid="{0E49CB2B-1D20-4255-B46C-CA19545CB9E4}"/>
    <cellStyle name="Normal 3 7 3 2 3" xfId="4477" xr:uid="{87565E27-BDF7-413E-B676-9F47A897CD86}"/>
    <cellStyle name="Normal 3 7 3 3" xfId="4476" xr:uid="{3605CCF0-684B-405A-9490-CF7430D4C82F}"/>
    <cellStyle name="Normal 3 7 3 3 2" xfId="17891" xr:uid="{D569F7C5-9B7E-4F41-9F76-A0D68E6B5AC2}"/>
    <cellStyle name="Normal 3 7 3 4" xfId="4475" xr:uid="{5B537B16-06EF-43CA-A6CE-C93636D7F04E}"/>
    <cellStyle name="Normal 3 7 4" xfId="17973" xr:uid="{93F3920D-C95E-4482-AB18-23D3355440C5}"/>
    <cellStyle name="Normal 3 7 4 2" xfId="30734" xr:uid="{F91A2EC8-3DBC-4D8F-BFBD-CDEC14C7872D}"/>
    <cellStyle name="Normal 3 7 4 2 2" xfId="32512" xr:uid="{3CC6DD19-46A6-4CE2-8105-3793613B2AC5}"/>
    <cellStyle name="Normal 3 7 4 3" xfId="31126" xr:uid="{F43FAF24-02A2-40C0-823B-7D95AAC31982}"/>
    <cellStyle name="Normal 3 7 5" xfId="29866" xr:uid="{9295AE79-C901-4568-964B-70069C790D53}"/>
    <cellStyle name="Normal 3 7 5 2" xfId="30721" xr:uid="{126AB531-E6B4-404E-AD22-639365BE86FD}"/>
    <cellStyle name="Normal 3 7 6" xfId="29240" xr:uid="{06260AF9-E184-46EB-964E-0771704FE296}"/>
    <cellStyle name="Normal 3 7 6 2" xfId="4473" xr:uid="{252709A1-5BB5-4B19-9BD6-AC4F9AF7CF46}"/>
    <cellStyle name="Normal 3 7 7" xfId="11081" xr:uid="{BB673DE0-1F7C-4059-8BA8-F071F7FE6A7F}"/>
    <cellStyle name="Normal 3 7 7 2" xfId="4472" xr:uid="{A589E670-3AD2-4007-AB38-F4D944D1A944}"/>
    <cellStyle name="Normal 3 7 8" xfId="11074" xr:uid="{E29E272A-AE8E-40C7-937E-3832AB6039BF}"/>
    <cellStyle name="Normal 3 8" xfId="4471" xr:uid="{494707CF-46E6-4478-B91A-AFE3B77903E8}"/>
    <cellStyle name="Normal 3 8 2" xfId="4470" xr:uid="{E37FAA56-071E-4D49-84BA-AF68584C881E}"/>
    <cellStyle name="Normal 3 8 2 2" xfId="6875" xr:uid="{9B36E73F-3EF0-437A-BFCB-70C55C7A3776}"/>
    <cellStyle name="Normal 3 8 2 2 2" xfId="4468" xr:uid="{D56C3A4B-60FB-4CFD-9614-E5765913EF20}"/>
    <cellStyle name="Normal 3 8 2 2 2 2" xfId="28470" xr:uid="{97DF1C50-8061-4BEF-BF2F-66E5C571218C}"/>
    <cellStyle name="Normal 3 8 2 2 3" xfId="4467" xr:uid="{FCCB54BC-7D16-4444-8182-CA60950C8C39}"/>
    <cellStyle name="Normal 3 8 2 3" xfId="6262" xr:uid="{7D56B6B7-2ECD-4378-B132-52BF855A8820}"/>
    <cellStyle name="Normal 3 8 2 3 2" xfId="31367" xr:uid="{18BA25CB-DA4F-42B3-9F62-B9C81D7B5B4B}"/>
    <cellStyle name="Normal 3 8 2 4" xfId="6259" xr:uid="{6C50A698-9E3A-4450-8497-A3756908C209}"/>
    <cellStyle name="Normal 3 8 2 4 2" xfId="31340" xr:uid="{D956C17A-AB43-40AE-BFD4-023249CFDAB4}"/>
    <cellStyle name="Normal 3 8 2 5" xfId="7210" xr:uid="{F823D7EA-45EF-4283-A63F-65837504F697}"/>
    <cellStyle name="Normal 3 8 2 5 2" xfId="12561" xr:uid="{5BDFDA07-8C31-4DB3-BC5B-2699AE0E2BFC}"/>
    <cellStyle name="Normal 3 8 2 6" xfId="16017" xr:uid="{C97C449B-17C9-4811-A3B9-B4AF0E58FCDA}"/>
    <cellStyle name="Normal 3 8 2 6 2" xfId="16013" xr:uid="{90DC6C8F-1EFA-4782-8C00-22AEDAE9A72D}"/>
    <cellStyle name="Normal 3 8 2 7" xfId="15999" xr:uid="{79DA65F0-E752-4155-A592-588B481A8BAD}"/>
    <cellStyle name="Normal 3 8 3" xfId="4466" xr:uid="{A374C7A3-773D-4580-B2D1-2DE5D1DE8FD6}"/>
    <cellStyle name="Normal 3 8 3 2" xfId="6253" xr:uid="{7BFEAB36-EDDA-48E2-8DC5-48BBE65BAF40}"/>
    <cellStyle name="Normal 3 8 3 2 2" xfId="4464" xr:uid="{0564377C-6348-476C-A377-9F8E5BF29B32}"/>
    <cellStyle name="Normal 3 8 3 3" xfId="20136" xr:uid="{B56AD620-8D17-4664-A59B-11CD1CC57A79}"/>
    <cellStyle name="Normal 3 8 4" xfId="22862" xr:uid="{EDE2CB49-310F-40F7-8C18-76441478A64C}"/>
    <cellStyle name="Normal 3 8 4 2" xfId="25183" xr:uid="{3F8889BD-8356-490E-A035-6E9909834CC7}"/>
    <cellStyle name="Normal 3 8 5" xfId="21717" xr:uid="{36F9FCD8-A283-4817-AA86-7C0FC800DFAE}"/>
    <cellStyle name="Normal 3 8 5 2" xfId="4463" xr:uid="{2270D462-9269-4701-A114-EAECB052FA60}"/>
    <cellStyle name="Normal 3 8 6" xfId="4462" xr:uid="{738E916C-CD62-40DF-98B6-39C803F7E810}"/>
    <cellStyle name="Normal 3 8 6 2" xfId="4461" xr:uid="{B69B5841-7362-48B8-88A4-93CC0946FADE}"/>
    <cellStyle name="Normal 3 8 7" xfId="11066" xr:uid="{925F012B-609A-4BF3-9F22-1CFAEC569278}"/>
    <cellStyle name="Normal 3 8 7 2" xfId="29989" xr:uid="{95716183-663E-40D6-BBDC-D2A875FDE2AC}"/>
    <cellStyle name="Normal 3 8 8" xfId="4460" xr:uid="{006556D7-1922-45D4-81D6-B503D0C9603D}"/>
    <cellStyle name="Normal 3 9" xfId="6406" xr:uid="{30833DF5-4B6C-4D20-9AA2-D02848A56617}"/>
    <cellStyle name="Normal 3 9 2" xfId="25175" xr:uid="{9D853C03-9C6C-489C-AB27-36E0BDF62541}"/>
    <cellStyle name="Normal 3 9 2 2" xfId="6242" xr:uid="{2087F88E-A0F5-4D05-927D-CC99C86DD50E}"/>
    <cellStyle name="Normal 3 9 2 2 2" xfId="30939" xr:uid="{525363B2-23E3-47B0-843B-3521F06E3B0E}"/>
    <cellStyle name="Normal 3 9 2 3" xfId="6239" xr:uid="{DA9E0830-FB32-468E-A3C3-203A69B02500}"/>
    <cellStyle name="Normal 3 9 2 3 2" xfId="30667" xr:uid="{0FDFE053-82D3-45E7-B6F6-0A2E3417E2EC}"/>
    <cellStyle name="Normal 3 9 2 4" xfId="4459" xr:uid="{869419FB-DD11-4DA4-9EB0-F3595BA8CB21}"/>
    <cellStyle name="Normal 3 9 2 4 2" xfId="4458" xr:uid="{B6F7880B-A6DE-452A-9A21-78661A2F4048}"/>
    <cellStyle name="Normal 3 9 2 5" xfId="12481" xr:uid="{545B58FC-958E-4CDE-9CA5-D663C4475B83}"/>
    <cellStyle name="Normal 3 9 2 5 2" xfId="12479" xr:uid="{04AB749C-F905-4639-9359-DFA9ACFEAC5A}"/>
    <cellStyle name="Normal 3 9 2 6" xfId="15950" xr:uid="{57DC7139-18EA-45DC-96F1-F9F9C7FB1E5E}"/>
    <cellStyle name="Normal 3 9 2 6 2" xfId="4457" xr:uid="{99233CAC-6DD8-4138-819A-1C72ACFF2921}"/>
    <cellStyle name="Normal 3 9 2 7" xfId="4456" xr:uid="{FAE09434-5581-4FD6-8BA3-46BBA3CB2F1B}"/>
    <cellStyle name="Normal 3 9 3" xfId="22102" xr:uid="{DBB9C581-EE6D-4318-A4DB-344EBF7F4162}"/>
    <cellStyle name="Normal 3 9 3 2" xfId="6235" xr:uid="{B38D5E06-6FE3-4DA9-913A-9F03900F4B26}"/>
    <cellStyle name="Normal 3 9 4" xfId="26972" xr:uid="{482482D8-75CB-4FE2-999E-2E5347FE963C}"/>
    <cellStyle name="Normal 3 9 4 2" xfId="4455" xr:uid="{C0C83D66-3750-411B-9E43-491BD32BE388}"/>
    <cellStyle name="Normal 3 9 5" xfId="4454" xr:uid="{340E3F63-BC34-49D4-B1AC-30AFB9B94607}"/>
    <cellStyle name="Normal 3 9 5 2" xfId="4453" xr:uid="{913299F1-F530-4755-8D5C-B33B150A3FB7}"/>
    <cellStyle name="Normal 3 9 6" xfId="16204" xr:uid="{D29D7CCC-B7EA-4401-8A82-8153FBB45541}"/>
    <cellStyle name="Normal 3 9 6 2" xfId="16202" xr:uid="{C14D3AE7-663E-411E-8312-8BB8C071EA70}"/>
    <cellStyle name="Normal 3 9 7" xfId="16119" xr:uid="{ABC1663F-671D-4937-9B98-0A1F9BBB1903}"/>
    <cellStyle name="Normal 3 9 7 2" xfId="16116" xr:uid="{B2EA7596-55FA-4CFD-A71E-3873D3678B0E}"/>
    <cellStyle name="Normal 3 9 8" xfId="16077" xr:uid="{A57D96DD-6453-410B-8D0B-625800666924}"/>
    <cellStyle name="Normal 30" xfId="34645" xr:uid="{477E8B0C-5C34-48B7-B450-CAE85E2FE609}"/>
    <cellStyle name="Normal 30 2" xfId="37021" xr:uid="{36D256E0-CA06-4588-8BEC-A9C63E81D660}"/>
    <cellStyle name="Normal 30 3" xfId="37914" xr:uid="{3335FD94-6AAE-47AA-9219-9A2524AEF8FA}"/>
    <cellStyle name="Normal 31" xfId="363" xr:uid="{5E7C4D76-00B0-4EAC-9288-B326E43FEE3D}"/>
    <cellStyle name="Normal 31 2" xfId="35868" xr:uid="{E3787CED-EC46-4D75-B1A7-A9B0A9D85C62}"/>
    <cellStyle name="Normal 31 3" xfId="37934" xr:uid="{A0B3E266-10B6-4958-A828-79C64EDD2262}"/>
    <cellStyle name="Normal 32 2" xfId="35888" xr:uid="{F0B6C766-2B64-4962-9454-C350D8C8A59B}"/>
    <cellStyle name="Normal 32 3" xfId="37955" xr:uid="{A9696C37-559E-4DD4-A2D0-021B991D8EA4}"/>
    <cellStyle name="Normal 33" xfId="35591" xr:uid="{705B6D37-9421-464E-8F45-4D1B3EE32738}"/>
    <cellStyle name="Normal 33 2" xfId="35908" xr:uid="{682CBC4D-9FA0-49A6-BECA-870485032131}"/>
    <cellStyle name="Normal 33 3" xfId="37975" xr:uid="{A7AE7DBA-A115-4CF7-81FB-0F2B318299EE}"/>
    <cellStyle name="Normal 34" xfId="35605" xr:uid="{399DE91E-CFCD-438C-82B1-9652BA76264B}"/>
    <cellStyle name="Normal 34 2" xfId="35928" xr:uid="{6F86C7FB-4C28-4196-BEFE-61140A451E11}"/>
    <cellStyle name="Normal 34 3" xfId="37995" xr:uid="{8975F8AB-B614-4299-99FE-8ACB16FEFE8C}"/>
    <cellStyle name="Normal 35" xfId="35621" xr:uid="{DA27193D-B4FC-4908-ABB1-C99651DE6B53}"/>
    <cellStyle name="Normal 35 2" xfId="35948" xr:uid="{CFCE289E-4A39-4158-B582-4CD82CD9AF03}"/>
    <cellStyle name="Normal 35 3" xfId="38015" xr:uid="{41D5A2AA-9BC0-42D2-8081-08BD8CAD43A3}"/>
    <cellStyle name="Normal 36" xfId="35968" xr:uid="{CF50BE94-427D-4364-81DF-675A6FB7DFB2}"/>
    <cellStyle name="Normal 36 2" xfId="37137" xr:uid="{FAA65DD1-59BB-4F72-81FA-984B609E55E4}"/>
    <cellStyle name="Normal 36 3" xfId="38035" xr:uid="{4986C5FB-A2A2-4EA0-B12E-C0513AD05137}"/>
    <cellStyle name="Normal 37" xfId="35988" xr:uid="{1EDF25AD-47AE-4815-BC17-693F570F377A}"/>
    <cellStyle name="Normal 37 2" xfId="37157" xr:uid="{5DA37321-6998-41DC-B272-5ED639E5FDF3}"/>
    <cellStyle name="Normal 37 3" xfId="38055" xr:uid="{CAB10951-46D8-40AF-BAE7-AEE288483CDC}"/>
    <cellStyle name="Normal 38" xfId="36008" xr:uid="{3DA593D7-E247-4C2B-B8FC-E860309D666B}"/>
    <cellStyle name="Normal 38 2" xfId="37177" xr:uid="{FFF6F9A5-0927-4620-83AA-ECC18E031DDA}"/>
    <cellStyle name="Normal 38 3" xfId="38075" xr:uid="{2166DFB1-7E12-4D9C-B792-CE66D094CD28}"/>
    <cellStyle name="Normal 39" xfId="36028" xr:uid="{04046465-CCD3-44CE-AED5-762F885D4430}"/>
    <cellStyle name="Normal 39 2" xfId="37197" xr:uid="{5922264D-2319-46D4-ACDC-2CF119E93B19}"/>
    <cellStyle name="Normal 39 3" xfId="38095" xr:uid="{DF5C7802-C2AE-45E4-8266-331E037B106D}"/>
    <cellStyle name="Normal 4" xfId="58" xr:uid="{3F2628A7-FF7D-455E-A649-0BBE26FDBDF5}"/>
    <cellStyle name="Normal 4 10" xfId="29236" xr:uid="{28CF72E0-F19C-4764-94AA-B9CC6035ED82}"/>
    <cellStyle name="Normal 4 10 2" xfId="4452" xr:uid="{18429B5F-8A49-442E-A480-6A28A1D1522B}"/>
    <cellStyle name="Normal 4 10 2 2" xfId="4451" xr:uid="{8197B2F1-AD28-4F6D-81F8-CC02268DB94A}"/>
    <cellStyle name="Normal 4 10 2 2 2" xfId="4450" xr:uid="{52ED419D-DAB5-4CF0-B002-1F2C5C664195}"/>
    <cellStyle name="Normal 4 10 2 3" xfId="4448" xr:uid="{8A1D1618-D2E5-4A1C-BF88-08713F79F477}"/>
    <cellStyle name="Normal 4 10 2 3 2" xfId="15146" xr:uid="{CD1E36C8-1B19-4539-9BBD-E7EE20456188}"/>
    <cellStyle name="Normal 4 10 2 4" xfId="4447" xr:uid="{86DB5AD1-0FA0-4B23-81A6-61E25922C26A}"/>
    <cellStyle name="Normal 4 10 2 4 2" xfId="15095" xr:uid="{A78A0945-A96C-4DA8-8ADE-409B0C771DE7}"/>
    <cellStyle name="Normal 4 10 2 5" xfId="4446" xr:uid="{8EBE774A-2341-4559-9ED4-73677AA55AEF}"/>
    <cellStyle name="Normal 4 10 2 5 2" xfId="32110" xr:uid="{65F9B063-432E-4403-8D18-3FE906EB6A52}"/>
    <cellStyle name="Normal 4 10 2 6" xfId="4445" xr:uid="{025264A9-B84D-4AB0-9F02-DB985A8EE1E8}"/>
    <cellStyle name="Normal 4 10 2 6 2" xfId="15069" xr:uid="{6CE2280E-03A6-44FA-840F-09F0105B7715}"/>
    <cellStyle name="Normal 4 10 2 7" xfId="4444" xr:uid="{AFF1B095-0999-484F-947D-5B4936258BE0}"/>
    <cellStyle name="Normal 4 10 3" xfId="4443" xr:uid="{97323E39-8E22-4EB5-9FDD-91558EFB6318}"/>
    <cellStyle name="Normal 4 10 3 2" xfId="4442" xr:uid="{7C4CB7B2-BE96-4826-8B0B-DBC5136D8660}"/>
    <cellStyle name="Normal 4 10 4" xfId="4441" xr:uid="{ABEE997C-DC1F-4A14-A71D-31EA9DAEFB84}"/>
    <cellStyle name="Normal 4 10 4 2" xfId="4440" xr:uid="{9AAF1E0B-EB8C-4AC5-883E-42B32B851D40}"/>
    <cellStyle name="Normal 4 10 5" xfId="4439" xr:uid="{987E3E30-356D-494E-890B-0FCF4B192B6E}"/>
    <cellStyle name="Normal 4 10 5 2" xfId="4438" xr:uid="{6BE3397F-EB83-427B-99E9-59B70D689521}"/>
    <cellStyle name="Normal 4 10 6" xfId="4437" xr:uid="{A83A93C2-4E32-41A6-920A-B4FE63F9B48D}"/>
    <cellStyle name="Normal 4 10 6 2" xfId="21229" xr:uid="{2A95173A-8FEF-40E3-A7CD-DD22DEECEDE0}"/>
    <cellStyle name="Normal 4 10 7" xfId="4436" xr:uid="{3AEE4D52-8863-4EF9-9704-16858C06D1B0}"/>
    <cellStyle name="Normal 4 10 7 2" xfId="33843" xr:uid="{8BCF6C67-B98C-4F6F-88BF-F75C86AFE11F}"/>
    <cellStyle name="Normal 4 10 8" xfId="4435" xr:uid="{FADB5399-338C-443E-B055-6CA50D8AF5D7}"/>
    <cellStyle name="Normal 4 11" xfId="4433" xr:uid="{907EC566-E9CC-4BE0-88C2-F5BAA6423FEF}"/>
    <cellStyle name="Normal 4 11 2" xfId="4432" xr:uid="{AC55BA16-EA8D-4DB8-AD25-8CA99DCF57D0}"/>
    <cellStyle name="Normal 4 11 2 2" xfId="4431" xr:uid="{A3C50FDE-6998-4A92-88D7-0722B9131147}"/>
    <cellStyle name="Normal 4 11 2 2 2" xfId="4430" xr:uid="{AB2E1A24-5752-4CA7-BC53-269FB836ECAB}"/>
    <cellStyle name="Normal 4 11 2 3" xfId="4429" xr:uid="{6C85A2BF-1988-485E-A57E-81318170FC21}"/>
    <cellStyle name="Normal 4 11 2 3 2" xfId="14928" xr:uid="{A8764490-1DAF-4269-8335-A2427CCC5874}"/>
    <cellStyle name="Normal 4 11 2 4" xfId="4428" xr:uid="{842C519F-5239-4999-A6EE-E670E19EFCD5}"/>
    <cellStyle name="Normal 4 11 2 4 2" xfId="14908" xr:uid="{16FD9C1A-BBF6-4A08-9070-9663DE5A94C1}"/>
    <cellStyle name="Normal 4 11 2 5" xfId="4427" xr:uid="{93F39CF7-1166-4CD6-AE5C-032547884C17}"/>
    <cellStyle name="Normal 4 11 2 5 2" xfId="14901" xr:uid="{BF893965-8C40-4AD0-9100-D8C3E72966A7}"/>
    <cellStyle name="Normal 4 11 2 6" xfId="4426" xr:uid="{0F23C81D-F850-4707-8A43-F629401B1BAB}"/>
    <cellStyle name="Normal 4 11 2 6 2" xfId="4425" xr:uid="{313DB923-27A8-4518-9769-704A3F866E69}"/>
    <cellStyle name="Normal 4 11 2 7" xfId="27009" xr:uid="{00F29049-910C-4EA3-9B5A-A5EDC83A1354}"/>
    <cellStyle name="Normal 4 11 3" xfId="4424" xr:uid="{4E6CD0C8-59D1-4DFC-8878-5BC006F2D305}"/>
    <cellStyle name="Normal 4 11 3 2" xfId="4423" xr:uid="{4AA487D7-BF02-4E27-A05C-364C7367A256}"/>
    <cellStyle name="Normal 4 11 4" xfId="4422" xr:uid="{BF4078E6-53FD-4025-8390-07768EFD0C83}"/>
    <cellStyle name="Normal 4 11 4 2" xfId="4421" xr:uid="{ABDE84D4-2920-4869-A713-56C1440DE1A2}"/>
    <cellStyle name="Normal 4 11 5" xfId="4420" xr:uid="{0752BCFD-A342-4E03-A20E-B9EE32AF084C}"/>
    <cellStyle name="Normal 4 11 5 2" xfId="4419" xr:uid="{B11E46B0-1E21-4ED5-B299-3BA7809738B3}"/>
    <cellStyle name="Normal 4 11 6" xfId="4418" xr:uid="{2B1A55A6-418A-4CB4-9097-93A4978CFFE3}"/>
    <cellStyle name="Normal 4 11 6 2" xfId="24383" xr:uid="{D873687D-9164-4D72-8861-132D28FE3506}"/>
    <cellStyle name="Normal 4 11 7" xfId="4417" xr:uid="{47FC87A2-82D1-4CF2-865F-9CDCE8168110}"/>
    <cellStyle name="Normal 4 11 7 2" xfId="4416" xr:uid="{71B1D217-468B-41FD-A34C-4FF1C06D937C}"/>
    <cellStyle name="Normal 4 11 8" xfId="4415" xr:uid="{1493F6F5-4DF2-4211-B5E2-E0C012E493AE}"/>
    <cellStyle name="Normal 4 12" xfId="4413" xr:uid="{173500B3-F4BB-4854-915D-D9C8EA338E4F}"/>
    <cellStyle name="Normal 4 12 2" xfId="4412" xr:uid="{AC0070D0-DCD4-4022-992E-7340E19037BA}"/>
    <cellStyle name="Normal 4 12 2 2" xfId="4411" xr:uid="{A12CBB72-CA52-499C-BFD4-F4EF7AD335DA}"/>
    <cellStyle name="Normal 4 12 2 2 2" xfId="4410" xr:uid="{A98A98F0-1014-46BF-B83C-6FAC1416EFB0}"/>
    <cellStyle name="Normal 4 12 2 3" xfId="4409" xr:uid="{9AE1959E-A46B-4601-8D32-60A948B7D8CA}"/>
    <cellStyle name="Normal 4 12 2 3 2" xfId="14806" xr:uid="{FF37F4D8-9F57-48CA-9E49-34589F24659C}"/>
    <cellStyle name="Normal 4 12 2 4" xfId="18418" xr:uid="{BE34184F-B4E7-42F3-A501-5C624FE18A20}"/>
    <cellStyle name="Normal 4 12 2 4 2" xfId="14792" xr:uid="{C86FD551-0B35-4B0F-A537-45334AA99F1A}"/>
    <cellStyle name="Normal 4 12 2 5" xfId="17768" xr:uid="{45397F56-A594-4A6F-8BD9-BAF4D403C73C}"/>
    <cellStyle name="Normal 4 12 2 5 2" xfId="4408" xr:uid="{9EBC057B-9F92-4253-8F07-773121B47D0B}"/>
    <cellStyle name="Normal 4 12 2 6" xfId="4407" xr:uid="{B957FFC0-1323-446C-8557-3FA968697499}"/>
    <cellStyle name="Normal 4 12 2 6 2" xfId="4406" xr:uid="{B5570072-9EEB-419C-88E8-6CC16A12DB9A}"/>
    <cellStyle name="Normal 4 12 2 7" xfId="4405" xr:uid="{12FB3BC3-113B-4AF4-922D-DF3A52E0F7B8}"/>
    <cellStyle name="Normal 4 12 3" xfId="4404" xr:uid="{348F7EE6-C781-4283-8D30-F6887DEA325B}"/>
    <cellStyle name="Normal 4 12 3 2" xfId="4403" xr:uid="{696C5F54-C39C-4366-86E3-02C61DA78CA9}"/>
    <cellStyle name="Normal 4 12 4" xfId="4402" xr:uid="{79255700-ADBE-4A72-932F-380A7B0AEAAF}"/>
    <cellStyle name="Normal 4 12 4 2" xfId="4401" xr:uid="{5CEA2C0D-1E1A-439C-8209-1C6E82CB3923}"/>
    <cellStyle name="Normal 4 12 5" xfId="4400" xr:uid="{4DB130D0-42DC-4E32-9609-B8A0CA0FA89E}"/>
    <cellStyle name="Normal 4 12 5 2" xfId="4399" xr:uid="{8384C7B4-9AB9-4BF3-B882-91ABCA38CF49}"/>
    <cellStyle name="Normal 4 12 6" xfId="4398" xr:uid="{7DAD0A30-16E0-4DDE-A073-343EFBBA4AF9}"/>
    <cellStyle name="Normal 4 12 6 2" xfId="4397" xr:uid="{6913ED41-08A9-49DB-9B23-2EBCD769FA96}"/>
    <cellStyle name="Normal 4 12 7" xfId="34094" xr:uid="{7CC6D2AE-9F08-448F-BFDD-7D5180C95F69}"/>
    <cellStyle name="Normal 4 12 7 2" xfId="4396" xr:uid="{D742D61E-A0E2-4167-AFB8-D5DEB6E2C8B4}"/>
    <cellStyle name="Normal 4 12 8" xfId="4395" xr:uid="{7A66140B-1618-4647-B35C-66B2A7EC603F}"/>
    <cellStyle name="Normal 4 13" xfId="23968" xr:uid="{42CBA382-48C5-4DB5-80ED-27F6AA851359}"/>
    <cellStyle name="Normal 4 13 2" xfId="31117" xr:uid="{E9200BA9-E712-43D6-933D-676F774EB3D8}"/>
    <cellStyle name="Normal 4 13 2 2" xfId="4394" xr:uid="{F0F8A9F9-52D1-43B3-8767-FEE3930A47AD}"/>
    <cellStyle name="Normal 4 13 2 2 2" xfId="4393" xr:uid="{ACD360D5-C807-4323-8D7B-ADED94914384}"/>
    <cellStyle name="Normal 4 13 2 3" xfId="31540" xr:uid="{99A189B7-022D-4331-8604-EC9965986FE4}"/>
    <cellStyle name="Normal 4 13 2 3 2" xfId="14708" xr:uid="{42E5942A-68BA-43E2-A8B1-CBE84BAFBBE7}"/>
    <cellStyle name="Normal 4 13 2 4" xfId="17764" xr:uid="{4FAF5415-1336-4D4F-9FB3-E5646303C49F}"/>
    <cellStyle name="Normal 4 13 2 4 2" xfId="4392" xr:uid="{13EB7064-128B-49CD-94C0-1C4CF4570B76}"/>
    <cellStyle name="Normal 4 13 2 5" xfId="4391" xr:uid="{58ADFAB2-D05A-4B97-8678-006787B6EC55}"/>
    <cellStyle name="Normal 4 13 2 5 2" xfId="4390" xr:uid="{A5A78361-D8DD-443F-9808-0089D15E7306}"/>
    <cellStyle name="Normal 4 13 2 6" xfId="4389" xr:uid="{1ADF3C65-6398-466A-ADCE-AD1A301BA60B}"/>
    <cellStyle name="Normal 4 13 2 6 2" xfId="4388" xr:uid="{4A2CEFE7-0144-49F4-8848-3A1FA239DFB2}"/>
    <cellStyle name="Normal 4 13 2 7" xfId="4387" xr:uid="{0D5CB095-9DDD-4297-A06B-600CA7A53DC8}"/>
    <cellStyle name="Normal 4 13 3" xfId="27433" xr:uid="{14082978-1CBE-4DED-8C30-FFD70C1C621C}"/>
    <cellStyle name="Normal 4 13 3 2" xfId="4386" xr:uid="{FEB3A7F3-59D3-47BE-ABE6-3C9C0C6C8680}"/>
    <cellStyle name="Normal 4 13 4" xfId="4385" xr:uid="{86A1001B-EA19-48F5-8321-BED4C07C8C25}"/>
    <cellStyle name="Normal 4 13 4 2" xfId="4384" xr:uid="{240F737D-07AD-40B6-96C6-E9652B32B86A}"/>
    <cellStyle name="Normal 4 13 5" xfId="4383" xr:uid="{06B5B36A-7607-4FE1-BFDD-F837A3CEFD42}"/>
    <cellStyle name="Normal 4 13 5 2" xfId="4382" xr:uid="{745F3405-31F8-4C14-9F6A-A2EF47B9571B}"/>
    <cellStyle name="Normal 4 13 6" xfId="8340" xr:uid="{771EFEA4-FFA8-4D8E-9108-CFE0655DA463}"/>
    <cellStyle name="Normal 4 13 6 2" xfId="4381" xr:uid="{70464D70-3560-4F78-97F9-1B6588161325}"/>
    <cellStyle name="Normal 4 13 7" xfId="29992" xr:uid="{D3293F85-102C-4498-A0AE-90DB7FC963DF}"/>
    <cellStyle name="Normal 4 13 7 2" xfId="4379" xr:uid="{E57DA659-BDF4-4148-8100-3CBA8B1778B6}"/>
    <cellStyle name="Normal 4 13 8" xfId="4377" xr:uid="{D6F5B0D7-6082-4EFC-887C-9B2B312FEEC8}"/>
    <cellStyle name="Normal 4 14" xfId="4375" xr:uid="{8267C754-39F9-4550-B194-6E766221D496}"/>
    <cellStyle name="Normal 4 14 2" xfId="27431" xr:uid="{EF210E7D-A6FF-46CD-B8A0-165BC257055A}"/>
    <cellStyle name="Normal 4 14 2 2" xfId="4374" xr:uid="{25FF3E94-F15B-4C68-A812-F6AB94335062}"/>
    <cellStyle name="Normal 4 14 3" xfId="4373" xr:uid="{FE5F9645-2C3F-4692-B084-01B2A54DC6F8}"/>
    <cellStyle name="Normal 4 14 3 2" xfId="4372" xr:uid="{6A560C3F-A0A7-4CA1-B48B-2000866EDF11}"/>
    <cellStyle name="Normal 4 14 4" xfId="18246" xr:uid="{44E024A0-4146-43DC-8F62-E8BF6BF15DAC}"/>
    <cellStyle name="Normal 4 14 4 2" xfId="4371" xr:uid="{2A828B28-57FE-423D-BBED-CCB882514B59}"/>
    <cellStyle name="Normal 4 14 5" xfId="4370" xr:uid="{A6D616AA-03E4-4212-AC68-69ED55E499F7}"/>
    <cellStyle name="Normal 4 14 5 2" xfId="4369" xr:uid="{0A8A7880-2408-4501-923D-9AC8F48EA6ED}"/>
    <cellStyle name="Normal 4 14 6" xfId="12101" xr:uid="{3493F919-FD7E-40B1-ADE3-0A0CF21B4F96}"/>
    <cellStyle name="Normal 4 14 6 2" xfId="4368" xr:uid="{537B47CD-4891-4119-94CF-9002257AAE26}"/>
    <cellStyle name="Normal 4 14 7" xfId="4367" xr:uid="{24933AFA-763F-428D-8519-F8BE81158AED}"/>
    <cellStyle name="Normal 4 15" xfId="24922" xr:uid="{01FC077F-570B-4018-9276-870264BFD005}"/>
    <cellStyle name="Normal 4 15 2" xfId="13544" xr:uid="{FED00A2A-D40F-4F2E-B417-6FC52793E28A}"/>
    <cellStyle name="Normal 4 15 2 2" xfId="21672" xr:uid="{3E37AB5B-4C63-4C81-9F6D-76258466AD6E}"/>
    <cellStyle name="Normal 4 15 3" xfId="4366" xr:uid="{724F2F32-0D00-41A3-97D0-51E41A0D9D3C}"/>
    <cellStyle name="Normal 4 15 3 2" xfId="4365" xr:uid="{0BD642D5-27A1-42F3-85F6-C5B160C1B001}"/>
    <cellStyle name="Normal 4 15 4" xfId="4363" xr:uid="{22E878DC-EA30-4384-A32B-C9E2503FB9DA}"/>
    <cellStyle name="Normal 4 15 4 2" xfId="4362" xr:uid="{BB68EF51-7EE2-4A42-8A02-9C0DB5505D3F}"/>
    <cellStyle name="Normal 4 15 5" xfId="4361" xr:uid="{8F1DBB80-D73F-4D41-A3DC-9D3C87A7E641}"/>
    <cellStyle name="Normal 4 15 5 2" xfId="14537" xr:uid="{F4047336-7132-43BE-B860-55401A80F28D}"/>
    <cellStyle name="Normal 4 15 6" xfId="31297" xr:uid="{BB78899E-32E9-4750-BE34-5073751DDCE3}"/>
    <cellStyle name="Normal 4 15 6 2" xfId="24461" xr:uid="{570BA46B-81DD-4771-8582-5896542BB1CA}"/>
    <cellStyle name="Normal 4 15 7" xfId="30002" xr:uid="{D3B489F1-ED73-49B2-AB68-A8719B6E81D2}"/>
    <cellStyle name="Normal 4 16" xfId="4360" xr:uid="{055A1847-EEA4-49BD-B8D0-3E9A8B7D0865}"/>
    <cellStyle name="Normal 4 16 2" xfId="4358" xr:uid="{B733D6FD-5EB4-4A9D-A10F-C2E685825BD8}"/>
    <cellStyle name="Normal 4 16 2 2" xfId="4356" xr:uid="{50178D43-8805-4397-A249-749F73DC155D}"/>
    <cellStyle name="Normal 4 16 3" xfId="4354" xr:uid="{C10E4F91-F5A7-461B-8989-ECCDFF1218A2}"/>
    <cellStyle name="Normal 4 16 3 2" xfId="4353" xr:uid="{5A961030-3366-41ED-BB33-E5FEC3272C68}"/>
    <cellStyle name="Normal 4 16 4" xfId="4352" xr:uid="{9EA70441-03AC-4016-B396-590E068275B7}"/>
    <cellStyle name="Normal 4 16 4 2" xfId="4351" xr:uid="{6F8F70D7-7BDF-4C20-A3C3-8A538E221A3D}"/>
    <cellStyle name="Normal 4 16 5" xfId="4350" xr:uid="{08B18457-02D7-4CBD-87C4-643E687E9840}"/>
    <cellStyle name="Normal 4 16 5 2" xfId="4349" xr:uid="{4E2A95C5-26A9-4D68-9FAC-9EA25A975631}"/>
    <cellStyle name="Normal 4 16 6" xfId="30199" xr:uid="{0AE93816-6C5B-4786-B34C-E6F067177ED3}"/>
    <cellStyle name="Normal 4 16 6 2" xfId="25550" xr:uid="{860C3BF2-3B12-4262-A302-5F9CD37ECDD4}"/>
    <cellStyle name="Normal 4 16 7" xfId="30404" xr:uid="{DE7202E4-2D24-43AC-962E-6B1D181F9FD2}"/>
    <cellStyle name="Normal 4 17" xfId="31285" xr:uid="{341860A3-244D-4BA1-8D3F-857A2C42E219}"/>
    <cellStyle name="Normal 4 17 2" xfId="4348" xr:uid="{D9488654-EE05-4BA3-94B4-A590A081208A}"/>
    <cellStyle name="Normal 4 18" xfId="22650" xr:uid="{78866BD8-1B71-4EC8-96D7-730CDD663666}"/>
    <cellStyle name="Normal 4 18 2" xfId="4347" xr:uid="{F285AEB7-9937-49C0-BAD7-0EA1AAA07673}"/>
    <cellStyle name="Normal 4 19" xfId="19649" xr:uid="{7751B961-A1E1-4AD2-B82D-62104FEA3FFD}"/>
    <cellStyle name="Normal 4 19 2" xfId="4346" xr:uid="{1E899F35-A889-42CD-9D47-6CCE12C3F925}"/>
    <cellStyle name="Normal 4 2" xfId="57" xr:uid="{E5721B73-E943-4A0F-8510-C189DE48EDE7}"/>
    <cellStyle name="Normal 4 2 10" xfId="4344" xr:uid="{9031F8A9-87F5-4A9F-B8AD-A71F469D367D}"/>
    <cellStyle name="Normal 4 2 10 2" xfId="4343" xr:uid="{E0E6B992-6826-486D-BC84-4927963F8DF7}"/>
    <cellStyle name="Normal 4 2 10 2 2" xfId="25205" xr:uid="{1B9BBD6F-8D82-4472-AD60-10BE63D47FD9}"/>
    <cellStyle name="Normal 4 2 10 2 2 2" xfId="4342" xr:uid="{A424D4B7-B6FC-41E3-B9F1-6CBDD8D9E190}"/>
    <cellStyle name="Normal 4 2 10 2 3" xfId="21434" xr:uid="{443C07FD-ABEF-4735-AB91-D48DAB58B26E}"/>
    <cellStyle name="Normal 4 2 10 2 3 2" xfId="4341" xr:uid="{78DCCAC3-C663-4011-85C1-5DE57E07E82E}"/>
    <cellStyle name="Normal 4 2 10 2 4" xfId="4340" xr:uid="{89AE2A25-6381-4BDB-A2C9-BF403C8A9182}"/>
    <cellStyle name="Normal 4 2 10 2 4 2" xfId="4339" xr:uid="{45687FB7-3328-4483-A52A-8C052E0E6814}"/>
    <cellStyle name="Normal 4 2 10 2 5" xfId="4338" xr:uid="{87C83D02-9214-48EA-BF32-0A7D80EAFA86}"/>
    <cellStyle name="Normal 4 2 10 2 5 2" xfId="25257" xr:uid="{48B37B8C-AE9F-455C-8512-38930A3E2F8B}"/>
    <cellStyle name="Normal 4 2 10 2 6" xfId="4337" xr:uid="{AB6013B4-D7CD-499B-87EE-D9CAB7C705AC}"/>
    <cellStyle name="Normal 4 2 10 2 6 2" xfId="10191" xr:uid="{9ED00C5C-99BF-4BC3-B528-145633E122BA}"/>
    <cellStyle name="Normal 4 2 10 2 7" xfId="4336" xr:uid="{B13D701C-BF74-479C-9DA5-D8D374819D0F}"/>
    <cellStyle name="Normal 4 2 10 3" xfId="4334" xr:uid="{230351A7-5A1D-4286-AC12-EC97790B9786}"/>
    <cellStyle name="Normal 4 2 10 3 2" xfId="15523" xr:uid="{23344FC6-2DF4-41F3-BA13-494041BAB9BF}"/>
    <cellStyle name="Normal 4 2 10 4" xfId="4333" xr:uid="{27858CCB-A796-4AD0-8DA7-F6F693CA0A4A}"/>
    <cellStyle name="Normal 4 2 10 4 2" xfId="13736" xr:uid="{12AC2064-C660-4378-AF74-CD8AB5974973}"/>
    <cellStyle name="Normal 4 2 10 5" xfId="4332" xr:uid="{93305671-A1EF-4233-B986-B28A59FCA9CE}"/>
    <cellStyle name="Normal 4 2 10 5 2" xfId="28246" xr:uid="{8E43784E-2736-4A12-832F-BD85FA45BC4C}"/>
    <cellStyle name="Normal 4 2 10 6" xfId="4331" xr:uid="{BD8B51BC-3CC9-4793-A765-AD026773983F}"/>
    <cellStyle name="Normal 4 2 10 6 2" xfId="4330" xr:uid="{5454F032-5664-4FD9-9B7E-4AAB91E07280}"/>
    <cellStyle name="Normal 4 2 10 7" xfId="4329" xr:uid="{21F252BC-4EFF-48C0-98A3-FDF890D195B9}"/>
    <cellStyle name="Normal 4 2 10 7 2" xfId="4327" xr:uid="{4A208AC7-A183-4340-8700-3A5760E87F3A}"/>
    <cellStyle name="Normal 4 2 10 8" xfId="29732" xr:uid="{D533B1DA-9CBB-430C-8FF9-7122E49D03C0}"/>
    <cellStyle name="Normal 4 2 11" xfId="4326" xr:uid="{3BFC99BD-E2C2-46CA-A178-B0BB99D61E35}"/>
    <cellStyle name="Normal 4 2 11 2" xfId="4325" xr:uid="{2C9D2025-65B4-4E4E-9338-0208FAC57CC3}"/>
    <cellStyle name="Normal 4 2 11 2 2" xfId="4324" xr:uid="{2FC4B9A9-B2F1-4341-B575-73D23F95FAAB}"/>
    <cellStyle name="Normal 4 2 11 3" xfId="4323" xr:uid="{105AE34E-C526-4F29-B907-7B53B6C780AC}"/>
    <cellStyle name="Normal 4 2 11 3 2" xfId="15508" xr:uid="{5004FE04-2340-4365-A1A5-C49A6D56FE2E}"/>
    <cellStyle name="Normal 4 2 11 4" xfId="4322" xr:uid="{4E7C3062-0940-4B31-8636-78334FDC0558}"/>
    <cellStyle name="Normal 4 2 11 4 2" xfId="13722" xr:uid="{79BEAB41-A421-4E33-927A-9CF324EA8E05}"/>
    <cellStyle name="Normal 4 2 11 5" xfId="4321" xr:uid="{7437BFB0-2560-435E-9549-A1F76C752906}"/>
    <cellStyle name="Normal 4 2 11 5 2" xfId="4320" xr:uid="{A0A5168E-AF65-4CCA-911B-50186A14F58D}"/>
    <cellStyle name="Normal 4 2 11 6" xfId="4319" xr:uid="{DCE906E8-E1D7-4ADC-95F3-B81A2A14EE2E}"/>
    <cellStyle name="Normal 4 2 11 6 2" xfId="4318" xr:uid="{96B74E31-7F29-4154-B2DD-2861419BB723}"/>
    <cellStyle name="Normal 4 2 11 7" xfId="4317" xr:uid="{306F5D7A-DA58-4E94-9ABF-63B59E75BD74}"/>
    <cellStyle name="Normal 4 2 12" xfId="4316" xr:uid="{18068488-5059-4D0A-BD7C-A0F485B93868}"/>
    <cellStyle name="Normal 4 2 12 2" xfId="4315" xr:uid="{3EE20EF4-BBFE-4E20-8533-D7845E10C7D5}"/>
    <cellStyle name="Normal 4 2 12 2 2" xfId="4314" xr:uid="{13291707-6636-4365-8E99-A7C3DBC26CA7}"/>
    <cellStyle name="Normal 4 2 12 3" xfId="4313" xr:uid="{D93C30AE-573F-4A06-AF19-02F69F29F800}"/>
    <cellStyle name="Normal 4 2 12 3 2" xfId="4312" xr:uid="{25126DBE-F12E-45EC-B237-6B2F2B9B916B}"/>
    <cellStyle name="Normal 4 2 12 4" xfId="4311" xr:uid="{8769EA46-A692-450A-884F-8B9F177456D9}"/>
    <cellStyle name="Normal 4 2 12 4 2" xfId="4310" xr:uid="{86BAF79A-D318-472E-90FB-99DADE8BA4E1}"/>
    <cellStyle name="Normal 4 2 12 5" xfId="4309" xr:uid="{9ECE9BAB-7008-465D-BC59-847F57BD85B6}"/>
    <cellStyle name="Normal 4 2 12 5 2" xfId="4308" xr:uid="{0AF86A24-C2CB-450C-A1F0-28DDAA697437}"/>
    <cellStyle name="Normal 4 2 12 6" xfId="4307" xr:uid="{7D8FE7A1-891A-4E3B-979E-7EA0EEB9438D}"/>
    <cellStyle name="Normal 4 2 12 6 2" xfId="4306" xr:uid="{15AEB2B2-3A70-456E-B898-958D5010B75C}"/>
    <cellStyle name="Normal 4 2 12 7" xfId="4305" xr:uid="{DE54714B-DACF-40E5-9A0B-7FF97640E712}"/>
    <cellStyle name="Normal 4 2 13" xfId="4304" xr:uid="{66003114-727E-4C76-A833-BC12D9F66131}"/>
    <cellStyle name="Normal 4 2 13 2" xfId="4303" xr:uid="{8530053A-49F7-41CF-8E79-308ED83979C7}"/>
    <cellStyle name="Normal 4 2 14" xfId="4302" xr:uid="{CBFFB922-E6E7-4E4A-B161-B466F916A63B}"/>
    <cellStyle name="Normal 4 2 14 2" xfId="33579" xr:uid="{85B1363D-84C3-48E4-8A35-F45604A317A8}"/>
    <cellStyle name="Normal 4 2 15" xfId="4301" xr:uid="{B6772F58-3F28-48EF-B03C-E43D171D0843}"/>
    <cellStyle name="Normal 4 2 15 2" xfId="20768" xr:uid="{31C079DC-6BE4-4699-8170-9CB7D62BDE04}"/>
    <cellStyle name="Normal 4 2 16" xfId="4300" xr:uid="{A96BABF4-E686-4C3A-B8F5-68D3FA920AD9}"/>
    <cellStyle name="Normal 4 2 16 2" xfId="20460" xr:uid="{8962B813-C066-46FC-AA14-6F55A0EABABD}"/>
    <cellStyle name="Normal 4 2 17" xfId="10267" xr:uid="{B025D037-2133-489F-8F21-F2BE497827FA}"/>
    <cellStyle name="Normal 4 2 17 2" xfId="10260" xr:uid="{FFE1300A-C9C6-4789-A796-736CBFA9B3F7}"/>
    <cellStyle name="Normal 4 2 18" xfId="10258" xr:uid="{541094B7-D57D-4F60-9BFE-1DDA023104DA}"/>
    <cellStyle name="Normal 4 2 19" xfId="34421" xr:uid="{8A82516A-59CB-420C-B996-D7B5ED07512F}"/>
    <cellStyle name="Normal 4 2 2" xfId="4299" xr:uid="{DF87170D-A5AE-4F34-B858-3857548D1B5B}"/>
    <cellStyle name="Normal 4 2 2 2" xfId="4296" xr:uid="{51BCC60D-30EB-4BD4-ACED-DBF338DA7577}"/>
    <cellStyle name="Normal 4 2 2 2 2" xfId="22675" xr:uid="{6A2E8723-CF36-4210-8CA5-F5B1BD535AF6}"/>
    <cellStyle name="Normal 4 2 2 2 2 2" xfId="22587" xr:uid="{C8844A12-CBF9-493C-B70F-BC4325FBFFC5}"/>
    <cellStyle name="Normal 4 2 2 2 3" xfId="16586" xr:uid="{3E7CCAEE-76AE-4EB6-AD3C-FAE343DA5A0C}"/>
    <cellStyle name="Normal 4 2 2 2 3 2" xfId="22558" xr:uid="{8E7A12CB-7D7F-43F3-ADDB-3CFE246F69A6}"/>
    <cellStyle name="Normal 4 2 2 2 4" xfId="22555" xr:uid="{18986FB0-5E8E-4BD6-93BD-E0EF2A75432A}"/>
    <cellStyle name="Normal 4 2 2 2 4 2" xfId="4295" xr:uid="{C3BC4155-D471-4F49-9A4B-C2F592ABB7C6}"/>
    <cellStyle name="Normal 4 2 2 2 5" xfId="7856" xr:uid="{E09C9AF5-90C0-4B40-AD52-D274B8C855E7}"/>
    <cellStyle name="Normal 4 2 2 2 5 2" xfId="4294" xr:uid="{4EC3B5BD-5D86-48D9-99E5-EDE640C81124}"/>
    <cellStyle name="Normal 4 2 2 2 6" xfId="25746" xr:uid="{03533E15-199B-4257-8124-6CEE0BD3992A}"/>
    <cellStyle name="Normal 4 2 2 2 6 2" xfId="4293" xr:uid="{2209AA80-EB7F-45C8-A0D0-AD2D8455A2EF}"/>
    <cellStyle name="Normal 4 2 2 2 7" xfId="4292" xr:uid="{B00AB21C-80CA-46B2-A07F-8F82836EF0FB}"/>
    <cellStyle name="Normal 4 2 2 3" xfId="4291" xr:uid="{B0AA7562-8349-4314-BA45-D833DBD71E34}"/>
    <cellStyle name="Normal 4 2 2 3 2" xfId="22484" xr:uid="{964C3AAF-224D-44FD-AEA7-83C5D6D8A356}"/>
    <cellStyle name="Normal 4 2 2 4" xfId="4290" xr:uid="{171E6875-4E11-4984-BD2E-9B33B92DA492}"/>
    <cellStyle name="Normal 4 2 2 4 2" xfId="22463" xr:uid="{F9C208E6-12B7-4785-BA07-F74E3A17C7E0}"/>
    <cellStyle name="Normal 4 2 2 5" xfId="4289" xr:uid="{12E80FA2-012D-4F06-BF61-55AD6F476FDD}"/>
    <cellStyle name="Normal 4 2 2 5 2" xfId="4287" xr:uid="{EBFB8B87-8D37-44D3-B561-4EF4B0B10FBA}"/>
    <cellStyle name="Normal 4 2 2 6" xfId="4286" xr:uid="{6CECB0E4-9ADA-48E9-9B12-AD7EDBB1203F}"/>
    <cellStyle name="Normal 4 2 2 6 2" xfId="4285" xr:uid="{85020B30-FBE4-4CF1-81AB-3AE28FBF6725}"/>
    <cellStyle name="Normal 4 2 2 7" xfId="4284" xr:uid="{54432BDD-7699-495D-889B-D72561CAF386}"/>
    <cellStyle name="Normal 4 2 2 7 2" xfId="19040" xr:uid="{8183E686-2283-4054-867E-DF307E371548}"/>
    <cellStyle name="Normal 4 2 2 8" xfId="4283" xr:uid="{D975D194-DF8C-4224-8EF2-9816D499E492}"/>
    <cellStyle name="Normal 4 2 20" xfId="4345" xr:uid="{AE6AE984-2689-49D1-B2C2-73E7C1A17A33}"/>
    <cellStyle name="Normal 4 2 3" xfId="4282" xr:uid="{354ADDB8-F7E1-4CDE-8E33-52FA6CC79D30}"/>
    <cellStyle name="Normal 4 2 3 2" xfId="4281" xr:uid="{79664E7C-B4F5-43B6-BCD2-7EAA2513CC7B}"/>
    <cellStyle name="Normal 4 2 3 2 2" xfId="22376" xr:uid="{DFACFDD8-E9ED-4553-9D74-1217AD5D13E6}"/>
    <cellStyle name="Normal 4 2 3 2 2 2" xfId="22369" xr:uid="{39E01945-597F-40A8-9D58-858A0BECF6B1}"/>
    <cellStyle name="Normal 4 2 3 2 3" xfId="22364" xr:uid="{D9031812-548D-48E9-BECC-ED33DA16120A}"/>
    <cellStyle name="Normal 4 2 3 2 3 2" xfId="4280" xr:uid="{1C431A42-E98B-4BE3-9D19-0B67BEED7431}"/>
    <cellStyle name="Normal 4 2 3 2 4" xfId="4279" xr:uid="{B1064C69-8B15-4F84-8449-F7B8E3C2564A}"/>
    <cellStyle name="Normal 4 2 3 2 4 2" xfId="4278" xr:uid="{4F4BC4F0-7A4D-44B8-BA61-001BBED015C2}"/>
    <cellStyle name="Normal 4 2 3 2 5" xfId="22945" xr:uid="{E0AA3C4E-B69C-4D66-9910-BE6F69B989F3}"/>
    <cellStyle name="Normal 4 2 3 2 5 2" xfId="4277" xr:uid="{FAA53C5B-4995-4EF0-AFC1-D034920D1F3E}"/>
    <cellStyle name="Normal 4 2 3 2 6" xfId="4276" xr:uid="{FB33A1FE-2366-4BC5-BBCA-06FD50978A5E}"/>
    <cellStyle name="Normal 4 2 3 2 6 2" xfId="4275" xr:uid="{ED7DFCB0-337A-45AC-8D63-B08EEEE5BBC4}"/>
    <cellStyle name="Normal 4 2 3 2 7" xfId="4274" xr:uid="{311B6D38-E822-46F1-9A02-0FC1D6103D06}"/>
    <cellStyle name="Normal 4 2 3 3" xfId="4273" xr:uid="{8445B871-1F3B-4648-BB20-0724DB94EB84}"/>
    <cellStyle name="Normal 4 2 3 3 2" xfId="22324" xr:uid="{992D6A29-1FF8-4ACA-864D-E9827D27DF76}"/>
    <cellStyle name="Normal 4 2 3 4" xfId="4272" xr:uid="{23E1263D-63B0-48AA-9C2E-CAD8A8C526FE}"/>
    <cellStyle name="Normal 4 2 3 4 2" xfId="4271" xr:uid="{758DA54D-AD7E-4030-92B7-909EBADC9510}"/>
    <cellStyle name="Normal 4 2 3 5" xfId="4270" xr:uid="{E5B0CC08-61AC-481B-9719-1C12296B1D24}"/>
    <cellStyle name="Normal 4 2 3 5 2" xfId="4269" xr:uid="{7ED786D8-7265-469A-8A84-AC1DCF22E743}"/>
    <cellStyle name="Normal 4 2 3 6" xfId="4268" xr:uid="{A86BB029-983B-46A7-8FF5-E6ED44B6024A}"/>
    <cellStyle name="Normal 4 2 3 6 2" xfId="32265" xr:uid="{B1A33F79-E8EE-4AC9-9966-C343C239888D}"/>
    <cellStyle name="Normal 4 2 3 7" xfId="4267" xr:uid="{F6FBD9ED-B754-4430-9B31-E45118AF629E}"/>
    <cellStyle name="Normal 4 2 3 7 2" xfId="4266" xr:uid="{39BADDB1-34CA-459F-A68A-76EDBFDF6BBB}"/>
    <cellStyle name="Normal 4 2 3 8" xfId="4265" xr:uid="{96FA18F3-BA11-4181-8553-5114FD76B762}"/>
    <cellStyle name="Normal 4 2 4" xfId="31565" xr:uid="{32A808C2-D512-4161-9345-5FF1603F6808}"/>
    <cellStyle name="Normal 4 2 4 2" xfId="32182" xr:uid="{831F7F5A-4924-4849-999C-A4D96839A289}"/>
    <cellStyle name="Normal 4 2 4 2 2" xfId="22097" xr:uid="{ECF53F53-302D-4A13-BE01-3CB7B30250EB}"/>
    <cellStyle name="Normal 4 2 4 2 2 2" xfId="33452" xr:uid="{07EAA7D5-2790-459C-8C64-9D70658E77B6}"/>
    <cellStyle name="Normal 4 2 4 2 3" xfId="24281" xr:uid="{190A6532-AAD3-4522-82DF-4C750B707CAA}"/>
    <cellStyle name="Normal 4 2 4 2 3 2" xfId="33463" xr:uid="{2051F50A-EC00-4FAE-B78D-015068928820}"/>
    <cellStyle name="Normal 4 2 4 2 4" xfId="22584" xr:uid="{D570F40E-D9E9-4504-96D4-E785F3A64162}"/>
    <cellStyle name="Normal 4 2 4 2 4 2" xfId="28795" xr:uid="{1F9413F3-5A84-409C-BE95-55EA84CC6C8D}"/>
    <cellStyle name="Normal 4 2 4 2 5" xfId="28614" xr:uid="{0B077464-0865-4FEC-9D6D-282024EC7B0B}"/>
    <cellStyle name="Normal 4 2 4 2 5 2" xfId="28291" xr:uid="{62B419F9-32FF-45EB-B245-8F5430ED02CF}"/>
    <cellStyle name="Normal 4 2 4 2 6" xfId="28601" xr:uid="{EBE9A3EB-0888-407E-A97D-31906C44C762}"/>
    <cellStyle name="Normal 4 2 4 2 6 2" xfId="31410" xr:uid="{E722ABD6-D96D-47D8-A24C-C6E48CDD78B6}"/>
    <cellStyle name="Normal 4 2 4 2 7" xfId="4264" xr:uid="{EADE058E-77A2-43AC-8DDD-8C70D0D8DC66}"/>
    <cellStyle name="Normal 4 2 4 3" xfId="32846" xr:uid="{1019E79B-2275-41BB-8E49-588D26A10B17}"/>
    <cellStyle name="Normal 4 2 4 3 2" xfId="30486" xr:uid="{0535F7FF-4D43-42A3-9A82-DA98323E031C}"/>
    <cellStyle name="Normal 4 2 4 4" xfId="33005" xr:uid="{1534819A-1A1C-4512-816F-FA4285CE34D7}"/>
    <cellStyle name="Normal 4 2 4 4 2" xfId="19785" xr:uid="{D7F6C000-3CBF-4907-9379-78EA1F00D228}"/>
    <cellStyle name="Normal 4 2 4 5" xfId="28748" xr:uid="{6ABA6052-733F-4334-ABA5-FB04EB1BAD54}"/>
    <cellStyle name="Normal 4 2 4 5 2" xfId="28745" xr:uid="{3545FBB8-0397-4374-929A-4298B29FCF58}"/>
    <cellStyle name="Normal 4 2 4 6" xfId="28731" xr:uid="{8DE71CB2-10D2-4FE3-A3A9-5CA9ABEFD8CC}"/>
    <cellStyle name="Normal 4 2 4 6 2" xfId="28722" xr:uid="{7B2AE4E0-B425-4608-86D5-20EE5B2EEBEE}"/>
    <cellStyle name="Normal 4 2 4 7" xfId="13681" xr:uid="{424C2DEC-8944-44E1-B75C-4DA628B25490}"/>
    <cellStyle name="Normal 4 2 4 7 2" xfId="4263" xr:uid="{68B0E30C-3C66-4AF6-9EE7-2067118C82E3}"/>
    <cellStyle name="Normal 4 2 4 8" xfId="4262" xr:uid="{33FD5CC3-3AB2-49A3-AE9E-637D92423603}"/>
    <cellStyle name="Normal 4 2 5" xfId="26295" xr:uid="{EB0498B3-F552-4A86-B749-B908B267F974}"/>
    <cellStyle name="Normal 4 2 5 2" xfId="32844" xr:uid="{5ADBA00F-1E8B-4B6E-805F-642F891323D1}"/>
    <cellStyle name="Normal 4 2 5 2 2" xfId="22079" xr:uid="{18BB09AE-CE9D-4956-AFF9-CE566FAA0776}"/>
    <cellStyle name="Normal 4 2 5 2 2 2" xfId="10906" xr:uid="{147C64D9-CC7C-4299-A9CC-8276529F34EA}"/>
    <cellStyle name="Normal 4 2 5 2 3" xfId="26848" xr:uid="{6B85D08D-AAD6-44B7-82C5-BDA470E155D9}"/>
    <cellStyle name="Normal 4 2 5 2 3 2" xfId="10898" xr:uid="{E369E6EE-5A33-4778-BB72-DE375703C11F}"/>
    <cellStyle name="Normal 4 2 5 2 4" xfId="26836" xr:uid="{326E9BEF-B821-4BBA-953D-1023000FE634}"/>
    <cellStyle name="Normal 4 2 5 2 4 2" xfId="26483" xr:uid="{02941006-C3CC-4CC9-B8A2-E20B462BA75C}"/>
    <cellStyle name="Normal 4 2 5 2 5" xfId="26473" xr:uid="{B2D96E4C-3981-4780-BC71-2E08DD14518A}"/>
    <cellStyle name="Normal 4 2 5 2 5 2" xfId="4261" xr:uid="{3C443DF8-3BCF-44F2-A1E0-AD824FDE2C13}"/>
    <cellStyle name="Normal 4 2 5 2 6" xfId="4259" xr:uid="{A2FBBB2B-1E87-449C-9925-DF107C6BD9E2}"/>
    <cellStyle name="Normal 4 2 5 2 6 2" xfId="26061" xr:uid="{D26AC014-0279-4137-AA2A-C79DF1B28C7A}"/>
    <cellStyle name="Normal 4 2 5 2 7" xfId="4258" xr:uid="{189FC900-A87A-4D46-8769-28D20AAAF0C0}"/>
    <cellStyle name="Normal 4 2 5 3" xfId="32837" xr:uid="{3C455B53-3A2C-4797-839E-FDAE23B49972}"/>
    <cellStyle name="Normal 4 2 5 3 2" xfId="28694" xr:uid="{4A748889-0977-4E12-ACB7-84F211BCD982}"/>
    <cellStyle name="Normal 4 2 5 4" xfId="28691" xr:uid="{7C22F17B-AAE9-4AF9-AFF4-635DBE7297F3}"/>
    <cellStyle name="Normal 4 2 5 4 2" xfId="28688" xr:uid="{F8FF3A29-650C-4396-B875-0C815B41E7B0}"/>
    <cellStyle name="Normal 4 2 5 5" xfId="28684" xr:uid="{E9AC1F80-D757-4A21-BC32-A998185ECB65}"/>
    <cellStyle name="Normal 4 2 5 5 2" xfId="28682" xr:uid="{9D0B81A0-79E2-4E7C-ACF9-C9272E9E144F}"/>
    <cellStyle name="Normal 4 2 5 6" xfId="28680" xr:uid="{2905C12B-26D2-43D0-BB94-E095175CB5CD}"/>
    <cellStyle name="Normal 4 2 5 6 2" xfId="4257" xr:uid="{E82E4345-1028-49F3-9E48-A98DB25DF9FD}"/>
    <cellStyle name="Normal 4 2 5 7" xfId="4256" xr:uid="{F3BF98A8-A163-4292-83B1-0A028489110C}"/>
    <cellStyle name="Normal 4 2 5 7 2" xfId="4255" xr:uid="{5B33E6AC-317D-4327-91E4-79F028EE3C51}"/>
    <cellStyle name="Normal 4 2 5 8" xfId="4254" xr:uid="{D7E28F96-BB90-4272-9247-9B35A0E1A2C2}"/>
    <cellStyle name="Normal 4 2 6" xfId="20868" xr:uid="{B09D1D38-2496-40C4-A3AA-9F15D2E85A1F}"/>
    <cellStyle name="Normal 4 2 6 2" xfId="32825" xr:uid="{721BBA7F-45CC-4829-A9DF-59346B9469BF}"/>
    <cellStyle name="Normal 4 2 6 2 2" xfId="24967" xr:uid="{DD457C85-7EAE-46BE-A6BF-C8D5FF2EF75A}"/>
    <cellStyle name="Normal 4 2 6 2 2 2" xfId="10849" xr:uid="{C5F3BC69-A413-4560-9A13-D244489157CD}"/>
    <cellStyle name="Normal 4 2 6 2 3" xfId="25001" xr:uid="{6798AFC2-272A-4688-8E3D-799EDDF2DDDD}"/>
    <cellStyle name="Normal 4 2 6 2 3 2" xfId="26459" xr:uid="{B1ACE7D4-2D31-46BE-880C-3D5A05B5ECA9}"/>
    <cellStyle name="Normal 4 2 6 2 4" xfId="24984" xr:uid="{1AAB9ECA-AE9E-430E-8B13-80F8B054BC20}"/>
    <cellStyle name="Normal 4 2 6 2 4 2" xfId="4253" xr:uid="{D2704D5C-55BC-4265-8E0D-97C98C13682C}"/>
    <cellStyle name="Normal 4 2 6 2 5" xfId="19091" xr:uid="{CB8C14DF-483A-4477-9846-37A525437AA3}"/>
    <cellStyle name="Normal 4 2 6 2 5 2" xfId="4251" xr:uid="{6E9C93CC-6F56-479D-AD06-BF935AA51EFE}"/>
    <cellStyle name="Normal 4 2 6 2 6" xfId="4249" xr:uid="{CFE2EB1B-0569-4335-9691-CA7FA4413AA6}"/>
    <cellStyle name="Normal 4 2 6 2 6 2" xfId="26035" xr:uid="{ABD3A118-1444-4B1C-B75E-9925320A35F9}"/>
    <cellStyle name="Normal 4 2 6 2 7" xfId="4248" xr:uid="{F3AE7654-EEA1-45DE-9325-E84F199A04D3}"/>
    <cellStyle name="Normal 4 2 6 3" xfId="28677" xr:uid="{9DC471A9-EE63-4FB7-A056-F769DB806D4A}"/>
    <cellStyle name="Normal 4 2 6 3 2" xfId="24957" xr:uid="{5DEE6E09-CFA4-4567-A32B-4C2E29788C80}"/>
    <cellStyle name="Normal 4 2 6 4" xfId="28674" xr:uid="{825BBCC2-19BC-40A3-8023-7F84D1921BAE}"/>
    <cellStyle name="Normal 4 2 6 4 2" xfId="24921" xr:uid="{B4BFE594-D325-4040-A93D-C9DE31587986}"/>
    <cellStyle name="Normal 4 2 6 5" xfId="32122" xr:uid="{37F46904-1D14-4100-87D3-3AB9F664136F}"/>
    <cellStyle name="Normal 4 2 6 5 2" xfId="4247" xr:uid="{CE951274-E880-404C-A999-74BB0E9F43FA}"/>
    <cellStyle name="Normal 4 2 6 6" xfId="4246" xr:uid="{46403DCF-D9DF-4E4C-9557-37DB020196C3}"/>
    <cellStyle name="Normal 4 2 6 6 2" xfId="8479" xr:uid="{85FFCD88-78C8-4A0D-8796-FD3939EEE7C2}"/>
    <cellStyle name="Normal 4 2 6 7" xfId="4245" xr:uid="{185FCFE8-144F-4B39-BB1E-98CAE46EF8F0}"/>
    <cellStyle name="Normal 4 2 6 7 2" xfId="8475" xr:uid="{AB4F746B-8208-40B9-B9BB-686BCFF7EBDA}"/>
    <cellStyle name="Normal 4 2 6 8" xfId="4244" xr:uid="{62208921-5858-4A54-A363-567F92AB1344}"/>
    <cellStyle name="Normal 4 2 7" xfId="13415" xr:uid="{5856752B-2975-4476-8220-ACCE772D30BC}"/>
    <cellStyle name="Normal 4 2 7 2" xfId="28672" xr:uid="{FA477B3A-D54F-4085-A53B-FFBA74CDCF9D}"/>
    <cellStyle name="Normal 4 2 7 2 2" xfId="22104" xr:uid="{F7E5A009-6FF1-4F09-93A7-C271223F965F}"/>
    <cellStyle name="Normal 4 2 7 2 2 2" xfId="19795" xr:uid="{FE257B34-E3D3-4365-8835-3E8EA378B587}"/>
    <cellStyle name="Normal 4 2 7 2 3" xfId="24288" xr:uid="{37869E7E-DBEF-4C9C-A627-AACC906B51FC}"/>
    <cellStyle name="Normal 4 2 7 2 3 2" xfId="4243" xr:uid="{57125B10-1AF9-48F9-ABF3-CB76B1DF774F}"/>
    <cellStyle name="Normal 4 2 7 2 4" xfId="4241" xr:uid="{3B19709E-F7A1-43E3-8716-A7E573AA6F8A}"/>
    <cellStyle name="Normal 4 2 7 2 4 2" xfId="4240" xr:uid="{6646EB5C-9770-49E8-83DE-2C5F02F73BA8}"/>
    <cellStyle name="Normal 4 2 7 2 5" xfId="4239" xr:uid="{EF99BD7F-032B-4AE1-8642-997BA42A7807}"/>
    <cellStyle name="Normal 4 2 7 2 5 2" xfId="4238" xr:uid="{016162F1-F12D-4812-A93B-4331ECF9500A}"/>
    <cellStyle name="Normal 4 2 7 2 6" xfId="4237" xr:uid="{80D9B8F7-21E8-4FC4-B78B-0E1AE3E03EBE}"/>
    <cellStyle name="Normal 4 2 7 2 6 2" xfId="4236" xr:uid="{D80F03A5-D201-4AD2-A3B9-979CB2436B68}"/>
    <cellStyle name="Normal 4 2 7 2 7" xfId="4235" xr:uid="{65C87EC7-6D3E-43EA-89F4-DD59BEEC101C}"/>
    <cellStyle name="Normal 4 2 7 3" xfId="28667" xr:uid="{34B1BB6E-20D2-4AF0-922C-00051E8C7335}"/>
    <cellStyle name="Normal 4 2 7 3 2" xfId="22093" xr:uid="{050BFD73-CD86-4713-8275-46B3EB4CC4FA}"/>
    <cellStyle name="Normal 4 2 7 4" xfId="23544" xr:uid="{FBC9CCF0-A5E1-4246-9255-5205E5A66C5A}"/>
    <cellStyle name="Normal 4 2 7 4 2" xfId="28027" xr:uid="{4D061E01-E452-4338-BF3F-DF208C0CFC9F}"/>
    <cellStyle name="Normal 4 2 7 5" xfId="25436" xr:uid="{A133F2B6-C4B5-4B23-8B17-ED714C1CBD8C}"/>
    <cellStyle name="Normal 4 2 7 5 2" xfId="4234" xr:uid="{6AC18ACC-093F-41A7-99E6-EC70BE883635}"/>
    <cellStyle name="Normal 4 2 7 6" xfId="4232" xr:uid="{B6E74421-E6C3-40B1-B7DF-C3DAE7416848}"/>
    <cellStyle name="Normal 4 2 7 6 2" xfId="8464" xr:uid="{5940A4C3-2816-4A91-BE6A-87DDABE858B1}"/>
    <cellStyle name="Normal 4 2 7 7" xfId="4231" xr:uid="{AB5B7B3E-86C9-4992-B51F-65772EB8842C}"/>
    <cellStyle name="Normal 4 2 7 7 2" xfId="4230" xr:uid="{512F3ED9-FDE2-49DB-BFBE-3380FE918C66}"/>
    <cellStyle name="Normal 4 2 7 8" xfId="4229" xr:uid="{E94F6604-F147-4C85-A7FA-E6719882736F}"/>
    <cellStyle name="Normal 4 2 8" xfId="28656" xr:uid="{5D5D8B4E-7C70-41E0-AADE-EF1B1BD2ADB9}"/>
    <cellStyle name="Normal 4 2 8 2" xfId="28654" xr:uid="{332CDEB1-28AC-4D6D-8821-C6EEBA5D3C28}"/>
    <cellStyle name="Normal 4 2 8 2 2" xfId="22088" xr:uid="{7C55DAD8-E85C-4B80-9803-F2F327A496D2}"/>
    <cellStyle name="Normal 4 2 8 2 2 2" xfId="31768" xr:uid="{891F30D5-3FDB-45DB-80F8-C2C6BB3CC487}"/>
    <cellStyle name="Normal 4 2 8 2 3" xfId="4228" xr:uid="{A718B853-C534-44FD-BD41-2566F05942BF}"/>
    <cellStyle name="Normal 4 2 8 2 3 2" xfId="19733" xr:uid="{803E7895-334D-4EA7-8BBA-F399EA499E9E}"/>
    <cellStyle name="Normal 4 2 8 2 4" xfId="4227" xr:uid="{E87E1317-BCDE-404C-934E-FCD4D8BA816B}"/>
    <cellStyle name="Normal 4 2 8 2 4 2" xfId="19705" xr:uid="{670D7EF1-2D26-4ECB-9419-8D6186EEE834}"/>
    <cellStyle name="Normal 4 2 8 2 5" xfId="4226" xr:uid="{4375D43F-0A60-4712-A8E2-694EEB951B7B}"/>
    <cellStyle name="Normal 4 2 8 2 5 2" xfId="19698" xr:uid="{D8DC054E-469F-4F25-8B17-4C20528FEB52}"/>
    <cellStyle name="Normal 4 2 8 2 6" xfId="4225" xr:uid="{E0FDD90D-D540-4C45-BBA5-BB24B24ABD48}"/>
    <cellStyle name="Normal 4 2 8 2 6 2" xfId="4224" xr:uid="{B2EBC459-6960-40CD-AA6A-1F5021E382A9}"/>
    <cellStyle name="Normal 4 2 8 2 7" xfId="24875" xr:uid="{47DE1D79-49A2-4BAA-8DF1-6D8AFAAA7ABB}"/>
    <cellStyle name="Normal 4 2 8 3" xfId="19019" xr:uid="{B3B549C0-211E-4190-8C55-40BF4A424A1C}"/>
    <cellStyle name="Normal 4 2 8 3 2" xfId="4223" xr:uid="{68737446-D43F-49CA-A882-6FF423AA5D90}"/>
    <cellStyle name="Normal 4 2 8 4" xfId="6420" xr:uid="{C77CD137-3474-4445-96BE-F2BA13532752}"/>
    <cellStyle name="Normal 4 2 8 4 2" xfId="4222" xr:uid="{35162EEF-34D2-4C10-9501-CE9E2F7D7FFA}"/>
    <cellStyle name="Normal 4 2 8 5" xfId="4221" xr:uid="{7084120B-28FA-409E-B223-8D1296DEEE91}"/>
    <cellStyle name="Normal 4 2 8 5 2" xfId="4220" xr:uid="{D4418CED-4967-4025-B820-BD7A2B8F496C}"/>
    <cellStyle name="Normal 4 2 8 6" xfId="4219" xr:uid="{80D302F9-60BD-4EE2-965F-DD8583282D54}"/>
    <cellStyle name="Normal 4 2 8 6 2" xfId="4218" xr:uid="{69A56514-4EBA-4182-A8D3-127EF69B85CD}"/>
    <cellStyle name="Normal 4 2 8 7" xfId="4217" xr:uid="{2F3047BB-DA6E-4CC0-84DC-B51FB5F1A5A4}"/>
    <cellStyle name="Normal 4 2 8 7 2" xfId="4216" xr:uid="{0C616C2B-4384-4D30-B233-2F700C5AE92C}"/>
    <cellStyle name="Normal 4 2 8 8" xfId="4215" xr:uid="{5204D2BD-2172-4BB1-B7C9-9FB2FEC4C296}"/>
    <cellStyle name="Normal 4 2 9" xfId="28647" xr:uid="{D46A2B00-AC6D-48A5-9411-3D7172592381}"/>
    <cellStyle name="Normal 4 2 9 2" xfId="28645" xr:uid="{1ECAA4A5-9088-4187-935F-E4FE7803BB4D}"/>
    <cellStyle name="Normal 4 2 9 2 2" xfId="19371" xr:uid="{7F232846-3C58-4BA1-BD5C-230B00060299}"/>
    <cellStyle name="Normal 4 2 9 2 2 2" xfId="19302" xr:uid="{B7EBC51B-02A3-4BA4-A7F3-C40A1F8E5DDA}"/>
    <cellStyle name="Normal 4 2 9 2 3" xfId="21119" xr:uid="{CEFF7E3C-4436-4AD8-B803-C339EBC5F15E}"/>
    <cellStyle name="Normal 4 2 9 2 3 2" xfId="19122" xr:uid="{621555AC-AE1B-4459-BB49-26B631A6F26E}"/>
    <cellStyle name="Normal 4 2 9 2 4" xfId="4214" xr:uid="{E5878DAB-9605-40BA-B595-F821A6318FCC}"/>
    <cellStyle name="Normal 4 2 9 2 4 2" xfId="19312" xr:uid="{10DB55F0-A37F-4E2B-965E-480032588D1A}"/>
    <cellStyle name="Normal 4 2 9 2 5" xfId="4213" xr:uid="{574F7811-65E1-488F-B040-11F28ADDA2D6}"/>
    <cellStyle name="Normal 4 2 9 2 5 2" xfId="4212" xr:uid="{2C6D9AE1-3ADD-4272-9A58-EE1417CD460A}"/>
    <cellStyle name="Normal 4 2 9 2 6" xfId="4211" xr:uid="{FA7B65AC-43CB-4E93-B4EC-6F8ABFF71AD2}"/>
    <cellStyle name="Normal 4 2 9 2 6 2" xfId="4210" xr:uid="{62BF82D2-6C6C-4F55-B918-87006B4A6CC1}"/>
    <cellStyle name="Normal 4 2 9 2 7" xfId="15697" xr:uid="{91EFD990-6611-4A5C-B87D-E29F6E7A2C08}"/>
    <cellStyle name="Normal 4 2 9 3" xfId="27439" xr:uid="{E84910C1-E149-46C7-9783-B64D8BBD8005}"/>
    <cellStyle name="Normal 4 2 9 3 2" xfId="20193" xr:uid="{C09DC4EA-A686-4CC5-BFDC-3663E78B0C6B}"/>
    <cellStyle name="Normal 4 2 9 4" xfId="4209" xr:uid="{E583317C-26E0-4BBF-8CB6-6AFE37EB5387}"/>
    <cellStyle name="Normal 4 2 9 4 2" xfId="4208" xr:uid="{5687CF45-E623-4FA0-8232-F5E1098253BE}"/>
    <cellStyle name="Normal 4 2 9 5" xfId="4207" xr:uid="{C16C938E-8911-45DE-8F7C-131BBFE81A3B}"/>
    <cellStyle name="Normal 4 2 9 5 2" xfId="4206" xr:uid="{C951AF36-940E-4452-88F5-2B6B53B6A9A2}"/>
    <cellStyle name="Normal 4 2 9 6" xfId="4204" xr:uid="{AAD85995-1B76-4FD6-82C2-F7766EFAF201}"/>
    <cellStyle name="Normal 4 2 9 6 2" xfId="4203" xr:uid="{FE0495B3-7984-4FE0-A4AD-8919C5718F24}"/>
    <cellStyle name="Normal 4 2 9 7" xfId="4201" xr:uid="{672D913C-F110-4592-8D65-68D94E289A41}"/>
    <cellStyle name="Normal 4 2 9 7 2" xfId="4200" xr:uid="{5F492BE8-E7BE-40A1-8D4D-F8BDD0E70D88}"/>
    <cellStyle name="Normal 4 2 9 8" xfId="4198" xr:uid="{38B083F5-9C27-474A-A562-95AE47F65CB9}"/>
    <cellStyle name="Normal 4 20" xfId="24920" xr:uid="{D78B683A-FBDD-464E-B28C-C875C2FE7145}"/>
    <cellStyle name="Normal 4 20 2" xfId="13543" xr:uid="{BC4E5DA4-C511-4C86-ACBE-B816000C7E0F}"/>
    <cellStyle name="Normal 4 21" xfId="4359" xr:uid="{F2D49482-FB7A-4437-B49A-0A4FAFA2799E}"/>
    <cellStyle name="Normal 4 21 2" xfId="4357" xr:uid="{3CCDD038-3E9C-4BC0-8AE9-C0321BAAD129}"/>
    <cellStyle name="Normal 4 22" xfId="31284" xr:uid="{D47FE13D-8841-4496-AB5C-1CA2650B2D60}"/>
    <cellStyle name="Normal 4 23" xfId="22649" xr:uid="{3D289273-7B48-4452-BA6C-83B30E3E4CC5}"/>
    <cellStyle name="Normal 4 24" xfId="19648" xr:uid="{6435CAD2-C1BA-45E7-B6D0-2FE83282244E}"/>
    <cellStyle name="Normal 4 25" xfId="34422" xr:uid="{CF3DD779-929D-425D-BA4F-D3A22AB07D58}"/>
    <cellStyle name="Normal 4 26" xfId="38298" xr:uid="{20BD9751-E723-4D30-9C28-83A6A2B40A10}"/>
    <cellStyle name="Normal 4 3" xfId="95" xr:uid="{3D309525-64B2-439D-804D-36187B9B2045}"/>
    <cellStyle name="Normal 4 3 2" xfId="4197" xr:uid="{237D702C-ECAC-4A7C-AE01-07F3EB32717E}"/>
    <cellStyle name="Normal 4 3 2 2" xfId="4196" xr:uid="{A29362E4-48D8-44B4-8F6C-113522D922A4}"/>
    <cellStyle name="Normal 4 3 2 2 2" xfId="20282" xr:uid="{13848765-B5C3-44DF-AD2A-485FD9AD1357}"/>
    <cellStyle name="Normal 4 3 2 3" xfId="4195" xr:uid="{3E0C6FD4-0FA2-4CB7-A826-5444AFD5DD30}"/>
    <cellStyle name="Normal 4 3 2 3 2" xfId="20265" xr:uid="{A8076013-9BDF-4E02-B6B0-F8BEEA17A78A}"/>
    <cellStyle name="Normal 4 3 2 4" xfId="4194" xr:uid="{D4785860-F35F-48F6-ADF7-9D953CC3386D}"/>
    <cellStyle name="Normal 4 3 2 4 2" xfId="30756" xr:uid="{017FFB16-77B9-4CA6-B2A8-BC8CAA33C265}"/>
    <cellStyle name="Normal 4 3 2 5" xfId="4193" xr:uid="{DFD4DB53-1AD1-475A-92C5-04C824605758}"/>
    <cellStyle name="Normal 4 3 2 5 2" xfId="4192" xr:uid="{E50F16A7-FEFF-43FF-98B1-C2FA77BE8AD5}"/>
    <cellStyle name="Normal 4 3 2 6" xfId="4191" xr:uid="{518A57C7-1774-4501-ABAD-AFE3BEEDEEA0}"/>
    <cellStyle name="Normal 4 3 2 6 2" xfId="4190" xr:uid="{7656B9A8-66E8-46CA-8B8F-30F2B64C2937}"/>
    <cellStyle name="Normal 4 3 2 7" xfId="4189" xr:uid="{867CF8E2-9243-4F78-B090-A3FA844E6F54}"/>
    <cellStyle name="Normal 4 3 3" xfId="4188" xr:uid="{54A277F0-CE49-4A85-B3B1-C6F650F4436B}"/>
    <cellStyle name="Normal 4 3 3 2" xfId="4187" xr:uid="{BF8DD2D0-AE83-4146-99D2-1A0653A4D46C}"/>
    <cellStyle name="Normal 4 3 4" xfId="27354" xr:uid="{454B07A5-C166-4711-B88B-0527E8BA5AB0}"/>
    <cellStyle name="Normal 4 3 4 2" xfId="32437" xr:uid="{F6FE909E-EDCD-4E1C-90DA-E717186EF181}"/>
    <cellStyle name="Normal 4 3 5" xfId="33174" xr:uid="{F096B6CB-6F37-4D09-AA79-C465EC27E816}"/>
    <cellStyle name="Normal 4 3 5 2" xfId="34314" xr:uid="{E807C9DF-58B0-419B-B0F1-103C5628FD52}"/>
    <cellStyle name="Normal 4 3 6" xfId="20686" xr:uid="{F3E4A91D-6E11-4B66-BD53-D0E5F43D9E9E}"/>
    <cellStyle name="Normal 4 3 6 2" xfId="21088" xr:uid="{D1CFA808-31E4-436E-B802-9032B2126897}"/>
    <cellStyle name="Normal 4 3 7" xfId="13407" xr:uid="{ACF2DF4B-897C-4B15-B907-0B0955CD91A2}"/>
    <cellStyle name="Normal 4 3 7 2" xfId="21035" xr:uid="{94F560E1-8159-4F6C-BF0D-C67B30F96955}"/>
    <cellStyle name="Normal 4 3 8" xfId="25979" xr:uid="{FD3D8528-94E3-4F5B-8AA9-D377CEBE677D}"/>
    <cellStyle name="Normal 4 3 9" xfId="34449" xr:uid="{2F7270F9-69EF-4C68-AAAA-064B08349756}"/>
    <cellStyle name="Normal 4 4" xfId="156" xr:uid="{D73A16AC-BF9D-441F-A8D1-572139E663AA}"/>
    <cellStyle name="Normal 4 4 2" xfId="4186" xr:uid="{38E5B0D3-3DE4-41F8-8280-3EAC670F6BDD}"/>
    <cellStyle name="Normal 4 4 2 2" xfId="8356" xr:uid="{8AD32B93-BAA1-4D4F-A6FD-4E6B725DE267}"/>
    <cellStyle name="Normal 4 4 2 2 2" xfId="18184" xr:uid="{B3C37E72-694D-43CF-8CE2-9D8E845CD29B}"/>
    <cellStyle name="Normal 4 4 2 3" xfId="8351" xr:uid="{319842F7-0A25-4BAC-AF25-0684A0B2BC8B}"/>
    <cellStyle name="Normal 4 4 2 3 2" xfId="18161" xr:uid="{B07F6518-AC72-4932-8BC3-654793FD9BFE}"/>
    <cellStyle name="Normal 4 4 2 4" xfId="8348" xr:uid="{CA817F4A-217C-48C9-97BF-D71131CFF33C}"/>
    <cellStyle name="Normal 4 4 2 4 2" xfId="31257" xr:uid="{D57266C6-579A-4F58-A225-763ECDCD2367}"/>
    <cellStyle name="Normal 4 4 2 5" xfId="4185" xr:uid="{3AE2F5CA-2EE2-4BCF-9E30-97CA020CC605}"/>
    <cellStyle name="Normal 4 4 2 5 2" xfId="4184" xr:uid="{3D0694C6-7433-4B89-AA17-D8940911FB42}"/>
    <cellStyle name="Normal 4 4 2 6" xfId="4183" xr:uid="{472F2EEA-9FAC-4D4D-976D-BE968A0C9B8B}"/>
    <cellStyle name="Normal 4 4 2 6 2" xfId="4182" xr:uid="{9BEF73D9-6F6E-4794-8F58-2E9F96EE1124}"/>
    <cellStyle name="Normal 4 4 2 7" xfId="4181" xr:uid="{3609297B-D2F9-43F7-929A-A34B82D1115E}"/>
    <cellStyle name="Normal 4 4 3" xfId="20177" xr:uid="{53DF9E64-2A06-4CB8-9407-C1C626680EF8}"/>
    <cellStyle name="Normal 4 4 3 2" xfId="12113" xr:uid="{C1EEDF92-8A4E-4B48-86FC-1EDF7066F17C}"/>
    <cellStyle name="Normal 4 4 4" xfId="23911" xr:uid="{DB2BE4DE-B0E2-496F-B583-640A4AD04921}"/>
    <cellStyle name="Normal 4 4 4 2" xfId="12105" xr:uid="{8EC7B8E0-82F2-46B0-824B-8090D88BA903}"/>
    <cellStyle name="Normal 4 4 5" xfId="31989" xr:uid="{BAB07617-7534-4CE0-A5EC-4AE77532B2E6}"/>
    <cellStyle name="Normal 4 4 5 2" xfId="29439" xr:uid="{89EE5A58-FDCB-44F0-B552-0FF358618B05}"/>
    <cellStyle name="Normal 4 4 6" xfId="28466" xr:uid="{6CF32A08-5FB0-416A-AA1E-2F7E3933E0B9}"/>
    <cellStyle name="Normal 4 4 6 2" xfId="21983" xr:uid="{43DFEE54-2594-4500-80ED-F8466E4E8DCD}"/>
    <cellStyle name="Normal 4 4 7" xfId="28463" xr:uid="{41E09448-0F98-4772-9D05-F992328F79E3}"/>
    <cellStyle name="Normal 4 4 7 2" xfId="21952" xr:uid="{E1B5D11D-A797-4B4A-9842-5B72401C7975}"/>
    <cellStyle name="Normal 4 4 8" xfId="28457" xr:uid="{B819A411-8DD9-4925-B551-B2BA43364C10}"/>
    <cellStyle name="Normal 4 4 9" xfId="34504" xr:uid="{1DCBF33C-2A8D-4322-925C-1EF0F5B6420E}"/>
    <cellStyle name="Normal 4 5" xfId="217" xr:uid="{DC5EDDB1-76F4-4228-8D04-99FDA4663996}"/>
    <cellStyle name="Normal 4 5 2" xfId="26368" xr:uid="{DD22C850-6D5A-4E02-B563-B5773A92E283}"/>
    <cellStyle name="Normal 4 5 2 2" xfId="8339" xr:uid="{D19BAF28-61F5-42A2-A77F-165BF368E445}"/>
    <cellStyle name="Normal 4 5 2 2 2" xfId="4380" xr:uid="{C769A229-36C0-4334-9BD2-6BEBCAED5D22}"/>
    <cellStyle name="Normal 4 5 2 3" xfId="29991" xr:uid="{8E150A57-B514-49F1-9E06-BD646A524911}"/>
    <cellStyle name="Normal 4 5 2 3 2" xfId="4378" xr:uid="{1B87E3E6-566C-4859-B0F1-9A773D4C1DDF}"/>
    <cellStyle name="Normal 4 5 2 4" xfId="4376" xr:uid="{3F03A34D-4BCA-43B0-A839-FD9860A569A2}"/>
    <cellStyle name="Normal 4 5 2 4 2" xfId="30690" xr:uid="{2587F04A-C81B-42E8-90FA-12B063CF9DBB}"/>
    <cellStyle name="Normal 4 5 2 5" xfId="4180" xr:uid="{24B985C7-6BF1-46A2-B94B-C029040E66FC}"/>
    <cellStyle name="Normal 4 5 2 5 2" xfId="30682" xr:uid="{7B1BBD02-56FC-48AC-A7F4-0288D12A0425}"/>
    <cellStyle name="Normal 4 5 2 6" xfId="4179" xr:uid="{6851449F-A607-404A-85ED-0205F38E85B3}"/>
    <cellStyle name="Normal 4 5 2 6 2" xfId="4178" xr:uid="{540CD603-183F-4C31-8519-70369380A7A6}"/>
    <cellStyle name="Normal 4 5 2 7" xfId="4177" xr:uid="{19637A01-7F12-4C4E-A91F-86D560506DF8}"/>
    <cellStyle name="Normal 4 5 3" xfId="28830" xr:uid="{C517BC20-BE74-4206-8AFF-E22F251A332A}"/>
    <cellStyle name="Normal 4 5 3 2" xfId="12100" xr:uid="{720AE12F-9F1F-43A0-B6A5-0767C269CF1F}"/>
    <cellStyle name="Normal 4 5 4" xfId="18900" xr:uid="{95D85941-A90F-4956-A11B-3883C97876D9}"/>
    <cellStyle name="Normal 4 5 4 2" xfId="31296" xr:uid="{D5E827DB-45AF-4A34-AF68-6E4ADB758484}"/>
    <cellStyle name="Normal 4 5 5" xfId="17961" xr:uid="{CF8ECE43-A161-40C2-87CA-6BA5880ADAD7}"/>
    <cellStyle name="Normal 4 5 5 2" xfId="30198" xr:uid="{F7A68D62-FC4E-45F5-A01F-6591123950A8}"/>
    <cellStyle name="Normal 4 5 6" xfId="29430" xr:uid="{C28573F1-5281-4365-B41E-3DC0E951BEBC}"/>
    <cellStyle name="Normal 4 5 6 2" xfId="21772" xr:uid="{79216BFF-2AE3-43A4-9AD3-A0D0F6002735}"/>
    <cellStyle name="Normal 4 5 7" xfId="28453" xr:uid="{7C981329-480D-459A-8793-363D7A405708}"/>
    <cellStyle name="Normal 4 5 7 2" xfId="20959" xr:uid="{51E973DE-ED48-4D45-927F-B3C0A4A2794F}"/>
    <cellStyle name="Normal 4 5 8" xfId="29567" xr:uid="{56C71A50-9165-4A52-B269-965552191DC4}"/>
    <cellStyle name="Normal 4 5 9" xfId="34546" xr:uid="{46584DC0-5D05-4585-8D90-D8C26C649604}"/>
    <cellStyle name="Normal 4 6" xfId="5437" xr:uid="{2F1B52C4-1465-4C53-A688-F97F9ADA1E7A}"/>
    <cellStyle name="Normal 4 6 2" xfId="4176" xr:uid="{CD4B76C3-66D7-4D67-9772-80DD59C200E3}"/>
    <cellStyle name="Normal 4 6 2 2" xfId="8332" xr:uid="{7440BE4B-60AF-4071-895E-B588F035CF02}"/>
    <cellStyle name="Normal 4 6 2 2 2" xfId="4175" xr:uid="{11722CC7-9F79-4BC2-85BC-26C9B6287CD6}"/>
    <cellStyle name="Normal 4 6 2 3" xfId="28791" xr:uid="{3FF67625-D1D6-41FC-8B27-724EE57E3324}"/>
    <cellStyle name="Normal 4 6 2 3 2" xfId="17852" xr:uid="{9B9CAC7C-71F6-42E7-A53E-67D169602E57}"/>
    <cellStyle name="Normal 4 6 2 4" xfId="4174" xr:uid="{DE4BD8FA-8090-4002-A7EF-76BD1B758249}"/>
    <cellStyle name="Normal 4 6 2 4 2" xfId="22394" xr:uid="{CF65CBC1-CD38-4736-8B99-37788CD49A0F}"/>
    <cellStyle name="Normal 4 6 2 5" xfId="4173" xr:uid="{20482D70-1073-42FF-A817-5746616CE129}"/>
    <cellStyle name="Normal 4 6 2 5 2" xfId="22382" xr:uid="{C7C8C692-E469-4D60-B588-5DA1F5B121F4}"/>
    <cellStyle name="Normal 4 6 2 6" xfId="4172" xr:uid="{B8944F72-EA20-4460-BF47-06BB45F24A8A}"/>
    <cellStyle name="Normal 4 6 2 6 2" xfId="12420" xr:uid="{79D48697-90F7-4A46-9080-0FFD48D3E75C}"/>
    <cellStyle name="Normal 4 6 2 7" xfId="33707" xr:uid="{B0B6442E-4BB9-4101-B01B-0286817DF732}"/>
    <cellStyle name="Normal 4 6 3" xfId="31583" xr:uid="{AF017E4F-FDB2-4667-BE34-872CFE79CF8B}"/>
    <cellStyle name="Normal 4 6 3 2" xfId="21628" xr:uid="{27FABD26-7800-40E5-AC8F-74065E4154D6}"/>
    <cellStyle name="Normal 4 6 4" xfId="17957" xr:uid="{9E1AE851-760F-45DB-B633-13C50A9C877D}"/>
    <cellStyle name="Normal 4 6 4 2" xfId="31004" xr:uid="{3275EBD6-4234-4ABB-82B6-1A85D8B13247}"/>
    <cellStyle name="Normal 4 6 5" xfId="31874" xr:uid="{1DA1434C-A351-4A1A-9BAF-B554F8CE0C01}"/>
    <cellStyle name="Normal 4 6 5 2" xfId="32601" xr:uid="{329C2382-931F-4805-AFF9-AF67B38CC8FD}"/>
    <cellStyle name="Normal 4 6 6" xfId="33353" xr:uid="{F0F14EFF-D2AD-4EC4-BADE-4CB5AED8510D}"/>
    <cellStyle name="Normal 4 6 6 2" xfId="20946" xr:uid="{3D7F6D39-098A-4333-A869-14DFD5B1C867}"/>
    <cellStyle name="Normal 4 6 7" xfId="11058" xr:uid="{C62E03F7-EFED-4728-A36D-3B34017D438B}"/>
    <cellStyle name="Normal 4 6 7 2" xfId="4171" xr:uid="{4F82D32E-65A1-48EC-963A-348143390EC4}"/>
    <cellStyle name="Normal 4 6 8" xfId="11050" xr:uid="{22C9F40C-264A-4EB3-B0AC-5306A30BCA62}"/>
    <cellStyle name="Normal 4 7" xfId="4169" xr:uid="{80AABD7B-21D7-40EB-A752-FEC93A56EC2C}"/>
    <cellStyle name="Normal 4 7 2" xfId="4168" xr:uid="{1DA0A374-08F8-451D-AF20-E8949AD6D3A6}"/>
    <cellStyle name="Normal 4 7 2 2" xfId="24702" xr:uid="{80CDBBF8-65AF-4E85-93D8-5C8445E9B3B8}"/>
    <cellStyle name="Normal 4 7 2 2 2" xfId="4166" xr:uid="{DEC3DFB9-1360-4E2C-A8C5-C2C0F0C25BF3}"/>
    <cellStyle name="Normal 4 7 2 3" xfId="4165" xr:uid="{F13AEDFC-01EA-4524-B25F-37FA49715A31}"/>
    <cellStyle name="Normal 4 7 2 3 2" xfId="17827" xr:uid="{A7BC9C1D-BAE8-4A68-9CDC-FD7AB8CADA6C}"/>
    <cellStyle name="Normal 4 7 2 4" xfId="4164" xr:uid="{8D1D01ED-23AF-47FF-B770-19AFAAB1EEFD}"/>
    <cellStyle name="Normal 4 7 2 4 2" xfId="22264" xr:uid="{CDF1B924-F257-4A97-A2FF-E8C49C0F1DC7}"/>
    <cellStyle name="Normal 4 7 2 5" xfId="4163" xr:uid="{C2D560C8-B915-4C0E-B8F0-9CF53C7AD632}"/>
    <cellStyle name="Normal 4 7 2 5 2" xfId="4162" xr:uid="{AFD2D26D-9423-427A-B993-6548C5C1382E}"/>
    <cellStyle name="Normal 4 7 2 6" xfId="4161" xr:uid="{26AEDEA9-4088-4C8D-9AC5-DEBDCF8F040B}"/>
    <cellStyle name="Normal 4 7 2 6 2" xfId="12402" xr:uid="{F10C10AA-0485-407E-B9BD-0B283CD97C73}"/>
    <cellStyle name="Normal 4 7 2 7" xfId="4160" xr:uid="{256CD834-E642-4A98-8116-629A82287EB7}"/>
    <cellStyle name="Normal 4 7 3" xfId="30833" xr:uid="{5D709BE3-ED66-4441-B71F-A8143AD27349}"/>
    <cellStyle name="Normal 4 7 3 2" xfId="4159" xr:uid="{6B171352-7052-4131-8C64-A754D1B5858F}"/>
    <cellStyle name="Normal 4 7 4" xfId="28444" xr:uid="{3056FFED-A734-468D-907F-1C3FDC5A8444}"/>
    <cellStyle name="Normal 4 7 4 2" xfId="30710" xr:uid="{19A77102-BD80-4470-9644-3A9CBB5CABBA}"/>
    <cellStyle name="Normal 4 7 5" xfId="30933" xr:uid="{1584E538-D1FD-4F18-BBD9-BEB2DB17937C}"/>
    <cellStyle name="Normal 4 7 5 2" xfId="4158" xr:uid="{3319C077-537E-46DD-B059-8EF46558DAD6}"/>
    <cellStyle name="Normal 4 7 6" xfId="4157" xr:uid="{2D2FF7E4-901F-4EDC-91B8-D4A79CE234F2}"/>
    <cellStyle name="Normal 4 7 6 2" xfId="4155" xr:uid="{1F2EC3CE-571F-4657-BF18-73C8EB84CBE1}"/>
    <cellStyle name="Normal 4 7 7" xfId="16954" xr:uid="{EEB18BC7-D794-4E2D-ABF8-FB11F7F4645A}"/>
    <cellStyle name="Normal 4 7 7 2" xfId="4153" xr:uid="{D3CCFF62-550D-48D4-91A6-9E2AAE98E18C}"/>
    <cellStyle name="Normal 4 7 8" xfId="21690" xr:uid="{FDAC2C33-6A66-4FDB-96BE-65F187DCBEBD}"/>
    <cellStyle name="Normal 4 8" xfId="4152" xr:uid="{00350FA6-A5BA-4E9A-A819-00D9D8300833}"/>
    <cellStyle name="Normal 4 8 2" xfId="4151" xr:uid="{09E1B4E5-516C-4A30-9F81-2C6A48F83179}"/>
    <cellStyle name="Normal 4 8 2 2" xfId="6216" xr:uid="{996B8A2F-67CD-4A98-A9F3-888778777559}"/>
    <cellStyle name="Normal 4 8 2 2 2" xfId="4149" xr:uid="{335632BB-B0EC-4E6D-A84D-AFA7CE6BE796}"/>
    <cellStyle name="Normal 4 8 2 3" xfId="20934" xr:uid="{E90342DB-4A91-4917-B54C-389F2CEBA120}"/>
    <cellStyle name="Normal 4 8 2 3 2" xfId="30581" xr:uid="{9ECBC704-2345-4385-B5E6-F04A43DF4D73}"/>
    <cellStyle name="Normal 4 8 2 4" xfId="4148" xr:uid="{17081AC0-D211-49BA-A4CA-C0D4B7132924}"/>
    <cellStyle name="Normal 4 8 2 4 2" xfId="4147" xr:uid="{97349E76-488B-4DE2-822D-52817251E02A}"/>
    <cellStyle name="Normal 4 8 2 5" xfId="31825" xr:uid="{2E10B8AC-A3CE-4453-B7CD-87E723D39F86}"/>
    <cellStyle name="Normal 4 8 2 5 2" xfId="12377" xr:uid="{E34DCAAD-5852-40D9-9890-3E9DFC943147}"/>
    <cellStyle name="Normal 4 8 2 6" xfId="15820" xr:uid="{45F30F2A-A767-4927-91A8-6CDE5C3219BB}"/>
    <cellStyle name="Normal 4 8 2 6 2" xfId="4146" xr:uid="{3FE9AE79-C1E9-4037-A3E7-625D8FA560C0}"/>
    <cellStyle name="Normal 4 8 2 7" xfId="4145" xr:uid="{ED75BBBA-5A26-4B4D-A169-17BA7F7DDF93}"/>
    <cellStyle name="Normal 4 8 3" xfId="4144" xr:uid="{0C79EFCC-73C9-4761-B8D5-E9048C7CC907}"/>
    <cellStyle name="Normal 4 8 3 2" xfId="6213" xr:uid="{2739C592-34E9-4E19-AA74-63430BB4661E}"/>
    <cellStyle name="Normal 4 8 4" xfId="22845" xr:uid="{7A6FC0D7-5E9B-4DF4-B9D7-C49A5B5EF0E4}"/>
    <cellStyle name="Normal 4 8 4 2" xfId="4143" xr:uid="{A8E80201-D2FA-44E1-9791-F5B0E2D83DF5}"/>
    <cellStyle name="Normal 4 8 5" xfId="4142" xr:uid="{22EC16A7-2755-473E-8B5F-DF0EB486A3E9}"/>
    <cellStyle name="Normal 4 8 5 2" xfId="4141" xr:uid="{09CAB2F9-216D-4B26-83DC-EB5166FB445F}"/>
    <cellStyle name="Normal 4 8 6" xfId="4140" xr:uid="{6C17098D-5F0C-4F6E-9FCB-6143D3D8EF46}"/>
    <cellStyle name="Normal 4 8 6 2" xfId="4138" xr:uid="{BF83A42D-F078-470F-AAF8-F06FC361336B}"/>
    <cellStyle name="Normal 4 8 7" xfId="20630" xr:uid="{E4F9D747-C506-4BF3-ABFB-979C7D7B1FF4}"/>
    <cellStyle name="Normal 4 8 7 2" xfId="32124" xr:uid="{395598E8-CE9E-474E-847F-58CC57595AED}"/>
    <cellStyle name="Normal 4 8 8" xfId="4137" xr:uid="{381E3E64-F0BC-43D8-9C1C-43381716E12B}"/>
    <cellStyle name="Normal 4 9" xfId="33420" xr:uid="{61A1796A-4F22-4D0D-B430-2615B354AD47}"/>
    <cellStyle name="Normal 4 9 2" xfId="4136" xr:uid="{F3BB8AD0-EEF8-4BCC-8157-FA4E644D120E}"/>
    <cellStyle name="Normal 4 9 2 2" xfId="26624" xr:uid="{B2EC5E86-3DF4-4DF1-AEC4-999B9CF6EF8B}"/>
    <cellStyle name="Normal 4 9 2 2 2" xfId="19908" xr:uid="{46D7DC26-3184-4839-ABFC-7189C8E1FE6B}"/>
    <cellStyle name="Normal 4 9 2 3" xfId="4135" xr:uid="{0EAFBC21-9140-457D-97B3-F69D8D353CD7}"/>
    <cellStyle name="Normal 4 9 2 3 2" xfId="19892" xr:uid="{14436266-CD71-4E39-BD93-F33AA9D068DF}"/>
    <cellStyle name="Normal 4 9 2 4" xfId="4134" xr:uid="{69F4B2CD-F3D4-42D4-8A16-2557F6B6BC2F}"/>
    <cellStyle name="Normal 4 9 2 4 2" xfId="23607" xr:uid="{726646EA-5A8E-4B1E-9ED5-C0FEA16FCCAD}"/>
    <cellStyle name="Normal 4 9 2 5" xfId="12352" xr:uid="{728DAE71-9572-42C6-A22B-1471BBFF092C}"/>
    <cellStyle name="Normal 4 9 2 5 2" xfId="4133" xr:uid="{34FB030D-93C1-4728-AE89-AEE0F2274D7E}"/>
    <cellStyle name="Normal 4 9 2 6" xfId="4132" xr:uid="{380B2C7A-2304-4271-9DB5-9D6A6A656FC4}"/>
    <cellStyle name="Normal 4 9 2 6 2" xfId="4131" xr:uid="{918FB021-5F13-433E-B1B0-2E9487AD279C}"/>
    <cellStyle name="Normal 4 9 2 7" xfId="4130" xr:uid="{A21BB3E0-0D2D-44B5-8593-318A857BF78B}"/>
    <cellStyle name="Normal 4 9 3" xfId="18767" xr:uid="{58A3861D-1E9D-47A7-A679-5648A07BC51E}"/>
    <cellStyle name="Normal 4 9 3 2" xfId="4129" xr:uid="{1B4274EC-B399-4E06-A609-CFCCF5F982A3}"/>
    <cellStyle name="Normal 4 9 4" xfId="4128" xr:uid="{B5E6A594-4DB4-4A6D-8BEF-0DBAA59D5ED0}"/>
    <cellStyle name="Normal 4 9 4 2" xfId="4127" xr:uid="{75DC2EC8-0FEA-4FBD-BA60-ADCC3E6404CA}"/>
    <cellStyle name="Normal 4 9 5" xfId="4126" xr:uid="{436261EE-A8A7-4018-8B21-0BF65908BF08}"/>
    <cellStyle name="Normal 4 9 5 2" xfId="4125" xr:uid="{B2DF1C36-DCE9-415B-83F4-6ED9372FB671}"/>
    <cellStyle name="Normal 4 9 6" xfId="15880" xr:uid="{1384EE60-DFB2-4D1F-B906-FF04B02A5025}"/>
    <cellStyle name="Normal 4 9 6 2" xfId="29572" xr:uid="{756A0756-D43E-4676-B7D2-60166B9B3037}"/>
    <cellStyle name="Normal 4 9 7" xfId="15864" xr:uid="{58FE7CD9-FC7B-4102-9D9B-2F51CE227926}"/>
    <cellStyle name="Normal 4 9 7 2" xfId="31099" xr:uid="{0AAC7662-459F-450E-8E2E-1B09D2AC6C1F}"/>
    <cellStyle name="Normal 4 9 8" xfId="15855" xr:uid="{1865CE5E-361E-442F-B574-7253924E9D1D}"/>
    <cellStyle name="Normal 40" xfId="36048" xr:uid="{A7B9DEF0-8F57-492B-8B29-A5A9545595B7}"/>
    <cellStyle name="Normal 40 2" xfId="37217" xr:uid="{6907BAE6-3383-4D88-B439-FE1E50AC699E}"/>
    <cellStyle name="Normal 40 3" xfId="38115" xr:uid="{79A90462-3B5A-4233-9A14-F3861CF6F85B}"/>
    <cellStyle name="Normal 41" xfId="36068" xr:uid="{E40D425D-E795-4DBD-B9F6-68D793C8C79D}"/>
    <cellStyle name="Normal 41 2" xfId="37237" xr:uid="{A9B75642-9248-4580-9821-7779F79BF1C2}"/>
    <cellStyle name="Normal 41 3" xfId="38135" xr:uid="{96122562-F57E-4C92-9B26-F4665C3861E3}"/>
    <cellStyle name="Normal 42" xfId="36088" xr:uid="{884232ED-2EB4-4574-9F83-86CD8B9898CC}"/>
    <cellStyle name="Normal 42 2" xfId="37257" xr:uid="{164D7ABB-D60C-449B-BDB1-ED521262D252}"/>
    <cellStyle name="Normal 42 3" xfId="38155" xr:uid="{35BE2C12-79AB-498F-9C86-3ABC1C0F1921}"/>
    <cellStyle name="Normal 43" xfId="36108" xr:uid="{A8701D3A-5219-4AC3-8F24-C04628E0E596}"/>
    <cellStyle name="Normal 43 2" xfId="37277" xr:uid="{2BB4F8C5-91B5-4979-9BD9-9DC684A39156}"/>
    <cellStyle name="Normal 43 3" xfId="38175" xr:uid="{796026F2-6DEA-46A6-8018-EC4578B32D03}"/>
    <cellStyle name="Normal 44" xfId="36128" xr:uid="{EFF99D2C-BC64-467F-BB58-26D2403BFEEB}"/>
    <cellStyle name="Normal 44 2" xfId="37297" xr:uid="{F5E0A244-0E88-48C3-B136-1CD6606BC1B4}"/>
    <cellStyle name="Normal 44 3" xfId="38195" xr:uid="{F7D19540-797B-4314-8A38-8683AFDBEB90}"/>
    <cellStyle name="Normal 45" xfId="36148" xr:uid="{372C7E55-30E1-4183-BB46-3FD9C77474D3}"/>
    <cellStyle name="Normal 45 2" xfId="37317" xr:uid="{01C89BF7-3BAD-4DE4-953C-32955A06CC7B}"/>
    <cellStyle name="Normal 45 3" xfId="38215" xr:uid="{33C06D09-A9A5-4C15-848F-6BF78F85FFD2}"/>
    <cellStyle name="Normal 46" xfId="36168" xr:uid="{3458474F-5DB1-4F06-8F93-C7AEFF79DDEA}"/>
    <cellStyle name="Normal 46 2" xfId="37337" xr:uid="{28C23B0A-FBC7-4ADA-9307-8E16B30C40FE}"/>
    <cellStyle name="Normal 46 3" xfId="38235" xr:uid="{E9F57C29-8F2B-43C9-9F35-6EDFFE0DB510}"/>
    <cellStyle name="Normal 47" xfId="36188" xr:uid="{9A72E381-5CE2-4364-ADC3-EDE61C71CC1B}"/>
    <cellStyle name="Normal 47 2" xfId="37357" xr:uid="{BB211CFE-3F4E-4064-9D80-29D2271D5B44}"/>
    <cellStyle name="Normal 47 3" xfId="38255" xr:uid="{6520AE61-DB64-4B12-8A98-6F96446C3E88}"/>
    <cellStyle name="Normal 48" xfId="36208" xr:uid="{102F6E38-45FB-49B8-ADBE-BBF981F19801}"/>
    <cellStyle name="Normal 48 2" xfId="38275" xr:uid="{57AA6BC1-D7E8-420C-A67F-342B172DF435}"/>
    <cellStyle name="Normal 49" xfId="35633" xr:uid="{967FD7DF-F4A9-4C20-BF0C-CC04E86E570D}"/>
    <cellStyle name="Normal 5" xfId="65" xr:uid="{2EE6CDA2-12C8-4803-AE3F-E1D7829580A0}"/>
    <cellStyle name="Normal 5 10" xfId="4124" xr:uid="{FF90EF2B-1F54-43BA-BA9C-F9A2C379849F}"/>
    <cellStyle name="Normal 5 10 2" xfId="4123" xr:uid="{A4D8645B-151D-40CB-9A0B-04267B4FB298}"/>
    <cellStyle name="Normal 5 10 2 2" xfId="4122" xr:uid="{13077F43-26E9-4BAE-BBBD-10B18B1D3ECA}"/>
    <cellStyle name="Normal 5 10 2 2 2" xfId="4121" xr:uid="{D515B963-13DC-4D8C-BE8B-CE735D243D03}"/>
    <cellStyle name="Normal 5 10 2 3" xfId="4120" xr:uid="{25ED166C-B4C6-4FDC-A5BB-3B22F7177947}"/>
    <cellStyle name="Normal 5 10 2 3 2" xfId="4119" xr:uid="{38B3F0E8-27B9-4A73-A2DA-E14C3299478F}"/>
    <cellStyle name="Normal 5 10 2 4" xfId="4118" xr:uid="{9BB1E532-24A7-4630-B9F4-205538469239}"/>
    <cellStyle name="Normal 5 10 2 4 2" xfId="4117" xr:uid="{153BE18F-A3FE-4593-9AC5-6B6CDAEE8BAC}"/>
    <cellStyle name="Normal 5 10 2 5" xfId="4116" xr:uid="{B99A3A1D-185B-49B2-AA8D-2C66EB616176}"/>
    <cellStyle name="Normal 5 10 2 5 2" xfId="4115" xr:uid="{86DFD11E-3C72-417C-BAFA-693DF78D2FEA}"/>
    <cellStyle name="Normal 5 10 2 6" xfId="4114" xr:uid="{EEE37561-6F7D-4435-ACC4-542E3E467DBC}"/>
    <cellStyle name="Normal 5 10 2 6 2" xfId="4113" xr:uid="{9CC9978D-ECB1-402D-9D2E-1A72EA993676}"/>
    <cellStyle name="Normal 5 10 2 7" xfId="4112" xr:uid="{AB516C5E-9865-4E45-B607-56407CFC6322}"/>
    <cellStyle name="Normal 5 10 3" xfId="4111" xr:uid="{6F028D9B-57E5-4981-8BDF-A9A745F2DA07}"/>
    <cellStyle name="Normal 5 10 3 2" xfId="4110" xr:uid="{3682038A-B012-4F20-B869-7A1C8053F7AA}"/>
    <cellStyle name="Normal 5 10 4" xfId="4109" xr:uid="{263161F7-51ED-461A-AD51-BF7578E84141}"/>
    <cellStyle name="Normal 5 10 4 2" xfId="21867" xr:uid="{479ACEC9-E13A-444D-96CB-D4A828CE3A61}"/>
    <cellStyle name="Normal 5 10 5" xfId="4108" xr:uid="{574CA9E2-E847-4C80-A753-6F1D25DA6441}"/>
    <cellStyle name="Normal 5 10 5 2" xfId="4107" xr:uid="{0605DE04-5A5A-41B4-AF4B-A8FCA0825CA8}"/>
    <cellStyle name="Normal 5 10 6" xfId="4106" xr:uid="{FC9D18D5-3813-4B33-9F0E-262982EA2B05}"/>
    <cellStyle name="Normal 5 10 6 2" xfId="6173" xr:uid="{066FB2E9-F17D-4642-B551-EEAD668B2026}"/>
    <cellStyle name="Normal 5 10 7" xfId="4105" xr:uid="{5089B42C-209A-43B5-A6C9-CAC245758C2A}"/>
    <cellStyle name="Normal 5 10 7 2" xfId="27512" xr:uid="{9AFEDC87-D2CD-4583-AE87-FF86539879D8}"/>
    <cellStyle name="Normal 5 10 8" xfId="4104" xr:uid="{E3D6860C-4C79-48F6-9568-CA13C2B9961C}"/>
    <cellStyle name="Normal 5 11" xfId="7435" xr:uid="{8B83C6D6-20C3-4AF5-90B1-8CE4CF8A2085}"/>
    <cellStyle name="Normal 5 11 2" xfId="4103" xr:uid="{4D893773-2666-4253-9B89-2E484A8D5357}"/>
    <cellStyle name="Normal 5 11 2 2" xfId="4102" xr:uid="{8529D6DC-25CC-4AC9-A8C6-2DCA869E0FF1}"/>
    <cellStyle name="Normal 5 11 2 2 2" xfId="4101" xr:uid="{E932F4B4-40E5-48F0-9E12-50C7E3356F57}"/>
    <cellStyle name="Normal 5 11 2 3" xfId="4100" xr:uid="{056D0708-797C-435E-8368-3F3320DCD4C3}"/>
    <cellStyle name="Normal 5 11 2 3 2" xfId="4099" xr:uid="{D2AA6EB3-32A5-4C4F-9361-83BE34A68C41}"/>
    <cellStyle name="Normal 5 11 2 4" xfId="4098" xr:uid="{5F27264C-7F1E-46A9-B77A-FEBE6130C5D3}"/>
    <cellStyle name="Normal 5 11 2 4 2" xfId="10251" xr:uid="{49A32601-545C-4B78-8CB6-08FA908A5BDD}"/>
    <cellStyle name="Normal 5 11 2 5" xfId="4097" xr:uid="{B8985D68-C4F3-42A5-BC4D-D589C9FCCF29}"/>
    <cellStyle name="Normal 5 11 2 5 2" xfId="32084" xr:uid="{3734C4AA-D63D-4F4B-B632-A4B305AC0B10}"/>
    <cellStyle name="Normal 5 11 2 6" xfId="4096" xr:uid="{C1A4E1E4-935B-45D4-BD6F-A2DADE6B1332}"/>
    <cellStyle name="Normal 5 11 2 6 2" xfId="4095" xr:uid="{596B3A12-F327-491F-B911-8449BA800B8D}"/>
    <cellStyle name="Normal 5 11 2 7" xfId="4094" xr:uid="{3CC796A1-3C30-4322-B216-0E2ACD607712}"/>
    <cellStyle name="Normal 5 11 3" xfId="4092" xr:uid="{90309CEC-EA40-4FE5-B9AC-F4A658123EB8}"/>
    <cellStyle name="Normal 5 11 3 2" xfId="4091" xr:uid="{3BEC8081-393E-4363-97A8-F894E64EEF47}"/>
    <cellStyle name="Normal 5 11 4" xfId="4090" xr:uid="{83CD1F78-9010-485C-ADF3-57E628D8200E}"/>
    <cellStyle name="Normal 5 11 4 2" xfId="4089" xr:uid="{01A7ABC2-BD2B-4AD7-9F71-C38D8244FC6C}"/>
    <cellStyle name="Normal 5 11 5" xfId="34204" xr:uid="{64A052BC-9AD6-4F91-982B-EBF791454E7A}"/>
    <cellStyle name="Normal 5 11 5 2" xfId="4088" xr:uid="{27B76536-E8C7-4BF0-A635-42FD6032D66D}"/>
    <cellStyle name="Normal 5 11 6" xfId="4087" xr:uid="{D5ACCE3D-30BA-452B-B77C-075DD088AE70}"/>
    <cellStyle name="Normal 5 11 6 2" xfId="6128" xr:uid="{EF8E6B8C-51D0-41DB-9A0D-E31CE556C6DF}"/>
    <cellStyle name="Normal 5 11 7" xfId="4086" xr:uid="{24B4F911-45E3-4FEF-9887-5408EE14B994}"/>
    <cellStyle name="Normal 5 11 7 2" xfId="9075" xr:uid="{99764D41-2E41-4FA4-ADFE-70162AD437E1}"/>
    <cellStyle name="Normal 5 11 8" xfId="4085" xr:uid="{D8C15D47-7BEE-4763-BE50-8F2FB9E57C94}"/>
    <cellStyle name="Normal 5 12" xfId="4084" xr:uid="{68F1D419-C2FA-4D3A-BFF0-448D882C8342}"/>
    <cellStyle name="Normal 5 12 2" xfId="4083" xr:uid="{E2918B2A-4596-4E79-A8BB-F682AFACA240}"/>
    <cellStyle name="Normal 5 12 2 2" xfId="4082" xr:uid="{2FD29F0D-CD2D-4037-B71C-D600FCC94552}"/>
    <cellStyle name="Normal 5 12 2 2 2" xfId="4081" xr:uid="{DA616883-F807-447F-B9A2-BE1D963B8746}"/>
    <cellStyle name="Normal 5 12 2 3" xfId="4080" xr:uid="{D0EE2DCC-6D4A-41CC-AD01-D8AD449A30B6}"/>
    <cellStyle name="Normal 5 12 2 3 2" xfId="17114" xr:uid="{E84120A4-D7E0-4163-9555-A5C617A6C430}"/>
    <cellStyle name="Normal 5 12 2 4" xfId="4079" xr:uid="{A86B3CDD-27A8-4B44-8E1F-7B55D3814A4F}"/>
    <cellStyle name="Normal 5 12 2 4 2" xfId="17037" xr:uid="{7DB2C0EB-8D2E-4445-B805-0E5C627A1CD4}"/>
    <cellStyle name="Normal 5 12 2 5" xfId="4078" xr:uid="{3C94749F-2F21-4BD5-8952-BD877361FEBA}"/>
    <cellStyle name="Normal 5 12 2 5 2" xfId="20357" xr:uid="{A7FF7A15-6F42-40F3-8337-A6AF649121D7}"/>
    <cellStyle name="Normal 5 12 2 6" xfId="4077" xr:uid="{4931F30E-F3E6-4EB0-8179-41CBA00A6276}"/>
    <cellStyle name="Normal 5 12 2 6 2" xfId="16988" xr:uid="{CEF8D042-3BFE-4700-A638-BD30A34EA2FD}"/>
    <cellStyle name="Normal 5 12 2 7" xfId="4076" xr:uid="{C319E947-1A26-4BFE-ADF3-E55946927718}"/>
    <cellStyle name="Normal 5 12 3" xfId="4075" xr:uid="{6F8846C4-668F-407B-B4D6-83683A335325}"/>
    <cellStyle name="Normal 5 12 3 2" xfId="4074" xr:uid="{1942FCBC-A769-48E7-80AF-6D5E5454524C}"/>
    <cellStyle name="Normal 5 12 4" xfId="4073" xr:uid="{BCA1FD38-0738-4F8B-9A91-3C1002A237CF}"/>
    <cellStyle name="Normal 5 12 4 2" xfId="4071" xr:uid="{CC856054-87EE-476F-B11F-BE51D9E8E177}"/>
    <cellStyle name="Normal 5 12 5" xfId="4070" xr:uid="{CD985DA0-ABE0-421E-B3FB-7BD1DB8A0F45}"/>
    <cellStyle name="Normal 5 12 5 2" xfId="4069" xr:uid="{2C8FA901-AF54-4833-82BC-DB77E4F4866E}"/>
    <cellStyle name="Normal 5 12 6" xfId="4068" xr:uid="{A0772D6D-FF41-44F7-9960-02DB92EC4A6D}"/>
    <cellStyle name="Normal 5 12 6 2" xfId="6101" xr:uid="{9CA43B5A-3A0C-49A8-8C68-A370A6130990}"/>
    <cellStyle name="Normal 5 12 7" xfId="4067" xr:uid="{061B6F04-0492-44E3-973B-3A3914FED484}"/>
    <cellStyle name="Normal 5 12 7 2" xfId="27661" xr:uid="{FD79BF6E-7C22-4ADC-BC96-B13E865996D8}"/>
    <cellStyle name="Normal 5 12 8" xfId="4066" xr:uid="{04123C74-E19F-467E-BDA9-91DD148C9C88}"/>
    <cellStyle name="Normal 5 13" xfId="4065" xr:uid="{6B0A6998-CF28-4586-BB43-CC5E4102870E}"/>
    <cellStyle name="Normal 5 13 2" xfId="4064" xr:uid="{18D723A0-7557-426F-8230-DB504E917DDF}"/>
    <cellStyle name="Normal 5 13 2 2" xfId="4063" xr:uid="{ECF41908-6843-4E17-9ED8-BD7E78320B77}"/>
    <cellStyle name="Normal 5 13 2 2 2" xfId="4062" xr:uid="{F5413F80-76A8-4814-9D50-68D52E818E0A}"/>
    <cellStyle name="Normal 5 13 2 3" xfId="4061" xr:uid="{D64DC096-6FAB-492C-AE10-34E25844DC36}"/>
    <cellStyle name="Normal 5 13 2 3 2" xfId="16351" xr:uid="{727B4635-D2CA-458B-9291-5092B1B60561}"/>
    <cellStyle name="Normal 5 13 2 4" xfId="4060" xr:uid="{C1EF78BE-0A2D-4949-8BAD-2B50BFA8BF0B}"/>
    <cellStyle name="Normal 5 13 2 4 2" xfId="16319" xr:uid="{2D286BD8-F96D-4D75-87EC-2F97C674851C}"/>
    <cellStyle name="Normal 5 13 2 5" xfId="26266" xr:uid="{573EAA21-B67B-4987-986F-199A8C412647}"/>
    <cellStyle name="Normal 5 13 2 5 2" xfId="16297" xr:uid="{F88D4332-8358-4F76-BD7F-BD14BBE487A1}"/>
    <cellStyle name="Normal 5 13 2 6" xfId="30742" xr:uid="{F1721141-A00A-439A-B324-DBB0F3E55621}"/>
    <cellStyle name="Normal 5 13 2 6 2" xfId="16282" xr:uid="{686C8409-FD2C-4182-A004-2F5B3FACDC3B}"/>
    <cellStyle name="Normal 5 13 2 7" xfId="4059" xr:uid="{5B0A8C84-339F-4148-9528-6F0037225E55}"/>
    <cellStyle name="Normal 5 13 3" xfId="4058" xr:uid="{40714A62-5A8A-427A-A3C1-C5BB4843E066}"/>
    <cellStyle name="Normal 5 13 3 2" xfId="14887" xr:uid="{EFD133E6-FF83-41F8-957C-D1C62783DEB2}"/>
    <cellStyle name="Normal 5 13 4" xfId="4057" xr:uid="{AC02F560-65DB-422A-8DA2-1ECEE18654FC}"/>
    <cellStyle name="Normal 5 13 4 2" xfId="4056" xr:uid="{5F995F4E-8057-48B0-BB88-B2D1C4ECD77F}"/>
    <cellStyle name="Normal 5 13 5" xfId="33965" xr:uid="{BB6C907D-070A-445E-B36B-F71255666981}"/>
    <cellStyle name="Normal 5 13 5 2" xfId="4055" xr:uid="{40FDCAC2-8D45-4B93-A363-F061966AA57A}"/>
    <cellStyle name="Normal 5 13 6" xfId="4054" xr:uid="{88585B90-0800-4925-BC73-D8D14716CBEB}"/>
    <cellStyle name="Normal 5 13 6 2" xfId="19781" xr:uid="{C6878A85-46C9-4D0C-A497-085E252170CE}"/>
    <cellStyle name="Normal 5 13 7" xfId="4053" xr:uid="{CA62C50D-B478-4648-823C-3262D65166DB}"/>
    <cellStyle name="Normal 5 13 7 2" xfId="23533" xr:uid="{7E66591E-3B8B-4316-AEFB-FA783DDF4E15}"/>
    <cellStyle name="Normal 5 13 8" xfId="4052" xr:uid="{FB63EA47-24A7-425C-B140-B0898DDB7B54}"/>
    <cellStyle name="Normal 5 14" xfId="4051" xr:uid="{3B22FE35-AB33-42CC-9606-2712DF604149}"/>
    <cellStyle name="Normal 5 14 2" xfId="4050" xr:uid="{219540D7-9C08-4F87-AD00-F7346D8DF56F}"/>
    <cellStyle name="Normal 5 14 2 2" xfId="4049" xr:uid="{E9E84982-4FB0-4000-A5EC-07BEEDCD2D45}"/>
    <cellStyle name="Normal 5 14 3" xfId="4048" xr:uid="{DACBE270-AEDE-4A22-913C-A16DFE317DC9}"/>
    <cellStyle name="Normal 5 14 3 2" xfId="4047" xr:uid="{39285BF6-5B8F-4C4F-BC41-6088B4A0A987}"/>
    <cellStyle name="Normal 5 14 4" xfId="29396" xr:uid="{D085ABA9-9AF7-4CBF-B8DB-27FFB6A3452C}"/>
    <cellStyle name="Normal 5 14 4 2" xfId="4046" xr:uid="{CA9F92E9-1B6F-482F-A241-4B32E6462EFE}"/>
    <cellStyle name="Normal 5 14 5" xfId="4045" xr:uid="{8DB95F37-B1CA-47A0-BE6F-2E4F39312C63}"/>
    <cellStyle name="Normal 5 14 5 2" xfId="4044" xr:uid="{74CC73F0-5422-436E-A863-EA6288421DE0}"/>
    <cellStyle name="Normal 5 14 6" xfId="4043" xr:uid="{D3AE5805-0EBD-4E3B-AE4F-B2C8FE171FC0}"/>
    <cellStyle name="Normal 5 14 6 2" xfId="5084" xr:uid="{0A7B1640-523C-4CC6-8496-B1EE3FB070B6}"/>
    <cellStyle name="Normal 5 14 7" xfId="4042" xr:uid="{38827872-895E-4CD0-B8BD-1CB4E08BEBA4}"/>
    <cellStyle name="Normal 5 15" xfId="4041" xr:uid="{C6CBAA1F-779B-4505-8A5E-FA495812AC92}"/>
    <cellStyle name="Normal 5 15 2" xfId="11594" xr:uid="{D2D898A6-C45D-4C47-9DB1-84BC3327FB7A}"/>
    <cellStyle name="Normal 5 15 2 2" xfId="4039" xr:uid="{42C4D4C3-826D-47EE-BD9E-F625524C7818}"/>
    <cellStyle name="Normal 5 15 3" xfId="4038" xr:uid="{447C469E-A29A-491E-B016-D0C0B13329EF}"/>
    <cellStyle name="Normal 5 15 3 2" xfId="4037" xr:uid="{77C95386-FE95-4568-B5A7-BB3E91C2861F}"/>
    <cellStyle name="Normal 5 15 4" xfId="4036" xr:uid="{36C95614-26AC-4406-B7F3-C9023388F294}"/>
    <cellStyle name="Normal 5 15 4 2" xfId="4035" xr:uid="{A42EDEC2-1686-4E84-BF82-FF27784C4BD7}"/>
    <cellStyle name="Normal 5 15 5" xfId="4034" xr:uid="{A5ED928E-9E97-4582-8EF8-D378B0CA22BD}"/>
    <cellStyle name="Normal 5 15 5 2" xfId="4033" xr:uid="{C2F6D86D-B16C-40E4-B190-08BF8F160A32}"/>
    <cellStyle name="Normal 5 15 6" xfId="4032" xr:uid="{6016FC4F-FFB1-4D53-A257-43128FB1E27C}"/>
    <cellStyle name="Normal 5 15 6 2" xfId="5068" xr:uid="{73155BE8-7418-469D-83E9-C380C77A106C}"/>
    <cellStyle name="Normal 5 15 7" xfId="4031" xr:uid="{7AF0459F-541E-42D5-B640-D864C678ECF7}"/>
    <cellStyle name="Normal 5 16" xfId="31738" xr:uid="{526B105C-EBA3-4B29-B87D-BD5935ECB2F0}"/>
    <cellStyle name="Normal 5 16 2" xfId="4030" xr:uid="{D1F49C87-11F3-4223-9DC4-61130455C20A}"/>
    <cellStyle name="Normal 5 16 2 2" xfId="4028" xr:uid="{16CFA31A-9B69-429F-AD7B-BA7FF11CBDAA}"/>
    <cellStyle name="Normal 5 16 3" xfId="4027" xr:uid="{2819792A-C730-4F1E-B401-C85E734F28D6}"/>
    <cellStyle name="Normal 5 16 3 2" xfId="4026" xr:uid="{87D8A34B-940A-4D6D-84CA-95178DD7CE41}"/>
    <cellStyle name="Normal 5 16 4" xfId="4025" xr:uid="{A63A3E80-69DD-42D3-AAD9-6E8A85789183}"/>
    <cellStyle name="Normal 5 16 4 2" xfId="4024" xr:uid="{30227408-A068-424D-9D3A-FD27308B542C}"/>
    <cellStyle name="Normal 5 16 5" xfId="4023" xr:uid="{BC909CCE-3CA1-4E02-8104-0E074FA661B3}"/>
    <cellStyle name="Normal 5 16 5 2" xfId="4022" xr:uid="{87828E70-E8D8-455B-919D-6F684B0B72B7}"/>
    <cellStyle name="Normal 5 16 6" xfId="4021" xr:uid="{10E1557F-7844-41E9-B904-6AAB89D8FB19}"/>
    <cellStyle name="Normal 5 16 6 2" xfId="5054" xr:uid="{7ED220AE-D6A6-49E9-9EDF-FB5140C5DA5A}"/>
    <cellStyle name="Normal 5 16 7" xfId="4020" xr:uid="{40CE5E87-0D2F-47AE-8D83-1B6A68BAF86C}"/>
    <cellStyle name="Normal 5 17" xfId="4019" xr:uid="{D79CC1A3-BF7E-4551-A018-C7D49A6E8032}"/>
    <cellStyle name="Normal 5 17 2" xfId="4017" xr:uid="{05B90402-EF80-4BCC-A15E-41F1AED1EC15}"/>
    <cellStyle name="Normal 5 18" xfId="4016" xr:uid="{068A094D-8753-4056-8B6C-B779732E72C9}"/>
    <cellStyle name="Normal 5 18 2" xfId="4015" xr:uid="{B133BBC2-2967-4577-8827-5EE70EC329D7}"/>
    <cellStyle name="Normal 5 19" xfId="4014" xr:uid="{5C3350DA-162A-46DB-944D-8E52B7DC5F1B}"/>
    <cellStyle name="Normal 5 19 2" xfId="4013" xr:uid="{6DAE3995-3B35-4F1B-8FD5-8AC299915328}"/>
    <cellStyle name="Normal 5 2" xfId="47" xr:uid="{C48B6B10-4D3F-45FD-9A35-3ECE1E9DF44A}"/>
    <cellStyle name="Normal 5 2 10" xfId="4011" xr:uid="{B1922F02-BF81-4DBB-8150-EAB83158F7A4}"/>
    <cellStyle name="Normal 5 2 10 2" xfId="4010" xr:uid="{FA481F35-0E48-43A8-9D53-63FBE482F01C}"/>
    <cellStyle name="Normal 5 2 10 2 2" xfId="32552" xr:uid="{2CAF74ED-FAD1-48C3-AB20-B413AED596CA}"/>
    <cellStyle name="Normal 5 2 10 2 2 2" xfId="24991" xr:uid="{F8930BF3-91C2-4E12-A29F-1EB4E3725DD5}"/>
    <cellStyle name="Normal 5 2 10 2 3" xfId="32426" xr:uid="{3BE80B43-BB14-48C3-B51A-7D495D43EEDF}"/>
    <cellStyle name="Normal 5 2 10 2 3 2" xfId="4009" xr:uid="{53967B94-BE50-45A0-A523-5A075E3303CA}"/>
    <cellStyle name="Normal 5 2 10 2 4" xfId="30947" xr:uid="{CA35B7BE-E894-4850-BAE0-A8D4086C266B}"/>
    <cellStyle name="Normal 5 2 10 2 4 2" xfId="4008" xr:uid="{38DD5909-5BBC-4C53-9028-3FAF6CEFF1C4}"/>
    <cellStyle name="Normal 5 2 10 2 5" xfId="4007" xr:uid="{F2B8B1E6-7EFE-4825-B837-B5803B9AF38E}"/>
    <cellStyle name="Normal 5 2 10 2 5 2" xfId="4005" xr:uid="{889F39F9-E429-4CC0-B52C-E13F10E327BD}"/>
    <cellStyle name="Normal 5 2 10 2 6" xfId="4003" xr:uid="{9514AA21-A475-4750-9CC5-76F7DCEA05D8}"/>
    <cellStyle name="Normal 5 2 10 2 6 2" xfId="4001" xr:uid="{8BF0112D-AEE2-494F-9E80-B3E4D2894B92}"/>
    <cellStyle name="Normal 5 2 10 2 7" xfId="3999" xr:uid="{1DD80E54-8282-47B4-B3DC-F1F33D0DE572}"/>
    <cellStyle name="Normal 5 2 10 3" xfId="3997" xr:uid="{B64F6818-4127-4F35-AD47-571C88E123F0}"/>
    <cellStyle name="Normal 5 2 10 3 2" xfId="32410" xr:uid="{E4B8086F-5A25-46E5-B018-622D01E9A639}"/>
    <cellStyle name="Normal 5 2 10 4" xfId="3996" xr:uid="{9657C4C6-E796-4EFF-9C39-244BCF807C93}"/>
    <cellStyle name="Normal 5 2 10 4 2" xfId="11850" xr:uid="{9904F905-C7F9-4221-B679-EF0BDCAE7141}"/>
    <cellStyle name="Normal 5 2 10 5" xfId="3995" xr:uid="{4117B2E3-F47D-404D-8F9A-EEC59A132136}"/>
    <cellStyle name="Normal 5 2 10 5 2" xfId="34057" xr:uid="{FE6E388A-AF1D-4493-8963-DDB22E6C3F2F}"/>
    <cellStyle name="Normal 5 2 10 6" xfId="22726" xr:uid="{5F240C18-B7C7-449A-89C4-3F1BC4EC112F}"/>
    <cellStyle name="Normal 5 2 10 6 2" xfId="3994" xr:uid="{4E82ECE8-3DE5-4F19-A4EC-117DAE5E38E7}"/>
    <cellStyle name="Normal 5 2 10 7" xfId="3993" xr:uid="{DF4217D0-1447-43B0-8F37-091925BE964D}"/>
    <cellStyle name="Normal 5 2 10 7 2" xfId="3992" xr:uid="{47E8F7B7-3FD0-4846-AD39-D184629D7964}"/>
    <cellStyle name="Normal 5 2 10 8" xfId="3991" xr:uid="{843A02CF-2175-4D86-9198-DEE2F882A19F}"/>
    <cellStyle name="Normal 5 2 11" xfId="4820" xr:uid="{EEC94CB1-F310-44DE-B2F3-12F678EB8475}"/>
    <cellStyle name="Normal 5 2 11 2" xfId="4818" xr:uid="{1E779CEE-6A4E-44C9-AFFB-F830FEE03A6A}"/>
    <cellStyle name="Normal 5 2 11 2 2" xfId="32540" xr:uid="{91232298-0028-4D7A-B0D5-650A3682BB92}"/>
    <cellStyle name="Normal 5 2 11 3" xfId="3990" xr:uid="{42D7B09F-99CC-46E6-A569-DA4B236DBF3E}"/>
    <cellStyle name="Normal 5 2 11 3 2" xfId="31208" xr:uid="{3A01ADF8-3FDE-42CF-85FC-77B5681A7AF4}"/>
    <cellStyle name="Normal 5 2 11 4" xfId="3989" xr:uid="{F90055F4-263F-494C-8955-823BC43CA03C}"/>
    <cellStyle name="Normal 5 2 11 4 2" xfId="11836" xr:uid="{E64392B0-12D8-4628-BF1D-5836796DD874}"/>
    <cellStyle name="Normal 5 2 11 5" xfId="3988" xr:uid="{013779C3-0A59-43F5-8897-605917EE9AE6}"/>
    <cellStyle name="Normal 5 2 11 5 2" xfId="3987" xr:uid="{74E784CB-99A6-4C0E-8C64-F3FE5C96CA21}"/>
    <cellStyle name="Normal 5 2 11 6" xfId="3986" xr:uid="{67B21127-FACA-4405-8A15-185441438C3E}"/>
    <cellStyle name="Normal 5 2 11 6 2" xfId="3985" xr:uid="{18123866-6195-48FE-ABF0-B68650CDC996}"/>
    <cellStyle name="Normal 5 2 11 7" xfId="25968" xr:uid="{B84AB158-D059-4F9B-BD6C-9089607646B3}"/>
    <cellStyle name="Normal 5 2 12" xfId="4816" xr:uid="{AFA8A08F-D942-4752-B1FF-DFA91C1B2A4A}"/>
    <cellStyle name="Normal 5 2 12 2" xfId="3984" xr:uid="{43E154F5-A73E-4ACA-9E12-C1D137EDFF1B}"/>
    <cellStyle name="Normal 5 2 12 2 2" xfId="19048" xr:uid="{B1B497B0-175A-4CE5-B70F-5A26E7CF52F1}"/>
    <cellStyle name="Normal 5 2 12 3" xfId="3983" xr:uid="{848FF50E-C833-48E6-8349-30696DB0143D}"/>
    <cellStyle name="Normal 5 2 12 3 2" xfId="34271" xr:uid="{6D9A265B-C0B1-48C5-99BA-74D15B77F28C}"/>
    <cellStyle name="Normal 5 2 12 4" xfId="3982" xr:uid="{4AE5E388-96E7-415C-8A1D-959957F744CE}"/>
    <cellStyle name="Normal 5 2 12 4 2" xfId="3981" xr:uid="{531EA048-A0C3-4F09-BDB3-0906E3365873}"/>
    <cellStyle name="Normal 5 2 12 5" xfId="3980" xr:uid="{3EFCA955-FC73-46B2-9050-6397C800D4DD}"/>
    <cellStyle name="Normal 5 2 12 5 2" xfId="3979" xr:uid="{0DB12710-A831-4F99-A0E5-FFB3553DE145}"/>
    <cellStyle name="Normal 5 2 12 6" xfId="3978" xr:uid="{CA366A9C-86BB-4EB7-8E59-FD5EE51555E8}"/>
    <cellStyle name="Normal 5 2 12 6 2" xfId="3977" xr:uid="{27F9C022-8313-4B37-AC6E-F7A935738D7A}"/>
    <cellStyle name="Normal 5 2 12 7" xfId="25943" xr:uid="{08070782-C5AF-4BC5-B3D4-FCB7BA86B703}"/>
    <cellStyle name="Normal 5 2 13" xfId="3976" xr:uid="{43E43DE5-EF31-4AB7-AE53-C8D066EC61BF}"/>
    <cellStyle name="Normal 5 2 13 2" xfId="3975" xr:uid="{9100CAA2-1E7C-458C-B8E5-E5AC6AE334CC}"/>
    <cellStyle name="Normal 5 2 14" xfId="3974" xr:uid="{DCACE373-2233-4212-A7D9-76483B4E9AA5}"/>
    <cellStyle name="Normal 5 2 14 2" xfId="3973" xr:uid="{E5CC9FD4-87E2-4F06-B920-ADC07DBB37A1}"/>
    <cellStyle name="Normal 5 2 15" xfId="3972" xr:uid="{1E29BA60-60C6-4833-92EC-4DC6C43DE213}"/>
    <cellStyle name="Normal 5 2 15 2" xfId="10873" xr:uid="{C2FCBEF9-CF4A-4ACB-9A47-73AC0D712139}"/>
    <cellStyle name="Normal 5 2 16" xfId="16447" xr:uid="{B50FB340-91B3-4F84-868E-37FE32ED198A}"/>
    <cellStyle name="Normal 5 2 16 2" xfId="3971" xr:uid="{792EC2E6-AD51-4CF5-BC76-B9289D445CFA}"/>
    <cellStyle name="Normal 5 2 17" xfId="14782" xr:uid="{997B1D41-041E-4531-A45B-248F11198EC7}"/>
    <cellStyle name="Normal 5 2 17 2" xfId="3970" xr:uid="{2B19F075-E7F0-4CEB-87BF-10B5B54A0E92}"/>
    <cellStyle name="Normal 5 2 18" xfId="3969" xr:uid="{8299D8DE-B3E6-4441-B216-250B475737E3}"/>
    <cellStyle name="Normal 5 2 19" xfId="34413" xr:uid="{A33303C4-3FE8-40CF-A8F6-4862E9CC462D}"/>
    <cellStyle name="Normal 5 2 2" xfId="3968" xr:uid="{A488E4A3-77F2-487E-8947-8A8AF67F88E1}"/>
    <cellStyle name="Normal 5 2 2 2" xfId="3967" xr:uid="{FDB26602-7888-4E22-AA08-E47BEE64CAA9}"/>
    <cellStyle name="Normal 5 2 2 2 2" xfId="6327" xr:uid="{A6D83DB7-2B08-4229-A406-AB64D76C219E}"/>
    <cellStyle name="Normal 5 2 2 2 2 2" xfId="24539" xr:uid="{3F1DC09B-A17A-4207-9155-890EEC553B0E}"/>
    <cellStyle name="Normal 5 2 2 2 2 2 2" xfId="3966" xr:uid="{789E1B7C-2F30-406C-8C40-5725B3B7686E}"/>
    <cellStyle name="Normal 5 2 2 2 2 2 2 2" xfId="3965" xr:uid="{4485635C-8CB0-4E72-9B60-FE8C0569AA8C}"/>
    <cellStyle name="Normal 5 2 2 2 2 2 2 2 2" xfId="3964" xr:uid="{8DB5791A-FD01-4A61-BE0F-804EFB44927A}"/>
    <cellStyle name="Normal 5 2 2 2 2 2 2 2 2 2" xfId="19151" xr:uid="{5641696C-163E-4762-944A-DA047B36C3EE}"/>
    <cellStyle name="Normal 5 2 2 2 2 2 2 2 2 2 2" xfId="3963" xr:uid="{78F5D961-3920-44F1-B0DB-B1F82EE17198}"/>
    <cellStyle name="Normal 5 2 2 2 2 2 2 2 2 3" xfId="6654" xr:uid="{6DB5D011-A08D-4A4F-90C0-D99477D1877A}"/>
    <cellStyle name="Normal 5 2 2 2 2 2 2 2 3" xfId="3962" xr:uid="{6311DE25-2C08-485E-93F8-0ACF191F4643}"/>
    <cellStyle name="Normal 5 2 2 2 2 2 2 2 3 2" xfId="32792" xr:uid="{C74B737E-76A3-4ABA-9180-DBFA101591CD}"/>
    <cellStyle name="Normal 5 2 2 2 2 2 2 2 4" xfId="3961" xr:uid="{63454561-6BB3-4801-A030-773E357B19E9}"/>
    <cellStyle name="Normal 5 2 2 2 2 2 2 3" xfId="28303" xr:uid="{F4AC9DE1-5576-49D9-8327-D8C32611ECFA}"/>
    <cellStyle name="Normal 5 2 2 2 2 2 2 3 2" xfId="5121" xr:uid="{AFED19F1-6AB3-4F00-B624-5810750E7911}"/>
    <cellStyle name="Normal 5 2 2 2 2 2 2 3 2 2" xfId="31020" xr:uid="{669673CB-C70C-4D71-8748-A9F5CFBBF508}"/>
    <cellStyle name="Normal 5 2 2 2 2 2 2 3 3" xfId="5118" xr:uid="{AA7C0CC2-8350-4D5E-86B5-2F39BB1825F5}"/>
    <cellStyle name="Normal 5 2 2 2 2 2 2 4" xfId="11768" xr:uid="{11A4AB67-BAB4-40D0-BBEA-05019D2CAB25}"/>
    <cellStyle name="Normal 5 2 2 2 2 2 2 4 2" xfId="11763" xr:uid="{E6D9A8C0-6E8E-46A5-9D6E-8BD5C7EF415B}"/>
    <cellStyle name="Normal 5 2 2 2 2 2 2 5" xfId="11759" xr:uid="{68AC3B64-E708-48BF-AEC7-B80A2B2520E1}"/>
    <cellStyle name="Normal 5 2 2 2 2 2 3" xfId="3960" xr:uid="{8763F7B9-A889-4A90-BA0B-C8B74334D9CC}"/>
    <cellStyle name="Normal 5 2 2 2 2 2 3 2" xfId="27671" xr:uid="{F5B85014-2EB2-48A0-8B6C-F5E265746F73}"/>
    <cellStyle name="Normal 5 2 2 2 2 2 3 2 2" xfId="3959" xr:uid="{E85DA031-628E-4A5F-838F-E53A6981E69D}"/>
    <cellStyle name="Normal 5 2 2 2 2 2 3 2 2 2" xfId="6480" xr:uid="{4C00E4A9-BE18-4294-A03B-E0245E022AFC}"/>
    <cellStyle name="Normal 5 2 2 2 2 2 3 2 3" xfId="3958" xr:uid="{B5875751-F9FF-45BC-BD15-0571B4FBD641}"/>
    <cellStyle name="Normal 5 2 2 2 2 2 3 3" xfId="6090" xr:uid="{4A0F0FD9-5842-4310-809B-DF52ACDB9AA1}"/>
    <cellStyle name="Normal 5 2 2 2 2 2 3 3 2" xfId="6087" xr:uid="{D03EAC5E-FB13-450D-A02A-8EC2C6B59D07}"/>
    <cellStyle name="Normal 5 2 2 2 2 2 3 4" xfId="13490" xr:uid="{DC094746-8342-4A28-A6DE-A60D08691D08}"/>
    <cellStyle name="Normal 5 2 2 2 2 2 4" xfId="26541" xr:uid="{80A18E0E-35ED-402F-B5F1-42DF589436F3}"/>
    <cellStyle name="Normal 5 2 2 2 2 2 4 2" xfId="3957" xr:uid="{117DD17E-3880-4554-91FA-910F994DF625}"/>
    <cellStyle name="Normal 5 2 2 2 2 2 4 2 2" xfId="3956" xr:uid="{5FF154D1-4F16-4968-93B6-41E4BC941178}"/>
    <cellStyle name="Normal 5 2 2 2 2 2 4 3" xfId="15785" xr:uid="{3F6EFCF9-2243-4865-8D1F-8E3A1ED09BDE}"/>
    <cellStyle name="Normal 5 2 2 2 2 2 5" xfId="26535" xr:uid="{4057D45D-2021-4528-B47B-091B57ABC4F3}"/>
    <cellStyle name="Normal 5 2 2 2 2 2 5 2" xfId="3955" xr:uid="{BE58B64E-4DFC-4D8F-94AC-22AD08F19634}"/>
    <cellStyle name="Normal 5 2 2 2 2 2 6" xfId="25382" xr:uid="{5F058813-2709-4377-A76C-F5A6359D8B9E}"/>
    <cellStyle name="Normal 5 2 2 2 2 3" xfId="24528" xr:uid="{BFD646D7-A5D6-4EA0-A040-D9E6B5757074}"/>
    <cellStyle name="Normal 5 2 2 2 2 3 2" xfId="3954" xr:uid="{720A57C5-5034-4176-A5E8-88EB35902134}"/>
    <cellStyle name="Normal 5 2 2 2 2 3 2 2" xfId="3953" xr:uid="{6767E546-57CB-4B2B-9DF3-45368EDD86E4}"/>
    <cellStyle name="Normal 5 2 2 2 2 3 2 2 2" xfId="3952" xr:uid="{D1989F18-7469-42F5-85C8-84C3A9D6105D}"/>
    <cellStyle name="Normal 5 2 2 2 2 3 2 2 2 2" xfId="22989" xr:uid="{EC8A9A3A-603D-42E1-A28A-4F192F34D25D}"/>
    <cellStyle name="Normal 5 2 2 2 2 3 2 2 3" xfId="3951" xr:uid="{50DD8C54-B7EE-4938-975F-B2B771A723AA}"/>
    <cellStyle name="Normal 5 2 2 2 2 3 2 3" xfId="30310" xr:uid="{4702DB5F-BB87-4DA3-B845-4D9904D8C8F8}"/>
    <cellStyle name="Normal 5 2 2 2 2 3 2 3 2" xfId="5104" xr:uid="{889079FB-81F9-43D8-A8FD-C9490411CA1A}"/>
    <cellStyle name="Normal 5 2 2 2 2 3 2 4" xfId="11747" xr:uid="{27F9FD0F-B733-473F-971F-B8232070A384}"/>
    <cellStyle name="Normal 5 2 2 2 2 3 3" xfId="3950" xr:uid="{1AEE2162-33E4-40AB-8928-14185FEEE612}"/>
    <cellStyle name="Normal 5 2 2 2 2 3 3 2" xfId="3949" xr:uid="{425B35DE-84BD-4C48-BCEE-B580A125193D}"/>
    <cellStyle name="Normal 5 2 2 2 2 3 3 2 2" xfId="27572" xr:uid="{7C830BE0-54DA-4B94-BEDF-F953EA9B7085}"/>
    <cellStyle name="Normal 5 2 2 2 2 3 3 3" xfId="27110" xr:uid="{190609FC-4899-4122-B79A-45FB99C408B6}"/>
    <cellStyle name="Normal 5 2 2 2 2 3 4" xfId="26533" xr:uid="{0875171B-C001-4235-9D8D-D916532844DE}"/>
    <cellStyle name="Normal 5 2 2 2 2 3 4 2" xfId="3948" xr:uid="{CBD1546A-ADE3-41AD-8395-7FD35B78F54A}"/>
    <cellStyle name="Normal 5 2 2 2 2 3 5" xfId="29885" xr:uid="{59336B15-98EC-460B-913E-3AA36CB7F096}"/>
    <cellStyle name="Normal 5 2 2 2 2 4" xfId="27131" xr:uid="{1E91D5EC-28A6-4050-B8A3-08CB0472898F}"/>
    <cellStyle name="Normal 5 2 2 2 2 4 2" xfId="3947" xr:uid="{F336AF0F-6A91-4C03-9BD1-D0DF4308FDB5}"/>
    <cellStyle name="Normal 5 2 2 2 2 4 2 2" xfId="3945" xr:uid="{E99E989A-9301-4212-A4C8-4A943648B7D4}"/>
    <cellStyle name="Normal 5 2 2 2 2 4 2 2 2" xfId="3942" xr:uid="{F97E9BBD-22CC-4C74-BAE9-AD61129C0168}"/>
    <cellStyle name="Normal 5 2 2 2 2 4 2 3" xfId="30266" xr:uid="{18B79A69-5A44-4C77-8917-BDCFF448F35E}"/>
    <cellStyle name="Normal 5 2 2 2 2 4 3" xfId="3939" xr:uid="{307928BB-E37B-4AA2-8108-7714514EA1A0}"/>
    <cellStyle name="Normal 5 2 2 2 2 4 3 2" xfId="3936" xr:uid="{0B137B16-E858-4FD5-83B8-A06276749E2B}"/>
    <cellStyle name="Normal 5 2 2 2 2 4 4" xfId="3933" xr:uid="{B37B576C-7ACD-41E5-8BF5-D516962F2944}"/>
    <cellStyle name="Normal 5 2 2 2 2 5" xfId="3931" xr:uid="{053A4FDE-870D-4450-91C4-AD6554C8FBF0}"/>
    <cellStyle name="Normal 5 2 2 2 2 5 2" xfId="6496" xr:uid="{A053EFDE-2116-4F4F-ADFC-76DCC9593B92}"/>
    <cellStyle name="Normal 5 2 2 2 2 5 2 2" xfId="3930" xr:uid="{1FC580A5-E575-41FC-95C7-1E6924D47CC9}"/>
    <cellStyle name="Normal 5 2 2 2 2 5 3" xfId="3927" xr:uid="{7949D9FE-44C4-4F5A-9EAC-B033A9088316}"/>
    <cellStyle name="Normal 5 2 2 2 2 6" xfId="25675" xr:uid="{180EA93C-F268-4F5F-94CF-C507119671AF}"/>
    <cellStyle name="Normal 5 2 2 2 2 6 2" xfId="3925" xr:uid="{9ECC72C5-2B08-4D99-BCD1-4655D231BFBB}"/>
    <cellStyle name="Normal 5 2 2 2 2 7" xfId="3923" xr:uid="{0575FB22-8D95-4106-9DCE-436F9738C703}"/>
    <cellStyle name="Normal 5 2 2 2 3" xfId="5297" xr:uid="{4B023161-0A8A-40A3-A944-67D3F987B556}"/>
    <cellStyle name="Normal 5 2 2 2 3 2" xfId="24520" xr:uid="{FD6B58AD-D1CB-4546-91C6-A1210EB6A179}"/>
    <cellStyle name="Normal 5 2 2 2 3 2 2" xfId="3922" xr:uid="{C4DA3B09-5830-493F-9B80-D839A7DDDDE6}"/>
    <cellStyle name="Normal 5 2 2 2 3 2 2 2" xfId="11554" xr:uid="{0416B9CD-3E59-4D22-985E-08A2D16C4DAC}"/>
    <cellStyle name="Normal 5 2 2 2 3 2 2 2 2" xfId="3921" xr:uid="{8DB9E44E-E61F-4A3B-A602-C06F72CDA48D}"/>
    <cellStyle name="Normal 5 2 2 2 3 2 2 2 2 2" xfId="3920" xr:uid="{83756B69-699E-494F-86B1-7C6A55733F2B}"/>
    <cellStyle name="Normal 5 2 2 2 3 2 2 2 3" xfId="31417" xr:uid="{47179EC7-6755-45A6-B4B5-C29AC1BCC83D}"/>
    <cellStyle name="Normal 5 2 2 2 3 2 2 3" xfId="11549" xr:uid="{36B19F94-DB9E-4C4F-9B56-454AA1A61DF2}"/>
    <cellStyle name="Normal 5 2 2 2 3 2 2 3 2" xfId="5086" xr:uid="{11B9094E-054C-4A02-89E6-62D959AF23D6}"/>
    <cellStyle name="Normal 5 2 2 2 3 2 2 4" xfId="11728" xr:uid="{41DB2C7B-9491-4106-92BD-CB79896CA52F}"/>
    <cellStyle name="Normal 5 2 2 2 3 2 3" xfId="3919" xr:uid="{67297189-21DE-4709-9C05-B35CCA3111FC}"/>
    <cellStyle name="Normal 5 2 2 2 3 2 3 2" xfId="11546" xr:uid="{8D440734-65A6-4564-96FC-C09407227071}"/>
    <cellStyle name="Normal 5 2 2 2 3 2 3 2 2" xfId="3918" xr:uid="{08C57CFA-0E54-4B37-B629-C0CB5B73187D}"/>
    <cellStyle name="Normal 5 2 2 2 3 2 3 3" xfId="6080" xr:uid="{D9D78AAE-F9A4-4B84-B655-F367B1D4C24C}"/>
    <cellStyle name="Normal 5 2 2 2 3 2 4" xfId="26527" xr:uid="{21968619-1B42-449B-A3A2-1C3CCEC7FEF8}"/>
    <cellStyle name="Normal 5 2 2 2 3 2 4 2" xfId="3917" xr:uid="{0FF03BFA-5B5B-4BC8-86D3-4DF850E15894}"/>
    <cellStyle name="Normal 5 2 2 2 3 2 5" xfId="3916" xr:uid="{AF2ABED3-33A7-4969-8FC9-2A79DA410D16}"/>
    <cellStyle name="Normal 5 2 2 2 3 3" xfId="24513" xr:uid="{765BFA3F-1AE7-4D98-9224-1EC86929B997}"/>
    <cellStyle name="Normal 5 2 2 2 3 3 2" xfId="3915" xr:uid="{09C316BE-AF7C-4DA1-A3FF-9A20B9926817}"/>
    <cellStyle name="Normal 5 2 2 2 3 3 2 2" xfId="11526" xr:uid="{22C56FA9-95F7-448A-8E73-6C36E7C6BDFA}"/>
    <cellStyle name="Normal 5 2 2 2 3 3 2 2 2" xfId="3914" xr:uid="{943739EC-86EF-4A42-98DE-4D5B73784DC8}"/>
    <cellStyle name="Normal 5 2 2 2 3 3 2 3" xfId="33658" xr:uid="{3D18482C-95D8-4B92-ADBA-AAB3938BFD7A}"/>
    <cellStyle name="Normal 5 2 2 2 3 3 3" xfId="3913" xr:uid="{13867B7F-F98F-4680-B6C1-03C6B7BF8F2B}"/>
    <cellStyle name="Normal 5 2 2 2 3 3 3 2" xfId="3912" xr:uid="{0B8FEF78-E01F-42A2-9503-AF155883B837}"/>
    <cellStyle name="Normal 5 2 2 2 3 3 4" xfId="3911" xr:uid="{D32871DC-AF96-4DA4-9CB1-16F1EB0E6DA2}"/>
    <cellStyle name="Normal 5 2 2 2 3 4" xfId="3910" xr:uid="{80A789B5-1551-4AF2-B576-BC6A17E58AB6}"/>
    <cellStyle name="Normal 5 2 2 2 3 4 2" xfId="3909" xr:uid="{B6C39DC2-625F-4C7A-8A27-B999DD2DA80D}"/>
    <cellStyle name="Normal 5 2 2 2 3 4 2 2" xfId="3907" xr:uid="{EB6056E5-D024-41CE-B0C4-20A6614771B5}"/>
    <cellStyle name="Normal 5 2 2 2 3 4 3" xfId="3904" xr:uid="{87682E54-3574-46E2-8583-B6BE35182114}"/>
    <cellStyle name="Normal 5 2 2 2 3 5" xfId="3902" xr:uid="{06119E6D-63DE-4124-8AB6-3A86073F702E}"/>
    <cellStyle name="Normal 5 2 2 2 3 5 2" xfId="3901" xr:uid="{AD0B10FA-B7BB-4A41-8BDB-AA2D9DA6C5C8}"/>
    <cellStyle name="Normal 5 2 2 2 3 6" xfId="3899" xr:uid="{BBA0B334-6829-4D6B-A1F2-B2A5FDE7B1F4}"/>
    <cellStyle name="Normal 5 2 2 2 4" xfId="3898" xr:uid="{811C130E-AEF0-4001-8C86-AA914CCF1336}"/>
    <cellStyle name="Normal 5 2 2 2 4 2" xfId="24508" xr:uid="{3A3DDBCA-6AB0-4D06-89FF-C80187BF0C90}"/>
    <cellStyle name="Normal 5 2 2 2 4 2 2" xfId="27589" xr:uid="{CA59213B-2A40-4850-9024-12C44D8CEC8D}"/>
    <cellStyle name="Normal 5 2 2 2 4 2 2 2" xfId="11436" xr:uid="{06C49C42-D516-4289-ADE0-BBE29D1CCA5A}"/>
    <cellStyle name="Normal 5 2 2 2 4 2 2 2 2" xfId="16775" xr:uid="{CDDEBE53-746D-4BEA-9835-4B29DFD23162}"/>
    <cellStyle name="Normal 5 2 2 2 4 2 2 3" xfId="32783" xr:uid="{61F94E82-E0C0-4E59-8E2D-B45DD0CBA1B1}"/>
    <cellStyle name="Normal 5 2 2 2 4 2 3" xfId="34354" xr:uid="{40503353-58AD-46F5-AF2A-782CD42512EB}"/>
    <cellStyle name="Normal 5 2 2 2 4 2 3 2" xfId="3896" xr:uid="{19A33ACB-34E5-4BF7-A788-C0BAEA12B66F}"/>
    <cellStyle name="Normal 5 2 2 2 4 2 4" xfId="33086" xr:uid="{14A317CC-D112-4E32-9153-C4EAB941AEEA}"/>
    <cellStyle name="Normal 5 2 2 2 4 3" xfId="3894" xr:uid="{88D92DCC-9B57-49C7-85C8-5B9E1AEF247C}"/>
    <cellStyle name="Normal 5 2 2 2 4 3 2" xfId="27582" xr:uid="{B7EBE4FF-5DBE-4513-9C40-508C6CE6DEE5}"/>
    <cellStyle name="Normal 5 2 2 2 4 3 2 2" xfId="3893" xr:uid="{C09666BF-D178-429E-B619-0D1C081D4A6A}"/>
    <cellStyle name="Normal 5 2 2 2 4 3 3" xfId="3892" xr:uid="{17ED5410-F6BA-4A8E-9C94-6D5BE49E5683}"/>
    <cellStyle name="Normal 5 2 2 2 4 4" xfId="3890" xr:uid="{17D53185-15F2-40CC-97B6-4BB144EA370B}"/>
    <cellStyle name="Normal 5 2 2 2 4 4 2" xfId="17659" xr:uid="{0DF0775E-352C-486C-A0EB-7939853F42F8}"/>
    <cellStyle name="Normal 5 2 2 2 4 5" xfId="3889" xr:uid="{C3E43EDB-F617-4C9D-BBD3-F89C624BE87C}"/>
    <cellStyle name="Normal 5 2 2 2 5" xfId="25579" xr:uid="{61E64DA3-B984-48A9-BBEB-A0A770264D76}"/>
    <cellStyle name="Normal 5 2 2 2 5 2" xfId="3888" xr:uid="{098C2BAE-41C5-49C5-A444-A86997915DD1}"/>
    <cellStyle name="Normal 5 2 2 2 5 2 2" xfId="33600" xr:uid="{554100E2-8667-4F6B-8A44-9FD5AA89AC18}"/>
    <cellStyle name="Normal 5 2 2 2 5 2 2 2" xfId="3887" xr:uid="{B3E1200A-2CEC-4D8C-B5F5-545B099EAED4}"/>
    <cellStyle name="Normal 5 2 2 2 5 2 3" xfId="3886" xr:uid="{A963C5DA-2D3E-4387-BFCB-47283A8CC7FD}"/>
    <cellStyle name="Normal 5 2 2 2 5 3" xfId="3884" xr:uid="{7D3964B1-A153-4D68-B53A-44C247DEC8B6}"/>
    <cellStyle name="Normal 5 2 2 2 5 3 2" xfId="3883" xr:uid="{466AC51A-64CB-40A9-BE7B-6515AB228641}"/>
    <cellStyle name="Normal 5 2 2 2 5 4" xfId="3882" xr:uid="{EE390610-3E8F-4383-B482-87FBE9A29E3A}"/>
    <cellStyle name="Normal 5 2 2 2 6" xfId="10245" xr:uid="{78913373-91D7-4FEF-8BC4-67F8579F1368}"/>
    <cellStyle name="Normal 5 2 2 2 6 2" xfId="3881" xr:uid="{0C4CCA0C-8019-409C-90E7-D1A6157E558C}"/>
    <cellStyle name="Normal 5 2 2 2 6 2 2" xfId="32397" xr:uid="{62A82392-B467-457D-81E1-6FA4994BAC39}"/>
    <cellStyle name="Normal 5 2 2 2 6 3" xfId="25781" xr:uid="{E0F27C2D-C98A-4833-A8C6-82B9D1742FDD}"/>
    <cellStyle name="Normal 5 2 2 2 7" xfId="10226" xr:uid="{010EDC11-AB38-4927-BC6E-1325E6EEAB45}"/>
    <cellStyle name="Normal 5 2 2 2 7 2" xfId="3880" xr:uid="{46B27FE0-B7EE-4744-935E-F5F37BF85EB6}"/>
    <cellStyle name="Normal 5 2 2 2 8" xfId="20693" xr:uid="{28AB4BAD-AFEA-42CC-A8B7-1B92A3A4726F}"/>
    <cellStyle name="Normal 5 2 2 3" xfId="3879" xr:uid="{695F36C8-E6AA-45FC-B77B-32B2DC84FEB4}"/>
    <cellStyle name="Normal 5 2 2 3 2" xfId="5293" xr:uid="{CC58BC5E-0121-4383-93BD-6B5CBD5ABA6A}"/>
    <cellStyle name="Normal 5 2 2 3 2 2" xfId="24497" xr:uid="{67E70F52-B954-4476-B112-B865C7D57A79}"/>
    <cellStyle name="Normal 5 2 2 3 2 2 2" xfId="3878" xr:uid="{4233BF81-B377-465E-B510-ADCF22B3A8A8}"/>
    <cellStyle name="Normal 5 2 2 3 2 2 2 2" xfId="3877" xr:uid="{CE0AFBAD-C902-443C-BEB0-F938076641D0}"/>
    <cellStyle name="Normal 5 2 2 3 2 2 2 2 2" xfId="3876" xr:uid="{B9CD2C72-334D-454F-B345-E1DAE47A8F9C}"/>
    <cellStyle name="Normal 5 2 2 3 2 2 2 2 2 2" xfId="3874" xr:uid="{D5CD5AD6-623F-46D3-8198-FBB814EA151C}"/>
    <cellStyle name="Normal 5 2 2 3 2 2 2 2 3" xfId="3873" xr:uid="{07AE8F92-F4E3-4C19-9890-5FC42EBE4FF7}"/>
    <cellStyle name="Normal 5 2 2 3 2 2 2 3" xfId="26756" xr:uid="{6F5C9DB4-93A7-46CD-97C5-E0EDE2E3084F}"/>
    <cellStyle name="Normal 5 2 2 3 2 2 2 3 2" xfId="4749" xr:uid="{4D27DE44-15DC-4291-A7DC-85D6138A4082}"/>
    <cellStyle name="Normal 5 2 2 3 2 2 2 4" xfId="20259" xr:uid="{CE103FE1-9CF0-42ED-882B-3789A28BBEA5}"/>
    <cellStyle name="Normal 5 2 2 3 2 2 3" xfId="3872" xr:uid="{479D45BE-5432-4850-BB36-4681151721D1}"/>
    <cellStyle name="Normal 5 2 2 3 2 2 3 2" xfId="3871" xr:uid="{4986CEE2-BED5-4C29-9852-9BBADA1D5040}"/>
    <cellStyle name="Normal 5 2 2 3 2 2 3 2 2" xfId="3870" xr:uid="{D3DF9A27-F203-42B4-B7E9-D2BD50848F1B}"/>
    <cellStyle name="Normal 5 2 2 3 2 2 3 3" xfId="27634" xr:uid="{4CB28A38-4EC4-4E03-B226-3661D2E528C8}"/>
    <cellStyle name="Normal 5 2 2 3 2 2 4" xfId="19920" xr:uid="{7A76BA4A-740D-4AED-A576-525C61F66630}"/>
    <cellStyle name="Normal 5 2 2 3 2 2 4 2" xfId="3869" xr:uid="{BA9CA8FB-7F00-4AFD-9251-927354F4B59A}"/>
    <cellStyle name="Normal 5 2 2 3 2 2 5" xfId="3868" xr:uid="{2656A5B0-3DA9-406E-9F78-971769D92F19}"/>
    <cellStyle name="Normal 5 2 2 3 2 3" xfId="17989" xr:uid="{4588E0BD-3EC5-41B6-A548-BB45177E8E4D}"/>
    <cellStyle name="Normal 5 2 2 3 2 3 2" xfId="3867" xr:uid="{137CA167-F623-4110-A164-066B66178CA8}"/>
    <cellStyle name="Normal 5 2 2 3 2 3 2 2" xfId="3866" xr:uid="{C18E4290-A9E9-4F39-B05F-8823A16D8C0E}"/>
    <cellStyle name="Normal 5 2 2 3 2 3 2 2 2" xfId="30394" xr:uid="{B9DFF75A-CD36-4654-B7E1-C308435489FD}"/>
    <cellStyle name="Normal 5 2 2 3 2 3 2 3" xfId="31978" xr:uid="{32795319-57D0-405B-843F-56DCE89A6395}"/>
    <cellStyle name="Normal 5 2 2 3 2 3 3" xfId="3865" xr:uid="{978D1A3C-2E00-4BE3-BC07-14555582D5A0}"/>
    <cellStyle name="Normal 5 2 2 3 2 3 3 2" xfId="3864" xr:uid="{E51B4F7F-6F81-46DB-BEF5-D76F84F92E60}"/>
    <cellStyle name="Normal 5 2 2 3 2 3 4" xfId="3863" xr:uid="{7A693FE7-7A99-4E67-89BA-5E41796AD3DB}"/>
    <cellStyle name="Normal 5 2 2 3 2 4" xfId="3862" xr:uid="{FEA25649-03E5-4D18-A269-D6F58E3629FB}"/>
    <cellStyle name="Normal 5 2 2 3 2 4 2" xfId="3861" xr:uid="{059BD5E1-3609-4C6C-B5E3-445296A6A3AE}"/>
    <cellStyle name="Normal 5 2 2 3 2 4 2 2" xfId="3859" xr:uid="{0389749D-BE63-4763-93CD-29195CD52C01}"/>
    <cellStyle name="Normal 5 2 2 3 2 4 3" xfId="3856" xr:uid="{70DB9977-FD3E-46D2-9AD9-7FC938B04D4F}"/>
    <cellStyle name="Normal 5 2 2 3 2 5" xfId="3854" xr:uid="{90F1EBBE-819A-477F-996F-8228FCE93381}"/>
    <cellStyle name="Normal 5 2 2 3 2 5 2" xfId="3853" xr:uid="{C0495C77-0EE4-439A-8ED3-64DFF5615050}"/>
    <cellStyle name="Normal 5 2 2 3 2 6" xfId="5860" xr:uid="{5B3A7A96-64A6-4A54-8739-669BC87C5569}"/>
    <cellStyle name="Normal 5 2 2 3 3" xfId="3851" xr:uid="{6BBAA88E-30BA-429E-BA4F-76E8852FC285}"/>
    <cellStyle name="Normal 5 2 2 3 3 2" xfId="24480" xr:uid="{5BD3C2A6-A929-4253-8401-B92E0323229D}"/>
    <cellStyle name="Normal 5 2 2 3 3 2 2" xfId="3850" xr:uid="{191D6C4C-F5E0-4F57-B6EE-D015569E46FE}"/>
    <cellStyle name="Normal 5 2 2 3 3 2 2 2" xfId="11286" xr:uid="{73223317-23DA-438C-9FB5-B95EE02E4A94}"/>
    <cellStyle name="Normal 5 2 2 3 3 2 2 2 2" xfId="3849" xr:uid="{7486FA41-F029-4EE8-B1EE-3F2DF4C949B5}"/>
    <cellStyle name="Normal 5 2 2 3 3 2 2 3" xfId="20323" xr:uid="{6EF8D9EE-08F8-43B4-8B12-872AC9E6F60D}"/>
    <cellStyle name="Normal 5 2 2 3 3 2 3" xfId="3848" xr:uid="{E596516A-A43A-4299-B6CF-58DD88919C0A}"/>
    <cellStyle name="Normal 5 2 2 3 3 2 3 2" xfId="3847" xr:uid="{19EC73D9-ACDA-44F1-8058-1C574473D285}"/>
    <cellStyle name="Normal 5 2 2 3 3 2 4" xfId="3846" xr:uid="{5E2D9D23-6BDE-43A6-AA3C-642448C16C60}"/>
    <cellStyle name="Normal 5 2 2 3 3 3" xfId="21390" xr:uid="{99F92EF2-939C-4404-994C-CC5115A15491}"/>
    <cellStyle name="Normal 5 2 2 3 3 3 2" xfId="3845" xr:uid="{B0E8C31E-36DA-4AA6-93D0-D388FB4E0A01}"/>
    <cellStyle name="Normal 5 2 2 3 3 3 2 2" xfId="3844" xr:uid="{04B4AD9A-E035-4F4C-A76E-A77147C21A0C}"/>
    <cellStyle name="Normal 5 2 2 3 3 3 3" xfId="3843" xr:uid="{D2C14CA6-F692-419D-BC2B-09D556955E93}"/>
    <cellStyle name="Normal 5 2 2 3 3 4" xfId="3842" xr:uid="{469DF8B5-B646-4DC6-8AE3-99AB8A91D465}"/>
    <cellStyle name="Normal 5 2 2 3 3 4 2" xfId="3841" xr:uid="{6F7955D8-9935-4CE6-A46D-388D46211355}"/>
    <cellStyle name="Normal 5 2 2 3 3 5" xfId="3839" xr:uid="{631C8771-5E7D-4BF1-8325-96B12D04546D}"/>
    <cellStyle name="Normal 5 2 2 3 4" xfId="28948" xr:uid="{D0169CCA-C867-420D-8ED7-0614DBA1624D}"/>
    <cellStyle name="Normal 5 2 2 3 4 2" xfId="6158" xr:uid="{869DB979-7CBE-4862-BC84-7E9A7AB8E9AF}"/>
    <cellStyle name="Normal 5 2 2 3 4 2 2" xfId="27516" xr:uid="{4BDC5F62-49BC-41AE-AF1B-B9E4D84437ED}"/>
    <cellStyle name="Normal 5 2 2 3 4 2 2 2" xfId="3838" xr:uid="{02C61F5F-D92E-430E-8A6F-D54ED3611898}"/>
    <cellStyle name="Normal 5 2 2 3 4 2 3" xfId="3837" xr:uid="{54153619-374F-4BD9-A0A2-C675AA7848EC}"/>
    <cellStyle name="Normal 5 2 2 3 4 3" xfId="6155" xr:uid="{7EF18326-D223-4663-A134-9C2AB39AA87F}"/>
    <cellStyle name="Normal 5 2 2 3 4 3 2" xfId="3835" xr:uid="{B9F571FB-3F39-4994-ABF3-FF2380F0240E}"/>
    <cellStyle name="Normal 5 2 2 3 4 4" xfId="3834" xr:uid="{0405A5F1-AC53-4CE0-B479-AC9E2AE3ABD1}"/>
    <cellStyle name="Normal 5 2 2 3 5" xfId="30917" xr:uid="{6F08BC7A-0519-4F7F-9563-4F04E73ACEF4}"/>
    <cellStyle name="Normal 5 2 2 3 5 2" xfId="6152" xr:uid="{B6D2A6E0-E4A4-4947-AC74-6B19A4BA4073}"/>
    <cellStyle name="Normal 5 2 2 3 5 2 2" xfId="3833" xr:uid="{9F09F741-DE1D-49E6-AD4E-95F7F80BA224}"/>
    <cellStyle name="Normal 5 2 2 3 5 3" xfId="3832" xr:uid="{6F13C0E9-8405-47EC-925C-773590DF0E83}"/>
    <cellStyle name="Normal 5 2 2 3 6" xfId="10207" xr:uid="{BBF4C81C-15CF-4F3B-A1A7-E59414D70603}"/>
    <cellStyle name="Normal 5 2 2 3 6 2" xfId="3831" xr:uid="{401B15B4-0545-4975-866A-4676FF023E77}"/>
    <cellStyle name="Normal 5 2 2 3 7" xfId="10203" xr:uid="{D1ACB3D0-B899-4BD6-BDB3-BAE44502216A}"/>
    <cellStyle name="Normal 5 2 2 4" xfId="3830" xr:uid="{D100132D-2FA5-4150-A134-B7A0CBD5410F}"/>
    <cellStyle name="Normal 5 2 2 4 2" xfId="18888" xr:uid="{89AE245A-A1AD-4BB1-AF51-5906AF546506}"/>
    <cellStyle name="Normal 5 2 2 4 2 2" xfId="31406" xr:uid="{2AB58DE6-067A-40F7-A76C-BC79611632F9}"/>
    <cellStyle name="Normal 5 2 2 4 2 2 2" xfId="3829" xr:uid="{89007FE3-F58D-4FFA-9D2F-9A232242759C}"/>
    <cellStyle name="Normal 5 2 2 4 2 2 2 2" xfId="3828" xr:uid="{A96A7D00-9D93-419D-85F9-D0418843195F}"/>
    <cellStyle name="Normal 5 2 2 4 2 2 2 2 2" xfId="3827" xr:uid="{1018E209-E8F3-48BF-80A6-07C7DBB71103}"/>
    <cellStyle name="Normal 5 2 2 4 2 2 2 3" xfId="18465" xr:uid="{C1B7FA68-5723-4456-903F-32705576EB35}"/>
    <cellStyle name="Normal 5 2 2 4 2 2 3" xfId="3826" xr:uid="{187038A1-E9A9-4EAD-98E9-23CFF3F5BC03}"/>
    <cellStyle name="Normal 5 2 2 4 2 2 3 2" xfId="3825" xr:uid="{60D9E8D3-0CC7-4B7E-BED8-110A66EB3D7E}"/>
    <cellStyle name="Normal 5 2 2 4 2 2 4" xfId="3824" xr:uid="{066926F4-370C-47EA-8803-D86835D2A11C}"/>
    <cellStyle name="Normal 5 2 2 4 2 3" xfId="3823" xr:uid="{522CB6DE-4B18-4E6F-8267-9F061C1ACA61}"/>
    <cellStyle name="Normal 5 2 2 4 2 3 2" xfId="3822" xr:uid="{1080B6C4-6BDF-460F-A92E-44A59B9EC626}"/>
    <cellStyle name="Normal 5 2 2 4 2 3 2 2" xfId="3821" xr:uid="{31FD2766-11C3-47F3-9309-F6F8F69089BA}"/>
    <cellStyle name="Normal 5 2 2 4 2 3 3" xfId="3820" xr:uid="{16D4E205-AD18-4199-8900-F9FBCA13C9D4}"/>
    <cellStyle name="Normal 5 2 2 4 2 4" xfId="3819" xr:uid="{39A0D91D-44E4-41F9-9FDE-0C460AD3B3AC}"/>
    <cellStyle name="Normal 5 2 2 4 2 4 2" xfId="16533" xr:uid="{E845B6AA-305F-4415-8DF6-E22F3240973A}"/>
    <cellStyle name="Normal 5 2 2 4 2 5" xfId="3818" xr:uid="{4B87E20C-7AD1-4E6D-BB98-3F97B2CB16B6}"/>
    <cellStyle name="Normal 5 2 2 4 3" xfId="27226" xr:uid="{F2FBB9C0-2763-4F64-954B-832AB0CA6E84}"/>
    <cellStyle name="Normal 5 2 2 4 3 2" xfId="3817" xr:uid="{9119A024-B334-4793-8930-C77D6D24BD49}"/>
    <cellStyle name="Normal 5 2 2 4 3 2 2" xfId="3816" xr:uid="{E15725A0-69E9-4FAE-B20D-61E39300815A}"/>
    <cellStyle name="Normal 5 2 2 4 3 2 2 2" xfId="11177" xr:uid="{2824121B-3D6C-4C88-B96D-ED54B2B642C3}"/>
    <cellStyle name="Normal 5 2 2 4 3 2 3" xfId="3815" xr:uid="{F8988BD1-5F31-4F4C-AF7D-C866310CCFFE}"/>
    <cellStyle name="Normal 5 2 2 4 3 3" xfId="3814" xr:uid="{683130F3-A02C-47BC-9588-8F6E66DC0F6B}"/>
    <cellStyle name="Normal 5 2 2 4 3 3 2" xfId="3813" xr:uid="{DA73CDC3-EEB4-4500-9C59-E68CECF89DA5}"/>
    <cellStyle name="Normal 5 2 2 4 3 4" xfId="3812" xr:uid="{1D5916D3-40EA-45FB-B710-F36BDF3314D0}"/>
    <cellStyle name="Normal 5 2 2 4 4" xfId="29558" xr:uid="{09A88D65-F337-4D27-872D-86E8EF1FA19E}"/>
    <cellStyle name="Normal 5 2 2 4 4 2" xfId="30792" xr:uid="{5354775A-FFA9-42E7-954B-25B4FC3E091B}"/>
    <cellStyle name="Normal 5 2 2 4 4 2 2" xfId="3811" xr:uid="{081A8933-94FC-4BE2-9CBD-489125F6AC83}"/>
    <cellStyle name="Normal 5 2 2 4 4 3" xfId="3810" xr:uid="{227EB966-B6FB-43FF-AB28-CCCAEFEFB5C6}"/>
    <cellStyle name="Normal 5 2 2 4 5" xfId="30896" xr:uid="{1420BF0B-4B7E-4F3B-8AB0-86D1952675C6}"/>
    <cellStyle name="Normal 5 2 2 4 5 2" xfId="3809" xr:uid="{3D0CC5AF-ED89-4A8B-B6FD-5ED5ACDBAD92}"/>
    <cellStyle name="Normal 5 2 2 4 6" xfId="21969" xr:uid="{0A37591A-8589-48E5-81DA-72C8C534BFEB}"/>
    <cellStyle name="Normal 5 2 2 5" xfId="3808" xr:uid="{506B9F96-5E42-4D69-86D2-C2EEE28DCC20}"/>
    <cellStyle name="Normal 5 2 2 5 2" xfId="29663" xr:uid="{F342EDB7-F096-4C66-99D1-3D5CA74F156F}"/>
    <cellStyle name="Normal 5 2 2 5 2 2" xfId="3807" xr:uid="{1886DA1D-3551-4CE9-BDA3-CC3914842029}"/>
    <cellStyle name="Normal 5 2 2 5 2 2 2" xfId="3806" xr:uid="{7191A918-1145-47BF-8A95-5DA0AA43CFD8}"/>
    <cellStyle name="Normal 5 2 2 5 2 2 2 2" xfId="3804" xr:uid="{CB7C6B94-41B0-444C-8C4D-93482FFF895E}"/>
    <cellStyle name="Normal 5 2 2 5 2 2 3" xfId="15344" xr:uid="{04217ED6-712E-445C-9A93-A481C1B7E5B0}"/>
    <cellStyle name="Normal 5 2 2 5 2 3" xfId="17993" xr:uid="{84474EA9-88C8-42AB-A1D2-ECBFBDDB2AB2}"/>
    <cellStyle name="Normal 5 2 2 5 2 3 2" xfId="4513" xr:uid="{81B3A719-A51C-43CF-8FD3-C24734A6A538}"/>
    <cellStyle name="Normal 5 2 2 5 2 4" xfId="27198" xr:uid="{F3A3725C-77DC-4B34-9851-7E01B05B376A}"/>
    <cellStyle name="Normal 5 2 2 5 3" xfId="3802" xr:uid="{E03D3115-4C02-4C95-AEA9-78C96D24F89D}"/>
    <cellStyle name="Normal 5 2 2 5 3 2" xfId="3801" xr:uid="{4E75F230-4BA7-4DDF-ABC6-0D90B7FF88F9}"/>
    <cellStyle name="Normal 5 2 2 5 3 2 2" xfId="3800" xr:uid="{892F4335-9EF0-45CF-93BE-D596BDD850FE}"/>
    <cellStyle name="Normal 5 2 2 5 3 3" xfId="33604" xr:uid="{7B8535F2-A0E3-471D-919C-849B5517A358}"/>
    <cellStyle name="Normal 5 2 2 5 4" xfId="31812" xr:uid="{9BE3EBB7-E225-432A-8998-D925743C8146}"/>
    <cellStyle name="Normal 5 2 2 5 4 2" xfId="3798" xr:uid="{A5D2F990-4EBA-4377-A520-AE084B46C838}"/>
    <cellStyle name="Normal 5 2 2 5 5" xfId="3797" xr:uid="{298FC5C9-2D4B-4D81-A199-523889CD7632}"/>
    <cellStyle name="Normal 5 2 2 6" xfId="3796" xr:uid="{17B36098-7296-42E8-8986-C559A96548EA}"/>
    <cellStyle name="Normal 5 2 2 6 2" xfId="3795" xr:uid="{5CA1DF77-60D9-4D81-912F-50782CA0D3E9}"/>
    <cellStyle name="Normal 5 2 2 6 2 2" xfId="3794" xr:uid="{8B52050B-C1ED-44C5-97B3-07D7675A263B}"/>
    <cellStyle name="Normal 5 2 2 6 2 2 2" xfId="3793" xr:uid="{D6FF3A43-77EE-4CF5-B876-62D8DB26EEDA}"/>
    <cellStyle name="Normal 5 2 2 6 2 3" xfId="17944" xr:uid="{D33B417D-8C53-4E1C-8E62-A20B6006D0B1}"/>
    <cellStyle name="Normal 5 2 2 6 3" xfId="3791" xr:uid="{44D3A75C-7F15-47DE-BDC1-D0243DA73FDA}"/>
    <cellStyle name="Normal 5 2 2 6 3 2" xfId="3790" xr:uid="{996E6D6B-6E3D-48E7-8C3F-DE115EF5107F}"/>
    <cellStyle name="Normal 5 2 2 6 4" xfId="20271" xr:uid="{0360F403-E774-4B4D-A992-CA2C93724C25}"/>
    <cellStyle name="Normal 5 2 2 7" xfId="3789" xr:uid="{01685ACE-C6D6-4CA3-ADD3-5A318C779F1D}"/>
    <cellStyle name="Normal 5 2 2 7 2" xfId="3788" xr:uid="{9F99D949-DFB2-4815-839B-8908F1AC270A}"/>
    <cellStyle name="Normal 5 2 2 7 2 2" xfId="3787" xr:uid="{9E14CF28-A68A-44B7-B3E0-730DEBF1B6C1}"/>
    <cellStyle name="Normal 5 2 2 7 3" xfId="3786" xr:uid="{87392386-D147-462A-94F2-BD820AC984BB}"/>
    <cellStyle name="Normal 5 2 2 8" xfId="3785" xr:uid="{EB28BF23-3086-4E52-9A07-FBFB79728124}"/>
    <cellStyle name="Normal 5 2 2 8 2" xfId="3784" xr:uid="{B6F3C237-93F7-477F-99D9-6EEE08C62F41}"/>
    <cellStyle name="Normal 5 2 2 9" xfId="3783" xr:uid="{3BFB8806-8B77-4219-BF82-8C65D5744C0C}"/>
    <cellStyle name="Normal 5 2 20" xfId="4012" xr:uid="{6756BF70-0D44-4F98-9BD1-9F2F8EA8DFB0}"/>
    <cellStyle name="Normal 5 2 3" xfId="3782" xr:uid="{12D6E004-9628-4C50-9314-55AC3F611CD4}"/>
    <cellStyle name="Normal 5 2 3 2" xfId="3781" xr:uid="{B3E7C554-1E96-47FA-BEDD-0786E47490AD}"/>
    <cellStyle name="Normal 5 2 3 2 2" xfId="5285" xr:uid="{B0B30DC0-50EC-4819-92C3-1A0FE0C3EC64}"/>
    <cellStyle name="Normal 5 2 3 2 2 2" xfId="23964" xr:uid="{668126D7-CD61-42E5-A356-F305FA4CDD1E}"/>
    <cellStyle name="Normal 5 2 3 2 2 2 2" xfId="3780" xr:uid="{8DED6BB7-4E71-4C70-A7B2-3CE6F93F697A}"/>
    <cellStyle name="Normal 5 2 3 2 2 2 2 2" xfId="3779" xr:uid="{78C60A76-5A03-4816-9648-8A7DF71D1B41}"/>
    <cellStyle name="Normal 5 2 3 2 2 2 2 2 2" xfId="15217" xr:uid="{9B99735E-312E-4687-B265-37BB6FF0AC08}"/>
    <cellStyle name="Normal 5 2 3 2 2 2 2 2 2 2" xfId="3778" xr:uid="{18079165-290A-4397-BC0E-72BA8B597700}"/>
    <cellStyle name="Normal 5 2 3 2 2 2 2 2 3" xfId="3777" xr:uid="{B63AB744-ADA7-4204-B668-1AB9295A3DDA}"/>
    <cellStyle name="Normal 5 2 3 2 2 2 2 3" xfId="28794" xr:uid="{A248F177-0FEF-4631-8A47-10AE2B0061B9}"/>
    <cellStyle name="Normal 5 2 3 2 2 2 2 3 2" xfId="3776" xr:uid="{435AFFB1-E356-4BC3-9261-BAA42CF25216}"/>
    <cellStyle name="Normal 5 2 3 2 2 2 2 4" xfId="9175" xr:uid="{DC3FA026-7702-448E-8A3B-8BB668660CC3}"/>
    <cellStyle name="Normal 5 2 3 2 2 2 3" xfId="10843" xr:uid="{8DF5544F-DE90-4539-9E7F-988B3886A3F3}"/>
    <cellStyle name="Normal 5 2 3 2 2 2 3 2" xfId="3775" xr:uid="{38160846-FFE7-4B88-AA7C-7E76CFF1DE86}"/>
    <cellStyle name="Normal 5 2 3 2 2 2 3 2 2" xfId="3774" xr:uid="{EE60FE03-D79A-430C-91A1-725AE6DDB514}"/>
    <cellStyle name="Normal 5 2 3 2 2 2 3 3" xfId="28290" xr:uid="{51C74FEF-CF79-4489-B47C-AA8ECA628D8D}"/>
    <cellStyle name="Normal 5 2 3 2 2 2 4" xfId="26458" xr:uid="{D0E6E691-2E37-440E-90E9-DDFAADED722F}"/>
    <cellStyle name="Normal 5 2 3 2 2 2 4 2" xfId="23690" xr:uid="{7EB84DAA-11D6-4155-816F-2FE7D5921676}"/>
    <cellStyle name="Normal 5 2 3 2 2 2 5" xfId="3773" xr:uid="{7B8EBCE4-784D-4458-BC15-657FD77CC7B0}"/>
    <cellStyle name="Normal 5 2 3 2 2 3" xfId="24458" xr:uid="{DB346D23-2907-486E-93AE-B4861AD638EF}"/>
    <cellStyle name="Normal 5 2 3 2 2 3 2" xfId="3772" xr:uid="{5E154AF5-5883-4C30-A2CB-F2AAF3917BF7}"/>
    <cellStyle name="Normal 5 2 3 2 2 3 2 2" xfId="33021" xr:uid="{189A0792-61B5-4C71-ABC6-4E6B93DADC37}"/>
    <cellStyle name="Normal 5 2 3 2 2 3 2 2 2" xfId="3771" xr:uid="{1F8AD572-C9C5-4B7B-99D9-1D1D1CC3A321}"/>
    <cellStyle name="Normal 5 2 3 2 2 3 2 3" xfId="6515" xr:uid="{DF948E21-0077-45C9-933E-85A5FA9FAC3D}"/>
    <cellStyle name="Normal 5 2 3 2 2 3 3" xfId="3769" xr:uid="{53FD5F8D-232F-4818-BEB6-C95069E3448D}"/>
    <cellStyle name="Normal 5 2 3 2 2 3 3 2" xfId="3767" xr:uid="{B447A7B3-E9E3-4A73-B312-FB200218F256}"/>
    <cellStyle name="Normal 5 2 3 2 2 3 4" xfId="4252" xr:uid="{9C034910-3AB8-48C5-BDB2-B48F11A18946}"/>
    <cellStyle name="Normal 5 2 3 2 2 4" xfId="3766" xr:uid="{D3E7F1BE-2069-490B-A7B7-5CDA3B2DB010}"/>
    <cellStyle name="Normal 5 2 3 2 2 4 2" xfId="3765" xr:uid="{24AC9F5A-30C1-4B2B-B786-4190728CDF51}"/>
    <cellStyle name="Normal 5 2 3 2 2 4 2 2" xfId="3763" xr:uid="{6131037B-6CC1-4F7D-9245-AFEF01C98C77}"/>
    <cellStyle name="Normal 5 2 3 2 2 4 3" xfId="3761" xr:uid="{1C8061BD-E4FE-41CD-838C-06763C4165C7}"/>
    <cellStyle name="Normal 5 2 3 2 2 5" xfId="27834" xr:uid="{5008F546-8164-42D5-A30E-93D5E8F76C5C}"/>
    <cellStyle name="Normal 5 2 3 2 2 5 2" xfId="21652" xr:uid="{68F68A5A-BFA8-4743-96E8-3B9D7DD1DA39}"/>
    <cellStyle name="Normal 5 2 3 2 2 6" xfId="3759" xr:uid="{DC166EC6-39B7-43FF-BA16-6144A260EC77}"/>
    <cellStyle name="Normal 5 2 3 2 3" xfId="3758" xr:uid="{DDCEB8E6-8AA8-453D-87B6-A7B6EFE2E498}"/>
    <cellStyle name="Normal 5 2 3 2 3 2" xfId="24454" xr:uid="{8F4BFDD3-0669-45BB-AE1C-F7EE5A238975}"/>
    <cellStyle name="Normal 5 2 3 2 3 2 2" xfId="3757" xr:uid="{4E9A6FEE-E9F4-461A-9D80-D15694C09DEB}"/>
    <cellStyle name="Normal 5 2 3 2 3 2 2 2" xfId="24872" xr:uid="{65E79CCA-3661-4D74-BBAB-596BCF79288A}"/>
    <cellStyle name="Normal 5 2 3 2 3 2 2 2 2" xfId="3756" xr:uid="{F1C26ECD-670A-42F6-B079-A65CE42AF8ED}"/>
    <cellStyle name="Normal 5 2 3 2 3 2 2 3" xfId="26482" xr:uid="{1A4B6F22-7DB5-4D9D-A3CA-7170DB070C48}"/>
    <cellStyle name="Normal 5 2 3 2 3 2 3" xfId="3755" xr:uid="{547B5F14-AD0D-41BB-8FD3-70D93BE6844E}"/>
    <cellStyle name="Normal 5 2 3 2 3 2 3 2" xfId="3754" xr:uid="{1CD292E6-9D61-432C-8402-5FE1B96C13B4}"/>
    <cellStyle name="Normal 5 2 3 2 3 2 4" xfId="3752" xr:uid="{7E5EAAFF-560B-491C-A69C-0705C71BF041}"/>
    <cellStyle name="Normal 5 2 3 2 3 3" xfId="3751" xr:uid="{21378076-354D-4616-924F-7B57538E9A20}"/>
    <cellStyle name="Normal 5 2 3 2 3 3 2" xfId="3750" xr:uid="{2890BA55-58C2-4ECC-B7F7-BA28F73CB624}"/>
    <cellStyle name="Normal 5 2 3 2 3 3 2 2" xfId="3749" xr:uid="{9E131193-C241-4E70-BA17-D4464546EC5C}"/>
    <cellStyle name="Normal 5 2 3 2 3 3 3" xfId="3748" xr:uid="{B02F5DD8-96FD-47FA-887B-9074579C6702}"/>
    <cellStyle name="Normal 5 2 3 2 3 4" xfId="3747" xr:uid="{C32F408E-A21E-4ADC-855F-1D3BF7065860}"/>
    <cellStyle name="Normal 5 2 3 2 3 4 2" xfId="3746" xr:uid="{92185466-A4A2-4D47-A1A7-9D5A43F149A5}"/>
    <cellStyle name="Normal 5 2 3 2 3 5" xfId="3744" xr:uid="{E0D7AA2A-26D6-4FB5-9E90-6082C7EDA310}"/>
    <cellStyle name="Normal 5 2 3 2 4" xfId="3743" xr:uid="{A3A6ED7A-B8A8-477E-9E10-36FDD7EA9F94}"/>
    <cellStyle name="Normal 5 2 3 2 4 2" xfId="3742" xr:uid="{60C7AF75-4056-4F58-A584-ACB28AA9CC6A}"/>
    <cellStyle name="Normal 5 2 3 2 4 2 2" xfId="27423" xr:uid="{A11DFC98-E685-469A-B831-2531B06191FE}"/>
    <cellStyle name="Normal 5 2 3 2 4 2 2 2" xfId="3768" xr:uid="{1DB6CF6A-5905-4C95-BD15-7ADB00E3D1EC}"/>
    <cellStyle name="Normal 5 2 3 2 4 2 3" xfId="3741" xr:uid="{701CBBDF-04D7-4073-B5B8-0DEACF08CBF2}"/>
    <cellStyle name="Normal 5 2 3 2 4 3" xfId="3739" xr:uid="{A1BE372B-3AD7-47CB-9977-C74DF2387462}"/>
    <cellStyle name="Normal 5 2 3 2 4 3 2" xfId="3738" xr:uid="{A443025E-A04E-45C6-9BAB-17B0AB6E4868}"/>
    <cellStyle name="Normal 5 2 3 2 4 4" xfId="34171" xr:uid="{CC8C5497-443D-495A-B973-303D661F1B20}"/>
    <cellStyle name="Normal 5 2 3 2 5" xfId="3737" xr:uid="{B0C9CBED-4691-4DCC-AEAC-BE99B051DCCF}"/>
    <cellStyle name="Normal 5 2 3 2 5 2" xfId="3736" xr:uid="{73CB30BD-04A1-4757-B5C5-D91E18A948F0}"/>
    <cellStyle name="Normal 5 2 3 2 5 2 2" xfId="3735" xr:uid="{7EC07D77-DE8F-43EF-BD03-1A9884E42AB8}"/>
    <cellStyle name="Normal 5 2 3 2 5 3" xfId="3734" xr:uid="{4FB6B478-FD33-49C9-9C16-7A948EC1610C}"/>
    <cellStyle name="Normal 5 2 3 2 6" xfId="10177" xr:uid="{5398E40E-EF23-4B2E-B915-FA3E3EEA9294}"/>
    <cellStyle name="Normal 5 2 3 2 6 2" xfId="3733" xr:uid="{491264EB-45C3-4FEA-B142-9141B95692CF}"/>
    <cellStyle name="Normal 5 2 3 2 7" xfId="10169" xr:uid="{3D7154F3-992E-4D5E-8E59-209AB2D295CA}"/>
    <cellStyle name="Normal 5 2 3 3" xfId="3732" xr:uid="{E03B1C15-0870-407F-B6D9-9DDC88F6763C}"/>
    <cellStyle name="Normal 5 2 3 3 2" xfId="3731" xr:uid="{4FFE70CD-074A-41BC-8F3D-DA3CC353C6D2}"/>
    <cellStyle name="Normal 5 2 3 3 2 2" xfId="24448" xr:uid="{C7083FA0-F543-420A-9CF1-308D3D4CEE54}"/>
    <cellStyle name="Normal 5 2 3 3 2 2 2" xfId="3730" xr:uid="{D16FDA88-8DC2-42F8-B008-66D4F83AEEF1}"/>
    <cellStyle name="Normal 5 2 3 3 2 2 2 2" xfId="3729" xr:uid="{8588EF0F-84CC-4502-BEAC-908272ADA30E}"/>
    <cellStyle name="Normal 5 2 3 3 2 2 2 2 2" xfId="3728" xr:uid="{D8560991-AD5E-42A2-9367-CCB1656E15CA}"/>
    <cellStyle name="Normal 5 2 3 3 2 2 2 3" xfId="28609" xr:uid="{97E757AB-92EC-4BD9-BCC2-490CC643B607}"/>
    <cellStyle name="Normal 5 2 3 3 2 2 3" xfId="3727" xr:uid="{5C13AEE1-71DE-46D5-B2C5-8ECE7548B5BC}"/>
    <cellStyle name="Normal 5 2 3 3 2 2 3 2" xfId="3726" xr:uid="{EA93DC72-8C7A-4B6E-84B9-3D22C9E10D6D}"/>
    <cellStyle name="Normal 5 2 3 3 2 2 4" xfId="4242" xr:uid="{CEFDBED6-005C-429B-BD3E-0AA439AA5CE1}"/>
    <cellStyle name="Normal 5 2 3 3 2 3" xfId="3725" xr:uid="{9EDCF80A-C488-475A-8B78-A39345CC75F4}"/>
    <cellStyle name="Normal 5 2 3 3 2 3 2" xfId="3724" xr:uid="{EE6031A3-724B-4F90-9CB4-9C049BE286F5}"/>
    <cellStyle name="Normal 5 2 3 3 2 3 2 2" xfId="12818" xr:uid="{390FC668-BF25-4DCC-AC97-A884C98C4D9B}"/>
    <cellStyle name="Normal 5 2 3 3 2 3 3" xfId="3723" xr:uid="{B5D6E530-2D7B-43FA-A6AB-82D6E2C0B207}"/>
    <cellStyle name="Normal 5 2 3 3 2 4" xfId="3722" xr:uid="{9A2B2DBE-BDBD-43D5-BFD2-A9CF2567B829}"/>
    <cellStyle name="Normal 5 2 3 3 2 4 2" xfId="3720" xr:uid="{D2D32B75-554F-4891-A383-1C55E0193992}"/>
    <cellStyle name="Normal 5 2 3 3 2 5" xfId="3717" xr:uid="{86FAFBF7-2C1B-4A28-9BE2-9B8CB5F75574}"/>
    <cellStyle name="Normal 5 2 3 3 3" xfId="3715" xr:uid="{7D68F068-B8FE-46DA-BE6A-BC37CADF940F}"/>
    <cellStyle name="Normal 5 2 3 3 3 2" xfId="3714" xr:uid="{A2A1734A-1C3D-449B-ACE0-7B17166E7C16}"/>
    <cellStyle name="Normal 5 2 3 3 3 2 2" xfId="3713" xr:uid="{6C2BE34C-0AF7-47C3-AAAB-15A64D49DBC5}"/>
    <cellStyle name="Normal 5 2 3 3 3 2 2 2" xfId="3712" xr:uid="{CEC9D86F-B317-4737-91F4-774DCDB06646}"/>
    <cellStyle name="Normal 5 2 3 3 3 2 3" xfId="3711" xr:uid="{46DC30B0-B2E4-4A8A-AAF5-CAA4593839E2}"/>
    <cellStyle name="Normal 5 2 3 3 3 3" xfId="5550" xr:uid="{D48223C6-2C8C-4508-B9B0-1F1CE0FE6961}"/>
    <cellStyle name="Normal 5 2 3 3 3 3 2" xfId="5548" xr:uid="{F490D419-8196-4DCC-A615-AC1BC9A79549}"/>
    <cellStyle name="Normal 5 2 3 3 3 4" xfId="26155" xr:uid="{CD751B86-7915-4312-B942-44764E1738F1}"/>
    <cellStyle name="Normal 5 2 3 3 4" xfId="22331" xr:uid="{8B163F51-BCC6-4900-B4CA-359C9D80EA93}"/>
    <cellStyle name="Normal 5 2 3 3 4 2" xfId="33813" xr:uid="{65CFEF77-432F-4921-A554-F1A8896C0E30}"/>
    <cellStyle name="Normal 5 2 3 3 4 2 2" xfId="3710" xr:uid="{6196EFFC-9AD2-4C26-B959-8560744A8FD7}"/>
    <cellStyle name="Normal 5 2 3 3 4 3" xfId="3709" xr:uid="{65B681DB-FCEB-4CEF-B515-E52B06205729}"/>
    <cellStyle name="Normal 5 2 3 3 5" xfId="27838" xr:uid="{ABBD9132-A473-4DB5-AB1D-4CA41F4C60AC}"/>
    <cellStyle name="Normal 5 2 3 3 5 2" xfId="3708" xr:uid="{C48D6056-AF69-4AD3-9201-23D567F52693}"/>
    <cellStyle name="Normal 5 2 3 3 6" xfId="10156" xr:uid="{8BE609DF-8478-4F95-9039-53C74D824CE4}"/>
    <cellStyle name="Normal 5 2 3 4" xfId="3707" xr:uid="{90327CAB-E4EF-4C20-BE97-0F1B52369CF6}"/>
    <cellStyle name="Normal 5 2 3 4 2" xfId="16866" xr:uid="{D2988BFC-076C-43E3-B7B0-F30C9BA5A6B2}"/>
    <cellStyle name="Normal 5 2 3 4 2 2" xfId="16862" xr:uid="{A53922DF-1C3A-4414-969F-DF60F0AA5210}"/>
    <cellStyle name="Normal 5 2 3 4 2 2 2" xfId="3706" xr:uid="{E9683F26-AC9B-497C-AADD-92D4DC0DAE83}"/>
    <cellStyle name="Normal 5 2 3 4 2 2 2 2" xfId="3705" xr:uid="{575A8D9D-B5E2-469C-A487-ABFCC00510D5}"/>
    <cellStyle name="Normal 5 2 3 4 2 2 3" xfId="31760" xr:uid="{58151021-D665-4F77-8CEB-F493D513D30B}"/>
    <cellStyle name="Normal 5 2 3 4 2 3" xfId="3704" xr:uid="{AB205479-A243-4C8D-A74A-D85168F53E55}"/>
    <cellStyle name="Normal 5 2 3 4 2 3 2" xfId="31011" xr:uid="{FEE46AFD-8640-4D51-A6ED-C37FC3D87750}"/>
    <cellStyle name="Normal 5 2 3 4 2 4" xfId="3702" xr:uid="{000C1C1B-E25C-40A0-9CEC-68EA9D5022E2}"/>
    <cellStyle name="Normal 5 2 3 4 3" xfId="16860" xr:uid="{2EE2DE91-B18E-4CE1-8138-2375B0ED5073}"/>
    <cellStyle name="Normal 5 2 3 4 3 2" xfId="3700" xr:uid="{65ECEB56-A0C2-4E5C-A785-FEB0280C6141}"/>
    <cellStyle name="Normal 5 2 3 4 3 2 2" xfId="3698" xr:uid="{0356745B-DFE5-40E6-9C04-96E934DCE73A}"/>
    <cellStyle name="Normal 5 2 3 4 3 3" xfId="3696" xr:uid="{6F092C77-D229-40A8-A05E-17008E8E5A90}"/>
    <cellStyle name="Normal 5 2 3 4 4" xfId="27773" xr:uid="{7D5FF135-CADB-4A39-90BD-21AAD5EF92C3}"/>
    <cellStyle name="Normal 5 2 3 4 4 2" xfId="3694" xr:uid="{7B46030B-64C7-428A-BDDA-8D0C736C7724}"/>
    <cellStyle name="Normal 5 2 3 4 5" xfId="3692" xr:uid="{84BACC31-C677-4F2A-82F2-11C1230632C9}"/>
    <cellStyle name="Normal 5 2 3 5" xfId="3691" xr:uid="{F1D5497F-EC82-4BE9-954B-84E9D9557C88}"/>
    <cellStyle name="Normal 5 2 3 5 2" xfId="33940" xr:uid="{E91926C3-6633-4DD1-A659-5D5D1B97B912}"/>
    <cellStyle name="Normal 5 2 3 5 2 2" xfId="3690" xr:uid="{04A9548E-02ED-4137-8C5B-F8DA5FD8FF5F}"/>
    <cellStyle name="Normal 5 2 3 5 2 2 2" xfId="3689" xr:uid="{23246027-EC11-4865-B92E-862B433916D2}"/>
    <cellStyle name="Normal 5 2 3 5 2 3" xfId="17900" xr:uid="{A05A3F83-D083-437A-93E4-12677F05D67C}"/>
    <cellStyle name="Normal 5 2 3 5 3" xfId="3688" xr:uid="{5B7B4C7A-1253-4E11-B807-BB259F2934A0}"/>
    <cellStyle name="Normal 5 2 3 5 3 2" xfId="3687" xr:uid="{12B14909-28DE-4AF3-88C9-90B30A552A60}"/>
    <cellStyle name="Normal 5 2 3 5 4" xfId="3685" xr:uid="{54912D37-2379-424E-9B30-D3864E4E154F}"/>
    <cellStyle name="Normal 5 2 3 6" xfId="3684" xr:uid="{9DE027EA-3A00-4D64-B2F9-293145928838}"/>
    <cellStyle name="Normal 5 2 3 6 2" xfId="3683" xr:uid="{D990BAE8-50A3-4401-988F-4EB767640A96}"/>
    <cellStyle name="Normal 5 2 3 6 2 2" xfId="3682" xr:uid="{0A3C7AE5-753E-4091-BE7F-F58E808CFC03}"/>
    <cellStyle name="Normal 5 2 3 6 3" xfId="3681" xr:uid="{B57B062B-215E-451D-8ECC-193F698812F1}"/>
    <cellStyle name="Normal 5 2 3 7" xfId="3680" xr:uid="{10CD6668-1A2B-44E7-8930-5B746F148902}"/>
    <cellStyle name="Normal 5 2 3 7 2" xfId="3679" xr:uid="{477F24C9-074D-4708-A4D0-A3E0A27918E9}"/>
    <cellStyle name="Normal 5 2 3 8" xfId="3678" xr:uid="{FC3BB154-4E68-4277-A066-7231CC92F817}"/>
    <cellStyle name="Normal 5 2 4" xfId="26283" xr:uid="{131D9209-4C11-46B7-AE6A-899F46EB2B51}"/>
    <cellStyle name="Normal 5 2 4 2" xfId="32278" xr:uid="{53750B36-3843-4D52-86E2-0261211D1FA9}"/>
    <cellStyle name="Normal 5 2 4 2 2" xfId="22007" xr:uid="{0357A036-230C-48AD-9F64-0B669C8AA793}"/>
    <cellStyle name="Normal 5 2 4 2 2 2" xfId="24440" xr:uid="{6804A72E-44F8-4AB4-B683-6E1AA33C812A}"/>
    <cellStyle name="Normal 5 2 4 2 2 2 2" xfId="3677" xr:uid="{6B06DF3C-A721-4BE6-8606-0378941ACAFC}"/>
    <cellStyle name="Normal 5 2 4 2 2 2 2 2" xfId="3676" xr:uid="{8BA67B27-FDFC-4FF0-9EF7-BD8F0242CCBE}"/>
    <cellStyle name="Normal 5 2 4 2 2 2 2 2 2" xfId="7733" xr:uid="{5E0895EF-6F68-452E-8D9C-9CC1F2663451}"/>
    <cellStyle name="Normal 5 2 4 2 2 2 2 3" xfId="32833" xr:uid="{9FC63AAD-4BBF-4921-94D9-713FCD3EF2B5}"/>
    <cellStyle name="Normal 5 2 4 2 2 2 3" xfId="3675" xr:uid="{59BBD6C3-851B-4BFE-ACDB-D28A42933450}"/>
    <cellStyle name="Normal 5 2 4 2 2 2 3 2" xfId="3674" xr:uid="{48367737-23D3-4E3A-8169-12EE95E16C6E}"/>
    <cellStyle name="Normal 5 2 4 2 2 2 4" xfId="18192" xr:uid="{0AF6168A-3D37-4A65-8034-B37D2C084361}"/>
    <cellStyle name="Normal 5 2 4 2 2 3" xfId="26370" xr:uid="{7144FF4B-65C9-4570-8958-51A1714D4A79}"/>
    <cellStyle name="Normal 5 2 4 2 2 3 2" xfId="3673" xr:uid="{61A25FE7-D2AD-43C0-B3EE-8E540867C034}"/>
    <cellStyle name="Normal 5 2 4 2 2 3 2 2" xfId="3672" xr:uid="{16C83B9C-C636-4BA8-BEE5-95B9D3BAD9A9}"/>
    <cellStyle name="Normal 5 2 4 2 2 3 3" xfId="14211" xr:uid="{A2E5D624-8DB9-4132-88EC-311A157BA834}"/>
    <cellStyle name="Normal 5 2 4 2 2 4" xfId="25845" xr:uid="{C3CA64BC-0AA7-4AE3-8A65-3741F3105290}"/>
    <cellStyle name="Normal 5 2 4 2 2 4 2" xfId="3671" xr:uid="{9697AAEF-22BB-4AA1-BD28-89CF99A05329}"/>
    <cellStyle name="Normal 5 2 4 2 2 5" xfId="3669" xr:uid="{EDE840D8-A936-4DC2-B21C-A321AF60D095}"/>
    <cellStyle name="Normal 5 2 4 2 3" xfId="31520" xr:uid="{95A78AE7-EFD4-4683-A9FD-246A727E2418}"/>
    <cellStyle name="Normal 5 2 4 2 3 2" xfId="28234" xr:uid="{554EA699-58BA-4DCA-8027-DDE52762FC0C}"/>
    <cellStyle name="Normal 5 2 4 2 3 2 2" xfId="8209" xr:uid="{EF49519A-9442-4538-953C-08DACBFD7534}"/>
    <cellStyle name="Normal 5 2 4 2 3 2 2 2" xfId="25380" xr:uid="{B47F711A-9E57-41C5-AE3C-1FB885E82820}"/>
    <cellStyle name="Normal 5 2 4 2 3 2 3" xfId="8192" xr:uid="{4A371915-DAEC-47D3-B7A0-840B31D68167}"/>
    <cellStyle name="Normal 5 2 4 2 3 3" xfId="34131" xr:uid="{805FD2DB-92F8-4295-B898-A2C37B2255C6}"/>
    <cellStyle name="Normal 5 2 4 2 3 3 2" xfId="8083" xr:uid="{2C1E1CA5-A3EA-4935-893E-ADF46EA2552C}"/>
    <cellStyle name="Normal 5 2 4 2 3 4" xfId="3668" xr:uid="{84984E96-CED2-42CF-A878-44F6F51973CB}"/>
    <cellStyle name="Normal 5 2 4 2 4" xfId="28232" xr:uid="{76CB1E9D-BFDE-4E8A-A741-86885F7D84EB}"/>
    <cellStyle name="Normal 5 2 4 2 4 2" xfId="32832" xr:uid="{34307893-2DF0-41E3-9DBA-8A209F7377F9}"/>
    <cellStyle name="Normal 5 2 4 2 4 2 2" xfId="16991" xr:uid="{203360F6-5862-4083-B9ED-E6E6E441F59E}"/>
    <cellStyle name="Normal 5 2 4 2 4 3" xfId="7229" xr:uid="{9F88D004-DBD4-4B11-8E44-D09F76403676}"/>
    <cellStyle name="Normal 5 2 4 2 5" xfId="26595" xr:uid="{98DE3F53-FEFB-4E0B-803F-C662057D70CF}"/>
    <cellStyle name="Normal 5 2 4 2 5 2" xfId="3667" xr:uid="{5D1B196A-1F33-490E-AE17-DB199C421FF4}"/>
    <cellStyle name="Normal 5 2 4 2 6" xfId="10124" xr:uid="{8BA96210-730B-4ECA-9303-19986EE858D8}"/>
    <cellStyle name="Normal 5 2 4 2 6 2" xfId="3666" xr:uid="{6E609D56-449D-40D2-A459-4938B1801DD3}"/>
    <cellStyle name="Normal 5 2 4 2 7" xfId="10119" xr:uid="{8EFF115A-77A7-4B3A-9187-107AA347E16C}"/>
    <cellStyle name="Normal 5 2 4 3" xfId="32527" xr:uid="{CC5AAAE0-06C6-4163-8231-4F319EB12145}"/>
    <cellStyle name="Normal 5 2 4 3 2" xfId="28227" xr:uid="{1F0ED160-55A3-452E-AE81-2C7EE0D7149A}"/>
    <cellStyle name="Normal 5 2 4 3 2 2" xfId="33233" xr:uid="{D2C32895-44D3-41E0-A1DB-8483D931ACEB}"/>
    <cellStyle name="Normal 5 2 4 3 2 2 2" xfId="3665" xr:uid="{7F3896FB-B25F-411F-8CB6-D13220096387}"/>
    <cellStyle name="Normal 5 2 4 3 2 2 2 2" xfId="3664" xr:uid="{10712C28-B34B-4045-80C6-6821A6F78974}"/>
    <cellStyle name="Normal 5 2 4 3 2 2 3" xfId="3663" xr:uid="{37137584-14A3-4F29-837E-AF6B66D66145}"/>
    <cellStyle name="Normal 5 2 4 3 2 3" xfId="34125" xr:uid="{06811DE4-4F5D-49A1-92C2-9E5278EFC9EC}"/>
    <cellStyle name="Normal 5 2 4 3 2 3 2" xfId="3662" xr:uid="{D63FC6D8-255E-4233-BFD9-78866F45CB77}"/>
    <cellStyle name="Normal 5 2 4 3 2 4" xfId="3661" xr:uid="{2AD2E73C-ACEB-4833-9C5E-56C55090F551}"/>
    <cellStyle name="Normal 5 2 4 3 3" xfId="28225" xr:uid="{A75B17CE-DFA0-4E29-B318-1068860E161B}"/>
    <cellStyle name="Normal 5 2 4 3 3 2" xfId="28222" xr:uid="{F42E4C12-CB27-46B0-83A2-69C44CF31B07}"/>
    <cellStyle name="Normal 5 2 4 3 3 2 2" xfId="32806" xr:uid="{3637D53D-C0B3-4448-8E50-CB921B8787F9}"/>
    <cellStyle name="Normal 5 2 4 3 3 3" xfId="3659" xr:uid="{ABC04068-367F-4D98-A83F-2CF1CDF23199}"/>
    <cellStyle name="Normal 5 2 4 3 4" xfId="28219" xr:uid="{BD550EEB-913B-47AF-BEF5-AB20EE61AE32}"/>
    <cellStyle name="Normal 5 2 4 3 4 2" xfId="3658" xr:uid="{1D5B51FE-CDBF-48E3-9097-80A330E934E3}"/>
    <cellStyle name="Normal 5 2 4 3 5" xfId="27063" xr:uid="{F9B376AF-6EE3-48AA-88CD-D14274D2291D}"/>
    <cellStyle name="Normal 5 2 4 4" xfId="28214" xr:uid="{964101FB-C9E0-445D-B986-1C6B1987EB7F}"/>
    <cellStyle name="Normal 5 2 4 4 2" xfId="16854" xr:uid="{D4BBC1A6-EB24-4C84-B649-CE037FBA8DA7}"/>
    <cellStyle name="Normal 5 2 4 4 2 2" xfId="19926" xr:uid="{4B1244F0-97C2-4C6D-9DC9-15A9625E792D}"/>
    <cellStyle name="Normal 5 2 4 4 2 2 2" xfId="3657" xr:uid="{61518FFC-620D-47F9-8E4B-4297EF47C3EB}"/>
    <cellStyle name="Normal 5 2 4 4 2 3" xfId="19923" xr:uid="{2E8D78CE-7E04-4910-93CC-0F8531914779}"/>
    <cellStyle name="Normal 5 2 4 4 3" xfId="27319" xr:uid="{179EED93-FC0C-442A-8218-3AC8095505B2}"/>
    <cellStyle name="Normal 5 2 4 4 3 2" xfId="19918" xr:uid="{85EE2448-E407-4951-A139-9748DC392C36}"/>
    <cellStyle name="Normal 5 2 4 4 4" xfId="3656" xr:uid="{2D94C736-5E49-4107-A059-5D1E87AEDEAF}"/>
    <cellStyle name="Normal 5 2 4 5" xfId="28211" xr:uid="{05A7716B-61C8-4B03-A58D-043D876C44E1}"/>
    <cellStyle name="Normal 5 2 4 5 2" xfId="27315" xr:uid="{CECE915B-58C8-4F52-B852-D1200D0B0B6D}"/>
    <cellStyle name="Normal 5 2 4 5 2 2" xfId="30381" xr:uid="{F576D106-6CB5-4D71-B07F-73800D484EAD}"/>
    <cellStyle name="Normal 5 2 4 5 3" xfId="3655" xr:uid="{3CE1D45E-33CD-49AE-A8D9-CD52358851BD}"/>
    <cellStyle name="Normal 5 2 4 6" xfId="28206" xr:uid="{F9F44B27-EB24-416E-A9D7-4FA94A12ECDC}"/>
    <cellStyle name="Normal 5 2 4 6 2" xfId="3654" xr:uid="{E8DC14C6-D926-4FEF-AF66-2495E5791661}"/>
    <cellStyle name="Normal 5 2 4 7" xfId="3653" xr:uid="{02F22D63-4A3F-4FCD-8C4A-D4BD3910D94A}"/>
    <cellStyle name="Normal 5 2 4 7 2" xfId="3652" xr:uid="{80BE81FB-C50A-4EBA-82DF-3AF288C9CE86}"/>
    <cellStyle name="Normal 5 2 4 8" xfId="3651" xr:uid="{BA81F4FE-11AA-4583-90BD-4F5F1DE85BEC}"/>
    <cellStyle name="Normal 5 2 5" xfId="26280" xr:uid="{0EF5FDAD-2EB2-436A-9CB5-B4D39DD16A99}"/>
    <cellStyle name="Normal 5 2 5 2" xfId="32275" xr:uid="{297CC6C1-4B0E-4E04-85A4-321BB76A8635}"/>
    <cellStyle name="Normal 5 2 5 2 2" xfId="27425" xr:uid="{15C337AA-FFC8-4EB9-80C6-98331B50B50B}"/>
    <cellStyle name="Normal 5 2 5 2 2 2" xfId="8278" xr:uid="{43FAE37B-3B0C-4ED7-84D0-9982FB010EC4}"/>
    <cellStyle name="Normal 5 2 5 2 2 2 2" xfId="8276" xr:uid="{7F955CD6-213F-4D08-98E4-D22EFA81F505}"/>
    <cellStyle name="Normal 5 2 5 2 2 2 2 2" xfId="23797" xr:uid="{BE77B9C3-C798-49D3-BC12-2864FA2F4718}"/>
    <cellStyle name="Normal 5 2 5 2 2 2 3" xfId="8268" xr:uid="{C1266320-20CA-464A-8BAC-312463938DF8}"/>
    <cellStyle name="Normal 5 2 5 2 2 3" xfId="8260" xr:uid="{8B4A4082-84C3-4042-8AAE-997C9E4B55D9}"/>
    <cellStyle name="Normal 5 2 5 2 2 3 2" xfId="8258" xr:uid="{8BE13351-F1E1-4D70-9C37-76D613131B18}"/>
    <cellStyle name="Normal 5 2 5 2 2 4" xfId="13187" xr:uid="{5D3379C1-0E02-4A87-AFB3-8E1BC69B3AE3}"/>
    <cellStyle name="Normal 5 2 5 2 3" xfId="26562" xr:uid="{898C56CC-8112-4805-9850-4C3E830C42BD}"/>
    <cellStyle name="Normal 5 2 5 2 3 2" xfId="8221" xr:uid="{4E74CC39-2496-4BDD-94AE-4EDBDF3FAEF5}"/>
    <cellStyle name="Normal 5 2 5 2 3 2 2" xfId="8219" xr:uid="{51A45E93-9A0D-495A-A5D7-9D860ACD7EBE}"/>
    <cellStyle name="Normal 5 2 5 2 3 3" xfId="8213" xr:uid="{9EA8D6FA-0A5E-48BD-A548-BA644DCCAF75}"/>
    <cellStyle name="Normal 5 2 5 2 4" xfId="25802" xr:uid="{4FDEB8CE-180D-4305-87A7-042FB56EBF40}"/>
    <cellStyle name="Normal 5 2 5 2 4 2" xfId="8196" xr:uid="{942F3E83-3D92-48C7-B02C-5DB5F06FA0E2}"/>
    <cellStyle name="Normal 5 2 5 2 5" xfId="3650" xr:uid="{6A57A71E-3DBC-4522-9108-6A4D462B3F15}"/>
    <cellStyle name="Normal 5 2 5 2 5 2" xfId="8182" xr:uid="{65027EFA-48B2-42CA-B99F-C2C0A4533FF9}"/>
    <cellStyle name="Normal 5 2 5 2 6" xfId="10101" xr:uid="{2A1AF08E-C464-4629-81B0-24750255F232}"/>
    <cellStyle name="Normal 5 2 5 2 6 2" xfId="8169" xr:uid="{846D84BD-8A07-4AE4-9A20-146E235D0E63}"/>
    <cellStyle name="Normal 5 2 5 2 7" xfId="10097" xr:uid="{1E881F91-7587-44CA-A2A1-7B589469083B}"/>
    <cellStyle name="Normal 5 2 5 3" xfId="28192" xr:uid="{A2622BD7-2B1D-440A-A78F-3A47F0BFA777}"/>
    <cellStyle name="Normal 5 2 5 3 2" xfId="28190" xr:uid="{C9F37351-5E46-4DA0-9521-46C5DFC13C63}"/>
    <cellStyle name="Normal 5 2 5 3 2 2" xfId="8113" xr:uid="{93AF95F0-3D3D-4717-BB23-BAA60BE741B1}"/>
    <cellStyle name="Normal 5 2 5 3 2 2 2" xfId="8111" xr:uid="{90C8DB4D-CBA0-4538-AEAA-0B10839F5012}"/>
    <cellStyle name="Normal 5 2 5 3 2 3" xfId="8104" xr:uid="{68C55393-12C3-4FB3-BFB6-C66FE5B93EBD}"/>
    <cellStyle name="Normal 5 2 5 3 3" xfId="25796" xr:uid="{E2E442B5-1BDC-439B-B261-EE4FDEBF0A18}"/>
    <cellStyle name="Normal 5 2 5 3 3 2" xfId="31913" xr:uid="{44A43033-432C-47CA-B47E-74E0F8C5B20C}"/>
    <cellStyle name="Normal 5 2 5 3 4" xfId="3649" xr:uid="{49D4E558-2189-4C5F-A3BD-8A8B1D459FF1}"/>
    <cellStyle name="Normal 5 2 5 4" xfId="27303" xr:uid="{19EC4B92-A91E-4C50-B323-B366E9CE9232}"/>
    <cellStyle name="Normal 5 2 5 4 2" xfId="27300" xr:uid="{744CAD12-F2FB-43CF-9738-EFB3D1BD4BEE}"/>
    <cellStyle name="Normal 5 2 5 4 2 2" xfId="11814" xr:uid="{8073D818-A142-4605-ADC6-BD7215DF68C1}"/>
    <cellStyle name="Normal 5 2 5 4 3" xfId="3648" xr:uid="{A9FF902E-F04A-4749-9D23-485EB0445C14}"/>
    <cellStyle name="Normal 5 2 5 5" xfId="27297" xr:uid="{0FF3946B-DA0A-4DEB-86B5-191DD73CC577}"/>
    <cellStyle name="Normal 5 2 5 5 2" xfId="3647" xr:uid="{053F27AF-A8B3-4278-B13D-222CE302F226}"/>
    <cellStyle name="Normal 5 2 5 6" xfId="3646" xr:uid="{3C4EEFEF-C590-4DF0-B79A-5C64F73BCA59}"/>
    <cellStyle name="Normal 5 2 5 6 2" xfId="3645" xr:uid="{394ABA74-4698-4357-9CCA-581648C3B440}"/>
    <cellStyle name="Normal 5 2 5 7" xfId="3644" xr:uid="{DC778726-FD94-4C84-B50A-5AFB26EC2199}"/>
    <cellStyle name="Normal 5 2 5 7 2" xfId="3643" xr:uid="{8EFC3CB7-3BAA-497F-8F35-548EFB721647}"/>
    <cellStyle name="Normal 5 2 5 8" xfId="3642" xr:uid="{150BDFAB-1EE0-44F6-B8D5-13A5F1C5292C}"/>
    <cellStyle name="Normal 5 2 6" xfId="20469" xr:uid="{A844C20D-EF6C-41C0-ABC1-7872B7718A6A}"/>
    <cellStyle name="Normal 5 2 6 2" xfId="32735" xr:uid="{620A0A5D-4A2D-4B24-94A9-8BEA38CF5AA4}"/>
    <cellStyle name="Normal 5 2 6 2 2" xfId="32686" xr:uid="{7BB36361-07D9-4673-82FD-87802BA8EBDB}"/>
    <cellStyle name="Normal 5 2 6 2 2 2" xfId="7673" xr:uid="{B7D094A8-BD7E-41E6-955E-825D6F3C25FD}"/>
    <cellStyle name="Normal 5 2 6 2 2 2 2" xfId="19887" xr:uid="{B46D94B6-5BDD-467E-896E-C1AAE0674004}"/>
    <cellStyle name="Normal 5 2 6 2 2 3" xfId="7670" xr:uid="{328420CA-88B7-4C69-A8C1-6C5C29803D4C}"/>
    <cellStyle name="Normal 5 2 6 2 3" xfId="29727" xr:uid="{C4907027-5237-42EB-94CB-3C7EB33F9187}"/>
    <cellStyle name="Normal 5 2 6 2 3 2" xfId="7662" xr:uid="{43182FAF-6842-43AA-BD9C-C2A21A74FDA7}"/>
    <cellStyle name="Normal 5 2 6 2 4" xfId="18001" xr:uid="{8076997B-8430-4F46-A91C-EEA609E42C9C}"/>
    <cellStyle name="Normal 5 2 6 2 4 2" xfId="7655" xr:uid="{8A33C509-3FA3-4675-89C3-088207159B6D}"/>
    <cellStyle name="Normal 5 2 6 2 5" xfId="17999" xr:uid="{F3AC1B48-3467-4D19-91FD-58B282A55C27}"/>
    <cellStyle name="Normal 5 2 6 2 5 2" xfId="7651" xr:uid="{4BD8B926-973A-4B5F-8B1D-EBAF87F265B9}"/>
    <cellStyle name="Normal 5 2 6 2 6" xfId="33494" xr:uid="{3A0C656A-3C2D-498D-8C36-93E2C764B5FA}"/>
    <cellStyle name="Normal 5 2 6 2 6 2" xfId="3641" xr:uid="{AFB2B144-8AE1-49AD-97AF-81B44581D3FF}"/>
    <cellStyle name="Normal 5 2 6 2 7" xfId="3640" xr:uid="{1BDB2301-AF45-46FA-8C2B-1D16BD212199}"/>
    <cellStyle name="Normal 5 2 6 3" xfId="32113" xr:uid="{F0947352-95F5-485E-A701-8ED3EF2A3F66}"/>
    <cellStyle name="Normal 5 2 6 3 2" xfId="32776" xr:uid="{9CAE4BC2-922A-42E5-B5A6-87DB67C93F35}"/>
    <cellStyle name="Normal 5 2 6 3 2 2" xfId="21906" xr:uid="{928A4C62-6B0D-4AB2-A04C-BECDD66864BF}"/>
    <cellStyle name="Normal 5 2 6 3 3" xfId="3639" xr:uid="{EF26BD95-9161-431F-87E9-359F881DF287}"/>
    <cellStyle name="Normal 5 2 6 4" xfId="27286" xr:uid="{E75ED8D9-DB9D-4A49-8201-081B02592426}"/>
    <cellStyle name="Normal 5 2 6 4 2" xfId="3638" xr:uid="{2AF9AEA8-465A-4D2C-813F-DA9D2825E30F}"/>
    <cellStyle name="Normal 5 2 6 5" xfId="3637" xr:uid="{DA134FF3-5F45-4AAD-8151-F376BE9ABC25}"/>
    <cellStyle name="Normal 5 2 6 5 2" xfId="22068" xr:uid="{D950B668-4422-4998-8DBF-8286763B323C}"/>
    <cellStyle name="Normal 5 2 6 6" xfId="3636" xr:uid="{EF5DF2E3-40A7-492D-B576-D73C2B94EFDD}"/>
    <cellStyle name="Normal 5 2 6 6 2" xfId="8204" xr:uid="{04C7DFEB-AC87-4CDD-9133-C50E5F3C40B2}"/>
    <cellStyle name="Normal 5 2 6 7" xfId="3635" xr:uid="{78BD79A1-8651-4809-AFD7-E26690AD1AF0}"/>
    <cellStyle name="Normal 5 2 6 7 2" xfId="3634" xr:uid="{4BF8E8C6-115B-408C-A334-94FED4DBF5E9}"/>
    <cellStyle name="Normal 5 2 6 8" xfId="3633" xr:uid="{48D104E6-3056-4A96-A153-E0ABEBBBEE3B}"/>
    <cellStyle name="Normal 5 2 7" xfId="13399" xr:uid="{5214F6D8-4F2A-4AF9-A654-D63EA5FA9C86}"/>
    <cellStyle name="Normal 5 2 7 2" xfId="32726" xr:uid="{589D2D71-9037-44FB-9DC5-167C1709A1B6}"/>
    <cellStyle name="Normal 5 2 7 2 2" xfId="22010" xr:uid="{B28228A5-B5F6-40B8-A7F0-3A2DE79F407C}"/>
    <cellStyle name="Normal 5 2 7 2 2 2" xfId="10004" xr:uid="{9D678D8D-8B27-4577-8CC7-3469E6F9D7C4}"/>
    <cellStyle name="Normal 5 2 7 2 3" xfId="3632" xr:uid="{14A65FF2-BF1C-4003-99A7-0B01FFDBFBE8}"/>
    <cellStyle name="Normal 5 2 7 2 3 2" xfId="9987" xr:uid="{799CE900-F4C7-48D3-9FB4-FE5CC22D146A}"/>
    <cellStyle name="Normal 5 2 7 2 4" xfId="3631" xr:uid="{77B4D7C3-206B-42E9-BF89-95B7EAB05E8D}"/>
    <cellStyle name="Normal 5 2 7 2 4 2" xfId="9979" xr:uid="{6CED34A3-84A0-4C3A-857E-0E5D20D516C0}"/>
    <cellStyle name="Normal 5 2 7 2 5" xfId="3630" xr:uid="{C74E3286-250A-4B2A-A245-B0E635D5A6D6}"/>
    <cellStyle name="Normal 5 2 7 2 5 2" xfId="3629" xr:uid="{C86927AE-98C1-4F40-8E34-E522778CD10B}"/>
    <cellStyle name="Normal 5 2 7 2 6" xfId="3628" xr:uid="{A19306DA-2894-4BA1-ADFE-8E3BC16DC1A0}"/>
    <cellStyle name="Normal 5 2 7 2 6 2" xfId="3627" xr:uid="{F9009462-69FE-47F1-8F7D-0B464F171EDD}"/>
    <cellStyle name="Normal 5 2 7 2 7" xfId="3626" xr:uid="{B1DE3BE6-62B5-406D-8147-BC0CB0F66C64}"/>
    <cellStyle name="Normal 5 2 7 3" xfId="33629" xr:uid="{A721981A-84E2-4E76-9683-74D7A7C2D3A3}"/>
    <cellStyle name="Normal 5 2 7 3 2" xfId="3625" xr:uid="{5FD56D7B-961C-438E-8788-93B82F8CAFED}"/>
    <cellStyle name="Normal 5 2 7 4" xfId="33981" xr:uid="{98BF7B8D-AFA9-4636-AC25-0BAEE8D8F73C}"/>
    <cellStyle name="Normal 5 2 7 4 2" xfId="3624" xr:uid="{3DD9B990-C22C-4B2E-AEB0-34BDD4C7B4C1}"/>
    <cellStyle name="Normal 5 2 7 5" xfId="3622" xr:uid="{8A17016D-1D27-4F2D-A603-FFF68ADAC0F4}"/>
    <cellStyle name="Normal 5 2 7 5 2" xfId="22060" xr:uid="{614AC380-F408-47AE-92D0-27E20909B2C3}"/>
    <cellStyle name="Normal 5 2 7 6" xfId="3620" xr:uid="{66E53C7D-D834-439C-ACE5-5CFF1787D007}"/>
    <cellStyle name="Normal 5 2 7 6 2" xfId="3618" xr:uid="{FEBF26EA-E2E7-4255-9FD2-4A8301060D6A}"/>
    <cellStyle name="Normal 5 2 7 7" xfId="3616" xr:uid="{F276F315-1470-45BB-BBE5-4D5A6AA4CD5E}"/>
    <cellStyle name="Normal 5 2 7 7 2" xfId="3614" xr:uid="{8CD13237-4EA9-4B2E-B0DB-FFAA50B1E7FD}"/>
    <cellStyle name="Normal 5 2 7 8" xfId="3612" xr:uid="{6DF15FAA-7C35-484B-B5FC-7B905C6B6A50}"/>
    <cellStyle name="Normal 5 2 8" xfId="33312" xr:uid="{5EF61207-4D1E-459C-BDD0-BFA4543B0C35}"/>
    <cellStyle name="Normal 5 2 8 2" xfId="33127" xr:uid="{8FEA1EDD-54BE-4B27-88F1-FB69201377FD}"/>
    <cellStyle name="Normal 5 2 8 2 2" xfId="3610" xr:uid="{C5233829-0DB3-4B52-97B9-53E19F4E3933}"/>
    <cellStyle name="Normal 5 2 8 2 2 2" xfId="9736" xr:uid="{C9FA316D-F654-4DCD-90F5-B845D367027D}"/>
    <cellStyle name="Normal 5 2 8 2 3" xfId="3609" xr:uid="{F4950520-4648-49A3-BF9D-C3D01A853736}"/>
    <cellStyle name="Normal 5 2 8 2 3 2" xfId="9726" xr:uid="{E62A5F8D-5534-4BC9-8BF0-C24054D90EC2}"/>
    <cellStyle name="Normal 5 2 8 2 4" xfId="3608" xr:uid="{7696AF82-3531-4835-93C6-4C5F4A4442BF}"/>
    <cellStyle name="Normal 5 2 8 2 4 2" xfId="3607" xr:uid="{499300BD-6B03-48BF-8186-F3D9AC63639A}"/>
    <cellStyle name="Normal 5 2 8 2 5" xfId="3606" xr:uid="{2DA943A5-50DE-4E74-8623-563CDE832928}"/>
    <cellStyle name="Normal 5 2 8 2 5 2" xfId="3605" xr:uid="{8D52C116-0C4D-4E3A-BD82-6D7124A13BED}"/>
    <cellStyle name="Normal 5 2 8 2 6" xfId="8051" xr:uid="{36B1194B-CC8A-4BFA-B01B-35C94A553368}"/>
    <cellStyle name="Normal 5 2 8 2 6 2" xfId="25376" xr:uid="{E414D024-C8D1-43FA-B5F7-7B0B2318F1C5}"/>
    <cellStyle name="Normal 5 2 8 2 7" xfId="15650" xr:uid="{418D8933-C40B-459B-9696-0BBB7D3DF5BD}"/>
    <cellStyle name="Normal 5 2 8 3" xfId="3604" xr:uid="{4FFE3B38-9FC7-46C8-AB2E-6A22D5E0A8C1}"/>
    <cellStyle name="Normal 5 2 8 3 2" xfId="3603" xr:uid="{668B50FA-4ABC-4A66-A956-B546D39CB69A}"/>
    <cellStyle name="Normal 5 2 8 4" xfId="3602" xr:uid="{AE75015B-29B9-4524-86D7-20B883792F70}"/>
    <cellStyle name="Normal 5 2 8 4 2" xfId="3600" xr:uid="{C73D6043-3AC4-436C-A072-9138757F7AF9}"/>
    <cellStyle name="Normal 5 2 8 5" xfId="3598" xr:uid="{9746A314-C370-4BC0-B5C5-096C62322ED2}"/>
    <cellStyle name="Normal 5 2 8 5 2" xfId="3596" xr:uid="{467AD49D-A1C7-409D-A69B-EE1A8AE0D1AE}"/>
    <cellStyle name="Normal 5 2 8 6" xfId="3594" xr:uid="{6B4C0F1B-F530-4B95-85D2-E73229C14644}"/>
    <cellStyle name="Normal 5 2 8 6 2" xfId="3592" xr:uid="{5F00185F-0BC3-48C2-BBC0-6C0084321105}"/>
    <cellStyle name="Normal 5 2 8 7" xfId="3590" xr:uid="{2C904B5C-8B3A-4B90-9A4A-BCC3715AA724}"/>
    <cellStyle name="Normal 5 2 8 7 2" xfId="3588" xr:uid="{CC9A47F9-5A65-4AA4-BC14-98FF9D251F7E}"/>
    <cellStyle name="Normal 5 2 8 8" xfId="3587" xr:uid="{CE99EA9E-17DE-4BD9-9536-8A77D165F7D6}"/>
    <cellStyle name="Normal 5 2 9" xfId="33125" xr:uid="{5766796C-4054-4940-BE43-EA4EB8101CC8}"/>
    <cellStyle name="Normal 5 2 9 2" xfId="3586" xr:uid="{E1B3E51A-F98A-4B85-8813-5226E3E26C2A}"/>
    <cellStyle name="Normal 5 2 9 2 2" xfId="22550" xr:uid="{F004753C-53F6-49F3-AFFA-8C11301DDA9E}"/>
    <cellStyle name="Normal 5 2 9 2 2 2" xfId="9609" xr:uid="{B79BB8BC-F4D1-4B01-A676-C34D1F081996}"/>
    <cellStyle name="Normal 5 2 9 2 3" xfId="3585" xr:uid="{EF88D69E-F7A0-4E16-AF8F-82CA55638D7D}"/>
    <cellStyle name="Normal 5 2 9 2 3 2" xfId="15977" xr:uid="{E96EEF3F-88EC-4DD3-8D0D-322AF38F040D}"/>
    <cellStyle name="Normal 5 2 9 2 4" xfId="3584" xr:uid="{004517AB-5B94-4A85-8B16-CDADCA765ACF}"/>
    <cellStyle name="Normal 5 2 9 2 4 2" xfId="15949" xr:uid="{1648480F-E534-44F9-A1E4-D0E88A9C64C5}"/>
    <cellStyle name="Normal 5 2 9 2 5" xfId="3583" xr:uid="{DABB76B9-79D0-412F-8314-59E5603464DE}"/>
    <cellStyle name="Normal 5 2 9 2 5 2" xfId="33960" xr:uid="{B6B40950-C4B6-43ED-8E18-22BF0278B301}"/>
    <cellStyle name="Normal 5 2 9 2 6" xfId="3582" xr:uid="{253342C5-1C77-40E3-851F-742861376A8E}"/>
    <cellStyle name="Normal 5 2 9 2 6 2" xfId="3581" xr:uid="{4CA0FCB2-D0E6-4D38-BB2D-592BDFDBE650}"/>
    <cellStyle name="Normal 5 2 9 2 7" xfId="3580" xr:uid="{4281E429-AC50-427E-AFA8-35CF9276B848}"/>
    <cellStyle name="Normal 5 2 9 3" xfId="3579" xr:uid="{742ADDD4-FA4D-4813-A9C5-A86E61D0E2EF}"/>
    <cellStyle name="Normal 5 2 9 3 2" xfId="3578" xr:uid="{137B286B-664F-418B-9F22-086F8A6D5821}"/>
    <cellStyle name="Normal 5 2 9 4" xfId="3577" xr:uid="{B529C5FB-85B3-444B-9B2B-DC481F28900A}"/>
    <cellStyle name="Normal 5 2 9 4 2" xfId="3575" xr:uid="{790CF2B2-6A76-438B-8317-016908A6BC21}"/>
    <cellStyle name="Normal 5 2 9 5" xfId="3573" xr:uid="{396B78FF-3AB0-4653-85E9-CD251C6449E2}"/>
    <cellStyle name="Normal 5 2 9 5 2" xfId="3571" xr:uid="{C9B298FC-A3A2-4594-8C18-2403C014FF6A}"/>
    <cellStyle name="Normal 5 2 9 6" xfId="30060" xr:uid="{587DC8C7-189A-4DFC-8ADD-010C7B9C27CC}"/>
    <cellStyle name="Normal 5 2 9 6 2" xfId="3569" xr:uid="{178E4712-DB6E-4F22-B530-EC7ADADB6C60}"/>
    <cellStyle name="Normal 5 2 9 7" xfId="3568" xr:uid="{184A8174-7082-4D36-8B77-98965971566E}"/>
    <cellStyle name="Normal 5 2 9 7 2" xfId="3567" xr:uid="{E11127BE-F419-4297-8010-313DAACC6B60}"/>
    <cellStyle name="Normal 5 2 9 8" xfId="3566" xr:uid="{46AB7F49-D2AB-4EB9-A712-2997BCE2721A}"/>
    <cellStyle name="Normal 5 20" xfId="4040" xr:uid="{D6E05C79-39DC-436B-8AAA-1C1AC5617C85}"/>
    <cellStyle name="Normal 5 20 2" xfId="11593" xr:uid="{99AC84B1-6222-4118-BFF4-5B212EAF272A}"/>
    <cellStyle name="Normal 5 21" xfId="31737" xr:uid="{142178B4-8DD7-48F8-9C08-0901E34F1C40}"/>
    <cellStyle name="Normal 5 21 2" xfId="4029" xr:uid="{56C9C08D-01A0-4A9B-8859-76A33094E719}"/>
    <cellStyle name="Normal 5 22" xfId="4018" xr:uid="{195CEA6A-528C-4178-8EBF-612BC4755EB0}"/>
    <cellStyle name="Normal 5 23" xfId="34427" xr:uid="{A5F51A56-1B81-4E20-84C3-C2EFCBF999B4}"/>
    <cellStyle name="Normal 5 3" xfId="237" xr:uid="{94F3EF06-9450-450D-91EE-C5A4EE38D1BF}"/>
    <cellStyle name="Normal 5 3 10" xfId="34560" xr:uid="{D726F39F-4C86-4E11-B3A6-A117D96EF498}"/>
    <cellStyle name="Normal 5 3 2" xfId="3565" xr:uid="{2DAF256F-F381-4901-B44F-027B09437C1C}"/>
    <cellStyle name="Normal 5 3 2 2" xfId="3564" xr:uid="{40CACB93-BEA9-41B9-820E-E0280CFD8F22}"/>
    <cellStyle name="Normal 5 3 2 2 2" xfId="5271" xr:uid="{3955BD65-822B-443D-B528-62FF4A331F7A}"/>
    <cellStyle name="Normal 5 3 2 2 2 2" xfId="24066" xr:uid="{65917966-A9E7-437B-AB18-29D53A5BD02C}"/>
    <cellStyle name="Normal 5 3 2 2 2 2 2" xfId="3563" xr:uid="{1DF1A954-8CE5-42A9-8DD6-96D073531A5D}"/>
    <cellStyle name="Normal 5 3 2 2 2 2 2 2" xfId="29935" xr:uid="{2737E199-77CF-4AC0-B13A-7D7F8C430F7F}"/>
    <cellStyle name="Normal 5 3 2 2 2 2 2 2 2" xfId="26310" xr:uid="{E9EB16B7-0554-4FE4-92D7-8F065B90498D}"/>
    <cellStyle name="Normal 5 3 2 2 2 2 2 2 2 2" xfId="3562" xr:uid="{1D1689BC-2598-4829-A591-26437B7DCC12}"/>
    <cellStyle name="Normal 5 3 2 2 2 2 2 2 3" xfId="20157" xr:uid="{6EF9A873-CC20-424A-A980-9ADC05FC0241}"/>
    <cellStyle name="Normal 5 3 2 2 2 2 2 3" xfId="20144" xr:uid="{106E3EC8-30E4-4E80-8D39-9524F0E0CD37}"/>
    <cellStyle name="Normal 5 3 2 2 2 2 2 3 2" xfId="20142" xr:uid="{E967907E-E2FC-42F2-9298-E0C881A63144}"/>
    <cellStyle name="Normal 5 3 2 2 2 2 2 4" xfId="20123" xr:uid="{85549E9A-A25A-41C3-889B-8E89EFC20E4C}"/>
    <cellStyle name="Normal 5 3 2 2 2 2 3" xfId="14218" xr:uid="{D68B04CF-CDC3-4C3F-BC66-143B05951C7D}"/>
    <cellStyle name="Normal 5 3 2 2 2 2 3 2" xfId="9720" xr:uid="{5EDB31C0-7838-4037-A4A6-DD3C989FFF57}"/>
    <cellStyle name="Normal 5 3 2 2 2 2 3 2 2" xfId="9717" xr:uid="{5BD36F03-B4A8-4142-8749-0F0B629E5AA4}"/>
    <cellStyle name="Normal 5 3 2 2 2 2 3 3" xfId="9708" xr:uid="{52C9BA54-82F7-4156-9B11-82F0D577D74A}"/>
    <cellStyle name="Normal 5 3 2 2 2 2 4" xfId="9702" xr:uid="{766B6463-93D5-4761-ACB7-C5E7D1876934}"/>
    <cellStyle name="Normal 5 3 2 2 2 2 4 2" xfId="9700" xr:uid="{287C7B62-F025-43B7-91E7-1052F6F8AE1A}"/>
    <cellStyle name="Normal 5 3 2 2 2 2 5" xfId="9694" xr:uid="{F2CF0991-2FC5-49CE-874B-A9CD7DC06C56}"/>
    <cellStyle name="Normal 5 3 2 2 2 3" xfId="31500" xr:uid="{74CC6E1B-7A70-4F83-85D9-71D6BA7382C0}"/>
    <cellStyle name="Normal 5 3 2 2 2 3 2" xfId="3561" xr:uid="{497629E3-1CC2-4E2C-9478-8C20F835BAF2}"/>
    <cellStyle name="Normal 5 3 2 2 2 3 2 2" xfId="3560" xr:uid="{200C5483-5A29-487C-A522-922E6AFA818A}"/>
    <cellStyle name="Normal 5 3 2 2 2 3 2 2 2" xfId="3559" xr:uid="{8DDCB2C4-81A9-4ADF-A74E-38EDC3ED084A}"/>
    <cellStyle name="Normal 5 3 2 2 2 3 2 3" xfId="21990" xr:uid="{D5F88A9A-D0CD-4C51-B81D-F6520B86EC4D}"/>
    <cellStyle name="Normal 5 3 2 2 2 3 3" xfId="12310" xr:uid="{9651D39D-5266-4DE7-9CEE-99AB68E3AE1E}"/>
    <cellStyle name="Normal 5 3 2 2 2 3 3 2" xfId="9689" xr:uid="{79E6E386-3422-4461-B52E-D02C05FE71C6}"/>
    <cellStyle name="Normal 5 3 2 2 2 3 4" xfId="9683" xr:uid="{70339B8E-F385-45A0-9DEA-0AA3C2182E76}"/>
    <cellStyle name="Normal 5 3 2 2 2 4" xfId="3558" xr:uid="{FF8A93BB-1AE6-4399-BDFE-8D564B6180CF}"/>
    <cellStyle name="Normal 5 3 2 2 2 4 2" xfId="3557" xr:uid="{1BF5D18E-736F-414B-B494-5274FA4B4DF8}"/>
    <cellStyle name="Normal 5 3 2 2 2 4 2 2" xfId="23702" xr:uid="{99621806-0BC4-4A42-B616-36D5F1FF93F1}"/>
    <cellStyle name="Normal 5 3 2 2 2 4 3" xfId="9678" xr:uid="{D58C221D-86F7-44D7-A9E0-DC609B440BCF}"/>
    <cellStyle name="Normal 5 3 2 2 2 5" xfId="3555" xr:uid="{6DC97EF9-E417-46FF-A972-9C3D51252709}"/>
    <cellStyle name="Normal 5 3 2 2 2 5 2" xfId="3554" xr:uid="{C17A91E2-9948-47C0-986E-8474F29664D8}"/>
    <cellStyle name="Normal 5 3 2 2 2 6" xfId="3553" xr:uid="{E15FEAF3-1FC2-493F-B4A1-F13ED57E9AE0}"/>
    <cellStyle name="Normal 5 3 2 2 3" xfId="3552" xr:uid="{4C55B21C-D9D0-4CD0-8BC7-D3D130B68408}"/>
    <cellStyle name="Normal 5 3 2 2 3 2" xfId="24421" xr:uid="{3B389CDC-34AF-4C2F-830F-6388B699FA98}"/>
    <cellStyle name="Normal 5 3 2 2 3 2 2" xfId="3551" xr:uid="{9E108615-4176-4743-A817-FB7E2A22CFF7}"/>
    <cellStyle name="Normal 5 3 2 2 3 2 2 2" xfId="10199" xr:uid="{C0AB455A-0FA0-4232-BF65-9109CDD63593}"/>
    <cellStyle name="Normal 5 3 2 2 3 2 2 2 2" xfId="3550" xr:uid="{05E9417D-FDCD-4843-98F4-3D59E4BB54EC}"/>
    <cellStyle name="Normal 5 3 2 2 3 2 2 3" xfId="25301" xr:uid="{4DF2E50D-EBFD-4E30-9285-844B9944E3F3}"/>
    <cellStyle name="Normal 5 3 2 2 3 2 3" xfId="27778" xr:uid="{842D24E9-E696-4BFA-8A0F-BF8CA7412F20}"/>
    <cellStyle name="Normal 5 3 2 2 3 2 3 2" xfId="27764" xr:uid="{90762829-14AA-4998-9A5A-ACF51645C3E3}"/>
    <cellStyle name="Normal 5 3 2 2 3 2 4" xfId="28347" xr:uid="{81EE7EEE-B4EA-4244-864E-AAB854EF25A2}"/>
    <cellStyle name="Normal 5 3 2 2 3 3" xfId="30434" xr:uid="{0D5233B7-93AC-4050-9EC3-954C95DE39A6}"/>
    <cellStyle name="Normal 5 3 2 2 3 3 2" xfId="4335" xr:uid="{083A50A0-A749-4665-8046-13507EB417B7}"/>
    <cellStyle name="Normal 5 3 2 2 3 3 2 2" xfId="3549" xr:uid="{31DEA704-4B8F-4F3F-9D2C-675730E8660B}"/>
    <cellStyle name="Normal 5 3 2 2 3 3 3" xfId="27730" xr:uid="{62D152BE-4167-4459-A9B6-7E4032B76A07}"/>
    <cellStyle name="Normal 5 3 2 2 3 4" xfId="3548" xr:uid="{D955ABC8-55FA-48A0-9476-123681BE48E2}"/>
    <cellStyle name="Normal 5 3 2 2 3 4 2" xfId="3547" xr:uid="{7236E2A2-1E88-4E58-B050-7B93EAA24100}"/>
    <cellStyle name="Normal 5 3 2 2 3 5" xfId="3546" xr:uid="{865C3CA7-6289-4885-81E2-75CCDE7D4054}"/>
    <cellStyle name="Normal 5 3 2 2 4" xfId="9050" xr:uid="{5FA48F7E-F4BE-477C-BBEB-C7D4DC75621E}"/>
    <cellStyle name="Normal 5 3 2 2 4 2" xfId="9045" xr:uid="{DDF30B81-1702-4C2B-942C-842B5327CA04}"/>
    <cellStyle name="Normal 5 3 2 2 4 2 2" xfId="20926" xr:uid="{69D5770D-6FCB-433D-A15C-2EDC93F2A346}"/>
    <cellStyle name="Normal 5 3 2 2 4 2 2 2" xfId="3545" xr:uid="{BA74C11A-5321-4E8D-A04A-41A3EB5E853D}"/>
    <cellStyle name="Normal 5 3 2 2 4 2 3" xfId="19960" xr:uid="{8331827D-91FC-42E3-A8DB-A39B3B893EFF}"/>
    <cellStyle name="Normal 5 3 2 2 4 3" xfId="10335" xr:uid="{76FBF186-EDE4-4615-B802-EC6B142376D6}"/>
    <cellStyle name="Normal 5 3 2 2 4 3 2" xfId="32779" xr:uid="{47E53861-0CD9-463A-ACFC-C213C630EDB9}"/>
    <cellStyle name="Normal 5 3 2 2 4 4" xfId="3544" xr:uid="{2F28EBDF-5FBE-4B43-A5D1-AB85B625E6B4}"/>
    <cellStyle name="Normal 5 3 2 2 5" xfId="31112" xr:uid="{B9131F57-3090-4C36-9939-7F91CFE70BC5}"/>
    <cellStyle name="Normal 5 3 2 2 5 2" xfId="32486" xr:uid="{A5D692D2-64EA-47AA-A171-26D929957674}"/>
    <cellStyle name="Normal 5 3 2 2 5 2 2" xfId="30761" xr:uid="{25A7134A-4EE5-43B6-AA5E-19C1580608EC}"/>
    <cellStyle name="Normal 5 3 2 2 5 3" xfId="3543" xr:uid="{AEEE3E99-0915-4284-89C2-0C2FBC328A74}"/>
    <cellStyle name="Normal 5 3 2 2 6" xfId="5366" xr:uid="{BB190165-8299-421A-8A45-D0F6CCB97D40}"/>
    <cellStyle name="Normal 5 3 2 2 6 2" xfId="3542" xr:uid="{3726FC88-30F0-4D4F-B1E2-845C77498817}"/>
    <cellStyle name="Normal 5 3 2 2 7" xfId="10062" xr:uid="{05238E90-88F9-44EE-8C73-B4B1E00D1633}"/>
    <cellStyle name="Normal 5 3 2 3" xfId="3541" xr:uid="{CB48CDDE-7360-437E-9885-2480424EBCEE}"/>
    <cellStyle name="Normal 5 3 2 3 2" xfId="3540" xr:uid="{E700429F-7270-422A-9750-81168BA90874}"/>
    <cellStyle name="Normal 5 3 2 3 2 2" xfId="24416" xr:uid="{827854DC-339B-4293-9985-7F56FD30F0FE}"/>
    <cellStyle name="Normal 5 3 2 3 2 2 2" xfId="3539" xr:uid="{FF9C18B2-086A-4125-9176-32F575285D58}"/>
    <cellStyle name="Normal 5 3 2 3 2 2 2 2" xfId="3538" xr:uid="{C5ED287E-345B-4173-9E93-CB7AEEA510F6}"/>
    <cellStyle name="Normal 5 3 2 3 2 2 2 2 2" xfId="3537" xr:uid="{F6A7F4D9-9BAA-4BBF-B76D-C11A88101BF3}"/>
    <cellStyle name="Normal 5 3 2 3 2 2 2 3" xfId="22497" xr:uid="{D89A6115-A9C3-4834-B99A-63EA4C02BC16}"/>
    <cellStyle name="Normal 5 3 2 3 2 2 3" xfId="9409" xr:uid="{6D028278-48AB-4C73-B4B6-4E34AB561D02}"/>
    <cellStyle name="Normal 5 3 2 3 2 2 3 2" xfId="9407" xr:uid="{B04CA7B2-8773-48BE-BD72-3DB4DE6A91EA}"/>
    <cellStyle name="Normal 5 3 2 3 2 2 4" xfId="11165" xr:uid="{12D2474B-23F8-40EE-ACC4-FB66D526EE57}"/>
    <cellStyle name="Normal 5 3 2 3 2 3" xfId="3536" xr:uid="{8E9A4B8B-28BA-4014-859C-104182E7D3AF}"/>
    <cellStyle name="Normal 5 3 2 3 2 3 2" xfId="3535" xr:uid="{069B05B0-1D23-40BB-B2F5-89E26B57AC0C}"/>
    <cellStyle name="Normal 5 3 2 3 2 3 2 2" xfId="3534" xr:uid="{32333C87-F50B-4248-8F23-972D3EABAF8F}"/>
    <cellStyle name="Normal 5 3 2 3 2 3 3" xfId="9402" xr:uid="{4EECFDDE-1F07-4037-8D43-553FF9D54A79}"/>
    <cellStyle name="Normal 5 3 2 3 2 4" xfId="3533" xr:uid="{68CCB1F4-2BBE-4E77-A4C5-4D9D10035452}"/>
    <cellStyle name="Normal 5 3 2 3 2 4 2" xfId="3532" xr:uid="{34C38C50-0820-42F0-8F0A-5F7073F33FCF}"/>
    <cellStyle name="Normal 5 3 2 3 2 5" xfId="6357" xr:uid="{CD448645-AFAD-444D-B688-14F51C7BFAEA}"/>
    <cellStyle name="Normal 5 3 2 3 3" xfId="3531" xr:uid="{7CD07198-70F0-4CF7-8930-9D5D12447372}"/>
    <cellStyle name="Normal 5 3 2 3 3 2" xfId="3530" xr:uid="{493CB0D3-F3C2-47AA-BE4E-AB4E9FD35C30}"/>
    <cellStyle name="Normal 5 3 2 3 3 2 2" xfId="3529" xr:uid="{A11F374D-BB16-4846-B54D-34A62C0EBFB6}"/>
    <cellStyle name="Normal 5 3 2 3 3 2 2 2" xfId="32052" xr:uid="{4A6DC1CE-0611-4DD4-84D3-2141CD837F39}"/>
    <cellStyle name="Normal 5 3 2 3 3 2 3" xfId="28063" xr:uid="{95FC296B-8223-4423-BB47-7EBFFD4669D9}"/>
    <cellStyle name="Normal 5 3 2 3 3 3" xfId="3528" xr:uid="{4A208381-35BE-4027-BE53-8695B297754D}"/>
    <cellStyle name="Normal 5 3 2 3 3 3 2" xfId="3527" xr:uid="{814233BE-03FB-448E-8310-CAC80C88C228}"/>
    <cellStyle name="Normal 5 3 2 3 3 4" xfId="3526" xr:uid="{11A61625-280D-4817-AA6D-BB1AF961060D}"/>
    <cellStyle name="Normal 5 3 2 3 4" xfId="9036" xr:uid="{5A4837BF-A05E-4BCE-AC76-E63A5AF9F4C8}"/>
    <cellStyle name="Normal 5 3 2 3 4 2" xfId="6117" xr:uid="{6230D614-6CA4-4889-AADC-FA3A27BB40EB}"/>
    <cellStyle name="Normal 5 3 2 3 4 2 2" xfId="28549" xr:uid="{C422DD5A-5B1D-4083-818F-6139D3D6F191}"/>
    <cellStyle name="Normal 5 3 2 3 4 3" xfId="3525" xr:uid="{15A89610-567B-4B56-A2EE-1220E1009ECB}"/>
    <cellStyle name="Normal 5 3 2 3 5" xfId="5363" xr:uid="{8AB8F443-E4BB-4251-A72C-FC380608B798}"/>
    <cellStyle name="Normal 5 3 2 3 5 2" xfId="3524" xr:uid="{12B6ACD4-4BE6-4C71-BBC8-A23B168BB11F}"/>
    <cellStyle name="Normal 5 3 2 3 6" xfId="25769" xr:uid="{20857EC7-BC1F-40B4-9CFB-8559F850BC4B}"/>
    <cellStyle name="Normal 5 3 2 4" xfId="3523" xr:uid="{E6B6B9F6-ECDB-4F3B-AFB4-97B26D125A21}"/>
    <cellStyle name="Normal 5 3 2 4 2" xfId="18781" xr:uid="{363458B9-43E2-4BD1-8697-FC75B4227103}"/>
    <cellStyle name="Normal 5 3 2 4 2 2" xfId="3522" xr:uid="{553E557D-B26F-40FA-B986-31712BD4840D}"/>
    <cellStyle name="Normal 5 3 2 4 2 2 2" xfId="3521" xr:uid="{DC2AD5EB-6885-4DCC-B48B-3C569A6E8245}"/>
    <cellStyle name="Normal 5 3 2 4 2 2 2 2" xfId="3520" xr:uid="{A3BDDAB2-36E6-4275-B91E-50D903345797}"/>
    <cellStyle name="Normal 5 3 2 4 2 2 3" xfId="14565" xr:uid="{1EAF4B3C-5451-4CDD-BC46-23A26C02A611}"/>
    <cellStyle name="Normal 5 3 2 4 2 3" xfId="3518" xr:uid="{A286D947-85F1-46F4-8DCD-49FB668F543D}"/>
    <cellStyle name="Normal 5 3 2 4 2 3 2" xfId="3517" xr:uid="{64FCAC90-FFD7-4741-8DD0-90D463D1D68E}"/>
    <cellStyle name="Normal 5 3 2 4 2 4" xfId="3516" xr:uid="{C8BC96B4-34B1-40A0-AF08-884813C8FC67}"/>
    <cellStyle name="Normal 5 3 2 4 3" xfId="3515" xr:uid="{C5C38B15-651F-4772-A5CA-B7BAAF821DB8}"/>
    <cellStyle name="Normal 5 3 2 4 3 2" xfId="3514" xr:uid="{0F05026E-FB33-4E8D-B1AD-E8D0CB555DBF}"/>
    <cellStyle name="Normal 5 3 2 4 3 2 2" xfId="3513" xr:uid="{675E891E-4F61-4105-9882-80BA53F84FBA}"/>
    <cellStyle name="Normal 5 3 2 4 3 3" xfId="3512" xr:uid="{41182424-6ADB-471D-93A9-7D258CD9D52B}"/>
    <cellStyle name="Normal 5 3 2 4 4" xfId="5360" xr:uid="{799B24F0-F7B3-40DD-BE43-BCC883A1B9E0}"/>
    <cellStyle name="Normal 5 3 2 4 4 2" xfId="3511" xr:uid="{65177ACD-09B5-458A-8AEE-7089E2AD7A59}"/>
    <cellStyle name="Normal 5 3 2 4 5" xfId="34053" xr:uid="{CA412B68-4506-4064-9C51-349058961DD0}"/>
    <cellStyle name="Normal 5 3 2 5" xfId="3510" xr:uid="{FDC9EC66-613A-46C6-9052-2E825876F7F9}"/>
    <cellStyle name="Normal 5 3 2 5 2" xfId="3509" xr:uid="{1E4215A2-1BA6-4DD2-93FC-BFA3FAABAC0B}"/>
    <cellStyle name="Normal 5 3 2 5 2 2" xfId="3508" xr:uid="{A5FFB667-A12D-408B-B347-FD2B88E66EA1}"/>
    <cellStyle name="Normal 5 3 2 5 2 2 2" xfId="3507" xr:uid="{1D2569E8-4DBB-4708-8856-1B8A2E3DF4BA}"/>
    <cellStyle name="Normal 5 3 2 5 2 3" xfId="17851" xr:uid="{3591D658-FC9D-4DCF-9200-C951424E1C8F}"/>
    <cellStyle name="Normal 5 3 2 5 3" xfId="3506" xr:uid="{4F735613-CF8C-4CC6-AEE0-841278E1AE88}"/>
    <cellStyle name="Normal 5 3 2 5 3 2" xfId="3505" xr:uid="{FDEA07E1-F5AA-4B6C-8923-2FBA5E2732C6}"/>
    <cellStyle name="Normal 5 3 2 5 4" xfId="3504" xr:uid="{517B652D-C7C7-4D39-907C-6E4EB0F554E2}"/>
    <cellStyle name="Normal 5 3 2 6" xfId="3503" xr:uid="{71E3CB23-6780-4A44-A95D-E9838C2FAC05}"/>
    <cellStyle name="Normal 5 3 2 6 2" xfId="3502" xr:uid="{CCD1A5B2-EB14-4120-9CB7-DB8F9552F92C}"/>
    <cellStyle name="Normal 5 3 2 6 2 2" xfId="3501" xr:uid="{2C3396D3-DC3C-4837-85F0-8A387BCCB80B}"/>
    <cellStyle name="Normal 5 3 2 6 3" xfId="3500" xr:uid="{767A0944-0E5B-4FF6-84E1-65E24AD4702C}"/>
    <cellStyle name="Normal 5 3 2 7" xfId="3499" xr:uid="{04158F02-7A34-4FE5-B6FA-BBA885505788}"/>
    <cellStyle name="Normal 5 3 2 7 2" xfId="3498" xr:uid="{FE676624-080C-4AAB-A902-28F6531CFC83}"/>
    <cellStyle name="Normal 5 3 2 8" xfId="3497" xr:uid="{5171AB6B-CB65-4091-A608-8C7A6C701799}"/>
    <cellStyle name="Normal 5 3 3" xfId="3496" xr:uid="{02E66C1C-A6A5-4FE1-AEB6-C73718D1F314}"/>
    <cellStyle name="Normal 5 3 3 2" xfId="16827" xr:uid="{A34E2E0F-6BB2-41E1-8FC4-D2AFDFCE1567}"/>
    <cellStyle name="Normal 5 3 3 2 2" xfId="3495" xr:uid="{050F6535-2C7D-43CC-843B-2084D4A5091A}"/>
    <cellStyle name="Normal 5 3 3 2 2 2" xfId="25783" xr:uid="{CCC63DB6-6C31-4156-9F32-B3E4DB5C5DBE}"/>
    <cellStyle name="Normal 5 3 3 2 2 2 2" xfId="3494" xr:uid="{E47B82C3-3639-401F-9FCB-5715FC742A11}"/>
    <cellStyle name="Normal 5 3 3 2 2 2 2 2" xfId="5476" xr:uid="{4A9C1224-FE0A-4FA7-AE6B-B1CE35CA9ADD}"/>
    <cellStyle name="Normal 5 3 3 2 2 2 2 2 2" xfId="3493" xr:uid="{2F0692A8-EA64-469C-A5A2-1909F67FE11A}"/>
    <cellStyle name="Normal 5 3 3 2 2 2 2 3" xfId="28125" xr:uid="{8AEF5623-05A4-495B-86E6-A76F2DEF26F2}"/>
    <cellStyle name="Normal 5 3 3 2 2 2 3" xfId="7664" xr:uid="{710EACA0-0619-4DBC-8D9A-9B282CB817A8}"/>
    <cellStyle name="Normal 5 3 3 2 2 2 3 2" xfId="22709" xr:uid="{9C7505B5-F327-4EC6-9F6D-AE15BA2E6F0E}"/>
    <cellStyle name="Normal 5 3 3 2 2 2 4" xfId="7661" xr:uid="{7F174303-6F65-4D28-8520-2BB4F163B169}"/>
    <cellStyle name="Normal 5 3 3 2 2 3" xfId="3492" xr:uid="{DE66BDAA-78D9-4978-952F-94A77A3574F4}"/>
    <cellStyle name="Normal 5 3 3 2 2 3 2" xfId="3491" xr:uid="{11DDAE03-905E-4028-9220-30996F7C22AA}"/>
    <cellStyle name="Normal 5 3 3 2 2 3 2 2" xfId="3490" xr:uid="{2242CFB6-58E5-4D51-A13E-EC815E3C5368}"/>
    <cellStyle name="Normal 5 3 3 2 2 3 3" xfId="7658" xr:uid="{1C380773-48A5-4144-A3EB-A1BFE75786B7}"/>
    <cellStyle name="Normal 5 3 3 2 2 4" xfId="3489" xr:uid="{B10A31CC-77FD-403D-BB66-20B6AAB777EE}"/>
    <cellStyle name="Normal 5 3 3 2 2 4 2" xfId="3488" xr:uid="{620EF108-C1F6-4815-9C5D-745CDBD1E5E4}"/>
    <cellStyle name="Normal 5 3 3 2 2 5" xfId="34360" xr:uid="{BA74787A-09E7-4087-9B6C-B8E7AEAA59AF}"/>
    <cellStyle name="Normal 5 3 3 2 3" xfId="3487" xr:uid="{568E5E6E-AF85-4150-97EC-6D8813C8A9C9}"/>
    <cellStyle name="Normal 5 3 3 2 3 2" xfId="3486" xr:uid="{78049D20-CC68-445C-B553-0BF64C665E0A}"/>
    <cellStyle name="Normal 5 3 3 2 3 2 2" xfId="3485" xr:uid="{BC375835-0436-4AFC-A7F8-4B14BED7E5A7}"/>
    <cellStyle name="Normal 5 3 3 2 3 2 2 2" xfId="3484" xr:uid="{11E6D168-CE6A-4972-9BD2-DB2A468FBCC5}"/>
    <cellStyle name="Normal 5 3 3 2 3 2 3" xfId="33790" xr:uid="{A8ABE297-5868-4779-922F-675C92AD0FBC}"/>
    <cellStyle name="Normal 5 3 3 2 3 3" xfId="3483" xr:uid="{24138F6D-94B3-4837-A34F-AA5BE94EAE31}"/>
    <cellStyle name="Normal 5 3 3 2 3 3 2" xfId="3482" xr:uid="{20ED0D61-39FF-4362-8507-ECD153777FAF}"/>
    <cellStyle name="Normal 5 3 3 2 3 4" xfId="3481" xr:uid="{E74588A0-83A9-4032-A4C2-5201AB74AED7}"/>
    <cellStyle name="Normal 5 3 3 2 4" xfId="9007" xr:uid="{C97EC73B-EC07-4C14-BB37-CBAFA767709F}"/>
    <cellStyle name="Normal 5 3 3 2 4 2" xfId="6948" xr:uid="{62832857-73E9-4CE6-8D61-AAB93249A058}"/>
    <cellStyle name="Normal 5 3 3 2 4 2 2" xfId="26688" xr:uid="{C2B4F1AE-A5B9-448D-943F-52FDFEEA84B1}"/>
    <cellStyle name="Normal 5 3 3 2 4 3" xfId="3480" xr:uid="{BF6E56E4-6E8B-40E2-A3F8-017A992B7082}"/>
    <cellStyle name="Normal 5 3 3 2 5" xfId="5348" xr:uid="{598574F3-2208-4963-B48A-826D9BC2AC9A}"/>
    <cellStyle name="Normal 5 3 3 2 5 2" xfId="3479" xr:uid="{108F41AB-3324-4239-A6B6-9AF08E3F92FC}"/>
    <cellStyle name="Normal 5 3 3 2 6" xfId="10035" xr:uid="{4653FB3A-B82F-467B-9099-9879DAB3E2AC}"/>
    <cellStyle name="Normal 5 3 3 3" xfId="3478" xr:uid="{C6C308F6-A66B-4F67-8500-97BAE1E3D288}"/>
    <cellStyle name="Normal 5 3 3 3 2" xfId="3477" xr:uid="{0727F9D8-121D-424D-A758-2C705C3BEBCF}"/>
    <cellStyle name="Normal 5 3 3 3 2 2" xfId="3476" xr:uid="{FB61E4AE-C68A-4733-AA4D-97D937C3C504}"/>
    <cellStyle name="Normal 5 3 3 3 2 2 2" xfId="3475" xr:uid="{90113B9B-AA31-4FA2-AF82-1246AC330894}"/>
    <cellStyle name="Normal 5 3 3 3 2 2 2 2" xfId="12765" xr:uid="{020AB81C-F7CC-4FE6-8C4A-734CAD104657}"/>
    <cellStyle name="Normal 5 3 3 3 2 2 3" xfId="7462" xr:uid="{4FA0B4DC-2B08-4803-804D-E7499715609F}"/>
    <cellStyle name="Normal 5 3 3 3 2 3" xfId="3474" xr:uid="{9A67F380-243F-4F46-B5C4-9FB70091CB49}"/>
    <cellStyle name="Normal 5 3 3 3 2 3 2" xfId="3473" xr:uid="{81C976B5-4885-4F05-AF2C-136304AAD8D5}"/>
    <cellStyle name="Normal 5 3 3 3 2 4" xfId="3472" xr:uid="{E86E8548-B632-4DCE-8D1F-0190A3833594}"/>
    <cellStyle name="Normal 5 3 3 3 3" xfId="3470" xr:uid="{4950ACDC-0427-4C25-A52D-64823E951EF0}"/>
    <cellStyle name="Normal 5 3 3 3 3 2" xfId="3469" xr:uid="{43D67102-CDDA-4063-BEEE-C50B7543D27F}"/>
    <cellStyle name="Normal 5 3 3 3 3 2 2" xfId="3468" xr:uid="{8CD67475-55A7-425C-91B8-A5B7F99D0712}"/>
    <cellStyle name="Normal 5 3 3 3 3 3" xfId="3467" xr:uid="{67B5C5E7-20EE-4314-BF2E-D56F48097331}"/>
    <cellStyle name="Normal 5 3 3 3 4" xfId="5345" xr:uid="{E88D1024-2763-41F9-89D5-C6A1B7FAE2AE}"/>
    <cellStyle name="Normal 5 3 3 3 4 2" xfId="22367" xr:uid="{C6DAC351-B572-4EEA-8FB0-BCF6472E131D}"/>
    <cellStyle name="Normal 5 3 3 3 5" xfId="3466" xr:uid="{F8205B2A-BA85-4494-AA96-DA1A3CC55ED8}"/>
    <cellStyle name="Normal 5 3 3 4" xfId="3465" xr:uid="{F7EE9DD4-E83A-45AA-81B6-83F62FAFADFC}"/>
    <cellStyle name="Normal 5 3 3 4 2" xfId="34122" xr:uid="{EF050DDE-7ED0-41DC-8BDE-B81F2D4C5CA5}"/>
    <cellStyle name="Normal 5 3 3 4 2 2" xfId="3464" xr:uid="{B801693C-72D7-4ACE-9B5B-04CDAC2CF917}"/>
    <cellStyle name="Normal 5 3 3 4 2 2 2" xfId="3463" xr:uid="{B2B99038-D3CB-4024-BF4E-D22B1CDE01D7}"/>
    <cellStyle name="Normal 5 3 3 4 2 3" xfId="3462" xr:uid="{BB7DF2B6-3480-40AD-B4F8-B0307848FB65}"/>
    <cellStyle name="Normal 5 3 3 4 3" xfId="3461" xr:uid="{BCA1D7E8-F559-4A7E-A272-51D292F8DF74}"/>
    <cellStyle name="Normal 5 3 3 4 3 2" xfId="3460" xr:uid="{82F8D8BD-3DA9-4F06-BF85-AB098481E5BA}"/>
    <cellStyle name="Normal 5 3 3 4 4" xfId="3458" xr:uid="{52DEF634-4CFB-44A3-9783-AAD455088298}"/>
    <cellStyle name="Normal 5 3 3 5" xfId="3457" xr:uid="{C08A0BD6-894B-4B65-AAC3-656E0E618433}"/>
    <cellStyle name="Normal 5 3 3 5 2" xfId="3456" xr:uid="{A2DDD852-3085-41A8-9299-F862D9162F3E}"/>
    <cellStyle name="Normal 5 3 3 5 2 2" xfId="3455" xr:uid="{E6DA56DD-52F2-4173-9259-1312A287F8BF}"/>
    <cellStyle name="Normal 5 3 3 5 3" xfId="3454" xr:uid="{D2F95383-BEF1-4378-A0F8-FA4BBFA01452}"/>
    <cellStyle name="Normal 5 3 3 6" xfId="3453" xr:uid="{E5E97F0A-DE6C-40AE-B000-AB288E53DB09}"/>
    <cellStyle name="Normal 5 3 3 6 2" xfId="3452" xr:uid="{2B576442-CB23-4AE3-8CD1-FE55EE791DE6}"/>
    <cellStyle name="Normal 5 3 3 7" xfId="3451" xr:uid="{6E8BFE91-F335-4C19-9440-440D607F4D5D}"/>
    <cellStyle name="Normal 5 3 4" xfId="32269" xr:uid="{9005E4E0-32E7-4532-A6B5-FA67DD946F85}"/>
    <cellStyle name="Normal 5 3 4 2" xfId="32262" xr:uid="{C027BEA9-DCFF-4BEA-93B8-65F6CBCE45B8}"/>
    <cellStyle name="Normal 5 3 4 2 2" xfId="28184" xr:uid="{C749B9FA-14A5-496A-8537-7EE95E77BEB5}"/>
    <cellStyle name="Normal 5 3 4 2 2 2" xfId="28182" xr:uid="{9C7E5AEE-7555-412A-9F09-26AB3AE322A6}"/>
    <cellStyle name="Normal 5 3 4 2 2 2 2" xfId="3450" xr:uid="{8AC55D5B-440A-49D2-982B-8C42A9394042}"/>
    <cellStyle name="Normal 5 3 4 2 2 2 2 2" xfId="3897" xr:uid="{48A8C096-47CB-4767-A392-9B96B1F7E949}"/>
    <cellStyle name="Normal 5 3 4 2 2 2 3" xfId="27892" xr:uid="{EDB3FBDD-F767-4063-AC45-896474AF7CEA}"/>
    <cellStyle name="Normal 5 3 4 2 2 3" xfId="33873" xr:uid="{E420098A-5292-4BD2-96AD-0A2314C2C906}"/>
    <cellStyle name="Normal 5 3 4 2 2 3 2" xfId="3449" xr:uid="{76C57774-B016-44B2-8DB9-21B3AFF1D544}"/>
    <cellStyle name="Normal 5 3 4 2 2 4" xfId="3448" xr:uid="{9213FF28-8E0A-4334-AB6C-927B6FB080E4}"/>
    <cellStyle name="Normal 5 3 4 2 3" xfId="28179" xr:uid="{963705FE-5AAA-4C84-A0CB-7C4CF96DDD12}"/>
    <cellStyle name="Normal 5 3 4 2 3 2" xfId="28174" xr:uid="{B6ECE354-F55F-4A49-BD0A-1DD0425A3EFA}"/>
    <cellStyle name="Normal 5 3 4 2 3 2 2" xfId="21662" xr:uid="{3176B530-D183-42FD-8732-34087D240F07}"/>
    <cellStyle name="Normal 5 3 4 2 3 3" xfId="3447" xr:uid="{6FF54ABF-0207-4B91-AE6A-05A4AE29F1D3}"/>
    <cellStyle name="Normal 5 3 4 2 4" xfId="5340" xr:uid="{DD093497-6E64-41A2-9AA6-CA2740391176}"/>
    <cellStyle name="Normal 5 3 4 2 4 2" xfId="3446" xr:uid="{CCDA46F6-445D-4D3C-9B3C-7FFE22C86B60}"/>
    <cellStyle name="Normal 5 3 4 2 5" xfId="3445" xr:uid="{7DB641D8-9CAB-47DB-883E-9EF24198C94F}"/>
    <cellStyle name="Normal 5 3 4 3" xfId="28171" xr:uid="{72CE0180-063D-492A-A6C7-02657CF00684}"/>
    <cellStyle name="Normal 5 3 4 3 2" xfId="28168" xr:uid="{CE06FDD6-20D5-41AB-BCA7-F416C3CE7CE2}"/>
    <cellStyle name="Normal 5 3 4 3 2 2" xfId="28166" xr:uid="{0F9C04DF-5639-4104-BCF8-914EEF7457A9}"/>
    <cellStyle name="Normal 5 3 4 3 2 2 2" xfId="3444" xr:uid="{CB936F62-B928-4BC7-A1E5-08F25A10F68B}"/>
    <cellStyle name="Normal 5 3 4 3 2 3" xfId="3443" xr:uid="{2AFDE58E-2C77-4938-B99E-738C01E9D095}"/>
    <cellStyle name="Normal 5 3 4 3 3" xfId="28163" xr:uid="{27A74FBC-EBC3-4754-B1E1-68F0649B525E}"/>
    <cellStyle name="Normal 5 3 4 3 3 2" xfId="3442" xr:uid="{6B234373-C174-4C2C-B8BA-FAA76B1C4DBD}"/>
    <cellStyle name="Normal 5 3 4 3 4" xfId="3441" xr:uid="{3D734C57-4697-4A42-9D46-056754F8D16C}"/>
    <cellStyle name="Normal 5 3 4 4" xfId="28161" xr:uid="{30469200-D52D-477D-9BF8-85DE1F75F9B7}"/>
    <cellStyle name="Normal 5 3 4 4 2" xfId="34167" xr:uid="{BF158DCD-ACAD-44C4-87DA-3EC4F5AE7F24}"/>
    <cellStyle name="Normal 5 3 4 4 2 2" xfId="32288" xr:uid="{1155D80B-3639-4B54-BEB1-43C7C3D32EB8}"/>
    <cellStyle name="Normal 5 3 4 4 3" xfId="3440" xr:uid="{524DE943-D8F0-4ED4-B7CF-3DBA4E1CFE9B}"/>
    <cellStyle name="Normal 5 3 4 5" xfId="28154" xr:uid="{CC9FC847-C0C3-4D94-A69A-254B05833FC7}"/>
    <cellStyle name="Normal 5 3 4 5 2" xfId="3439" xr:uid="{6C25C438-71F4-489F-A681-F210BDB94D00}"/>
    <cellStyle name="Normal 5 3 4 6" xfId="3438" xr:uid="{4418806F-61C8-4BB0-9443-C98348E6E8E6}"/>
    <cellStyle name="Normal 5 3 5" xfId="33700" xr:uid="{2C62D65F-5DC7-436A-8061-99EE1632EA30}"/>
    <cellStyle name="Normal 5 3 5 2" xfId="28150" xr:uid="{5868B363-2CD3-4EE4-B30A-E4EB9A53CB19}"/>
    <cellStyle name="Normal 5 3 5 2 2" xfId="22685" xr:uid="{C1D8794F-98F0-483D-BC69-A81FAE265AC6}"/>
    <cellStyle name="Normal 5 3 5 2 2 2" xfId="6588" xr:uid="{C5967450-DBC3-483B-B41C-21B5554349EE}"/>
    <cellStyle name="Normal 5 3 5 2 2 2 2" xfId="6586" xr:uid="{DD4F7BD5-935B-42D7-94FC-82A73A94293C}"/>
    <cellStyle name="Normal 5 3 5 2 2 3" xfId="6574" xr:uid="{E28C6C61-6DD5-4873-A20C-FB03D20774F7}"/>
    <cellStyle name="Normal 5 3 5 2 3" xfId="22681" xr:uid="{62CE2D96-0E3B-4898-93C5-EA4BD20F6E7B}"/>
    <cellStyle name="Normal 5 3 5 2 3 2" xfId="30117" xr:uid="{14F20FA9-38A1-45E1-BDB1-5C3608548AB0}"/>
    <cellStyle name="Normal 5 3 5 2 4" xfId="3437" xr:uid="{C256F59C-EAA0-4756-9DAD-551518F778B6}"/>
    <cellStyle name="Normal 5 3 5 3" xfId="28147" xr:uid="{F66C30BD-6350-43EE-8631-74708ACF8D40}"/>
    <cellStyle name="Normal 5 3 5 3 2" xfId="28135" xr:uid="{EE8A5DF4-28E0-4CBF-8E13-D2DB87D32A10}"/>
    <cellStyle name="Normal 5 3 5 3 2 2" xfId="6451" xr:uid="{7F38E7F9-EFE9-466A-B694-11FD38807636}"/>
    <cellStyle name="Normal 5 3 5 3 3" xfId="3436" xr:uid="{85931A54-CE65-4DE4-9C1B-D0AFFAD3DB80}"/>
    <cellStyle name="Normal 5 3 5 4" xfId="28133" xr:uid="{B21AD89F-F241-4409-8045-EB57367EDC54}"/>
    <cellStyle name="Normal 5 3 5 4 2" xfId="34033" xr:uid="{62EC0316-A0B0-4B9C-B259-40C1643D2CCD}"/>
    <cellStyle name="Normal 5 3 5 5" xfId="3435" xr:uid="{A7BB46A8-97A1-492B-B6EE-EB76FEC3E3E4}"/>
    <cellStyle name="Normal 5 3 6" xfId="22661" xr:uid="{A8BEF4EE-E391-47AE-AA02-8838F4BF4EB3}"/>
    <cellStyle name="Normal 5 3 6 2" xfId="21015" xr:uid="{47DF85CF-444C-4C04-9AC2-C5FE66F6BAF6}"/>
    <cellStyle name="Normal 5 3 6 2 2" xfId="22668" xr:uid="{FCB02F07-4BA7-4FF9-9F82-5091BDFF1BD6}"/>
    <cellStyle name="Normal 5 3 6 2 2 2" xfId="21137" xr:uid="{C8C01F10-C74D-4DE4-BF48-5409589CF115}"/>
    <cellStyle name="Normal 5 3 6 2 3" xfId="3434" xr:uid="{11966BFB-BFF1-4DF9-BB26-DF4C4438EB0A}"/>
    <cellStyle name="Normal 5 3 6 3" xfId="19112" xr:uid="{229BD772-8D86-4E63-B298-E5AD72B5CAA5}"/>
    <cellStyle name="Normal 5 3 6 3 2" xfId="3433" xr:uid="{09CEC860-18A7-4007-BC77-ADE03BBEF0E8}"/>
    <cellStyle name="Normal 5 3 6 4" xfId="19106" xr:uid="{122F82C5-4273-4EB8-BFB9-E32BC636FC05}"/>
    <cellStyle name="Normal 5 3 7" xfId="33325" xr:uid="{8CB488C0-AD30-46DC-AAAE-AC79769EFFF1}"/>
    <cellStyle name="Normal 5 3 7 2" xfId="21004" xr:uid="{63EF0A08-F2F8-4A66-B731-86DA55C2643A}"/>
    <cellStyle name="Normal 5 3 7 2 2" xfId="3432" xr:uid="{E13C7368-820C-4834-A21D-963D2F9BB805}"/>
    <cellStyle name="Normal 5 3 7 3" xfId="20907" xr:uid="{6D48A4D4-4929-45B9-AE3E-4415A6DC7418}"/>
    <cellStyle name="Normal 5 3 8" xfId="33092" xr:uid="{33B41378-7CB5-43CB-B9AE-D7C99FF65A03}"/>
    <cellStyle name="Normal 5 3 8 2" xfId="20902" xr:uid="{5E97457A-B655-408A-93F9-E7044BDA298D}"/>
    <cellStyle name="Normal 5 3 9" xfId="3431" xr:uid="{BB5C2500-875A-4446-843E-D709999B30FB}"/>
    <cellStyle name="Normal 5 4" xfId="3430" xr:uid="{0535A927-9E12-4373-A0E7-5EE8E9FA0D74}"/>
    <cellStyle name="Normal 5 4 2" xfId="3429" xr:uid="{3F8412C4-DAD2-40FE-A07C-DEFDE7643271}"/>
    <cellStyle name="Normal 5 4 2 2" xfId="8323" xr:uid="{F15431E9-18D2-4F81-8D0E-516ED9ACE4A3}"/>
    <cellStyle name="Normal 5 4 2 2 2" xfId="3428" xr:uid="{41BBDB15-098F-4377-BCC5-0F824CC2D82C}"/>
    <cellStyle name="Normal 5 4 2 2 2 2" xfId="24398" xr:uid="{06A8DD26-5217-44CC-ADA8-38BA8683AC0C}"/>
    <cellStyle name="Normal 5 4 2 2 2 2 2" xfId="3427" xr:uid="{8416C4E3-5C28-4B91-895A-233E4CB487D3}"/>
    <cellStyle name="Normal 5 4 2 2 2 2 2 2" xfId="3426" xr:uid="{AC8894A1-9302-4D92-9327-122C935CAB29}"/>
    <cellStyle name="Normal 5 4 2 2 2 2 2 2 2" xfId="3425" xr:uid="{5834588D-3784-4D94-829E-7807E85250B2}"/>
    <cellStyle name="Normal 5 4 2 2 2 2 2 3" xfId="23781" xr:uid="{77FA54FD-B1A9-4533-8217-DDF5352CD224}"/>
    <cellStyle name="Normal 5 4 2 2 2 2 3" xfId="3424" xr:uid="{15CB31F5-63DD-4378-A37E-1307F5D3B2D2}"/>
    <cellStyle name="Normal 5 4 2 2 2 2 3 2" xfId="3423" xr:uid="{D5B84B88-F18E-4DAC-B91A-D494EBD797CE}"/>
    <cellStyle name="Normal 5 4 2 2 2 2 4" xfId="4233" xr:uid="{3C236223-9B22-4EBC-904B-CBE6E19D2A11}"/>
    <cellStyle name="Normal 5 4 2 2 2 3" xfId="3422" xr:uid="{29F57F0D-ADEA-4808-9764-0FEF130DA8BD}"/>
    <cellStyle name="Normal 5 4 2 2 2 3 2" xfId="3421" xr:uid="{57C30744-D5A4-4200-AFB1-338A44E8613D}"/>
    <cellStyle name="Normal 5 4 2 2 2 3 2 2" xfId="3420" xr:uid="{E10FA39A-C61A-4655-83B3-ABF2D3A7FDC8}"/>
    <cellStyle name="Normal 5 4 2 2 2 3 3" xfId="8469" xr:uid="{9BC7FC10-F111-42A4-B471-9C6A7F5D8DB5}"/>
    <cellStyle name="Normal 5 4 2 2 2 4" xfId="11585" xr:uid="{740ACC51-3349-497A-AAFE-59B9E4038C7B}"/>
    <cellStyle name="Normal 5 4 2 2 2 4 2" xfId="32918" xr:uid="{4115F46E-3DCF-4B6F-B86F-E6D8028D89DB}"/>
    <cellStyle name="Normal 5 4 2 2 2 5" xfId="11582" xr:uid="{DFB76D1E-294C-4161-B404-9BEE14FCAB41}"/>
    <cellStyle name="Normal 5 4 2 2 3" xfId="3419" xr:uid="{EF526D2E-EE8C-4291-9D4B-1C62377D4E86}"/>
    <cellStyle name="Normal 5 4 2 2 3 2" xfId="3417" xr:uid="{02E968BF-631D-478F-9BD6-938113C96C2A}"/>
    <cellStyle name="Normal 5 4 2 2 3 2 2" xfId="3415" xr:uid="{8FE63E6E-72B3-4E98-86BC-CA95AB5F293D}"/>
    <cellStyle name="Normal 5 4 2 2 3 2 2 2" xfId="30473" xr:uid="{2FD2A8F8-64DB-4902-9D2A-6AB6412A68C1}"/>
    <cellStyle name="Normal 5 4 2 2 3 2 3" xfId="3413" xr:uid="{7A33E593-04CF-48FC-8E19-B571629A38E6}"/>
    <cellStyle name="Normal 5 4 2 2 3 3" xfId="3411" xr:uid="{2928FF0F-0BFD-41B5-AA21-EF1E505F9A60}"/>
    <cellStyle name="Normal 5 4 2 2 3 3 2" xfId="3409" xr:uid="{25943C1F-9733-4717-80A2-D2F417D1FADF}"/>
    <cellStyle name="Normal 5 4 2 2 3 4" xfId="18771" xr:uid="{7E9DCC7D-8E57-48F4-8F58-BEB7E669312E}"/>
    <cellStyle name="Normal 5 4 2 2 4" xfId="5191" xr:uid="{6C9CC1EA-2B3B-485B-8A0B-3412EAE3C859}"/>
    <cellStyle name="Normal 5 4 2 2 4 2" xfId="5188" xr:uid="{03E0EF36-50DF-412E-80A4-8635C4DD094C}"/>
    <cellStyle name="Normal 5 4 2 2 4 2 2" xfId="19202" xr:uid="{39A449EE-F6D4-410F-937C-2D35A797AFC1}"/>
    <cellStyle name="Normal 5 4 2 2 4 3" xfId="3407" xr:uid="{BDBCA237-A986-493A-8034-8B49BBCB9D0B}"/>
    <cellStyle name="Normal 5 4 2 2 5" xfId="5185" xr:uid="{D6C09E59-7316-4492-81DE-FCB6BDD51A56}"/>
    <cellStyle name="Normal 5 4 2 2 5 2" xfId="3405" xr:uid="{8C8872E4-0DA0-499A-85EC-1B712FADA21F}"/>
    <cellStyle name="Normal 5 4 2 2 6" xfId="9972" xr:uid="{4D6A093F-DC96-49C2-A975-9E2FAAFB4EA7}"/>
    <cellStyle name="Normal 5 4 2 3" xfId="8321" xr:uid="{3A4FD4FC-2546-42AF-950C-7AA6E58DB5C1}"/>
    <cellStyle name="Normal 5 4 2 3 2" xfId="3403" xr:uid="{9C94D61B-4608-437E-9A26-942D93CAF37B}"/>
    <cellStyle name="Normal 5 4 2 3 2 2" xfId="27626" xr:uid="{46CE878F-36B3-4F81-BC91-58EC6B411FFD}"/>
    <cellStyle name="Normal 5 4 2 3 2 2 2" xfId="3401" xr:uid="{571C2D38-D526-4798-9DA2-5CBD0BF2792C}"/>
    <cellStyle name="Normal 5 4 2 3 2 2 2 2" xfId="3400" xr:uid="{662A4351-F272-4D61-B438-AED28C71043D}"/>
    <cellStyle name="Normal 5 4 2 3 2 2 3" xfId="27653" xr:uid="{1769419A-3C6A-4B54-936D-E3DB8BCC1CD3}"/>
    <cellStyle name="Normal 5 4 2 3 2 3" xfId="27623" xr:uid="{E8D79E02-8150-47A7-B8B3-696932650998}"/>
    <cellStyle name="Normal 5 4 2 3 2 3 2" xfId="3399" xr:uid="{B47E439C-1413-4E6A-9394-087E6030F235}"/>
    <cellStyle name="Normal 5 4 2 3 2 4" xfId="11545" xr:uid="{F13B3FE7-C3F4-4343-B01B-9B5333454C05}"/>
    <cellStyle name="Normal 5 4 2 3 3" xfId="3398" xr:uid="{2B1B6789-C676-4396-89BC-9178ABEF209E}"/>
    <cellStyle name="Normal 5 4 2 3 3 2" xfId="27615" xr:uid="{7DD0AA02-EA51-49AE-AF19-B1864C2A9C10}"/>
    <cellStyle name="Normal 5 4 2 3 3 2 2" xfId="3395" xr:uid="{1CB782FC-61B6-4697-8D9A-2A867B9EC990}"/>
    <cellStyle name="Normal 5 4 2 3 3 3" xfId="3393" xr:uid="{05E4FB81-D397-4942-B9B5-8E7E2E73D79C}"/>
    <cellStyle name="Normal 5 4 2 3 4" xfId="17548" xr:uid="{FCCB08CD-FB0A-4C4C-A874-38DBA6BC7BF9}"/>
    <cellStyle name="Normal 5 4 2 3 4 2" xfId="3391" xr:uid="{C1E0B275-1187-4C34-8A34-021FF9648CA9}"/>
    <cellStyle name="Normal 5 4 2 3 5" xfId="3389" xr:uid="{DF3FAEB2-6234-4F79-B787-34AEDA46DFC7}"/>
    <cellStyle name="Normal 5 4 2 4" xfId="3387" xr:uid="{2E9E671D-547D-4DF0-A47D-18B89CDCD2CF}"/>
    <cellStyle name="Normal 5 4 2 4 2" xfId="3386" xr:uid="{15B47933-076D-4F09-9237-ED68EAD4A38B}"/>
    <cellStyle name="Normal 5 4 2 4 2 2" xfId="27606" xr:uid="{085239C9-1961-4E44-8AE4-8EC443F3A19C}"/>
    <cellStyle name="Normal 5 4 2 4 2 2 2" xfId="3384" xr:uid="{02913CE4-CAA6-4751-93E6-A3ADD4B03A00}"/>
    <cellStyle name="Normal 5 4 2 4 2 3" xfId="3383" xr:uid="{B48992EA-67E3-427D-8B40-4C7BC556000A}"/>
    <cellStyle name="Normal 5 4 2 4 3" xfId="3382" xr:uid="{842AC08C-70AA-4732-B844-ECC9420F6B0E}"/>
    <cellStyle name="Normal 5 4 2 4 3 2" xfId="3380" xr:uid="{763AB6A0-68EE-42D2-9C4B-23DE07337F6C}"/>
    <cellStyle name="Normal 5 4 2 4 4" xfId="3378" xr:uid="{2ADB8975-00EC-4190-8D8F-BDD84A36C41E}"/>
    <cellStyle name="Normal 5 4 2 5" xfId="3376" xr:uid="{0FBBE10F-652F-4C1C-9BA5-6618CBF62336}"/>
    <cellStyle name="Normal 5 4 2 5 2" xfId="3375" xr:uid="{20175D21-7FDC-4776-AF86-5BD0792B72EE}"/>
    <cellStyle name="Normal 5 4 2 5 2 2" xfId="3374" xr:uid="{9BCD591D-0D1C-4693-BCB1-D5B0A7915EB9}"/>
    <cellStyle name="Normal 5 4 2 5 3" xfId="3372" xr:uid="{93F36AF1-560E-4C02-8767-4EFD1EFB600A}"/>
    <cellStyle name="Normal 5 4 2 6" xfId="3370" xr:uid="{9B91A387-95F8-4596-BDCF-04AA6C34E000}"/>
    <cellStyle name="Normal 5 4 2 6 2" xfId="3369" xr:uid="{70816C3E-96E0-4C25-8B5E-DE264C0F4287}"/>
    <cellStyle name="Normal 5 4 2 7" xfId="3368" xr:uid="{2D39E61D-9E52-4B89-87B1-FBEF3B4801A8}"/>
    <cellStyle name="Normal 5 4 3" xfId="3367" xr:uid="{652DD4B9-2AE7-4351-AAAD-5D3AA7CD5656}"/>
    <cellStyle name="Normal 5 4 3 2" xfId="12050" xr:uid="{185F9DD6-3A8B-42C9-8133-D84A7501ACAC}"/>
    <cellStyle name="Normal 5 4 3 2 2" xfId="3366" xr:uid="{D7A48A31-4C5D-4833-B5E8-FF87333627D9}"/>
    <cellStyle name="Normal 5 4 3 2 2 2" xfId="3365" xr:uid="{F9C5EBBA-6867-4828-B472-2EA3DD48DD26}"/>
    <cellStyle name="Normal 5 4 3 2 2 2 2" xfId="3364" xr:uid="{2C7EAEF4-CB77-40DB-8CEA-88FDF9C309C9}"/>
    <cellStyle name="Normal 5 4 3 2 2 2 2 2" xfId="3363" xr:uid="{582D1566-CF66-430E-A4F3-A2042800062B}"/>
    <cellStyle name="Normal 5 4 3 2 2 2 3" xfId="3362" xr:uid="{1AB7681D-BD21-4D8A-AFB3-926835301FA0}"/>
    <cellStyle name="Normal 5 4 3 2 2 3" xfId="3361" xr:uid="{8E872E10-63F4-44A1-BCA5-E05F16244D3A}"/>
    <cellStyle name="Normal 5 4 3 2 2 3 2" xfId="16812" xr:uid="{50BC7D17-1980-4568-A0BB-F3553AB8015C}"/>
    <cellStyle name="Normal 5 4 3 2 2 4" xfId="11471" xr:uid="{92B2F6EE-5BF2-45B4-A023-188DD4EB48AD}"/>
    <cellStyle name="Normal 5 4 3 2 3" xfId="3360" xr:uid="{13704E11-B9C8-4A98-86C0-C01F63C26742}"/>
    <cellStyle name="Normal 5 4 3 2 3 2" xfId="3358" xr:uid="{8795DB5D-DF60-477A-B6B4-423BCEC93008}"/>
    <cellStyle name="Normal 5 4 3 2 3 2 2" xfId="3356" xr:uid="{ABE5D993-86AE-42F2-8953-772C8BCEE7F1}"/>
    <cellStyle name="Normal 5 4 3 2 3 3" xfId="3354" xr:uid="{D33C148D-FE2C-4010-AB20-D32E7DB3CE16}"/>
    <cellStyle name="Normal 5 4 3 2 4" xfId="5167" xr:uid="{CB1A29F5-E2A1-46C5-A5E6-7FBB73D95335}"/>
    <cellStyle name="Normal 5 4 3 2 4 2" xfId="3352" xr:uid="{BFF42CAB-30B9-4D96-B175-1BA8E0E48BA4}"/>
    <cellStyle name="Normal 5 4 3 2 5" xfId="3350" xr:uid="{01EC7812-92B4-4714-9C86-AE87DD9CD1B9}"/>
    <cellStyle name="Normal 5 4 3 3" xfId="3348" xr:uid="{33FD1A3B-9F09-4BDF-8814-7875E78FD493}"/>
    <cellStyle name="Normal 5 4 3 3 2" xfId="3347" xr:uid="{B6010A46-E9A4-4E96-BCDF-B6378E215493}"/>
    <cellStyle name="Normal 5 4 3 3 2 2" xfId="27595" xr:uid="{CFDA0213-19B4-4498-9488-4390A26458DE}"/>
    <cellStyle name="Normal 5 4 3 3 2 2 2" xfId="3345" xr:uid="{3690F37E-F471-49A2-9555-4005B412A119}"/>
    <cellStyle name="Normal 5 4 3 3 2 3" xfId="3344" xr:uid="{E8B50627-3611-4200-B546-BFB7AF9A9BD1}"/>
    <cellStyle name="Normal 5 4 3 3 3" xfId="3343" xr:uid="{0FD56C34-39B2-402A-9D52-08E583136ECF}"/>
    <cellStyle name="Normal 5 4 3 3 3 2" xfId="3341" xr:uid="{7E583123-E7C1-49EE-8CF9-235BB7BE80AD}"/>
    <cellStyle name="Normal 5 4 3 3 4" xfId="3339" xr:uid="{5F806A60-00AD-4915-9754-E975EF5B16E3}"/>
    <cellStyle name="Normal 5 4 3 4" xfId="3337" xr:uid="{25D072E1-B0DC-4F1E-ACEE-6EFA6711F685}"/>
    <cellStyle name="Normal 5 4 3 4 2" xfId="6043" xr:uid="{70A2476F-229C-4A3E-BFF7-7AC3A5E47948}"/>
    <cellStyle name="Normal 5 4 3 4 2 2" xfId="3336" xr:uid="{3B31F634-1473-4CE8-93CE-B2840432B7EA}"/>
    <cellStyle name="Normal 5 4 3 4 3" xfId="3335" xr:uid="{0197CEA4-0782-4723-A2BA-FE3965706B7F}"/>
    <cellStyle name="Normal 5 4 3 5" xfId="3333" xr:uid="{E8C34391-5464-413A-8DF1-8E1D4FB6FD0B}"/>
    <cellStyle name="Normal 5 4 3 5 2" xfId="34060" xr:uid="{1072A19A-2AD7-4461-958B-487E9334CD41}"/>
    <cellStyle name="Normal 5 4 3 6" xfId="3332" xr:uid="{CBF47EDB-2A3C-4ED8-8A27-6DFB290ADC9E}"/>
    <cellStyle name="Normal 5 4 4" xfId="34068" xr:uid="{B2E4A4F6-1F8A-4FED-BBFE-6690CF126CD1}"/>
    <cellStyle name="Normal 5 4 4 2" xfId="31277" xr:uid="{02551A5B-A30D-4C82-AB61-02C635E2979A}"/>
    <cellStyle name="Normal 5 4 4 2 2" xfId="29826" xr:uid="{1027CEEB-82FA-4D8F-85B7-2A3E2387E298}"/>
    <cellStyle name="Normal 5 4 4 2 2 2" xfId="28117" xr:uid="{7B1959C2-F8D1-439F-9C49-832A573A2EC1}"/>
    <cellStyle name="Normal 5 4 4 2 2 2 2" xfId="3331" xr:uid="{E6B3087F-6E83-4E99-914C-4A66B77C15E1}"/>
    <cellStyle name="Normal 5 4 4 2 2 3" xfId="3330" xr:uid="{93AB7ADF-A328-4527-9C3A-94FCB633A73F}"/>
    <cellStyle name="Normal 5 4 4 2 3" xfId="29822" xr:uid="{8800D7CA-D6C2-49CE-9399-28DCB07A97BC}"/>
    <cellStyle name="Normal 5 4 4 2 3 2" xfId="3329" xr:uid="{C5D2DA31-3E0B-4D69-84EC-FE417EA6251F}"/>
    <cellStyle name="Normal 5 4 4 2 4" xfId="3327" xr:uid="{706AA2BF-46B8-42B6-A904-A5CE14234C64}"/>
    <cellStyle name="Normal 5 4 4 3" xfId="29815" xr:uid="{BE67AAEA-A702-41D0-BC36-24C0567BB584}"/>
    <cellStyle name="Normal 5 4 4 3 2" xfId="29811" xr:uid="{B4102619-F711-406E-A0B5-54FB55EEDAA5}"/>
    <cellStyle name="Normal 5 4 4 3 2 2" xfId="3325" xr:uid="{55EB0ACC-D04A-481E-B717-5C806C1FE307}"/>
    <cellStyle name="Normal 5 4 4 3 3" xfId="3324" xr:uid="{E2EF772D-C218-45E0-96DF-4B86C211EA14}"/>
    <cellStyle name="Normal 5 4 4 4" xfId="29801" xr:uid="{CD048810-3CF0-43B0-8A2E-5F1428C1B16A}"/>
    <cellStyle name="Normal 5 4 4 4 2" xfId="3322" xr:uid="{A53EB6D9-E0B9-4277-828A-D8D91EE398AA}"/>
    <cellStyle name="Normal 5 4 4 5" xfId="3321" xr:uid="{AF85B585-092F-4758-BDA9-AB42ABC7C27D}"/>
    <cellStyle name="Normal 5 4 5" xfId="28115" xr:uid="{53EF67D0-BBDD-4CC9-81F7-279C52CAE3A8}"/>
    <cellStyle name="Normal 5 4 5 2" xfId="29779" xr:uid="{E424BADC-8176-487F-BEB3-67CF4B657C04}"/>
    <cellStyle name="Normal 5 4 5 2 2" xfId="25336" xr:uid="{DF1BEDC6-20FA-4A2D-B952-F5D0799C6465}"/>
    <cellStyle name="Normal 5 4 5 2 2 2" xfId="11092" xr:uid="{EF9389F1-6AE5-4E37-A7F7-024C308B1BB3}"/>
    <cellStyle name="Normal 5 4 5 2 3" xfId="3320" xr:uid="{06A3AE33-671C-4F94-A621-8953248E6C18}"/>
    <cellStyle name="Normal 5 4 5 3" xfId="34099" xr:uid="{58AB98CF-06E2-4CEA-87B9-D557124CF9D3}"/>
    <cellStyle name="Normal 5 4 5 3 2" xfId="3318" xr:uid="{97908029-C7CD-446B-83E3-7BD14F9E2E80}"/>
    <cellStyle name="Normal 5 4 5 4" xfId="3317" xr:uid="{7EB04A02-E4F6-4099-A108-487BE4B5F5DA}"/>
    <cellStyle name="Normal 5 4 6" xfId="28111" xr:uid="{D83A1F51-F6C4-47E7-AF50-994A02FA1BC0}"/>
    <cellStyle name="Normal 5 4 6 2" xfId="5534" xr:uid="{F2F18E12-CDF7-4D3B-963D-EECAB8DDE5CB}"/>
    <cellStyle name="Normal 5 4 6 2 2" xfId="3316" xr:uid="{4CAF7C54-4702-44C2-85B2-F38B2F863709}"/>
    <cellStyle name="Normal 5 4 6 3" xfId="23164" xr:uid="{2E8D78B5-7683-4C8C-83EC-3DF2852A7CD4}"/>
    <cellStyle name="Normal 5 4 7" xfId="21812" xr:uid="{C5D04D1D-2544-4669-9F46-C3DF72E27155}"/>
    <cellStyle name="Normal 5 4 7 2" xfId="20889" xr:uid="{DB6B47E1-5994-4819-91B1-9E2D3AFF59A6}"/>
    <cellStyle name="Normal 5 4 8" xfId="3315" xr:uid="{9D12E4B2-6082-4132-98E2-212657D9A760}"/>
    <cellStyle name="Normal 5 5" xfId="6621" xr:uid="{E5EEF67F-C24F-4A3F-AEB5-8A8878E1586F}"/>
    <cellStyle name="Normal 5 5 2" xfId="3314" xr:uid="{DE149537-8B13-4D32-A481-EE1CA89C643A}"/>
    <cellStyle name="Normal 5 5 2 2" xfId="16207" xr:uid="{CEC8D91D-439A-42D2-A160-057DACE6D6F1}"/>
    <cellStyle name="Normal 5 5 2 2 2" xfId="3313" xr:uid="{754F62D4-0573-4C58-A990-277D0CDFF7AF}"/>
    <cellStyle name="Normal 5 5 2 2 2 2" xfId="3312" xr:uid="{26209C65-8E52-4001-9045-924E704318D6}"/>
    <cellStyle name="Normal 5 5 2 2 2 2 2" xfId="3311" xr:uid="{3DAD0139-1541-4696-8B1C-A453ADDB1AD3}"/>
    <cellStyle name="Normal 5 5 2 2 2 2 2 2" xfId="33366" xr:uid="{96D8A689-C4C7-41FE-99EF-37D65BD200A8}"/>
    <cellStyle name="Normal 5 5 2 2 2 2 3" xfId="3310" xr:uid="{B8752E9E-78F6-4BD1-9EFA-536E5D6D00A7}"/>
    <cellStyle name="Normal 5 5 2 2 2 3" xfId="3309" xr:uid="{B28A44A1-F3FA-46F8-A12A-C1B556D33078}"/>
    <cellStyle name="Normal 5 5 2 2 2 3 2" xfId="3308" xr:uid="{8023ADCD-D58F-4CA2-96E8-AFF960F5CCEC}"/>
    <cellStyle name="Normal 5 5 2 2 2 4" xfId="11300" xr:uid="{41E53DFF-084F-4AAB-B272-B77B053F7BE3}"/>
    <cellStyle name="Normal 5 5 2 2 3" xfId="3944" xr:uid="{7D24A8CD-4CE4-41ED-A188-B122C102D774}"/>
    <cellStyle name="Normal 5 5 2 2 3 2" xfId="3941" xr:uid="{A3EC4E3D-F08D-4AF3-B938-14FCD5832D8D}"/>
    <cellStyle name="Normal 5 5 2 2 3 2 2" xfId="3307" xr:uid="{1E9DC041-9F53-42E0-9134-DBAA6D888D56}"/>
    <cellStyle name="Normal 5 5 2 2 3 3" xfId="4298" xr:uid="{CC1ECE34-461C-471C-BF68-423527CCDB09}"/>
    <cellStyle name="Normal 5 5 2 2 4" xfId="30265" xr:uid="{AC575ED8-DB9E-4D7F-81B3-A6D019282AF3}"/>
    <cellStyle name="Normal 5 5 2 2 4 2" xfId="3305" xr:uid="{05FCBE10-E499-4576-A4EB-5CD9A70241D3}"/>
    <cellStyle name="Normal 5 5 2 2 5" xfId="11743" xr:uid="{A64FF0B2-07C7-4246-ACC6-9CACE1C83A83}"/>
    <cellStyle name="Normal 5 5 2 3" xfId="3303" xr:uid="{460B7F46-6AB8-473A-AF75-3F79A36D62C0}"/>
    <cellStyle name="Normal 5 5 2 3 2" xfId="3302" xr:uid="{856CDB65-585A-40CF-8B79-8DA7C9A3EC36}"/>
    <cellStyle name="Normal 5 5 2 3 2 2" xfId="32067" xr:uid="{11EBDC8D-B8B3-499D-BF5D-A1B00A3B0B8A}"/>
    <cellStyle name="Normal 5 5 2 3 2 2 2" xfId="3300" xr:uid="{82F33E83-8507-4FEE-B8EB-9FB81918306A}"/>
    <cellStyle name="Normal 5 5 2 3 2 3" xfId="3299" xr:uid="{D799CE19-B19F-49AE-8569-E67CCF98237A}"/>
    <cellStyle name="Normal 5 5 2 3 3" xfId="3935" xr:uid="{2316BE69-BAE5-4DBE-B81A-DE170E0E9DB5}"/>
    <cellStyle name="Normal 5 5 2 3 3 2" xfId="3298" xr:uid="{11FBFC04-38F3-4C81-B7D9-8956BBBF8CE9}"/>
    <cellStyle name="Normal 5 5 2 3 4" xfId="3296" xr:uid="{FC9C2A08-78F4-48D9-8A6D-F0B583C65E5A}"/>
    <cellStyle name="Normal 5 5 2 4" xfId="3294" xr:uid="{E2EC3625-D62B-4E7E-A891-C8F48B468867}"/>
    <cellStyle name="Normal 5 5 2 4 2" xfId="30558" xr:uid="{08717DC7-5B6F-4471-8FD5-D1EA6404947B}"/>
    <cellStyle name="Normal 5 5 2 4 2 2" xfId="3293" xr:uid="{C1E49019-5640-4B0D-9F8F-73715F1C0088}"/>
    <cellStyle name="Normal 5 5 2 4 3" xfId="3292" xr:uid="{DC78E307-B4F5-48A8-84A2-C182F93C03DF}"/>
    <cellStyle name="Normal 5 5 2 5" xfId="3290" xr:uid="{C0370D05-68B0-455A-AA46-B7E24DEA8B9B}"/>
    <cellStyle name="Normal 5 5 2 5 2" xfId="3289" xr:uid="{DC272356-F5D9-4B01-8D6A-8E84E506C3A6}"/>
    <cellStyle name="Normal 5 5 2 6" xfId="3288" xr:uid="{E8130BEC-AE9B-4FEC-A9F5-81FF346A2079}"/>
    <cellStyle name="Normal 5 5 2 6 2" xfId="3287" xr:uid="{652DC241-5A6A-46E5-AFF2-3D6B3463A471}"/>
    <cellStyle name="Normal 5 5 2 7" xfId="3286" xr:uid="{3A93F16F-653A-45C1-9399-8B63F0A72A76}"/>
    <cellStyle name="Normal 5 5 3" xfId="3285" xr:uid="{49A12915-ECEC-4ABC-B833-C8F5988D97BD}"/>
    <cellStyle name="Normal 5 5 3 2" xfId="3284" xr:uid="{B8F3A700-9EC3-4F6C-8AC9-0DAEEBB4796B}"/>
    <cellStyle name="Normal 5 5 3 2 2" xfId="3283" xr:uid="{9B79D4D9-BD0B-461F-8097-E4F5A609A11D}"/>
    <cellStyle name="Normal 5 5 3 2 2 2" xfId="3282" xr:uid="{4C6FE293-D992-430F-A836-57E831E0DE5C}"/>
    <cellStyle name="Normal 5 5 3 2 2 2 2" xfId="3281" xr:uid="{985198C2-E53A-482A-B262-3EDA8E978BD7}"/>
    <cellStyle name="Normal 5 5 3 2 2 3" xfId="34407" xr:uid="{04D77393-6207-4F69-AA65-236F873A1F49}"/>
    <cellStyle name="Normal 5 5 3 2 3" xfId="3929" xr:uid="{72920627-50CC-4ACF-9E68-28AC39047F00}"/>
    <cellStyle name="Normal 5 5 3 2 3 2" xfId="3280" xr:uid="{73F49B33-5219-44B5-A8F2-F660BFDA7C84}"/>
    <cellStyle name="Normal 5 5 3 2 4" xfId="3278" xr:uid="{1900CB18-2DE2-414A-A81A-40B12E6C542E}"/>
    <cellStyle name="Normal 5 5 3 3" xfId="3276" xr:uid="{7C1CDDB2-8A1D-4E4D-BF63-0311F1F90C6E}"/>
    <cellStyle name="Normal 5 5 3 3 2" xfId="3275" xr:uid="{BA85EC11-89C3-437A-8430-C2F167E50CED}"/>
    <cellStyle name="Normal 5 5 3 3 2 2" xfId="3274" xr:uid="{CE2B09FA-21E1-4DFD-A1C8-2512B8AD8487}"/>
    <cellStyle name="Normal 5 5 3 3 3" xfId="3273" xr:uid="{B7229DBB-1520-4883-BB69-F67E01F0294D}"/>
    <cellStyle name="Normal 5 5 3 4" xfId="3271" xr:uid="{8DAFAA59-8033-406B-B5F7-730FCDBFEE2F}"/>
    <cellStyle name="Normal 5 5 3 4 2" xfId="3270" xr:uid="{4F101005-D5F3-4053-B1F6-8042B8D5EC9C}"/>
    <cellStyle name="Normal 5 5 3 5" xfId="3269" xr:uid="{2101E054-9DF5-4FD1-95BC-57F5B9B03D7B}"/>
    <cellStyle name="Normal 5 5 4" xfId="17952" xr:uid="{5FBF60CE-58D9-4275-865B-10337DC50B3B}"/>
    <cellStyle name="Normal 5 5 4 2" xfId="29686" xr:uid="{3355A6C8-9768-432A-9FBE-C4EDB22A2691}"/>
    <cellStyle name="Normal 5 5 4 2 2" xfId="24781" xr:uid="{91BD4BFA-1B81-4A05-90F5-F260F63C4397}"/>
    <cellStyle name="Normal 5 5 4 2 2 2" xfId="3268" xr:uid="{54A19851-1014-46A7-B41D-F1747DFD30F7}"/>
    <cellStyle name="Normal 5 5 4 2 3" xfId="3267" xr:uid="{823D46A4-E3E2-42E1-9E8B-34255226AE3F}"/>
    <cellStyle name="Normal 5 5 4 3" xfId="29592" xr:uid="{692320F5-FAE7-4CB4-AFD9-8F3F1ABC888E}"/>
    <cellStyle name="Normal 5 5 4 3 2" xfId="3265" xr:uid="{569355A8-503C-4170-9F31-90D299FB492A}"/>
    <cellStyle name="Normal 5 5 4 4" xfId="3264" xr:uid="{8E334E6F-053F-4A34-A75E-7669276A1654}"/>
    <cellStyle name="Normal 5 5 5" xfId="28109" xr:uid="{AF267D66-88EA-4C76-82C8-9D75CBB0ABC6}"/>
    <cellStyle name="Normal 5 5 5 2" xfId="32536" xr:uid="{DB07D778-6EB2-4EB9-86D4-7E8154CF5CEB}"/>
    <cellStyle name="Normal 5 5 5 2 2" xfId="3263" xr:uid="{FE57D28F-D540-4079-A723-314C9A0D5362}"/>
    <cellStyle name="Normal 5 5 5 3" xfId="20913" xr:uid="{94BA32F6-2D68-471A-9E66-AF32588CDFF2}"/>
    <cellStyle name="Normal 5 5 6" xfId="28106" xr:uid="{CCF4ABDC-45CD-4904-A159-9685635B05CD}"/>
    <cellStyle name="Normal 5 5 6 2" xfId="20881" xr:uid="{FDC6E5C9-E9EB-407D-AA44-EBC18722953E}"/>
    <cellStyle name="Normal 5 5 7" xfId="3262" xr:uid="{61D03462-D392-46F5-A993-90139AC35A0D}"/>
    <cellStyle name="Normal 5 5 7 2" xfId="28709" xr:uid="{55616786-E501-46F3-AC80-9AB70D4E22E3}"/>
    <cellStyle name="Normal 5 5 8" xfId="3260" xr:uid="{F18599AB-5904-4BB3-A96D-36E5D13F0B25}"/>
    <cellStyle name="Normal 5 6" xfId="3258" xr:uid="{92D9F4FC-C135-4FBA-86AD-5786DBD5D391}"/>
    <cellStyle name="Normal 5 6 2" xfId="3257" xr:uid="{90BD4587-E9D9-40F6-9163-465444E39844}"/>
    <cellStyle name="Normal 5 6 2 2" xfId="28611" xr:uid="{85211A8B-DF15-41BD-BBB4-34CFE6FC9F9E}"/>
    <cellStyle name="Normal 5 6 2 2 2" xfId="3256" xr:uid="{19EE66B7-FED0-41BF-AAB3-68D834BC3704}"/>
    <cellStyle name="Normal 5 6 2 2 2 2" xfId="3255" xr:uid="{EB9C6A03-1F26-45F7-A56B-E5C32EA892B0}"/>
    <cellStyle name="Normal 5 6 2 2 2 2 2" xfId="3254" xr:uid="{B875B322-0ADD-457F-8FA5-F0D52AC32127}"/>
    <cellStyle name="Normal 5 6 2 2 2 3" xfId="11368" xr:uid="{4B54EB3D-0AE0-460C-B0D3-35FBC1D18D37}"/>
    <cellStyle name="Normal 5 6 2 2 3" xfId="3906" xr:uid="{32E74BFF-BD72-44BD-8BBC-012E12614FDC}"/>
    <cellStyle name="Normal 5 6 2 2 3 2" xfId="3253" xr:uid="{41FA368A-8E88-4786-B436-490DD297CA2C}"/>
    <cellStyle name="Normal 5 6 2 2 4" xfId="3251" xr:uid="{442A7785-0D8D-4ED8-8DAB-554582C7427C}"/>
    <cellStyle name="Normal 5 6 2 3" xfId="3249" xr:uid="{960D01F2-8288-4CC2-8EBA-A418829D661D}"/>
    <cellStyle name="Normal 5 6 2 3 2" xfId="17816" xr:uid="{76B4A73B-74E2-4FAA-BC5C-CECCD2E3CA47}"/>
    <cellStyle name="Normal 5 6 2 3 2 2" xfId="3248" xr:uid="{DB0AF8D1-C794-499A-A9D9-B49204C67853}"/>
    <cellStyle name="Normal 5 6 2 3 3" xfId="17812" xr:uid="{46048B57-3C36-42DF-8968-551BA7FF9572}"/>
    <cellStyle name="Normal 5 6 2 4" xfId="3247" xr:uid="{69D172E5-B2E7-4609-BB20-5E3823843B8D}"/>
    <cellStyle name="Normal 5 6 2 4 2" xfId="20202" xr:uid="{556303D2-C8AB-4CF0-9BA9-D47648BB4529}"/>
    <cellStyle name="Normal 5 6 2 5" xfId="3246" xr:uid="{2E68CE72-41DD-48D3-8880-69859CD804A8}"/>
    <cellStyle name="Normal 5 6 2 5 2" xfId="3245" xr:uid="{2971F258-BCE7-4432-8A08-3483F223F005}"/>
    <cellStyle name="Normal 5 6 2 6" xfId="3244" xr:uid="{3FA403D9-A682-4388-A5A0-FF0B5D70F74B}"/>
    <cellStyle name="Normal 5 6 2 6 2" xfId="12389" xr:uid="{FC6B47C8-1BCE-4A65-B53F-85CC90EE4250}"/>
    <cellStyle name="Normal 5 6 2 7" xfId="3243" xr:uid="{DEA692A5-6331-4BA7-8C79-C487F93D185C}"/>
    <cellStyle name="Normal 5 6 3" xfId="28287" xr:uid="{243AA088-BCB4-4EEE-9DD7-C63B4858C3B0}"/>
    <cellStyle name="Normal 5 6 3 2" xfId="3242" xr:uid="{54C91C7C-F402-4FC7-A4B2-CD3877FDFFBD}"/>
    <cellStyle name="Normal 5 6 3 2 2" xfId="3241" xr:uid="{60400616-7D3C-49A4-8625-72B47976ABF0}"/>
    <cellStyle name="Normal 5 6 3 2 2 2" xfId="3240" xr:uid="{5141AFF5-3D2F-4171-810A-F414786B8914}"/>
    <cellStyle name="Normal 5 6 3 2 3" xfId="3239" xr:uid="{E64F033B-F9C2-4186-B606-56E1A7CCA5B1}"/>
    <cellStyle name="Normal 5 6 3 3" xfId="3237" xr:uid="{33004554-2173-4F61-B2DB-DFCE8B55ED72}"/>
    <cellStyle name="Normal 5 6 3 3 2" xfId="19376" xr:uid="{BDA4813A-8335-460E-948F-D1103CBEC1CB}"/>
    <cellStyle name="Normal 5 6 3 4" xfId="3236" xr:uid="{ADD89426-B3A8-487E-B491-972FC7A82684}"/>
    <cellStyle name="Normal 5 6 4" xfId="28097" xr:uid="{D41AAA05-6CC2-4D9E-8B08-0361EED5123A}"/>
    <cellStyle name="Normal 5 6 4 2" xfId="21259" xr:uid="{92F4681B-D5C0-4FA1-93FF-8E2A87CDC83E}"/>
    <cellStyle name="Normal 5 6 4 2 2" xfId="3235" xr:uid="{674B01CC-1B57-4567-AE0C-23A8705674DC}"/>
    <cellStyle name="Normal 5 6 4 3" xfId="3234" xr:uid="{0ED4C112-2634-4B68-A124-DDEE4F3AD1E5}"/>
    <cellStyle name="Normal 5 6 5" xfId="30902" xr:uid="{911DC1F0-9CCD-4F94-96A1-FC773F5D44B4}"/>
    <cellStyle name="Normal 5 6 5 2" xfId="13622" xr:uid="{6F1500E0-B6E4-451D-B842-1AB5AF84F8F8}"/>
    <cellStyle name="Normal 5 6 6" xfId="3233" xr:uid="{C4926918-BBF5-4960-88AA-05AEE2C18864}"/>
    <cellStyle name="Normal 5 6 6 2" xfId="25607" xr:uid="{738FA469-3053-4FCD-B113-C6A76541A13D}"/>
    <cellStyle name="Normal 5 6 7" xfId="11036" xr:uid="{F9279C79-5BC7-47D9-9165-9A98329D52DD}"/>
    <cellStyle name="Normal 5 6 7 2" xfId="4808" xr:uid="{F07E7C29-2767-4416-A643-E13583686C7F}"/>
    <cellStyle name="Normal 5 6 8" xfId="3231" xr:uid="{AF498C57-F2C7-4917-A046-4141B9293E35}"/>
    <cellStyle name="Normal 5 7" xfId="3230" xr:uid="{0AD45A03-32D9-4EEE-9067-D7DAFD28815C}"/>
    <cellStyle name="Normal 5 7 2" xfId="3229" xr:uid="{5A237CE2-0D4E-438B-9D9E-1D82AD625EE7}"/>
    <cellStyle name="Normal 5 7 2 2" xfId="3227" xr:uid="{666A9270-1E69-4FF9-B792-621BEF9AAE6B}"/>
    <cellStyle name="Normal 5 7 2 2 2" xfId="3226" xr:uid="{4A3B6913-04C7-4B62-8314-091AE29761A8}"/>
    <cellStyle name="Normal 5 7 2 2 2 2" xfId="3225" xr:uid="{16B8ED32-8357-41CE-B283-1EE0228F11F8}"/>
    <cellStyle name="Normal 5 7 2 2 3" xfId="3224" xr:uid="{16C91F4F-CC8C-45DD-959C-76C235A2E45D}"/>
    <cellStyle name="Normal 5 7 2 3" xfId="3222" xr:uid="{DEC1E978-3BF8-4D02-90DB-AA2EE6DB78E9}"/>
    <cellStyle name="Normal 5 7 2 3 2" xfId="17808" xr:uid="{19EB63FA-E922-44BE-B319-3390A58CC9BB}"/>
    <cellStyle name="Normal 5 7 2 4" xfId="3221" xr:uid="{33880B5A-9849-4EE7-9304-AA59E9437A62}"/>
    <cellStyle name="Normal 5 7 2 4 2" xfId="3220" xr:uid="{00886A92-2403-4467-863B-570BD8B71BA0}"/>
    <cellStyle name="Normal 5 7 2 5" xfId="3219" xr:uid="{45BFB9B2-1896-41A5-BBD3-30AE12DE0404}"/>
    <cellStyle name="Normal 5 7 2 5 2" xfId="3218" xr:uid="{564D16A1-ACED-41DE-8458-0047B6A126DD}"/>
    <cellStyle name="Normal 5 7 2 6" xfId="3217" xr:uid="{9D1B9408-7B3F-4FBF-BC57-79BB89BAB565}"/>
    <cellStyle name="Normal 5 7 2 6 2" xfId="3216" xr:uid="{B76D477C-5080-4889-A80E-3BA4F16084C4}"/>
    <cellStyle name="Normal 5 7 2 7" xfId="3215" xr:uid="{469B4127-AE53-4000-97D8-D291129C9496}"/>
    <cellStyle name="Normal 5 7 3" xfId="3214" xr:uid="{11CFE759-8DAF-43E7-AB7B-77A755740534}"/>
    <cellStyle name="Normal 5 7 3 2" xfId="3213" xr:uid="{39063769-CA75-42C5-BC74-59D0400AA738}"/>
    <cellStyle name="Normal 5 7 3 2 2" xfId="3212" xr:uid="{CD8FA65A-6598-4911-8F00-3A115C15C764}"/>
    <cellStyle name="Normal 5 7 3 3" xfId="17776" xr:uid="{27AA6477-EBA3-4E52-9FDF-9F9EA9541D15}"/>
    <cellStyle name="Normal 5 7 4" xfId="28093" xr:uid="{81F6C9EA-45E7-477A-AC2D-146E226B5358}"/>
    <cellStyle name="Normal 5 7 4 2" xfId="3211" xr:uid="{5D2CBD62-D573-4687-AF43-44E149BD44ED}"/>
    <cellStyle name="Normal 5 7 5" xfId="3210" xr:uid="{F4868EB6-6955-4A6E-AB92-05194CCB158E}"/>
    <cellStyle name="Normal 5 7 5 2" xfId="3209" xr:uid="{E5864582-22C2-4654-A4E8-9184E50CE47B}"/>
    <cellStyle name="Normal 5 7 6" xfId="3208" xr:uid="{995EA0BD-0A10-4735-996C-6E756F2A52D5}"/>
    <cellStyle name="Normal 5 7 6 2" xfId="3206" xr:uid="{C5B8862B-CE2B-44AA-99C0-139B450E2DC5}"/>
    <cellStyle name="Normal 5 7 7" xfId="20626" xr:uid="{A586A3B6-37BB-4DB8-BC9E-05FF745C6735}"/>
    <cellStyle name="Normal 5 7 7 2" xfId="3205" xr:uid="{80AF3B3B-0302-4143-8B75-C66986BDA9ED}"/>
    <cellStyle name="Normal 5 7 8" xfId="21506" xr:uid="{51B25300-AE25-4B0F-A70E-20C12CF6FC86}"/>
    <cellStyle name="Normal 5 8" xfId="22931" xr:uid="{974F1030-D5FF-44FF-A2A9-2DD22B46CD0C}"/>
    <cellStyle name="Normal 5 8 2" xfId="22927" xr:uid="{C71E6803-086E-49DA-A670-175557299B8C}"/>
    <cellStyle name="Normal 5 8 2 2" xfId="33832" xr:uid="{517741C6-2A77-4F34-AAEF-B419A5FBCE75}"/>
    <cellStyle name="Normal 5 8 2 2 2" xfId="3204" xr:uid="{04C8509E-BB95-46F4-95C6-7B45862AAFBD}"/>
    <cellStyle name="Normal 5 8 2 3" xfId="3203" xr:uid="{51F0055F-C220-4507-AE70-724BAF6432BA}"/>
    <cellStyle name="Normal 5 8 2 3 2" xfId="3201" xr:uid="{6B0E6964-154D-4668-99BA-0668385D549A}"/>
    <cellStyle name="Normal 5 8 2 4" xfId="3199" xr:uid="{8335697A-E368-42C4-979F-6A9FE0AABA25}"/>
    <cellStyle name="Normal 5 8 2 4 2" xfId="3197" xr:uid="{7D5F4969-A7E6-4468-9C90-B112FB3CC1B2}"/>
    <cellStyle name="Normal 5 8 2 5" xfId="12756" xr:uid="{C9055280-1146-48E1-A5B8-20CF45541949}"/>
    <cellStyle name="Normal 5 8 2 5 2" xfId="21215" xr:uid="{A488C62D-B640-4A9E-85ED-472B0F33ADBD}"/>
    <cellStyle name="Normal 5 8 2 6" xfId="3196" xr:uid="{A3C4E4A8-41CE-49C8-827E-AFD2C17A0B8E}"/>
    <cellStyle name="Normal 5 8 2 6 2" xfId="3195" xr:uid="{74D3B060-68AB-4A59-BA23-8A870DE52382}"/>
    <cellStyle name="Normal 5 8 2 7" xfId="24727" xr:uid="{CCB45ABE-4446-44EF-8036-07209806D36C}"/>
    <cellStyle name="Normal 5 8 3" xfId="29699" xr:uid="{3BE7B56E-74F1-4790-82F4-6AF349CF3231}"/>
    <cellStyle name="Normal 5 8 3 2" xfId="3194" xr:uid="{1D84CE8B-0904-4E4C-ADA4-3DD8EEBEB8A5}"/>
    <cellStyle name="Normal 5 8 4" xfId="29690" xr:uid="{D8B6B2AD-B65F-4E1E-8584-2D9C50B44A64}"/>
    <cellStyle name="Normal 5 8 4 2" xfId="3193" xr:uid="{C5389EF5-E492-4D85-A2B0-50326578E6F0}"/>
    <cellStyle name="Normal 5 8 5" xfId="33592" xr:uid="{C7138641-2E1F-4D88-82B2-2AA43086555E}"/>
    <cellStyle name="Normal 5 8 5 2" xfId="3192" xr:uid="{C3610F3A-0FDC-4096-99CE-C65DD06B7460}"/>
    <cellStyle name="Normal 5 8 6" xfId="3191" xr:uid="{570197C8-72FF-49AC-A625-D1FEB3A9FB48}"/>
    <cellStyle name="Normal 5 8 6 2" xfId="3190" xr:uid="{BEE6058A-2BE3-499B-87B6-6C5BA5DCE4FE}"/>
    <cellStyle name="Normal 5 8 7" xfId="3189" xr:uid="{A91E9BEC-A963-49A3-AD38-5338AEB60922}"/>
    <cellStyle name="Normal 5 8 7 2" xfId="34383" xr:uid="{8453C638-36F8-4181-BB0B-FB853D71493B}"/>
    <cellStyle name="Normal 5 8 8" xfId="3188" xr:uid="{02449635-FA44-4A0D-8A40-CBA94AFC9790}"/>
    <cellStyle name="Normal 5 9" xfId="22918" xr:uid="{9FE02A53-F2BA-4E0A-8895-6773540C2CA3}"/>
    <cellStyle name="Normal 5 9 2" xfId="22914" xr:uid="{9109A7D9-5981-46E1-98DB-0C6284A5A788}"/>
    <cellStyle name="Normal 5 9 2 2" xfId="3187" xr:uid="{D1E120B9-58C9-4D41-B39D-6A445F2FB15A}"/>
    <cellStyle name="Normal 5 9 2 2 2" xfId="28788" xr:uid="{4A069586-E04C-4031-9EEE-A144DF477F13}"/>
    <cellStyle name="Normal 5 9 2 3" xfId="3185" xr:uid="{EA691626-38F9-4571-9F80-0073204158CC}"/>
    <cellStyle name="Normal 5 9 2 3 2" xfId="23412" xr:uid="{87C9ABB3-BE64-4C87-ABA5-450E252330B4}"/>
    <cellStyle name="Normal 5 9 2 4" xfId="3183" xr:uid="{41BBDEC5-9D21-4F26-B677-018D74736CCB}"/>
    <cellStyle name="Normal 5 9 2 4 2" xfId="3182" xr:uid="{F523508F-DCC0-4EEF-9948-AA58E3313394}"/>
    <cellStyle name="Normal 5 9 2 5" xfId="3181" xr:uid="{93850757-4957-4A70-951A-E99EA64395E3}"/>
    <cellStyle name="Normal 5 9 2 5 2" xfId="3180" xr:uid="{1B3016CB-12D7-4D9B-A04C-925C9B9702BF}"/>
    <cellStyle name="Normal 5 9 2 6" xfId="24316" xr:uid="{9CEADF3A-81AD-41A5-8C5F-69CFBFBA38FE}"/>
    <cellStyle name="Normal 5 9 2 6 2" xfId="3179" xr:uid="{A5CDF97C-8F91-43AC-BC65-5CD0799AA717}"/>
    <cellStyle name="Normal 5 9 2 7" xfId="32880" xr:uid="{4E4535F3-1704-4D0E-9435-E9A27EB75332}"/>
    <cellStyle name="Normal 5 9 3" xfId="29681" xr:uid="{41619297-98E2-428A-B1D6-834CF062476A}"/>
    <cellStyle name="Normal 5 9 3 2" xfId="3178" xr:uid="{30C89EAB-01D4-4BB3-8EE6-787C471DE5D2}"/>
    <cellStyle name="Normal 5 9 4" xfId="33969" xr:uid="{4F0871A0-5F5A-496E-8B58-B282CA713317}"/>
    <cellStyle name="Normal 5 9 4 2" xfId="3177" xr:uid="{F1476CF7-F38C-421C-9A4C-0DA3187D8191}"/>
    <cellStyle name="Normal 5 9 5" xfId="3176" xr:uid="{3F3DDF6F-4033-48E6-BBB8-C5BBCE4D85AC}"/>
    <cellStyle name="Normal 5 9 5 2" xfId="3175" xr:uid="{737B342D-2FE2-4B5A-9D0D-ECBF4ADCBC05}"/>
    <cellStyle name="Normal 5 9 6" xfId="15748" xr:uid="{62CEEF77-6CBE-4794-B2CF-1595AE3AB29B}"/>
    <cellStyle name="Normal 5 9 6 2" xfId="31054" xr:uid="{3AA2698F-57EE-41CE-AF89-8C8C35AE56E8}"/>
    <cellStyle name="Normal 5 9 7" xfId="15737" xr:uid="{E9164275-6AB9-43DF-8127-EEC4CDC01291}"/>
    <cellStyle name="Normal 5 9 7 2" xfId="15734" xr:uid="{1D6842A4-6777-47BA-88C9-435C47C40764}"/>
    <cellStyle name="Normal 5 9 8" xfId="15722" xr:uid="{1C7C3079-C501-492B-87E0-04017E88392A}"/>
    <cellStyle name="Normal 50" xfId="36228" xr:uid="{33205E5E-5479-45E6-B187-7FDF0FED6165}"/>
    <cellStyle name="Normal 51" xfId="38295" xr:uid="{AB18FC81-290C-4BDB-8F4D-0D7081CDE6BB}"/>
    <cellStyle name="Normal 6" xfId="257" xr:uid="{F7BE7E0F-EBB2-4B91-8770-AE2DA0E77D97}"/>
    <cellStyle name="Normal 6 2" xfId="3174" xr:uid="{D821D3CE-AC8F-4945-A3CB-5CAF41781D23}"/>
    <cellStyle name="Normal 6 3" xfId="34574" xr:uid="{AD1C94F1-CF7F-4B59-A682-5E89CD5901E8}"/>
    <cellStyle name="Normal 6 4" xfId="35201" xr:uid="{29076531-D78C-46F2-BE2A-732988092D80}"/>
    <cellStyle name="Normal 6 5" xfId="35430" xr:uid="{9D39C8A8-F937-469D-9562-D0C43759CB97}"/>
    <cellStyle name="Normal 6 6" xfId="36302" xr:uid="{CC4EA990-E7E6-4B59-9607-033C577FF895}"/>
    <cellStyle name="Normal 6 7" xfId="36588" xr:uid="{4FF76750-DBB8-4549-B904-0ACBCF6953D3}"/>
    <cellStyle name="Normal 6 8" xfId="37473" xr:uid="{72067A3C-6DB9-4F7C-99B1-7E5BE6399D44}"/>
    <cellStyle name="Normal 7" xfId="277" xr:uid="{45CBA501-FF58-4B94-966F-0F6C468E3D95}"/>
    <cellStyle name="Normal 7 10" xfId="16877" xr:uid="{98F91184-259E-446B-B703-2848BE5010BF}"/>
    <cellStyle name="Normal 7 11" xfId="34588" xr:uid="{022BBBDB-8B79-4512-B58A-903750516F12}"/>
    <cellStyle name="Normal 7 2" xfId="3172" xr:uid="{516C68AE-BFB5-4933-B582-80EF697EEA0F}"/>
    <cellStyle name="Normal 7 2 2" xfId="3170" xr:uid="{74A856CC-1F4F-43D1-AA88-55B5A82F2D16}"/>
    <cellStyle name="Normal 7 2 2 2" xfId="3168" xr:uid="{729E097C-DE6E-455D-9BC9-8CB0A7BF06A5}"/>
    <cellStyle name="Normal 7 2 2 2 2" xfId="19654" xr:uid="{CC0CE175-4CC5-42EF-8E77-6AE19FE2E0B2}"/>
    <cellStyle name="Normal 7 2 2 2 2 2" xfId="15242" xr:uid="{236495AF-71CC-46B2-A8A4-B629B3BA43C4}"/>
    <cellStyle name="Normal 7 2 2 2 2 2 2" xfId="15240" xr:uid="{F8ABC1B7-CC2C-413D-8B40-14C0A0D3BA6F}"/>
    <cellStyle name="Normal 7 2 2 2 2 2 2 2" xfId="3166" xr:uid="{6A28F01C-4849-4524-ACFE-77CCF9A27176}"/>
    <cellStyle name="Normal 7 2 2 2 2 2 2 2 2" xfId="33004" xr:uid="{233150B0-07E9-40E8-8789-16C49386C9B3}"/>
    <cellStyle name="Normal 7 2 2 2 2 2 2 2 2 2" xfId="16157" xr:uid="{C07575EB-70E9-4326-914D-A1F26D1538D8}"/>
    <cellStyle name="Normal 7 2 2 2 2 2 2 2 3" xfId="28747" xr:uid="{43695719-E382-495F-B568-8F7F91526DE6}"/>
    <cellStyle name="Normal 7 2 2 2 2 2 2 3" xfId="3165" xr:uid="{25A44885-BB7A-4760-99EA-CDD4682FCE8C}"/>
    <cellStyle name="Normal 7 2 2 2 2 2 2 3 2" xfId="28690" xr:uid="{95A000DA-6261-4686-8E16-249AC23A18D2}"/>
    <cellStyle name="Normal 7 2 2 2 2 2 2 4" xfId="26719" xr:uid="{A87C568C-6837-4840-8C6D-7EF3388F2A46}"/>
    <cellStyle name="Normal 7 2 2 2 2 2 3" xfId="3164" xr:uid="{67A5E3E1-D826-46FF-86FC-E8280F161819}"/>
    <cellStyle name="Normal 7 2 2 2 2 2 3 2" xfId="3163" xr:uid="{03B20C1D-7067-41EA-ACB4-C0B393042FF2}"/>
    <cellStyle name="Normal 7 2 2 2 2 2 3 2 2" xfId="28591" xr:uid="{D61049E0-2207-4B79-B0E3-3976B00FA8C6}"/>
    <cellStyle name="Normal 7 2 2 2 2 2 3 3" xfId="3162" xr:uid="{31165CB6-F316-4370-9F44-6567D758246E}"/>
    <cellStyle name="Normal 7 2 2 2 2 2 4" xfId="27888" xr:uid="{62AD4FA6-473C-4C7A-A75D-A0E342D6066A}"/>
    <cellStyle name="Normal 7 2 2 2 2 2 4 2" xfId="3161" xr:uid="{FCC65245-E1F4-49DF-8CAD-92EDF4C06212}"/>
    <cellStyle name="Normal 7 2 2 2 2 2 5" xfId="31315" xr:uid="{B001D3F8-776A-4D88-B794-3D21E30F8BB4}"/>
    <cellStyle name="Normal 7 2 2 2 2 3" xfId="24146" xr:uid="{7E1E0E0A-BFA5-482D-8DFA-E4B67C55E874}"/>
    <cellStyle name="Normal 7 2 2 2 2 3 2" xfId="3160" xr:uid="{6E4DD780-C6E3-4155-9D82-AAB4B51A62CE}"/>
    <cellStyle name="Normal 7 2 2 2 2 3 2 2" xfId="3159" xr:uid="{B18A9FC7-DCC9-4541-B911-ADBEA637DAAC}"/>
    <cellStyle name="Normal 7 2 2 2 2 3 2 2 2" xfId="28213" xr:uid="{5C880741-DA82-4E0A-9711-C32CF6D6E0AB}"/>
    <cellStyle name="Normal 7 2 2 2 2 3 2 3" xfId="3158" xr:uid="{938E6FE2-12B4-4C49-AD83-CC581B574D4C}"/>
    <cellStyle name="Normal 7 2 2 2 2 3 3" xfId="8771" xr:uid="{F9472177-9CAB-45FE-90B5-764FB3DE1926}"/>
    <cellStyle name="Normal 7 2 2 2 2 3 3 2" xfId="3157" xr:uid="{DDCCFA98-2C7B-4943-9885-93C66965A75C}"/>
    <cellStyle name="Normal 7 2 2 2 2 3 4" xfId="8865" xr:uid="{97BA9D02-9593-4620-BB08-F6807696E9FF}"/>
    <cellStyle name="Normal 7 2 2 2 2 4" xfId="13124" xr:uid="{E262AA4C-77A2-44E9-B45A-1030F9F023CA}"/>
    <cellStyle name="Normal 7 2 2 2 2 4 2" xfId="13120" xr:uid="{0B508235-8E7E-408B-BDDC-06E4FC06AA7B}"/>
    <cellStyle name="Normal 7 2 2 2 2 4 2 2" xfId="29059" xr:uid="{49E43008-A7C6-486B-A1F8-DB12A0B8BAC2}"/>
    <cellStyle name="Normal 7 2 2 2 2 4 3" xfId="8765" xr:uid="{F1F5B5CB-8A62-4AEE-BD71-603D0BF0E37E}"/>
    <cellStyle name="Normal 7 2 2 2 2 5" xfId="13115" xr:uid="{1AD439CA-1C78-4F14-B4DF-64B0F7A63AF9}"/>
    <cellStyle name="Normal 7 2 2 2 2 5 2" xfId="13113" xr:uid="{6BB9D2F1-86DA-4D4A-9C09-3440D1492632}"/>
    <cellStyle name="Normal 7 2 2 2 2 6" xfId="13109" xr:uid="{4A5E56DE-449F-4A52-BABF-BB6EBAC79225}"/>
    <cellStyle name="Normal 7 2 2 2 3" xfId="3156" xr:uid="{63D18B76-A3E9-4DC5-90DD-C502AC0A06D4}"/>
    <cellStyle name="Normal 7 2 2 2 3 2" xfId="15236" xr:uid="{AB46F1B9-DB97-4195-8752-56CF0500E29A}"/>
    <cellStyle name="Normal 7 2 2 2 3 2 2" xfId="3155" xr:uid="{956449EE-AC62-4986-9FCC-7CA3FB6CC429}"/>
    <cellStyle name="Normal 7 2 2 2 3 2 2 2" xfId="7052" xr:uid="{08655270-9D31-4F07-BC62-1986F26AD39E}"/>
    <cellStyle name="Normal 7 2 2 2 3 2 2 2 2" xfId="30836" xr:uid="{AB3B6F77-54B7-49A2-989B-51A71BF179D4}"/>
    <cellStyle name="Normal 7 2 2 2 3 2 2 3" xfId="13789" xr:uid="{4EC6643B-DD8C-4F38-B8F9-F7B1371DA3A4}"/>
    <cellStyle name="Normal 7 2 2 2 3 2 3" xfId="3154" xr:uid="{7888C9E6-1C96-4B04-9F77-857ACD15A42F}"/>
    <cellStyle name="Normal 7 2 2 2 3 2 3 2" xfId="7049" xr:uid="{582B9CBD-D37A-459A-9775-33C0A112C3D5}"/>
    <cellStyle name="Normal 7 2 2 2 3 2 4" xfId="33469" xr:uid="{B61C5EEE-6908-4854-A241-B4AA52D87A2F}"/>
    <cellStyle name="Normal 7 2 2 2 3 3" xfId="3153" xr:uid="{FFF41D87-2429-4320-A568-ADE7ACB0FF34}"/>
    <cellStyle name="Normal 7 2 2 2 3 3 2" xfId="3152" xr:uid="{5E03B6A5-C184-4FCB-9D36-1F7698DD8C23}"/>
    <cellStyle name="Normal 7 2 2 2 3 3 2 2" xfId="7032" xr:uid="{78B950B1-7E59-4525-82FB-54E264490715}"/>
    <cellStyle name="Normal 7 2 2 2 3 3 3" xfId="8756" xr:uid="{C78BB4BC-E134-4646-9332-B8C0893AF008}"/>
    <cellStyle name="Normal 7 2 2 2 3 4" xfId="23291" xr:uid="{3F5816A4-5861-4F14-8037-E9D6ED1BBD63}"/>
    <cellStyle name="Normal 7 2 2 2 3 4 2" xfId="18333" xr:uid="{CA494DBB-80BF-4F93-B21E-C37EF6DC16F6}"/>
    <cellStyle name="Normal 7 2 2 2 3 5" xfId="18328" xr:uid="{412FE8B0-9333-4410-B56D-A2A18F343584}"/>
    <cellStyle name="Normal 7 2 2 2 4" xfId="3151" xr:uid="{0AB3DA6F-5C69-46A3-8D66-0CEFA33CCE16}"/>
    <cellStyle name="Normal 7 2 2 2 4 2" xfId="3150" xr:uid="{2D2AC0E8-E518-44C7-AAA1-76620ADC0302}"/>
    <cellStyle name="Normal 7 2 2 2 4 2 2" xfId="3149" xr:uid="{9E792A02-A8AD-42B0-8572-E80ADC416CA6}"/>
    <cellStyle name="Normal 7 2 2 2 4 2 2 2" xfId="6977" xr:uid="{49852770-4F5B-4EA8-9CB2-EE9185A8D77C}"/>
    <cellStyle name="Normal 7 2 2 2 4 2 3" xfId="3148" xr:uid="{64391D94-6A1B-4099-83EE-C39B8A2E6CC0}"/>
    <cellStyle name="Normal 7 2 2 2 4 3" xfId="3147" xr:uid="{EB0874F5-831F-4029-AC85-9AB65A9AB0C5}"/>
    <cellStyle name="Normal 7 2 2 2 4 3 2" xfId="3146" xr:uid="{E0620938-0CDD-417E-95FE-4B54CC197ED5}"/>
    <cellStyle name="Normal 7 2 2 2 4 4" xfId="18320" xr:uid="{D8612D4A-560D-47DD-95CE-2D1716091ABA}"/>
    <cellStyle name="Normal 7 2 2 2 5" xfId="3145" xr:uid="{C475583A-F07E-4909-95C6-61CE57AABC9B}"/>
    <cellStyle name="Normal 7 2 2 2 5 2" xfId="3144" xr:uid="{97253DF4-8D0F-4851-BE24-EA86B637313F}"/>
    <cellStyle name="Normal 7 2 2 2 5 2 2" xfId="3143" xr:uid="{3483A056-5CFE-408A-BA83-5A07CD1FF8A2}"/>
    <cellStyle name="Normal 7 2 2 2 5 3" xfId="3142" xr:uid="{CE82E6FA-8EE8-4AD2-8742-39F0AC6D5D64}"/>
    <cellStyle name="Normal 7 2 2 2 6" xfId="29863" xr:uid="{78FDBBE3-63C2-4FCF-A951-3D1379223BA0}"/>
    <cellStyle name="Normal 7 2 2 2 6 2" xfId="3141" xr:uid="{145F2C8D-C5F9-402D-9B68-B40795839F98}"/>
    <cellStyle name="Normal 7 2 2 2 7" xfId="29234" xr:uid="{3AF47E0C-D0FC-4B24-9FF0-B0037F518C12}"/>
    <cellStyle name="Normal 7 2 2 3" xfId="10956" xr:uid="{96FFA740-CF3E-4D31-B04F-AEED6D8623FE}"/>
    <cellStyle name="Normal 7 2 2 3 2" xfId="8485" xr:uid="{093AA698-BBA5-4173-BE9B-ED6D43C9CBF4}"/>
    <cellStyle name="Normal 7 2 2 3 2 2" xfId="20541" xr:uid="{BB5E8EA3-A4C5-4498-AC52-FD6BA09C3018}"/>
    <cellStyle name="Normal 7 2 2 3 2 2 2" xfId="12304" xr:uid="{394A1069-51D0-43B6-998E-ABDD5F333B07}"/>
    <cellStyle name="Normal 7 2 2 3 2 2 2 2" xfId="3140" xr:uid="{424C7FDF-28E2-4D79-B07D-128BBF5D0F36}"/>
    <cellStyle name="Normal 7 2 2 3 2 2 2 2 2" xfId="3139" xr:uid="{A73EC422-703D-432F-BB83-F6E98E0F0AB3}"/>
    <cellStyle name="Normal 7 2 2 3 2 2 2 3" xfId="3138" xr:uid="{C2372454-2285-4601-96A3-4B755FD47408}"/>
    <cellStyle name="Normal 7 2 2 3 2 2 3" xfId="3137" xr:uid="{5C1C67AE-9A53-49CB-A40F-95DF2E6B7F1B}"/>
    <cellStyle name="Normal 7 2 2 3 2 2 3 2" xfId="3136" xr:uid="{426777A0-2200-4FDA-A6EA-227DFD0C6637}"/>
    <cellStyle name="Normal 7 2 2 3 2 2 4" xfId="22355" xr:uid="{095888C1-47CC-4C8F-AEFB-C15F93FD2200}"/>
    <cellStyle name="Normal 7 2 2 3 2 3" xfId="3135" xr:uid="{1FBD9F6C-4FD5-4E29-B73C-D6553683CFBD}"/>
    <cellStyle name="Normal 7 2 2 3 2 3 2" xfId="3134" xr:uid="{07988FCB-4F54-41B9-9776-4593D27319F9}"/>
    <cellStyle name="Normal 7 2 2 3 2 3 2 2" xfId="3133" xr:uid="{24ECC423-F95D-41F5-A448-9A8FE63C0576}"/>
    <cellStyle name="Normal 7 2 2 3 2 3 3" xfId="8739" xr:uid="{8CB02B6B-4C01-420A-9469-B817E5D5E951}"/>
    <cellStyle name="Normal 7 2 2 3 2 4" xfId="12889" xr:uid="{E34DDFAE-9576-432E-BC8D-7D3318DD9603}"/>
    <cellStyle name="Normal 7 2 2 3 2 4 2" xfId="12887" xr:uid="{46E14121-6C86-4C7D-A3E8-AA6076EE08BF}"/>
    <cellStyle name="Normal 7 2 2 3 2 5" xfId="12883" xr:uid="{CD8A294B-4188-4C8B-9C34-BF8783512D0E}"/>
    <cellStyle name="Normal 7 2 2 3 3" xfId="3132" xr:uid="{8F30F564-1FB7-469D-AFAC-4CD5620B0FC8}"/>
    <cellStyle name="Normal 7 2 2 3 3 2" xfId="3131" xr:uid="{2CE15CE0-C514-482C-A865-8AFE6EBFEE44}"/>
    <cellStyle name="Normal 7 2 2 3 3 2 2" xfId="3130" xr:uid="{F9563158-430A-4E70-AA17-98B0F6E8A202}"/>
    <cellStyle name="Normal 7 2 2 3 3 2 2 2" xfId="6869" xr:uid="{44535C24-97A0-4AA8-8E8B-C964673E6891}"/>
    <cellStyle name="Normal 7 2 2 3 3 2 3" xfId="3129" xr:uid="{C86880EC-0181-4C10-8F41-99E0E45AFE4F}"/>
    <cellStyle name="Normal 7 2 2 3 3 3" xfId="3128" xr:uid="{2D95135C-9044-4EB8-AEC0-4FFF08924068}"/>
    <cellStyle name="Normal 7 2 2 3 3 3 2" xfId="3127" xr:uid="{7154D3AC-CDE4-445C-B0F5-3E8F4B7673C6}"/>
    <cellStyle name="Normal 7 2 2 3 3 4" xfId="29755" xr:uid="{73871E50-F6BC-471B-9E70-A8EFB8D9F417}"/>
    <cellStyle name="Normal 7 2 2 3 4" xfId="17097" xr:uid="{21F2B89F-F689-43F9-B96D-7C9D70386369}"/>
    <cellStyle name="Normal 7 2 2 3 4 2" xfId="3126" xr:uid="{29287B47-D7F3-4C00-9372-D709A0A4BEBF}"/>
    <cellStyle name="Normal 7 2 2 3 4 2 2" xfId="3125" xr:uid="{6D6AF758-A103-48B2-97A4-68DE7858409F}"/>
    <cellStyle name="Normal 7 2 2 3 4 3" xfId="3124" xr:uid="{C4D3689A-66E5-4496-8C45-8FB486BE5743}"/>
    <cellStyle name="Normal 7 2 2 3 5" xfId="3123" xr:uid="{DE9BF48A-78E9-4D86-B4E7-65A2F7FB9B0B}"/>
    <cellStyle name="Normal 7 2 2 3 5 2" xfId="3122" xr:uid="{609176EF-3F79-46D8-90F7-2FAA1A7E80FE}"/>
    <cellStyle name="Normal 7 2 2 3 6" xfId="29222" xr:uid="{4F3E912A-1C40-4E33-A442-85EFEBB27BD0}"/>
    <cellStyle name="Normal 7 2 2 4" xfId="11633" xr:uid="{5684DA8E-4A02-4EEB-ABA6-176EB62AB6FB}"/>
    <cellStyle name="Normal 7 2 2 4 2" xfId="3121" xr:uid="{855A8AD8-87C4-4E23-B917-FB96B140B5F5}"/>
    <cellStyle name="Normal 7 2 2 4 2 2" xfId="3120" xr:uid="{A784669A-E4A7-4332-B79C-90563FE80E0D}"/>
    <cellStyle name="Normal 7 2 2 4 2 2 2" xfId="3119" xr:uid="{517F2C84-F345-4686-ADAD-6FDB389CE9B0}"/>
    <cellStyle name="Normal 7 2 2 4 2 2 2 2" xfId="3118" xr:uid="{BEE97407-BA5E-4C42-968A-7D1E340F02D0}"/>
    <cellStyle name="Normal 7 2 2 4 2 2 3" xfId="3117" xr:uid="{E57721D4-A2A9-473C-9102-233FCB6F6279}"/>
    <cellStyle name="Normal 7 2 2 4 2 3" xfId="3116" xr:uid="{72520289-4A32-4FE4-A0EF-30E43E8123F0}"/>
    <cellStyle name="Normal 7 2 2 4 2 3 2" xfId="3115" xr:uid="{15D5E184-E06D-4C1E-99D2-57BF6EF496C0}"/>
    <cellStyle name="Normal 7 2 2 4 2 4" xfId="29845" xr:uid="{20B57066-9D23-4AAC-9D19-793B4270BC51}"/>
    <cellStyle name="Normal 7 2 2 4 3" xfId="3114" xr:uid="{F7BE192F-2454-4A30-8391-0A6D1E367EAF}"/>
    <cellStyle name="Normal 7 2 2 4 3 2" xfId="3113" xr:uid="{CBCF5045-261F-4EDE-B5B1-B09A2C10EF36}"/>
    <cellStyle name="Normal 7 2 2 4 3 2 2" xfId="3112" xr:uid="{F750B063-AD85-43B2-BD72-8BDD7F553F5A}"/>
    <cellStyle name="Normal 7 2 2 4 3 3" xfId="3111" xr:uid="{1177594E-C0F1-4506-AE91-2A1720741881}"/>
    <cellStyle name="Normal 7 2 2 4 4" xfId="3110" xr:uid="{FA7CE13C-7588-4A5B-A92E-03A2A0DECDBC}"/>
    <cellStyle name="Normal 7 2 2 4 4 2" xfId="3109" xr:uid="{D911DD57-F03F-45ED-A7CC-D34B5B213FA1}"/>
    <cellStyle name="Normal 7 2 2 4 5" xfId="3108" xr:uid="{56749CE8-835E-485A-B8BF-DA6E5DD1C656}"/>
    <cellStyle name="Normal 7 2 2 5" xfId="3107" xr:uid="{794A6643-749F-4058-91E4-E9876727821F}"/>
    <cellStyle name="Normal 7 2 2 5 2" xfId="3106" xr:uid="{0AC5AB0F-BCF2-460D-9599-236D863D1838}"/>
    <cellStyle name="Normal 7 2 2 5 2 2" xfId="3105" xr:uid="{EC2EA28E-158F-42BE-AA47-33B5A8BE78FE}"/>
    <cellStyle name="Normal 7 2 2 5 2 2 2" xfId="3104" xr:uid="{F2C3B8E6-8EC0-4424-AD6C-B9F76BDCB4A3}"/>
    <cellStyle name="Normal 7 2 2 5 2 3" xfId="10448" xr:uid="{87AEDFE7-AF6E-4B21-A038-D330B89569FA}"/>
    <cellStyle name="Normal 7 2 2 5 3" xfId="3103" xr:uid="{0FABCCDD-7D1C-4DF4-9CDF-70080668F19B}"/>
    <cellStyle name="Normal 7 2 2 5 3 2" xfId="3102" xr:uid="{F2539218-0D3A-4F71-A7CC-110081FB12D1}"/>
    <cellStyle name="Normal 7 2 2 5 4" xfId="3101" xr:uid="{F844977B-05C9-42F5-8B3B-FD452C65EA97}"/>
    <cellStyle name="Normal 7 2 2 6" xfId="29314" xr:uid="{E83116FF-AD71-467C-B2E0-4034957822F7}"/>
    <cellStyle name="Normal 7 2 2 6 2" xfId="3100" xr:uid="{B45422E3-8702-418E-A3B6-8887CEE611CF}"/>
    <cellStyle name="Normal 7 2 2 6 2 2" xfId="3099" xr:uid="{DC3703B1-CA6A-4FF4-8F66-F439BF087EB6}"/>
    <cellStyle name="Normal 7 2 2 6 3" xfId="3098" xr:uid="{EE4D5DC7-9B5E-4958-B010-EC509142453E}"/>
    <cellStyle name="Normal 7 2 2 7" xfId="30542" xr:uid="{76757C77-77F6-42AC-A98A-9A44DFA34994}"/>
    <cellStyle name="Normal 7 2 2 7 2" xfId="3097" xr:uid="{F0B1400A-39ED-4310-BC76-6276AAC1D948}"/>
    <cellStyle name="Normal 7 2 2 8" xfId="16040" xr:uid="{EE384551-36D1-4896-A003-432CD3D42B76}"/>
    <cellStyle name="Normal 7 2 3" xfId="3096" xr:uid="{A01446A9-F0D1-4A45-B470-946456A0F44B}"/>
    <cellStyle name="Normal 7 2 3 2" xfId="14627" xr:uid="{2302D6C4-4894-42A0-9651-A17939AB0DF2}"/>
    <cellStyle name="Normal 7 2 3 2 2" xfId="3094" xr:uid="{F8AC5E86-3B49-4661-B677-C0CEAFA17E46}"/>
    <cellStyle name="Normal 7 2 3 2 2 2" xfId="14957" xr:uid="{66E3ED74-53F5-4A89-BEE1-E9556A17D5F1}"/>
    <cellStyle name="Normal 7 2 3 2 2 2 2" xfId="3093" xr:uid="{FAB4861E-1887-4910-B299-B43ADD008403}"/>
    <cellStyle name="Normal 7 2 3 2 2 2 2 2" xfId="3092" xr:uid="{22B23FD6-9826-459E-B14C-65F47583A7ED}"/>
    <cellStyle name="Normal 7 2 3 2 2 2 2 2 2" xfId="3091" xr:uid="{03737D98-F2FD-4069-9509-EF462CA77ACA}"/>
    <cellStyle name="Normal 7 2 3 2 2 2 2 3" xfId="3090" xr:uid="{FC874979-36EB-4AAD-9315-9EF845CFCB7B}"/>
    <cellStyle name="Normal 7 2 3 2 2 2 3" xfId="3089" xr:uid="{B780ABD0-56DB-4A48-83EC-862E73B9623D}"/>
    <cellStyle name="Normal 7 2 3 2 2 2 3 2" xfId="3088" xr:uid="{42C1DE96-8B73-4DB2-A20C-ACD02F44D8B5}"/>
    <cellStyle name="Normal 7 2 3 2 2 2 4" xfId="23112" xr:uid="{67CF6286-829C-44CB-BE52-D92CDE15D8F4}"/>
    <cellStyle name="Normal 7 2 3 2 2 3" xfId="3087" xr:uid="{0B30B831-40DF-4248-9661-FBC57CDFEEB8}"/>
    <cellStyle name="Normal 7 2 3 2 2 3 2" xfId="3086" xr:uid="{F974CFA2-352F-4C42-A6CA-8B755CC3F09F}"/>
    <cellStyle name="Normal 7 2 3 2 2 3 2 2" xfId="3085" xr:uid="{37075F2E-EDCC-45B0-85C5-A5182F9DAD05}"/>
    <cellStyle name="Normal 7 2 3 2 2 3 3" xfId="8719" xr:uid="{88EBFF82-0091-42E6-959E-B850084E9FA6}"/>
    <cellStyle name="Normal 7 2 3 2 2 4" xfId="7165" xr:uid="{D06F46FA-3760-4F98-BCAF-485EF1991A80}"/>
    <cellStyle name="Normal 7 2 3 2 2 4 2" xfId="12437" xr:uid="{D1CF380B-3466-4F49-9E55-A50DE38FB301}"/>
    <cellStyle name="Normal 7 2 3 2 2 5" xfId="17439" xr:uid="{D6F43221-F611-4720-BA26-2F46694A9FCB}"/>
    <cellStyle name="Normal 7 2 3 2 3" xfId="3084" xr:uid="{9EBE9671-44FB-4160-94F3-1E47981B5E6A}"/>
    <cellStyle name="Normal 7 2 3 2 3 2" xfId="3083" xr:uid="{7C75BBFD-0217-4466-9C28-910147A5109B}"/>
    <cellStyle name="Normal 7 2 3 2 3 2 2" xfId="3082" xr:uid="{B92922C5-AB55-4263-BDCF-5DE112FA5DC3}"/>
    <cellStyle name="Normal 7 2 3 2 3 2 2 2" xfId="33509" xr:uid="{043EBE76-6945-40EF-AE70-11441B75E4D1}"/>
    <cellStyle name="Normal 7 2 3 2 3 2 3" xfId="3081" xr:uid="{A2C6D671-D04B-4FCB-82FE-A5F1BA619CE9}"/>
    <cellStyle name="Normal 7 2 3 2 3 3" xfId="3080" xr:uid="{1D0D3360-822B-4637-A4C0-0FCDADB796EC}"/>
    <cellStyle name="Normal 7 2 3 2 3 3 2" xfId="3079" xr:uid="{37A1229A-ED2C-481F-811E-E2F5C3B641CD}"/>
    <cellStyle name="Normal 7 2 3 2 3 4" xfId="27485" xr:uid="{CB5541F3-7DA7-4086-A6F7-F14D11C6F52B}"/>
    <cellStyle name="Normal 7 2 3 2 4" xfId="3078" xr:uid="{A1845537-DA9D-42A7-9B19-25A5D88F7D82}"/>
    <cellStyle name="Normal 7 2 3 2 4 2" xfId="28197" xr:uid="{7955F34A-EC6B-4A29-B3FB-BA7CEDE12694}"/>
    <cellStyle name="Normal 7 2 3 2 4 2 2" xfId="3077" xr:uid="{00AAF0BC-8021-4F84-8999-23E8227BE7AD}"/>
    <cellStyle name="Normal 7 2 3 2 4 3" xfId="23817" xr:uid="{25B5BCEA-4141-4208-BB12-0B51B5C3CA3B}"/>
    <cellStyle name="Normal 7 2 3 2 5" xfId="3076" xr:uid="{07F3373E-5486-43ED-AE8A-1BEBBF7AD472}"/>
    <cellStyle name="Normal 7 2 3 2 5 2" xfId="23801" xr:uid="{812C36D0-EBA1-48A0-ABE6-9E5E5C8CD0C0}"/>
    <cellStyle name="Normal 7 2 3 2 6" xfId="33935" xr:uid="{255F35A1-32DC-4877-8C34-47842A338CB3}"/>
    <cellStyle name="Normal 7 2 3 3" xfId="33958" xr:uid="{31E8DFF6-F78C-432C-A982-32A92984E841}"/>
    <cellStyle name="Normal 7 2 3 3 2" xfId="19228" xr:uid="{625022E5-F85A-4E2A-8650-A36B36737B4F}"/>
    <cellStyle name="Normal 7 2 3 3 2 2" xfId="3075" xr:uid="{AF01A94C-F4E5-4985-919D-D42EAD71BC16}"/>
    <cellStyle name="Normal 7 2 3 3 2 2 2" xfId="3074" xr:uid="{43CE7DE9-6A2B-48E3-9BAA-FFFCAC334046}"/>
    <cellStyle name="Normal 7 2 3 3 2 2 2 2" xfId="3073" xr:uid="{83BE5B00-BDE2-4C77-95A8-0BE80A295883}"/>
    <cellStyle name="Normal 7 2 3 3 2 2 3" xfId="3072" xr:uid="{88DAFEA7-6D4E-4281-B31A-0BDEA6B19A55}"/>
    <cellStyle name="Normal 7 2 3 3 2 3" xfId="3071" xr:uid="{61114744-6439-4FD0-912B-E71F43E0BE6A}"/>
    <cellStyle name="Normal 7 2 3 3 2 3 2" xfId="3070" xr:uid="{792F72F8-77E8-4289-BE68-89D80A2B0441}"/>
    <cellStyle name="Normal 7 2 3 3 2 4" xfId="17431" xr:uid="{25DB7698-B498-4BD7-AB97-589E484692CF}"/>
    <cellStyle name="Normal 7 2 3 3 3" xfId="8959" xr:uid="{D3BF49D3-CE18-4948-9708-347EC4EAF36D}"/>
    <cellStyle name="Normal 7 2 3 3 3 2" xfId="3069" xr:uid="{6A870CF8-65DE-4FA0-B7F2-E71AF467B151}"/>
    <cellStyle name="Normal 7 2 3 3 3 2 2" xfId="3068" xr:uid="{ADBF15D9-1B7B-43F3-AD2A-CE04DA424C38}"/>
    <cellStyle name="Normal 7 2 3 3 3 3" xfId="3067" xr:uid="{A758EDA6-45F8-4E0B-A50B-5E2655A03897}"/>
    <cellStyle name="Normal 7 2 3 3 4" xfId="28426" xr:uid="{E07ACAEB-B0B0-4C86-A8F8-C4770E270889}"/>
    <cellStyle name="Normal 7 2 3 3 4 2" xfId="23764" xr:uid="{F21CAB1F-745F-4CA7-AB84-8E35EBFB541C}"/>
    <cellStyle name="Normal 7 2 3 3 5" xfId="25361" xr:uid="{98F0C3D1-D1A6-4B9B-87A2-1E61F3CCE82D}"/>
    <cellStyle name="Normal 7 2 3 4" xfId="4695" xr:uid="{C89603F9-3F3A-4954-ACEC-38D5D9CFC29A}"/>
    <cellStyle name="Normal 7 2 3 4 2" xfId="8945" xr:uid="{40BFB144-2EC0-4B87-B000-0333EF6A92F9}"/>
    <cellStyle name="Normal 7 2 3 4 2 2" xfId="3066" xr:uid="{A0EB4AB7-ABBF-4C28-9D54-21D831A13B24}"/>
    <cellStyle name="Normal 7 2 3 4 2 2 2" xfId="3065" xr:uid="{0C315B6D-6C08-4832-9507-0AFCED08F62E}"/>
    <cellStyle name="Normal 7 2 3 4 2 3" xfId="3064" xr:uid="{12EF7982-E8D6-45B2-9F22-2CC808C23E42}"/>
    <cellStyle name="Normal 7 2 3 4 3" xfId="8938" xr:uid="{E65E19B3-6775-4765-B297-81306F001578}"/>
    <cellStyle name="Normal 7 2 3 4 3 2" xfId="3063" xr:uid="{B17464E5-91C2-4917-A000-7942080E7D36}"/>
    <cellStyle name="Normal 7 2 3 4 4" xfId="25887" xr:uid="{059BD526-0079-4EA3-8EE5-8B0B72E72F54}"/>
    <cellStyle name="Normal 7 2 3 5" xfId="3062" xr:uid="{7E4C7F5D-9B32-489A-BDC9-0FE0B1F6C92A}"/>
    <cellStyle name="Normal 7 2 3 5 2" xfId="16273" xr:uid="{FDC061DA-8E06-44BB-BC81-34D135A628FF}"/>
    <cellStyle name="Normal 7 2 3 5 2 2" xfId="3061" xr:uid="{B68474C7-AB1E-454E-8057-F2741C2D6644}"/>
    <cellStyle name="Normal 7 2 3 5 3" xfId="8926" xr:uid="{51D1F576-227C-4568-B675-8B2853C52988}"/>
    <cellStyle name="Normal 7 2 3 6" xfId="15389" xr:uid="{6C53C5C7-E01C-4AD9-B144-E27867D569BB}"/>
    <cellStyle name="Normal 7 2 3 6 2" xfId="8922" xr:uid="{75947123-2FC7-4B0D-B2A2-4394AC286504}"/>
    <cellStyle name="Normal 7 2 3 7" xfId="3060" xr:uid="{D5964632-95E4-4C84-B7A0-15F51B43B1A7}"/>
    <cellStyle name="Normal 7 2 4" xfId="31131" xr:uid="{9E954545-C5F0-4DF4-B4C2-E2BFF1A98741}"/>
    <cellStyle name="Normal 7 2 4 2" xfId="23766" xr:uid="{2CDBBD37-C336-4F5E-AE40-C6CB307BCEB9}"/>
    <cellStyle name="Normal 7 2 4 2 2" xfId="27883" xr:uid="{10954B97-EBC0-4FC4-A7D3-5236C829FAD9}"/>
    <cellStyle name="Normal 7 2 4 2 2 2" xfId="15875" xr:uid="{6FB0185E-8004-43A6-9C30-30F85DF6E9EC}"/>
    <cellStyle name="Normal 7 2 4 2 2 2 2" xfId="3059" xr:uid="{6E78F1EC-1BA3-4B37-A9F7-377994A8AE77}"/>
    <cellStyle name="Normal 7 2 4 2 2 2 2 2" xfId="15391" xr:uid="{167E0F6F-B2D8-49D5-88D2-6DD5C65A3920}"/>
    <cellStyle name="Normal 7 2 4 2 2 2 3" xfId="3058" xr:uid="{8CFA429B-EEE0-4022-97F0-05B3759B2F3B}"/>
    <cellStyle name="Normal 7 2 4 2 2 3" xfId="3057" xr:uid="{2A63D9AC-6370-4388-91F3-E4B09C270079}"/>
    <cellStyle name="Normal 7 2 4 2 2 3 2" xfId="3056" xr:uid="{1168F7B5-32D4-40DE-BD7E-6A45CE038477}"/>
    <cellStyle name="Normal 7 2 4 2 2 4" xfId="5870" xr:uid="{351CB123-7C1B-49E5-911F-160A7636AD9A}"/>
    <cellStyle name="Normal 7 2 4 2 3" xfId="27881" xr:uid="{427734F3-DEB6-4E4C-B161-350664BF403E}"/>
    <cellStyle name="Normal 7 2 4 2 3 2" xfId="24977" xr:uid="{FA09D0B5-B217-4478-84CA-F571260928B4}"/>
    <cellStyle name="Normal 7 2 4 2 3 2 2" xfId="3055" xr:uid="{26B9D3D9-1EC5-480C-8DC1-EBD4303F3FAC}"/>
    <cellStyle name="Normal 7 2 4 2 3 3" xfId="30963" xr:uid="{13CA461D-253D-41CB-8C74-E4371ED635D5}"/>
    <cellStyle name="Normal 7 2 4 2 4" xfId="3054" xr:uid="{6905738A-3DDC-4FA7-A159-FDF9517584BE}"/>
    <cellStyle name="Normal 7 2 4 2 4 2" xfId="21878" xr:uid="{874F4128-0B08-4BD9-B000-87B6B783CDE7}"/>
    <cellStyle name="Normal 7 2 4 2 5" xfId="3053" xr:uid="{45D7CF80-35C8-4350-BCA6-AD62BB07CA6F}"/>
    <cellStyle name="Normal 7 2 4 3" xfId="5760" xr:uid="{DBAC1371-B406-467C-95AE-C587F6C92D92}"/>
    <cellStyle name="Normal 7 2 4 3 2" xfId="15762" xr:uid="{81BC4EC9-B68F-4ABA-804E-69C32AED67F7}"/>
    <cellStyle name="Normal 7 2 4 3 2 2" xfId="3052" xr:uid="{2465D4A2-CD8E-4AED-A3B0-8A48A2B86FCD}"/>
    <cellStyle name="Normal 7 2 4 3 2 2 2" xfId="3051" xr:uid="{ACC15B6E-B100-4283-83DC-2C7D43C13EC0}"/>
    <cellStyle name="Normal 7 2 4 3 2 3" xfId="3050" xr:uid="{2496F245-03D6-41BD-90AC-C6B4D9054974}"/>
    <cellStyle name="Normal 7 2 4 3 3" xfId="26268" xr:uid="{61F82CFA-91E9-4DFC-8137-0158A1568B14}"/>
    <cellStyle name="Normal 7 2 4 3 3 2" xfId="21870" xr:uid="{FB932BF5-AC47-4F35-A246-1671C8DCA5B5}"/>
    <cellStyle name="Normal 7 2 4 3 4" xfId="25313" xr:uid="{BEB8A2EC-3E24-43EF-848C-DB9D23D588A3}"/>
    <cellStyle name="Normal 7 2 4 4" xfId="12345" xr:uid="{BE1F4B47-8BFC-44D5-A16B-EB3196A433DC}"/>
    <cellStyle name="Normal 7 2 4 4 2" xfId="8900" xr:uid="{8B46439D-31CE-49F3-9DE7-856D49DF32AD}"/>
    <cellStyle name="Normal 7 2 4 4 2 2" xfId="3049" xr:uid="{A9BEDEEA-BFEF-4442-A04B-7233567E21E1}"/>
    <cellStyle name="Normal 7 2 4 4 3" xfId="8898" xr:uid="{DB244DBE-AD84-408D-8736-DEE6A9133224}"/>
    <cellStyle name="Normal 7 2 4 5" xfId="3048" xr:uid="{730B0684-EF6A-4C53-8275-D2E028F3A627}"/>
    <cellStyle name="Normal 7 2 4 5 2" xfId="8891" xr:uid="{5FF3A8F5-826C-4C1B-AFB4-E3E60394317B}"/>
    <cellStyle name="Normal 7 2 4 6" xfId="3047" xr:uid="{88345544-6C91-455F-BFE0-996A4A1AB177}"/>
    <cellStyle name="Normal 7 2 5" xfId="27867" xr:uid="{004FAEAD-6517-42E1-99B1-862E00FC845D}"/>
    <cellStyle name="Normal 7 2 5 2" xfId="27863" xr:uid="{3F4D0F0C-8496-43E4-B92F-94CA38C504F4}"/>
    <cellStyle name="Normal 7 2 5 2 2" xfId="23495" xr:uid="{3E5A1560-729E-4B35-BB9D-FE4EE24BB105}"/>
    <cellStyle name="Normal 7 2 5 2 2 2" xfId="3046" xr:uid="{8573A624-2268-4417-BC56-1CA938FDC847}"/>
    <cellStyle name="Normal 7 2 5 2 2 2 2" xfId="27000" xr:uid="{0BD75D6B-D407-4B93-8017-769925544836}"/>
    <cellStyle name="Normal 7 2 5 2 2 3" xfId="3045" xr:uid="{F393FB5B-03C3-4929-86D9-92C0C136280A}"/>
    <cellStyle name="Normal 7 2 5 2 3" xfId="3044" xr:uid="{B9BBD218-C648-4BA5-9C4A-08817393E69B}"/>
    <cellStyle name="Normal 7 2 5 2 3 2" xfId="21845" xr:uid="{EC5342D0-F803-400D-B563-CCAE2A04EFA7}"/>
    <cellStyle name="Normal 7 2 5 2 4" xfId="3043" xr:uid="{25CEA692-348D-434F-BA1C-4507D32F827F}"/>
    <cellStyle name="Normal 7 2 5 3" xfId="5756" xr:uid="{0F138EED-4443-45DE-85BD-93B5F81A2DAE}"/>
    <cellStyle name="Normal 7 2 5 3 2" xfId="8877" xr:uid="{6613134E-339E-4E67-B769-F038779CC01D}"/>
    <cellStyle name="Normal 7 2 5 3 2 2" xfId="3042" xr:uid="{1DE06357-37FF-4D09-ADAC-0AB9507A349A}"/>
    <cellStyle name="Normal 7 2 5 3 3" xfId="8875" xr:uid="{6F2E2FEC-85C2-4530-8F63-662862911BC2}"/>
    <cellStyle name="Normal 7 2 5 4" xfId="3041" xr:uid="{741660AB-5356-4724-B59A-FFDC2B6113CB}"/>
    <cellStyle name="Normal 7 2 5 4 2" xfId="8872" xr:uid="{6B5650C7-BD5A-4DF2-923E-3070066C6F6B}"/>
    <cellStyle name="Normal 7 2 5 5" xfId="3040" xr:uid="{8A991F3B-7AFC-47D8-83E3-DFFD58F1D9A6}"/>
    <cellStyle name="Normal 7 2 6" xfId="20221" xr:uid="{3A585987-50E6-44A8-8CBF-AEBD474F07A7}"/>
    <cellStyle name="Normal 7 2 6 2" xfId="27858" xr:uid="{D0DBA5C1-2196-4C3C-B2E9-73D40DE05E1D}"/>
    <cellStyle name="Normal 7 2 6 2 2" xfId="3039" xr:uid="{AA0DB518-F2FB-4B57-B1B6-2CB8EF08F91F}"/>
    <cellStyle name="Normal 7 2 6 2 2 2" xfId="3038" xr:uid="{2FAF0757-B451-4019-ADAA-8FE9FCB05652}"/>
    <cellStyle name="Normal 7 2 6 2 3" xfId="3037" xr:uid="{E084B0B4-37F5-4F92-90AF-BE29FB4E38BF}"/>
    <cellStyle name="Normal 7 2 6 3" xfId="3036" xr:uid="{6D434602-1DA5-4543-8476-41C97DBF24DA}"/>
    <cellStyle name="Normal 7 2 6 3 2" xfId="8861" xr:uid="{498C0B47-A8AE-401C-8798-5400029A936D}"/>
    <cellStyle name="Normal 7 2 6 4" xfId="3035" xr:uid="{C7C6B747-53B1-40AE-987A-29AFC39B5673}"/>
    <cellStyle name="Normal 7 2 7" xfId="16723" xr:uid="{38AAB251-CF1F-4695-93E9-0C37F4A701D1}"/>
    <cellStyle name="Normal 7 2 7 2" xfId="3034" xr:uid="{E39EEE25-62A8-4931-AB76-5CABD9E6A991}"/>
    <cellStyle name="Normal 7 2 7 2 2" xfId="7788" xr:uid="{9FC6B6D4-C0A5-4DCB-99C6-8DAA142D73FB}"/>
    <cellStyle name="Normal 7 2 7 3" xfId="3033" xr:uid="{2FE390F0-9C86-48F9-BABC-C3F84B78C228}"/>
    <cellStyle name="Normal 7 2 8" xfId="27998" xr:uid="{3353A860-CAF1-40BC-9352-87D8CF78D39C}"/>
    <cellStyle name="Normal 7 2 8 2" xfId="3032" xr:uid="{834C97CB-C9B9-4A4B-90BE-CFC57DA3749E}"/>
    <cellStyle name="Normal 7 2 9" xfId="3031" xr:uid="{21B02D9C-46C9-4521-9CDC-C65690BE217A}"/>
    <cellStyle name="Normal 7 3" xfId="3030" xr:uid="{83F8D38F-6DDC-4B0C-88E5-C75727AECF50}"/>
    <cellStyle name="Normal 7 3 2" xfId="3028" xr:uid="{E6116EDB-A7CB-4A13-AAC0-34301D6DC3E0}"/>
    <cellStyle name="Normal 7 3 2 2" xfId="20187" xr:uid="{2CF1BF36-DEBD-43E5-AA3C-F55CF4CBB763}"/>
    <cellStyle name="Normal 7 3 2 2 2" xfId="3026" xr:uid="{4802A43A-ED73-4855-9ABC-94172A01D868}"/>
    <cellStyle name="Normal 7 3 2 2 2 2" xfId="25716" xr:uid="{37F11527-4752-4329-A998-062C6058A28F}"/>
    <cellStyle name="Normal 7 3 2 2 2 2 2" xfId="3025" xr:uid="{2E630E77-BB06-47E4-8B72-631F50C780D7}"/>
    <cellStyle name="Normal 7 3 2 2 2 2 2 2" xfId="12429" xr:uid="{DABAF076-EEDD-436B-B9B4-5A93D0EF4A4A}"/>
    <cellStyle name="Normal 7 3 2 2 2 2 2 2 2" xfId="12426" xr:uid="{456EF251-A7F5-4B5C-ACB7-F521406C1CB0}"/>
    <cellStyle name="Normal 7 3 2 2 2 2 2 3" xfId="12315" xr:uid="{FAAE002A-87A4-41F1-A606-27819F7EF2DE}"/>
    <cellStyle name="Normal 7 3 2 2 2 2 3" xfId="3024" xr:uid="{0C9A9410-62E3-4173-8587-B54BA33A03BE}"/>
    <cellStyle name="Normal 7 3 2 2 2 2 3 2" xfId="12096" xr:uid="{C55643A8-5D6B-4D90-A4E1-FD5D8B1751CF}"/>
    <cellStyle name="Normal 7 3 2 2 2 2 4" xfId="25612" xr:uid="{364F56B6-DE67-4CE1-AD76-FA34D6C5B8A5}"/>
    <cellStyle name="Normal 7 3 2 2 2 3" xfId="3023" xr:uid="{B50A60F0-04A5-4215-B6D3-81175A9E223C}"/>
    <cellStyle name="Normal 7 3 2 2 2 3 2" xfId="3022" xr:uid="{80048965-97D4-48A4-BB22-9935C0011181}"/>
    <cellStyle name="Normal 7 3 2 2 2 3 2 2" xfId="31920" xr:uid="{059A697E-32FB-4031-85F7-900A1292D9B8}"/>
    <cellStyle name="Normal 7 3 2 2 2 3 3" xfId="8588" xr:uid="{7F17463A-FAAC-4953-BB84-CA10B990B2FB}"/>
    <cellStyle name="Normal 7 3 2 2 2 4" xfId="10964" xr:uid="{F53764BF-7BF8-46F3-AF52-0EF735368B0F}"/>
    <cellStyle name="Normal 7 3 2 2 2 4 2" xfId="10962" xr:uid="{7931F3DB-0BCB-4FA2-B310-564A78843BFE}"/>
    <cellStyle name="Normal 7 3 2 2 2 5" xfId="10949" xr:uid="{9423C67B-1E30-4795-BDEF-31FAC3C3367C}"/>
    <cellStyle name="Normal 7 3 2 2 3" xfId="4205" xr:uid="{7EB6584B-A387-49FA-B60E-F9CFF691CC7D}"/>
    <cellStyle name="Normal 7 3 2 2 3 2" xfId="3021" xr:uid="{BC2D3653-D8F4-4A7E-B763-E7417CFA7954}"/>
    <cellStyle name="Normal 7 3 2 2 3 2 2" xfId="3020" xr:uid="{6A2D4AC5-A401-4A66-A383-B9472FE945FC}"/>
    <cellStyle name="Normal 7 3 2 2 3 2 2 2" xfId="12168" xr:uid="{419D70E7-A86B-4F3A-A6A7-E4D0652E6F15}"/>
    <cellStyle name="Normal 7 3 2 2 3 2 3" xfId="3019" xr:uid="{F0188694-BB2C-49DA-903C-FF733A5414B3}"/>
    <cellStyle name="Normal 7 3 2 2 3 3" xfId="3018" xr:uid="{67096213-904B-4C26-A324-42637655CFFA}"/>
    <cellStyle name="Normal 7 3 2 2 3 3 2" xfId="3017" xr:uid="{EC68E85B-6186-4021-BE96-B373841FD793}"/>
    <cellStyle name="Normal 7 3 2 2 3 4" xfId="24238" xr:uid="{DDA7299E-296D-42FA-B2F9-7DF6503B9A14}"/>
    <cellStyle name="Normal 7 3 2 2 4" xfId="11978" xr:uid="{2F3BE638-8369-4647-B917-F5EB304EE24F}"/>
    <cellStyle name="Normal 7 3 2 2 4 2" xfId="3016" xr:uid="{2F62DE4F-C2F7-454E-816C-7C12954BD50E}"/>
    <cellStyle name="Normal 7 3 2 2 4 2 2" xfId="3015" xr:uid="{E4DDDC13-7CD9-4687-8CE8-8852B980D75E}"/>
    <cellStyle name="Normal 7 3 2 2 4 3" xfId="3014" xr:uid="{6DE888C8-AE96-445C-8227-BF25FF3D8C08}"/>
    <cellStyle name="Normal 7 3 2 2 5" xfId="10271" xr:uid="{036D0B27-2D42-4E6D-AFE3-AEE73EFC7EBC}"/>
    <cellStyle name="Normal 7 3 2 2 5 2" xfId="3013" xr:uid="{EA6B49A3-ADDB-426B-844E-A98A7897F8B2}"/>
    <cellStyle name="Normal 7 3 2 2 6" xfId="29186" xr:uid="{E1DD515D-8381-4194-86BC-B4B8B39386F1}"/>
    <cellStyle name="Normal 7 3 2 3" xfId="32133" xr:uid="{93E3C0E1-3BFC-428E-9D4E-BD128557F74A}"/>
    <cellStyle name="Normal 7 3 2 3 2" xfId="3012" xr:uid="{1235E64B-ED27-4019-8A63-AF5EDE47334E}"/>
    <cellStyle name="Normal 7 3 2 3 2 2" xfId="3011" xr:uid="{D3EBAA9F-4AAF-4614-8E21-A7F2FBC74804}"/>
    <cellStyle name="Normal 7 3 2 3 2 2 2" xfId="32706" xr:uid="{AEBBC3AF-E7A0-4FB6-A325-9733B41BF790}"/>
    <cellStyle name="Normal 7 3 2 3 2 2 2 2" xfId="3010" xr:uid="{4EFDEAB0-8318-4C97-9B81-5EEFB559E067}"/>
    <cellStyle name="Normal 7 3 2 3 2 2 3" xfId="32006" xr:uid="{4E910A3D-7B8D-4401-9D48-121953A6A6FF}"/>
    <cellStyle name="Normal 7 3 2 3 2 3" xfId="3009" xr:uid="{81666875-F742-4684-BEDB-D2651E4D6346}"/>
    <cellStyle name="Normal 7 3 2 3 2 3 2" xfId="3008" xr:uid="{F277EDE6-221F-4906-9689-3D01B918086D}"/>
    <cellStyle name="Normal 7 3 2 3 2 4" xfId="10584" xr:uid="{495D38DB-7B88-4701-A761-F97BC171C847}"/>
    <cellStyle name="Normal 7 3 2 3 3" xfId="4202" xr:uid="{7B7FC799-DFDA-4023-B5C4-CB9A3C3F7169}"/>
    <cellStyle name="Normal 7 3 2 3 3 2" xfId="3007" xr:uid="{CF426559-D2E6-420E-8604-145310708F67}"/>
    <cellStyle name="Normal 7 3 2 3 3 2 2" xfId="3006" xr:uid="{31D6B2CE-AE1B-49EB-B97E-126DF8728916}"/>
    <cellStyle name="Normal 7 3 2 3 3 3" xfId="3005" xr:uid="{FA5351C6-36EA-4B5F-ABC4-3181785015C9}"/>
    <cellStyle name="Normal 7 3 2 3 4" xfId="15627" xr:uid="{B31C0BAE-F0E3-4D98-85B9-34B35BF95FF8}"/>
    <cellStyle name="Normal 7 3 2 3 4 2" xfId="18869" xr:uid="{E8A84FEC-04F0-409A-859B-B34AFCE826AE}"/>
    <cellStyle name="Normal 7 3 2 3 5" xfId="3004" xr:uid="{6B87C0BD-41A0-4A8D-8370-33652684AE14}"/>
    <cellStyle name="Normal 7 3 2 4" xfId="3003" xr:uid="{F7D29172-7328-4D56-9D6C-170E982E6440}"/>
    <cellStyle name="Normal 7 3 2 4 2" xfId="3002" xr:uid="{814A6B62-DEF8-4145-B1EF-D50F7180A139}"/>
    <cellStyle name="Normal 7 3 2 4 2 2" xfId="3001" xr:uid="{4C393CFC-42D6-4A9D-9B75-3EBDB14FBA96}"/>
    <cellStyle name="Normal 7 3 2 4 2 2 2" xfId="3000" xr:uid="{F2138501-1950-4604-B6F0-BFDEE713DC09}"/>
    <cellStyle name="Normal 7 3 2 4 2 3" xfId="2999" xr:uid="{6353A574-B18F-4A84-90DB-92FF178AE8EE}"/>
    <cellStyle name="Normal 7 3 2 4 3" xfId="4199" xr:uid="{26B17B95-B484-42A4-8AC2-5DB88D6F27A0}"/>
    <cellStyle name="Normal 7 3 2 4 3 2" xfId="2998" xr:uid="{524C2C21-C5EC-48A0-AD8A-C0ACB8AA2231}"/>
    <cellStyle name="Normal 7 3 2 4 4" xfId="2997" xr:uid="{C2690DCA-CE3A-4CC9-B733-E6F3A7FA86C5}"/>
    <cellStyle name="Normal 7 3 2 5" xfId="2996" xr:uid="{0C02997F-E59A-48DD-A0A5-2F26E8489C4C}"/>
    <cellStyle name="Normal 7 3 2 5 2" xfId="2995" xr:uid="{E44C9B47-2AE5-449A-9E1A-0F61DFD34796}"/>
    <cellStyle name="Normal 7 3 2 5 2 2" xfId="13712" xr:uid="{950B6B07-85BE-4D90-BF4C-5FB4F88AD441}"/>
    <cellStyle name="Normal 7 3 2 5 3" xfId="2994" xr:uid="{53EADD42-0BC8-4E83-AC7A-FD872259CEFA}"/>
    <cellStyle name="Normal 7 3 2 6" xfId="30551" xr:uid="{598F4095-06B0-4793-815B-F9271C112D65}"/>
    <cellStyle name="Normal 7 3 2 6 2" xfId="2993" xr:uid="{9B070B78-058A-47A4-8169-B44980EE4890}"/>
    <cellStyle name="Normal 7 3 2 7" xfId="7063" xr:uid="{18323B7D-CA79-4C9E-997A-21D96994ACEF}"/>
    <cellStyle name="Normal 7 3 3" xfId="2992" xr:uid="{341E66BB-C5ED-45E4-A995-DC6F8A938D72}"/>
    <cellStyle name="Normal 7 3 3 2" xfId="2989" xr:uid="{2FA3AFB3-97EF-4148-8239-0C141984DEFF}"/>
    <cellStyle name="Normal 7 3 3 2 2" xfId="2988" xr:uid="{F68C3425-188A-4D7A-8014-C03CE21DCCAD}"/>
    <cellStyle name="Normal 7 3 3 2 2 2" xfId="2987" xr:uid="{238B39B9-DADC-4B2E-8AA3-387AB8AAAABC}"/>
    <cellStyle name="Normal 7 3 3 2 2 2 2" xfId="2986" xr:uid="{A33D474B-B687-4434-85F0-F757AAC92A1C}"/>
    <cellStyle name="Normal 7 3 3 2 2 2 2 2" xfId="11725" xr:uid="{14DE6530-5979-4D79-8693-DFEED1FBDA5C}"/>
    <cellStyle name="Normal 7 3 3 2 2 2 3" xfId="2985" xr:uid="{4D2A86E9-EDDB-4267-99F5-77346277E092}"/>
    <cellStyle name="Normal 7 3 3 2 2 3" xfId="2984" xr:uid="{85D1ED48-A190-417C-9FAA-F65B700972CD}"/>
    <cellStyle name="Normal 7 3 3 2 2 3 2" xfId="2983" xr:uid="{8079778D-BE99-4078-BEE0-A0BE0EA3B28B}"/>
    <cellStyle name="Normal 7 3 3 2 2 4" xfId="17399" xr:uid="{4C052025-0E69-41EF-B75F-B5645DA5DA0D}"/>
    <cellStyle name="Normal 7 3 3 2 3" xfId="2982" xr:uid="{E9B3B421-B4E8-4802-9B09-039DD55D560A}"/>
    <cellStyle name="Normal 7 3 3 2 3 2" xfId="2981" xr:uid="{25BEDC10-98F9-40B0-9F6F-91BD5A353744}"/>
    <cellStyle name="Normal 7 3 3 2 3 2 2" xfId="2980" xr:uid="{5D89D15B-64B2-4EB4-9DB9-1F4ED04BED6A}"/>
    <cellStyle name="Normal 7 3 3 2 3 3" xfId="2979" xr:uid="{D09333D7-4BBA-4856-95DE-8174C9DC0234}"/>
    <cellStyle name="Normal 7 3 3 2 4" xfId="9522" xr:uid="{810915B8-6F00-4EE3-8CDB-B27ED493BA14}"/>
    <cellStyle name="Normal 7 3 3 2 4 2" xfId="21174" xr:uid="{BE5A0114-A946-44CF-AB8F-A8A59408F0A6}"/>
    <cellStyle name="Normal 7 3 3 2 5" xfId="2978" xr:uid="{21A0DF59-0F77-4E79-9C44-1BC9ED837C62}"/>
    <cellStyle name="Normal 7 3 3 3" xfId="2977" xr:uid="{88A7655D-6682-444F-9F1C-AEA17F904D88}"/>
    <cellStyle name="Normal 7 3 3 3 2" xfId="8843" xr:uid="{146A704D-24EE-40A6-B21B-6F907A7D9BA9}"/>
    <cellStyle name="Normal 7 3 3 3 2 2" xfId="2976" xr:uid="{22DF9BB6-C8EB-43BE-B4A4-2CCC3AFC910A}"/>
    <cellStyle name="Normal 7 3 3 3 2 2 2" xfId="23710" xr:uid="{42BADE81-86FA-4F18-B5FD-268A32B5F883}"/>
    <cellStyle name="Normal 7 3 3 3 2 3" xfId="3556" xr:uid="{0D653E3F-D4EB-407C-AF83-BFED00E05983}"/>
    <cellStyle name="Normal 7 3 3 3 3" xfId="30906" xr:uid="{D510B0E6-482B-4A5B-B76A-360287B6B71D}"/>
    <cellStyle name="Normal 7 3 3 3 3 2" xfId="6458" xr:uid="{8BFCA52A-862B-4500-BB9F-3FB054EDF7F7}"/>
    <cellStyle name="Normal 7 3 3 3 4" xfId="30976" xr:uid="{95F43494-C176-423A-93DE-C9411A2A1AC6}"/>
    <cellStyle name="Normal 7 3 3 4" xfId="2975" xr:uid="{C036377D-1AA0-4D7C-B405-A9D4AEBC23AB}"/>
    <cellStyle name="Normal 7 3 3 4 2" xfId="14085" xr:uid="{820D18A2-6269-474F-8C6E-D2978CD96AAB}"/>
    <cellStyle name="Normal 7 3 3 4 2 2" xfId="2974" xr:uid="{FB5C595A-AC10-45A7-B142-0E0CD39D9E3B}"/>
    <cellStyle name="Normal 7 3 3 4 3" xfId="8828" xr:uid="{30701105-077C-41C8-80D5-494797941F4C}"/>
    <cellStyle name="Normal 7 3 3 5" xfId="2973" xr:uid="{2B0C189A-EFBC-4D88-9F17-C89D2275B13F}"/>
    <cellStyle name="Normal 7 3 3 5 2" xfId="8826" xr:uid="{867EB6D5-121A-4047-A56C-1AC7BA9890B4}"/>
    <cellStyle name="Normal 7 3 3 6" xfId="2972" xr:uid="{C4F77E63-D1A8-49D9-837A-A7F0DA9D6D19}"/>
    <cellStyle name="Normal 7 3 4" xfId="33347" xr:uid="{D0A87F3D-E74E-488E-89DC-4BB8613982E4}"/>
    <cellStyle name="Normal 7 3 4 2" xfId="27856" xr:uid="{B9A5953C-177D-49F8-8FBD-E4D09C9319F8}"/>
    <cellStyle name="Normal 7 3 4 2 2" xfId="32849" xr:uid="{13F0BF33-7B3F-4B08-A200-4E1D1DD2FE5F}"/>
    <cellStyle name="Normal 7 3 4 2 2 2" xfId="2971" xr:uid="{B47D5CB9-67FB-4C19-8815-28295DED10FA}"/>
    <cellStyle name="Normal 7 3 4 2 2 2 2" xfId="2970" xr:uid="{186F408A-87EB-4EC5-B0F5-1A6E47B4B6A9}"/>
    <cellStyle name="Normal 7 3 4 2 2 3" xfId="2969" xr:uid="{0ED582D3-999B-42B5-B6B4-E5713C640ADE}"/>
    <cellStyle name="Normal 7 3 4 2 3" xfId="2968" xr:uid="{470413F2-420C-4CE8-A983-F9B8B89D6A05}"/>
    <cellStyle name="Normal 7 3 4 2 3 2" xfId="21805" xr:uid="{11943FFB-A3E3-4691-8CEC-D891A23BB408}"/>
    <cellStyle name="Normal 7 3 4 2 4" xfId="2967" xr:uid="{7F1DFBC2-A487-4874-8CDC-B54CA0EF735A}"/>
    <cellStyle name="Normal 7 3 4 3" xfId="27851" xr:uid="{EC7DAEBF-77F5-4645-953F-945F381C5233}"/>
    <cellStyle name="Normal 7 3 4 3 2" xfId="8811" xr:uid="{7A3AF89C-99C9-460B-92C8-572D2F7A94DB}"/>
    <cellStyle name="Normal 7 3 4 3 2 2" xfId="2966" xr:uid="{F4A4B334-BECF-465D-A9C1-676159BB9930}"/>
    <cellStyle name="Normal 7 3 4 3 3" xfId="8809" xr:uid="{E54DBDE4-7821-4F97-93F5-32CD0102CE59}"/>
    <cellStyle name="Normal 7 3 4 4" xfId="2965" xr:uid="{8FC78FD8-90A3-45E0-96B6-4D0465372F3F}"/>
    <cellStyle name="Normal 7 3 4 4 2" xfId="22328" xr:uid="{549BDB1E-FAC8-46DC-A805-629F046F785D}"/>
    <cellStyle name="Normal 7 3 4 5" xfId="2964" xr:uid="{89D43E0F-11DC-4365-817B-6115252C73CE}"/>
    <cellStyle name="Normal 7 3 5" xfId="27847" xr:uid="{3DB48FB3-1930-41D8-B649-E6B4877FCBCB}"/>
    <cellStyle name="Normal 7 3 5 2" xfId="27845" xr:uid="{A0DB509B-DC60-4616-94BE-D52178A5B299}"/>
    <cellStyle name="Normal 7 3 5 2 2" xfId="2963" xr:uid="{26FD9356-D5A2-44F3-8410-8FEBBA91588A}"/>
    <cellStyle name="Normal 7 3 5 2 2 2" xfId="2962" xr:uid="{4BFECAA2-97FC-4152-B8AE-DECAB8449458}"/>
    <cellStyle name="Normal 7 3 5 2 3" xfId="2961" xr:uid="{A9B29E18-1C1C-4B6D-8FF6-FA63739B207B}"/>
    <cellStyle name="Normal 7 3 5 3" xfId="2960" xr:uid="{BF3EF6A4-6EED-4733-BFD7-11F068F42DCA}"/>
    <cellStyle name="Normal 7 3 5 3 2" xfId="8792" xr:uid="{ED176D53-6BF0-47CC-A1DA-BE5BD8C8B3F6}"/>
    <cellStyle name="Normal 7 3 5 4" xfId="2959" xr:uid="{9ED58F14-3897-4B36-BFC2-43B78063D606}"/>
    <cellStyle name="Normal 7 3 6" xfId="31365" xr:uid="{448DBDF6-9827-4CD9-AE0C-69DCE21A70EB}"/>
    <cellStyle name="Normal 7 3 6 2" xfId="21474" xr:uid="{ACFABE88-5945-4C76-B995-D99A2D8739FD}"/>
    <cellStyle name="Normal 7 3 6 2 2" xfId="2958" xr:uid="{3C5B0B76-8E5D-433F-89B8-C716FB9866EB}"/>
    <cellStyle name="Normal 7 3 6 3" xfId="2957" xr:uid="{5DEC293B-016C-48CF-A2B9-6E88374350CA}"/>
    <cellStyle name="Normal 7 3 7" xfId="16720" xr:uid="{82BBD1FC-417D-4F33-AFBE-8AF0E01FBEA2}"/>
    <cellStyle name="Normal 7 3 7 2" xfId="2956" xr:uid="{D841A09D-84D2-46F9-9F71-00DBA4924515}"/>
    <cellStyle name="Normal 7 3 8" xfId="2955" xr:uid="{00F01451-0C93-4B66-8979-DFD1F836B58B}"/>
    <cellStyle name="Normal 7 4" xfId="2954" xr:uid="{51C278E6-3621-4D43-96F3-1E0F39D87977}"/>
    <cellStyle name="Normal 7 4 2" xfId="2952" xr:uid="{85C7CD3F-F5A9-46A8-8669-08F2951C92B3}"/>
    <cellStyle name="Normal 7 4 2 2" xfId="31809" xr:uid="{C18C2E62-A4AE-4B09-9214-6E0358A1D657}"/>
    <cellStyle name="Normal 7 4 2 2 2" xfId="2950" xr:uid="{B53697D4-3BB8-4764-A4CD-1AA8219EE40A}"/>
    <cellStyle name="Normal 7 4 2 2 2 2" xfId="2949" xr:uid="{91AAD47D-10A7-42AC-9D0E-573FD79CD813}"/>
    <cellStyle name="Normal 7 4 2 2 2 2 2" xfId="18075" xr:uid="{21C9A9DE-68C7-4A70-BCA5-110D2DEB8EB8}"/>
    <cellStyle name="Normal 7 4 2 2 2 2 2 2" xfId="2948" xr:uid="{012DD1ED-FF9A-40E7-94F4-387AC52B7DDF}"/>
    <cellStyle name="Normal 7 4 2 2 2 2 3" xfId="2947" xr:uid="{E6375DAB-2836-4AD1-B35B-D405409F1F90}"/>
    <cellStyle name="Normal 7 4 2 2 2 3" xfId="2946" xr:uid="{E338D3F1-482A-4EB5-AA72-86C833E61541}"/>
    <cellStyle name="Normal 7 4 2 2 2 3 2" xfId="33321" xr:uid="{E6A5C125-9C04-4104-ABA3-1003968CEF26}"/>
    <cellStyle name="Normal 7 4 2 2 2 4" xfId="25401" xr:uid="{01B9CDB4-2C95-4CB0-B51D-27F17480C9E7}"/>
    <cellStyle name="Normal 7 4 2 2 3" xfId="2945" xr:uid="{C2766721-40AE-4A9E-89D3-CD7A75BCF8FE}"/>
    <cellStyle name="Normal 7 4 2 2 3 2" xfId="21449" xr:uid="{90A89C6D-F872-4D88-A859-68935A683840}"/>
    <cellStyle name="Normal 7 4 2 2 3 2 2" xfId="2943" xr:uid="{29466BFC-88F3-496F-A2FE-217EEC03F613}"/>
    <cellStyle name="Normal 7 4 2 2 3 3" xfId="21445" xr:uid="{CEC32FA8-D71F-429D-BF3A-37723B50A1B8}"/>
    <cellStyle name="Normal 7 4 2 2 4" xfId="8408" xr:uid="{B69AE520-F246-43E8-98EF-4BFC734AE9DE}"/>
    <cellStyle name="Normal 7 4 2 2 4 2" xfId="21427" xr:uid="{39561F89-3072-4C9C-ACCB-8A3D8CEBF3C9}"/>
    <cellStyle name="Normal 7 4 2 2 5" xfId="2942" xr:uid="{EE4F7F99-ED22-4A67-ABD8-89904386637C}"/>
    <cellStyle name="Normal 7 4 2 3" xfId="2941" xr:uid="{82015541-BA40-48AF-8033-61001FEA3186}"/>
    <cellStyle name="Normal 7 4 2 3 2" xfId="2940" xr:uid="{DEE1609C-E9A5-4A52-B70A-575837CB75DE}"/>
    <cellStyle name="Normal 7 4 2 3 2 2" xfId="2939" xr:uid="{70E9FEEC-2C2B-43A5-9533-F1A61FA03523}"/>
    <cellStyle name="Normal 7 4 2 3 2 2 2" xfId="8956" xr:uid="{5255EC99-6CCF-4ECA-BE8E-322604C2C9B8}"/>
    <cellStyle name="Normal 7 4 2 3 2 3" xfId="2938" xr:uid="{CEBB46BB-DFD7-40AC-BC0D-5CED7184FAF2}"/>
    <cellStyle name="Normal 7 4 2 3 3" xfId="2937" xr:uid="{E9BC9829-4480-4991-B730-914859C7A504}"/>
    <cellStyle name="Normal 7 4 2 3 3 2" xfId="21377" xr:uid="{FC4CAB83-B034-4CD4-A884-27545A4D0C10}"/>
    <cellStyle name="Normal 7 4 2 3 4" xfId="2935" xr:uid="{1602A849-F273-4B55-87FD-FFAA2A71983F}"/>
    <cellStyle name="Normal 7 4 2 4" xfId="2934" xr:uid="{BD112E3A-41E4-490F-9299-CC8DDF8DDC48}"/>
    <cellStyle name="Normal 7 4 2 4 2" xfId="2933" xr:uid="{43A1BA17-148F-4492-839C-68C18CB42014}"/>
    <cellStyle name="Normal 7 4 2 4 2 2" xfId="2932" xr:uid="{54F930CD-CFFA-4E47-B90D-8C76F70F659B}"/>
    <cellStyle name="Normal 7 4 2 4 3" xfId="2931" xr:uid="{232943D1-6F15-4F91-ACA0-FDE3C7C82992}"/>
    <cellStyle name="Normal 7 4 2 5" xfId="2930" xr:uid="{DA487567-892B-405B-A4A1-1093DC09B0CB}"/>
    <cellStyle name="Normal 7 4 2 5 2" xfId="2929" xr:uid="{33618E08-9D23-4595-AADF-8C6564CDB2E3}"/>
    <cellStyle name="Normal 7 4 2 6" xfId="2928" xr:uid="{97D44452-8B15-4374-9BB2-EAC88B8A1AAE}"/>
    <cellStyle name="Normal 7 4 3" xfId="2927" xr:uid="{A013769B-848E-482D-B942-EAE60D8D7E27}"/>
    <cellStyle name="Normal 7 4 3 2" xfId="2926" xr:uid="{3A2EF69A-2819-4213-A725-DF29F923656F}"/>
    <cellStyle name="Normal 7 4 3 2 2" xfId="2925" xr:uid="{BC2CEBB2-1DE1-45BE-B194-CDA584A628DC}"/>
    <cellStyle name="Normal 7 4 3 2 2 2" xfId="2924" xr:uid="{0E4CEB50-DAB4-4AE8-99B4-81123E15F05B}"/>
    <cellStyle name="Normal 7 4 3 2 2 2 2" xfId="2923" xr:uid="{742CC9D9-DA98-4670-B239-D720546F73F3}"/>
    <cellStyle name="Normal 7 4 3 2 2 3" xfId="2922" xr:uid="{6FE1D5F0-C711-481C-9717-C726F14FF517}"/>
    <cellStyle name="Normal 7 4 3 2 3" xfId="2921" xr:uid="{3A11AC4A-3842-48FA-9E2D-EF2258057B5F}"/>
    <cellStyle name="Normal 7 4 3 2 3 2" xfId="21236" xr:uid="{B0E3BD93-C962-49D8-8DD2-1B3747D6BFFB}"/>
    <cellStyle name="Normal 7 4 3 2 4" xfId="2919" xr:uid="{F39C70A7-990E-4335-93A7-278264267AEC}"/>
    <cellStyle name="Normal 7 4 3 3" xfId="2918" xr:uid="{A517C895-39FE-4D17-9BC5-42E502B7832E}"/>
    <cellStyle name="Normal 7 4 3 3 2" xfId="8768" xr:uid="{C782B0D2-4679-4E8E-BA3E-5CC7961EBFE1}"/>
    <cellStyle name="Normal 7 4 3 3 2 2" xfId="2917" xr:uid="{25EC9D6B-19E3-418C-B373-29139A02020C}"/>
    <cellStyle name="Normal 7 4 3 3 3" xfId="8763" xr:uid="{B353B149-6BD5-4D67-A0B7-1D5BEE497D5F}"/>
    <cellStyle name="Normal 7 4 3 4" xfId="2916" xr:uid="{39B54284-56F3-4F8F-A0A6-132FE10348BB}"/>
    <cellStyle name="Normal 7 4 3 4 2" xfId="8753" xr:uid="{185570A6-558B-4237-B00E-E3B8B065F9D9}"/>
    <cellStyle name="Normal 7 4 3 5" xfId="2915" xr:uid="{712C04EC-3376-4479-B624-47AD9E136A13}"/>
    <cellStyle name="Normal 7 4 4" xfId="27836" xr:uid="{D3B8706E-AE46-411F-90AC-F67736F7A731}"/>
    <cellStyle name="Normal 7 4 4 2" xfId="29345" xr:uid="{0D08E064-4D89-4539-8C99-CEF995F865C8}"/>
    <cellStyle name="Normal 7 4 4 2 2" xfId="2914" xr:uid="{8AAB2731-66A5-4A64-B2AC-E3E4EFBF66F6}"/>
    <cellStyle name="Normal 7 4 4 2 2 2" xfId="2913" xr:uid="{26046B07-1F7A-4DAD-A5BE-FFD619DC5728}"/>
    <cellStyle name="Normal 7 4 4 2 3" xfId="2912" xr:uid="{E860C7C2-6937-4EAE-9738-8D1D04020DAA}"/>
    <cellStyle name="Normal 7 4 4 3" xfId="2911" xr:uid="{4941FFBB-408F-49BC-9F5A-CBAE97A4D4E5}"/>
    <cellStyle name="Normal 7 4 4 3 2" xfId="26486" xr:uid="{E326E344-462A-457A-BC3E-AE5B785E8D93}"/>
    <cellStyle name="Normal 7 4 4 4" xfId="2910" xr:uid="{34BD83CC-6D6F-48B0-8A9C-BF8A3D49CCBF}"/>
    <cellStyle name="Normal 7 4 5" xfId="27831" xr:uid="{B45E5106-20A9-481A-92A5-BFEC2FF4FE7B}"/>
    <cellStyle name="Normal 7 4 5 2" xfId="2909" xr:uid="{72701AAE-7D1F-41B2-A824-46D497C9B568}"/>
    <cellStyle name="Normal 7 4 5 2 2" xfId="2908" xr:uid="{09C0C792-E8A3-4349-8FD0-73ACDD9F9EAA}"/>
    <cellStyle name="Normal 7 4 5 3" xfId="2907" xr:uid="{40D3B6BF-330F-4CEF-8D54-CE7FCB0B107E}"/>
    <cellStyle name="Normal 7 4 6" xfId="2906" xr:uid="{03F1C56F-019D-4CD7-AFB4-517AE98EFD24}"/>
    <cellStyle name="Normal 7 4 6 2" xfId="2905" xr:uid="{2564E072-5438-4814-A525-76E52C577417}"/>
    <cellStyle name="Normal 7 4 7" xfId="2904" xr:uid="{216380E5-A6C2-409E-A034-51E7D4BEAC2D}"/>
    <cellStyle name="Normal 7 5" xfId="2903" xr:uid="{CB569A3B-AC37-4700-92C0-396905874D6A}"/>
    <cellStyle name="Normal 7 5 2" xfId="2901" xr:uid="{053608B3-8F1B-4B8E-BB43-F015B412AF0A}"/>
    <cellStyle name="Normal 7 5 2 2" xfId="2900" xr:uid="{B3AB29F2-0B23-41D8-B5EA-9475744312B3}"/>
    <cellStyle name="Normal 7 5 2 2 2" xfId="2899" xr:uid="{7AB3EC84-BAF2-4D36-83CC-058675697BCB}"/>
    <cellStyle name="Normal 7 5 2 2 2 2" xfId="2898" xr:uid="{8F51F792-2FAE-4E41-8C3F-498BBB8DB82A}"/>
    <cellStyle name="Normal 7 5 2 2 2 2 2" xfId="2897" xr:uid="{C1735DEC-5868-477D-9E4A-B6E109176EDD}"/>
    <cellStyle name="Normal 7 5 2 2 2 3" xfId="2896" xr:uid="{D01D5939-315A-4C87-854E-DEF5229A7BFC}"/>
    <cellStyle name="Normal 7 5 2 2 3" xfId="2895" xr:uid="{0A388874-1184-4F7B-8F35-CDBE9E8B7435}"/>
    <cellStyle name="Normal 7 5 2 2 3 2" xfId="27163" xr:uid="{9CBA78AD-E0AE-4EC5-A14A-F4AD21CAC531}"/>
    <cellStyle name="Normal 7 5 2 2 4" xfId="2893" xr:uid="{146FD691-F4D1-4FB2-8FD6-60A420F60860}"/>
    <cellStyle name="Normal 7 5 2 3" xfId="2892" xr:uid="{CFF3EB39-FD22-4450-A7CA-AA14CCA9884E}"/>
    <cellStyle name="Normal 7 5 2 3 2" xfId="22040" xr:uid="{D1BAAFF1-D59A-4AB6-82CE-0237B2C97268}"/>
    <cellStyle name="Normal 7 5 2 3 2 2" xfId="2891" xr:uid="{B311DE34-0EEC-4AD6-84FF-69FA22FD7F3D}"/>
    <cellStyle name="Normal 7 5 2 3 3" xfId="2890" xr:uid="{17783CE3-ABC0-4B10-A35C-5B09D3576978}"/>
    <cellStyle name="Normal 7 5 2 4" xfId="2889" xr:uid="{078161D6-66D9-49A6-A042-A883D2AAB404}"/>
    <cellStyle name="Normal 7 5 2 4 2" xfId="2888" xr:uid="{A64C4492-3EC6-4E82-B980-6D2F8688BF5B}"/>
    <cellStyle name="Normal 7 5 2 5" xfId="2887" xr:uid="{3A93ED65-63F3-4563-8CD5-5AFB04AFAAB6}"/>
    <cellStyle name="Normal 7 5 3" xfId="2886" xr:uid="{8114A0C7-A713-439D-8BE5-C90381845BD3}"/>
    <cellStyle name="Normal 7 5 3 2" xfId="2885" xr:uid="{A9B952BC-85A9-42BC-89F9-F28ADCC9D92D}"/>
    <cellStyle name="Normal 7 5 3 2 2" xfId="2884" xr:uid="{BDC54354-5C31-42F8-85DB-9DC143298B6E}"/>
    <cellStyle name="Normal 7 5 3 2 2 2" xfId="2883" xr:uid="{9C06B76D-5F24-4420-93C8-F2C7F15644CE}"/>
    <cellStyle name="Normal 7 5 3 2 3" xfId="2882" xr:uid="{BC213D17-D61C-4AF2-93A0-E139D61B8ED4}"/>
    <cellStyle name="Normal 7 5 3 3" xfId="2881" xr:uid="{DACEC8C4-DBF7-42AD-A12F-F22444D2F1B4}"/>
    <cellStyle name="Normal 7 5 3 3 2" xfId="8717" xr:uid="{3E2DED2C-6CDA-4DE9-8A53-825A4AAC3B29}"/>
    <cellStyle name="Normal 7 5 3 4" xfId="2880" xr:uid="{09238DAC-FFAB-48CD-964D-8D20062FA39C}"/>
    <cellStyle name="Normal 7 5 4" xfId="27819" xr:uid="{9FBE7687-F2D4-4672-BDA2-0B613F1C3C06}"/>
    <cellStyle name="Normal 7 5 4 2" xfId="2879" xr:uid="{28E2A582-2210-4CFB-AC5F-C7E855507A0C}"/>
    <cellStyle name="Normal 7 5 4 2 2" xfId="2878" xr:uid="{8C3FFB6B-EB2F-43FC-A4BC-AF8695412D4F}"/>
    <cellStyle name="Normal 7 5 4 3" xfId="2877" xr:uid="{C799F572-515E-46E1-BEC3-EDD80D4D8286}"/>
    <cellStyle name="Normal 7 5 5" xfId="2876" xr:uid="{54FE19D7-A10D-4E40-A4C3-F7167A12425D}"/>
    <cellStyle name="Normal 7 5 5 2" xfId="2875" xr:uid="{57BB489B-F373-4F6A-8845-6F60E1715F4B}"/>
    <cellStyle name="Normal 7 5 6" xfId="2874" xr:uid="{B6201AE4-E7BD-4B4D-82F0-01C277463355}"/>
    <cellStyle name="Normal 7 6" xfId="2872" xr:uid="{CC852D1E-D3C8-47A1-A982-645EE86B8601}"/>
    <cellStyle name="Normal 7 6 2" xfId="2871" xr:uid="{41E0A080-5139-44F2-8BD4-C1A940F44222}"/>
    <cellStyle name="Normal 7 6 2 2" xfId="10983" xr:uid="{9A23C664-3BEB-46FE-AB7D-A748879C6758}"/>
    <cellStyle name="Normal 7 6 2 2 2" xfId="10981" xr:uid="{5DE8E72A-D15A-4104-B761-A3F4D12CC8C0}"/>
    <cellStyle name="Normal 7 6 2 2 2 2" xfId="10976" xr:uid="{BE63FEA3-10FC-45CB-90B9-46EC8CB99DBF}"/>
    <cellStyle name="Normal 7 6 2 2 3" xfId="10970" xr:uid="{A6B808C8-2F74-4A6B-94BC-8E1CE39910B8}"/>
    <cellStyle name="Normal 7 6 2 3" xfId="13326" xr:uid="{3FBFDC06-E691-471A-A58F-79E2624830EE}"/>
    <cellStyle name="Normal 7 6 2 3 2" xfId="10968" xr:uid="{3F910DD3-F1C2-4A2A-9315-A8540D47967A}"/>
    <cellStyle name="Normal 7 6 2 4" xfId="13697" xr:uid="{CBD4C2ED-CD5A-4358-B931-DA6E49B7B1A5}"/>
    <cellStyle name="Normal 7 6 3" xfId="2870" xr:uid="{DDE06122-9FB5-422D-8805-3A0C43489996}"/>
    <cellStyle name="Normal 7 6 3 2" xfId="10943" xr:uid="{BF4E0C26-AD15-4832-8009-73691963F656}"/>
    <cellStyle name="Normal 7 6 3 2 2" xfId="10941" xr:uid="{612B95EC-0EF5-4528-9BEC-5C9FCEA9AD0A}"/>
    <cellStyle name="Normal 7 6 3 3" xfId="10939" xr:uid="{BF7175F3-28D2-4B2E-B3C6-F7FE460E7A45}"/>
    <cellStyle name="Normal 7 6 4" xfId="2869" xr:uid="{AABAEFE2-F46F-4DB0-AE72-C38D0C165C68}"/>
    <cellStyle name="Normal 7 6 4 2" xfId="10933" xr:uid="{AED50862-A80B-44D7-A9E3-B3DB05A402C8}"/>
    <cellStyle name="Normal 7 6 5" xfId="2868" xr:uid="{6ED5BA14-0445-4FEF-902A-92EC2F5C8A6D}"/>
    <cellStyle name="Normal 7 7" xfId="7303" xr:uid="{13D8A40B-8149-4C01-8ACB-E31353181C15}"/>
    <cellStyle name="Normal 7 7 2" xfId="21368" xr:uid="{6C0E9163-0E64-4FD9-A9A4-74D319D6BF96}"/>
    <cellStyle name="Normal 7 7 2 2" xfId="7299" xr:uid="{9D47CF5C-A1DD-4604-A220-6018C855E3AB}"/>
    <cellStyle name="Normal 7 7 2 2 2" xfId="10587" xr:uid="{84BE1CB6-F62F-4DF8-B77B-DA342126BD44}"/>
    <cellStyle name="Normal 7 7 2 3" xfId="7295" xr:uid="{D1B8FBAE-99D6-4149-BFB0-AE476D89C8D1}"/>
    <cellStyle name="Normal 7 7 3" xfId="9762" xr:uid="{8DE72715-6696-419C-9CBC-B7543BE1D929}"/>
    <cellStyle name="Normal 7 7 3 2" xfId="9756" xr:uid="{95837201-8482-4B34-9D37-2168D331B7AB}"/>
    <cellStyle name="Normal 7 7 4" xfId="9747" xr:uid="{6D3FAF25-7673-4B34-B6E1-D6AC4559FEED}"/>
    <cellStyle name="Normal 7 8" xfId="23360" xr:uid="{205330CD-403A-4398-9D08-4C9C6B393C6A}"/>
    <cellStyle name="Normal 7 8 2" xfId="14508" xr:uid="{9B9D0127-2F76-4AED-9069-A1661F3E3034}"/>
    <cellStyle name="Normal 7 8 2 2" xfId="7288" xr:uid="{A392CEEB-A529-4ECD-AF15-8B75AFC711F4}"/>
    <cellStyle name="Normal 7 8 3" xfId="9735" xr:uid="{A66E3662-5742-4D1F-A167-169643AADAA1}"/>
    <cellStyle name="Normal 7 9" xfId="7283" xr:uid="{E485072D-7C73-4811-8B04-AD366DDD3627}"/>
    <cellStyle name="Normal 7 9 2" xfId="7280" xr:uid="{310797C4-D1BA-4112-8384-CAD94BDAC15C}"/>
    <cellStyle name="Normal 8" xfId="297" xr:uid="{846D3F33-6760-4A01-B8F0-1E573B6D5CF3}"/>
    <cellStyle name="Normal 8 2" xfId="2867" xr:uid="{59705701-74FF-4295-BC17-D2AED109B49A}"/>
    <cellStyle name="Normal 8 3" xfId="34602" xr:uid="{F7623C8A-BFB7-4FF2-913D-78DDCD9B7FF2}"/>
    <cellStyle name="Normal 8 4" xfId="35240" xr:uid="{F501AF3B-E4E6-4058-8A78-919A4F8725A1}"/>
    <cellStyle name="Normal 8 5" xfId="35469" xr:uid="{E52B33F7-AD2A-4CE5-AB21-E3460C653CB0}"/>
    <cellStyle name="Normal 8 6" xfId="36341" xr:uid="{02FB01B6-0074-4959-A3D0-0273442D5036}"/>
    <cellStyle name="Normal 8 7" xfId="36627" xr:uid="{7AD096BF-6AEF-44B6-9631-69EB40F0375C}"/>
    <cellStyle name="Normal 8 8" xfId="37499" xr:uid="{4219A199-37EE-4096-A04E-811CAABB058C}"/>
    <cellStyle name="Normal 9" xfId="317" xr:uid="{8816BCA1-C88D-47FC-AAC9-A55A97D791F1}"/>
    <cellStyle name="Normal 9 10" xfId="21912" xr:uid="{84F33995-2EDF-4EC8-83F1-B8C05F765D61}"/>
    <cellStyle name="Normal 9 11" xfId="34616" xr:uid="{E34DDF24-76E2-4E5B-8DD5-C650C38B5B86}"/>
    <cellStyle name="Normal 9 2" xfId="2865" xr:uid="{D2B2D25F-D916-49B8-A1F8-1B3D8C384B3A}"/>
    <cellStyle name="Normal 9 2 2" xfId="2863" xr:uid="{2F451358-8F72-44C8-B446-7D197D9905B4}"/>
    <cellStyle name="Normal 9 2 2 2" xfId="2861" xr:uid="{47B368FD-7913-41BD-A60A-F0ED07FCD382}"/>
    <cellStyle name="Normal 9 2 2 2 2" xfId="2860" xr:uid="{792EC11A-7E7E-41A8-B5F5-1A862FF5619C}"/>
    <cellStyle name="Normal 9 2 2 2 2 2" xfId="10953" xr:uid="{8F9112C6-C68B-40BB-813F-2C769F8C372D}"/>
    <cellStyle name="Normal 9 2 2 2 2 2 2" xfId="11826" xr:uid="{F6EB723F-917A-4754-9EB5-6A7DDB3A6D55}"/>
    <cellStyle name="Normal 9 2 2 2 2 2 2 2" xfId="7500" xr:uid="{DF8541BD-2598-4D7D-9E68-184B6034215A}"/>
    <cellStyle name="Normal 9 2 2 2 2 2 2 2 2" xfId="7498" xr:uid="{3767BE04-F3DD-45DB-B2A2-E3B185411D5F}"/>
    <cellStyle name="Normal 9 2 2 2 2 2 2 3" xfId="7474" xr:uid="{C7D440A0-D139-4261-B16C-959382DD16E8}"/>
    <cellStyle name="Normal 9 2 2 2 2 2 3" xfId="7450" xr:uid="{035AB366-4FDB-41F1-AC24-DE26A19387B3}"/>
    <cellStyle name="Normal 9 2 2 2 2 2 3 2" xfId="7448" xr:uid="{73A3BD36-5FD0-4FB2-8FF4-9F1DF7FD3634}"/>
    <cellStyle name="Normal 9 2 2 2 2 2 4" xfId="7412" xr:uid="{D428135E-DEDC-4499-AEAB-52FB485789D0}"/>
    <cellStyle name="Normal 9 2 2 2 2 3" xfId="10951" xr:uid="{81E2CC5F-420A-4D7C-A159-48CD2735E443}"/>
    <cellStyle name="Normal 9 2 2 2 2 3 2" xfId="23642" xr:uid="{4D011FA8-DA8A-40BC-91F0-42FA8A995CD4}"/>
    <cellStyle name="Normal 9 2 2 2 2 3 2 2" xfId="7302" xr:uid="{DF1DD59F-BA9B-4EE4-B741-CB993B8FB3F3}"/>
    <cellStyle name="Normal 9 2 2 2 2 3 3" xfId="7270" xr:uid="{1DE2149D-8392-456F-AF1D-2E99BC9B584D}"/>
    <cellStyle name="Normal 9 2 2 2 2 4" xfId="2859" xr:uid="{2DAEEC03-8C4F-4EB6-B348-1B16F183E5EC}"/>
    <cellStyle name="Normal 9 2 2 2 2 4 2" xfId="12557" xr:uid="{B695B7A0-54AF-40F3-8604-633DF96CDC5E}"/>
    <cellStyle name="Normal 9 2 2 2 2 5" xfId="21972" xr:uid="{5D8F124C-F5C5-4DE2-A85F-B4FB8205C999}"/>
    <cellStyle name="Normal 9 2 2 2 3" xfId="2858" xr:uid="{0B8DA7C9-157E-4591-9E57-6E6F9318D370}"/>
    <cellStyle name="Normal 9 2 2 2 3 2" xfId="10945" xr:uid="{7231C62A-E91F-4EF5-B74C-821F9273019C}"/>
    <cellStyle name="Normal 9 2 2 2 3 2 2" xfId="7905" xr:uid="{77D5A5C7-74BF-4700-B51B-6C31AD2A986B}"/>
    <cellStyle name="Normal 9 2 2 2 3 2 2 2" xfId="7902" xr:uid="{D79CE31A-36F9-4419-B574-97D731968417}"/>
    <cellStyle name="Normal 9 2 2 2 3 2 3" xfId="15599" xr:uid="{DF7D3831-5939-4953-850B-984A5DDB921F}"/>
    <cellStyle name="Normal 9 2 2 2 3 3" xfId="2856" xr:uid="{56F6DD26-494D-4114-89EB-4206E851D6BF}"/>
    <cellStyle name="Normal 9 2 2 2 3 3 2" xfId="7894" xr:uid="{1CFE4A49-1655-4F1B-B43A-82CE20CE3952}"/>
    <cellStyle name="Normal 9 2 2 2 3 4" xfId="2855" xr:uid="{89E3F3CE-4450-4744-BCD7-452E281BF7E1}"/>
    <cellStyle name="Normal 9 2 2 2 4" xfId="29307" xr:uid="{56CD5F73-3C99-4A7D-9104-251FA1E34B75}"/>
    <cellStyle name="Normal 9 2 2 2 4 2" xfId="2854" xr:uid="{042C7AA0-D0D2-4C48-851B-3CB5908DCDE4}"/>
    <cellStyle name="Normal 9 2 2 2 4 2 2" xfId="2853" xr:uid="{60999BDB-7999-4801-B89E-4D3DE584F1A3}"/>
    <cellStyle name="Normal 9 2 2 2 4 3" xfId="2852" xr:uid="{70483761-D2F5-4297-93E0-FFF6DCD2E7B0}"/>
    <cellStyle name="Normal 9 2 2 2 5" xfId="2851" xr:uid="{C19E81F1-AC50-494D-A856-F4EB9E6C9458}"/>
    <cellStyle name="Normal 9 2 2 2 5 2" xfId="2850" xr:uid="{BEC5656D-9140-475F-BF41-9CBA892F9585}"/>
    <cellStyle name="Normal 9 2 2 2 6" xfId="10352" xr:uid="{58A74261-6055-4F52-B6A2-ED2644B646FC}"/>
    <cellStyle name="Normal 9 2 2 3" xfId="2849" xr:uid="{90FF5A32-466D-462B-BAED-048AC45A6A4C}"/>
    <cellStyle name="Normal 9 2 2 3 2" xfId="2848" xr:uid="{E9BFE0E0-5E10-4D51-AF5F-93BF98E6258F}"/>
    <cellStyle name="Normal 9 2 2 3 2 2" xfId="10936" xr:uid="{14B5C506-D37F-4D0D-8121-5D8AD0FFFA12}"/>
    <cellStyle name="Normal 9 2 2 3 2 2 2" xfId="2847" xr:uid="{D040EB69-1DD1-41C0-8639-CAA046CCF79C}"/>
    <cellStyle name="Normal 9 2 2 3 2 2 2 2" xfId="27076" xr:uid="{8FF47253-CB51-46CD-8E45-85C7AB936366}"/>
    <cellStyle name="Normal 9 2 2 3 2 2 3" xfId="2846" xr:uid="{4C9CE597-8557-46F7-B538-7EA0306EE730}"/>
    <cellStyle name="Normal 9 2 2 3 2 3" xfId="2845" xr:uid="{F5ED5A06-368E-44DA-8DFB-B141322FB5D1}"/>
    <cellStyle name="Normal 9 2 2 3 2 3 2" xfId="2844" xr:uid="{C5A0D884-4C1E-4F56-BE06-165FE7C3B685}"/>
    <cellStyle name="Normal 9 2 2 3 2 4" xfId="2843" xr:uid="{AF639561-E831-417E-807F-4164ADD414C6}"/>
    <cellStyle name="Normal 9 2 2 3 3" xfId="2842" xr:uid="{C041C9CE-7E3B-45C7-8E0A-B3645C972EA8}"/>
    <cellStyle name="Normal 9 2 2 3 3 2" xfId="2841" xr:uid="{3F8F0C98-B8C8-4679-869E-C74941A67AC7}"/>
    <cellStyle name="Normal 9 2 2 3 3 2 2" xfId="16963" xr:uid="{63D4668B-FE83-45F9-93B1-9E119E8C5C7A}"/>
    <cellStyle name="Normal 9 2 2 3 3 3" xfId="32968" xr:uid="{E6470C17-3B54-4961-839B-E8E5A54276D0}"/>
    <cellStyle name="Normal 9 2 2 3 4" xfId="2840" xr:uid="{FCFA78FB-33F5-445D-A875-57D7EFFC45D2}"/>
    <cellStyle name="Normal 9 2 2 3 4 2" xfId="2839" xr:uid="{5523BA57-439B-4350-B87F-16EABDA937F5}"/>
    <cellStyle name="Normal 9 2 2 3 5" xfId="2838" xr:uid="{03EC659C-6620-453F-8667-19360CDA3940}"/>
    <cellStyle name="Normal 9 2 2 4" xfId="2837" xr:uid="{763A0A95-5DDF-4E44-B586-0C752E24B5BB}"/>
    <cellStyle name="Normal 9 2 2 4 2" xfId="2836" xr:uid="{D95ECE4E-0036-4B8D-B901-36299BDFECDF}"/>
    <cellStyle name="Normal 9 2 2 4 2 2" xfId="2835" xr:uid="{F7188EA8-1396-4252-B790-0294DFB0C5F7}"/>
    <cellStyle name="Normal 9 2 2 4 2 2 2" xfId="10678" xr:uid="{F3BE07D3-83FC-4949-B51C-C3D696F75111}"/>
    <cellStyle name="Normal 9 2 2 4 2 3" xfId="2834" xr:uid="{076AE332-A551-4C84-A14C-F0DBE56B0DCE}"/>
    <cellStyle name="Normal 9 2 2 4 3" xfId="27091" xr:uid="{1BD2B2B4-1658-492C-BF98-32A6665B2EAA}"/>
    <cellStyle name="Normal 9 2 2 4 3 2" xfId="33436" xr:uid="{D4FF5C9B-5163-4435-B661-9A611177D9EC}"/>
    <cellStyle name="Normal 9 2 2 4 4" xfId="25068" xr:uid="{CF63CDEE-71D3-4CC3-82AE-9314F8DF04C2}"/>
    <cellStyle name="Normal 9 2 2 5" xfId="2833" xr:uid="{994BA5BE-33B3-4072-B2E9-3A4D8E5AB463}"/>
    <cellStyle name="Normal 9 2 2 5 2" xfId="2832" xr:uid="{D40EE2C0-3D8B-4C0B-913B-1479DAB13922}"/>
    <cellStyle name="Normal 9 2 2 5 2 2" xfId="2831" xr:uid="{826B0BA4-0D76-4662-AA7D-5A0A9957DF36}"/>
    <cellStyle name="Normal 9 2 2 5 3" xfId="34320" xr:uid="{69F60FF1-1857-4EDA-A8C9-CCF16C3A2C3B}"/>
    <cellStyle name="Normal 9 2 2 6" xfId="14931" xr:uid="{293E79E4-5B1E-4DA6-A583-57968F154893}"/>
    <cellStyle name="Normal 9 2 2 6 2" xfId="2830" xr:uid="{BC1390B1-7299-4CEB-AC81-B296CB549CB5}"/>
    <cellStyle name="Normal 9 2 2 7" xfId="2829" xr:uid="{28EC7C64-47F4-4DA2-AAC7-659BA16D6DFD}"/>
    <cellStyle name="Normal 9 2 3" xfId="12687" xr:uid="{A2287435-7E14-4740-924A-0D568070984F}"/>
    <cellStyle name="Normal 9 2 3 2" xfId="2828" xr:uid="{ADE55937-0B04-4ACC-B254-030873AC2EB1}"/>
    <cellStyle name="Normal 9 2 3 2 2" xfId="27771" xr:uid="{2ED8EF58-DF0B-4A9E-A5F5-A9D7AA8FC91C}"/>
    <cellStyle name="Normal 9 2 3 2 2 2" xfId="10580" xr:uid="{0FF67E6F-18FA-4B71-9419-747ECA590EB2}"/>
    <cellStyle name="Normal 9 2 3 2 2 2 2" xfId="2827" xr:uid="{83952038-3B47-4DC6-8AE0-DF5215DB84D4}"/>
    <cellStyle name="Normal 9 2 3 2 2 2 2 2" xfId="2826" xr:uid="{EFAD199E-BBF4-4470-BEE1-76704699E82A}"/>
    <cellStyle name="Normal 9 2 3 2 2 2 3" xfId="28950" xr:uid="{C22A439F-6F70-4F1B-9F16-5C943D6C0350}"/>
    <cellStyle name="Normal 9 2 3 2 2 3" xfId="2825" xr:uid="{5E8DDF42-9BCA-48E0-8A74-BFFB794B698E}"/>
    <cellStyle name="Normal 9 2 3 2 2 3 2" xfId="2824" xr:uid="{40E708AB-A3A0-492D-A92F-757092435B69}"/>
    <cellStyle name="Normal 9 2 3 2 2 4" xfId="2823" xr:uid="{CB835E76-1784-423A-9621-73BEC6ECE7EF}"/>
    <cellStyle name="Normal 9 2 3 2 3" xfId="28587" xr:uid="{DCC27F98-B7D1-424A-83F7-5AAFB79DC696}"/>
    <cellStyle name="Normal 9 2 3 2 3 2" xfId="2822" xr:uid="{D107DF82-4ABB-4EB0-963B-23E094C95E07}"/>
    <cellStyle name="Normal 9 2 3 2 3 2 2" xfId="2821" xr:uid="{650B1611-D195-4154-993E-B0D1C83FBB7D}"/>
    <cellStyle name="Normal 9 2 3 2 3 3" xfId="2820" xr:uid="{A45002F7-A543-4B48-ADBC-D03F257E2F11}"/>
    <cellStyle name="Normal 9 2 3 2 4" xfId="2819" xr:uid="{69913F4E-4A25-41FF-A4B8-6AE6BB7205E4}"/>
    <cellStyle name="Normal 9 2 3 2 4 2" xfId="2818" xr:uid="{1675F6F7-4DFB-4383-9A7B-6DE2D72BB534}"/>
    <cellStyle name="Normal 9 2 3 2 5" xfId="2817" xr:uid="{BE670DC4-15D3-49D1-B4FF-9C3769DEA0AC}"/>
    <cellStyle name="Normal 9 2 3 3" xfId="2816" xr:uid="{163F59AE-AC92-454A-8F3B-7FA0EF860354}"/>
    <cellStyle name="Normal 9 2 3 3 2" xfId="8546" xr:uid="{1E7A788F-DBE2-4071-8264-94B18E852E6F}"/>
    <cellStyle name="Normal 9 2 3 3 2 2" xfId="2815" xr:uid="{D89FCC09-3B83-42B1-923C-9178130E3254}"/>
    <cellStyle name="Normal 9 2 3 3 2 2 2" xfId="2814" xr:uid="{82BBBED3-388A-43AD-B643-601C09261CF8}"/>
    <cellStyle name="Normal 9 2 3 3 2 3" xfId="2813" xr:uid="{84F7C05E-62EB-4DF2-8D87-879417A7B214}"/>
    <cellStyle name="Normal 9 2 3 3 3" xfId="8543" xr:uid="{41161ECC-A5C3-46FD-AD7E-00C433486D3F}"/>
    <cellStyle name="Normal 9 2 3 3 3 2" xfId="2812" xr:uid="{B6D6AA57-7F7B-4725-A858-EA489E17AB10}"/>
    <cellStyle name="Normal 9 2 3 3 4" xfId="2811" xr:uid="{029F84D6-EE53-431F-B3F0-7EC1E98ADF35}"/>
    <cellStyle name="Normal 9 2 3 4" xfId="2810" xr:uid="{9D6E3B9B-688E-45F4-80A7-3DF2B7B093D9}"/>
    <cellStyle name="Normal 9 2 3 4 2" xfId="8539" xr:uid="{3FE14744-C70C-489D-9AE8-DC3F310BE1AB}"/>
    <cellStyle name="Normal 9 2 3 4 2 2" xfId="31635" xr:uid="{7157B203-1151-4481-A08D-2625135FC862}"/>
    <cellStyle name="Normal 9 2 3 4 3" xfId="2809" xr:uid="{717E039C-6B53-4653-821E-C2210BD1F604}"/>
    <cellStyle name="Normal 9 2 3 5" xfId="2808" xr:uid="{3A49D607-A4AF-4C8E-A0E9-388851F9930B}"/>
    <cellStyle name="Normal 9 2 3 5 2" xfId="2807" xr:uid="{DC75A93C-4A3C-486F-909B-68E16678947D}"/>
    <cellStyle name="Normal 9 2 3 6" xfId="5131" xr:uid="{6AD2635E-B140-46AE-BA90-A23D8A68A24B}"/>
    <cellStyle name="Normal 9 2 4" xfId="33055" xr:uid="{CBC92640-84B7-4493-84DD-EF7CC184951C}"/>
    <cellStyle name="Normal 9 2 4 2" xfId="31016" xr:uid="{622EF0DD-F521-4C08-9C2A-F44A4923654A}"/>
    <cellStyle name="Normal 9 2 4 2 2" xfId="28903" xr:uid="{03E9C45D-15D7-45AF-B306-1DBF00DD3821}"/>
    <cellStyle name="Normal 9 2 4 2 2 2" xfId="2806" xr:uid="{CED7318F-CC4F-4539-A395-A964D5473846}"/>
    <cellStyle name="Normal 9 2 4 2 2 2 2" xfId="2805" xr:uid="{55C68187-B9CD-43B5-89AD-91D9B877051B}"/>
    <cellStyle name="Normal 9 2 4 2 2 3" xfId="3875" xr:uid="{B9F44FC3-602E-46C9-BD26-96ECC1EBC743}"/>
    <cellStyle name="Normal 9 2 4 2 3" xfId="2804" xr:uid="{626CFCA2-56FB-4052-AF8D-82420FEE8A0F}"/>
    <cellStyle name="Normal 9 2 4 2 3 2" xfId="2803" xr:uid="{93C24426-6A4F-4B6E-B373-40E4728B3C34}"/>
    <cellStyle name="Normal 9 2 4 2 4" xfId="2802" xr:uid="{1029010B-CE4F-472E-B6F7-FD0ED75F56DE}"/>
    <cellStyle name="Normal 9 2 4 3" xfId="2801" xr:uid="{379DCD4D-7CF8-4E93-8484-C3A048E61B13}"/>
    <cellStyle name="Normal 9 2 4 3 2" xfId="8532" xr:uid="{828A3285-B3BC-4300-9982-5FC6BE7709E5}"/>
    <cellStyle name="Normal 9 2 4 3 2 2" xfId="2800" xr:uid="{962C9459-56CA-4594-B876-5780907247B3}"/>
    <cellStyle name="Normal 9 2 4 3 3" xfId="17665" xr:uid="{A19670FA-A658-4B4D-AF90-90F0954DFFDA}"/>
    <cellStyle name="Normal 9 2 4 4" xfId="2799" xr:uid="{316A08EB-62B9-4FB4-ACE6-60E44E788436}"/>
    <cellStyle name="Normal 9 2 4 4 2" xfId="18256" xr:uid="{97D54229-EEA6-4BD6-8752-C1C718A1F838}"/>
    <cellStyle name="Normal 9 2 4 5" xfId="2798" xr:uid="{69CD42BE-EB35-4196-8F03-4844D11EE8F3}"/>
    <cellStyle name="Normal 9 2 5" xfId="34192" xr:uid="{E1475BD5-6190-4349-8998-A826621CDEE1}"/>
    <cellStyle name="Normal 9 2 5 2" xfId="25984" xr:uid="{EBE687C4-0090-4ECC-9ADB-668E96F72911}"/>
    <cellStyle name="Normal 9 2 5 2 2" xfId="31097" xr:uid="{74EA6FE3-C8EC-4B4C-A97B-D1F6C9865C71}"/>
    <cellStyle name="Normal 9 2 5 2 2 2" xfId="2797" xr:uid="{3E4E00F6-9F51-46F7-89E3-FDCA7AFB6501}"/>
    <cellStyle name="Normal 9 2 5 2 3" xfId="2796" xr:uid="{21691794-76FA-4FD5-A631-7679897A9EF4}"/>
    <cellStyle name="Normal 9 2 5 3" xfId="2795" xr:uid="{9EBA00F2-348E-4B31-96BF-D8DF160359F0}"/>
    <cellStyle name="Normal 9 2 5 3 2" xfId="17636" xr:uid="{D168F8AA-61B6-4BE3-9E86-E55E1DC49BDF}"/>
    <cellStyle name="Normal 9 2 5 4" xfId="2794" xr:uid="{9BBA32EC-8D74-4CE9-B9BF-01F460AEEA27}"/>
    <cellStyle name="Normal 9 2 6" xfId="27546" xr:uid="{1813E2E3-0278-4B16-BC58-CF867696DBD1}"/>
    <cellStyle name="Normal 9 2 6 2" xfId="2793" xr:uid="{DE41DCFE-E77D-4648-9911-3853253FB853}"/>
    <cellStyle name="Normal 9 2 6 2 2" xfId="2792" xr:uid="{EFF5690B-8FFE-491A-94EB-C18AD42064F0}"/>
    <cellStyle name="Normal 9 2 6 3" xfId="2791" xr:uid="{9B8066A9-2B8E-40EB-ADF8-EBC17B3826EE}"/>
    <cellStyle name="Normal 9 2 7" xfId="2790" xr:uid="{73DB5C25-90BD-4A54-837B-E1EE28D3186C}"/>
    <cellStyle name="Normal 9 2 7 2" xfId="2789" xr:uid="{0DDDA39E-7C9E-4FFB-B097-E627878395CC}"/>
    <cellStyle name="Normal 9 2 8" xfId="2788" xr:uid="{1571CD12-B9F5-479A-94CF-04E63D20BA01}"/>
    <cellStyle name="Normal 9 3" xfId="27457" xr:uid="{3C8C93FD-709F-4986-9F33-3E579BF5679A}"/>
    <cellStyle name="Normal 9 3 2" xfId="2787" xr:uid="{42370E55-536F-4515-BDB2-654507C171F0}"/>
    <cellStyle name="Normal 9 3 2 2" xfId="2786" xr:uid="{E76A60C4-4D27-44CC-932C-6B5AAA09DACF}"/>
    <cellStyle name="Normal 9 3 2 2 2" xfId="2785" xr:uid="{AC87BFCE-5E04-4FDC-A033-8675D1312F75}"/>
    <cellStyle name="Normal 9 3 2 2 2 2" xfId="29796" xr:uid="{AF6FCF0A-A30C-4A8E-9F48-DCD546438999}"/>
    <cellStyle name="Normal 9 3 2 2 2 2 2" xfId="2784" xr:uid="{46784319-4C6E-4AB1-AD7B-3DC39361C70B}"/>
    <cellStyle name="Normal 9 3 2 2 2 2 2 2" xfId="2783" xr:uid="{7BCAEA23-F2C7-4B9D-8654-8504306DC0C2}"/>
    <cellStyle name="Normal 9 3 2 2 2 2 3" xfId="2782" xr:uid="{D1FB4DB2-B8EC-4F07-A81A-BCD96CD84EE7}"/>
    <cellStyle name="Normal 9 3 2 2 2 3" xfId="2781" xr:uid="{F622F3E9-31BC-4D9F-A76A-EB89FAAE0C2F}"/>
    <cellStyle name="Normal 9 3 2 2 2 3 2" xfId="2780" xr:uid="{E945F86C-E970-4794-81D6-D19CB3CEF804}"/>
    <cellStyle name="Normal 9 3 2 2 2 4" xfId="25503" xr:uid="{BADC8A3A-AEC9-48CF-B26C-2D7765B0D42D}"/>
    <cellStyle name="Normal 9 3 2 2 3" xfId="21843" xr:uid="{BF9CE3F9-381B-46E6-AF7E-F7474F6104A7}"/>
    <cellStyle name="Normal 9 3 2 2 3 2" xfId="2779" xr:uid="{4C6AAD9C-860F-4C32-B78C-F2AE57AFE02A}"/>
    <cellStyle name="Normal 9 3 2 2 3 2 2" xfId="2778" xr:uid="{B0CB4B53-711B-4834-A715-EFFC01B7D013}"/>
    <cellStyle name="Normal 9 3 2 2 3 3" xfId="2777" xr:uid="{5C071344-C445-462F-BB5A-CAD60307C200}"/>
    <cellStyle name="Normal 9 3 2 2 4" xfId="2776" xr:uid="{A67695BD-4AE1-4AB0-B7A7-CE3C7DDEA554}"/>
    <cellStyle name="Normal 9 3 2 2 4 2" xfId="2775" xr:uid="{A8A967C0-155F-4D46-8D98-290DD72BEE51}"/>
    <cellStyle name="Normal 9 3 2 2 5" xfId="2774" xr:uid="{5744373F-69A8-4CB3-92BD-4CD614930A82}"/>
    <cellStyle name="Normal 9 3 2 3" xfId="2773" xr:uid="{FC068E79-4193-4249-AF8B-B5A4010C4894}"/>
    <cellStyle name="Normal 9 3 2 3 2" xfId="2772" xr:uid="{4051BB43-2AC7-4C1D-A938-F458246DED31}"/>
    <cellStyle name="Normal 9 3 2 3 2 2" xfId="2771" xr:uid="{1DA2B99E-8D63-4C8C-8F24-A954419C6933}"/>
    <cellStyle name="Normal 9 3 2 3 2 2 2" xfId="2770" xr:uid="{78C1AF6A-A967-412B-91E3-D78AC8CEF110}"/>
    <cellStyle name="Normal 9 3 2 3 2 3" xfId="2769" xr:uid="{22A23239-3703-4A59-9D95-82EAC333E584}"/>
    <cellStyle name="Normal 9 3 2 3 3" xfId="2768" xr:uid="{C2214A82-5FB8-495C-BE8F-2F9516B4073A}"/>
    <cellStyle name="Normal 9 3 2 3 3 2" xfId="2767" xr:uid="{8A5B7086-E6CA-4B70-B388-62C66D4B43E3}"/>
    <cellStyle name="Normal 9 3 2 3 4" xfId="2766" xr:uid="{EC3B93E0-A59C-475A-8DE5-CB35EB530BFC}"/>
    <cellStyle name="Normal 9 3 2 4" xfId="2765" xr:uid="{AD3CD37B-54AA-4A5B-8263-227C4D0DC9DA}"/>
    <cellStyle name="Normal 9 3 2 4 2" xfId="2764" xr:uid="{016774B1-91DC-49A3-B044-5D923129EAFE}"/>
    <cellStyle name="Normal 9 3 2 4 2 2" xfId="2763" xr:uid="{A9FC70C7-8D68-49AE-BA01-CBEB36FF03CA}"/>
    <cellStyle name="Normal 9 3 2 4 3" xfId="2762" xr:uid="{E2FF2C0A-CACF-40E9-9355-0CF5BB433318}"/>
    <cellStyle name="Normal 9 3 2 5" xfId="2761" xr:uid="{354B098D-64C2-47A9-AD9F-32FFF526E30A}"/>
    <cellStyle name="Normal 9 3 2 5 2" xfId="2760" xr:uid="{882E3A02-B8EA-4ED3-9096-FE26147A9915}"/>
    <cellStyle name="Normal 9 3 2 6" xfId="2759" xr:uid="{4B9896D1-2E85-4FAB-A96B-BA6DF4031ECD}"/>
    <cellStyle name="Normal 9 3 3" xfId="2758" xr:uid="{DDD5AFB4-3578-4A4F-B316-CFB5ED5F8572}"/>
    <cellStyle name="Normal 9 3 3 2" xfId="2757" xr:uid="{64B64C86-7534-4EE0-ABB2-E80EAC6491F4}"/>
    <cellStyle name="Normal 9 3 3 2 2" xfId="27688" xr:uid="{27763957-EBF8-4529-B99B-774E82F151F5}"/>
    <cellStyle name="Normal 9 3 3 2 2 2" xfId="32564" xr:uid="{71AE028E-72E3-4A7E-B3F8-EE4B41C7EC68}"/>
    <cellStyle name="Normal 9 3 3 2 2 2 2" xfId="23954" xr:uid="{0C9F869D-FB4E-48A5-912A-9B85E79867BD}"/>
    <cellStyle name="Normal 9 3 3 2 2 3" xfId="23948" xr:uid="{0037CAAD-AE2B-499F-B145-95568A6CF8C2}"/>
    <cellStyle name="Normal 9 3 3 2 3" xfId="6115" xr:uid="{7E068F05-39B4-4ADE-9246-506101BDDB17}"/>
    <cellStyle name="Normal 9 3 3 2 3 2" xfId="23930" xr:uid="{5D896BEC-1AB1-4C3D-B1E3-BAA487F9011B}"/>
    <cellStyle name="Normal 9 3 3 2 4" xfId="21552" xr:uid="{A8F4F804-D6EF-49B8-95AB-8980E95FDF7B}"/>
    <cellStyle name="Normal 9 3 3 3" xfId="2756" xr:uid="{ACA1C3C9-A5CB-41A6-8B51-F411A5CF036C}"/>
    <cellStyle name="Normal 9 3 3 3 2" xfId="8508" xr:uid="{E1A1E19C-84A6-4E11-99DE-3F86D14EE3A5}"/>
    <cellStyle name="Normal 9 3 3 3 2 2" xfId="31998" xr:uid="{A4F48006-768E-4E56-B5C6-BEB82DF0022E}"/>
    <cellStyle name="Normal 9 3 3 3 3" xfId="5492" xr:uid="{A59BC1DF-456A-4747-A3AC-ADEF33DD8F13}"/>
    <cellStyle name="Normal 9 3 3 4" xfId="2755" xr:uid="{098181FD-AAC8-44E5-94E8-3E69CE512C1F}"/>
    <cellStyle name="Normal 9 3 3 4 2" xfId="2754" xr:uid="{1190A375-65D0-4A0C-A479-CF0525BA7F3A}"/>
    <cellStyle name="Normal 9 3 3 5" xfId="2753" xr:uid="{24439785-A7D9-488C-8528-B87A687AD5AF}"/>
    <cellStyle name="Normal 9 3 4" xfId="33037" xr:uid="{3F274C78-44D0-4A49-8672-27E97F83D10F}"/>
    <cellStyle name="Normal 9 3 4 2" xfId="2752" xr:uid="{6A8F4C63-C152-498D-A494-2D54B5F67DA9}"/>
    <cellStyle name="Normal 9 3 4 2 2" xfId="27269" xr:uid="{39D77732-FC79-4C7A-81FA-96AF5A73CEE3}"/>
    <cellStyle name="Normal 9 3 4 2 2 2" xfId="2751" xr:uid="{25744EB0-BDDC-4FC5-9B86-68652758FF35}"/>
    <cellStyle name="Normal 9 3 4 2 3" xfId="26630" xr:uid="{D9E6951B-09CD-4F90-A68A-478AD1552584}"/>
    <cellStyle name="Normal 9 3 4 3" xfId="2750" xr:uid="{66554429-012A-4910-AB43-B1E339CBCCA8}"/>
    <cellStyle name="Normal 9 3 4 3 2" xfId="17559" xr:uid="{DC6CE8D8-01B0-45F1-BBB5-C50B4155D395}"/>
    <cellStyle name="Normal 9 3 4 4" xfId="2749" xr:uid="{05D58421-7216-4814-9133-4CAC566B43BD}"/>
    <cellStyle name="Normal 9 3 5" xfId="2748" xr:uid="{DFFC0850-5C73-4DF0-8289-1C6D3E23853C}"/>
    <cellStyle name="Normal 9 3 5 2" xfId="2747" xr:uid="{CCD95604-28D6-4A5B-9B50-8E26740E3AC3}"/>
    <cellStyle name="Normal 9 3 5 2 2" xfId="31106" xr:uid="{7BE2A5FB-0582-4482-98C2-FF286695FAAF}"/>
    <cellStyle name="Normal 9 3 5 3" xfId="2746" xr:uid="{0CFD3790-C76A-4D4D-8E82-15F3547463DF}"/>
    <cellStyle name="Normal 9 3 6" xfId="2745" xr:uid="{18F3E6BB-843A-4298-8DD6-AB2B56B276E6}"/>
    <cellStyle name="Normal 9 3 6 2" xfId="2744" xr:uid="{4F738C3F-AC67-452C-938A-522F9AC208E0}"/>
    <cellStyle name="Normal 9 3 7" xfId="2743" xr:uid="{225743EE-0294-4E21-9898-64CA32DA9EA5}"/>
    <cellStyle name="Normal 9 4" xfId="2742" xr:uid="{E4AFDBBF-1666-447A-8191-F6410D6516B8}"/>
    <cellStyle name="Normal 9 4 2" xfId="14621" xr:uid="{4D452A3B-0C27-4DC3-BE20-F52C295E2786}"/>
    <cellStyle name="Normal 9 4 2 2" xfId="2741" xr:uid="{36232434-E26A-448B-AA28-5CBDF078DEF1}"/>
    <cellStyle name="Normal 9 4 2 2 2" xfId="2740" xr:uid="{6593A7B6-EC38-4DD5-9E35-917C53897F6D}"/>
    <cellStyle name="Normal 9 4 2 2 2 2" xfId="2739" xr:uid="{C1387A94-ED49-4C0B-B72F-8E00FF9C9AE4}"/>
    <cellStyle name="Normal 9 4 2 2 2 2 2" xfId="29966" xr:uid="{8B660BD8-65FB-4F36-B8AF-D018382B1C42}"/>
    <cellStyle name="Normal 9 4 2 2 2 3" xfId="2738" xr:uid="{EBAD634A-9347-4BD1-9125-E623EB5CA097}"/>
    <cellStyle name="Normal 9 4 2 2 3" xfId="2737" xr:uid="{3CFAB867-BFE5-4935-8FA3-497BD74CC59A}"/>
    <cellStyle name="Normal 9 4 2 2 3 2" xfId="28046" xr:uid="{D6C3015E-9100-47A3-B2A5-B2F556DC7BC5}"/>
    <cellStyle name="Normal 9 4 2 2 4" xfId="2736" xr:uid="{F3B065D3-6933-4573-A2D7-0004F5081277}"/>
    <cellStyle name="Normal 9 4 2 3" xfId="2735" xr:uid="{43E97903-AE89-43A4-ABE6-63FE928CBD68}"/>
    <cellStyle name="Normal 9 4 2 3 2" xfId="2734" xr:uid="{F3B783A1-9F0C-432E-899B-0BBE0A8C5318}"/>
    <cellStyle name="Normal 9 4 2 3 2 2" xfId="2733" xr:uid="{E9F1DB43-D184-439A-A1A6-5F04B02838BD}"/>
    <cellStyle name="Normal 9 4 2 3 3" xfId="26601" xr:uid="{63C0D613-6093-4B26-83DE-7D76622717FE}"/>
    <cellStyle name="Normal 9 4 2 4" xfId="2732" xr:uid="{E57D6FFF-CA87-46F2-8FB1-7AA15358B82E}"/>
    <cellStyle name="Normal 9 4 2 4 2" xfId="20761" xr:uid="{FC75E1DC-C2E4-4B86-BBB5-28E9ED131ACA}"/>
    <cellStyle name="Normal 9 4 2 5" xfId="2731" xr:uid="{DAC0617F-63B7-4BBB-B75D-F3B95B84B23D}"/>
    <cellStyle name="Normal 9 4 3" xfId="9434" xr:uid="{D3309442-446E-46C5-BA1E-30CD0D624D88}"/>
    <cellStyle name="Normal 9 4 3 2" xfId="2730" xr:uid="{C35B18A6-6560-418A-AB3D-45A898A43A38}"/>
    <cellStyle name="Normal 9 4 3 2 2" xfId="2729" xr:uid="{8381A9A4-E940-49D8-96EA-5285A5548CBA}"/>
    <cellStyle name="Normal 9 4 3 2 2 2" xfId="2728" xr:uid="{AC8A4A43-519F-44CE-933C-8727D0D4009F}"/>
    <cellStyle name="Normal 9 4 3 2 3" xfId="34197" xr:uid="{B6413735-A013-4929-9CFB-22BEE2DD5B24}"/>
    <cellStyle name="Normal 9 4 3 3" xfId="2727" xr:uid="{6F9493C2-5732-4BBB-978C-F9EA91B6A241}"/>
    <cellStyle name="Normal 9 4 3 3 2" xfId="2726" xr:uid="{A30301E8-F25E-4F85-BD54-433021F11BED}"/>
    <cellStyle name="Normal 9 4 3 4" xfId="23683" xr:uid="{6FBC2C20-E850-4D57-9E07-C4F39D237519}"/>
    <cellStyle name="Normal 9 4 4" xfId="9432" xr:uid="{36BED8E2-AB4D-40DE-BB19-00743B4BCEEA}"/>
    <cellStyle name="Normal 9 4 4 2" xfId="2725" xr:uid="{F3AB7F6C-DE18-45B6-994B-13AD4B115582}"/>
    <cellStyle name="Normal 9 4 4 2 2" xfId="31895" xr:uid="{4B1CE59E-02FF-4AD2-93ED-CE22156971FE}"/>
    <cellStyle name="Normal 9 4 4 3" xfId="2724" xr:uid="{8B275A54-01C1-46DE-9B3D-CC3521BA5ED1}"/>
    <cellStyle name="Normal 9 4 5" xfId="2723" xr:uid="{BD2CD2D4-4E0D-4F97-9D7B-40B7673AD283}"/>
    <cellStyle name="Normal 9 4 5 2" xfId="2722" xr:uid="{410CC95A-0E5C-44C0-B4D0-09A6DEC133D6}"/>
    <cellStyle name="Normal 9 4 6" xfId="2721" xr:uid="{BBA383BD-705D-470F-9F09-D4657525A77C}"/>
    <cellStyle name="Normal 9 5" xfId="2720" xr:uid="{C1B5689F-872C-4FEF-A929-27653C158FDF}"/>
    <cellStyle name="Normal 9 5 2" xfId="2719" xr:uid="{3B0F3B66-1139-4476-8284-091E20497074}"/>
    <cellStyle name="Normal 9 5 2 2" xfId="27134" xr:uid="{4648A975-64EB-404E-BC0F-A3E38F0C77AE}"/>
    <cellStyle name="Normal 9 5 2 2 2" xfId="2718" xr:uid="{741387E8-8F40-46E5-B32B-14AB9A348397}"/>
    <cellStyle name="Normal 9 5 2 2 2 2" xfId="2717" xr:uid="{3C09F81E-79CD-4BCA-8DFF-85350B21AE92}"/>
    <cellStyle name="Normal 9 5 2 2 3" xfId="2716" xr:uid="{F89205DD-BFD2-4640-8D7D-BED49D550131}"/>
    <cellStyle name="Normal 9 5 2 3" xfId="34306" xr:uid="{FD7BDF4A-5B5F-4AE0-AD27-306676EF997D}"/>
    <cellStyle name="Normal 9 5 2 3 2" xfId="2715" xr:uid="{E4CF7A82-819F-4BC4-8FE6-6E0D3E5CC6F3}"/>
    <cellStyle name="Normal 9 5 2 4" xfId="2714" xr:uid="{0F80E1C6-83A9-4DB0-9529-BE1B16391B4E}"/>
    <cellStyle name="Normal 9 5 3" xfId="9430" xr:uid="{CD20A519-0666-4B0F-A9E1-3D21AFF821ED}"/>
    <cellStyle name="Normal 9 5 3 2" xfId="30042" xr:uid="{6920313F-EBD7-40FE-AD4E-8D7DEFFBC6C5}"/>
    <cellStyle name="Normal 9 5 3 2 2" xfId="2713" xr:uid="{71FCFD99-1FAD-412D-A29C-F959BFA374AF}"/>
    <cellStyle name="Normal 9 5 3 3" xfId="2712" xr:uid="{03B81CB0-1C1A-4E4D-AE04-8DBC3C367171}"/>
    <cellStyle name="Normal 9 5 4" xfId="2711" xr:uid="{32E6AC3E-BF7F-4C51-8547-97D89C00EF9F}"/>
    <cellStyle name="Normal 9 5 4 2" xfId="2710" xr:uid="{8D8FF5BE-5934-49DB-9CB3-C4F707CF352D}"/>
    <cellStyle name="Normal 9 5 5" xfId="2709" xr:uid="{4D1DAABE-C366-4917-B89B-753104CA9F9E}"/>
    <cellStyle name="Normal 9 6" xfId="2708" xr:uid="{7E6F058E-41CE-4B6A-9E66-47AD981B2D55}"/>
    <cellStyle name="Normal 9 6 2" xfId="2707" xr:uid="{19193B10-50D8-457D-A011-15B5DC3B7760}"/>
    <cellStyle name="Normal 9 6 2 2" xfId="11324" xr:uid="{B955E66D-5F3F-4B12-80C8-40DA00144DEF}"/>
    <cellStyle name="Normal 9 6 2 2 2" xfId="2706" xr:uid="{425182C7-3A0D-43AE-8ED5-E2CE3DAFDCFB}"/>
    <cellStyle name="Normal 9 6 2 3" xfId="2705" xr:uid="{0D1A89F9-123E-4693-9EE4-ED7909C508F2}"/>
    <cellStyle name="Normal 9 6 3" xfId="2704" xr:uid="{8FEC5BD9-926D-43CE-A5D0-5A2CC341E097}"/>
    <cellStyle name="Normal 9 6 3 2" xfId="2703" xr:uid="{30395AB0-C04A-4674-A038-17487F23695D}"/>
    <cellStyle name="Normal 9 6 4" xfId="2702" xr:uid="{A8A81641-619D-4489-8E9C-84E1CC9A09A3}"/>
    <cellStyle name="Normal 9 7" xfId="7251" xr:uid="{9603D90B-5927-4AF2-A2B8-29AB7316A068}"/>
    <cellStyle name="Normal 9 7 2" xfId="7249" xr:uid="{F70F37E2-309B-4610-91D8-722E189C1EFB}"/>
    <cellStyle name="Normal 9 7 2 2" xfId="7247" xr:uid="{3288FF5D-BCFC-45AE-86CA-E5C5F274A149}"/>
    <cellStyle name="Normal 9 7 3" xfId="9680" xr:uid="{D387B118-E7E9-42B2-94FB-40A3EDD5B66E}"/>
    <cellStyle name="Normal 9 8" xfId="7244" xr:uid="{F0284AEF-1061-4A58-B71C-A520EDCC4469}"/>
    <cellStyle name="Normal 9 8 2" xfId="7241" xr:uid="{4D889A06-83FF-4601-A624-56832E78C8CC}"/>
    <cellStyle name="Normal 9 9" xfId="7239" xr:uid="{9F82573C-89FF-4DB7-820D-E8DB44A33BCD}"/>
    <cellStyle name="Note" xfId="357" builtinId="10" customBuiltin="1"/>
    <cellStyle name="Note 10" xfId="338" xr:uid="{5786E6BB-3A93-4718-A38C-9EE6D6C651BD}"/>
    <cellStyle name="Note 10 2" xfId="2700" xr:uid="{8E74C98F-1489-4C81-856D-A534298C146E}"/>
    <cellStyle name="Note 10 2 2" xfId="2699" xr:uid="{8797D32B-B1FC-4F56-85A0-F63504AB2C7B}"/>
    <cellStyle name="Note 10 2 2 2" xfId="2698" xr:uid="{5689AC8F-0DBC-4771-8AB7-D81CAB3B283A}"/>
    <cellStyle name="Note 10 2 3" xfId="2697" xr:uid="{5310E4BB-4B73-4FB4-884F-33837FE2B05B}"/>
    <cellStyle name="Note 10 2 4" xfId="34871" xr:uid="{7D3C0328-2B42-43E8-A7EE-C78CFEA1A938}"/>
    <cellStyle name="Note 10 3" xfId="2696" xr:uid="{92B8C881-C25F-49A5-81CC-C2C9ABF0112E}"/>
    <cellStyle name="Note 10 3 2" xfId="2695" xr:uid="{F3E806D1-D144-4D64-9A5F-DC96B81869C7}"/>
    <cellStyle name="Note 10 3 3" xfId="35072" xr:uid="{DB0596A1-411F-4D39-A20E-43D23F272650}"/>
    <cellStyle name="Note 10 4" xfId="2694" xr:uid="{5BAB0A7C-6F49-4FAF-80FE-B3E50EC3EBC9}"/>
    <cellStyle name="Note 10 4 2" xfId="35280" xr:uid="{B055965E-58ED-4E12-A4CE-4F8249B24A9D}"/>
    <cellStyle name="Note 10 5" xfId="34631" xr:uid="{CB6B3FAA-BE2D-4905-BAFF-76A7384CC59A}"/>
    <cellStyle name="Note 10 6" xfId="2701" xr:uid="{5D06A896-4F1A-46DE-9953-30BF23E848A4}"/>
    <cellStyle name="Note 10 6 2" xfId="36368" xr:uid="{3F23F24C-E5E5-4691-8CA8-E26B75D94C7E}"/>
    <cellStyle name="Note 10 7" xfId="36654" xr:uid="{89A297D4-6E95-41E3-A793-3EB64D5492E4}"/>
    <cellStyle name="Note 10 8" xfId="37539" xr:uid="{2DE0A59E-658C-42D1-9004-1FCF178CFCF2}"/>
    <cellStyle name="Note 11" xfId="20294" xr:uid="{6145CDF8-CB9E-49E9-B2AA-456753665E42}"/>
    <cellStyle name="Note 11 2" xfId="25586" xr:uid="{4036DE18-6EE7-4703-BFC5-100BFC067600}"/>
    <cellStyle name="Note 11 2 2" xfId="2693" xr:uid="{C01DB705-1634-4C46-9B54-D42D25101B1B}"/>
    <cellStyle name="Note 11 2 3" xfId="35091" xr:uid="{53E70D92-C865-4AB2-A221-D5FC67FA1112}"/>
    <cellStyle name="Note 11 3" xfId="2692" xr:uid="{C4AD584D-4EDC-49AE-A420-0149B9C65608}"/>
    <cellStyle name="Note 11 3 2" xfId="35299" xr:uid="{FA65A3FB-FD6B-4DE1-B49D-E852771FF2F8}"/>
    <cellStyle name="Note 11 4" xfId="34685" xr:uid="{50935A8C-71F4-4A8D-852D-887938E86329}"/>
    <cellStyle name="Note 11 5" xfId="36387" xr:uid="{00256369-5B1C-4550-9004-8E8B8526E154}"/>
    <cellStyle name="Note 11 6" xfId="36673" xr:uid="{65EA717E-A64B-4CF4-9D1E-D84BCA308710}"/>
    <cellStyle name="Note 11 7" xfId="37558" xr:uid="{0913CA09-34F9-49FB-9054-16431C7E26B8}"/>
    <cellStyle name="Note 12" xfId="26087" xr:uid="{6546DE22-2C41-4422-A632-47AFA10510F2}"/>
    <cellStyle name="Note 12 2" xfId="31448" xr:uid="{19F7FC11-AAF5-4474-A19E-CF2948AFBE84}"/>
    <cellStyle name="Note 12 2 2" xfId="35110" xr:uid="{DEE45A99-43C3-4305-B6FC-7D35C4607EB6}"/>
    <cellStyle name="Note 12 3" xfId="34687" xr:uid="{8F560339-D0BE-4E8F-B8E8-E6806C13221C}"/>
    <cellStyle name="Note 12 4" xfId="35534" xr:uid="{B0496401-E659-4A14-9066-518C79997E86}"/>
    <cellStyle name="Note 12 5" xfId="36407" xr:uid="{9EC5FC4E-F943-4C8B-A1E5-1156D4FDC0DC}"/>
    <cellStyle name="Note 12 6" xfId="36693" xr:uid="{20747242-872B-4D6D-B4E8-B234D9B78DB1}"/>
    <cellStyle name="Note 12 7" xfId="37578" xr:uid="{707BE98A-8DA5-4C0D-8AF1-8EBD997167D7}"/>
    <cellStyle name="Note 13" xfId="27495" xr:uid="{52D95AA6-DC1D-4486-B451-98CC7DE98DDF}"/>
    <cellStyle name="Note 13 2" xfId="34700" xr:uid="{A67DF3D5-4877-4909-8270-FE9864137E3A}"/>
    <cellStyle name="Note 13 3" xfId="35313" xr:uid="{864ECBD1-B3A6-4CF5-AFC2-75AFA226DCC7}"/>
    <cellStyle name="Note 13 4" xfId="35553" xr:uid="{595B73F4-E1E6-4D0C-9F08-497D3DBAE9BE}"/>
    <cellStyle name="Note 13 5" xfId="36426" xr:uid="{2C7DAC04-533C-425B-818D-C7B5CFA65B0B}"/>
    <cellStyle name="Note 13 6" xfId="36712" xr:uid="{8BC0FB35-6B15-479D-BCDE-6ABE71E5A21C}"/>
    <cellStyle name="Note 13 7" xfId="37597" xr:uid="{21558D96-D2F4-4265-BB41-E86C7F4DFD00}"/>
    <cellStyle name="Note 14" xfId="25997" xr:uid="{4B46514E-CB24-400F-B698-F8471E690AA3}"/>
    <cellStyle name="Note 14 2" xfId="35333" xr:uid="{27A530CC-AEEC-42DE-933B-5480EB849E69}"/>
    <cellStyle name="Note 14 3" xfId="36447" xr:uid="{7431822D-165D-415A-9155-7AE3C6F3B209}"/>
    <cellStyle name="Note 14 4" xfId="36733" xr:uid="{A82A68DD-E7B4-4867-BBD6-F5F94FF016F6}"/>
    <cellStyle name="Note 14 5" xfId="37618" xr:uid="{208E3245-1303-4888-BCBC-A57C9058728E}"/>
    <cellStyle name="Note 15" xfId="31689" xr:uid="{BAC1A20C-2CB6-4A4F-AF9B-6670A8E4FBE8}"/>
    <cellStyle name="Note 15 2" xfId="35635" xr:uid="{F743CFC8-E4D9-4481-9C27-ED0D1AD525A7}"/>
    <cellStyle name="Note 15 3" xfId="37655" xr:uid="{FE8ED532-D0B7-4F72-8141-89F94D1BCA2A}"/>
    <cellStyle name="Note 16" xfId="2691" xr:uid="{0F4743E9-EAF9-434C-BC66-1B8EFEFDDAEF}"/>
    <cellStyle name="Note 16 2" xfId="35637" xr:uid="{ADE77E91-6661-4BA9-91D7-D09B616340A4}"/>
    <cellStyle name="Note 16 3" xfId="37658" xr:uid="{F8C4771E-8C82-4FE6-B1B9-3A20B2DDBEBC}"/>
    <cellStyle name="Note 17" xfId="2690" xr:uid="{23932352-AD04-45D3-9EAA-C88E3997942E}"/>
    <cellStyle name="Note 17 2" xfId="35638" xr:uid="{67C39504-8418-4A8F-BA0D-241DA90C534B}"/>
    <cellStyle name="Note 17 3" xfId="37677" xr:uid="{84B2662B-A29C-4A23-A53E-A9086C1B264F}"/>
    <cellStyle name="Note 18" xfId="34644" xr:uid="{6A4F4124-7A0C-48F5-BA14-06CE6E04F0A1}"/>
    <cellStyle name="Note 18 2" xfId="36807" xr:uid="{F6E3D46B-3D08-4947-9D43-7BD1BFB72872}"/>
    <cellStyle name="Note 18 3" xfId="37697" xr:uid="{58F0C59D-C11E-42E7-BA6F-E1453F7D291C}"/>
    <cellStyle name="Note 19" xfId="34664" xr:uid="{5213255F-9E49-48DF-A939-DBB67F3EECFE}"/>
    <cellStyle name="Note 19 2" xfId="36826" xr:uid="{2368D3A2-C2E6-4F70-A795-24962A262E17}"/>
    <cellStyle name="Note 19 3" xfId="37716" xr:uid="{D900FF24-A511-4BA4-B746-754680F0FA24}"/>
    <cellStyle name="Note 2" xfId="72" xr:uid="{4EE60A3D-4EBF-433D-81E7-EC2E968C3A5C}"/>
    <cellStyle name="Note 2 10" xfId="31952" xr:uid="{4CE60D15-26C9-46DB-B41C-3638168E2BC3}"/>
    <cellStyle name="Note 2 10 2" xfId="2689" xr:uid="{BB1666E8-5B62-4ACF-873B-374B85DD215B}"/>
    <cellStyle name="Note 2 10 2 2" xfId="2688" xr:uid="{CFECDE09-8892-4BC2-A554-8058BE725D2D}"/>
    <cellStyle name="Note 2 10 3" xfId="2687" xr:uid="{4C19C265-3C44-46ED-A3C8-E3CC193036BE}"/>
    <cellStyle name="Note 2 10 4" xfId="37415" xr:uid="{D13F3DB1-FB1D-44C9-88B9-010FC6353E9A}"/>
    <cellStyle name="Note 2 11" xfId="2686" xr:uid="{09B86CD9-194F-4241-8794-BDBADC8376E3}"/>
    <cellStyle name="Note 2 11 2" xfId="21895" xr:uid="{7A2F361D-1E3E-4802-B4BB-765E4A244DE0}"/>
    <cellStyle name="Note 2 12" xfId="2685" xr:uid="{796F178C-21BC-4303-9F34-C726EAFDF351}"/>
    <cellStyle name="Note 2 13" xfId="34434" xr:uid="{AE0E99B0-728C-42CA-AAE3-7D3891D46BD0}"/>
    <cellStyle name="Note 2 14" xfId="3173" xr:uid="{8EBA966C-F31C-4935-92DE-4D0C1B2A567D}"/>
    <cellStyle name="Note 2 2" xfId="135" xr:uid="{5DB6E39D-5F8F-485D-B8CC-F00866D18394}"/>
    <cellStyle name="Note 2 2 10" xfId="12457" xr:uid="{2BF75F68-7ED4-4ECA-A20E-9EC57D61AF4E}"/>
    <cellStyle name="Note 2 2 10 2" xfId="2684" xr:uid="{648B0B5A-F412-49DC-B785-FBC0CC5A2627}"/>
    <cellStyle name="Note 2 2 11" xfId="30286" xr:uid="{D6CC1CC1-1DFB-4A43-ADFB-414D79FAF530}"/>
    <cellStyle name="Note 2 2 12" xfId="34489" xr:uid="{59EABD58-443E-460E-B409-0AC10E439FD3}"/>
    <cellStyle name="Note 2 2 13" xfId="20813" xr:uid="{DCC95D1A-9123-4CCE-AD5F-F3B5059746A6}"/>
    <cellStyle name="Note 2 2 2" xfId="2683" xr:uid="{91D56E49-D736-4144-B9E3-94B7F57F2FE3}"/>
    <cellStyle name="Note 2 2 2 10" xfId="2682" xr:uid="{BFCE63D1-D8C1-482D-8484-0DCE9B826093}"/>
    <cellStyle name="Note 2 2 2 2" xfId="5233" xr:uid="{3849B81E-6BBA-4A93-BB58-9D54399671D5}"/>
    <cellStyle name="Note 2 2 2 2 2" xfId="19772" xr:uid="{CF8D09D4-D6A8-4100-86BC-4C46477571EA}"/>
    <cellStyle name="Note 2 2 2 2 2 2" xfId="15898" xr:uid="{D584F188-5F58-47BF-A6E6-04EDD2500947}"/>
    <cellStyle name="Note 2 2 2 2 2 2 2" xfId="2681" xr:uid="{A8767343-4A16-4152-A9F3-CC29764D231E}"/>
    <cellStyle name="Note 2 2 2 2 2 2 2 2" xfId="2680" xr:uid="{6BEB5500-8BC9-41FF-BE5E-BD63CDDC1584}"/>
    <cellStyle name="Note 2 2 2 2 2 2 2 2 2" xfId="2679" xr:uid="{142F2293-9DB4-493E-AE96-0848A850B8AE}"/>
    <cellStyle name="Note 2 2 2 2 2 2 2 2 2 2" xfId="32341" xr:uid="{88CFAA6F-042B-42D8-97DC-6523D522F287}"/>
    <cellStyle name="Note 2 2 2 2 2 2 2 2 2 2 2" xfId="2678" xr:uid="{A7743387-A4A6-406C-A974-1C8DC6B802F7}"/>
    <cellStyle name="Note 2 2 2 2 2 2 2 2 2 2 2 2" xfId="30854" xr:uid="{8DAA0D9E-4E61-40BE-943B-EA372B5FF03E}"/>
    <cellStyle name="Note 2 2 2 2 2 2 2 2 2 2 3" xfId="2677" xr:uid="{EABFEA42-40C6-49CB-BF11-538EA1C8CED9}"/>
    <cellStyle name="Note 2 2 2 2 2 2 2 2 2 3" xfId="16960" xr:uid="{D7D182A2-C142-49E9-A0C1-C350CB75E225}"/>
    <cellStyle name="Note 2 2 2 2 2 2 2 2 2 3 2" xfId="31492" xr:uid="{E505F178-CE4B-4E5B-8E2F-540EA092AC3E}"/>
    <cellStyle name="Note 2 2 2 2 2 2 2 2 2 4" xfId="2676" xr:uid="{D96A5973-DE3E-4559-95DB-11706588C9B4}"/>
    <cellStyle name="Note 2 2 2 2 2 2 2 2 3" xfId="25758" xr:uid="{37B07991-ADFC-4E47-B3B2-12C07CD1C0F6}"/>
    <cellStyle name="Note 2 2 2 2 2 2 2 2 3 2" xfId="24159" xr:uid="{AC7E9748-6FBA-413A-8F60-B9A55356D204}"/>
    <cellStyle name="Note 2 2 2 2 2 2 2 2 3 2 2" xfId="2675" xr:uid="{0DA9BFD6-9201-4D97-A622-D46EFDA4BA04}"/>
    <cellStyle name="Note 2 2 2 2 2 2 2 2 3 3" xfId="2674" xr:uid="{A04BF337-E34D-4586-BE6F-944F8F481432}"/>
    <cellStyle name="Note 2 2 2 2 2 2 2 2 4" xfId="2672" xr:uid="{9393BAB2-9FE7-4B8A-A598-F7C4035DE84D}"/>
    <cellStyle name="Note 2 2 2 2 2 2 2 2 4 2" xfId="2671" xr:uid="{C786CC26-FF62-4CAE-A7FD-7671A353EE24}"/>
    <cellStyle name="Note 2 2 2 2 2 2 2 2 5" xfId="22913" xr:uid="{773EFD9D-A38E-4585-B5AD-8D0CE903899A}"/>
    <cellStyle name="Note 2 2 2 2 2 2 2 3" xfId="10592" xr:uid="{BFC18777-83A9-4473-BD03-F0D25862A37E}"/>
    <cellStyle name="Note 2 2 2 2 2 2 2 3 2" xfId="2669" xr:uid="{0BC6CF7F-A92B-4B56-A701-BD6A74A2A3D4}"/>
    <cellStyle name="Note 2 2 2 2 2 2 2 3 2 2" xfId="16940" xr:uid="{EBFE5A74-A738-4306-8D10-4DCF92CB5626}"/>
    <cellStyle name="Note 2 2 2 2 2 2 2 3 2 2 2" xfId="27061" xr:uid="{6320BD85-67D2-49D7-BBC9-D8C05BA0CF7A}"/>
    <cellStyle name="Note 2 2 2 2 2 2 2 3 2 3" xfId="2668" xr:uid="{19F0EAA5-A174-4EBB-883B-7FF3DCA49658}"/>
    <cellStyle name="Note 2 2 2 2 2 2 2 3 3" xfId="2667" xr:uid="{E7D8D593-E493-443B-9629-82A639F8DFC9}"/>
    <cellStyle name="Note 2 2 2 2 2 2 2 3 3 2" xfId="2666" xr:uid="{7DCED92E-D6C4-47DA-BD0F-9874BACA8B20}"/>
    <cellStyle name="Note 2 2 2 2 2 2 2 3 4" xfId="2665" xr:uid="{E8178439-A1D1-4CC5-B6C4-8DFD8F4CD337}"/>
    <cellStyle name="Note 2 2 2 2 2 2 2 4" xfId="2664" xr:uid="{3C6207A4-73F0-4E2A-96FB-045F1B7E4C68}"/>
    <cellStyle name="Note 2 2 2 2 2 2 2 4 2" xfId="2663" xr:uid="{1113E569-E0B9-4168-8E11-0168737F0772}"/>
    <cellStyle name="Note 2 2 2 2 2 2 2 4 2 2" xfId="2662" xr:uid="{001F7F93-57A1-428A-8566-D7690DCB115A}"/>
    <cellStyle name="Note 2 2 2 2 2 2 2 4 3" xfId="2661" xr:uid="{44465EEA-7065-4967-BF32-A08150A8E6EF}"/>
    <cellStyle name="Note 2 2 2 2 2 2 2 5" xfId="2660" xr:uid="{B1AFC9E9-1FEA-4D24-9CBF-96376EC0A822}"/>
    <cellStyle name="Note 2 2 2 2 2 2 2 5 2" xfId="2658" xr:uid="{793BB8DB-6D29-4387-9C53-18044241A783}"/>
    <cellStyle name="Note 2 2 2 2 2 2 2 6" xfId="18347" xr:uid="{764647C1-ECFA-4C91-99B6-8F89C6B2824B}"/>
    <cellStyle name="Note 2 2 2 2 2 2 3" xfId="2656" xr:uid="{5D83A60C-841F-4FEC-A221-FAA422D01BDA}"/>
    <cellStyle name="Note 2 2 2 2 2 2 3 2" xfId="2655" xr:uid="{FF827F25-7FEE-4F70-88F7-FE367A363F3E}"/>
    <cellStyle name="Note 2 2 2 2 2 2 3 2 2" xfId="2654" xr:uid="{8AAC2A4B-1CF9-4456-82A7-3F801375A4FB}"/>
    <cellStyle name="Note 2 2 2 2 2 2 3 2 2 2" xfId="16918" xr:uid="{709926CC-6FFC-4F60-BCE8-B5FFE154AC0E}"/>
    <cellStyle name="Note 2 2 2 2 2 2 3 2 2 2 2" xfId="2653" xr:uid="{457F763F-8F12-4A21-BBE4-FBED49C2B8D7}"/>
    <cellStyle name="Note 2 2 2 2 2 2 3 2 2 3" xfId="2652" xr:uid="{88834C6F-7CB9-4BB9-94AB-88501DF2D507}"/>
    <cellStyle name="Note 2 2 2 2 2 2 3 2 3" xfId="2651" xr:uid="{2F131CFC-D8E6-4AAA-A4D0-AEFCB81FD0D4}"/>
    <cellStyle name="Note 2 2 2 2 2 2 3 2 3 2" xfId="20087" xr:uid="{31E21C09-F4B2-4152-811D-BEF8949E90DC}"/>
    <cellStyle name="Note 2 2 2 2 2 2 3 2 4" xfId="2650" xr:uid="{C77E5281-CC06-458A-9916-9B7B67654768}"/>
    <cellStyle name="Note 2 2 2 2 2 2 3 3" xfId="2649" xr:uid="{9B4E7D1B-AB70-4C62-A320-C3F8806CA581}"/>
    <cellStyle name="Note 2 2 2 2 2 2 3 3 2" xfId="7312" xr:uid="{F3C8FF96-C9F3-4235-8533-D2933FB1B18D}"/>
    <cellStyle name="Note 2 2 2 2 2 2 3 3 2 2" xfId="2648" xr:uid="{C3737C3F-4F70-4DEF-94B7-12885104EAC0}"/>
    <cellStyle name="Note 2 2 2 2 2 2 3 3 3" xfId="33558" xr:uid="{C77C0EA5-EFF1-4DEE-B42B-BB9BE5A093EF}"/>
    <cellStyle name="Note 2 2 2 2 2 2 3 4" xfId="19501" xr:uid="{141A0FA6-C613-48DF-86CB-DDCCEC88B1F2}"/>
    <cellStyle name="Note 2 2 2 2 2 2 3 4 2" xfId="7305" xr:uid="{281F5FA2-475B-4B87-8AFF-1D3A1A0913E4}"/>
    <cellStyle name="Note 2 2 2 2 2 2 3 5" xfId="2647" xr:uid="{ADC880B7-78B3-42AC-A0D4-BBEA2156E941}"/>
    <cellStyle name="Note 2 2 2 2 2 2 4" xfId="15992" xr:uid="{23130E37-B2D3-496B-AE23-EC1BAE4E84D3}"/>
    <cellStyle name="Note 2 2 2 2 2 2 4 2" xfId="2645" xr:uid="{609F9311-8335-41C3-A0A9-221E02143C84}"/>
    <cellStyle name="Note 2 2 2 2 2 2 4 2 2" xfId="2644" xr:uid="{00A3FDBF-EA59-4B30-B66B-2A2850AF8873}"/>
    <cellStyle name="Note 2 2 2 2 2 2 4 2 2 2" xfId="16949" xr:uid="{BE7E2F87-0461-49D9-BCF3-07D7235E94FE}"/>
    <cellStyle name="Note 2 2 2 2 2 2 4 2 3" xfId="2643" xr:uid="{5EE58C81-6C87-43D5-960D-5394C5861B4E}"/>
    <cellStyle name="Note 2 2 2 2 2 2 4 3" xfId="27879" xr:uid="{39E9086B-BEAA-4C64-87D3-601137F6B254}"/>
    <cellStyle name="Note 2 2 2 2 2 2 4 3 2" xfId="7273" xr:uid="{EB1DF1FC-3182-49E9-BDCA-3B93E891D543}"/>
    <cellStyle name="Note 2 2 2 2 2 2 4 4" xfId="2642" xr:uid="{A7447729-E052-43E3-85CD-717DD35C5DF1}"/>
    <cellStyle name="Note 2 2 2 2 2 2 5" xfId="25322" xr:uid="{CDFD0E5E-2C0C-481F-A1D9-FA4378B9EA8F}"/>
    <cellStyle name="Note 2 2 2 2 2 2 5 2" xfId="2641" xr:uid="{AA3FCF1A-CC08-4B29-8691-51FE89C5536E}"/>
    <cellStyle name="Note 2 2 2 2 2 2 5 2 2" xfId="2640" xr:uid="{CE21A2D4-47AD-4FD6-85FD-BD78494D69CD}"/>
    <cellStyle name="Note 2 2 2 2 2 2 5 3" xfId="2639" xr:uid="{8BE7917E-AE7D-4D75-9589-C6CFA6D64A70}"/>
    <cellStyle name="Note 2 2 2 2 2 2 6" xfId="2638" xr:uid="{619916FA-FF65-4261-9088-B34FC726D1BE}"/>
    <cellStyle name="Note 2 2 2 2 2 2 6 2" xfId="2637" xr:uid="{7D104C03-D234-497C-B8B0-4EEF0463CC89}"/>
    <cellStyle name="Note 2 2 2 2 2 2 7" xfId="2636" xr:uid="{EA235119-36A2-4A64-A3D1-31E7B3DF3E42}"/>
    <cellStyle name="Note 2 2 2 2 2 3" xfId="2635" xr:uid="{99781ECB-3A5B-4806-94B6-E381FBAC8EA0}"/>
    <cellStyle name="Note 2 2 2 2 2 3 2" xfId="2634" xr:uid="{55473B9E-C32D-4D75-AE17-C514808A63EC}"/>
    <cellStyle name="Note 2 2 2 2 2 3 2 2" xfId="2633" xr:uid="{3581D0BA-A675-4A0A-8045-75BA33ED8ED9}"/>
    <cellStyle name="Note 2 2 2 2 2 3 2 2 2" xfId="2632" xr:uid="{9D9A1BC3-9A0E-46F9-B356-445F95348DFA}"/>
    <cellStyle name="Note 2 2 2 2 2 3 2 2 2 2" xfId="26093" xr:uid="{D072653B-0DAA-48FB-BFE2-F9E44CE14D3F}"/>
    <cellStyle name="Note 2 2 2 2 2 3 2 2 2 2 2" xfId="5461" xr:uid="{688DEA79-B335-4A3F-9C52-D9B39DA9C760}"/>
    <cellStyle name="Note 2 2 2 2 2 3 2 2 2 3" xfId="2631" xr:uid="{00B379DB-5458-4D19-99A3-DB7456E95C08}"/>
    <cellStyle name="Note 2 2 2 2 2 3 2 2 3" xfId="2630" xr:uid="{B3BC4B2C-0DB9-45AB-BA04-061307759EA4}"/>
    <cellStyle name="Note 2 2 2 2 2 3 2 2 3 2" xfId="3703" xr:uid="{8E6E8308-4246-4B49-AA99-257B1A7E5DD2}"/>
    <cellStyle name="Note 2 2 2 2 2 3 2 2 4" xfId="2629" xr:uid="{48B2CC36-2AF2-4C87-B586-2B92ADCDF35E}"/>
    <cellStyle name="Note 2 2 2 2 2 3 2 3" xfId="4493" xr:uid="{43750691-2E91-4326-8B3C-DAEDE99E0257}"/>
    <cellStyle name="Note 2 2 2 2 2 3 2 3 2" xfId="8368" xr:uid="{01E08219-570F-4354-BF0D-612D6C5009B6}"/>
    <cellStyle name="Note 2 2 2 2 2 3 2 3 2 2" xfId="4491" xr:uid="{A3955516-F61E-4728-A241-FDD4175E1A22}"/>
    <cellStyle name="Note 2 2 2 2 2 3 2 3 3" xfId="4486" xr:uid="{4608E86D-4233-4A5B-8BDC-DDEEAEF94456}"/>
    <cellStyle name="Note 2 2 2 2 2 3 2 4" xfId="4481" xr:uid="{EF5329B8-8008-425D-A4B9-E199D6E98E01}"/>
    <cellStyle name="Note 2 2 2 2 2 3 2 4 2" xfId="4479" xr:uid="{A2098C28-A876-48BC-976F-C32322A599C7}"/>
    <cellStyle name="Note 2 2 2 2 2 3 2 5" xfId="17972" xr:uid="{9C1584C4-03F2-4CDF-9293-60B0B09C8AD6}"/>
    <cellStyle name="Note 2 2 2 2 2 3 3" xfId="2628" xr:uid="{E7C01E34-8DC5-43B5-9CBA-D8C647C5B9B5}"/>
    <cellStyle name="Note 2 2 2 2 2 3 3 2" xfId="2627" xr:uid="{D8CFF62B-292C-4483-BC7A-DE99116AFB7F}"/>
    <cellStyle name="Note 2 2 2 2 2 3 3 2 2" xfId="8410" xr:uid="{3915E753-02D6-41C2-AEF0-649CDC738CC1}"/>
    <cellStyle name="Note 2 2 2 2 2 3 3 2 2 2" xfId="2626" xr:uid="{6D3BC61B-7A5E-44BF-A8DD-22821EE72087}"/>
    <cellStyle name="Note 2 2 2 2 2 3 3 2 3" xfId="2625" xr:uid="{3EA6C586-E339-47D7-8F3B-AEF6B63A66BE}"/>
    <cellStyle name="Note 2 2 2 2 2 3 3 3" xfId="4469" xr:uid="{1039D96E-C19A-4C9C-ACD5-AB8F39E33AE8}"/>
    <cellStyle name="Note 2 2 2 2 2 3 3 3 2" xfId="6874" xr:uid="{ED8019EC-6FCE-44C5-A922-DBF60E368715}"/>
    <cellStyle name="Note 2 2 2 2 2 3 3 4" xfId="4465" xr:uid="{106928C1-0313-4983-9340-D0F0595B037B}"/>
    <cellStyle name="Note 2 2 2 2 2 3 4" xfId="15936" xr:uid="{648A7A69-95C4-4779-BE9E-A73441FA91A7}"/>
    <cellStyle name="Note 2 2 2 2 2 3 4 2" xfId="25177" xr:uid="{5D950E40-7076-492B-9AC6-6C9CC9569DA0}"/>
    <cellStyle name="Note 2 2 2 2 2 3 4 2 2" xfId="27676" xr:uid="{BC24427D-73A3-4E52-82B5-39563491467A}"/>
    <cellStyle name="Note 2 2 2 2 2 3 4 3" xfId="25174" xr:uid="{621EDCD1-4EA9-4BAA-B859-776CBBA53F4E}"/>
    <cellStyle name="Note 2 2 2 2 2 3 5" xfId="2624" xr:uid="{5CE905AC-0E4F-46CA-A1E1-8296EDA7634A}"/>
    <cellStyle name="Note 2 2 2 2 2 3 5 2" xfId="25171" xr:uid="{553A00FC-C1E3-45F3-9E32-4FE070AF8107}"/>
    <cellStyle name="Note 2 2 2 2 2 3 6" xfId="2623" xr:uid="{3D033DB7-0579-48B0-87C3-817F3425EF5E}"/>
    <cellStyle name="Note 2 2 2 2 2 4" xfId="26200" xr:uid="{D94EC884-F2DD-444D-9080-8CF5CAAD755E}"/>
    <cellStyle name="Note 2 2 2 2 2 4 2" xfId="30858" xr:uid="{725EDD21-0639-442D-AF3A-B1EFA487C076}"/>
    <cellStyle name="Note 2 2 2 2 2 4 2 2" xfId="2622" xr:uid="{78726FC1-DD8F-4B77-B592-E5A30A61F1D6}"/>
    <cellStyle name="Note 2 2 2 2 2 4 2 2 2" xfId="24715" xr:uid="{BFCDE949-D580-49CB-AF9C-22D20B54CB33}"/>
    <cellStyle name="Note 2 2 2 2 2 4 2 2 2 2" xfId="2621" xr:uid="{48AA4258-E42A-4C70-89E6-9E3CAC5C4316}"/>
    <cellStyle name="Note 2 2 2 2 2 4 2 2 3" xfId="24713" xr:uid="{CB7429E7-498B-4668-A1FB-AB289E913702}"/>
    <cellStyle name="Note 2 2 2 2 2 4 2 3" xfId="4167" xr:uid="{89511EC3-D78D-4B4C-AEB9-ECF816BE20CA}"/>
    <cellStyle name="Note 2 2 2 2 2 4 2 3 2" xfId="24701" xr:uid="{A1550FB1-E375-4EE3-BD3F-0FE942AE22F2}"/>
    <cellStyle name="Note 2 2 2 2 2 4 2 4" xfId="30832" xr:uid="{E542FBB8-49E0-4223-8187-28AF2426ECAF}"/>
    <cellStyle name="Note 2 2 2 2 2 4 3" xfId="30115" xr:uid="{ABB28136-FA37-464F-AA39-9473DFB4720D}"/>
    <cellStyle name="Note 2 2 2 2 2 4 3 2" xfId="2620" xr:uid="{1D273CFF-46B4-4B7B-B2DF-614F71CC70C9}"/>
    <cellStyle name="Note 2 2 2 2 2 4 3 2 2" xfId="24667" xr:uid="{F4E6D78A-2D5B-4028-996D-CD5C6FD8886E}"/>
    <cellStyle name="Note 2 2 2 2 2 4 3 3" xfId="4150" xr:uid="{9C2FEE38-03A3-4CC9-8125-09521F49D787}"/>
    <cellStyle name="Note 2 2 2 2 2 4 4" xfId="31344" xr:uid="{C4D043E1-9213-4A76-ADE8-DB52834B8F26}"/>
    <cellStyle name="Note 2 2 2 2 2 4 4 2" xfId="25161" xr:uid="{D41E1866-253D-4666-B352-5C76D4B53DE6}"/>
    <cellStyle name="Note 2 2 2 2 2 4 5" xfId="2619" xr:uid="{B1B51A26-0D6F-476B-AB16-B08A61059460}"/>
    <cellStyle name="Note 2 2 2 2 2 5" xfId="28368" xr:uid="{E25FA030-0410-413B-B03F-23A3232C3955}"/>
    <cellStyle name="Note 2 2 2 2 2 5 2" xfId="30840" xr:uid="{EACC9F9A-17D6-42B2-B94E-B2CEAEA73A2F}"/>
    <cellStyle name="Note 2 2 2 2 2 5 2 2" xfId="2618" xr:uid="{DC357988-5E1F-4171-89C9-1483C70E6550}"/>
    <cellStyle name="Note 2 2 2 2 2 5 2 2 2" xfId="24627" xr:uid="{14752888-34B2-4BE3-8094-D43CE52B5354}"/>
    <cellStyle name="Note 2 2 2 2 2 5 2 3" xfId="3228" xr:uid="{D5312765-0AAE-44B4-995F-FD5C26F0C366}"/>
    <cellStyle name="Note 2 2 2 2 2 5 3" xfId="31331" xr:uid="{984C5795-5767-4919-B9A8-CD120987D310}"/>
    <cellStyle name="Note 2 2 2 2 2 5 3 2" xfId="2617" xr:uid="{93187AB0-9DE2-4853-A5E0-C38DA0811985}"/>
    <cellStyle name="Note 2 2 2 2 2 5 4" xfId="2616" xr:uid="{0465D078-77C4-4F00-9D87-20F8222F5E3B}"/>
    <cellStyle name="Note 2 2 2 2 2 6" xfId="29389" xr:uid="{A4A397ED-67A3-44CC-AC03-6DEA6671A46B}"/>
    <cellStyle name="Note 2 2 2 2 2 6 2" xfId="18653" xr:uid="{64AD7B71-6A2A-4326-AA4E-A4969D07609B}"/>
    <cellStyle name="Note 2 2 2 2 2 6 2 2" xfId="2615" xr:uid="{7FE4A5A4-6A64-4A3A-B436-60581A25BFBC}"/>
    <cellStyle name="Note 2 2 2 2 2 6 3" xfId="2614" xr:uid="{B082D127-89E7-431E-89B1-45B121A44F61}"/>
    <cellStyle name="Note 2 2 2 2 2 7" xfId="26217" xr:uid="{B9A46950-2883-411C-8115-C31A8DB5B2B6}"/>
    <cellStyle name="Note 2 2 2 2 2 7 2" xfId="2613" xr:uid="{9078AC6A-D1C6-43B6-AAFA-94A3C17600C1}"/>
    <cellStyle name="Note 2 2 2 2 2 8" xfId="2612" xr:uid="{4380A8A6-90E9-4AC2-AEC7-5B569214B319}"/>
    <cellStyle name="Note 2 2 2 2 3" xfId="21480" xr:uid="{469F669A-C932-494E-968E-91818DE2680B}"/>
    <cellStyle name="Note 2 2 2 2 3 2" xfId="2611" xr:uid="{B2653279-237F-445E-B146-70D25F045160}"/>
    <cellStyle name="Note 2 2 2 2 3 2 2" xfId="2610" xr:uid="{A5A37BFF-6FA2-4D8F-A69B-77A8E9B483CD}"/>
    <cellStyle name="Note 2 2 2 2 3 2 2 2" xfId="2609" xr:uid="{3D9E06F4-7CD4-456C-BCC8-B15770F40CC6}"/>
    <cellStyle name="Note 2 2 2 2 3 2 2 2 2" xfId="2608" xr:uid="{F6269B10-BB1E-4230-9C4E-6ED4873608D2}"/>
    <cellStyle name="Note 2 2 2 2 3 2 2 2 2 2" xfId="16271" xr:uid="{72493FA9-9ABE-46F8-9357-5457D1EE159F}"/>
    <cellStyle name="Note 2 2 2 2 3 2 2 2 2 2 2" xfId="2607" xr:uid="{58CF1C6B-2CAD-400D-B06B-017A14096206}"/>
    <cellStyle name="Note 2 2 2 2 3 2 2 2 2 3" xfId="2606" xr:uid="{46C60CEB-8F5B-4E89-A6DE-14D752F255B8}"/>
    <cellStyle name="Note 2 2 2 2 3 2 2 2 3" xfId="2605" xr:uid="{6D8655CE-1EBB-4C4D-AD93-48BD5E85E522}"/>
    <cellStyle name="Note 2 2 2 2 3 2 2 2 3 2" xfId="2604" xr:uid="{2942CFCA-F97C-4BE1-877D-C77456248A52}"/>
    <cellStyle name="Note 2 2 2 2 3 2 2 2 4" xfId="2603" xr:uid="{D6E89833-2CCD-4071-AEB3-705292AFA0E8}"/>
    <cellStyle name="Note 2 2 2 2 3 2 2 3" xfId="2602" xr:uid="{0A20FF45-0A00-4E44-92C8-D004DBC88433}"/>
    <cellStyle name="Note 2 2 2 2 3 2 2 3 2" xfId="2601" xr:uid="{5EBD5BC1-D35A-46FE-B730-251179AED363}"/>
    <cellStyle name="Note 2 2 2 2 3 2 2 3 2 2" xfId="2600" xr:uid="{9CF8003E-D807-42B9-9F4B-05547731A22A}"/>
    <cellStyle name="Note 2 2 2 2 3 2 2 3 3" xfId="2599" xr:uid="{09A7557D-A557-4889-ADAB-2EBC178C0543}"/>
    <cellStyle name="Note 2 2 2 2 3 2 2 4" xfId="2598" xr:uid="{4309A5C4-0A85-4B91-A59B-61A7FD16B2C4}"/>
    <cellStyle name="Note 2 2 2 2 3 2 2 4 2" xfId="2597" xr:uid="{219E03A1-10EF-478B-BC3C-AB1B81E680E5}"/>
    <cellStyle name="Note 2 2 2 2 3 2 2 5" xfId="2596" xr:uid="{B3822A51-C9F5-4754-9E63-392AA0F6FDFC}"/>
    <cellStyle name="Note 2 2 2 2 3 2 3" xfId="2593" xr:uid="{0FA59FB8-4BDA-4C21-AB9D-D48716C2ACDF}"/>
    <cellStyle name="Note 2 2 2 2 3 2 3 2" xfId="2592" xr:uid="{8970BCE8-E9DB-4B2E-A74B-C34F1F4C258D}"/>
    <cellStyle name="Note 2 2 2 2 3 2 3 2 2" xfId="2591" xr:uid="{174CE58B-F0B2-4572-B0E1-1B16BC91AC4C}"/>
    <cellStyle name="Note 2 2 2 2 3 2 3 2 2 2" xfId="2590" xr:uid="{D543DDAA-E739-4354-864E-F313331011D1}"/>
    <cellStyle name="Note 2 2 2 2 3 2 3 2 3" xfId="2589" xr:uid="{BAB6FC46-7198-4265-8342-3B4D9C146C72}"/>
    <cellStyle name="Note 2 2 2 2 3 2 3 3" xfId="2588" xr:uid="{82F44C57-F9C6-41B9-B6BC-15DDDC30475B}"/>
    <cellStyle name="Note 2 2 2 2 3 2 3 3 2" xfId="23200" xr:uid="{C5B5E7DA-B5C2-4452-B73B-15CDE8A76B47}"/>
    <cellStyle name="Note 2 2 2 2 3 2 3 4" xfId="2587" xr:uid="{C0158C56-20FD-4E91-8D67-511CA186C7B3}"/>
    <cellStyle name="Note 2 2 2 2 3 2 4" xfId="15812" xr:uid="{D880E523-1B09-4471-9742-CF7C7F66DFA1}"/>
    <cellStyle name="Note 2 2 2 2 3 2 4 2" xfId="2586" xr:uid="{A786A25F-5DE1-4C2C-8A7E-0ADC27C5CCED}"/>
    <cellStyle name="Note 2 2 2 2 3 2 4 2 2" xfId="2585" xr:uid="{4219D238-3CB1-495E-9600-31374D8F969A}"/>
    <cellStyle name="Note 2 2 2 2 3 2 4 3" xfId="2584" xr:uid="{CECDD7B8-81F9-4056-9F6D-2E717948DCCF}"/>
    <cellStyle name="Note 2 2 2 2 3 2 5" xfId="2583" xr:uid="{16DE034D-8DC2-4405-AA38-5E5905A765CD}"/>
    <cellStyle name="Note 2 2 2 2 3 2 5 2" xfId="8414" xr:uid="{027CC0FB-730B-4E60-9301-1F2CD78698B7}"/>
    <cellStyle name="Note 2 2 2 2 3 2 6" xfId="2582" xr:uid="{8761510A-290C-4C70-B108-1AA4B5FF4474}"/>
    <cellStyle name="Note 2 2 2 2 3 3" xfId="2581" xr:uid="{1B1F696D-AE3C-4C9A-A65C-3225994AF406}"/>
    <cellStyle name="Note 2 2 2 2 3 3 2" xfId="2580" xr:uid="{2C7FE51C-EDF5-47D2-9D2C-B2B460C9A416}"/>
    <cellStyle name="Note 2 2 2 2 3 3 2 2" xfId="2579" xr:uid="{ABAF99EE-151C-4551-BD23-BB0EDB539E21}"/>
    <cellStyle name="Note 2 2 2 2 3 3 2 2 2" xfId="2578" xr:uid="{52B4B062-D0A7-427C-BFC7-B22FA7C4CF93}"/>
    <cellStyle name="Note 2 2 2 2 3 3 2 2 2 2" xfId="2577" xr:uid="{3BBD2A42-E83C-4EFB-A60C-FFDDCB27D933}"/>
    <cellStyle name="Note 2 2 2 2 3 3 2 2 3" xfId="2576" xr:uid="{9A3787CD-1983-4109-AD34-51BD98096ABF}"/>
    <cellStyle name="Note 2 2 2 2 3 3 2 3" xfId="2575" xr:uid="{04AF3F3D-59EC-43A7-A510-D91A9DCE9C15}"/>
    <cellStyle name="Note 2 2 2 2 3 3 2 3 2" xfId="2574" xr:uid="{9E795B4F-8F05-441C-9CB2-E6351DD48D9E}"/>
    <cellStyle name="Note 2 2 2 2 3 3 2 4" xfId="2573" xr:uid="{4DBD71A7-76F2-442B-AC5A-D078C336FF41}"/>
    <cellStyle name="Note 2 2 2 2 3 3 3" xfId="2572" xr:uid="{8D938CC7-A891-478C-94B8-FCDCB1290169}"/>
    <cellStyle name="Note 2 2 2 2 3 3 3 2" xfId="2571" xr:uid="{3D5D5B91-83FF-482D-917A-B1A456CB464D}"/>
    <cellStyle name="Note 2 2 2 2 3 3 3 2 2" xfId="21397" xr:uid="{84B67E8F-D34B-432C-8C0F-D75D162CD25B}"/>
    <cellStyle name="Note 2 2 2 2 3 3 3 3" xfId="2570" xr:uid="{1C562400-75FC-44B8-B9A0-B08EFEC7473B}"/>
    <cellStyle name="Note 2 2 2 2 3 3 4" xfId="2569" xr:uid="{63F1AF0C-BA51-4A76-8E04-B9E8A6266DE1}"/>
    <cellStyle name="Note 2 2 2 2 3 3 4 2" xfId="25148" xr:uid="{C5C82204-34C9-4755-AD12-3EEE3549C713}"/>
    <cellStyle name="Note 2 2 2 2 3 3 5" xfId="2568" xr:uid="{9631A1AE-440C-455B-AE13-E99A0C8F6506}"/>
    <cellStyle name="Note 2 2 2 2 3 4" xfId="21466" xr:uid="{3DFA73B7-675F-44CE-BEC9-EB1A5B08DBDC}"/>
    <cellStyle name="Note 2 2 2 2 3 4 2" xfId="26922" xr:uid="{3379CD16-C5B0-4734-8710-1107F1E0C427}"/>
    <cellStyle name="Note 2 2 2 2 3 4 2 2" xfId="2567" xr:uid="{1DCA53C9-B916-4BD7-8653-38959F2D6C31}"/>
    <cellStyle name="Note 2 2 2 2 3 4 2 2 2" xfId="24512" xr:uid="{1CF22F86-FA0F-4246-9B4E-DE944F15452D}"/>
    <cellStyle name="Note 2 2 2 2 3 4 2 3" xfId="2566" xr:uid="{D2AD0970-9179-4D93-850C-033CA13AA373}"/>
    <cellStyle name="Note 2 2 2 2 3 4 3" xfId="26996" xr:uid="{611230F6-D56E-472C-A0EE-456078C4824E}"/>
    <cellStyle name="Note 2 2 2 2 3 4 3 2" xfId="2565" xr:uid="{BC0BB9B4-DE76-4B41-BD5D-763BB3ECB49F}"/>
    <cellStyle name="Note 2 2 2 2 3 4 4" xfId="2564" xr:uid="{7E78CB45-8ED6-49A2-B29F-78907EBC75F5}"/>
    <cellStyle name="Note 2 2 2 2 3 5" xfId="19461" xr:uid="{96E3152C-3E2D-4B08-A8CF-6356C0AFF0A8}"/>
    <cellStyle name="Note 2 2 2 2 3 5 2" xfId="30814" xr:uid="{77FA1BCF-8DA7-4440-8927-1951FAEF00A2}"/>
    <cellStyle name="Note 2 2 2 2 3 5 2 2" xfId="2563" xr:uid="{59BFAB5E-9597-493E-AF04-962A950FEF03}"/>
    <cellStyle name="Note 2 2 2 2 3 5 3" xfId="2562" xr:uid="{764B568C-D523-42DD-9971-481592222316}"/>
    <cellStyle name="Note 2 2 2 2 3 6" xfId="30345" xr:uid="{063FCC63-B6BA-46F9-AEC2-5AABF075FDFD}"/>
    <cellStyle name="Note 2 2 2 2 3 6 2" xfId="2561" xr:uid="{93AB2E7B-1A80-4414-BCEB-0A076F47B20E}"/>
    <cellStyle name="Note 2 2 2 2 3 7" xfId="2560" xr:uid="{2A815090-67DD-4BC5-9C2E-04F0AFEBC3A3}"/>
    <cellStyle name="Note 2 2 2 2 4" xfId="2559" xr:uid="{5789370A-F262-4770-8C31-97008414887D}"/>
    <cellStyle name="Note 2 2 2 2 4 2" xfId="2558" xr:uid="{7C050E90-987C-46C0-A8F9-72296C886423}"/>
    <cellStyle name="Note 2 2 2 2 4 2 2" xfId="2557" xr:uid="{93217CAA-893B-411B-A351-E7118970B812}"/>
    <cellStyle name="Note 2 2 2 2 4 2 2 2" xfId="2556" xr:uid="{BE21BF2A-52C6-4E89-9882-0AB97647B25B}"/>
    <cellStyle name="Note 2 2 2 2 4 2 2 2 2" xfId="32387" xr:uid="{C042E18F-066A-4F65-9684-0A451B06A8AE}"/>
    <cellStyle name="Note 2 2 2 2 4 2 2 2 2 2" xfId="19057" xr:uid="{431E72F4-4F99-46AE-8214-B7768C163934}"/>
    <cellStyle name="Note 2 2 2 2 4 2 2 2 3" xfId="34017" xr:uid="{3E78513F-0764-4E68-B9F1-B8D8F21C64A4}"/>
    <cellStyle name="Note 2 2 2 2 4 2 2 3" xfId="2555" xr:uid="{ED8262B3-F8B3-4747-8D1D-5BAD14C25E6B}"/>
    <cellStyle name="Note 2 2 2 2 4 2 2 3 2" xfId="10655" xr:uid="{47814A8B-CA65-4D1D-825C-5D6A26CC66E3}"/>
    <cellStyle name="Note 2 2 2 2 4 2 2 4" xfId="2554" xr:uid="{3E80B19C-A4B4-44FB-804A-DF8ABB168307}"/>
    <cellStyle name="Note 2 2 2 2 4 2 3" xfId="21974" xr:uid="{4F52F9D3-B7B0-4AA5-A23E-6BC2AB4EBDCC}"/>
    <cellStyle name="Note 2 2 2 2 4 2 3 2" xfId="2553" xr:uid="{0AD16CF2-6E84-40A1-B598-E23629674DD1}"/>
    <cellStyle name="Note 2 2 2 2 4 2 3 2 2" xfId="34051" xr:uid="{7F381A91-876C-44AA-A9E4-5AB88D572EE3}"/>
    <cellStyle name="Note 2 2 2 2 4 2 3 3" xfId="2552" xr:uid="{EC027FF5-86DB-4743-A40A-F2CD1FAE49AC}"/>
    <cellStyle name="Note 2 2 2 2 4 2 4" xfId="2550" xr:uid="{1DA2C961-AD4B-48FC-9434-A383612337DA}"/>
    <cellStyle name="Note 2 2 2 2 4 2 4 2" xfId="2549" xr:uid="{A243A253-BD8C-43CE-9C01-2C53125C32D6}"/>
    <cellStyle name="Note 2 2 2 2 4 2 5" xfId="2548" xr:uid="{98B2497E-0242-44CF-82B7-256014E1AB5B}"/>
    <cellStyle name="Note 2 2 2 2 4 3" xfId="31244" xr:uid="{72F2C09F-D7C9-4C06-916A-9E730B221603}"/>
    <cellStyle name="Note 2 2 2 2 4 3 2" xfId="8021" xr:uid="{F0205C25-C607-426D-A830-0AF0C659F4C4}"/>
    <cellStyle name="Note 2 2 2 2 4 3 2 2" xfId="4434" xr:uid="{637DCEC8-8C31-496C-8108-D4C9C676E20F}"/>
    <cellStyle name="Note 2 2 2 2 4 3 2 2 2" xfId="2547" xr:uid="{2BFE6559-4B16-4CCD-832F-9628544D40CD}"/>
    <cellStyle name="Note 2 2 2 2 4 3 2 3" xfId="2546" xr:uid="{C76FE75D-A26B-4936-A935-D514A4F5D9F3}"/>
    <cellStyle name="Note 2 2 2 2 4 3 3" xfId="2545" xr:uid="{5AE43B4D-80C2-4E4A-A202-C531AECA7173}"/>
    <cellStyle name="Note 2 2 2 2 4 3 3 2" xfId="4414" xr:uid="{EA3EFF52-7484-49E3-AD3E-DB3CD08B0FBD}"/>
    <cellStyle name="Note 2 2 2 2 4 3 4" xfId="2544" xr:uid="{6D8B2424-29C8-4763-8805-CDA7D6E3693B}"/>
    <cellStyle name="Note 2 2 2 2 4 4" xfId="8018" xr:uid="{778649EA-2B5D-414A-81F4-F402304316C6}"/>
    <cellStyle name="Note 2 2 2 2 4 4 2" xfId="22213" xr:uid="{355F2222-F382-4AAE-A20D-4F90F2866FE1}"/>
    <cellStyle name="Note 2 2 2 2 4 4 2 2" xfId="2543" xr:uid="{A377678F-7E39-43C6-8888-C03A9BC0A09A}"/>
    <cellStyle name="Note 2 2 2 2 4 4 3" xfId="2542" xr:uid="{AFAF6CEE-BA4F-4374-A801-3C1A248B2C14}"/>
    <cellStyle name="Note 2 2 2 2 4 5" xfId="28510" xr:uid="{FC1DF948-A107-4041-A610-2126BA4EEEF0}"/>
    <cellStyle name="Note 2 2 2 2 4 5 2" xfId="2541" xr:uid="{2EA151BD-BB86-488E-B095-1E2E47AA1553}"/>
    <cellStyle name="Note 2 2 2 2 4 6" xfId="2540" xr:uid="{FE6C2A68-450E-4DE2-A736-D2EC3A340615}"/>
    <cellStyle name="Note 2 2 2 2 5" xfId="2539" xr:uid="{F57C520D-39DD-4A9D-9F21-B19F712B3366}"/>
    <cellStyle name="Note 2 2 2 2 5 2" xfId="2538" xr:uid="{9793B950-B7F7-4310-8385-D335BD2AA5E6}"/>
    <cellStyle name="Note 2 2 2 2 5 2 2" xfId="24450" xr:uid="{8135FAC4-3FDD-4464-8C4F-A3F1C99058C2}"/>
    <cellStyle name="Note 2 2 2 2 5 2 2 2" xfId="2537" xr:uid="{918BDC79-8EBF-4140-99ED-F90E60E7B6DD}"/>
    <cellStyle name="Note 2 2 2 2 5 2 2 2 2" xfId="2536" xr:uid="{A6A0DF32-4771-4279-84A2-A55319AA1928}"/>
    <cellStyle name="Note 2 2 2 2 5 2 2 3" xfId="25031" xr:uid="{597CF9E0-96B0-4B42-BF4E-2EDE19863D90}"/>
    <cellStyle name="Note 2 2 2 2 5 2 3" xfId="21561" xr:uid="{65AA0DBD-B3EE-43F4-8E21-F3EBEED8C16D}"/>
    <cellStyle name="Note 2 2 2 2 5 2 3 2" xfId="2535" xr:uid="{E1299407-C122-4226-8902-928F4303CDBE}"/>
    <cellStyle name="Note 2 2 2 2 5 2 4" xfId="7030" xr:uid="{E25B7CE7-1E3F-42AC-8F37-66690CD5145B}"/>
    <cellStyle name="Note 2 2 2 2 5 3" xfId="8012" xr:uid="{3675DA6C-E41F-43AD-AA42-0D97787CE8A2}"/>
    <cellStyle name="Note 2 2 2 2 5 3 2" xfId="30674" xr:uid="{4DAF27F6-5EC9-410E-B47F-287AD8676392}"/>
    <cellStyle name="Note 2 2 2 2 5 3 2 2" xfId="2533" xr:uid="{74C12E24-A8F7-4863-9CB3-AC412550F57A}"/>
    <cellStyle name="Note 2 2 2 2 5 3 3" xfId="7018" xr:uid="{FB779F3C-DF48-424A-9C03-EB4629DC1876}"/>
    <cellStyle name="Note 2 2 2 2 5 4" xfId="28460" xr:uid="{2316C536-2EAC-42A7-AC28-5091C737C637}"/>
    <cellStyle name="Note 2 2 2 2 5 4 2" xfId="7011" xr:uid="{F282A0DE-CC72-4E12-8034-C4A191FD3837}"/>
    <cellStyle name="Note 2 2 2 2 5 5" xfId="4620" xr:uid="{B2CC0493-868A-4478-A31E-2A1238F6EA3F}"/>
    <cellStyle name="Note 2 2 2 2 6" xfId="2532" xr:uid="{A3E085FF-79FE-40F4-A9B1-5ED7545F81D4}"/>
    <cellStyle name="Note 2 2 2 2 6 2" xfId="2531" xr:uid="{48394FD7-A452-4E3E-A2D3-E0B0B336FBA1}"/>
    <cellStyle name="Note 2 2 2 2 6 2 2" xfId="30663" xr:uid="{028BF6AD-DE80-42A3-8465-D41E34C96FA3}"/>
    <cellStyle name="Note 2 2 2 2 6 2 2 2" xfId="2530" xr:uid="{678198F2-1899-49D9-83D5-15C4494E1DEC}"/>
    <cellStyle name="Note 2 2 2 2 6 2 3" xfId="6962" xr:uid="{A1F12A70-36A2-4920-96D7-9D71E23BB6A8}"/>
    <cellStyle name="Note 2 2 2 2 6 3" xfId="2529" xr:uid="{FE32C9C1-2EB1-4A43-856F-EB2C25A4EC08}"/>
    <cellStyle name="Note 2 2 2 2 6 3 2" xfId="31301" xr:uid="{3FDFB194-1D19-4046-A798-363AEAB407C1}"/>
    <cellStyle name="Note 2 2 2 2 6 4" xfId="2528" xr:uid="{71E0D5F4-B6A4-4EC2-AB08-C1EC4180FC44}"/>
    <cellStyle name="Note 2 2 2 2 7" xfId="2527" xr:uid="{16978474-E45C-49E7-ABD4-7F1D658582D9}"/>
    <cellStyle name="Note 2 2 2 2 7 2" xfId="28996" xr:uid="{FE93F800-6F01-4569-BAB2-1CCBD543A8A4}"/>
    <cellStyle name="Note 2 2 2 2 7 2 2" xfId="6932" xr:uid="{05EACF40-6285-4FA1-84CE-C369B41CC989}"/>
    <cellStyle name="Note 2 2 2 2 7 3" xfId="2526" xr:uid="{E05A2059-52CE-430B-86F5-787938705280}"/>
    <cellStyle name="Note 2 2 2 2 8" xfId="2525" xr:uid="{9A3C699E-8B30-4127-8B15-E229CAE5A8DB}"/>
    <cellStyle name="Note 2 2 2 2 8 2" xfId="2524" xr:uid="{CF6370E8-63C7-4B25-9F7F-2068B2FD928B}"/>
    <cellStyle name="Note 2 2 2 2 9" xfId="34286" xr:uid="{259681D1-92C1-473F-A1B9-790A63EF8DCA}"/>
    <cellStyle name="Note 2 2 2 3" xfId="2523" xr:uid="{0B55C962-F110-4D91-A606-D2B071C3AAA6}"/>
    <cellStyle name="Note 2 2 2 3 2" xfId="19453" xr:uid="{F6F087AF-9381-4C6D-B7E7-30C21C78640E}"/>
    <cellStyle name="Note 2 2 2 3 2 2" xfId="2522" xr:uid="{2682AA60-5EA2-45E9-93EC-DBC0280EC9FB}"/>
    <cellStyle name="Note 2 2 2 3 2 2 2" xfId="8896" xr:uid="{12E96714-BABD-4EEA-AFC2-C28EB4C0523E}"/>
    <cellStyle name="Note 2 2 2 3 2 2 2 2" xfId="2521" xr:uid="{95488104-9FEB-4F12-8880-985887109867}"/>
    <cellStyle name="Note 2 2 2 3 2 2 2 2 2" xfId="2520" xr:uid="{CC80418C-22A7-4829-915C-6C263613E760}"/>
    <cellStyle name="Note 2 2 2 3 2 2 2 2 2 2" xfId="16521" xr:uid="{10C7946E-6BEA-4B5C-816D-E5617491577E}"/>
    <cellStyle name="Note 2 2 2 3 2 2 2 2 2 2 2" xfId="2519" xr:uid="{2DEB3FCC-4989-4D86-AD7D-0E9C4D378640}"/>
    <cellStyle name="Note 2 2 2 3 2 2 2 2 2 3" xfId="14814" xr:uid="{4BC2903E-9843-4427-B5FB-B2A0F5235A9A}"/>
    <cellStyle name="Note 2 2 2 3 2 2 2 2 3" xfId="25399" xr:uid="{FFFAA83B-25A8-4309-A33B-6F9E7793C7C5}"/>
    <cellStyle name="Note 2 2 2 3 2 2 2 2 3 2" xfId="14808" xr:uid="{27F08ADF-EE52-44D2-A9AE-DFC139DC595D}"/>
    <cellStyle name="Note 2 2 2 3 2 2 2 2 4" xfId="2518" xr:uid="{E5FFAA42-3C1D-4BA0-8C9D-14B78E84074E}"/>
    <cellStyle name="Note 2 2 2 3 2 2 2 3" xfId="2517" xr:uid="{97A50822-4295-4B4C-B0D6-19C20CCB7890}"/>
    <cellStyle name="Note 2 2 2 3 2 2 2 3 2" xfId="20436" xr:uid="{C24D7ABF-B8BF-4BA3-86D9-D70AC286FD2E}"/>
    <cellStyle name="Note 2 2 2 3 2 2 2 3 2 2" xfId="14796" xr:uid="{18ACB642-A7C2-4E02-B7DC-24B0834D2A84}"/>
    <cellStyle name="Note 2 2 2 3 2 2 2 3 3" xfId="18929" xr:uid="{BAC88A71-6922-4986-AFE5-CDEB9DFA9C59}"/>
    <cellStyle name="Note 2 2 2 3 2 2 2 4" xfId="25060" xr:uid="{B6F932F6-A432-4527-97DD-E30291CE5DD4}"/>
    <cellStyle name="Note 2 2 2 3 2 2 2 4 2" xfId="18921" xr:uid="{275264CD-4773-4C54-AD33-9C747E91ADF7}"/>
    <cellStyle name="Note 2 2 2 3 2 2 2 5" xfId="2516" xr:uid="{A2F9A896-229D-46BE-B2BC-6FBE8546E1A1}"/>
    <cellStyle name="Note 2 2 2 3 2 2 3" xfId="8890" xr:uid="{8EDB8687-137D-4010-B549-5A9368679F1A}"/>
    <cellStyle name="Note 2 2 2 3 2 2 3 2" xfId="2514" xr:uid="{FF1D7336-288D-4224-8D56-E2EEE1C2C799}"/>
    <cellStyle name="Note 2 2 2 3 2 2 3 2 2" xfId="2513" xr:uid="{18D4B2DE-C0B7-4A75-AD4A-F25D17B34082}"/>
    <cellStyle name="Note 2 2 2 3 2 2 3 2 2 2" xfId="14781" xr:uid="{D7CA4587-C3C1-42F9-B6B0-B0C6F4C81723}"/>
    <cellStyle name="Note 2 2 2 3 2 2 3 2 3" xfId="2512" xr:uid="{3CC1A64C-F49B-4D25-AC81-65E4F250042B}"/>
    <cellStyle name="Note 2 2 2 3 2 2 3 3" xfId="2511" xr:uid="{94F24481-0F4E-4C97-9FEA-3BC8495266DC}"/>
    <cellStyle name="Note 2 2 2 3 2 2 3 3 2" xfId="22888" xr:uid="{54F383C0-616C-4C92-893E-C0BC2F72B42B}"/>
    <cellStyle name="Note 2 2 2 3 2 2 3 4" xfId="2510" xr:uid="{C4F46E77-D306-41E7-B8F6-7EFB5A88D393}"/>
    <cellStyle name="Note 2 2 2 3 2 2 4" xfId="14007" xr:uid="{330CA666-A7D5-4AB6-9383-A0025395CA8C}"/>
    <cellStyle name="Note 2 2 2 3 2 2 4 2" xfId="2509" xr:uid="{FC8F6F39-1D87-4A58-99D8-58F9E66E347B}"/>
    <cellStyle name="Note 2 2 2 3 2 2 4 2 2" xfId="2508" xr:uid="{B8F1D3C2-69B1-439C-9FB7-511E2D0FECB4}"/>
    <cellStyle name="Note 2 2 2 3 2 2 4 3" xfId="2507" xr:uid="{317A8104-60D7-4D5E-8A72-562335E73BE7}"/>
    <cellStyle name="Note 2 2 2 3 2 2 5" xfId="2506" xr:uid="{0B16845E-8BF2-4BA9-817F-673B8B7779F8}"/>
    <cellStyle name="Note 2 2 2 3 2 2 5 2" xfId="2505" xr:uid="{CCFC8934-17D6-47DC-B7F7-66417C5261F5}"/>
    <cellStyle name="Note 2 2 2 3 2 2 6" xfId="2504" xr:uid="{7928C300-6579-4F52-A3E1-F31E8CF788FC}"/>
    <cellStyle name="Note 2 2 2 3 2 3" xfId="2503" xr:uid="{02F28ACD-3A6E-4C59-AFF9-EEF9D1CCE902}"/>
    <cellStyle name="Note 2 2 2 3 2 3 2" xfId="8887" xr:uid="{7936FA4B-D793-4813-B6D3-AD621A419209}"/>
    <cellStyle name="Note 2 2 2 3 2 3 2 2" xfId="2502" xr:uid="{1C498FAB-4BBB-4E2F-9622-E28CB42B11A5}"/>
    <cellStyle name="Note 2 2 2 3 2 3 2 2 2" xfId="2501" xr:uid="{07426CC0-0207-4F99-9359-A5139422E1FF}"/>
    <cellStyle name="Note 2 2 2 3 2 3 2 2 2 2" xfId="14711" xr:uid="{52353F26-1DC1-4F14-803E-1842D53CD778}"/>
    <cellStyle name="Note 2 2 2 3 2 3 2 2 3" xfId="2500" xr:uid="{06C6767F-E13B-455A-9260-1D1BE832B200}"/>
    <cellStyle name="Note 2 2 2 3 2 3 2 3" xfId="2499" xr:uid="{C337C9C7-3DE3-4694-8F56-C9E80DEC7FE3}"/>
    <cellStyle name="Note 2 2 2 3 2 3 2 3 2" xfId="24374" xr:uid="{A0BB63DD-A958-4EE5-B1CC-2CB22C67CA6C}"/>
    <cellStyle name="Note 2 2 2 3 2 3 2 4" xfId="2498" xr:uid="{809C0FA1-A8F4-4C08-A82E-153FA37F5219}"/>
    <cellStyle name="Note 2 2 2 3 2 3 3" xfId="2497" xr:uid="{B521A9CD-E640-4812-BF4E-467E2F79D149}"/>
    <cellStyle name="Note 2 2 2 3 2 3 3 2" xfId="2496" xr:uid="{D39B8969-84E7-472E-A8F7-FCC50CE9E209}"/>
    <cellStyle name="Note 2 2 2 3 2 3 3 2 2" xfId="2495" xr:uid="{7B98055D-D32F-4F1A-8E37-C02F20D24D5D}"/>
    <cellStyle name="Note 2 2 2 3 2 3 3 3" xfId="2494" xr:uid="{811CC784-D74F-496C-AE90-80EC2405A901}"/>
    <cellStyle name="Note 2 2 2 3 2 3 4" xfId="2493" xr:uid="{7B48FF9F-4B64-4CF6-8DC9-153E09B1B315}"/>
    <cellStyle name="Note 2 2 2 3 2 3 4 2" xfId="33249" xr:uid="{C988AB45-4C83-4586-9DA7-08B979990835}"/>
    <cellStyle name="Note 2 2 2 3 2 3 5" xfId="2492" xr:uid="{DDC7ADC9-B499-48C4-B42D-EEE7A855F0C5}"/>
    <cellStyle name="Note 2 2 2 3 2 4" xfId="26165" xr:uid="{E07121F0-B308-4FD5-A580-F299FB92258A}"/>
    <cellStyle name="Note 2 2 2 3 2 4 2" xfId="31742" xr:uid="{DDD797F6-CE20-40DA-8271-AA02AC2AE8A6}"/>
    <cellStyle name="Note 2 2 2 3 2 4 2 2" xfId="2491" xr:uid="{5F76FBDB-4B6B-47AC-A303-46968C81B319}"/>
    <cellStyle name="Note 2 2 2 3 2 4 2 2 2" xfId="24891" xr:uid="{35734FB7-8C73-4A5D-96CB-87921D430166}"/>
    <cellStyle name="Note 2 2 2 3 2 4 2 3" xfId="2490" xr:uid="{343720C4-9780-4557-BB62-8C3A9D9EC940}"/>
    <cellStyle name="Note 2 2 2 3 2 4 3" xfId="23631" xr:uid="{FEC2FCB3-F071-4FC3-A156-77034498AB60}"/>
    <cellStyle name="Note 2 2 2 3 2 4 3 2" xfId="2489" xr:uid="{AF3D9CAA-FF17-490B-A358-2E348FB1C023}"/>
    <cellStyle name="Note 2 2 2 3 2 4 4" xfId="23625" xr:uid="{62D9A8B9-6000-4DB4-8C19-BCE129869B14}"/>
    <cellStyle name="Note 2 2 2 3 2 5" xfId="30643" xr:uid="{79D75A78-BA0E-45C7-A5EF-EF143B3DF7D8}"/>
    <cellStyle name="Note 2 2 2 3 2 5 2" xfId="30639" xr:uid="{5E15FA1F-9237-45C3-96FE-5F9235645357}"/>
    <cellStyle name="Note 2 2 2 3 2 5 2 2" xfId="2488" xr:uid="{6E15F51D-FFAF-4F56-8D4F-82B736AC4DC8}"/>
    <cellStyle name="Note 2 2 2 3 2 5 3" xfId="29921" xr:uid="{13C77494-6A26-4C62-B70D-D6C990B4BBF7}"/>
    <cellStyle name="Note 2 2 2 3 2 6" xfId="19636" xr:uid="{9A35EC9E-0F7C-440E-80BC-CE0CDD01B53F}"/>
    <cellStyle name="Note 2 2 2 3 2 6 2" xfId="2487" xr:uid="{4B9342D3-3175-4D03-85C2-B296E936E98C}"/>
    <cellStyle name="Note 2 2 2 3 2 7" xfId="2486" xr:uid="{4E8DD0B7-8F9C-421D-80A1-7A6A3330CE2F}"/>
    <cellStyle name="Note 2 2 2 3 3" xfId="2485" xr:uid="{8ED58630-E617-4B61-A116-A61412B22614}"/>
    <cellStyle name="Note 2 2 2 3 3 2" xfId="2484" xr:uid="{CB56E7B4-28F5-4004-92AD-36A22AA2C91B}"/>
    <cellStyle name="Note 2 2 2 3 3 2 2" xfId="8870" xr:uid="{E2E1C57E-8DEA-4647-89E2-2DF8D3C418E8}"/>
    <cellStyle name="Note 2 2 2 3 3 2 2 2" xfId="2483" xr:uid="{B09734CA-7D48-4358-85BB-87F7976C7691}"/>
    <cellStyle name="Note 2 2 2 3 3 2 2 2 2" xfId="21023" xr:uid="{201D3D2D-9D6B-408F-B944-22C275941417}"/>
    <cellStyle name="Note 2 2 2 3 3 2 2 2 2 2" xfId="33295" xr:uid="{95605D51-708D-4AA0-929E-6501A4214A75}"/>
    <cellStyle name="Note 2 2 2 3 3 2 2 2 3" xfId="2482" xr:uid="{6FB1ABE2-6C37-4194-A08E-219A6CCA61AA}"/>
    <cellStyle name="Note 2 2 2 3 3 2 2 3" xfId="2481" xr:uid="{121EFDF0-EFAF-4D97-80A8-D2A47E6C2A60}"/>
    <cellStyle name="Note 2 2 2 3 3 2 2 3 2" xfId="18885" xr:uid="{42322B1B-2CB2-4DAF-8072-1F37E29C7784}"/>
    <cellStyle name="Note 2 2 2 3 3 2 2 4" xfId="2480" xr:uid="{91A42D1B-0C7D-4D52-AB61-05767BFFB75A}"/>
    <cellStyle name="Note 2 2 2 3 3 2 3" xfId="2479" xr:uid="{7AF4C891-E62A-4D5E-A641-09DCF9FBAC44}"/>
    <cellStyle name="Note 2 2 2 3 3 2 3 2" xfId="2478" xr:uid="{3BDDDCAD-57A3-4B21-AAC3-EBE3990EFEF9}"/>
    <cellStyle name="Note 2 2 2 3 3 2 3 2 2" xfId="2477" xr:uid="{A4D5F701-F8A8-4619-918A-AD399244384C}"/>
    <cellStyle name="Note 2 2 2 3 3 2 3 3" xfId="2476" xr:uid="{52D85E4B-FC1D-4144-AB89-124133FE4208}"/>
    <cellStyle name="Note 2 2 2 3 3 2 4" xfId="2475" xr:uid="{75CEE291-3040-4FE4-8DEF-512D67AF6679}"/>
    <cellStyle name="Note 2 2 2 3 3 2 4 2" xfId="29012" xr:uid="{973A3692-94DE-4526-9DD7-A20F39E107E1}"/>
    <cellStyle name="Note 2 2 2 3 3 2 5" xfId="2474" xr:uid="{12934322-0C5A-4DCB-8D0B-6E58120E5673}"/>
    <cellStyle name="Note 2 2 2 3 3 3" xfId="2473" xr:uid="{A8B2DDCC-CF04-4010-97DD-AD1A2E70E7C8}"/>
    <cellStyle name="Note 2 2 2 3 3 3 2" xfId="2472" xr:uid="{B1606DF7-32F1-41B8-915B-E19DD53DD9A4}"/>
    <cellStyle name="Note 2 2 2 3 3 3 2 2" xfId="2471" xr:uid="{D85B5E41-3B14-42C0-A77F-FCC325DDE87A}"/>
    <cellStyle name="Note 2 2 2 3 3 3 2 2 2" xfId="2470" xr:uid="{A342F4BC-13D8-4DE7-B915-C8FA227BFA2B}"/>
    <cellStyle name="Note 2 2 2 3 3 3 2 3" xfId="2469" xr:uid="{6F84C789-2DF4-4FEC-9229-E55F4A242195}"/>
    <cellStyle name="Note 2 2 2 3 3 3 3" xfId="2468" xr:uid="{1A41F2C2-545C-44F2-9DEA-EC43A9CDB06B}"/>
    <cellStyle name="Note 2 2 2 3 3 3 3 2" xfId="2467" xr:uid="{5EFB30CB-71B5-4606-81CE-165C8941A721}"/>
    <cellStyle name="Note 2 2 2 3 3 3 4" xfId="2466" xr:uid="{79A6642C-5E97-4D77-B4E8-6319086979A3}"/>
    <cellStyle name="Note 2 2 2 3 3 4" xfId="30628" xr:uid="{4EC13BE7-680E-4F48-982B-FF98314CA1BB}"/>
    <cellStyle name="Note 2 2 2 3 3 4 2" xfId="30626" xr:uid="{31E110AA-2C17-4C53-B596-E0A96B04DCBA}"/>
    <cellStyle name="Note 2 2 2 3 3 4 2 2" xfId="2465" xr:uid="{58A2489F-3527-458B-A4E3-92BE4C5E84FC}"/>
    <cellStyle name="Note 2 2 2 3 3 4 3" xfId="32755" xr:uid="{D49FBE19-A1C2-4922-BA0B-5B6B891524DB}"/>
    <cellStyle name="Note 2 2 2 3 3 5" xfId="30623" xr:uid="{8091154C-4452-4C61-8CDA-C2149B0C3261}"/>
    <cellStyle name="Note 2 2 2 3 3 5 2" xfId="2464" xr:uid="{FC4B5C1F-5F42-49BF-8FDA-82B84CF0CDDC}"/>
    <cellStyle name="Note 2 2 2 3 3 6" xfId="2463" xr:uid="{B677DE39-D390-40D5-A9A2-D8DF05C16F6A}"/>
    <cellStyle name="Note 2 2 2 3 4" xfId="2462" xr:uid="{5418C708-E299-46D4-ABC5-B7B2BD685B93}"/>
    <cellStyle name="Note 2 2 2 3 4 2" xfId="2461" xr:uid="{48AE2192-EBED-4FF1-B31A-250DCCD003E2}"/>
    <cellStyle name="Note 2 2 2 3 4 2 2" xfId="2460" xr:uid="{3ED54D9F-2A80-41C7-AA7A-AD8F69354983}"/>
    <cellStyle name="Note 2 2 2 3 4 2 2 2" xfId="2459" xr:uid="{B4FC0381-CD40-4550-978E-686DB7A13120}"/>
    <cellStyle name="Note 2 2 2 3 4 2 2 2 2" xfId="2458" xr:uid="{1DD5C589-FE7D-40E1-81CA-04F586C0E84C}"/>
    <cellStyle name="Note 2 2 2 3 4 2 2 3" xfId="2457" xr:uid="{0B727F54-ADC4-4C84-8CAE-547A21B93BDA}"/>
    <cellStyle name="Note 2 2 2 3 4 2 3" xfId="2456" xr:uid="{A5FB8026-170D-4EF2-BF60-438DA37FC478}"/>
    <cellStyle name="Note 2 2 2 3 4 2 3 2" xfId="2455" xr:uid="{89492919-3967-4A67-BEA7-D89BD030A223}"/>
    <cellStyle name="Note 2 2 2 3 4 2 4" xfId="2454" xr:uid="{D22E8238-E18D-48AF-9169-D015719167E7}"/>
    <cellStyle name="Note 2 2 2 3 4 3" xfId="8009" xr:uid="{BED0DE13-6988-46C9-B3D3-394A2F84EF22}"/>
    <cellStyle name="Note 2 2 2 3 4 3 2" xfId="2453" xr:uid="{B74FB480-34A6-46F6-B5D1-4CCBDAA53FC7}"/>
    <cellStyle name="Note 2 2 2 3 4 3 2 2" xfId="2452" xr:uid="{6353C794-FFC9-4BB2-91DB-2212F735EDF8}"/>
    <cellStyle name="Note 2 2 2 3 4 3 3" xfId="2451" xr:uid="{D6137DEE-FEFA-43AC-8BA9-B34E41FC5C9E}"/>
    <cellStyle name="Note 2 2 2 3 4 4" xfId="24694" xr:uid="{A88FE4BB-9AD4-491E-A499-505CB762B380}"/>
    <cellStyle name="Note 2 2 2 3 4 4 2" xfId="2450" xr:uid="{D70D8036-1D43-41FA-9062-808D73F2CD35}"/>
    <cellStyle name="Note 2 2 2 3 4 5" xfId="2449" xr:uid="{8C2ED0F3-33D9-4B60-8791-FA3218DBC4DA}"/>
    <cellStyle name="Note 2 2 2 3 5" xfId="2448" xr:uid="{717C1017-3CF5-4E30-A11A-556122C706F6}"/>
    <cellStyle name="Note 2 2 2 3 5 2" xfId="2447" xr:uid="{72AC6876-E098-4673-8112-597D1BA06949}"/>
    <cellStyle name="Note 2 2 2 3 5 2 2" xfId="28872" xr:uid="{85A0D628-4EDF-419A-9F7E-3AEBB089EEA3}"/>
    <cellStyle name="Note 2 2 2 3 5 2 2 2" xfId="2446" xr:uid="{A4AC6864-2303-45BC-BCAB-990C3587AF32}"/>
    <cellStyle name="Note 2 2 2 3 5 2 3" xfId="25420" xr:uid="{74392F9D-9DF5-4B49-9E77-9AD2D60BA412}"/>
    <cellStyle name="Note 2 2 2 3 5 3" xfId="2445" xr:uid="{D33F51D8-8EC4-4C57-80D0-C8611C10C917}"/>
    <cellStyle name="Note 2 2 2 3 5 3 2" xfId="25408" xr:uid="{95CBE17D-174A-40B7-A49B-C5DA19B7FC0C}"/>
    <cellStyle name="Note 2 2 2 3 5 4" xfId="2444" xr:uid="{36D4903E-C593-48FD-82F1-864B0B8EFA8B}"/>
    <cellStyle name="Note 2 2 2 3 6" xfId="2443" xr:uid="{15B42035-6B69-42EE-9E81-14284CCC21C0}"/>
    <cellStyle name="Note 2 2 2 3 6 2" xfId="22167" xr:uid="{4B215508-EB98-4311-8455-1C9FA4FB807C}"/>
    <cellStyle name="Note 2 2 2 3 6 2 2" xfId="25388" xr:uid="{28D494BF-66E2-47A5-9B06-B9C7CAE0A8AC}"/>
    <cellStyle name="Note 2 2 2 3 6 3" xfId="24670" xr:uid="{86F2FC0D-F0A1-4B2A-9C2E-6FA40315F514}"/>
    <cellStyle name="Note 2 2 2 3 7" xfId="2442" xr:uid="{13F9DF8B-500C-4953-A707-8177496FD511}"/>
    <cellStyle name="Note 2 2 2 3 7 2" xfId="22163" xr:uid="{59B72583-9937-47DF-BCF5-AC58F04FC8B0}"/>
    <cellStyle name="Note 2 2 2 3 8" xfId="2441" xr:uid="{1F6059C7-FF1C-4FC9-A67F-B454E514A75B}"/>
    <cellStyle name="Note 2 2 2 4" xfId="2440" xr:uid="{1538C7A5-ADFC-4D8E-8B14-0377E0218B94}"/>
    <cellStyle name="Note 2 2 2 4 2" xfId="2439" xr:uid="{3CADD5DB-9E3C-454A-9971-C18C5628651B}"/>
    <cellStyle name="Note 2 2 2 4 2 2" xfId="22507" xr:uid="{D9AFDB8F-02EB-404C-AF8A-88A8B9B5AFB7}"/>
    <cellStyle name="Note 2 2 2 4 2 2 2" xfId="22312" xr:uid="{8E004D43-1F7C-4D15-990A-A4D2CB51C00B}"/>
    <cellStyle name="Note 2 2 2 4 2 2 2 2" xfId="28534" xr:uid="{E1B0243C-6CDF-40FC-81F5-93C311FB7082}"/>
    <cellStyle name="Note 2 2 2 4 2 2 2 2 2" xfId="2438" xr:uid="{116DDE40-D566-4A0A-A0EE-BD4554FA3D6E}"/>
    <cellStyle name="Note 2 2 2 4 2 2 2 2 2 2" xfId="14541" xr:uid="{11D92932-32BF-47C5-BEA1-4858F9D00F8F}"/>
    <cellStyle name="Note 2 2 2 4 2 2 2 2 3" xfId="29792" xr:uid="{EFF49F37-CE89-40B9-BE61-88F8E12E4D61}"/>
    <cellStyle name="Note 2 2 2 4 2 2 2 3" xfId="2437" xr:uid="{47CC5B93-F0A9-446D-B525-3F99859BFF38}"/>
    <cellStyle name="Note 2 2 2 4 2 2 2 3 2" xfId="18801" xr:uid="{D2987C06-9012-4ED3-AD74-A656EDDAE3A0}"/>
    <cellStyle name="Note 2 2 2 4 2 2 2 4" xfId="2436" xr:uid="{1511DDB4-38D1-4DCB-A999-40666D7F60B5}"/>
    <cellStyle name="Note 2 2 2 4 2 2 3" xfId="2435" xr:uid="{DF1EF62A-E90E-44E3-BDDB-EF157FE37882}"/>
    <cellStyle name="Note 2 2 2 4 2 2 3 2" xfId="2434" xr:uid="{378AF19E-BC20-46B6-91B9-2A0CE02AAF1E}"/>
    <cellStyle name="Note 2 2 2 4 2 2 3 2 2" xfId="2433" xr:uid="{83D99DAE-24A4-4934-B852-3C72DC4C007B}"/>
    <cellStyle name="Note 2 2 2 4 2 2 3 3" xfId="2432" xr:uid="{ED40E2C6-C1E0-4188-8225-1F69F407ADC2}"/>
    <cellStyle name="Note 2 2 2 4 2 2 4" xfId="2431" xr:uid="{2D0F436B-A3DA-4B08-8037-3390613F99FD}"/>
    <cellStyle name="Note 2 2 2 4 2 2 4 2" xfId="6286" xr:uid="{9653ED65-2E92-4C03-9D97-05304AF14F70}"/>
    <cellStyle name="Note 2 2 2 4 2 2 5" xfId="2430" xr:uid="{318CC58B-BF0E-46E6-B016-E3B2FD4F10C3}"/>
    <cellStyle name="Note 2 2 2 4 2 3" xfId="2429" xr:uid="{9E6AA179-185A-4C56-933D-EF64F4E2D266}"/>
    <cellStyle name="Note 2 2 2 4 2 3 2" xfId="2428" xr:uid="{74CBC397-C293-4142-BDFC-E7027D07D573}"/>
    <cellStyle name="Note 2 2 2 4 2 3 2 2" xfId="2427" xr:uid="{9E3B5DCB-E165-4B85-927C-0ACF6202F75D}"/>
    <cellStyle name="Note 2 2 2 4 2 3 2 2 2" xfId="2426" xr:uid="{590DB58F-6201-4D2C-9513-E89D39362860}"/>
    <cellStyle name="Note 2 2 2 4 2 3 2 3" xfId="2425" xr:uid="{83D5D3CC-E416-49ED-8B5C-7B33C40314D6}"/>
    <cellStyle name="Note 2 2 2 4 2 3 3" xfId="2424" xr:uid="{52FB65B5-F9EE-4645-973C-C5C2E3FDB2F2}"/>
    <cellStyle name="Note 2 2 2 4 2 3 3 2" xfId="2423" xr:uid="{364B9EBD-F541-4B7E-95B7-863B0BD3D81F}"/>
    <cellStyle name="Note 2 2 2 4 2 3 4" xfId="2422" xr:uid="{224F6A01-6EDF-453F-8075-9BD162A6D4FB}"/>
    <cellStyle name="Note 2 2 2 4 2 4" xfId="30509" xr:uid="{934C2E26-3E65-40C7-817B-904022A7384F}"/>
    <cellStyle name="Note 2 2 2 4 2 4 2" xfId="24591" xr:uid="{FD30E5A3-29AA-491D-9457-BADAFA726415}"/>
    <cellStyle name="Note 2 2 2 4 2 4 2 2" xfId="2421" xr:uid="{458F4F58-505A-476C-8B32-59568EC24624}"/>
    <cellStyle name="Note 2 2 2 4 2 4 3" xfId="23547" xr:uid="{6DB3D277-7582-4CF5-A081-1C335B6F1500}"/>
    <cellStyle name="Note 2 2 2 4 2 5" xfId="30505" xr:uid="{18626EE0-4406-4BBF-8F73-415FC503E763}"/>
    <cellStyle name="Note 2 2 2 4 2 5 2" xfId="21967" xr:uid="{64288D56-47DE-498B-9DB1-52A91B3EDC3D}"/>
    <cellStyle name="Note 2 2 2 4 2 6" xfId="2420" xr:uid="{04EC227F-4B20-4DCE-AB55-1B6F901316A7}"/>
    <cellStyle name="Note 2 2 2 4 3" xfId="2419" xr:uid="{5BFD2F15-5BAE-4386-8B7E-04EF2CE6694B}"/>
    <cellStyle name="Note 2 2 2 4 3 2" xfId="28770" xr:uid="{55D385B2-F62A-41FA-983A-F67F2D4CDEE6}"/>
    <cellStyle name="Note 2 2 2 4 3 2 2" xfId="20183" xr:uid="{A5A2B13A-612E-4687-B453-33820DC74395}"/>
    <cellStyle name="Note 2 2 2 4 3 2 2 2" xfId="32722" xr:uid="{997D5C05-04FF-4BD4-9C45-112956909B0A}"/>
    <cellStyle name="Note 2 2 2 4 3 2 2 2 2" xfId="31139" xr:uid="{02CA5843-8061-48CE-B0C1-69571612C9D6}"/>
    <cellStyle name="Note 2 2 2 4 3 2 2 3" xfId="28122" xr:uid="{64F6AA3D-164D-479F-8A95-A9F45FD6B753}"/>
    <cellStyle name="Note 2 2 2 4 3 2 3" xfId="2418" xr:uid="{2FDBCC07-3E07-4C89-AFE5-33DBD9016E88}"/>
    <cellStyle name="Note 2 2 2 4 3 2 3 2" xfId="29914" xr:uid="{CD467404-5C03-481A-A9DA-8FD06886C4F8}"/>
    <cellStyle name="Note 2 2 2 4 3 2 4" xfId="2417" xr:uid="{A3DF72E6-6315-4300-A1E2-673D868C8BF6}"/>
    <cellStyle name="Note 2 2 2 4 3 3" xfId="33954" xr:uid="{BC32E854-9357-4202-BA3B-138422DF9F5F}"/>
    <cellStyle name="Note 2 2 2 4 3 3 2" xfId="2416" xr:uid="{82281D52-3CB1-4317-B062-3CC6ECB35E95}"/>
    <cellStyle name="Note 2 2 2 4 3 3 2 2" xfId="24638" xr:uid="{66D08D8F-5D00-4BC9-B022-8951709A0021}"/>
    <cellStyle name="Note 2 2 2 4 3 3 3" xfId="16798" xr:uid="{EC6DD1D6-3318-400E-81B2-0DA6F9770420}"/>
    <cellStyle name="Note 2 2 2 4 3 4" xfId="30493" xr:uid="{7B7CA656-8777-40C5-AC8C-C7A4CE0D3DB6}"/>
    <cellStyle name="Note 2 2 2 4 3 4 2" xfId="30159" xr:uid="{1899274D-806A-4ACF-8825-94B34B4084E6}"/>
    <cellStyle name="Note 2 2 2 4 3 5" xfId="2415" xr:uid="{758212DA-E828-4E11-8950-E84A43242B76}"/>
    <cellStyle name="Note 2 2 2 4 4" xfId="2414" xr:uid="{944953B5-7352-46FA-841A-BE0B49E7EF12}"/>
    <cellStyle name="Note 2 2 2 4 4 2" xfId="32091" xr:uid="{1896EBFF-F3C6-4A23-9790-F69F715C08F0}"/>
    <cellStyle name="Note 2 2 2 4 4 2 2" xfId="2413" xr:uid="{D7F9A415-FF20-47E1-B338-1F0011FDE0B7}"/>
    <cellStyle name="Note 2 2 2 4 4 2 2 2" xfId="24279" xr:uid="{DEA077A3-CDF1-465A-B3A0-FC1BAA4C0295}"/>
    <cellStyle name="Note 2 2 2 4 4 2 3" xfId="2412" xr:uid="{692554B7-0122-4337-98E1-BAB513B8B980}"/>
    <cellStyle name="Note 2 2 2 4 4 3" xfId="2411" xr:uid="{56EBA7EA-2524-42C6-ABA8-FEBC8E045498}"/>
    <cellStyle name="Note 2 2 2 4 4 3 2" xfId="2410" xr:uid="{65B545B9-826B-4DC5-A6EA-FE2F1E561DE2}"/>
    <cellStyle name="Note 2 2 2 4 4 4" xfId="2409" xr:uid="{B444FEEF-1268-478A-B40F-4C81C0C2BF0C}"/>
    <cellStyle name="Note 2 2 2 4 5" xfId="34364" xr:uid="{2DAFDE01-3999-4875-A963-CBC3DC1B592E}"/>
    <cellStyle name="Note 2 2 2 4 5 2" xfId="2408" xr:uid="{8FD42322-A71C-4319-98AD-C526121C88D9}"/>
    <cellStyle name="Note 2 2 2 4 5 2 2" xfId="25351" xr:uid="{3235C7BD-EDAD-49D1-A69C-717956C07380}"/>
    <cellStyle name="Note 2 2 2 4 5 3" xfId="2407" xr:uid="{2CA01018-9FD5-4A91-B3DC-20FB686E7E54}"/>
    <cellStyle name="Note 2 2 2 4 6" xfId="30569" xr:uid="{4F4512F3-2CA8-4518-B764-9EAD458BDE22}"/>
    <cellStyle name="Note 2 2 2 4 6 2" xfId="22153" xr:uid="{DC3E7352-F9EB-4B04-8B3C-445DA4F1AEDC}"/>
    <cellStyle name="Note 2 2 2 4 7" xfId="14976" xr:uid="{C7D63B04-BB0A-4910-AF61-2EAE0B037BE9}"/>
    <cellStyle name="Note 2 2 2 5" xfId="2406" xr:uid="{0174006F-B099-4337-96BA-D40C7526615A}"/>
    <cellStyle name="Note 2 2 2 5 2" xfId="2405" xr:uid="{A9784B13-76F2-4276-91C7-A509480FA0A7}"/>
    <cellStyle name="Note 2 2 2 5 2 2" xfId="2404" xr:uid="{1E6720D0-630C-47B0-8D36-9AAB96CF5018}"/>
    <cellStyle name="Note 2 2 2 5 2 2 2" xfId="2403" xr:uid="{713960C7-8782-42B7-90E7-7A893C1FA8DF}"/>
    <cellStyle name="Note 2 2 2 5 2 2 2 2" xfId="17723" xr:uid="{64316EE7-2E1F-4DAD-AF1D-16AA051D401D}"/>
    <cellStyle name="Note 2 2 2 5 2 2 2 2 2" xfId="32670" xr:uid="{8A16DDBC-D0BC-4D4A-B49E-3A0AEA5CAC21}"/>
    <cellStyle name="Note 2 2 2 5 2 2 2 3" xfId="26354" xr:uid="{A1D0DA7C-3723-451E-A3E2-74E9B9A83956}"/>
    <cellStyle name="Note 2 2 2 5 2 2 3" xfId="2402" xr:uid="{07E43114-17B5-4B5D-8414-C8162B833602}"/>
    <cellStyle name="Note 2 2 2 5 2 2 3 2" xfId="2401" xr:uid="{84A0218D-8F34-42C2-BB4D-2EED74D07F88}"/>
    <cellStyle name="Note 2 2 2 5 2 2 4" xfId="2400" xr:uid="{F60C67A3-47D1-4C63-BAA6-3DDE69982F74}"/>
    <cellStyle name="Note 2 2 2 5 2 3" xfId="2399" xr:uid="{4FED103B-77A7-4D3B-A6C8-D875466B8A3E}"/>
    <cellStyle name="Note 2 2 2 5 2 3 2" xfId="2398" xr:uid="{6A26BC6B-D40A-45D2-814B-FE6D46492355}"/>
    <cellStyle name="Note 2 2 2 5 2 3 2 2" xfId="2396" xr:uid="{AA9E18BA-E5FA-4FAE-9178-BBEB9ADD4493}"/>
    <cellStyle name="Note 2 2 2 5 2 3 3" xfId="2395" xr:uid="{ECAEDBEA-BA63-4CC8-9948-56F36772B38B}"/>
    <cellStyle name="Note 2 2 2 5 2 4" xfId="30457" xr:uid="{FCCC6C73-C526-47B4-AF12-07CC1DCBDE38}"/>
    <cellStyle name="Note 2 2 2 5 2 4 2" xfId="21765" xr:uid="{7B892662-B8E2-453A-A528-B2AE7A1F339F}"/>
    <cellStyle name="Note 2 2 2 5 2 5" xfId="2394" xr:uid="{94AC3E36-FC20-4DAD-8504-534BF592653E}"/>
    <cellStyle name="Note 2 2 2 5 3" xfId="2393" xr:uid="{68D851ED-66C9-4AD1-9014-F882F97ED2E5}"/>
    <cellStyle name="Note 2 2 2 5 3 2" xfId="28312" xr:uid="{3F35ADDE-181F-49A6-BA91-C10F9439ADA3}"/>
    <cellStyle name="Note 2 2 2 5 3 2 2" xfId="2392" xr:uid="{3D8634F8-06F4-4E26-B20F-458AE73995EC}"/>
    <cellStyle name="Note 2 2 2 5 3 2 2 2" xfId="23572" xr:uid="{95A7E541-E640-4C2E-ACF2-AFD63F667CBE}"/>
    <cellStyle name="Note 2 2 2 5 3 2 3" xfId="2391" xr:uid="{7EF0A248-A987-4DFD-98E6-A71FE0B83F6C}"/>
    <cellStyle name="Note 2 2 2 5 3 3" xfId="2390" xr:uid="{5DE5696C-5B30-44C6-AB3A-1C2514152152}"/>
    <cellStyle name="Note 2 2 2 5 3 3 2" xfId="2389" xr:uid="{46DAF619-02CB-4E26-A0AF-17B2C766DF2B}"/>
    <cellStyle name="Note 2 2 2 5 3 4" xfId="2388" xr:uid="{ABEF077F-B472-4A49-958C-57DAED203EF8}"/>
    <cellStyle name="Note 2 2 2 5 4" xfId="21030" xr:uid="{E4591439-76F0-4436-B484-AF24CC3E95EA}"/>
    <cellStyle name="Note 2 2 2 5 4 2" xfId="2387" xr:uid="{F090BAE4-E390-43C7-8549-8B4224EE7FDD}"/>
    <cellStyle name="Note 2 2 2 5 4 2 2" xfId="2386" xr:uid="{8E5B7539-5316-405B-B606-96150AE88DFF}"/>
    <cellStyle name="Note 2 2 2 5 4 3" xfId="2385" xr:uid="{E3128AFC-8D53-41FC-9F80-B3B1E0641BA9}"/>
    <cellStyle name="Note 2 2 2 5 5" xfId="33974" xr:uid="{FBCA7866-5AF6-4F91-8826-6E6A5EEDC3A2}"/>
    <cellStyle name="Note 2 2 2 5 5 2" xfId="32389" xr:uid="{AAA983B8-44F7-4253-8D05-BE0E4716365A}"/>
    <cellStyle name="Note 2 2 2 5 6" xfId="2384" xr:uid="{D5EB0EB0-951C-481C-841D-7EF706D335EF}"/>
    <cellStyle name="Note 2 2 2 6" xfId="28797" xr:uid="{C9610BF2-9F3F-4CC3-B28E-C80A172F6521}"/>
    <cellStyle name="Note 2 2 2 6 2" xfId="2383" xr:uid="{40E8A73B-BFE8-4A20-8113-D25DFD95A6F3}"/>
    <cellStyle name="Note 2 2 2 6 2 2" xfId="2382" xr:uid="{AE0F3A80-6F4A-4140-BC2D-98A7FF9A5FD1}"/>
    <cellStyle name="Note 2 2 2 6 2 2 2" xfId="2381" xr:uid="{D3CFCE22-F9DC-4137-9980-963599493EA8}"/>
    <cellStyle name="Note 2 2 2 6 2 2 2 2" xfId="4773" xr:uid="{C9899025-A961-41E3-9307-E25DC6EAA255}"/>
    <cellStyle name="Note 2 2 2 6 2 2 3" xfId="2380" xr:uid="{38FD8F21-7757-4D0D-AA96-521100149D86}"/>
    <cellStyle name="Note 2 2 2 6 2 3" xfId="2379" xr:uid="{E1601DD5-F3F1-4B58-9B88-3401E9F0774B}"/>
    <cellStyle name="Note 2 2 2 6 2 3 2" xfId="34147" xr:uid="{F5591BCA-091E-4DE8-A6C7-8568B369D3BC}"/>
    <cellStyle name="Note 2 2 2 6 2 4" xfId="2378" xr:uid="{F0AB153F-57CC-4FBD-B11D-6B21FFF78CA7}"/>
    <cellStyle name="Note 2 2 2 6 3" xfId="2377" xr:uid="{6CB1125A-449D-43BB-A6FD-97BB107A2FC7}"/>
    <cellStyle name="Note 2 2 2 6 3 2" xfId="2376" xr:uid="{197189B7-1597-4F65-A3D4-13E5BB1F65C5}"/>
    <cellStyle name="Note 2 2 2 6 3 2 2" xfId="2375" xr:uid="{D24FEA85-3F00-4219-8CFF-10C4D7F0621D}"/>
    <cellStyle name="Note 2 2 2 6 3 3" xfId="2374" xr:uid="{02A37A8B-B9CA-4B7E-B706-174CDA9787B0}"/>
    <cellStyle name="Note 2 2 2 6 4" xfId="2373" xr:uid="{DC72DF3C-C377-45D6-8731-01BFBF0ACBCF}"/>
    <cellStyle name="Note 2 2 2 6 4 2" xfId="22195" xr:uid="{27EE3D47-9ED1-4033-87AF-F0F7ECD28A09}"/>
    <cellStyle name="Note 2 2 2 6 5" xfId="4947" xr:uid="{C9939A78-BA61-47F4-B053-8CE69A883F6D}"/>
    <cellStyle name="Note 2 2 2 7" xfId="9901" xr:uid="{496AAB2A-1CF5-4B73-BD84-AF454A61D755}"/>
    <cellStyle name="Note 2 2 2 7 2" xfId="2372" xr:uid="{C5E4A1BC-C33F-4AB2-B298-8AA51756BACE}"/>
    <cellStyle name="Note 2 2 2 7 2 2" xfId="2371" xr:uid="{B85C989A-FBA5-4F0B-8BE6-4C123FFC0C11}"/>
    <cellStyle name="Note 2 2 2 7 2 2 2" xfId="22423" xr:uid="{FCA3E391-0931-49C3-A81A-473F6CBA5714}"/>
    <cellStyle name="Note 2 2 2 7 2 3" xfId="2370" xr:uid="{92BCB1A0-F9AD-4F3A-B8BC-12E56AB724B9}"/>
    <cellStyle name="Note 2 2 2 7 3" xfId="2369" xr:uid="{A7C02EC2-7C67-4661-8D7F-8F71541835E5}"/>
    <cellStyle name="Note 2 2 2 7 3 2" xfId="2368" xr:uid="{A681DF2F-31B1-433B-9C68-276F4255EF31}"/>
    <cellStyle name="Note 2 2 2 7 4" xfId="2367" xr:uid="{6F3AB6EB-C49B-4C5A-A0ED-C0FDCB291BC4}"/>
    <cellStyle name="Note 2 2 2 8" xfId="24495" xr:uid="{4DDD8414-E716-493B-90F8-5BE2A59C40F8}"/>
    <cellStyle name="Note 2 2 2 8 2" xfId="2366" xr:uid="{C9246722-F9EC-4B5B-8BE2-FFABDE17A3A6}"/>
    <cellStyle name="Note 2 2 2 8 2 2" xfId="2365" xr:uid="{8588D7DE-534A-460F-9AF2-16BBEBEEE4C5}"/>
    <cellStyle name="Note 2 2 2 8 3" xfId="2364" xr:uid="{EE43866D-C017-4E01-A3A7-2BADE28AC815}"/>
    <cellStyle name="Note 2 2 2 9" xfId="17987" xr:uid="{13CF2725-5FE5-4BB1-9E65-F726DD8E5111}"/>
    <cellStyle name="Note 2 2 2 9 2" xfId="2363" xr:uid="{9ABC8350-29C0-4E60-953F-C5D7210B0677}"/>
    <cellStyle name="Note 2 2 3" xfId="2362" xr:uid="{DE25F823-521C-4834-841A-31076D800FDF}"/>
    <cellStyle name="Note 2 2 3 2" xfId="2361" xr:uid="{F9D997BF-C452-4A0B-B867-235AB499E09C}"/>
    <cellStyle name="Note 2 2 3 2 2" xfId="19197" xr:uid="{E4D2FDB3-74B6-41B1-AF6F-C8C1E002A80D}"/>
    <cellStyle name="Note 2 2 3 2 2 2" xfId="14587" xr:uid="{2CA9ED14-FDF3-4AEC-8D0B-84C4DA478E84}"/>
    <cellStyle name="Note 2 2 3 2 2 2 2" xfId="2360" xr:uid="{C4873069-1238-435C-AB86-D5B5050A486A}"/>
    <cellStyle name="Note 2 2 3 2 2 2 2 2" xfId="2359" xr:uid="{82F20EA7-0357-40D0-A02D-1D22BC927DFF}"/>
    <cellStyle name="Note 2 2 3 2 2 2 2 2 2" xfId="2358" xr:uid="{887E4723-86EC-4989-99F8-FA2D0DB8D29F}"/>
    <cellStyle name="Note 2 2 3 2 2 2 2 2 2 2" xfId="2357" xr:uid="{E5369898-737D-4272-A960-6E4711F17E80}"/>
    <cellStyle name="Note 2 2 3 2 2 2 2 2 2 2 2" xfId="2356" xr:uid="{3E856AB3-8A20-40ED-997F-77C4397A8EE8}"/>
    <cellStyle name="Note 2 2 3 2 2 2 2 2 2 3" xfId="33323" xr:uid="{FD707DA1-267B-4641-8E36-548D41ABED13}"/>
    <cellStyle name="Note 2 2 3 2 2 2 2 2 3" xfId="2355" xr:uid="{BF63FACC-767D-40B3-A965-0122F661634A}"/>
    <cellStyle name="Note 2 2 3 2 2 2 2 2 3 2" xfId="2354" xr:uid="{23B52230-7171-4A4C-BDA9-BCB1FEBA1E23}"/>
    <cellStyle name="Note 2 2 3 2 2 2 2 2 4" xfId="28015" xr:uid="{A0C9FC00-1690-42BD-9138-5F1B0EE240A4}"/>
    <cellStyle name="Note 2 2 3 2 2 2 2 3" xfId="2353" xr:uid="{74280DE3-9CF1-4752-9C11-AB00DD974D91}"/>
    <cellStyle name="Note 2 2 3 2 2 2 2 3 2" xfId="2352" xr:uid="{BDFDFCAE-44C4-4D58-BF0A-6CF65886669C}"/>
    <cellStyle name="Note 2 2 3 2 2 2 2 3 2 2" xfId="2351" xr:uid="{54F7293E-2B34-4C76-97E8-A327C148E3B1}"/>
    <cellStyle name="Note 2 2 3 2 2 2 2 3 3" xfId="2350" xr:uid="{16321CF9-DF51-4A88-9FCC-6E86C538DE6A}"/>
    <cellStyle name="Note 2 2 3 2 2 2 2 4" xfId="3402" xr:uid="{D3795D1E-9B9E-413F-B794-15F6D7910A16}"/>
    <cellStyle name="Note 2 2 3 2 2 2 2 4 2" xfId="27625" xr:uid="{AEEFCEC1-4865-46E8-8575-7D78ED08D309}"/>
    <cellStyle name="Note 2 2 3 2 2 2 2 5" xfId="3397" xr:uid="{7C3CE99E-232C-4AFF-A884-C106159434C3}"/>
    <cellStyle name="Note 2 2 3 2 2 2 3" xfId="2349" xr:uid="{9F7E7160-D667-4714-8F40-549B2AB306E1}"/>
    <cellStyle name="Note 2 2 3 2 2 2 3 2" xfId="2348" xr:uid="{4D5C3F1D-E541-40E5-B2E1-6B974622D0A0}"/>
    <cellStyle name="Note 2 2 3 2 2 2 3 2 2" xfId="2347" xr:uid="{DB02E049-3936-4116-9D32-79117B1B6250}"/>
    <cellStyle name="Note 2 2 3 2 2 2 3 2 2 2" xfId="32771" xr:uid="{4806171A-3BA1-4193-8169-C7450FC0CA7A}"/>
    <cellStyle name="Note 2 2 3 2 2 2 3 2 3" xfId="2346" xr:uid="{0B5462C4-BF6A-4D62-821A-026D60D94C70}"/>
    <cellStyle name="Note 2 2 3 2 2 2 3 3" xfId="2345" xr:uid="{F999F10A-7D4D-4869-A4C6-84543821127D}"/>
    <cellStyle name="Note 2 2 3 2 2 2 3 3 2" xfId="2344" xr:uid="{B01B5933-0D0C-4221-A524-A7FB380FE455}"/>
    <cellStyle name="Note 2 2 3 2 2 2 3 4" xfId="3385" xr:uid="{3C7A88C6-3DC5-49A8-8A3F-6B6A98B38269}"/>
    <cellStyle name="Note 2 2 3 2 2 2 4" xfId="13177" xr:uid="{BCA347A2-C7D7-4BFD-8888-FC6A83F0EC02}"/>
    <cellStyle name="Note 2 2 3 2 2 2 4 2" xfId="2343" xr:uid="{0F1297E0-0354-4552-B633-869C0FE00F21}"/>
    <cellStyle name="Note 2 2 3 2 2 2 4 2 2" xfId="2342" xr:uid="{09C3EE35-48B7-4EA7-A0B5-FDA3965E025B}"/>
    <cellStyle name="Note 2 2 3 2 2 2 4 3" xfId="2341" xr:uid="{766FADE2-831E-4788-AA89-0F155A98756B}"/>
    <cellStyle name="Note 2 2 3 2 2 2 5" xfId="2340" xr:uid="{4F7C1D80-5BC0-4445-9DED-415E6C951FC7}"/>
    <cellStyle name="Note 2 2 3 2 2 2 5 2" xfId="2339" xr:uid="{3B6A1B5D-A3D2-4A86-8F7F-C4019244468E}"/>
    <cellStyle name="Note 2 2 3 2 2 2 6" xfId="2338" xr:uid="{7BB68166-EAD7-4273-80D1-98245DC306FB}"/>
    <cellStyle name="Note 2 2 3 2 2 3" xfId="25366" xr:uid="{CC377E06-F9B5-4CEE-BB86-65B063F4FFDB}"/>
    <cellStyle name="Note 2 2 3 2 2 3 2" xfId="2337" xr:uid="{049A9A10-4BEA-4AB5-811C-BDA0C07B04B4}"/>
    <cellStyle name="Note 2 2 3 2 2 3 2 2" xfId="2336" xr:uid="{E98203FF-64B2-4C16-AC05-EB0E7749622B}"/>
    <cellStyle name="Note 2 2 3 2 2 3 2 2 2" xfId="2335" xr:uid="{BEA323CA-9AAB-427D-B906-BE976CF7E877}"/>
    <cellStyle name="Note 2 2 3 2 2 3 2 2 2 2" xfId="2334" xr:uid="{01C65586-F78D-44B1-9D27-FDF8A5335A3E}"/>
    <cellStyle name="Note 2 2 3 2 2 3 2 2 3" xfId="2333" xr:uid="{E345B15F-2C35-48F6-A627-5ACF9B2E94B8}"/>
    <cellStyle name="Note 2 2 3 2 2 3 2 3" xfId="2332" xr:uid="{B8CAF32C-B09A-457F-9919-FEBB4482FA20}"/>
    <cellStyle name="Note 2 2 3 2 2 3 2 3 2" xfId="2331" xr:uid="{0B60A056-39A5-4F66-8871-2B7AFDDE500F}"/>
    <cellStyle name="Note 2 2 3 2 2 3 2 4" xfId="3346" xr:uid="{3F7C6197-AC9A-44C9-A8A4-A3FE3961E94B}"/>
    <cellStyle name="Note 2 2 3 2 2 3 3" xfId="2330" xr:uid="{C09BD318-3702-48EB-B0DD-D01B0E2737F1}"/>
    <cellStyle name="Note 2 2 3 2 2 3 3 2" xfId="2329" xr:uid="{2F69BE73-6E75-44C3-BAE2-C93F2BABBEF9}"/>
    <cellStyle name="Note 2 2 3 2 2 3 3 2 2" xfId="2328" xr:uid="{3ED3E7DD-DEF8-428E-AD1B-6C836104060C}"/>
    <cellStyle name="Note 2 2 3 2 2 3 3 3" xfId="6045" xr:uid="{0734D435-6D71-411A-A83D-9F7F160E6B9F}"/>
    <cellStyle name="Note 2 2 3 2 2 3 4" xfId="2327" xr:uid="{FFC9BC7C-8D45-4FE2-AE66-2D1A451041ED}"/>
    <cellStyle name="Note 2 2 3 2 2 3 4 2" xfId="26030" xr:uid="{DAB4D890-E746-41FE-8363-11300DC984F7}"/>
    <cellStyle name="Note 2 2 3 2 2 3 5" xfId="2326" xr:uid="{B09B8D94-7790-4A85-BBED-F3CAE3DD1AF8}"/>
    <cellStyle name="Note 2 2 3 2 2 4" xfId="26134" xr:uid="{C9A580DD-ADBE-4073-B98A-66C3298F0803}"/>
    <cellStyle name="Note 2 2 3 2 2 4 2" xfId="30258" xr:uid="{3503B5B7-7A3B-4609-84F1-23F23B73B620}"/>
    <cellStyle name="Note 2 2 3 2 2 4 2 2" xfId="2325" xr:uid="{FA45096D-01B3-4282-9079-81AA8F107324}"/>
    <cellStyle name="Note 2 2 3 2 2 4 2 2 2" xfId="18078" xr:uid="{FA907687-3789-4D7B-ACCA-273E6B2D2B7C}"/>
    <cellStyle name="Note 2 2 3 2 2 4 2 3" xfId="2324" xr:uid="{65B3217A-92BA-4203-B9FD-B2B8CA301634}"/>
    <cellStyle name="Note 2 2 3 2 2 4 3" xfId="30254" xr:uid="{84E7B4C7-4DDF-44B2-98A8-6CE23DFD19C3}"/>
    <cellStyle name="Note 2 2 3 2 2 4 3 2" xfId="2323" xr:uid="{7362659A-3FFF-4316-8CAF-F00C8AB0491A}"/>
    <cellStyle name="Note 2 2 3 2 2 4 4" xfId="2322" xr:uid="{16F4F905-D267-4B78-84C3-88A30BD22FF3}"/>
    <cellStyle name="Note 2 2 3 2 2 5" xfId="30247" xr:uid="{DA7F40F1-4E3C-4132-8578-F33BB0D2B7DE}"/>
    <cellStyle name="Note 2 2 3 2 2 5 2" xfId="17572" xr:uid="{F3671AC1-C1F5-4F11-AADF-B4C4C8C4AA0E}"/>
    <cellStyle name="Note 2 2 3 2 2 5 2 2" xfId="2321" xr:uid="{A6A92285-4D85-4BF6-9179-578D8B03CB43}"/>
    <cellStyle name="Note 2 2 3 2 2 5 3" xfId="2320" xr:uid="{96668797-9A34-4AB2-858C-546A1C5F3193}"/>
    <cellStyle name="Note 2 2 3 2 2 6" xfId="33150" xr:uid="{3530DBEA-1FE5-4883-AE95-4E4D34074668}"/>
    <cellStyle name="Note 2 2 3 2 2 6 2" xfId="2319" xr:uid="{EE90CE92-2908-462E-8621-3C9B6D636D7B}"/>
    <cellStyle name="Note 2 2 3 2 2 7" xfId="2318" xr:uid="{22CF29E4-4442-4C6C-921E-414A187D7F2F}"/>
    <cellStyle name="Note 2 2 3 2 3" xfId="2317" xr:uid="{CAEECEB7-2F31-455F-ADD8-EA60ED71563E}"/>
    <cellStyle name="Note 2 2 3 2 3 2" xfId="12842" xr:uid="{5C7D4FFD-AB93-4B30-8EBC-B98310FA0B8E}"/>
    <cellStyle name="Note 2 2 3 2 3 2 2" xfId="2316" xr:uid="{632D736C-E34D-4FC9-8892-D90485A975D8}"/>
    <cellStyle name="Note 2 2 3 2 3 2 2 2" xfId="2315" xr:uid="{8E499686-8B69-41CA-A1E2-395875EF99D4}"/>
    <cellStyle name="Note 2 2 3 2 3 2 2 2 2" xfId="2314" xr:uid="{3EF206A9-5BC1-449B-95AE-2F2A73F33D34}"/>
    <cellStyle name="Note 2 2 3 2 3 2 2 2 2 2" xfId="33818" xr:uid="{F82DCA5F-447D-4AE6-BA64-57C793185C74}"/>
    <cellStyle name="Note 2 2 3 2 3 2 2 2 3" xfId="2313" xr:uid="{AB3BAAA0-147D-4C1F-9DEC-C8D859FE9243}"/>
    <cellStyle name="Note 2 2 3 2 3 2 2 3" xfId="23833" xr:uid="{1C71B681-216E-496D-8F4E-FAFE1EB52FE3}"/>
    <cellStyle name="Note 2 2 3 2 3 2 2 3 2" xfId="2312" xr:uid="{6E39224A-ABC8-4053-9815-AF931C1AFAC6}"/>
    <cellStyle name="Note 2 2 3 2 3 2 2 4" xfId="3301" xr:uid="{F9D8212B-098D-4F2B-AFF9-21EB4EF56F57}"/>
    <cellStyle name="Note 2 2 3 2 3 2 3" xfId="2311" xr:uid="{FF5F0AD7-12A6-48FC-A221-57AB2926613B}"/>
    <cellStyle name="Note 2 2 3 2 3 2 3 2" xfId="2310" xr:uid="{FAEE05E1-F80C-4F35-99E2-E9BC4EFB8F9D}"/>
    <cellStyle name="Note 2 2 3 2 3 2 3 2 2" xfId="2309" xr:uid="{0B12632A-B66A-4127-87AE-89720D41F98E}"/>
    <cellStyle name="Note 2 2 3 2 3 2 3 3" xfId="2308" xr:uid="{AFAEA247-3D46-4CF2-ADE0-0B0068E3A8A7}"/>
    <cellStyle name="Note 2 2 3 2 3 2 4" xfId="2307" xr:uid="{9FCD3BBD-6773-49A9-8813-5584807816A1}"/>
    <cellStyle name="Note 2 2 3 2 3 2 4 2" xfId="2306" xr:uid="{CEE0D85F-71B8-4B78-8174-AA55BA88966D}"/>
    <cellStyle name="Note 2 2 3 2 3 2 5" xfId="2305" xr:uid="{5B4B5A88-30BB-4B22-988F-958087485EFF}"/>
    <cellStyle name="Note 2 2 3 2 3 3" xfId="2304" xr:uid="{7D5EA0E2-862B-47E8-BA7F-15036992F69A}"/>
    <cellStyle name="Note 2 2 3 2 3 3 2" xfId="2303" xr:uid="{000100B1-5C95-4B1A-BD40-BC38A234222F}"/>
    <cellStyle name="Note 2 2 3 2 3 3 2 2" xfId="2302" xr:uid="{1E34393E-3F21-4FC2-80F3-B7AB10666E8C}"/>
    <cellStyle name="Note 2 2 3 2 3 3 2 2 2" xfId="2301" xr:uid="{C5E9928B-6ADF-49AB-A363-E69192B07640}"/>
    <cellStyle name="Note 2 2 3 2 3 3 2 3" xfId="2300" xr:uid="{A462CCDA-E0C4-4A8D-B1B1-9E606D31617E}"/>
    <cellStyle name="Note 2 2 3 2 3 3 3" xfId="2299" xr:uid="{199C131C-BB03-4D92-AD89-B5E97D4AC640}"/>
    <cellStyle name="Note 2 2 3 2 3 3 3 2" xfId="2298" xr:uid="{B6531390-5532-44B9-9B43-6E711CC45F20}"/>
    <cellStyle name="Note 2 2 3 2 3 3 4" xfId="2297" xr:uid="{1E793927-BA3D-4413-B7BC-33104E33F867}"/>
    <cellStyle name="Note 2 2 3 2 3 4" xfId="13848" xr:uid="{ACAA0E49-5002-4B81-B35B-93A060EC7BC7}"/>
    <cellStyle name="Note 2 2 3 2 3 4 2" xfId="30237" xr:uid="{79133ED0-E414-4ACA-8A38-D43D884DF85F}"/>
    <cellStyle name="Note 2 2 3 2 3 4 2 2" xfId="2296" xr:uid="{1AF8594F-59F9-4F20-AA0B-18A68252FBF6}"/>
    <cellStyle name="Note 2 2 3 2 3 4 3" xfId="2295" xr:uid="{C7816E71-3F6F-4B50-BB93-88589A183783}"/>
    <cellStyle name="Note 2 2 3 2 3 5" xfId="13844" xr:uid="{FC12178C-2469-4AEE-9D1B-921EDD4E31BE}"/>
    <cellStyle name="Note 2 2 3 2 3 5 2" xfId="2294" xr:uid="{BE859E59-E221-4EBD-B709-BBF4E10476E5}"/>
    <cellStyle name="Note 2 2 3 2 3 6" xfId="30349" xr:uid="{249EC369-67DC-4198-81BB-666394948DB1}"/>
    <cellStyle name="Note 2 2 3 2 4" xfId="2293" xr:uid="{655CA5DA-C4F0-4ACF-AD9A-EB338F11CD9A}"/>
    <cellStyle name="Note 2 2 3 2 4 2" xfId="2292" xr:uid="{FA324E5C-4670-4B74-AF4A-5F6228D9CBF4}"/>
    <cellStyle name="Note 2 2 3 2 4 2 2" xfId="2291" xr:uid="{FD3A6CC4-573D-4D59-BC7F-2B758CA2B345}"/>
    <cellStyle name="Note 2 2 3 2 4 2 2 2" xfId="2290" xr:uid="{07F2B55B-E6AD-43ED-A1BC-80A3B1772BA5}"/>
    <cellStyle name="Note 2 2 3 2 4 2 2 2 2" xfId="2289" xr:uid="{0A62DEB0-5FC9-4016-AC93-5E49C9348ADA}"/>
    <cellStyle name="Note 2 2 3 2 4 2 2 3" xfId="3373" xr:uid="{F84EA582-AADB-4FB9-B24E-143E6CC87BC4}"/>
    <cellStyle name="Note 2 2 3 2 4 2 3" xfId="2288" xr:uid="{1B16DBC2-92CB-47A1-A783-49CCD5045DE6}"/>
    <cellStyle name="Note 2 2 3 2 4 2 3 2" xfId="2287" xr:uid="{08AA706B-7183-4177-992E-CD6AB49239D9}"/>
    <cellStyle name="Note 2 2 3 2 4 2 4" xfId="2286" xr:uid="{56D8F8D0-F743-4D18-B935-4906767FC248}"/>
    <cellStyle name="Note 2 2 3 2 4 3" xfId="7960" xr:uid="{1CE3B3FE-B127-4AA0-93D9-A79FD6716D1B}"/>
    <cellStyle name="Note 2 2 3 2 4 3 2" xfId="2285" xr:uid="{DA3D59B8-A3A6-433C-AFFF-8E8E5BB5C702}"/>
    <cellStyle name="Note 2 2 3 2 4 3 2 2" xfId="2284" xr:uid="{F014DC66-3E36-4E50-9371-D97CA54C4D8F}"/>
    <cellStyle name="Note 2 2 3 2 4 3 3" xfId="2283" xr:uid="{EC0E78BA-BC5F-4D00-B9B0-D32EB443668A}"/>
    <cellStyle name="Note 2 2 3 2 4 4" xfId="13841" xr:uid="{6C04E932-CA72-4757-8E8B-85BE8EAA4407}"/>
    <cellStyle name="Note 2 2 3 2 4 4 2" xfId="2282" xr:uid="{85F0E4BA-79CD-4CF7-978B-8162AC2694E1}"/>
    <cellStyle name="Note 2 2 3 2 4 5" xfId="2281" xr:uid="{55D3E89C-3160-43F1-9949-B7718E499603}"/>
    <cellStyle name="Note 2 2 3 2 5" xfId="2280" xr:uid="{9B5861C2-DA61-4EFC-9DA4-CAF9443BE588}"/>
    <cellStyle name="Note 2 2 3 2 5 2" xfId="2279" xr:uid="{07E81C62-C4F2-4C9F-9C5F-D173FBF85F33}"/>
    <cellStyle name="Note 2 2 3 2 5 2 2" xfId="26119" xr:uid="{761C7C1C-DAFC-4F0F-9D84-06C1988034DE}"/>
    <cellStyle name="Note 2 2 3 2 5 2 2 2" xfId="2278" xr:uid="{F33A1D87-B1E8-4D37-8467-E821DAB277B2}"/>
    <cellStyle name="Note 2 2 3 2 5 2 3" xfId="6664" xr:uid="{48A5411D-9299-4A1C-8B1C-1F4C394DCB5D}"/>
    <cellStyle name="Note 2 2 3 2 5 3" xfId="2277" xr:uid="{2BD66C65-88C3-41A0-93DC-7C2BC220A75C}"/>
    <cellStyle name="Note 2 2 3 2 5 3 2" xfId="6658" xr:uid="{3B1434BD-B4B5-41DD-8C68-A2D61476B112}"/>
    <cellStyle name="Note 2 2 3 2 5 4" xfId="2276" xr:uid="{F2A5CF5B-5AAD-40E6-A325-A7A4835EA51E}"/>
    <cellStyle name="Note 2 2 3 2 6" xfId="19722" xr:uid="{04D50569-0B16-4693-8E42-37227DE5D040}"/>
    <cellStyle name="Note 2 2 3 2 6 2" xfId="27554" xr:uid="{568DB702-56FA-4805-A1AF-BC5C8ACE08F8}"/>
    <cellStyle name="Note 2 2 3 2 6 2 2" xfId="6636" xr:uid="{26742B30-093E-4308-B28F-E1A546AA78E3}"/>
    <cellStyle name="Note 2 2 3 2 6 3" xfId="16876" xr:uid="{3A1875DC-9852-4313-B719-7E91A98C7C1F}"/>
    <cellStyle name="Note 2 2 3 2 7" xfId="11251" xr:uid="{70090EC9-57C4-48B1-BDA7-348A06057434}"/>
    <cellStyle name="Note 2 2 3 2 7 2" xfId="16845" xr:uid="{F2510307-C5A0-4742-A1F1-603F98F9DDCA}"/>
    <cellStyle name="Note 2 2 3 2 8" xfId="33621" xr:uid="{F4735584-8763-4B80-B4C7-715F0E083ABD}"/>
    <cellStyle name="Note 2 2 3 3" xfId="2275" xr:uid="{F7C4949D-6088-4AD7-A95A-E25DA8D5A4CA}"/>
    <cellStyle name="Note 2 2 3 3 2" xfId="2274" xr:uid="{1006D81A-D720-4E0D-873E-BC24B18D3D03}"/>
    <cellStyle name="Note 2 2 3 3 2 2" xfId="12840" xr:uid="{271ECC44-4582-45EC-8904-D635030C4D67}"/>
    <cellStyle name="Note 2 2 3 3 2 2 2" xfId="8657" xr:uid="{A07976E0-1819-49BB-8DD9-47D5DF644A66}"/>
    <cellStyle name="Note 2 2 3 3 2 2 2 2" xfId="2273" xr:uid="{EDFFC6F9-9C54-4DC4-A137-F349F8EF635F}"/>
    <cellStyle name="Note 2 2 3 3 2 2 2 2 2" xfId="2272" xr:uid="{20CD66C5-A89F-4642-A40E-BF24D6622F9C}"/>
    <cellStyle name="Note 2 2 3 3 2 2 2 2 2 2" xfId="2271" xr:uid="{75F1CC0E-C91D-45A4-964B-C61C1AC32F66}"/>
    <cellStyle name="Note 2 2 3 3 2 2 2 2 3" xfId="2270" xr:uid="{B729A2FE-3621-42A9-9C09-B7496C8C3886}"/>
    <cellStyle name="Note 2 2 3 3 2 2 2 3" xfId="2269" xr:uid="{1B009FC6-AC18-4CB8-A301-817DE1C54E8D}"/>
    <cellStyle name="Note 2 2 3 3 2 2 2 3 2" xfId="18679" xr:uid="{A0442C62-CB70-41B9-9AE2-B2AA39968853}"/>
    <cellStyle name="Note 2 2 3 3 2 2 2 4" xfId="2268" xr:uid="{E0BEC37D-F6B6-44E9-A1D7-3105B84E1FCB}"/>
    <cellStyle name="Note 2 2 3 3 2 2 3" xfId="10228" xr:uid="{5877D39D-B401-4CFE-A6F6-41BDA0C1E050}"/>
    <cellStyle name="Note 2 2 3 3 2 2 3 2" xfId="2266" xr:uid="{E1046FC5-BCAF-424F-AC04-58198B12B88D}"/>
    <cellStyle name="Note 2 2 3 3 2 2 3 2 2" xfId="2265" xr:uid="{5D675179-B379-4578-89FF-7CA385C9440B}"/>
    <cellStyle name="Note 2 2 3 3 2 2 3 3" xfId="2264" xr:uid="{B03014C2-7E8D-4ABF-810B-0EF7B0E82CCE}"/>
    <cellStyle name="Note 2 2 3 3 2 2 4" xfId="2263" xr:uid="{82394D8C-0A45-401E-B443-4D3DB1E92CE9}"/>
    <cellStyle name="Note 2 2 3 3 2 2 4 2" xfId="2262" xr:uid="{43EE2D47-72B6-4AFA-B84A-79E9A310B3FE}"/>
    <cellStyle name="Note 2 2 3 3 2 2 5" xfId="2261" xr:uid="{580B8C52-C759-4F12-BE42-502A81C79044}"/>
    <cellStyle name="Note 2 2 3 3 2 3" xfId="2260" xr:uid="{88315658-093F-40BE-9F1F-D0BA9958BA18}"/>
    <cellStyle name="Note 2 2 3 3 2 3 2" xfId="2259" xr:uid="{A540310F-9196-4DE9-9D22-430945B753A4}"/>
    <cellStyle name="Note 2 2 3 3 2 3 2 2" xfId="2258" xr:uid="{786D3D77-2EC0-4C08-BEE5-94239EC98629}"/>
    <cellStyle name="Note 2 2 3 3 2 3 2 2 2" xfId="2257" xr:uid="{1F67370E-43DE-4B03-906B-E17F45D969D5}"/>
    <cellStyle name="Note 2 2 3 3 2 3 2 3" xfId="2256" xr:uid="{CB7E4A0C-40D6-4A10-B40E-17517639B3A8}"/>
    <cellStyle name="Note 2 2 3 3 2 3 3" xfId="5144" xr:uid="{B2B9D952-9857-40D2-8CE5-BEB9887650FC}"/>
    <cellStyle name="Note 2 2 3 3 2 3 3 2" xfId="2255" xr:uid="{A1357794-7EA2-411E-AA5D-C1B80C61D091}"/>
    <cellStyle name="Note 2 2 3 3 2 3 4" xfId="2254" xr:uid="{2CF6AFAD-BD07-447E-8AFD-AEC130AB115F}"/>
    <cellStyle name="Note 2 2 3 3 2 4" xfId="30592" xr:uid="{923FA584-97F4-4625-9A04-B95E1B0BED94}"/>
    <cellStyle name="Note 2 2 3 3 2 4 2" xfId="30093" xr:uid="{C986C76E-63A8-42CC-879E-0B425FF4C527}"/>
    <cellStyle name="Note 2 2 3 3 2 4 2 2" xfId="21097" xr:uid="{3021F08B-B19C-428F-82A9-4D9C23C77B45}"/>
    <cellStyle name="Note 2 2 3 3 2 4 3" xfId="23423" xr:uid="{2192E70C-BF6E-4A18-8DC0-7C612950523C}"/>
    <cellStyle name="Note 2 2 3 3 2 5" xfId="30770" xr:uid="{FD01FF9A-6AAB-41F4-940A-F6FC382A432B}"/>
    <cellStyle name="Note 2 2 3 3 2 5 2" xfId="27911" xr:uid="{CCF32A0C-0B38-4ED1-A023-DE9A2E793340}"/>
    <cellStyle name="Note 2 2 3 3 2 6" xfId="2253" xr:uid="{E187B6CD-9F4E-4E57-ADDA-0AA9CE98012D}"/>
    <cellStyle name="Note 2 2 3 3 3" xfId="2252" xr:uid="{6272435A-7859-4E69-9B51-CD11F87BCD9E}"/>
    <cellStyle name="Note 2 2 3 3 3 2" xfId="2251" xr:uid="{AC77E343-6424-4C2C-A4B5-A6029E606F37}"/>
    <cellStyle name="Note 2 2 3 3 3 2 2" xfId="2250" xr:uid="{D5F1EE87-8609-4072-A9C4-2EF32EDD8E28}"/>
    <cellStyle name="Note 2 2 3 3 3 2 2 2" xfId="2249" xr:uid="{B01410EB-58B4-4923-BB20-0B0EE85A44F9}"/>
    <cellStyle name="Note 2 2 3 3 3 2 2 2 2" xfId="2248" xr:uid="{DA169BDD-6018-4922-AAD9-5B814BC65BB3}"/>
    <cellStyle name="Note 2 2 3 3 3 2 2 3" xfId="2247" xr:uid="{52BA00C9-CB3E-42E6-83B2-98778235D22E}"/>
    <cellStyle name="Note 2 2 3 3 3 2 3" xfId="2246" xr:uid="{34660065-CD2A-40DE-A900-C150F0BD841E}"/>
    <cellStyle name="Note 2 2 3 3 3 2 3 2" xfId="2245" xr:uid="{DFB544DA-1756-4FC2-89E7-18EFD0DA81DE}"/>
    <cellStyle name="Note 2 2 3 3 3 2 4" xfId="2244" xr:uid="{8938FBC2-0EB7-4531-9E88-13800A70EF70}"/>
    <cellStyle name="Note 2 2 3 3 3 3" xfId="2243" xr:uid="{D3A202C8-D0A0-4630-A66C-EF84BD7580C6}"/>
    <cellStyle name="Note 2 2 3 3 3 3 2" xfId="2242" xr:uid="{0D36F47A-FF30-4E4A-839D-27B9893DCEE3}"/>
    <cellStyle name="Note 2 2 3 3 3 3 2 2" xfId="2241" xr:uid="{AAD0CBCA-9955-45BB-92E2-834D8E2D5CAB}"/>
    <cellStyle name="Note 2 2 3 3 3 3 3" xfId="2240" xr:uid="{DFCFFD6D-9ACB-4CC3-BA7B-DCB6C8217FBA}"/>
    <cellStyle name="Note 2 2 3 3 3 4" xfId="13838" xr:uid="{3298DF9B-C013-474B-B3FF-CCF9F48B7B5F}"/>
    <cellStyle name="Note 2 2 3 3 3 4 2" xfId="29441" xr:uid="{FD3FBDF2-E7BC-4409-BE81-8257869C4EFA}"/>
    <cellStyle name="Note 2 2 3 3 3 5" xfId="2239" xr:uid="{DADFB86D-7BDD-491D-B3CA-9F8C2381F0F0}"/>
    <cellStyle name="Note 2 2 3 3 4" xfId="2238" xr:uid="{627E4769-FEF9-45BF-B033-04A4E1927EA9}"/>
    <cellStyle name="Note 2 2 3 3 4 2" xfId="2237" xr:uid="{4498AB3B-DD15-4E25-AC2D-CBD118007FC4}"/>
    <cellStyle name="Note 2 2 3 3 4 2 2" xfId="2236" xr:uid="{7154700D-C934-4E37-95B0-89EDB361DA3A}"/>
    <cellStyle name="Note 2 2 3 3 4 2 2 2" xfId="4093" xr:uid="{B5BD2275-7974-4631-A786-F6EDBF06F608}"/>
    <cellStyle name="Note 2 2 3 3 4 2 3" xfId="2235" xr:uid="{D3C5721F-BD86-4ADA-B273-C1849BA4A341}"/>
    <cellStyle name="Note 2 2 3 3 4 3" xfId="2234" xr:uid="{F411A606-47A4-4DAD-A334-9BD9C19B97DD}"/>
    <cellStyle name="Note 2 2 3 3 4 3 2" xfId="2233" xr:uid="{A0A6EADF-0FE5-4DD8-A7C3-2BF263791986}"/>
    <cellStyle name="Note 2 2 3 3 4 4" xfId="2232" xr:uid="{EB97EFC1-5DD1-4452-873C-DBA388EC3969}"/>
    <cellStyle name="Note 2 2 3 3 5" xfId="2231" xr:uid="{C9F7AB42-7DA7-4308-8593-D28BB063C7AB}"/>
    <cellStyle name="Note 2 2 3 3 5 2" xfId="2230" xr:uid="{B307557E-CF7E-4F2C-9FDB-0A3506FF620A}"/>
    <cellStyle name="Note 2 2 3 3 5 2 2" xfId="25281" xr:uid="{F8D7CB64-0FF7-4386-BC02-6A27693CD892}"/>
    <cellStyle name="Note 2 2 3 3 5 3" xfId="2229" xr:uid="{36A54D48-5762-4AB0-9FF3-3092C561E36D}"/>
    <cellStyle name="Note 2 2 3 3 6" xfId="11238" xr:uid="{472AA980-85B8-4510-A116-E6951B2767A3}"/>
    <cellStyle name="Note 2 2 3 3 6 2" xfId="16232" xr:uid="{337C0ECB-E00E-4D6A-B30B-7A281811E95A}"/>
    <cellStyle name="Note 2 2 3 3 7" xfId="11225" xr:uid="{654C08FD-0CF3-49F3-9A3C-5D29F8D39981}"/>
    <cellStyle name="Note 2 2 3 4" xfId="23636" xr:uid="{8FAB4BC8-2ACB-401F-A9DF-E590EC0C566D}"/>
    <cellStyle name="Note 2 2 3 4 2" xfId="28360" xr:uid="{7CC81FD3-9AE7-4525-A988-CC21E2BE8396}"/>
    <cellStyle name="Note 2 2 3 4 2 2" xfId="2228" xr:uid="{118F02EC-9278-462D-924C-4A8944CE2F01}"/>
    <cellStyle name="Note 2 2 3 4 2 2 2" xfId="2227" xr:uid="{E22B34C3-9748-40A7-B767-6FAAF01AA86D}"/>
    <cellStyle name="Note 2 2 3 4 2 2 2 2" xfId="2226" xr:uid="{D4BAD49E-D617-4595-96BC-3E29448B0A0F}"/>
    <cellStyle name="Note 2 2 3 4 2 2 2 2 2" xfId="2225" xr:uid="{32743790-E6D1-4A5E-8A07-D3DBFC201D7B}"/>
    <cellStyle name="Note 2 2 3 4 2 2 2 3" xfId="2224" xr:uid="{EE4A3F29-ABE5-4081-9179-C1754B2B3AD4}"/>
    <cellStyle name="Note 2 2 3 4 2 2 3" xfId="2223" xr:uid="{CF32B8F4-B4E7-4B47-BF7F-DA94CD60633D}"/>
    <cellStyle name="Note 2 2 3 4 2 2 3 2" xfId="2222" xr:uid="{4B5452FB-8520-4A36-861E-A49B21E76B8D}"/>
    <cellStyle name="Note 2 2 3 4 2 2 4" xfId="2221" xr:uid="{B478C20D-FC6D-478E-A319-E39D9A6F588A}"/>
    <cellStyle name="Note 2 2 3 4 2 3" xfId="2220" xr:uid="{46A82187-B578-4FA6-9B85-54DD13A1CFF3}"/>
    <cellStyle name="Note 2 2 3 4 2 3 2" xfId="2219" xr:uid="{A8508DDA-C5FA-418C-A035-3693FC6BB70F}"/>
    <cellStyle name="Note 2 2 3 4 2 3 2 2" xfId="2218" xr:uid="{108DFA3C-FE89-4CE9-9960-F54F52B3006E}"/>
    <cellStyle name="Note 2 2 3 4 2 3 3" xfId="2217" xr:uid="{F70FC75E-27F9-4AA1-A5EA-88C750BDD633}"/>
    <cellStyle name="Note 2 2 3 4 2 4" xfId="30576" xr:uid="{1C74A840-6313-4310-9F1E-05AE0E563A78}"/>
    <cellStyle name="Note 2 2 3 4 2 4 2" xfId="20493" xr:uid="{B9203D06-9B32-4A85-A5BA-71D8031EABC6}"/>
    <cellStyle name="Note 2 2 3 4 2 5" xfId="2216" xr:uid="{E932178D-6EBD-4F26-BE61-FB3F5EC06763}"/>
    <cellStyle name="Note 2 2 3 4 3" xfId="2215" xr:uid="{8B7F0B70-2BEF-491E-80EF-C8D54FFFBD93}"/>
    <cellStyle name="Note 2 2 3 4 3 2" xfId="32065" xr:uid="{586C145C-946D-42C5-8009-B07299BF7D35}"/>
    <cellStyle name="Note 2 2 3 4 3 2 2" xfId="2214" xr:uid="{D63318F9-2954-4D74-B880-8A1290EC3F08}"/>
    <cellStyle name="Note 2 2 3 4 3 2 2 2" xfId="22043" xr:uid="{AF3CBA17-47D5-4076-B1E8-532B22289FF3}"/>
    <cellStyle name="Note 2 2 3 4 3 2 3" xfId="2213" xr:uid="{0874B091-DB2F-432D-B5CA-95B7112B1711}"/>
    <cellStyle name="Note 2 2 3 4 3 3" xfId="2212" xr:uid="{24F9710B-E889-42AD-AA28-478BEA002E4D}"/>
    <cellStyle name="Note 2 2 3 4 3 3 2" xfId="2211" xr:uid="{CAD31F72-2E76-43A5-9574-D7ECE2DFE279}"/>
    <cellStyle name="Note 2 2 3 4 3 4" xfId="2210" xr:uid="{8DB99034-F073-4D82-BD1C-3E52E55C8E55}"/>
    <cellStyle name="Note 2 2 3 4 4" xfId="2209" xr:uid="{55898EBF-DAA9-4395-B679-15FD7399D226}"/>
    <cellStyle name="Note 2 2 3 4 4 2" xfId="2208" xr:uid="{3F9352E2-7D64-4BAC-A8A1-4CD81A8689A7}"/>
    <cellStyle name="Note 2 2 3 4 4 2 2" xfId="2207" xr:uid="{0ED661D4-1211-43D2-B9AE-EF403635F840}"/>
    <cellStyle name="Note 2 2 3 4 4 3" xfId="2206" xr:uid="{9CF33528-26F5-4248-B83B-CDDD030045FD}"/>
    <cellStyle name="Note 2 2 3 4 5" xfId="29694" xr:uid="{23248489-6771-4530-8226-0C4549FABB85}"/>
    <cellStyle name="Note 2 2 3 4 5 2" xfId="2205" xr:uid="{6E8F85EB-82F1-41F1-B8FC-99DBBCDF1277}"/>
    <cellStyle name="Note 2 2 3 4 6" xfId="11209" xr:uid="{6C8891F3-615D-4E17-9168-2F32332CEE10}"/>
    <cellStyle name="Note 2 2 3 5" xfId="30653" xr:uid="{D54EE8E8-7AE1-4CA0-9E7C-864B74082F38}"/>
    <cellStyle name="Note 2 2 3 5 2" xfId="2204" xr:uid="{B605F36A-DCFB-4340-8D78-670B4DC322F8}"/>
    <cellStyle name="Note 2 2 3 5 2 2" xfId="2203" xr:uid="{EC95A24B-293F-4FEF-BF81-8A21621254B6}"/>
    <cellStyle name="Note 2 2 3 5 2 2 2" xfId="2202" xr:uid="{2B919074-2E20-411E-B2DE-97987FD479E0}"/>
    <cellStyle name="Note 2 2 3 5 2 2 2 2" xfId="33846" xr:uid="{FCF7001F-B6D5-41E2-8955-21C91A5DBCBA}"/>
    <cellStyle name="Note 2 2 3 5 2 2 3" xfId="2201" xr:uid="{D9027D00-160F-460E-8973-D085DF30841D}"/>
    <cellStyle name="Note 2 2 3 5 2 3" xfId="2200" xr:uid="{8C36BF69-4A0D-4B14-9415-C7DBFBBCA3BD}"/>
    <cellStyle name="Note 2 2 3 5 2 3 2" xfId="2199" xr:uid="{7C65DB06-5E3A-4DD8-B9C1-1A7076B70707}"/>
    <cellStyle name="Note 2 2 3 5 2 4" xfId="2198" xr:uid="{D8D73DC4-F628-4563-BBFF-E48607800F57}"/>
    <cellStyle name="Note 2 2 3 5 3" xfId="2197" xr:uid="{E1B004E5-4928-4131-898F-E6F586CE1C4C}"/>
    <cellStyle name="Note 2 2 3 5 3 2" xfId="2196" xr:uid="{946B4191-7393-4E81-BB03-8901D8FD3D6C}"/>
    <cellStyle name="Note 2 2 3 5 3 2 2" xfId="2195" xr:uid="{D2E167DC-D4A8-4FE3-99CD-55A53EB291A9}"/>
    <cellStyle name="Note 2 2 3 5 3 3" xfId="2194" xr:uid="{8DA3CE5C-F23F-4B7E-B4A5-88AA1A36D2FB}"/>
    <cellStyle name="Note 2 2 3 5 4" xfId="2193" xr:uid="{9615173D-B4AA-45CE-9B39-7DBC1756940A}"/>
    <cellStyle name="Note 2 2 3 5 4 2" xfId="2192" xr:uid="{0B1573D5-D01A-48AD-8CDE-2289EE906E19}"/>
    <cellStyle name="Note 2 2 3 5 5" xfId="2191" xr:uid="{9C091C89-B325-478D-A348-888EDCE96549}"/>
    <cellStyle name="Note 2 2 3 6" xfId="9894" xr:uid="{900FE865-5541-447D-A399-8BB84F8D7790}"/>
    <cellStyle name="Note 2 2 3 6 2" xfId="2190" xr:uid="{0CF359BF-97AD-48FD-83D7-DDB36BA96404}"/>
    <cellStyle name="Note 2 2 3 6 2 2" xfId="2189" xr:uid="{055CC7EB-4C1B-4551-B8B8-75709F89C7B1}"/>
    <cellStyle name="Note 2 2 3 6 2 2 2" xfId="2188" xr:uid="{9D8B6826-8E47-4B44-A9FE-FBD5E15360D1}"/>
    <cellStyle name="Note 2 2 3 6 2 3" xfId="2187" xr:uid="{F38BA878-1869-4874-B51F-0B2B74BE5FC9}"/>
    <cellStyle name="Note 2 2 3 6 3" xfId="2186" xr:uid="{41D01C9A-C02A-4B5E-9366-8B576D1F39D6}"/>
    <cellStyle name="Note 2 2 3 6 3 2" xfId="2185" xr:uid="{8A74799B-35FC-4430-9393-A9BCCBBAFC7E}"/>
    <cellStyle name="Note 2 2 3 6 4" xfId="2184" xr:uid="{E3A6FEDC-9133-4190-9A07-058FE1D119E3}"/>
    <cellStyle name="Note 2 2 3 7" xfId="9888" xr:uid="{7F92C0F7-8CC4-4E64-A540-2E071C0CDEAA}"/>
    <cellStyle name="Note 2 2 3 7 2" xfId="2183" xr:uid="{F1D3822B-0C62-433E-A090-28AAFDBAB389}"/>
    <cellStyle name="Note 2 2 3 7 2 2" xfId="2182" xr:uid="{F5B2BF19-AB67-490B-BB13-4F32A4AA80F0}"/>
    <cellStyle name="Note 2 2 3 7 3" xfId="2181" xr:uid="{7A69D900-6F12-420A-9904-EDCD111CA479}"/>
    <cellStyle name="Note 2 2 3 8" xfId="24478" xr:uid="{694F28EB-C306-46DD-A905-79629CE441EA}"/>
    <cellStyle name="Note 2 2 3 8 2" xfId="2180" xr:uid="{5DA10343-8AEB-4841-ACF0-69312ECC7077}"/>
    <cellStyle name="Note 2 2 3 9" xfId="2179" xr:uid="{CB206AAD-FBE4-4E96-94E3-2A0EC82F6018}"/>
    <cellStyle name="Note 2 2 4" xfId="19713" xr:uid="{B2A8BF14-67A1-4B62-B07D-CF05520E97B0}"/>
    <cellStyle name="Note 2 2 4 2" xfId="18665" xr:uid="{8261BB94-1389-413C-A496-8359B18B7517}"/>
    <cellStyle name="Note 2 2 4 2 2" xfId="2178" xr:uid="{51500B92-0FB7-4109-9E0B-D57A00E48A59}"/>
    <cellStyle name="Note 2 2 4 2 2 2" xfId="12836" xr:uid="{054686A5-4AC4-45E1-8FAF-9C7C2FFA22D3}"/>
    <cellStyle name="Note 2 2 4 2 2 2 2" xfId="2177" xr:uid="{0A3A3BB9-0D07-4118-B340-1EA13FC566FD}"/>
    <cellStyle name="Note 2 2 4 2 2 2 2 2" xfId="2176" xr:uid="{76A44B9B-67C9-4C4B-A9D9-7CE20E7F9BE4}"/>
    <cellStyle name="Note 2 2 4 2 2 2 2 2 2" xfId="2175" xr:uid="{50BF6794-9AFE-4513-87A1-36E5B3C0C272}"/>
    <cellStyle name="Note 2 2 4 2 2 2 2 2 2 2" xfId="4655" xr:uid="{39FBEA66-9823-41EB-86AE-32BB90428E9D}"/>
    <cellStyle name="Note 2 2 4 2 2 2 2 2 3" xfId="2174" xr:uid="{A639DF91-0523-4943-88DC-D43AF895755F}"/>
    <cellStyle name="Note 2 2 4 2 2 2 2 3" xfId="8668" xr:uid="{9708C871-E480-4A2F-B6B2-E0E19E9E3A76}"/>
    <cellStyle name="Note 2 2 4 2 2 2 2 3 2" xfId="2173" xr:uid="{D69398BD-0C30-4F8C-A52C-D18CEDFF0D08}"/>
    <cellStyle name="Note 2 2 4 2 2 2 2 4" xfId="2172" xr:uid="{5BF5B4AC-7BB4-417C-9E15-D231F90FCF29}"/>
    <cellStyle name="Note 2 2 4 2 2 2 3" xfId="2171" xr:uid="{59E8E708-A989-4DF4-8D02-E85AB716E030}"/>
    <cellStyle name="Note 2 2 4 2 2 2 3 2" xfId="2170" xr:uid="{02549105-473A-48F1-87A9-6D3FFD87DF53}"/>
    <cellStyle name="Note 2 2 4 2 2 2 3 2 2" xfId="2169" xr:uid="{82100708-A051-4B95-BEC7-564A6B58B18F}"/>
    <cellStyle name="Note 2 2 4 2 2 2 3 3" xfId="2168" xr:uid="{BEBA92C1-7493-4709-88DE-BACB28E6BB90}"/>
    <cellStyle name="Note 2 2 4 2 2 2 4" xfId="2167" xr:uid="{61DB7F31-5F3C-4983-B31D-2D01C87ADF35}"/>
    <cellStyle name="Note 2 2 4 2 2 2 4 2" xfId="2166" xr:uid="{A9565253-0897-4F73-BE2E-D66E5B50590E}"/>
    <cellStyle name="Note 2 2 4 2 2 2 5" xfId="2165" xr:uid="{63615F16-9122-4C84-A432-FE4DF932DE5F}"/>
    <cellStyle name="Note 2 2 4 2 2 3" xfId="2164" xr:uid="{8E907A12-3C2C-4585-B342-26740F6573EB}"/>
    <cellStyle name="Note 2 2 4 2 2 3 2" xfId="2163" xr:uid="{92285ADC-8FB5-4CFA-A1F3-5ACDC6D3C89F}"/>
    <cellStyle name="Note 2 2 4 2 2 3 2 2" xfId="2162" xr:uid="{B63C4C70-8AD2-43A8-BC9A-75FE2257A843}"/>
    <cellStyle name="Note 2 2 4 2 2 3 2 2 2" xfId="2161" xr:uid="{BF1333E6-C392-4500-AB14-8225CDD3812B}"/>
    <cellStyle name="Note 2 2 4 2 2 3 2 3" xfId="2160" xr:uid="{2ACED6A3-4365-4899-976A-B8E2F750FDDA}"/>
    <cellStyle name="Note 2 2 4 2 2 3 3" xfId="2159" xr:uid="{04595F3D-F21F-49B7-B7DB-8DD2FA88D39C}"/>
    <cellStyle name="Note 2 2 4 2 2 3 3 2" xfId="2158" xr:uid="{52797189-DB65-4EF8-8C9D-33CE5E5E5F74}"/>
    <cellStyle name="Note 2 2 4 2 2 3 4" xfId="2157" xr:uid="{808DE4B1-25AE-4DD6-B8FD-5053FDEDFD6C}"/>
    <cellStyle name="Note 2 2 4 2 2 4" xfId="29757" xr:uid="{C8679862-D432-4EB3-874C-AD73C3039C46}"/>
    <cellStyle name="Note 2 2 4 2 2 4 2" xfId="25048" xr:uid="{7E340CCD-ABAE-4679-B357-E720B03899D1}"/>
    <cellStyle name="Note 2 2 4 2 2 4 2 2" xfId="2156" xr:uid="{A5BC2106-FDDE-407F-AE3E-54696F92CD26}"/>
    <cellStyle name="Note 2 2 4 2 2 4 3" xfId="2155" xr:uid="{2B6A358B-BAFC-4951-B232-520EC8097AE5}"/>
    <cellStyle name="Note 2 2 4 2 2 5" xfId="29748" xr:uid="{0B9917BE-E9E2-453D-BF1A-A04DAF8AD404}"/>
    <cellStyle name="Note 2 2 4 2 2 5 2" xfId="2154" xr:uid="{3CC99F2F-E9F9-4CFD-ACB4-A795EB071AB7}"/>
    <cellStyle name="Note 2 2 4 2 2 6" xfId="2153" xr:uid="{16FD3F5E-819D-41DE-BB20-7C147E6427AE}"/>
    <cellStyle name="Note 2 2 4 2 3" xfId="15193" xr:uid="{1A9EC3B0-FA49-4B86-AD6F-929D4070A048}"/>
    <cellStyle name="Note 2 2 4 2 3 2" xfId="2152" xr:uid="{14FB765E-2ACE-4DFC-BBE6-D0A5919C2854}"/>
    <cellStyle name="Note 2 2 4 2 3 2 2" xfId="2151" xr:uid="{9662C75E-8F9E-40ED-9FEB-E9690954BE52}"/>
    <cellStyle name="Note 2 2 4 2 3 2 2 2" xfId="2150" xr:uid="{E0724489-30BE-485A-B76A-448338481981}"/>
    <cellStyle name="Note 2 2 4 2 3 2 2 2 2" xfId="4328" xr:uid="{B1970F95-E95D-44F5-A019-3F8BCC844298}"/>
    <cellStyle name="Note 2 2 4 2 3 2 2 3" xfId="2149" xr:uid="{A0E62140-0076-4649-88F2-156F5052B684}"/>
    <cellStyle name="Note 2 2 4 2 3 2 3" xfId="2148" xr:uid="{5D332019-0229-4097-AF6E-42A9C03FCC15}"/>
    <cellStyle name="Note 2 2 4 2 3 2 3 2" xfId="2147" xr:uid="{96DE0132-66D5-43E7-874A-827F7A2D1FE1}"/>
    <cellStyle name="Note 2 2 4 2 3 2 4" xfId="2146" xr:uid="{D697A900-C490-4E5E-BE53-4F0A6D5DDDB0}"/>
    <cellStyle name="Note 2 2 4 2 3 3" xfId="2145" xr:uid="{6E25C80D-B096-4BDF-9077-BEE253967EFF}"/>
    <cellStyle name="Note 2 2 4 2 3 3 2" xfId="2144" xr:uid="{2A2468C6-C620-4E9C-82AE-642A9F4E8E14}"/>
    <cellStyle name="Note 2 2 4 2 3 3 2 2" xfId="2143" xr:uid="{6DCBBE7A-A9A6-4E97-8DC7-8CD7D678AD44}"/>
    <cellStyle name="Note 2 2 4 2 3 3 3" xfId="2142" xr:uid="{5E1E5AA4-F439-47D8-9C68-653304CBAA7E}"/>
    <cellStyle name="Note 2 2 4 2 3 4" xfId="13816" xr:uid="{86608468-1C77-4123-928A-A0EEC24446F3}"/>
    <cellStyle name="Note 2 2 4 2 3 4 2" xfId="2141" xr:uid="{932EDAC6-8905-4EC2-B3D6-0531F6F75775}"/>
    <cellStyle name="Note 2 2 4 2 3 5" xfId="2140" xr:uid="{01012942-AD1B-496D-9925-ED8A930565F4}"/>
    <cellStyle name="Note 2 2 4 2 4" xfId="3770" xr:uid="{69BF4755-5F3E-490D-B0DF-EEFB0A9635F3}"/>
    <cellStyle name="Note 2 2 4 2 4 2" xfId="29077" xr:uid="{3A81A56B-C034-4C77-9919-83773ACBA11E}"/>
    <cellStyle name="Note 2 2 4 2 4 2 2" xfId="17109" xr:uid="{4C26BD2E-9061-48F8-800A-15931634A2CE}"/>
    <cellStyle name="Note 2 2 4 2 4 2 2 2" xfId="2139" xr:uid="{0A8F50DB-7B6B-403F-869E-8A946AEF0163}"/>
    <cellStyle name="Note 2 2 4 2 4 2 3" xfId="17104" xr:uid="{D349AD0E-3539-4C4A-8F3C-BE931ECD1B4E}"/>
    <cellStyle name="Note 2 2 4 2 4 3" xfId="29067" xr:uid="{C46E5B8C-4DE3-4090-A25D-DD382397257A}"/>
    <cellStyle name="Note 2 2 4 2 4 3 2" xfId="28229" xr:uid="{DAA71DD2-07CD-4354-9F75-66502EB74F80}"/>
    <cellStyle name="Note 2 2 4 2 4 4" xfId="2138" xr:uid="{940AEE9B-E6E5-4DCD-8CC5-7D5104765B3E}"/>
    <cellStyle name="Note 2 2 4 2 5" xfId="2137" xr:uid="{0CBE0D7C-9A47-4B2F-AE2A-4E69E339C86D}"/>
    <cellStyle name="Note 2 2 4 2 5 2" xfId="29054" xr:uid="{FB1DC6F2-B2E9-4BFB-B0A2-BB77A6F5FD31}"/>
    <cellStyle name="Note 2 2 4 2 5 2 2" xfId="6484" xr:uid="{F1F99588-1AA4-4296-9E76-5A12EAE7FD61}"/>
    <cellStyle name="Note 2 2 4 2 5 3" xfId="2136" xr:uid="{CE265A28-1B26-4ADE-BE76-D10230F144B1}"/>
    <cellStyle name="Note 2 2 4 2 6" xfId="11191" xr:uid="{62E469FF-635E-4A18-BA3D-C931BF3825E0}"/>
    <cellStyle name="Note 2 2 4 2 6 2" xfId="14729" xr:uid="{513987EE-68B6-4FFF-A8A7-EB22539C2869}"/>
    <cellStyle name="Note 2 2 4 2 7" xfId="11181" xr:uid="{BE4F0A16-BB24-4F8B-9648-EE0E47AABE7F}"/>
    <cellStyle name="Note 2 2 4 3" xfId="21395" xr:uid="{1DF39F2C-BCFE-4042-A7F7-662C2F5999D8}"/>
    <cellStyle name="Note 2 2 4 3 2" xfId="2135" xr:uid="{816E96B7-F410-4BC1-A71E-21AE9675C83D}"/>
    <cellStyle name="Note 2 2 4 3 2 2" xfId="2134" xr:uid="{029EBA2D-C569-47BD-9141-07E8BBBF5049}"/>
    <cellStyle name="Note 2 2 4 3 2 2 2" xfId="2133" xr:uid="{57CEB463-C155-4DA0-B020-6DDD491588EB}"/>
    <cellStyle name="Note 2 2 4 3 2 2 2 2" xfId="14301" xr:uid="{15F2C025-4212-451F-8691-C91D8C111C8B}"/>
    <cellStyle name="Note 2 2 4 3 2 2 2 2 2" xfId="14297" xr:uid="{C632FA16-0487-4456-9936-56A7C9D897A1}"/>
    <cellStyle name="Note 2 2 4 3 2 2 2 3" xfId="14285" xr:uid="{CB1B80AD-D4DA-4BCF-B3D4-639B1035375D}"/>
    <cellStyle name="Note 2 2 4 3 2 2 3" xfId="2132" xr:uid="{78AE3C5A-2F5E-4FA9-81FC-6253A75A826E}"/>
    <cellStyle name="Note 2 2 4 3 2 2 3 2" xfId="14263" xr:uid="{521E9800-91FE-42D6-87EC-509A9BCC82AD}"/>
    <cellStyle name="Note 2 2 4 3 2 2 4" xfId="2131" xr:uid="{08083313-CD67-4255-A180-543E748C29AB}"/>
    <cellStyle name="Note 2 2 4 3 2 3" xfId="2130" xr:uid="{77D81A3B-E3FC-4576-958F-401FE0DFA34B}"/>
    <cellStyle name="Note 2 2 4 3 2 3 2" xfId="2129" xr:uid="{1DCF71A0-6508-4F09-8577-01E895A42A14}"/>
    <cellStyle name="Note 2 2 4 3 2 3 2 2" xfId="13931" xr:uid="{D6E94276-764D-47EF-8ACB-684A6E85A401}"/>
    <cellStyle name="Note 2 2 4 3 2 3 3" xfId="6025" xr:uid="{D78B966A-FB61-477D-94C2-C2F38934DA3F}"/>
    <cellStyle name="Note 2 2 4 3 2 4" xfId="30534" xr:uid="{0C8EB6DD-69DE-4629-A89F-0E79B3BF45B4}"/>
    <cellStyle name="Note 2 2 4 3 2 4 2" xfId="30105" xr:uid="{97305E6E-CBF2-4F4D-A4CD-9249FAC2AB57}"/>
    <cellStyle name="Note 2 2 4 3 2 5" xfId="2128" xr:uid="{2F428672-2C93-4EB8-9EA8-FD114DFE7D07}"/>
    <cellStyle name="Note 2 2 4 3 3" xfId="2127" xr:uid="{C5F22388-3171-42B2-86DE-136B3C8E65F7}"/>
    <cellStyle name="Note 2 2 4 3 3 2" xfId="2126" xr:uid="{0B2DA040-E8F2-4EB6-B58F-B31C2CFDC174}"/>
    <cellStyle name="Note 2 2 4 3 3 2 2" xfId="2125" xr:uid="{131277D3-52A6-4471-BD57-2B1B8DACD815}"/>
    <cellStyle name="Note 2 2 4 3 3 2 2 2" xfId="12294" xr:uid="{BA716665-A689-4DAB-BA9A-18C68AD616A4}"/>
    <cellStyle name="Note 2 2 4 3 3 2 3" xfId="2124" xr:uid="{0D5EBFEA-FDF0-441D-865B-3514250255DB}"/>
    <cellStyle name="Note 2 2 4 3 3 3" xfId="2123" xr:uid="{58DA8FC1-B9CD-40FE-B078-74F3130DC232}"/>
    <cellStyle name="Note 2 2 4 3 3 3 2" xfId="2122" xr:uid="{FA8F2A3B-D912-4E2A-B304-0C147AF52F66}"/>
    <cellStyle name="Note 2 2 4 3 3 4" xfId="2121" xr:uid="{7370A51B-3D83-466F-8143-1C1B5A5CBBA4}"/>
    <cellStyle name="Note 2 2 4 3 4" xfId="2120" xr:uid="{A75C1E41-E7D3-46C0-94B7-745DDAC42620}"/>
    <cellStyle name="Note 2 2 4 3 4 2" xfId="28945" xr:uid="{563360F2-CEA2-47A3-9F56-9AE94A9BB7FF}"/>
    <cellStyle name="Note 2 2 4 3 4 2 2" xfId="17084" xr:uid="{61A54E1A-3E98-4034-9943-2CCE29750030}"/>
    <cellStyle name="Note 2 2 4 3 4 3" xfId="2119" xr:uid="{35A40AAA-543F-428E-84DE-07B441A01124}"/>
    <cellStyle name="Note 2 2 4 3 5" xfId="2118" xr:uid="{6FEF42A7-8C42-487C-870E-CE3BA7EF8D18}"/>
    <cellStyle name="Note 2 2 4 3 5 2" xfId="2117" xr:uid="{CE2EB187-3745-499B-B266-2D6377864729}"/>
    <cellStyle name="Note 2 2 4 3 6" xfId="17138" xr:uid="{17143AA5-9ABD-422D-B238-58ED38AC4435}"/>
    <cellStyle name="Note 2 2 4 4" xfId="17324" xr:uid="{3A4A2605-9E25-402D-B7AD-ED41E5509451}"/>
    <cellStyle name="Note 2 2 4 4 2" xfId="2116" xr:uid="{46C6DF81-2EDB-4F53-91E3-D245BDF12E0D}"/>
    <cellStyle name="Note 2 2 4 4 2 2" xfId="2115" xr:uid="{9BCF95B9-E0CA-4713-BB5F-09896D5E0951}"/>
    <cellStyle name="Note 2 2 4 4 2 2 2" xfId="34390" xr:uid="{61A16138-372F-4584-AABF-F85AC3042ED3}"/>
    <cellStyle name="Note 2 2 4 4 2 2 2 2" xfId="2114" xr:uid="{972040B4-DE79-4944-B1B1-D03AB3CDAAA3}"/>
    <cellStyle name="Note 2 2 4 4 2 2 3" xfId="2113" xr:uid="{01F97149-D3B9-43A0-BCE1-486899949390}"/>
    <cellStyle name="Note 2 2 4 4 2 3" xfId="2112" xr:uid="{65935FE4-15B4-4412-A5CB-7DE17D1AE1E1}"/>
    <cellStyle name="Note 2 2 4 4 2 3 2" xfId="2111" xr:uid="{3F01762B-4E7E-4C6C-91DB-CA2512473498}"/>
    <cellStyle name="Note 2 2 4 4 2 4" xfId="2110" xr:uid="{75216441-1362-4060-AD19-BEC4DB56DA17}"/>
    <cellStyle name="Note 2 2 4 4 3" xfId="2109" xr:uid="{B68ADB0E-DB20-4EC1-8958-15193ABF40CF}"/>
    <cellStyle name="Note 2 2 4 4 3 2" xfId="2108" xr:uid="{BEDC0601-93B3-44D6-B754-FAEA88CA3A8D}"/>
    <cellStyle name="Note 2 2 4 4 3 2 2" xfId="2107" xr:uid="{03B23957-CD66-4DEF-AA85-AA8E9E064659}"/>
    <cellStyle name="Note 2 2 4 4 3 3" xfId="2106" xr:uid="{B19EFFD8-978E-40F7-859E-09FE64049CEC}"/>
    <cellStyle name="Note 2 2 4 4 4" xfId="9149" xr:uid="{2316C72F-E47A-4410-A474-62C7E3C0ED34}"/>
    <cellStyle name="Note 2 2 4 4 4 2" xfId="2105" xr:uid="{BC95FAEA-95A4-4D2B-A236-96BB7EA48584}"/>
    <cellStyle name="Note 2 2 4 4 5" xfId="2104" xr:uid="{CED04EAF-C9AF-43FD-892A-54DCA13921D2}"/>
    <cellStyle name="Note 2 2 4 5" xfId="2103" xr:uid="{D0762F38-3A80-4460-9DF0-4F73ED48A0D2}"/>
    <cellStyle name="Note 2 2 4 5 2" xfId="2102" xr:uid="{DD71B9BC-6741-4916-91E3-454904A41156}"/>
    <cellStyle name="Note 2 2 4 5 2 2" xfId="2101" xr:uid="{B57B60D1-FF86-4055-A010-D3453314747A}"/>
    <cellStyle name="Note 2 2 4 5 2 2 2" xfId="2100" xr:uid="{78270AFF-17FD-4F30-8956-46B4E794C340}"/>
    <cellStyle name="Note 2 2 4 5 2 3" xfId="2099" xr:uid="{6885FF97-C6D5-4569-AAC2-7A2F9C211D66}"/>
    <cellStyle name="Note 2 2 4 5 3" xfId="2098" xr:uid="{C4FA4FE7-AB6B-464A-900F-E09EFD8AD925}"/>
    <cellStyle name="Note 2 2 4 5 3 2" xfId="2097" xr:uid="{3E7C9707-394C-4E71-AF10-73605CC3A709}"/>
    <cellStyle name="Note 2 2 4 5 4" xfId="2096" xr:uid="{1091707D-14D3-4D94-A6F9-1C29514845F9}"/>
    <cellStyle name="Note 2 2 4 6" xfId="9882" xr:uid="{1A56A3C0-1E2A-4E22-AC82-F9B7BCBE87A3}"/>
    <cellStyle name="Note 2 2 4 6 2" xfId="2095" xr:uid="{65723B44-AF71-4D88-ACDE-D69075AD40F0}"/>
    <cellStyle name="Note 2 2 4 6 2 2" xfId="2094" xr:uid="{B4C9671B-5898-4806-B6AA-1CD4D4C5AB8B}"/>
    <cellStyle name="Note 2 2 4 6 3" xfId="2093" xr:uid="{FC864280-4284-4624-8A97-E6E9A4CA76E0}"/>
    <cellStyle name="Note 2 2 4 7" xfId="9877" xr:uid="{3DB7FDE1-AE8D-4FEE-A424-772AF037A8B7}"/>
    <cellStyle name="Note 2 2 4 7 2" xfId="2092" xr:uid="{2E734E46-BC77-4F61-A2FA-A7DF50F3EF49}"/>
    <cellStyle name="Note 2 2 4 8" xfId="2091" xr:uid="{1386577A-89CE-4627-8DBA-1818871729FB}"/>
    <cellStyle name="Note 2 2 5" xfId="27900" xr:uid="{50F1ED9D-4510-4231-99B0-B14AD4ED2671}"/>
    <cellStyle name="Note 2 2 5 2" xfId="4006" xr:uid="{8F3E9475-7B3D-438E-B339-6C9410990106}"/>
    <cellStyle name="Note 2 2 5 2 2" xfId="4004" xr:uid="{7D42777D-EC67-4DF0-BD5C-4E5C44F023CF}"/>
    <cellStyle name="Note 2 2 5 2 2 2" xfId="2090" xr:uid="{3B691E17-18C2-4588-84BA-7E0044FFB92A}"/>
    <cellStyle name="Note 2 2 5 2 2 2 2" xfId="2089" xr:uid="{C68184E3-7448-4561-9A17-4136725943B5}"/>
    <cellStyle name="Note 2 2 5 2 2 2 2 2" xfId="2088" xr:uid="{2A3E0CA4-F913-48D5-AE93-C644D993471A}"/>
    <cellStyle name="Note 2 2 5 2 2 2 2 2 2" xfId="2087" xr:uid="{5C899185-6649-4500-A700-5FE706164AD4}"/>
    <cellStyle name="Note 2 2 5 2 2 2 2 3" xfId="2086" xr:uid="{813FBAA9-43F6-43C3-869A-A60B5DD43C15}"/>
    <cellStyle name="Note 2 2 5 2 2 2 3" xfId="2085" xr:uid="{1BEF8201-80A8-40F4-9442-DE1BB11B0674}"/>
    <cellStyle name="Note 2 2 5 2 2 2 3 2" xfId="32118" xr:uid="{0978C07C-4A6F-447D-AB58-A80391667732}"/>
    <cellStyle name="Note 2 2 5 2 2 2 4" xfId="2084" xr:uid="{9F752EFB-6C98-49F5-B615-AB190D70B0C5}"/>
    <cellStyle name="Note 2 2 5 2 2 3" xfId="2083" xr:uid="{4A10F47F-21F1-4226-87D2-E39042AEB6F5}"/>
    <cellStyle name="Note 2 2 5 2 2 3 2" xfId="2082" xr:uid="{7E537A55-C3C5-4279-ABC8-7DDF2CEFEC7B}"/>
    <cellStyle name="Note 2 2 5 2 2 3 2 2" xfId="2081" xr:uid="{D23DA710-D11B-44A0-9C8C-67CC914A1DB3}"/>
    <cellStyle name="Note 2 2 5 2 2 3 3" xfId="2080" xr:uid="{23D99079-F516-4BB9-B387-27C78E29C1E6}"/>
    <cellStyle name="Note 2 2 5 2 2 4" xfId="29481" xr:uid="{C51325B1-F37E-4174-99F8-26F32986F1CC}"/>
    <cellStyle name="Note 2 2 5 2 2 4 2" xfId="2079" xr:uid="{2EFE16CF-56D8-4EA7-8A47-76FFAD4C68D4}"/>
    <cellStyle name="Note 2 2 5 2 2 5" xfId="2078" xr:uid="{30BDB48F-701E-42E8-829E-8A96DDC9EA39}"/>
    <cellStyle name="Note 2 2 5 2 3" xfId="17774" xr:uid="{3F1F0B10-C94E-4F94-A0B5-1C89DD04BB93}"/>
    <cellStyle name="Note 2 2 5 2 3 2" xfId="2077" xr:uid="{82A41D6D-92E5-48F5-B4C8-14F8689F257A}"/>
    <cellStyle name="Note 2 2 5 2 3 2 2" xfId="2076" xr:uid="{B125958F-5C77-436D-B96E-97DFBBB7DF87}"/>
    <cellStyle name="Note 2 2 5 2 3 2 2 2" xfId="2075" xr:uid="{EAE5561F-1CEE-433E-B0D4-EBC685AEE80E}"/>
    <cellStyle name="Note 2 2 5 2 3 2 3" xfId="2074" xr:uid="{7B569870-13EC-41B6-AA55-A3229F6F6601}"/>
    <cellStyle name="Note 2 2 5 2 3 3" xfId="2073" xr:uid="{C7B0E16C-33CE-4A62-9931-10EBA224DA4C}"/>
    <cellStyle name="Note 2 2 5 2 3 3 2" xfId="2072" xr:uid="{B664F268-F149-4ED1-8498-48E6687B5624}"/>
    <cellStyle name="Note 2 2 5 2 3 4" xfId="2071" xr:uid="{077FC14E-38D4-4D33-8BA0-300DA14A7AB8}"/>
    <cellStyle name="Note 2 2 5 2 4" xfId="25127" xr:uid="{B9B39051-9505-4FD2-9557-1ECC768A228E}"/>
    <cellStyle name="Note 2 2 5 2 4 2" xfId="28720" xr:uid="{CE0878F4-687A-48DB-8980-65DC549F81F7}"/>
    <cellStyle name="Note 2 2 5 2 4 2 2" xfId="23582" xr:uid="{03B2AF24-E010-42D5-ADA1-075A7CEA6DBC}"/>
    <cellStyle name="Note 2 2 5 2 4 3" xfId="2070" xr:uid="{5BAC7BA8-1B58-4E59-8FB0-26289011CE9F}"/>
    <cellStyle name="Note 2 2 5 2 5" xfId="25118" xr:uid="{B295F941-8F99-461A-B389-4445331647A8}"/>
    <cellStyle name="Note 2 2 5 2 5 2" xfId="2069" xr:uid="{23F9DD7D-5CBD-4B0F-8ABE-C9DF2156F2DC}"/>
    <cellStyle name="Note 2 2 5 2 6" xfId="11162" xr:uid="{29122B3D-6D77-4E1B-B6C0-6A7F8E222BD1}"/>
    <cellStyle name="Note 2 2 5 3" xfId="4002" xr:uid="{9CC07072-86A4-4330-969A-509F14D8918D}"/>
    <cellStyle name="Note 2 2 5 3 2" xfId="4000" xr:uid="{13860A9C-9ACC-4C0D-89A6-D95A2A54F28A}"/>
    <cellStyle name="Note 2 2 5 3 2 2" xfId="2068" xr:uid="{62FE7696-94C4-431B-A63C-F671D7BE7844}"/>
    <cellStyle name="Note 2 2 5 3 2 2 2" xfId="2067" xr:uid="{A16313BA-17C3-4A21-BE46-6657D2547224}"/>
    <cellStyle name="Note 2 2 5 3 2 2 2 2" xfId="2066" xr:uid="{698A40F6-21B8-433A-B73B-997ED54A5153}"/>
    <cellStyle name="Note 2 2 5 3 2 2 3" xfId="2065" xr:uid="{385AEDB2-5BA2-4095-AD42-0CD6211B9085}"/>
    <cellStyle name="Note 2 2 5 3 2 3" xfId="2064" xr:uid="{919C65AD-7594-48B4-A4BB-6E4B9A502223}"/>
    <cellStyle name="Note 2 2 5 3 2 3 2" xfId="2063" xr:uid="{7724334E-6DD8-4ABA-A6FD-CC8968E95DA2}"/>
    <cellStyle name="Note 2 2 5 3 2 4" xfId="2062" xr:uid="{87E8AE90-F3C7-4748-A30D-610F6E882127}"/>
    <cellStyle name="Note 2 2 5 3 3" xfId="31247" xr:uid="{B021EFF6-3752-4133-A761-044023E9C2F7}"/>
    <cellStyle name="Note 2 2 5 3 3 2" xfId="2061" xr:uid="{CF35DCFC-3B56-4408-B59A-026CC8F80218}"/>
    <cellStyle name="Note 2 2 5 3 3 2 2" xfId="2060" xr:uid="{4DECB07D-2574-4472-B1E4-0820DC903C4B}"/>
    <cellStyle name="Note 2 2 5 3 3 3" xfId="2059" xr:uid="{3D012D26-4685-41EB-BF44-A2FF2FBB0474}"/>
    <cellStyle name="Note 2 2 5 3 4" xfId="26616" xr:uid="{16DB8C95-B54E-4AD1-BD3C-EE10F1D0DD9E}"/>
    <cellStyle name="Note 2 2 5 3 4 2" xfId="2058" xr:uid="{465B1C84-78F9-44C9-B7FD-FA37601F384E}"/>
    <cellStyle name="Note 2 2 5 3 5" xfId="2057" xr:uid="{5555B152-8B6E-4B5D-9D83-49D4702E59FF}"/>
    <cellStyle name="Note 2 2 5 4" xfId="3998" xr:uid="{6D1F237F-54E0-4C12-8193-D368B4E84914}"/>
    <cellStyle name="Note 2 2 5 4 2" xfId="2056" xr:uid="{313AB498-F263-4971-B8C0-C702DF800664}"/>
    <cellStyle name="Note 2 2 5 4 2 2" xfId="2055" xr:uid="{864A42AE-E96E-48F1-96D1-919A005F85FB}"/>
    <cellStyle name="Note 2 2 5 4 2 2 2" xfId="2054" xr:uid="{D5A610A4-D3F7-4FC5-B01C-8837F07DE4E3}"/>
    <cellStyle name="Note 2 2 5 4 2 3" xfId="2053" xr:uid="{32A6AC35-4483-4FFA-B3BD-FB2C2BC86B06}"/>
    <cellStyle name="Note 2 2 5 4 3" xfId="31498" xr:uid="{43E9F916-5E0F-4951-A2FB-DC971BDA818E}"/>
    <cellStyle name="Note 2 2 5 4 3 2" xfId="2052" xr:uid="{0D78EE41-3C61-4D7C-A16D-712216629054}"/>
    <cellStyle name="Note 2 2 5 4 4" xfId="2051" xr:uid="{00146821-300D-4C1B-AABD-71BF871F3C52}"/>
    <cellStyle name="Note 2 2 5 5" xfId="2050" xr:uid="{EF412450-8664-4D0E-83D5-5A6146391407}"/>
    <cellStyle name="Note 2 2 5 5 2" xfId="32816" xr:uid="{DACD9450-0A5E-4D0A-AEE7-477599659CB9}"/>
    <cellStyle name="Note 2 2 5 5 2 2" xfId="2049" xr:uid="{C26734C3-5761-4B2C-B02D-24E7E16DEE31}"/>
    <cellStyle name="Note 2 2 5 5 3" xfId="2048" xr:uid="{F821C8E0-C1B1-43A6-94FC-42F65C871954}"/>
    <cellStyle name="Note 2 2 5 6" xfId="9874" xr:uid="{87C65033-DFBB-4A69-8FDD-44FA264772B8}"/>
    <cellStyle name="Note 2 2 5 6 2" xfId="2047" xr:uid="{153A3EB7-5E4C-4E10-BCA2-E80E19313257}"/>
    <cellStyle name="Note 2 2 5 7" xfId="2046" xr:uid="{1BE2CD58-6F06-48A0-82CA-794E21E7591E}"/>
    <cellStyle name="Note 2 2 6" xfId="14736" xr:uid="{FCEB064A-6FC1-4B20-B21D-4462385F5433}"/>
    <cellStyle name="Note 2 2 6 2" xfId="2045" xr:uid="{8FD0AD4D-A8B4-4889-8C5A-FD6F2B1106CC}"/>
    <cellStyle name="Note 2 2 6 2 2" xfId="2044" xr:uid="{9FADEA16-4D8B-4371-94E4-FBDCB4DBCCDD}"/>
    <cellStyle name="Note 2 2 6 2 2 2" xfId="5960" xr:uid="{B8F07041-8152-46EF-9C83-FA91A4E1E8D5}"/>
    <cellStyle name="Note 2 2 6 2 2 2 2" xfId="19234" xr:uid="{451D1FD5-3CBD-4524-B20B-CC2BF56F7313}"/>
    <cellStyle name="Note 2 2 6 2 2 2 2 2" xfId="19232" xr:uid="{7413CA63-F0B7-4252-AE75-3533ECE4F635}"/>
    <cellStyle name="Note 2 2 6 2 2 2 3" xfId="19223" xr:uid="{01933FE0-B55C-4435-8592-ABC8A5BA9182}"/>
    <cellStyle name="Note 2 2 6 2 2 3" xfId="2043" xr:uid="{656F99C5-D840-4606-BE4C-F8FC20A9D498}"/>
    <cellStyle name="Note 2 2 6 2 2 3 2" xfId="19211" xr:uid="{C347C02C-E47A-407F-9F21-AC0EFAA48D22}"/>
    <cellStyle name="Note 2 2 6 2 2 4" xfId="2042" xr:uid="{DD784DF8-FD44-462C-AACA-2A2DFBA46591}"/>
    <cellStyle name="Note 2 2 6 2 3" xfId="17758" xr:uid="{E521AEDC-C090-48F6-BDA7-D86AE824FD7E}"/>
    <cellStyle name="Note 2 2 6 2 3 2" xfId="2041" xr:uid="{721B2BAF-29A7-4C86-8475-52D3F05AB34E}"/>
    <cellStyle name="Note 2 2 6 2 3 2 2" xfId="2040" xr:uid="{BF4997C2-9B43-429B-B4AD-0B53D1E3A8E1}"/>
    <cellStyle name="Note 2 2 6 2 3 3" xfId="2039" xr:uid="{32218A6D-61F1-458F-BA4C-E11209D613B8}"/>
    <cellStyle name="Note 2 2 6 2 4" xfId="17753" xr:uid="{6013BE1F-1057-43B2-9BF5-5B9526964A04}"/>
    <cellStyle name="Note 2 2 6 2 4 2" xfId="2038" xr:uid="{C9AC32AB-52E6-4C42-ADCE-175A8B68F524}"/>
    <cellStyle name="Note 2 2 6 2 5" xfId="2037" xr:uid="{5FB0AFFA-8BB5-48DC-9DD3-12142C9CB23A}"/>
    <cellStyle name="Note 2 2 6 3" xfId="2035" xr:uid="{9498E794-119D-443A-9A61-1AAEF55E9CFD}"/>
    <cellStyle name="Note 2 2 6 3 2" xfId="2034" xr:uid="{89F5006C-34DA-44C0-A57B-8C86FA9C83F8}"/>
    <cellStyle name="Note 2 2 6 3 2 2" xfId="2033" xr:uid="{327A85AC-C4BE-4A74-983E-A3CA69151CC9}"/>
    <cellStyle name="Note 2 2 6 3 2 2 2" xfId="2032" xr:uid="{8D033BBA-39DE-4778-9D37-F405D550E57E}"/>
    <cellStyle name="Note 2 2 6 3 2 3" xfId="2031" xr:uid="{378DB147-76A0-48C9-8928-7AE12D9BC2AB}"/>
    <cellStyle name="Note 2 2 6 3 3" xfId="28394" xr:uid="{C7109DFF-2159-40A4-9C7A-B9BB57ED6D0A}"/>
    <cellStyle name="Note 2 2 6 3 3 2" xfId="2030" xr:uid="{CF6AC13A-2F45-4411-B8CA-C4F990538C80}"/>
    <cellStyle name="Note 2 2 6 3 4" xfId="2029" xr:uid="{8A9A13D5-2CB7-47D7-ACAA-AAF0C57430B5}"/>
    <cellStyle name="Note 2 2 6 4" xfId="2028" xr:uid="{3E7EF948-92FB-40EF-8AF4-BB72E37ECA1A}"/>
    <cellStyle name="Note 2 2 6 4 2" xfId="28640" xr:uid="{FE1C33A8-CA85-4DB2-8CC6-5E5A3BDE6DDE}"/>
    <cellStyle name="Note 2 2 6 4 2 2" xfId="2027" xr:uid="{4350431E-D363-4942-BD2D-A9DD341446E8}"/>
    <cellStyle name="Note 2 2 6 4 3" xfId="2026" xr:uid="{50E99941-6A6D-47D8-B882-DDAE534675D0}"/>
    <cellStyle name="Note 2 2 6 5" xfId="2025" xr:uid="{2ADACDF8-DFE0-4410-B6DB-1BAA5012746E}"/>
    <cellStyle name="Note 2 2 6 5 2" xfId="2024" xr:uid="{D5B344E8-BC0E-42B6-A4E9-0AFA6A93D82D}"/>
    <cellStyle name="Note 2 2 6 6" xfId="2023" xr:uid="{703F73CF-5C10-44BB-9AD0-9EFB23C23E7D}"/>
    <cellStyle name="Note 2 2 7" xfId="12858" xr:uid="{C8577B3A-6A47-40BA-824D-455FE7D7365D}"/>
    <cellStyle name="Note 2 2 7 2" xfId="2022" xr:uid="{4FFF7993-9196-4482-AF8D-1ED14D65BBCE}"/>
    <cellStyle name="Note 2 2 7 2 2" xfId="2021" xr:uid="{65AA97F8-598B-44EF-B336-CFB6D8A058D7}"/>
    <cellStyle name="Note 2 2 7 2 2 2" xfId="2020" xr:uid="{FE447C13-E022-41C7-87B0-47E39B533F34}"/>
    <cellStyle name="Note 2 2 7 2 2 2 2" xfId="2019" xr:uid="{494D84B0-693B-4772-87B6-FC47CEF9D7C6}"/>
    <cellStyle name="Note 2 2 7 2 2 3" xfId="2018" xr:uid="{33AE6A86-CF1D-47DD-A406-AD5D20D82854}"/>
    <cellStyle name="Note 2 2 7 2 3" xfId="17747" xr:uid="{3E5EA8AB-35DB-432A-8C37-A0ECA299E8F7}"/>
    <cellStyle name="Note 2 2 7 2 3 2" xfId="34381" xr:uid="{E80FC1EB-E1AE-44A7-8D44-83806EE30E31}"/>
    <cellStyle name="Note 2 2 7 2 4" xfId="2017" xr:uid="{9468F75F-7067-494A-A90C-66A8FF457311}"/>
    <cellStyle name="Note 2 2 7 3" xfId="2016" xr:uid="{0688A288-EE81-4866-A304-3535A2666A39}"/>
    <cellStyle name="Note 2 2 7 3 2" xfId="2015" xr:uid="{B123EDC8-1D82-4202-963D-D39CE46C3CDD}"/>
    <cellStyle name="Note 2 2 7 3 2 2" xfId="2014" xr:uid="{BFC4D027-743F-410C-A28C-F4CF855DDD57}"/>
    <cellStyle name="Note 2 2 7 3 3" xfId="2013" xr:uid="{B636EC80-4879-4310-A175-E4B81DE68103}"/>
    <cellStyle name="Note 2 2 7 4" xfId="2012" xr:uid="{ABB2EA9D-5271-4D21-874E-CC11CDCE9789}"/>
    <cellStyle name="Note 2 2 7 4 2" xfId="2011" xr:uid="{A72A20E8-632F-4030-83A9-C0AD52DB1FBB}"/>
    <cellStyle name="Note 2 2 7 5" xfId="2010" xr:uid="{524EC8A7-8BC1-4A6F-B3BB-CEDD1E386E57}"/>
    <cellStyle name="Note 2 2 8" xfId="30781" xr:uid="{92FB6AB5-1FF8-437E-9909-555D2D713D85}"/>
    <cellStyle name="Note 2 2 8 2" xfId="2009" xr:uid="{58145893-E5EB-489C-8468-CD028EBB2B0E}"/>
    <cellStyle name="Note 2 2 8 2 2" xfId="2008" xr:uid="{CA1C6FD8-FFC2-4E3A-8D50-09059B94EA30}"/>
    <cellStyle name="Note 2 2 8 2 2 2" xfId="2007" xr:uid="{F2A89FFD-D74F-46A6-8EBD-50F954CBA0A4}"/>
    <cellStyle name="Note 2 2 8 2 3" xfId="2006" xr:uid="{8120683A-B8B2-4E48-B191-1A882FBCE386}"/>
    <cellStyle name="Note 2 2 8 3" xfId="2005" xr:uid="{0C0E77D5-5923-478F-84C9-BF53AC8CEF25}"/>
    <cellStyle name="Note 2 2 8 3 2" xfId="2004" xr:uid="{4BBF61EC-0C77-439C-95F8-A4C573AD5A48}"/>
    <cellStyle name="Note 2 2 8 4" xfId="2003" xr:uid="{CDA485BF-1F39-4447-A7A3-D791B48A3250}"/>
    <cellStyle name="Note 2 2 9" xfId="2002" xr:uid="{E0692DB1-150E-4062-8B2E-173AA6488A9C}"/>
    <cellStyle name="Note 2 2 9 2" xfId="2001" xr:uid="{68361C31-039A-4F50-8588-A94331F632DB}"/>
    <cellStyle name="Note 2 2 9 2 2" xfId="2000" xr:uid="{893F7C6C-CEFA-429F-83D2-0008B294985B}"/>
    <cellStyle name="Note 2 2 9 3" xfId="1999" xr:uid="{66EA62E5-ADD3-4DEC-B5F7-BA64752699F7}"/>
    <cellStyle name="Note 2 3" xfId="196" xr:uid="{060DB802-E605-4443-B7AB-27C2E9290236}"/>
    <cellStyle name="Note 2 3 10" xfId="25959" xr:uid="{2EDF767B-7B8C-4046-93DC-016B6C8D75D1}"/>
    <cellStyle name="Note 2 3 11" xfId="34531" xr:uid="{E255C9BC-B82F-402A-A40F-6729D84B492B}"/>
    <cellStyle name="Note 2 3 12" xfId="1998" xr:uid="{D5749AB8-8103-4718-8A6D-1990B4376C8D}"/>
    <cellStyle name="Note 2 3 2" xfId="24392" xr:uid="{4654E559-A4B7-4AB4-9F71-EDECFD777727}"/>
    <cellStyle name="Note 2 3 2 2" xfId="1997" xr:uid="{2893F5B1-3D65-4CDA-87CC-E840BAC17697}"/>
    <cellStyle name="Note 2 3 2 2 2" xfId="17176" xr:uid="{2BDF7CB0-8C6D-47DD-A259-35FF9817B928}"/>
    <cellStyle name="Note 2 3 2 2 2 2" xfId="13924" xr:uid="{F6EA4862-1E4B-4A53-83B7-B3F8B402C5A0}"/>
    <cellStyle name="Note 2 3 2 2 2 2 2" xfId="1996" xr:uid="{7FB3C280-B891-42F3-8E52-5E4F472A78BE}"/>
    <cellStyle name="Note 2 3 2 2 2 2 2 2" xfId="1995" xr:uid="{843D4C79-3749-46EF-AD54-3FFFC437BA89}"/>
    <cellStyle name="Note 2 3 2 2 2 2 2 2 2" xfId="9746" xr:uid="{4F640EC7-927F-4714-9438-3BF38A0B570C}"/>
    <cellStyle name="Note 2 3 2 2 2 2 2 2 2 2" xfId="9742" xr:uid="{5581B255-DB17-4FA2-9D37-18AC11D55E22}"/>
    <cellStyle name="Note 2 3 2 2 2 2 2 2 2 2 2" xfId="27823" xr:uid="{62D117E0-2365-483A-8A95-3367B49540AF}"/>
    <cellStyle name="Note 2 3 2 2 2 2 2 2 2 3" xfId="28077" xr:uid="{97B635A0-1BDE-43FD-B3CD-6E6AC832DC2C}"/>
    <cellStyle name="Note 2 3 2 2 2 2 2 2 3" xfId="17907" xr:uid="{13CA2CAB-0417-4E6A-BC33-B10CD9C90D29}"/>
    <cellStyle name="Note 2 3 2 2 2 2 2 2 3 2" xfId="16838" xr:uid="{B5A591AE-2307-4C47-AAA7-DAD5A325B35B}"/>
    <cellStyle name="Note 2 3 2 2 2 2 2 2 4" xfId="1994" xr:uid="{F6C2CDBE-B0DD-4E7C-B374-9F4D69ECBA77}"/>
    <cellStyle name="Note 2 3 2 2 2 2 2 3" xfId="1993" xr:uid="{B0AF8EC9-88F6-4FA5-8F43-C89576740809}"/>
    <cellStyle name="Note 2 3 2 2 2 2 2 3 2" xfId="9729" xr:uid="{7B742115-D7D3-4348-93F4-852743FA13B3}"/>
    <cellStyle name="Note 2 3 2 2 2 2 2 3 2 2" xfId="1992" xr:uid="{883ED500-E47E-4FE0-81CF-7F87A25CD2A2}"/>
    <cellStyle name="Note 2 3 2 2 2 2 2 3 3" xfId="1991" xr:uid="{364F2045-D5B1-47A9-835F-D0B1E6DF7B4A}"/>
    <cellStyle name="Note 2 3 2 2 2 2 2 4" xfId="1990" xr:uid="{36079156-966D-4A8E-874D-D9EE4AA69F6A}"/>
    <cellStyle name="Note 2 3 2 2 2 2 2 4 2" xfId="1989" xr:uid="{2173CE8A-0454-49F4-98F8-88941A9559CB}"/>
    <cellStyle name="Note 2 3 2 2 2 2 2 5" xfId="12436" xr:uid="{B7E7CCE5-E41E-4519-828C-6AEBEF47A207}"/>
    <cellStyle name="Note 2 3 2 2 2 2 3" xfId="1988" xr:uid="{E247A6B0-D392-4388-921B-2AAADE16E58F}"/>
    <cellStyle name="Note 2 3 2 2 2 2 3 2" xfId="1987" xr:uid="{32FC8FCA-EF82-4886-98A9-B753D686A780}"/>
    <cellStyle name="Note 2 3 2 2 2 2 3 2 2" xfId="12531" xr:uid="{D0AC2479-86CF-4E23-B2C2-E44C69F4F7A8}"/>
    <cellStyle name="Note 2 3 2 2 2 2 3 2 2 2" xfId="1986" xr:uid="{8B917A38-5540-439B-99DD-0E643C55B22E}"/>
    <cellStyle name="Note 2 3 2 2 2 2 3 2 3" xfId="1985" xr:uid="{BF591944-4FB0-4218-B0B9-D0B7F2BCE34E}"/>
    <cellStyle name="Note 2 3 2 2 2 2 3 3" xfId="1984" xr:uid="{17E193EB-5001-4ECB-A613-56086969797D}"/>
    <cellStyle name="Note 2 3 2 2 2 2 3 3 2" xfId="1983" xr:uid="{3006F1D0-2DA7-46E5-837E-7A18465B9A4E}"/>
    <cellStyle name="Note 2 3 2 2 2 2 3 4" xfId="1982" xr:uid="{9594031E-CFDC-40ED-9610-D8A938ACAC05}"/>
    <cellStyle name="Note 2 3 2 2 2 2 4" xfId="29372" xr:uid="{70F0DB1C-9BD5-4E3B-BDB9-A795FC87B87A}"/>
    <cellStyle name="Note 2 3 2 2 2 2 4 2" xfId="1981" xr:uid="{CED24C14-6302-4089-B2A9-F885C904BAB6}"/>
    <cellStyle name="Note 2 3 2 2 2 2 4 2 2" xfId="1980" xr:uid="{13A2DA99-407C-4E68-A4E3-209C370E0C82}"/>
    <cellStyle name="Note 2 3 2 2 2 2 4 3" xfId="1979" xr:uid="{4F863CF2-9CEB-4CCE-8414-A7934CFD5DD3}"/>
    <cellStyle name="Note 2 3 2 2 2 2 5" xfId="1978" xr:uid="{7090ECA9-0A7E-4EAE-91C7-306690587F90}"/>
    <cellStyle name="Note 2 3 2 2 2 2 5 2" xfId="30418" xr:uid="{A284797C-E2CF-4CA9-9776-1E7EDD22A922}"/>
    <cellStyle name="Note 2 3 2 2 2 2 6" xfId="1977" xr:uid="{6F6AC176-1C48-4C02-A8BD-C4EBFFC9C666}"/>
    <cellStyle name="Note 2 3 2 2 2 3" xfId="1976" xr:uid="{52FCC7F5-D704-4E33-B43E-5CCDA8D15055}"/>
    <cellStyle name="Note 2 3 2 2 2 3 2" xfId="1975" xr:uid="{65540660-5E59-4892-83A5-DDCAD874F6E8}"/>
    <cellStyle name="Note 2 3 2 2 2 3 2 2" xfId="1974" xr:uid="{160C2DFD-D54A-4531-9A0C-54093A88AFD0}"/>
    <cellStyle name="Note 2 3 2 2 2 3 2 2 2" xfId="9614" xr:uid="{B5E06801-06E3-4FC4-AC0A-3024A2BD96AD}"/>
    <cellStyle name="Note 2 3 2 2 2 3 2 2 2 2" xfId="34323" xr:uid="{665E481D-FDD5-49B2-B7CB-43AC11C4A224}"/>
    <cellStyle name="Note 2 3 2 2 2 3 2 2 3" xfId="12523" xr:uid="{B67487E7-DD5F-4CFE-BD50-C5AC0934F537}"/>
    <cellStyle name="Note 2 3 2 2 2 3 2 3" xfId="1973" xr:uid="{016F5B42-F6E7-4536-8493-56E1D579FFE1}"/>
    <cellStyle name="Note 2 3 2 2 2 3 2 3 2" xfId="6660" xr:uid="{A7E39FA4-18BE-408C-BDAC-FD75F60F8FB5}"/>
    <cellStyle name="Note 2 3 2 2 2 3 2 4" xfId="1972" xr:uid="{8B46EE0F-C1D2-4378-A191-3EDB9EC1F701}"/>
    <cellStyle name="Note 2 3 2 2 2 3 3" xfId="1971" xr:uid="{23E260CE-72FE-4AAD-9ED3-6D7873D4D1F7}"/>
    <cellStyle name="Note 2 3 2 2 2 3 3 2" xfId="1970" xr:uid="{C24B2B74-E4FD-438A-BEAA-0456B1FCC78D}"/>
    <cellStyle name="Note 2 3 2 2 2 3 3 2 2" xfId="31607" xr:uid="{B6AEF291-1679-48D4-BFA8-904FB5A110A8}"/>
    <cellStyle name="Note 2 3 2 2 2 3 3 3" xfId="1969" xr:uid="{4A2B7095-5407-4CED-A38B-C19099598348}"/>
    <cellStyle name="Note 2 3 2 2 2 3 4" xfId="24839" xr:uid="{34DBE902-4106-400D-BDE2-511D2D8C0BAE}"/>
    <cellStyle name="Note 2 3 2 2 2 3 4 2" xfId="1968" xr:uid="{1A1BA943-4BFE-4063-BA2E-716862C21951}"/>
    <cellStyle name="Note 2 3 2 2 2 3 5" xfId="1967" xr:uid="{74452008-B378-4A2E-81D4-5417CEAF9D0D}"/>
    <cellStyle name="Note 2 3 2 2 2 4" xfId="25986" xr:uid="{FF04F7C0-3D0E-46C5-8D79-595B8C651774}"/>
    <cellStyle name="Note 2 3 2 2 2 4 2" xfId="29100" xr:uid="{2CED0695-CAA0-4F04-80D3-FEB689F63692}"/>
    <cellStyle name="Note 2 3 2 2 2 4 2 2" xfId="1966" xr:uid="{F48F2364-D1FF-4EF6-8273-D60500890CDA}"/>
    <cellStyle name="Note 2 3 2 2 2 4 2 2 2" xfId="12366" xr:uid="{E4BB633A-5B81-4079-A039-8F4A2604E455}"/>
    <cellStyle name="Note 2 3 2 2 2 4 2 3" xfId="1965" xr:uid="{3CFFEA15-549B-406A-B17B-F00FE0637AF0}"/>
    <cellStyle name="Note 2 3 2 2 2 4 3" xfId="29095" xr:uid="{C06BBA3A-EE0B-476F-AE14-7F5DC332AD14}"/>
    <cellStyle name="Note 2 3 2 2 2 4 3 2" xfId="26307" xr:uid="{BC6B092F-762C-40F3-B73F-99352E58A776}"/>
    <cellStyle name="Note 2 3 2 2 2 4 4" xfId="1964" xr:uid="{223539FB-2536-439D-B1F5-C12512357D1A}"/>
    <cellStyle name="Note 2 3 2 2 2 5" xfId="29092" xr:uid="{51817B7B-4169-4901-A618-FB3323013EC1}"/>
    <cellStyle name="Note 2 3 2 2 2 5 2" xfId="29087" xr:uid="{8D4E7533-95EB-439B-B8AA-CB9C10704D91}"/>
    <cellStyle name="Note 2 3 2 2 2 5 2 2" xfId="1963" xr:uid="{D59C7220-2E61-4348-BEB8-A583436A3B90}"/>
    <cellStyle name="Note 2 3 2 2 2 5 3" xfId="1962" xr:uid="{CECE5207-5A85-459C-93F6-D2396CEE7DCB}"/>
    <cellStyle name="Note 2 3 2 2 2 6" xfId="29085" xr:uid="{FB8AF7CF-4725-4FFD-B6BA-C4793B141514}"/>
    <cellStyle name="Note 2 3 2 2 2 6 2" xfId="1961" xr:uid="{A072B7B1-F083-472E-A9AC-6ADCD464423B}"/>
    <cellStyle name="Note 2 3 2 2 2 7" xfId="1960" xr:uid="{FD913A27-D70E-45E5-9F93-25C889E89F65}"/>
    <cellStyle name="Note 2 3 2 2 3" xfId="1959" xr:uid="{27A51101-6B85-4AD7-AAAD-A900EB293CE5}"/>
    <cellStyle name="Note 2 3 2 2 3 2" xfId="1958" xr:uid="{DCF3DCE6-6F0A-478F-A69B-414156BEB945}"/>
    <cellStyle name="Note 2 3 2 2 3 2 2" xfId="1957" xr:uid="{ACCDA098-78CC-42E9-8193-FA5A27FDA9E7}"/>
    <cellStyle name="Note 2 3 2 2 3 2 2 2" xfId="1956" xr:uid="{5550DF8B-B1F8-4DA1-8563-63B64994C61B}"/>
    <cellStyle name="Note 2 3 2 2 3 2 2 2 2" xfId="11179" xr:uid="{D35CEF5C-6A55-4DF9-992B-5BB34863B2CA}"/>
    <cellStyle name="Note 2 3 2 2 3 2 2 2 2 2" xfId="14681" xr:uid="{222152C0-B561-433B-A7D2-4B785B6B1C68}"/>
    <cellStyle name="Note 2 3 2 2 3 2 2 2 3" xfId="17074" xr:uid="{6B55FFA5-0DF5-4DE1-93E8-EBD0805ABF39}"/>
    <cellStyle name="Note 2 3 2 2 3 2 2 3" xfId="1955" xr:uid="{4C08CA9A-8D37-4F1C-96E3-0878A25A3032}"/>
    <cellStyle name="Note 2 3 2 2 3 2 2 3 2" xfId="17120" xr:uid="{5499D604-07C6-4FFA-802F-4CF137A7B527}"/>
    <cellStyle name="Note 2 3 2 2 3 2 2 4" xfId="1954" xr:uid="{B52524AA-8EA5-43B1-A6BA-48B4A14FF163}"/>
    <cellStyle name="Note 2 3 2 2 3 2 3" xfId="1953" xr:uid="{992D8C4F-60F6-4821-83EE-83B257F16886}"/>
    <cellStyle name="Note 2 3 2 2 3 2 3 2" xfId="1952" xr:uid="{CA9269F0-BA92-463E-9592-0AE8694903AB}"/>
    <cellStyle name="Note 2 3 2 2 3 2 3 2 2" xfId="11153" xr:uid="{3B7F29C9-3F0B-4020-BD25-A9A39D53503A}"/>
    <cellStyle name="Note 2 3 2 2 3 2 3 3" xfId="1951" xr:uid="{C2D5D816-95D3-4E21-A4C3-85B99D5808E8}"/>
    <cellStyle name="Note 2 3 2 2 3 2 4" xfId="1950" xr:uid="{59C3473E-654B-4057-8BFF-17B5D68E3AC9}"/>
    <cellStyle name="Note 2 3 2 2 3 2 4 2" xfId="1949" xr:uid="{689E4896-21ED-456E-9080-486B86F13159}"/>
    <cellStyle name="Note 2 3 2 2 3 2 5" xfId="27685" xr:uid="{43C72D01-BDCC-494E-9F3F-4B1F43915260}"/>
    <cellStyle name="Note 2 3 2 2 3 3" xfId="1948" xr:uid="{1AC1166D-8F33-4A8F-9643-C4D830708ED5}"/>
    <cellStyle name="Note 2 3 2 2 3 3 2" xfId="1947" xr:uid="{3D2BFFCA-E91F-4120-A707-29E9186E3A22}"/>
    <cellStyle name="Note 2 3 2 2 3 3 2 2" xfId="15408" xr:uid="{7654C588-9021-422E-A4D4-DCE5E7F50A66}"/>
    <cellStyle name="Note 2 3 2 2 3 3 2 2 2" xfId="11046" xr:uid="{3544ED45-CB12-44E0-B03F-B5FDB747F9CD}"/>
    <cellStyle name="Note 2 3 2 2 3 3 2 3" xfId="15402" xr:uid="{90764A66-CDDE-44AE-8A22-86D0A4C00966}"/>
    <cellStyle name="Note 2 3 2 2 3 3 3" xfId="1946" xr:uid="{0DE5DA0B-6663-4843-A03F-6CD8F3518E75}"/>
    <cellStyle name="Note 2 3 2 2 3 3 3 2" xfId="15395" xr:uid="{22CB4B0C-C6DE-4E5B-90B5-4295F51E4E30}"/>
    <cellStyle name="Note 2 3 2 2 3 3 4" xfId="1945" xr:uid="{0FA48362-6D29-4533-908B-2001F41B00CF}"/>
    <cellStyle name="Note 2 3 2 2 3 4" xfId="29074" xr:uid="{48A86049-F362-4544-9F2B-0AB2853F0D70}"/>
    <cellStyle name="Note 2 3 2 2 3 4 2" xfId="24291" xr:uid="{92DEC4DF-38B7-4B69-BBCF-E3EF726D0832}"/>
    <cellStyle name="Note 2 3 2 2 3 4 2 2" xfId="19671" xr:uid="{756DF4C0-037F-459A-B296-9C344FE3D215}"/>
    <cellStyle name="Note 2 3 2 2 3 4 3" xfId="1944" xr:uid="{F25A8E63-6773-4EA6-A914-F24C0CE31B0D}"/>
    <cellStyle name="Note 2 3 2 2 3 5" xfId="11130" xr:uid="{2FE1630D-D95A-4E19-AAD8-022196CCC7D2}"/>
    <cellStyle name="Note 2 3 2 2 3 5 2" xfId="1943" xr:uid="{E7C87740-3894-424F-9213-B77D4D32D17F}"/>
    <cellStyle name="Note 2 3 2 2 3 6" xfId="11123" xr:uid="{654525EE-515B-4E0D-86A8-C7BDAF0EDF3B}"/>
    <cellStyle name="Note 2 3 2 2 4" xfId="1942" xr:uid="{9D9085A2-5116-4A46-AEE7-86B351F4BDFE}"/>
    <cellStyle name="Note 2 3 2 2 4 2" xfId="2659" xr:uid="{9194D8AA-3FC4-493F-B2F8-33E3BBF6ADE9}"/>
    <cellStyle name="Note 2 3 2 2 4 2 2" xfId="2657" xr:uid="{04F99DAB-721F-45EA-81BE-0977D77CF0C6}"/>
    <cellStyle name="Note 2 3 2 2 4 2 2 2" xfId="1941" xr:uid="{89BCB7BA-63E1-4FE9-B828-24E37A639710}"/>
    <cellStyle name="Note 2 3 2 2 4 2 2 2 2" xfId="1940" xr:uid="{84909B3D-20BA-4407-9508-A5A1D87C6B5A}"/>
    <cellStyle name="Note 2 3 2 2 4 2 2 3" xfId="1939" xr:uid="{2DA4D90C-E0E4-4703-8A22-DA666145EE81}"/>
    <cellStyle name="Note 2 3 2 2 4 2 3" xfId="1938" xr:uid="{13F174CC-1CBE-40CD-B63E-7730FAF7B991}"/>
    <cellStyle name="Note 2 3 2 2 4 2 3 2" xfId="1937" xr:uid="{D649685F-C4E9-4F3A-B26E-5D303047B2B9}"/>
    <cellStyle name="Note 2 3 2 2 4 2 4" xfId="1936" xr:uid="{8BAEDD68-DAE6-4851-8023-1E2A9C1CB760}"/>
    <cellStyle name="Note 2 3 2 2 4 3" xfId="18346" xr:uid="{076259DA-9818-4D21-AD23-B1FC966D7C1B}"/>
    <cellStyle name="Note 2 3 2 2 4 3 2" xfId="1935" xr:uid="{58300831-7EB1-41A6-92B3-7A6BEC14069C}"/>
    <cellStyle name="Note 2 3 2 2 4 3 2 2" xfId="15383" xr:uid="{B3A1EBC0-157A-4BC9-A3AB-CE3D4CAC466B}"/>
    <cellStyle name="Note 2 3 2 2 4 3 3" xfId="1934" xr:uid="{20FECD01-E7A6-4663-B89C-472B32039AE2}"/>
    <cellStyle name="Note 2 3 2 2 4 4" xfId="26050" xr:uid="{11FCBFCD-D5BA-4080-9657-F81407C8B370}"/>
    <cellStyle name="Note 2 3 2 2 4 4 2" xfId="1933" xr:uid="{A2B70E67-95ED-4145-BA51-ED555F2358EC}"/>
    <cellStyle name="Note 2 3 2 2 4 5" xfId="11121" xr:uid="{26B246E2-7F8E-45D4-A8D2-533B2622E1E7}"/>
    <cellStyle name="Note 2 3 2 2 5" xfId="1932" xr:uid="{2DE5A900-18C5-4DF0-8A44-D27BF4DBAD05}"/>
    <cellStyle name="Note 2 3 2 2 5 2" xfId="2646" xr:uid="{560CABBD-A776-4CA6-9031-ABD79E1CD52A}"/>
    <cellStyle name="Note 2 3 2 2 5 2 2" xfId="23857" xr:uid="{7CA4CD65-299E-4914-A7E6-A0F6B63007DE}"/>
    <cellStyle name="Note 2 3 2 2 5 2 2 2" xfId="1931" xr:uid="{0BCC33BB-1BBE-46B4-8902-35D1845057BD}"/>
    <cellStyle name="Note 2 3 2 2 5 2 3" xfId="23853" xr:uid="{AFAED7EB-78BA-4099-BCB2-4056DCF5F379}"/>
    <cellStyle name="Note 2 3 2 2 5 3" xfId="1930" xr:uid="{4F9A3E29-1947-4150-9A0B-6F4F68B3541E}"/>
    <cellStyle name="Note 2 3 2 2 5 3 2" xfId="23847" xr:uid="{76E5773A-E2A8-4DBB-A426-B62C7326B300}"/>
    <cellStyle name="Note 2 3 2 2 5 4" xfId="1929" xr:uid="{B1A67F26-86A7-494B-9118-03050BA0D6F5}"/>
    <cellStyle name="Note 2 3 2 2 6" xfId="1928" xr:uid="{3C748D5A-5271-4F26-9825-B817D6AC3382}"/>
    <cellStyle name="Note 2 3 2 2 6 2" xfId="1927" xr:uid="{AB4A7C63-8D12-47CC-AB08-9C594A1449D2}"/>
    <cellStyle name="Note 2 3 2 2 6 2 2" xfId="23823" xr:uid="{818EE2CC-924E-42A9-926C-47B7276128E2}"/>
    <cellStyle name="Note 2 3 2 2 6 3" xfId="1926" xr:uid="{1721E6E9-B4DC-4A12-B37C-691B3FCED257}"/>
    <cellStyle name="Note 2 3 2 2 7" xfId="1925" xr:uid="{E42CDB44-D8C5-4BF4-8667-FBF77BD5C175}"/>
    <cellStyle name="Note 2 3 2 2 7 2" xfId="1924" xr:uid="{D9B56700-F478-4742-A297-F3B6F7A1DA17}"/>
    <cellStyle name="Note 2 3 2 2 8" xfId="1923" xr:uid="{2FF24EE9-EF33-4381-93AA-45D0F93FD39F}"/>
    <cellStyle name="Note 2 3 2 3" xfId="1922" xr:uid="{8F1B8076-3A67-4F0C-A66D-9D6AB27E50E5}"/>
    <cellStyle name="Note 2 3 2 3 2" xfId="29424" xr:uid="{5345F3CF-13A3-4557-A5F5-B1DD7CB5573E}"/>
    <cellStyle name="Note 2 3 2 3 2 2" xfId="18923" xr:uid="{9902E303-0079-4803-A067-9ECE47E35A54}"/>
    <cellStyle name="Note 2 3 2 3 2 2 2" xfId="30702" xr:uid="{FFA89682-07A4-4F33-AB73-A0E85E9A83F9}"/>
    <cellStyle name="Note 2 3 2 3 2 2 2 2" xfId="24535" xr:uid="{C2CF8F7E-9E8A-423A-9E01-F633D3A92868}"/>
    <cellStyle name="Note 2 3 2 3 2 2 2 2 2" xfId="29369" xr:uid="{CFC9FC96-0BA1-4E54-A79E-5AF86E6D6E04}"/>
    <cellStyle name="Note 2 3 2 3 2 2 2 2 2 2" xfId="21993" xr:uid="{8C43F5B8-864D-4BE5-ADEE-E57304BBCA75}"/>
    <cellStyle name="Note 2 3 2 3 2 2 2 2 3" xfId="29360" xr:uid="{863CD81F-122A-4001-A5EF-9B1FBBBBF149}"/>
    <cellStyle name="Note 2 3 2 3 2 2 2 3" xfId="31261" xr:uid="{4E58D52A-388E-4E0A-93F0-C8231540C3DC}"/>
    <cellStyle name="Note 2 3 2 3 2 2 2 3 2" xfId="19422" xr:uid="{F911271F-4922-43E4-A19E-4F02D44BD7E4}"/>
    <cellStyle name="Note 2 3 2 3 2 2 2 4" xfId="29350" xr:uid="{CD0FA1E5-085D-4F3E-B1CC-5B2AE253BD8C}"/>
    <cellStyle name="Note 2 3 2 3 2 2 3" xfId="31602" xr:uid="{B998686B-5BDD-4D63-A5BD-19CDB690E79A}"/>
    <cellStyle name="Note 2 3 2 3 2 2 3 2" xfId="24522" xr:uid="{F981BD12-ABF0-4C02-8ABA-6E19209D9545}"/>
    <cellStyle name="Note 2 3 2 3 2 2 3 2 2" xfId="30890" xr:uid="{6C19C5A9-9362-4841-BAC8-E1F70DD0383E}"/>
    <cellStyle name="Note 2 3 2 3 2 2 3 3" xfId="29339" xr:uid="{15728FF2-905D-4EA9-9386-899D3D0952F4}"/>
    <cellStyle name="Note 2 3 2 3 2 2 4" xfId="30004" xr:uid="{F5C41876-46A3-4EBB-9059-10C6F83ABA07}"/>
    <cellStyle name="Note 2 3 2 3 2 2 4 2" xfId="29325" xr:uid="{FFF76B2C-F7EC-4A28-B677-9D0C6B54BF51}"/>
    <cellStyle name="Note 2 3 2 3 2 2 5" xfId="29311" xr:uid="{9E185A47-6062-45D6-B2BF-AD132A405160}"/>
    <cellStyle name="Note 2 3 2 3 2 3" xfId="18913" xr:uid="{45CAD30B-AEB8-4E64-943C-4A5208F3C3C4}"/>
    <cellStyle name="Note 2 3 2 3 2 3 2" xfId="30213" xr:uid="{24CB5661-8A6B-4A9E-99B3-896C8E1D57E0}"/>
    <cellStyle name="Note 2 3 2 3 2 3 2 2" xfId="24515" xr:uid="{CC02B27B-67AD-4CA5-91F9-A4D7A864BB31}"/>
    <cellStyle name="Note 2 3 2 3 2 3 2 2 2" xfId="10046" xr:uid="{4A3DBF28-1B92-40AB-A324-A29626CADD05}"/>
    <cellStyle name="Note 2 3 2 3 2 3 2 3" xfId="29285" xr:uid="{B91215D5-ADA4-4539-AC3D-595A73B0FB31}"/>
    <cellStyle name="Note 2 3 2 3 2 3 3" xfId="30202" xr:uid="{E581870E-C45A-49D0-B106-05575ABCB1E5}"/>
    <cellStyle name="Note 2 3 2 3 2 3 3 2" xfId="29275" xr:uid="{D8087747-A33F-4BAA-809C-703355E08C56}"/>
    <cellStyle name="Note 2 3 2 3 2 3 4" xfId="30406" xr:uid="{C2006CA5-54EC-4C24-8315-ADAE158C12DF}"/>
    <cellStyle name="Note 2 3 2 3 2 4" xfId="17979" xr:uid="{E260431F-5916-4CEA-857E-2AD25D4F3025}"/>
    <cellStyle name="Note 2 3 2 3 2 4 2" xfId="20555" xr:uid="{1810CA1F-637A-430F-8319-4BDDC43A036A}"/>
    <cellStyle name="Note 2 3 2 3 2 4 2 2" xfId="29255" xr:uid="{EF108525-9C09-429B-A71A-241E1907B860}"/>
    <cellStyle name="Note 2 3 2 3 2 4 3" xfId="23212" xr:uid="{EE76BEFE-0D42-4FED-8336-8707E8A26F91}"/>
    <cellStyle name="Note 2 3 2 3 2 5" xfId="28959" xr:uid="{E9D2D66E-8E71-4E19-B655-B8959F0F1925}"/>
    <cellStyle name="Note 2 3 2 3 2 5 2" xfId="30634" xr:uid="{52C7E3EE-4294-45BC-B434-2AEA559EAD69}"/>
    <cellStyle name="Note 2 3 2 3 2 6" xfId="27602" xr:uid="{56CCBC9F-CA89-4D48-A3B3-D9F7C174BCB9}"/>
    <cellStyle name="Note 2 3 2 3 3" xfId="28099" xr:uid="{95A79C6A-1032-48EF-BD12-D2E0F277F03B}"/>
    <cellStyle name="Note 2 3 2 3 3 2" xfId="18908" xr:uid="{8149275D-FBA5-47D4-B805-26F4A5D39E62}"/>
    <cellStyle name="Note 2 3 2 3 3 2 2" xfId="26272" xr:uid="{70F1255A-3ACD-4B2B-A887-7A6DE883F55E}"/>
    <cellStyle name="Note 2 3 2 3 3 2 2 2" xfId="24489" xr:uid="{63054178-7240-47B8-9F3D-6B44EB9F9C4B}"/>
    <cellStyle name="Note 2 3 2 3 3 2 2 2 2" xfId="18955" xr:uid="{A28E66ED-705F-4A1F-9A01-20B204B93895}"/>
    <cellStyle name="Note 2 3 2 3 3 2 2 3" xfId="32618" xr:uid="{853DB7F3-0478-4F32-86E7-FEAD0B41635B}"/>
    <cellStyle name="Note 2 3 2 3 3 2 3" xfId="32640" xr:uid="{AB46BCE9-896D-4B60-ADB2-E8AD42847FF0}"/>
    <cellStyle name="Note 2 3 2 3 3 2 3 2" xfId="24845" xr:uid="{092BE0D8-2BC2-4F81-BFCB-53A9056DFA9F}"/>
    <cellStyle name="Note 2 3 2 3 3 2 4" xfId="32155" xr:uid="{8F5BA69C-DDBF-4A80-A24C-49F49AC19CDE}"/>
    <cellStyle name="Note 2 3 2 3 3 3" xfId="17975" xr:uid="{FD8E367F-367E-4620-A865-9E9C76E8C888}"/>
    <cellStyle name="Note 2 3 2 3 3 3 2" xfId="30745" xr:uid="{27DE9F4E-1554-4460-A16E-02879C91EE6D}"/>
    <cellStyle name="Note 2 3 2 3 3 3 2 2" xfId="15366" xr:uid="{DEB87FD1-8AEF-4FF4-A054-33C1B251F4F1}"/>
    <cellStyle name="Note 2 3 2 3 3 3 3" xfId="32604" xr:uid="{D4DA93A6-D2E0-4C22-A7B5-78EE4202A01E}"/>
    <cellStyle name="Note 2 3 2 3 3 4" xfId="28939" xr:uid="{9253249E-EAB9-429D-B621-650BA43AE58E}"/>
    <cellStyle name="Note 2 3 2 3 3 4 2" xfId="17839" xr:uid="{0259EF32-B2F7-49F9-BE78-D162E7180117}"/>
    <cellStyle name="Note 2 3 2 3 3 5" xfId="11101" xr:uid="{7420B1F4-31D6-4054-A6FC-C1A62A41A35A}"/>
    <cellStyle name="Note 2 3 2 3 4" xfId="25636" xr:uid="{DDD62AF8-09B5-42FC-BA54-8859321F2DBA}"/>
    <cellStyle name="Note 2 3 2 3 4 2" xfId="17971" xr:uid="{465E12F5-619A-4B1A-A238-F3DAA197F4A8}"/>
    <cellStyle name="Note 2 3 2 3 4 2 2" xfId="30733" xr:uid="{2F45F85A-9C2D-4CEA-9810-D8F47B91FD80}"/>
    <cellStyle name="Note 2 3 2 3 4 2 2 2" xfId="32511" xr:uid="{7D41A8AA-454B-4B3D-92B6-44738A386099}"/>
    <cellStyle name="Note 2 3 2 3 4 2 3" xfId="31125" xr:uid="{4DEB8F8B-5A78-45A5-9F62-D1B2BE7E0469}"/>
    <cellStyle name="Note 2 3 2 3 4 3" xfId="29865" xr:uid="{FA136852-9CE5-47B4-8155-2A6A35A5A76E}"/>
    <cellStyle name="Note 2 3 2 3 4 3 2" xfId="30720" xr:uid="{BA1E6609-D011-4D9A-AF52-B4B739EBDE29}"/>
    <cellStyle name="Note 2 3 2 3 4 4" xfId="29239" xr:uid="{A12E02E7-5A48-416E-A71B-F182D47C39C9}"/>
    <cellStyle name="Note 2 3 2 3 5" xfId="29229" xr:uid="{F1F7FAB3-8316-40CD-B856-CF2533473928}"/>
    <cellStyle name="Note 2 3 2 3 5 2" xfId="22861" xr:uid="{54E6E453-C960-4D24-BACC-5B9BAA6505CD}"/>
    <cellStyle name="Note 2 3 2 3 5 2 2" xfId="25182" xr:uid="{75E2EB73-BB20-4BBE-86E0-FA80454F5DDE}"/>
    <cellStyle name="Note 2 3 2 3 5 3" xfId="21716" xr:uid="{A52FAE5C-E68A-41DE-95E9-C6B0F802F9DB}"/>
    <cellStyle name="Note 2 3 2 3 6" xfId="1921" xr:uid="{D6B5AFC4-9C0D-49A7-84AF-4AC64F81CD26}"/>
    <cellStyle name="Note 2 3 2 3 6 2" xfId="26971" xr:uid="{2D96249D-CEF0-46C5-82D1-D20A92CD36EF}"/>
    <cellStyle name="Note 2 3 2 3 7" xfId="1920" xr:uid="{6B2ACA35-84EF-48DB-ACC1-A47FA58990DC}"/>
    <cellStyle name="Note 2 3 2 4" xfId="1919" xr:uid="{7953C628-1A5C-421D-B3E9-A39CC8C1AD41}"/>
    <cellStyle name="Note 2 3 2 4 2" xfId="28340" xr:uid="{A9F5EEBD-5073-437B-A48B-DB2703602533}"/>
    <cellStyle name="Note 2 3 2 4 2 2" xfId="18899" xr:uid="{7D10973A-BB5C-4D4F-BFF5-E97FD02FC9A0}"/>
    <cellStyle name="Note 2 3 2 4 2 2 2" xfId="31295" xr:uid="{9A74F26C-713F-42F9-BD6D-31D385867048}"/>
    <cellStyle name="Note 2 3 2 4 2 2 2 2" xfId="24460" xr:uid="{8996F000-9F53-4850-9F07-152966076D15}"/>
    <cellStyle name="Note 2 3 2 4 2 2 2 2 2" xfId="32887" xr:uid="{FA2ECA02-1981-4169-939D-E02150B6F9F2}"/>
    <cellStyle name="Note 2 3 2 4 2 2 2 3" xfId="29333" xr:uid="{6F571618-9BB7-4EFD-B048-8ED05FBD0360}"/>
    <cellStyle name="Note 2 3 2 4 2 2 3" xfId="30001" xr:uid="{75F66D7D-D224-46C9-AD97-58396D80C531}"/>
    <cellStyle name="Note 2 3 2 4 2 2 3 2" xfId="29317" xr:uid="{1E10E62D-3CEA-4150-B311-B43197BF1EEC}"/>
    <cellStyle name="Note 2 3 2 4 2 2 4" xfId="29309" xr:uid="{5D26A307-9E1B-4848-AB48-BD1597822565}"/>
    <cellStyle name="Note 2 3 2 4 2 3" xfId="17960" xr:uid="{7EFC6FE8-0B7B-4FFD-8552-0A8095ED60F0}"/>
    <cellStyle name="Note 2 3 2 4 2 3 2" xfId="30197" xr:uid="{7204BFD7-AE9C-4923-9A61-8003E223759C}"/>
    <cellStyle name="Note 2 3 2 4 2 3 2 2" xfId="25549" xr:uid="{8C696813-CAD4-4908-818B-255BAAAAEF08}"/>
    <cellStyle name="Note 2 3 2 4 2 3 3" xfId="30403" xr:uid="{AC090A79-DFD4-47AE-B203-7F9867055227}"/>
    <cellStyle name="Note 2 3 2 4 2 4" xfId="29429" xr:uid="{879A7BBB-C604-47D2-835C-2F3CFFD47B70}"/>
    <cellStyle name="Note 2 3 2 4 2 4 2" xfId="21771" xr:uid="{0FDCEC1E-047D-4B38-967E-51DA662DD8E9}"/>
    <cellStyle name="Note 2 3 2 4 2 5" xfId="28452" xr:uid="{31BE3F47-FCEF-4AF5-B024-C179B7419AB7}"/>
    <cellStyle name="Note 2 3 2 4 3" xfId="24929" xr:uid="{2BA8D2CC-A011-4E93-AFA6-90588D43FEC7}"/>
    <cellStyle name="Note 2 3 2 4 3 2" xfId="17956" xr:uid="{6B80D849-8B43-4168-A8D2-983227E663B7}"/>
    <cellStyle name="Note 2 3 2 4 3 2 2" xfId="31003" xr:uid="{E973918D-18A2-43A8-976F-E512DCEF2E77}"/>
    <cellStyle name="Note 2 3 2 4 3 2 2 2" xfId="31600" xr:uid="{3922C882-09E0-4F0B-87E4-871BA9FA8EEA}"/>
    <cellStyle name="Note 2 3 2 4 3 2 3" xfId="32158" xr:uid="{824EF54A-A126-4371-A054-155B231CE9B4}"/>
    <cellStyle name="Note 2 3 2 4 3 3" xfId="31873" xr:uid="{2069D364-8A9B-44D4-882C-35A52D05B7C4}"/>
    <cellStyle name="Note 2 3 2 4 3 3 2" xfId="32600" xr:uid="{C42FBF17-C48F-44C0-8D31-D2801FAB2C5F}"/>
    <cellStyle name="Note 2 3 2 4 3 4" xfId="33352" xr:uid="{8AEE5691-4E0C-476A-B3C1-AA61E3DBD9F3}"/>
    <cellStyle name="Note 2 3 2 4 4" xfId="8343" xr:uid="{0A57563A-D5C7-49ED-B99E-55B468248473}"/>
    <cellStyle name="Note 2 3 2 4 4 2" xfId="28443" xr:uid="{86475203-02E1-4F92-9CE8-C398269D1D9F}"/>
    <cellStyle name="Note 2 3 2 4 4 2 2" xfId="30709" xr:uid="{6E6DEE0B-9608-49F2-88BD-31754BF4B48F}"/>
    <cellStyle name="Note 2 3 2 4 4 3" xfId="30932" xr:uid="{9C5D691F-943E-44E5-A666-34E175B8378C}"/>
    <cellStyle name="Note 2 3 2 4 5" xfId="28440" xr:uid="{FF296D9C-FFAE-4E62-AF65-10A0FA1856B5}"/>
    <cellStyle name="Note 2 3 2 4 5 2" xfId="22844" xr:uid="{D72731C2-00D8-453F-8A15-C3F40970DFCC}"/>
    <cellStyle name="Note 2 3 2 4 6" xfId="1918" xr:uid="{A15F7A3D-D78F-4A09-848C-17D342509E61}"/>
    <cellStyle name="Note 2 3 2 5" xfId="1917" xr:uid="{333E69B4-EB32-457C-9C4E-B752405365A8}"/>
    <cellStyle name="Note 2 3 2 5 2" xfId="24915" xr:uid="{05AD31EF-FE79-47C8-B791-CD3699FE05A3}"/>
    <cellStyle name="Note 2 3 2 5 2 2" xfId="17951" xr:uid="{75281182-0AD2-4CEC-860B-8B892E13281A}"/>
    <cellStyle name="Note 2 3 2 5 2 2 2" xfId="29685" xr:uid="{9888C885-FB38-4F00-A4ED-3C5BECF20A4B}"/>
    <cellStyle name="Note 2 3 2 5 2 2 2 2" xfId="24780" xr:uid="{BB428763-5B73-48D6-BD15-A7F58F000587}"/>
    <cellStyle name="Note 2 3 2 5 2 2 3" xfId="29591" xr:uid="{D570B006-9019-4B0B-B8AA-52B31B3FA5B1}"/>
    <cellStyle name="Note 2 3 2 5 2 3" xfId="28108" xr:uid="{6A81A7BE-8720-4CDF-B20F-F4F2C8DABE91}"/>
    <cellStyle name="Note 2 3 2 5 2 3 2" xfId="32535" xr:uid="{8704CCFA-0896-4121-83BF-E3A92DEF8C1A}"/>
    <cellStyle name="Note 2 3 2 5 2 4" xfId="28105" xr:uid="{D5143DCF-DF23-438D-BDAD-D25CAE465F44}"/>
    <cellStyle name="Note 2 3 2 5 3" xfId="8335" xr:uid="{38DFDC8C-E36E-4348-8145-12A4A09AAC36}"/>
    <cellStyle name="Note 2 3 2 5 3 2" xfId="28096" xr:uid="{3E679DFD-4BF6-4B23-A5DE-CFF435320A48}"/>
    <cellStyle name="Note 2 3 2 5 3 2 2" xfId="21258" xr:uid="{D4ED9CFC-3B58-4F66-A8A3-4609E2B1BE42}"/>
    <cellStyle name="Note 2 3 2 5 3 3" xfId="30901" xr:uid="{13ECC163-4C0A-488B-A997-F9F7D827E13B}"/>
    <cellStyle name="Note 2 3 2 5 4" xfId="17218" xr:uid="{3C2EFDB2-B726-4E26-83E5-E09C98566321}"/>
    <cellStyle name="Note 2 3 2 5 4 2" xfId="28092" xr:uid="{0AEF285D-4749-41D5-8C59-E5024E80B71A}"/>
    <cellStyle name="Note 2 3 2 5 5" xfId="17211" xr:uid="{ADC1F776-509E-4C2A-8E6B-B1B281ABD84B}"/>
    <cellStyle name="Note 2 3 2 6" xfId="9869" xr:uid="{D4F48AC0-7FAE-4ADA-A032-B8CD5551D174}"/>
    <cellStyle name="Note 2 3 2 6 2" xfId="8329" xr:uid="{92B6B1D7-302A-4B57-9540-BC34118681E1}"/>
    <cellStyle name="Note 2 3 2 6 2 2" xfId="27940" xr:uid="{0088DFFD-49DD-4037-8D19-CC55ED683534}"/>
    <cellStyle name="Note 2 3 2 6 2 2 2" xfId="29451" xr:uid="{9222266A-5646-4B0C-9D3D-1E0F61CCBD32}"/>
    <cellStyle name="Note 2 3 2 6 2 3" xfId="27936" xr:uid="{CA7F795D-1D4B-4FA0-99A8-F64A10767924}"/>
    <cellStyle name="Note 2 3 2 6 3" xfId="27933" xr:uid="{D6CD2B1C-546D-419E-821C-691E66271CE2}"/>
    <cellStyle name="Note 2 3 2 6 3 2" xfId="33555" xr:uid="{D6DC1F3A-7908-4BFF-A989-2565C7336FC5}"/>
    <cellStyle name="Note 2 3 2 6 4" xfId="17205" xr:uid="{73FD6D0C-101F-422A-87A9-F229FA9922A5}"/>
    <cellStyle name="Note 2 3 2 7" xfId="9859" xr:uid="{414FED5B-CA0D-49AA-A2B1-47A941619363}"/>
    <cellStyle name="Note 2 3 2 7 2" xfId="27828" xr:uid="{9DDEADD8-2674-405D-8FBD-F2B55A8C5673}"/>
    <cellStyle name="Note 2 3 2 7 2 2" xfId="27818" xr:uid="{D6E20ADC-1D03-4351-A2A3-9912C1956D3C}"/>
    <cellStyle name="Note 2 3 2 7 3" xfId="27815" xr:uid="{651CCD46-A640-4D7E-96FE-40DABC1464F2}"/>
    <cellStyle name="Note 2 3 2 8" xfId="31403" xr:uid="{F65FE2C5-7E34-4A44-AC83-7FE51D545B7D}"/>
    <cellStyle name="Note 2 3 2 8 2" xfId="28538" xr:uid="{55B0DA04-E307-4C8A-BD37-AD9CD3B970E7}"/>
    <cellStyle name="Note 2 3 2 9" xfId="1916" xr:uid="{5609FDD9-35E1-4B79-8388-210365A3BB34}"/>
    <cellStyle name="Note 2 3 3" xfId="1915" xr:uid="{639A0270-E34E-46FA-8260-29958C2E7ADC}"/>
    <cellStyle name="Note 2 3 3 2" xfId="1914" xr:uid="{6828411D-DA19-48C3-81DF-A0A29A12F345}"/>
    <cellStyle name="Note 2 3 3 2 2" xfId="1913" xr:uid="{7853B0A3-7314-44E2-BC14-28B911D72844}"/>
    <cellStyle name="Note 2 3 3 2 2 2" xfId="12827" xr:uid="{83913B65-FDB8-4485-A149-6C26185061E4}"/>
    <cellStyle name="Note 2 3 3 2 2 2 2" xfId="1912" xr:uid="{C18DB917-7313-414E-90ED-5911921A8D95}"/>
    <cellStyle name="Note 2 3 3 2 2 2 2 2" xfId="1911" xr:uid="{74BE6529-3815-40E8-B6E0-A4B1939D12B0}"/>
    <cellStyle name="Note 2 3 3 2 2 2 2 2 2" xfId="1910" xr:uid="{90844090-C373-4DB8-A8F9-E288F88CC1C4}"/>
    <cellStyle name="Note 2 3 3 2 2 2 2 2 2 2" xfId="1909" xr:uid="{B4850E50-1E01-4ACF-999D-931DD77DA8E2}"/>
    <cellStyle name="Note 2 3 3 2 2 2 2 2 3" xfId="1908" xr:uid="{ADEFE190-391D-4ABE-9574-0B0239EA9C9D}"/>
    <cellStyle name="Note 2 3 3 2 2 2 2 3" xfId="1907" xr:uid="{0259EE9B-3645-4108-8ECD-C7ADF7D3ED03}"/>
    <cellStyle name="Note 2 3 3 2 2 2 2 3 2" xfId="1906" xr:uid="{35ECCC04-805C-477D-A2F1-B7889A3A58AC}"/>
    <cellStyle name="Note 2 3 3 2 2 2 2 4" xfId="1905" xr:uid="{6C777D52-2923-4510-A358-77E04FF4AA4E}"/>
    <cellStyle name="Note 2 3 3 2 2 2 3" xfId="1904" xr:uid="{20268BD1-4CC0-4C48-B850-27F2FC497060}"/>
    <cellStyle name="Note 2 3 3 2 2 2 3 2" xfId="1903" xr:uid="{610279D1-2EFE-4B17-A9DD-F3264A2EF186}"/>
    <cellStyle name="Note 2 3 3 2 2 2 3 2 2" xfId="1902" xr:uid="{D6DCD26E-AF8F-40E2-A949-C88B6DC934B1}"/>
    <cellStyle name="Note 2 3 3 2 2 2 3 3" xfId="1901" xr:uid="{E6061DFA-FBE3-4040-9367-67882145319D}"/>
    <cellStyle name="Note 2 3 3 2 2 2 4" xfId="1900" xr:uid="{EB4877A8-D520-4071-8353-0B01A93AA9B0}"/>
    <cellStyle name="Note 2 3 3 2 2 2 4 2" xfId="1899" xr:uid="{FE1F3A90-E248-4609-9D5F-D3542DD4F6F6}"/>
    <cellStyle name="Note 2 3 3 2 2 2 5" xfId="1898" xr:uid="{D5554184-1D97-4EEE-961D-990FADFBF641}"/>
    <cellStyle name="Note 2 3 3 2 2 3" xfId="1897" xr:uid="{692494CE-6850-4C03-934E-74C335B5C18E}"/>
    <cellStyle name="Note 2 3 3 2 2 3 2" xfId="1896" xr:uid="{CB13BB68-9EC5-461C-9915-31863471F7C1}"/>
    <cellStyle name="Note 2 3 3 2 2 3 2 2" xfId="1895" xr:uid="{E1D272D2-F9B0-4C3A-B485-F4C024FBB2B1}"/>
    <cellStyle name="Note 2 3 3 2 2 3 2 2 2" xfId="1894" xr:uid="{7DBAB462-DDE4-4BEF-BDDA-09AB34C52D43}"/>
    <cellStyle name="Note 2 3 3 2 2 3 2 3" xfId="1893" xr:uid="{4CAEF656-0A6A-44FA-ACBB-EC58EAA4E13C}"/>
    <cellStyle name="Note 2 3 3 2 2 3 3" xfId="1892" xr:uid="{A69979F8-4EC8-4768-B11E-3F73F927A943}"/>
    <cellStyle name="Note 2 3 3 2 2 3 3 2" xfId="1891" xr:uid="{240B6D84-87C4-4422-B30E-DAEE40D4C4A9}"/>
    <cellStyle name="Note 2 3 3 2 2 3 4" xfId="1890" xr:uid="{19581864-1598-45E6-BDE3-B9A351E61CE4}"/>
    <cellStyle name="Note 2 3 3 2 2 4" xfId="28742" xr:uid="{76436853-21DC-4A02-A386-2207371F6BD5}"/>
    <cellStyle name="Note 2 3 3 2 2 4 2" xfId="28738" xr:uid="{67EF596F-878D-40DE-8437-DC3994C12B3F}"/>
    <cellStyle name="Note 2 3 3 2 2 4 2 2" xfId="1889" xr:uid="{2061F72F-99EB-420D-9794-9C9D6058FD69}"/>
    <cellStyle name="Note 2 3 3 2 2 4 3" xfId="1888" xr:uid="{ABB8ABAF-5885-4D36-89E1-EF96AE61CC27}"/>
    <cellStyle name="Note 2 3 3 2 2 5" xfId="28733" xr:uid="{FA52F5C8-02E8-424A-AFD0-F18ADC60E5B3}"/>
    <cellStyle name="Note 2 3 3 2 2 5 2" xfId="1887" xr:uid="{EE61392D-70DB-4784-A279-DA6A674B262E}"/>
    <cellStyle name="Note 2 3 3 2 2 6" xfId="1886" xr:uid="{417CF462-CBE4-4AD0-A863-A9592C8A5343}"/>
    <cellStyle name="Note 2 3 3 2 3" xfId="1885" xr:uid="{EBDFD626-F95D-4489-B5A3-0A3FD25059C0}"/>
    <cellStyle name="Note 2 3 3 2 3 2" xfId="1884" xr:uid="{07C491A7-18E0-49D7-AA11-9BDE780A0DD8}"/>
    <cellStyle name="Note 2 3 3 2 3 2 2" xfId="1883" xr:uid="{9BD27534-FE4E-4639-933C-24D71C1FA924}"/>
    <cellStyle name="Note 2 3 3 2 3 2 2 2" xfId="1882" xr:uid="{710245A9-42B7-4F0B-8B46-D75B8BF81AD3}"/>
    <cellStyle name="Note 2 3 3 2 3 2 2 2 2" xfId="1881" xr:uid="{E62D74C6-D05D-490F-B0B9-30545F894D88}"/>
    <cellStyle name="Note 2 3 3 2 3 2 2 3" xfId="6208" xr:uid="{2FF3BC7E-1C3E-4317-A54A-6671E2915540}"/>
    <cellStyle name="Note 2 3 3 2 3 2 3" xfId="1880" xr:uid="{520853D4-EF56-4DC0-B082-588B32A14A7D}"/>
    <cellStyle name="Note 2 3 3 2 3 2 3 2" xfId="1879" xr:uid="{85D5391F-FEEB-49C3-A8BD-239910E87294}"/>
    <cellStyle name="Note 2 3 3 2 3 2 4" xfId="1878" xr:uid="{C930E503-2582-4F71-8B64-0FBB5A7FD9EB}"/>
    <cellStyle name="Note 2 3 3 2 3 3" xfId="1877" xr:uid="{F9328F44-AAFB-4ED4-989A-3052E4C079D6}"/>
    <cellStyle name="Note 2 3 3 2 3 3 2" xfId="1876" xr:uid="{A29AE84A-8EEF-4579-BE6A-8BAC02CB8177}"/>
    <cellStyle name="Note 2 3 3 2 3 3 2 2" xfId="31491" xr:uid="{24E8001B-4F5A-41B7-AE9F-21C41AE8D547}"/>
    <cellStyle name="Note 2 3 3 2 3 3 3" xfId="1875" xr:uid="{D5247D1E-4513-495D-B110-488E6F029380}"/>
    <cellStyle name="Note 2 3 3 2 3 4" xfId="28713" xr:uid="{9233A002-C2CF-46C7-B07E-29AFC2AD7862}"/>
    <cellStyle name="Note 2 3 3 2 3 4 2" xfId="1874" xr:uid="{4FB43892-8C45-4933-8FCE-79C7F6624675}"/>
    <cellStyle name="Note 2 3 3 2 3 5" xfId="11025" xr:uid="{E464AB39-A680-4F1E-AA56-2D10C2806C42}"/>
    <cellStyle name="Note 2 3 3 2 4" xfId="1873" xr:uid="{3F8BF8E0-8A26-4DA3-A592-B42772D4DA9E}"/>
    <cellStyle name="Note 2 3 3 2 4 2" xfId="2595" xr:uid="{1F552F61-2CAC-413C-AA5E-7B8CB0769626}"/>
    <cellStyle name="Note 2 3 3 2 4 2 2" xfId="1871" xr:uid="{CEEDA522-B00B-44E2-930D-8E01021F470A}"/>
    <cellStyle name="Note 2 3 3 2 4 2 2 2" xfId="27295" xr:uid="{FA6D5822-1D32-412E-84DA-06B53F79B01E}"/>
    <cellStyle name="Note 2 3 3 2 4 2 3" xfId="1870" xr:uid="{654A37E4-ED4C-4A73-96F8-BEBEB0897665}"/>
    <cellStyle name="Note 2 3 3 2 4 3" xfId="1869" xr:uid="{5936FE66-B815-462C-8CE4-D36224CED1C4}"/>
    <cellStyle name="Note 2 3 3 2 4 3 2" xfId="1868" xr:uid="{9D8FF859-1E7A-4A6A-B29D-9E2E55A5638F}"/>
    <cellStyle name="Note 2 3 3 2 4 4" xfId="1867" xr:uid="{7A06A2B9-7F32-4B8C-98D8-DFDB52ABC1E1}"/>
    <cellStyle name="Note 2 3 3 2 5" xfId="1866" xr:uid="{6E0B5C90-D5BB-488E-9C8E-66D00A2576C8}"/>
    <cellStyle name="Note 2 3 3 2 5 2" xfId="1864" xr:uid="{9BED2CB0-CA64-4AC4-9252-008054FBFEA1}"/>
    <cellStyle name="Note 2 3 3 2 5 2 2" xfId="23001" xr:uid="{C82BD8C3-829D-4265-94EC-0145FB5C816E}"/>
    <cellStyle name="Note 2 3 3 2 5 3" xfId="1863" xr:uid="{E4652F3F-10D0-4D57-ADE5-AFA522D9AD98}"/>
    <cellStyle name="Note 2 3 3 2 6" xfId="11099" xr:uid="{62031611-36DD-435F-AC0E-607F1F7368FE}"/>
    <cellStyle name="Note 2 3 3 2 6 2" xfId="9390" xr:uid="{4666A34C-6011-4D79-B5D8-2B847707F72B}"/>
    <cellStyle name="Note 2 3 3 2 7" xfId="11087" xr:uid="{B9B84C0C-B61A-46C7-B095-DBC4478F426A}"/>
    <cellStyle name="Note 2 3 3 3" xfId="1862" xr:uid="{7A40DC78-412A-4A52-8E8B-01F5B3092B65}"/>
    <cellStyle name="Note 2 3 3 3 2" xfId="26491" xr:uid="{5F04EEC1-EAB3-46B8-A31B-1E26FBC9CE25}"/>
    <cellStyle name="Note 2 3 3 3 2 2" xfId="18878" xr:uid="{A673A59F-9070-4B89-A60C-1D2633BF5CE1}"/>
    <cellStyle name="Note 2 3 3 3 2 2 2" xfId="26854" xr:uid="{53C326CD-44CE-47D0-8195-BCC39A0FD62E}"/>
    <cellStyle name="Note 2 3 3 3 2 2 2 2" xfId="20214" xr:uid="{B743C004-C4BA-4BC2-A87F-428BD4D0DA31}"/>
    <cellStyle name="Note 2 3 3 3 2 2 2 2 2" xfId="28628" xr:uid="{34E7E4A8-484C-46EF-A3F8-9CB17ED29BD4}"/>
    <cellStyle name="Note 2 3 3 3 2 2 2 3" xfId="26832" xr:uid="{82F1D01C-1412-4C49-AA3D-C26B3C9C39DA}"/>
    <cellStyle name="Note 2 3 3 3 2 2 3" xfId="26820" xr:uid="{3464174B-667F-492D-AA00-7D27C4A2A742}"/>
    <cellStyle name="Note 2 3 3 3 2 2 3 2" xfId="26810" xr:uid="{5A913FE1-024D-4604-B6C1-B0D709188E92}"/>
    <cellStyle name="Note 2 3 3 3 2 2 4" xfId="29000" xr:uid="{4D12D729-BCB2-46B7-A291-781D14D37CA2}"/>
    <cellStyle name="Note 2 3 3 3 2 3" xfId="17938" xr:uid="{C562865C-63B4-40AA-A8CF-E7AC8F45E7D5}"/>
    <cellStyle name="Note 2 3 3 3 2 3 2" xfId="26791" xr:uid="{FF604C33-043E-4AE5-B125-C3060EEFD278}"/>
    <cellStyle name="Note 2 3 3 3 2 3 2 2" xfId="24395" xr:uid="{AEC178DC-7473-43B1-98AA-902E1E3E1452}"/>
    <cellStyle name="Note 2 3 3 3 2 3 3" xfId="26779" xr:uid="{4E3B7CF6-4A84-416A-8BA9-D587163BD10C}"/>
    <cellStyle name="Note 2 3 3 3 2 4" xfId="23658" xr:uid="{33587ADA-CBAC-4DC9-8165-DAA807100603}"/>
    <cellStyle name="Note 2 3 3 3 2 4 2" xfId="19505" xr:uid="{38807E85-02A2-4AE9-9713-EE579F126F2D}"/>
    <cellStyle name="Note 2 3 3 3 2 5" xfId="26456" xr:uid="{2C48DA11-B88C-405A-9FB3-406A81986A60}"/>
    <cellStyle name="Note 2 3 3 3 3" xfId="25760" xr:uid="{FD02667B-7E9F-4206-BFAD-54DF5282714F}"/>
    <cellStyle name="Note 2 3 3 3 3 2" xfId="17934" xr:uid="{DC4BD408-A5AF-421E-93E8-C2D74996D0B3}"/>
    <cellStyle name="Note 2 3 3 3 3 2 2" xfId="28909" xr:uid="{ECFD9E13-95F6-406C-927D-53790F97E1DF}"/>
    <cellStyle name="Note 2 3 3 3 3 2 2 2" xfId="18114" xr:uid="{64BCDB1C-2998-4A63-A090-3D25BC2DCE53}"/>
    <cellStyle name="Note 2 3 3 3 3 2 3" xfId="26722" xr:uid="{7AE9CB40-4EF2-4B3F-98D7-AFB7559F498E}"/>
    <cellStyle name="Note 2 3 3 3 3 3" xfId="26436" xr:uid="{C318535E-D6F0-4E4E-AB6D-6B43475D39EB}"/>
    <cellStyle name="Note 2 3 3 3 3 3 2" xfId="26698" xr:uid="{738EA5ED-F072-480F-85BE-1BD8DB199585}"/>
    <cellStyle name="Note 2 3 3 3 3 4" xfId="26429" xr:uid="{011B9A55-0907-41D4-ACC1-4FB0D6C2299C}"/>
    <cellStyle name="Note 2 3 3 3 4" xfId="29808" xr:uid="{99C93B64-0416-43A5-9EDC-605411F2CDAB}"/>
    <cellStyle name="Note 2 3 3 3 4 2" xfId="26415" xr:uid="{81F990DC-BDC2-4BDB-9B83-F49991F54A56}"/>
    <cellStyle name="Note 2 3 3 3 4 2 2" xfId="28870" xr:uid="{A3317CD0-9E8B-431A-8767-C0BCE0D06474}"/>
    <cellStyle name="Note 2 3 3 3 4 3" xfId="26406" xr:uid="{EFF11BD4-F2D4-4939-81A2-1D2B894E4438}"/>
    <cellStyle name="Note 2 3 3 3 5" xfId="26402" xr:uid="{BB523157-95B0-419C-8453-9662C027D7FD}"/>
    <cellStyle name="Note 2 3 3 3 5 2" xfId="22792" xr:uid="{3917FFF6-A714-404A-9E52-3AC76D09418A}"/>
    <cellStyle name="Note 2 3 3 3 6" xfId="11079" xr:uid="{1376F162-CF01-4017-9E73-CAACA57DB2DF}"/>
    <cellStyle name="Note 2 3 3 4" xfId="34110" xr:uid="{AB90E9EC-0235-4C0D-A45E-FAA3930541AB}"/>
    <cellStyle name="Note 2 3 3 4 2" xfId="25751" xr:uid="{0C4075AD-7118-48D3-81F4-54C50D187981}"/>
    <cellStyle name="Note 2 3 3 4 2 2" xfId="31450" xr:uid="{6E442667-29EF-43DC-8B98-56C73701C9C4}"/>
    <cellStyle name="Note 2 3 3 4 2 2 2" xfId="12196" xr:uid="{CD373177-2369-4384-B663-2A299BCAD3B2}"/>
    <cellStyle name="Note 2 3 3 4 2 2 2 2" xfId="26558" xr:uid="{5D8672A1-F8B9-4A95-942A-CEBA26E33CA8}"/>
    <cellStyle name="Note 2 3 3 4 2 2 3" xfId="12189" xr:uid="{87A19222-942C-4655-AC3E-1A53704B9061}"/>
    <cellStyle name="Note 2 3 3 4 2 3" xfId="26774" xr:uid="{1CADAA28-7974-43CD-A4EB-6C730265E864}"/>
    <cellStyle name="Note 2 3 3 4 2 3 2" xfId="12186" xr:uid="{76F129EB-8817-4EBA-8A90-DB7A05096965}"/>
    <cellStyle name="Note 2 3 3 4 2 4" xfId="29872" xr:uid="{843771DE-6843-4049-AC13-E60F49827A82}"/>
    <cellStyle name="Note 2 3 3 4 3" xfId="8318" xr:uid="{6B3708B8-B414-4EF7-8C40-A7CAC1F248D5}"/>
    <cellStyle name="Note 2 3 3 4 3 2" xfId="25793" xr:uid="{30E5FF3B-7AD7-4011-AADB-1E6B54E5F5F5}"/>
    <cellStyle name="Note 2 3 3 4 3 2 2" xfId="19861" xr:uid="{A03CC552-AF0F-4540-A368-770564F0E0E6}"/>
    <cellStyle name="Note 2 3 3 4 3 3" xfId="24856" xr:uid="{7415B3C4-A408-4A24-9CDF-A07DA61C07BB}"/>
    <cellStyle name="Note 2 3 3 4 4" xfId="23057" xr:uid="{EB43E029-F6E5-4C5B-B1D9-A39D21422D9D}"/>
    <cellStyle name="Note 2 3 3 4 4 2" xfId="24815" xr:uid="{F06FC1C2-805C-43E8-AD48-929769A8A82D}"/>
    <cellStyle name="Note 2 3 3 4 5" xfId="25778" xr:uid="{F1A1AEBA-6B32-4327-ACFF-66D7C537FD9C}"/>
    <cellStyle name="Note 2 3 3 5" xfId="1861" xr:uid="{CD514735-2CE6-4442-9A5A-B6E5946BA78A}"/>
    <cellStyle name="Note 2 3 3 5 2" xfId="8312" xr:uid="{EAE48FFA-1F82-43AB-8942-8412B12F66B2}"/>
    <cellStyle name="Note 2 3 3 5 2 2" xfId="25433" xr:uid="{16751BE9-BDDD-40C9-824F-D8671840C761}"/>
    <cellStyle name="Note 2 3 3 5 2 2 2" xfId="12165" xr:uid="{48FDB4CB-4B03-45B6-AB44-9CCBE70C99B3}"/>
    <cellStyle name="Note 2 3 3 5 2 3" xfId="26684" xr:uid="{16643868-A2DF-4DF5-BC05-1B2109C3271C}"/>
    <cellStyle name="Note 2 3 3 5 3" xfId="25431" xr:uid="{B3E9C6CD-B1C1-46C0-8364-FEE8CED52F98}"/>
    <cellStyle name="Note 2 3 3 5 3 2" xfId="25429" xr:uid="{91905703-D7B6-4C14-971D-9635B16CDE91}"/>
    <cellStyle name="Note 2 3 3 5 4" xfId="17199" xr:uid="{2180499C-09F4-4514-8327-B9B0A91396C6}"/>
    <cellStyle name="Note 2 3 3 6" xfId="9844" xr:uid="{8ADEEB8D-D4F1-4218-9C12-D6AE6AC212D1}"/>
    <cellStyle name="Note 2 3 3 6 2" xfId="27386" xr:uid="{4F261804-D863-404F-85C6-DED6E3B774E8}"/>
    <cellStyle name="Note 2 3 3 6 2 2" xfId="25189" xr:uid="{80E938F0-6D45-4FEF-BBEA-CB521C5ACA2F}"/>
    <cellStyle name="Note 2 3 3 6 3" xfId="31828" xr:uid="{F5486988-E2E6-4F23-9125-5C605A4613FC}"/>
    <cellStyle name="Note 2 3 3 7" xfId="9836" xr:uid="{6DCCD672-C1A5-499A-A212-798A5477AF55}"/>
    <cellStyle name="Note 2 3 3 7 2" xfId="28238" xr:uid="{6B27DF05-4D4B-4E71-9D08-C4060F39CF4B}"/>
    <cellStyle name="Note 2 3 3 8" xfId="1860" xr:uid="{0817205D-A674-416D-9E02-B3BF12307DD1}"/>
    <cellStyle name="Note 2 3 4" xfId="19702" xr:uid="{DACE349D-CDD8-41F7-A960-EC69CB3B50E1}"/>
    <cellStyle name="Note 2 3 4 2" xfId="16221" xr:uid="{172D55B6-6FB7-4BFF-9EE3-A0C3B2A1E614}"/>
    <cellStyle name="Note 2 3 4 2 2" xfId="1859" xr:uid="{2D9A7DC6-A2F9-4C3B-B6C3-C081A28C33A2}"/>
    <cellStyle name="Note 2 3 4 2 2 2" xfId="1858" xr:uid="{A6ACAD6B-108B-4E44-B4B0-F261F1B203BF}"/>
    <cellStyle name="Note 2 3 4 2 2 2 2" xfId="10797" xr:uid="{762733EC-14D2-444E-99AF-BB45B290CAFB}"/>
    <cellStyle name="Note 2 3 4 2 2 2 2 2" xfId="13632" xr:uid="{18902DF6-ABA2-442B-9112-45254E51809D}"/>
    <cellStyle name="Note 2 3 4 2 2 2 2 2 2" xfId="17856" xr:uid="{ADD70E4E-0B64-4E65-8694-9AEDB762EDEF}"/>
    <cellStyle name="Note 2 3 4 2 2 2 2 3" xfId="10792" xr:uid="{91CCE0A4-F4F3-4A1E-AD41-AD5A971BE24E}"/>
    <cellStyle name="Note 2 3 4 2 2 2 3" xfId="10787" xr:uid="{39722A59-F083-4D30-BF1E-CDEB7E1A320E}"/>
    <cellStyle name="Note 2 3 4 2 2 2 3 2" xfId="16430" xr:uid="{7886F905-93D5-4E34-BB3A-C033F3C7BBCF}"/>
    <cellStyle name="Note 2 3 4 2 2 2 4" xfId="10784" xr:uid="{07992A1F-F8EF-414C-9544-8D858B990109}"/>
    <cellStyle name="Note 2 3 4 2 2 3" xfId="1857" xr:uid="{DE3E323B-8E9B-49E2-9BFC-A87BD4F32BF7}"/>
    <cellStyle name="Note 2 3 4 2 2 3 2" xfId="22876" xr:uid="{B1920C12-ECE8-49EF-A068-61FA3691165C}"/>
    <cellStyle name="Note 2 3 4 2 2 3 2 2" xfId="10781" xr:uid="{5594DE05-E119-4FAB-8609-F93D9FF38A5C}"/>
    <cellStyle name="Note 2 3 4 2 2 3 3" xfId="19079" xr:uid="{389DB695-9A4D-40E8-8AF4-88A7BDD1FA21}"/>
    <cellStyle name="Note 2 3 4 2 2 4" xfId="28576" xr:uid="{7A87570C-8E8D-42BB-B4CB-6B971EBBE2A1}"/>
    <cellStyle name="Note 2 3 4 2 2 4 2" xfId="7105" xr:uid="{295448DF-3F5E-41CC-B26A-76FDA7F7416A}"/>
    <cellStyle name="Note 2 3 4 2 2 5" xfId="31884" xr:uid="{EAC68083-52A7-488F-AF97-89BCE17B36A5}"/>
    <cellStyle name="Note 2 3 4 2 3" xfId="1856" xr:uid="{FF86DFDA-91D6-4C39-9924-65F38044E987}"/>
    <cellStyle name="Note 2 3 4 2 3 2" xfId="34393" xr:uid="{2BE7F52B-709A-4EE4-93BA-69DB13936470}"/>
    <cellStyle name="Note 2 3 4 2 3 2 2" xfId="10684" xr:uid="{E49616EB-70A5-477F-8805-61075ACA8FA5}"/>
    <cellStyle name="Note 2 3 4 2 3 2 2 2" xfId="10681" xr:uid="{0C2FAEF0-D1C2-45AA-9193-6D8162CD31BD}"/>
    <cellStyle name="Note 2 3 4 2 3 2 3" xfId="10677" xr:uid="{3F6188DE-ADCA-423F-82D0-546A85FCA9FF}"/>
    <cellStyle name="Note 2 3 4 2 3 3" xfId="1855" xr:uid="{55298601-35D7-4777-AA95-55F678280749}"/>
    <cellStyle name="Note 2 3 4 2 3 3 2" xfId="7087" xr:uid="{678E16C8-544F-4B2B-BEA3-177387274F46}"/>
    <cellStyle name="Note 2 3 4 2 3 4" xfId="7887" xr:uid="{2D619095-2648-4ADC-A290-E2F15A1F2437}"/>
    <cellStyle name="Note 2 3 4 2 4" xfId="1854" xr:uid="{0982C2AC-BF26-4FC3-A07B-E14C98DC1198}"/>
    <cellStyle name="Note 2 3 4 2 4 2" xfId="27766" xr:uid="{4A308B74-B6E8-41C3-9448-A04B8CA157D1}"/>
    <cellStyle name="Note 2 3 4 2 4 2 2" xfId="10610" xr:uid="{FBA6578C-1229-432E-8E38-0A1C5D579C87}"/>
    <cellStyle name="Note 2 3 4 2 4 3" xfId="1852" xr:uid="{34F9D675-FF09-403D-ACCB-5B4C7D2964DC}"/>
    <cellStyle name="Note 2 3 4 2 5" xfId="1851" xr:uid="{82168FDB-A37E-4D02-B3F5-42BF270131C9}"/>
    <cellStyle name="Note 2 3 4 2 5 2" xfId="1850" xr:uid="{FE4834D6-D668-4060-9874-CA0F32E12492}"/>
    <cellStyle name="Note 2 3 4 2 6" xfId="11055" xr:uid="{7A048C1A-B5E5-4219-B87A-AEC8A011DDBF}"/>
    <cellStyle name="Note 2 3 4 3" xfId="1849" xr:uid="{58301022-44EB-4932-BA5C-1B70704AABAB}"/>
    <cellStyle name="Note 2 3 4 3 2" xfId="23752" xr:uid="{B8F6218C-0C24-4DC4-8262-6CACB69D46D8}"/>
    <cellStyle name="Note 2 3 4 3 2 2" xfId="17924" xr:uid="{E02A2081-44D2-4D84-A922-97EBA807E652}"/>
    <cellStyle name="Note 2 3 4 3 2 2 2" xfId="10493" xr:uid="{83E55E93-9206-4FC3-B61F-7097DD004E33}"/>
    <cellStyle name="Note 2 3 4 3 2 2 2 2" xfId="10488" xr:uid="{7500D685-553A-4E9B-84A6-E43CEFD2A5CD}"/>
    <cellStyle name="Note 2 3 4 3 2 2 3" xfId="10483" xr:uid="{F24B66DE-7EA2-4E61-B343-32CC1DBB7EBA}"/>
    <cellStyle name="Note 2 3 4 3 2 3" xfId="8953" xr:uid="{D2D4F1B1-6DEB-4688-B40D-3951961E2017}"/>
    <cellStyle name="Note 2 3 4 3 2 3 2" xfId="7065" xr:uid="{3E246C29-26BB-4CC2-BD27-2501CCA59A7B}"/>
    <cellStyle name="Note 2 3 4 3 2 4" xfId="7998" xr:uid="{EA833A4B-A54B-47FD-ABAA-D19CC565E923}"/>
    <cellStyle name="Note 2 3 4 3 3" xfId="23723" xr:uid="{A9FDA070-0DB6-4260-A4EE-C584EE40A018}"/>
    <cellStyle name="Note 2 3 4 3 3 2" xfId="8950" xr:uid="{CFFF8B32-34B8-4C5D-A912-4A2CB355FF2F}"/>
    <cellStyle name="Note 2 3 4 3 3 2 2" xfId="10430" xr:uid="{94A97F27-261E-4D7C-94C2-328DB6561576}"/>
    <cellStyle name="Note 2 3 4 3 3 3" xfId="33271" xr:uid="{5BCC2445-11D4-43B4-859F-FAC3592C179F}"/>
    <cellStyle name="Note 2 3 4 3 4" xfId="23042" xr:uid="{144BE271-784F-489B-B720-B88832ADABE8}"/>
    <cellStyle name="Note 2 3 4 3 4 2" xfId="23713" xr:uid="{4EF3B273-02FF-4FBF-A9B8-6955CE8C16AD}"/>
    <cellStyle name="Note 2 3 4 3 5" xfId="31229" xr:uid="{B28ECC29-5BD8-4934-9614-A811BCA8E2B9}"/>
    <cellStyle name="Note 2 3 4 4" xfId="1848" xr:uid="{5DE31239-B0D2-4F9E-A49C-6DA6C9E67937}"/>
    <cellStyle name="Note 2 3 4 4 2" xfId="22947" xr:uid="{4C6A345E-6AB6-43CD-B35D-57AAED9F3F27}"/>
    <cellStyle name="Note 2 3 4 4 2 2" xfId="8935" xr:uid="{40FA40A9-E43E-4981-A6C4-9E626E58A1B4}"/>
    <cellStyle name="Note 2 3 4 4 2 2 2" xfId="10358" xr:uid="{94893B24-0987-4C1C-8BD5-A28995D54C9C}"/>
    <cellStyle name="Note 2 3 4 4 2 3" xfId="29718" xr:uid="{804A7665-2B4C-450F-BFF1-C91F97EF4CDE}"/>
    <cellStyle name="Note 2 3 4 4 3" xfId="22933" xr:uid="{41B53C97-BB9E-41A2-A7EB-49EB1A188E0C}"/>
    <cellStyle name="Note 2 3 4 4 3 2" xfId="22929" xr:uid="{0773E124-B372-4FBD-9D4B-D7B8E5E0E613}"/>
    <cellStyle name="Note 2 3 4 4 4" xfId="22920" xr:uid="{55D0B029-1043-49C5-A4A7-C5F523DE3009}"/>
    <cellStyle name="Note 2 3 4 5" xfId="1847" xr:uid="{41C67CD3-1B40-4745-B106-4F3D9B4DB0F7}"/>
    <cellStyle name="Note 2 3 4 5 2" xfId="22629" xr:uid="{179814C0-B9CA-4EF2-AA8A-4C4E0DD71477}"/>
    <cellStyle name="Note 2 3 4 5 2 2" xfId="22627" xr:uid="{55AF8945-6969-4332-B29E-4D865468BAE2}"/>
    <cellStyle name="Note 2 3 4 5 3" xfId="22621" xr:uid="{3D006EE8-D419-4B2B-9B6B-F109E54B549B}"/>
    <cellStyle name="Note 2 3 4 6" xfId="34042" xr:uid="{0D0590DD-5DC1-41B7-8D7D-1FC5F62E2F6E}"/>
    <cellStyle name="Note 2 3 4 6 2" xfId="21287" xr:uid="{1DE3A35B-1626-40DD-8CB2-07D913D3EB56}"/>
    <cellStyle name="Note 2 3 4 7" xfId="1846" xr:uid="{82EFF8A3-028A-453E-BF16-FB2017065CCB}"/>
    <cellStyle name="Note 2 3 5" xfId="1845" xr:uid="{3E8E79F5-D72F-48A3-B432-160EC97D6E02}"/>
    <cellStyle name="Note 2 3 5 2" xfId="1844" xr:uid="{6278E1A9-C5C4-4891-9CB6-DA2BAE268F4D}"/>
    <cellStyle name="Note 2 3 5 2 2" xfId="1843" xr:uid="{88E03A7E-AB8D-4263-9D51-0CF503CC4971}"/>
    <cellStyle name="Note 2 3 5 2 2 2" xfId="1842" xr:uid="{7CE72521-D7AE-4E6E-9B25-E687029993AE}"/>
    <cellStyle name="Note 2 3 5 2 2 2 2" xfId="5308" xr:uid="{C0A612F1-770B-4010-BFCC-88250EE97921}"/>
    <cellStyle name="Note 2 3 5 2 2 2 2 2" xfId="5306" xr:uid="{99F0731A-F06E-4FD7-9E63-392ADD003C49}"/>
    <cellStyle name="Note 2 3 5 2 2 2 3" xfId="16926" xr:uid="{0A9960B2-CD1E-42C0-949B-071718C6F4AA}"/>
    <cellStyle name="Note 2 3 5 2 2 3" xfId="1841" xr:uid="{4224C4B9-4459-4D7D-91EE-D4E0843ABAE2}"/>
    <cellStyle name="Note 2 3 5 2 2 3 2" xfId="7004" xr:uid="{CD7A6DEC-7D86-4AB2-B2D3-996A021582E2}"/>
    <cellStyle name="Note 2 3 5 2 2 4" xfId="1840" xr:uid="{119463F7-61CA-409C-83D0-F557C2DA5499}"/>
    <cellStyle name="Note 2 3 5 2 3" xfId="17732" xr:uid="{1DE1328F-893B-4F86-9BFB-6CCDAE16F68E}"/>
    <cellStyle name="Note 2 3 5 2 3 2" xfId="1839" xr:uid="{8638A887-DA42-4B15-ABDE-65CF63DCA4C9}"/>
    <cellStyle name="Note 2 3 5 2 3 2 2" xfId="5278" xr:uid="{3B76DD24-B9CA-4E95-A98A-74077F3E1687}"/>
    <cellStyle name="Note 2 3 5 2 3 3" xfId="1838" xr:uid="{6BCF61D0-B6BB-4DDC-8311-62A39F653517}"/>
    <cellStyle name="Note 2 3 5 2 4" xfId="17728" xr:uid="{EBF70FA2-D039-467F-A66C-B746D3BC4FAD}"/>
    <cellStyle name="Note 2 3 5 2 4 2" xfId="1837" xr:uid="{001739A1-2BC5-45A5-90CB-EF35717A4C10}"/>
    <cellStyle name="Note 2 3 5 2 5" xfId="1836" xr:uid="{A5B68B9F-E3AA-40A2-9C5D-5C631FA21BF1}"/>
    <cellStyle name="Note 2 3 5 3" xfId="1835" xr:uid="{00B80BB0-93A0-4146-84E3-2CCA9720C17B}"/>
    <cellStyle name="Note 2 3 5 3 2" xfId="25709" xr:uid="{61864E93-A57A-4BA5-9B2A-C52D1DB156C2}"/>
    <cellStyle name="Note 2 3 5 3 2 2" xfId="20525" xr:uid="{16CFAA91-99A8-4B97-ACB0-9647459B9DBF}"/>
    <cellStyle name="Note 2 3 5 3 2 2 2" xfId="33748" xr:uid="{7047AED5-3D00-4FF7-80C1-68214DBF23DA}"/>
    <cellStyle name="Note 2 3 5 3 2 3" xfId="29174" xr:uid="{D89D8731-56BA-4838-A8BA-EFC63DC1AA4E}"/>
    <cellStyle name="Note 2 3 5 3 3" xfId="27916" xr:uid="{5F038F87-A4A3-4802-AC48-85510C4914B4}"/>
    <cellStyle name="Note 2 3 5 3 3 2" xfId="34238" xr:uid="{860F80B8-C4DE-42AD-8EAF-91C2B870C2D2}"/>
    <cellStyle name="Note 2 3 5 3 4" xfId="32146" xr:uid="{853B209F-6147-468B-A34E-60EF61AE9852}"/>
    <cellStyle name="Note 2 3 5 4" xfId="1834" xr:uid="{73F199B7-A479-4B7B-93AB-6A38B7AF46D5}"/>
    <cellStyle name="Note 2 3 5 4 2" xfId="33430" xr:uid="{0035222E-50CC-476D-940A-47B933F946F6}"/>
    <cellStyle name="Note 2 3 5 4 2 2" xfId="21537" xr:uid="{C909E961-FA9D-4CE9-930F-0F81D2078063}"/>
    <cellStyle name="Note 2 3 5 4 3" xfId="32029" xr:uid="{27B00789-9F7B-4CC0-B13A-40BD40178F99}"/>
    <cellStyle name="Note 2 3 5 5" xfId="1833" xr:uid="{B21DC5A9-663B-4FB4-A464-09BEBB3998DE}"/>
    <cellStyle name="Note 2 3 5 5 2" xfId="34149" xr:uid="{B8EBA888-E686-4CB1-8C49-B70906F9A2F0}"/>
    <cellStyle name="Note 2 3 5 6" xfId="15122" xr:uid="{FF5C2835-BB23-4446-8BA9-5DBC12AB3708}"/>
    <cellStyle name="Note 2 3 6" xfId="14512" xr:uid="{250D2C65-E732-4FAB-9E74-6CA1AD87796C}"/>
    <cellStyle name="Note 2 3 6 2" xfId="1832" xr:uid="{C0BACFBD-DAA7-42C9-A61A-BB958D730855}"/>
    <cellStyle name="Note 2 3 6 2 2" xfId="1831" xr:uid="{36998750-D470-4D27-BA0D-9F36C57D1E87}"/>
    <cellStyle name="Note 2 3 6 2 2 2" xfId="1830" xr:uid="{C3A87D7C-E35C-4AB6-BA9E-55A57AE4978B}"/>
    <cellStyle name="Note 2 3 6 2 2 2 2" xfId="32696" xr:uid="{F1EFD798-9A16-4EDE-B529-859E2ED28252}"/>
    <cellStyle name="Note 2 3 6 2 2 3" xfId="24088" xr:uid="{F04DC8F5-DB72-46A6-9882-F5B24A47324F}"/>
    <cellStyle name="Note 2 3 6 2 3" xfId="17718" xr:uid="{A7037014-314F-4A7B-89BE-DBF8CA3F23BD}"/>
    <cellStyle name="Note 2 3 6 2 3 2" xfId="34387" xr:uid="{4736278A-0AC3-4154-9A99-4FDD9B614DD8}"/>
    <cellStyle name="Note 2 3 6 2 4" xfId="1829" xr:uid="{A875875B-343A-4219-B4B9-C2206C050218}"/>
    <cellStyle name="Note 2 3 6 3" xfId="1828" xr:uid="{8FFD7F5C-2511-4BF2-8E73-6BC5AF9A915B}"/>
    <cellStyle name="Note 2 3 6 3 2" xfId="27906" xr:uid="{1F908DAB-517C-4BE7-ABEB-E23FDBDB0553}"/>
    <cellStyle name="Note 2 3 6 3 2 2" xfId="33783" xr:uid="{DBCA4141-A03E-4432-B7D3-4AC17CAF7828}"/>
    <cellStyle name="Note 2 3 6 3 3" xfId="33246" xr:uid="{453E9412-937D-4EF6-BBEF-3153E2EC0A28}"/>
    <cellStyle name="Note 2 3 6 4" xfId="1827" xr:uid="{55ED8AE6-6983-4E3F-A6A5-E63E04BCBA43}"/>
    <cellStyle name="Note 2 3 6 4 2" xfId="32653" xr:uid="{D59D8C2A-B9E2-429B-A315-E0C31D598CFD}"/>
    <cellStyle name="Note 2 3 6 5" xfId="1826" xr:uid="{65F21D07-E5BD-4C1B-BA9C-6AC932B1A05E}"/>
    <cellStyle name="Note 2 3 7" xfId="15410" xr:uid="{423B1F39-477E-46B5-A9C3-50F15B789A73}"/>
    <cellStyle name="Note 2 3 7 2" xfId="1825" xr:uid="{CBA4BC17-7754-4CF2-8593-B58E1BC2CEFE}"/>
    <cellStyle name="Note 2 3 7 2 2" xfId="31801" xr:uid="{4C52ECE1-5D6B-4D48-B957-5F7BD143E0F9}"/>
    <cellStyle name="Note 2 3 7 2 2 2" xfId="34195" xr:uid="{F91BC273-B7BC-4BBD-A170-BEFA38B06149}"/>
    <cellStyle name="Note 2 3 7 2 3" xfId="33617" xr:uid="{17FF3D02-D0D5-41DD-A60C-3C253F1FDA8C}"/>
    <cellStyle name="Note 2 3 7 3" xfId="1824" xr:uid="{CC5E4389-5B17-4BCD-BF2A-4AB0A0DE3606}"/>
    <cellStyle name="Note 2 3 7 3 2" xfId="23309" xr:uid="{6CC93AC8-3863-40DC-A565-A7EC05FFA044}"/>
    <cellStyle name="Note 2 3 7 4" xfId="1823" xr:uid="{A0B1CD73-36BE-450F-87F6-774D634CEF33}"/>
    <cellStyle name="Note 2 3 8" xfId="1822" xr:uid="{C6AD1F2D-9291-47D1-BECE-179C662BAC25}"/>
    <cellStyle name="Note 2 3 8 2" xfId="1821" xr:uid="{5F1F8664-3BC1-4C66-B10D-0BD26C05B8EB}"/>
    <cellStyle name="Note 2 3 8 2 2" xfId="33540" xr:uid="{D964DC47-AE02-462B-B602-444B617BD60E}"/>
    <cellStyle name="Note 2 3 8 3" xfId="1820" xr:uid="{3B8FBC3C-F772-4A90-93BB-27A501A36C5B}"/>
    <cellStyle name="Note 2 3 9" xfId="1819" xr:uid="{7A4AE7A0-219F-4595-8A45-8574E9FD8F12}"/>
    <cellStyle name="Note 2 3 9 2" xfId="1818" xr:uid="{AF913BC6-808D-4ED7-8E63-A6177ADE229B}"/>
    <cellStyle name="Note 2 4" xfId="26276" xr:uid="{13A131B3-1AD5-4AAB-957D-B18A0D8CDDF8}"/>
    <cellStyle name="Note 2 4 10" xfId="34748" xr:uid="{52D37FD3-0FAD-45AB-91BD-B501AB9D5B4F}"/>
    <cellStyle name="Note 2 4 2" xfId="32131" xr:uid="{C03C9778-6A0B-42B2-8851-92FAE9F70942}"/>
    <cellStyle name="Note 2 4 2 2" xfId="28020" xr:uid="{11475EAD-88EE-4BD6-A674-5F3DA5730630}"/>
    <cellStyle name="Note 2 4 2 2 2" xfId="28018" xr:uid="{0DA56008-E70C-4EEB-B266-7B7B1CF3AE6B}"/>
    <cellStyle name="Note 2 4 2 2 2 2" xfId="12240" xr:uid="{AA3563F2-482C-47BA-AEB6-CD7A8BC14F6A}"/>
    <cellStyle name="Note 2 4 2 2 2 2 2" xfId="1817" xr:uid="{AE438BED-2086-42EB-B6E4-EB372C59D2CD}"/>
    <cellStyle name="Note 2 4 2 2 2 2 2 2" xfId="1816" xr:uid="{E0EA9F4E-88D6-4630-8E43-1AA44966876C}"/>
    <cellStyle name="Note 2 4 2 2 2 2 2 2 2" xfId="1815" xr:uid="{57DF5E55-9496-415B-82E2-D60F953EA4CB}"/>
    <cellStyle name="Note 2 4 2 2 2 2 2 2 2 2" xfId="2036" xr:uid="{D07F3845-2128-4874-8E5C-21D098FFD0D9}"/>
    <cellStyle name="Note 2 4 2 2 2 2 2 2 3" xfId="1814" xr:uid="{1E219B78-89EF-4704-A70E-5FD4A37D7A83}"/>
    <cellStyle name="Note 2 4 2 2 2 2 2 3" xfId="1813" xr:uid="{0B7D4FA0-D202-493D-A037-8ECB1A8A7DC5}"/>
    <cellStyle name="Note 2 4 2 2 2 2 2 3 2" xfId="1812" xr:uid="{EC8B9284-6ECF-49E7-A38F-93EE30451291}"/>
    <cellStyle name="Note 2 4 2 2 2 2 2 4" xfId="1811" xr:uid="{D3A42E0B-D0B9-4B56-922E-AA2F9F05464F}"/>
    <cellStyle name="Note 2 4 2 2 2 2 3" xfId="1810" xr:uid="{936B6BD8-8E4E-45CB-8EB3-0711D2BF8722}"/>
    <cellStyle name="Note 2 4 2 2 2 2 3 2" xfId="1809" xr:uid="{B930BFD3-893A-466E-8364-64AC429E062F}"/>
    <cellStyle name="Note 2 4 2 2 2 2 3 2 2" xfId="1808" xr:uid="{AE78D0F6-0BAC-458A-940A-D8CB80BB0707}"/>
    <cellStyle name="Note 2 4 2 2 2 2 3 3" xfId="1807" xr:uid="{8915E7E7-84F1-4D91-85E2-FB659FBB6C6B}"/>
    <cellStyle name="Note 2 4 2 2 2 2 4" xfId="1806" xr:uid="{C49F5FF8-3494-4262-A730-8E0B0D1F1598}"/>
    <cellStyle name="Note 2 4 2 2 2 2 4 2" xfId="1805" xr:uid="{755C4B5C-828E-49F6-9B84-5E87586A86DE}"/>
    <cellStyle name="Note 2 4 2 2 2 2 5" xfId="1804" xr:uid="{3D99AA2D-6F38-4BD3-99AB-7D190A275E89}"/>
    <cellStyle name="Note 2 4 2 2 2 3" xfId="1803" xr:uid="{F2E2FBBB-F528-476D-965C-EF55CB3ECD11}"/>
    <cellStyle name="Note 2 4 2 2 2 3 2" xfId="1802" xr:uid="{971BA797-6D27-4C1A-BA0A-4F3344B43BAE}"/>
    <cellStyle name="Note 2 4 2 2 2 3 2 2" xfId="1801" xr:uid="{AFBEA8B2-E87C-4BE6-B14C-61091B02C565}"/>
    <cellStyle name="Note 2 4 2 2 2 3 2 2 2" xfId="1800" xr:uid="{A55E10A3-AAF2-49F9-8286-1A5A5B715222}"/>
    <cellStyle name="Note 2 4 2 2 2 3 2 3" xfId="1799" xr:uid="{6D4C6A6D-DF10-44F0-A176-1BCCD21424C7}"/>
    <cellStyle name="Note 2 4 2 2 2 3 3" xfId="1798" xr:uid="{FBD429D5-AC60-43BC-A10A-37CDF96F713E}"/>
    <cellStyle name="Note 2 4 2 2 2 3 3 2" xfId="1797" xr:uid="{20452159-1AF2-4613-8702-5BD380AE3645}"/>
    <cellStyle name="Note 2 4 2 2 2 3 4" xfId="1796" xr:uid="{E662E9DF-A132-48E6-BD6D-18182D9C387E}"/>
    <cellStyle name="Note 2 4 2 2 2 4" xfId="27791" xr:uid="{2655A910-FDD4-424B-AAD7-25C3DCF01FD6}"/>
    <cellStyle name="Note 2 4 2 2 2 4 2" xfId="28350" xr:uid="{33E3E8D8-76BD-4A7D-9BC1-BD14CF4016F9}"/>
    <cellStyle name="Note 2 4 2 2 2 4 2 2" xfId="1795" xr:uid="{9343A707-AF4B-4E64-B4BC-ADD1B5349927}"/>
    <cellStyle name="Note 2 4 2 2 2 4 3" xfId="1794" xr:uid="{28F6D957-97A9-4800-A38C-5DD7EC886F6A}"/>
    <cellStyle name="Note 2 4 2 2 2 5" xfId="27786" xr:uid="{47C9D35F-4B83-4E02-AF13-E21C5273E051}"/>
    <cellStyle name="Note 2 4 2 2 2 5 2" xfId="1793" xr:uid="{2DA582BE-4185-4B58-A455-4E2A93845236}"/>
    <cellStyle name="Note 2 4 2 2 2 6" xfId="1792" xr:uid="{50EC0E94-B118-422B-AC36-975851E73DDD}"/>
    <cellStyle name="Note 2 4 2 2 3" xfId="32329" xr:uid="{213B08DA-4133-4D36-A423-01A874B727B6}"/>
    <cellStyle name="Note 2 4 2 2 3 2" xfId="1791" xr:uid="{51BC1C44-2F26-4B83-94B9-1702E2ABD869}"/>
    <cellStyle name="Note 2 4 2 2 3 2 2" xfId="1790" xr:uid="{F4E725ED-AF4A-4301-B291-A0CBBCA7B76A}"/>
    <cellStyle name="Note 2 4 2 2 3 2 2 2" xfId="1789" xr:uid="{9BB0AF59-1776-467B-93BF-2431AB809DC5}"/>
    <cellStyle name="Note 2 4 2 2 3 2 2 2 2" xfId="1788" xr:uid="{E20FFDE1-1A4D-4044-B862-29F5C4586A17}"/>
    <cellStyle name="Note 2 4 2 2 3 2 2 3" xfId="1787" xr:uid="{1C56694D-A319-4D21-AB39-5DE9895FBE1C}"/>
    <cellStyle name="Note 2 4 2 2 3 2 3" xfId="1786" xr:uid="{97CCEFFC-9B85-439B-A1B7-FDDFD14582BF}"/>
    <cellStyle name="Note 2 4 2 2 3 2 3 2" xfId="1785" xr:uid="{C480053A-865A-4310-A07C-854DBEEA1435}"/>
    <cellStyle name="Note 2 4 2 2 3 2 4" xfId="5066" xr:uid="{ED8C9B28-ABCE-4C9C-8BE6-8DFB5105FD77}"/>
    <cellStyle name="Note 2 4 2 2 3 3" xfId="17819" xr:uid="{5EEB87C2-1DD6-4E7D-B9F3-9AC7CE2C05A0}"/>
    <cellStyle name="Note 2 4 2 2 3 3 2" xfId="1784" xr:uid="{D66FBFF1-6E85-4973-92E6-B9F799A185D9}"/>
    <cellStyle name="Note 2 4 2 2 3 3 2 2" xfId="15058" xr:uid="{6931B1B2-BD15-4E89-89DC-4D41C5A8A5BE}"/>
    <cellStyle name="Note 2 4 2 2 3 3 3" xfId="1783" xr:uid="{A7301E6E-EE6A-408D-A813-D4C4DF6123BE}"/>
    <cellStyle name="Note 2 4 2 2 3 4" xfId="27761" xr:uid="{9876A213-AB8F-4878-930D-29A5114C0DDF}"/>
    <cellStyle name="Note 2 4 2 2 3 4 2" xfId="1782" xr:uid="{5C42B147-911F-485D-B2AC-6737A5D29D0E}"/>
    <cellStyle name="Note 2 4 2 2 3 5" xfId="28705" xr:uid="{1470015C-D5CD-41EA-8C44-D7421C47063A}"/>
    <cellStyle name="Note 2 4 2 2 4" xfId="1781" xr:uid="{2D6C10F3-7B28-47AE-B301-C7AEA4C31380}"/>
    <cellStyle name="Note 2 4 2 2 4 2" xfId="2515" xr:uid="{82322795-FD51-4275-91C7-43D4094FADAE}"/>
    <cellStyle name="Note 2 4 2 2 4 2 2" xfId="1780" xr:uid="{CE087472-7D49-41F6-B256-45EEF8FD1C3E}"/>
    <cellStyle name="Note 2 4 2 2 4 2 2 2" xfId="1779" xr:uid="{3066FAFC-4E38-4131-8A32-90F910F724EE}"/>
    <cellStyle name="Note 2 4 2 2 4 2 3" xfId="1778" xr:uid="{BB700CC6-0B8C-437A-961E-2B970C54242B}"/>
    <cellStyle name="Note 2 4 2 2 4 3" xfId="1777" xr:uid="{34B53B87-5C9F-4EA6-A74F-978C604E0505}"/>
    <cellStyle name="Note 2 4 2 2 4 3 2" xfId="1776" xr:uid="{5B86D18D-8810-45C1-AF82-85E522A3E54B}"/>
    <cellStyle name="Note 2 4 2 2 4 4" xfId="1775" xr:uid="{93C5638A-03BA-475D-9049-31045B6B80A1}"/>
    <cellStyle name="Note 2 4 2 2 5" xfId="1774" xr:uid="{227A173E-F178-450C-B91A-BB07C4106AC9}"/>
    <cellStyle name="Note 2 4 2 2 5 2" xfId="1773" xr:uid="{C7AA533F-1A22-40C2-97FD-FA9E4D93D69B}"/>
    <cellStyle name="Note 2 4 2 2 5 2 2" xfId="28659" xr:uid="{957336EA-003E-4D66-97F3-967A79391526}"/>
    <cellStyle name="Note 2 4 2 2 5 3" xfId="4600" xr:uid="{C6481029-87AA-44D7-A80C-0F074E3B6969}"/>
    <cellStyle name="Note 2 4 2 2 6" xfId="1772" xr:uid="{22CF9366-3050-42B4-9C9C-D38310FE06E6}"/>
    <cellStyle name="Note 2 4 2 2 6 2" xfId="1771" xr:uid="{E7C6ED6B-4C17-4D99-A1AF-5D5D65B51C04}"/>
    <cellStyle name="Note 2 4 2 2 7" xfId="1770" xr:uid="{E9B87559-2697-4216-BFA6-125016B318C0}"/>
    <cellStyle name="Note 2 4 2 3" xfId="28274" xr:uid="{858DC99D-3065-4180-AAB6-2F096CA3363B}"/>
    <cellStyle name="Note 2 4 2 3 2" xfId="19513" xr:uid="{F7210352-7FE9-4FC0-BA6B-1A797BC55123}"/>
    <cellStyle name="Note 2 4 2 3 2 2" xfId="18094" xr:uid="{4F25F31F-7FB7-48C9-B335-88BFE5FA7CFD}"/>
    <cellStyle name="Note 2 4 2 3 2 2 2" xfId="8067" xr:uid="{9B32EDA5-39D4-4B8A-B5B2-69495D43203F}"/>
    <cellStyle name="Note 2 4 2 3 2 2 2 2" xfId="1769" xr:uid="{8BF81EE4-B636-4828-B917-D9D0A03C0A02}"/>
    <cellStyle name="Note 2 4 2 3 2 2 2 2 2" xfId="1768" xr:uid="{D19748AF-BDB1-40A7-A5C7-5F9D184540EA}"/>
    <cellStyle name="Note 2 4 2 3 2 2 2 3" xfId="1767" xr:uid="{762FA4BE-F712-4FE0-AF44-0EA796B729B1}"/>
    <cellStyle name="Note 2 4 2 3 2 2 3" xfId="1766" xr:uid="{022520F6-27CE-48E0-ACE8-43490A54FF45}"/>
    <cellStyle name="Note 2 4 2 3 2 2 3 2" xfId="1765" xr:uid="{1268D22C-6D35-428E-9E17-4AA7B3A10DE1}"/>
    <cellStyle name="Note 2 4 2 3 2 2 4" xfId="1764" xr:uid="{76EAAC3D-D220-48E4-86B0-4D2EAA949AB1}"/>
    <cellStyle name="Note 2 4 2 3 2 3" xfId="32669" xr:uid="{E4A117AA-05AC-4AC7-9FE1-468772F193A0}"/>
    <cellStyle name="Note 2 4 2 3 2 3 2" xfId="26965" xr:uid="{9442F5B1-CDD9-461D-8B4E-4E4EAB790120}"/>
    <cellStyle name="Note 2 4 2 3 2 3 2 2" xfId="1763" xr:uid="{8B3B6B3D-F631-46B5-B5F1-CDB38A1E7CB4}"/>
    <cellStyle name="Note 2 4 2 3 2 3 3" xfId="26950" xr:uid="{137586CD-7E6F-4C13-B2E4-9CEA3F1397AF}"/>
    <cellStyle name="Note 2 4 2 3 2 4" xfId="33052" xr:uid="{072DF038-BABA-4683-9F04-8A01B5132B34}"/>
    <cellStyle name="Note 2 4 2 3 2 4 2" xfId="26666" xr:uid="{93B95E0A-5653-4454-A1EE-699C4A9B533F}"/>
    <cellStyle name="Note 2 4 2 3 2 5" xfId="1762" xr:uid="{AB0808D5-2A42-4D38-8A8C-A0A9AE21C7C0}"/>
    <cellStyle name="Note 2 4 2 3 3" xfId="22133" xr:uid="{4B37ADA5-5F48-4F0D-967A-9621A6E49610}"/>
    <cellStyle name="Note 2 4 2 3 3 2" xfId="29279" xr:uid="{F3A72BA9-461C-4BE8-8B32-E1EEAA4B5C59}"/>
    <cellStyle name="Note 2 4 2 3 3 2 2" xfId="1761" xr:uid="{D4D5AA1C-28C0-4B28-A8A0-0701D52D0795}"/>
    <cellStyle name="Note 2 4 2 3 3 2 2 2" xfId="1760" xr:uid="{C1287924-112C-446C-92BA-8EC25D148F02}"/>
    <cellStyle name="Note 2 4 2 3 3 2 3" xfId="1759" xr:uid="{80C678ED-5390-4159-89B3-FB26A4BAC0F0}"/>
    <cellStyle name="Note 2 4 2 3 3 3" xfId="1758" xr:uid="{C2E7DA01-7B16-4171-8D17-DDB35D3D31B8}"/>
    <cellStyle name="Note 2 4 2 3 3 3 2" xfId="29419" xr:uid="{0CFE5513-658B-43D5-B4AC-4F4EC8198D91}"/>
    <cellStyle name="Note 2 4 2 3 3 4" xfId="1757" xr:uid="{B6145DCC-12FC-4532-9714-3CC2C49F6B2D}"/>
    <cellStyle name="Note 2 4 2 3 4" xfId="23287" xr:uid="{0277B530-E395-4887-9B19-06E0C5A8E2C6}"/>
    <cellStyle name="Note 2 4 2 3 4 2" xfId="1756" xr:uid="{7A505FDC-4FEB-40EE-9836-5DEF2F066E71}"/>
    <cellStyle name="Note 2 4 2 3 4 2 2" xfId="28479" xr:uid="{8FFE3155-3173-4475-91E5-0FA825FE010B}"/>
    <cellStyle name="Note 2 4 2 3 4 3" xfId="1755" xr:uid="{3E8B6806-C506-4735-8A2C-DA9D16076660}"/>
    <cellStyle name="Note 2 4 2 3 5" xfId="5740" xr:uid="{C7DD02A4-0B0F-4902-BA18-E4BD36449883}"/>
    <cellStyle name="Note 2 4 2 3 5 2" xfId="1754" xr:uid="{EA95543A-08FF-4D6F-8706-C5274D10E238}"/>
    <cellStyle name="Note 2 4 2 3 6" xfId="1753" xr:uid="{916AA823-95C3-42C7-ABDC-20A4A3E76751}"/>
    <cellStyle name="Note 2 4 2 4" xfId="33497" xr:uid="{7CA4BF61-CF00-454D-A9B7-6165319439B9}"/>
    <cellStyle name="Note 2 4 2 4 2" xfId="22122" xr:uid="{7495BDBE-09A4-4D0B-80DB-1A3849847E26}"/>
    <cellStyle name="Note 2 4 2 4 2 2" xfId="1752" xr:uid="{AB0956BA-E25A-4656-94C6-A0A1B7D5DE6C}"/>
    <cellStyle name="Note 2 4 2 4 2 2 2" xfId="1751" xr:uid="{A94E8F03-8B60-48B8-81AD-C642DBE9114C}"/>
    <cellStyle name="Note 2 4 2 4 2 2 2 2" xfId="1750" xr:uid="{C88DB511-8937-446B-8B10-C464D4F08E95}"/>
    <cellStyle name="Note 2 4 2 4 2 2 3" xfId="1749" xr:uid="{D65055EB-0A89-43BF-B44E-42011FC08906}"/>
    <cellStyle name="Note 2 4 2 4 2 3" xfId="1748" xr:uid="{9F972BAF-246C-4642-B0A3-CED2FBFB5CDF}"/>
    <cellStyle name="Note 2 4 2 4 2 3 2" xfId="31027" xr:uid="{445EC52E-96A1-406D-9A2F-BDB9F0F2D72B}"/>
    <cellStyle name="Note 2 4 2 4 2 4" xfId="1747" xr:uid="{CFAF04C6-C1F3-4A58-9C0F-F78F40D87933}"/>
    <cellStyle name="Note 2 4 2 4 3" xfId="8271" xr:uid="{373C648A-56B9-4963-A02F-7C589F6F4C74}"/>
    <cellStyle name="Note 2 4 2 4 3 2" xfId="8175" xr:uid="{677CFB28-4530-4E06-A18C-1299C4B0D186}"/>
    <cellStyle name="Note 2 4 2 4 3 2 2" xfId="1745" xr:uid="{10B87884-53CE-4224-8644-7EF2FA564917}"/>
    <cellStyle name="Note 2 4 2 4 3 3" xfId="5931" xr:uid="{3387B6A2-93DE-4E3A-BCF7-715854A93BB6}"/>
    <cellStyle name="Note 2 4 2 4 4" xfId="5928" xr:uid="{ACDCF3C0-09B6-4FA3-A519-C7279C319621}"/>
    <cellStyle name="Note 2 4 2 4 4 2" xfId="5926" xr:uid="{2B7E7BE9-6EB7-4166-BCB7-42048C2CD358}"/>
    <cellStyle name="Note 2 4 2 4 5" xfId="5923" xr:uid="{EB3863FA-351E-4833-801E-160CD727ADA6}"/>
    <cellStyle name="Note 2 4 2 5" xfId="1744" xr:uid="{63078283-377D-472D-A59E-5FDB58035618}"/>
    <cellStyle name="Note 2 4 2 5 2" xfId="8264" xr:uid="{D0756A0D-89DB-462C-A57F-D3672C1B5B68}"/>
    <cellStyle name="Note 2 4 2 5 2 2" xfId="5691" xr:uid="{1AEAB88A-116E-483C-BB21-265A2D3D8840}"/>
    <cellStyle name="Note 2 4 2 5 2 2 2" xfId="1743" xr:uid="{4E2DFB21-7B88-4B98-A4C4-95569137AD49}"/>
    <cellStyle name="Note 2 4 2 5 2 3" xfId="1742" xr:uid="{965FC6C9-414B-4F0E-AD18-494E76DFF603}"/>
    <cellStyle name="Note 2 4 2 5 3" xfId="9385" xr:uid="{0BAC7357-214B-460E-BB5B-C18A19223CB5}"/>
    <cellStyle name="Note 2 4 2 5 3 2" xfId="32924" xr:uid="{9F6A1388-AFDA-4E64-A535-0B0B52B58CF4}"/>
    <cellStyle name="Note 2 4 2 5 4" xfId="6297" xr:uid="{D327B3F2-54C2-4C6F-8655-A20F6AA0C082}"/>
    <cellStyle name="Note 2 4 2 6" xfId="9817" xr:uid="{11168F86-5CCA-4516-A14A-0DACAA927DD1}"/>
    <cellStyle name="Note 2 4 2 6 2" xfId="1741" xr:uid="{32EE83AE-BB91-4AE8-A7F4-A655C9A2F0CB}"/>
    <cellStyle name="Note 2 4 2 6 2 2" xfId="1740" xr:uid="{D1B53532-29AC-40AE-AD30-59A45689918D}"/>
    <cellStyle name="Note 2 4 2 6 3" xfId="6292" xr:uid="{36640D67-EFB8-4970-86CB-2D4DEDE92D4E}"/>
    <cellStyle name="Note 2 4 2 7" xfId="9810" xr:uid="{BD9AB891-2441-4F5F-956E-1125DF7E1ED9}"/>
    <cellStyle name="Note 2 4 2 7 2" xfId="5644" xr:uid="{5AA5932E-6ADA-4F0E-A020-411440FA1A23}"/>
    <cellStyle name="Note 2 4 2 8" xfId="1739" xr:uid="{83A18B1C-4476-405E-B1BD-650A4E02D20A}"/>
    <cellStyle name="Note 2 4 3" xfId="5805" xr:uid="{87F8764A-7B67-418D-A3A3-AD2094CA8112}"/>
    <cellStyle name="Note 2 4 3 2" xfId="23439" xr:uid="{996F21B7-6BDD-4943-A229-E1A160A8EDF7}"/>
    <cellStyle name="Note 2 4 3 2 2" xfId="5802" xr:uid="{C1A25C2E-D98A-46AA-A7B4-91F11B6C7F92}"/>
    <cellStyle name="Note 2 4 3 2 2 2" xfId="1738" xr:uid="{FC881BD8-1F77-4508-BA87-2803778DE241}"/>
    <cellStyle name="Note 2 4 3 2 2 2 2" xfId="1737" xr:uid="{BFBA0363-12D1-4EE6-88AB-99ABC815E81C}"/>
    <cellStyle name="Note 2 4 3 2 2 2 2 2" xfId="1736" xr:uid="{95917347-388B-4340-A634-C30ADB056DFA}"/>
    <cellStyle name="Note 2 4 3 2 2 2 2 2 2" xfId="1735" xr:uid="{DA4B2C7F-864B-4F6D-956D-2E5144E6B9F1}"/>
    <cellStyle name="Note 2 4 3 2 2 2 2 3" xfId="1734" xr:uid="{5F8C52E5-9E53-4E33-9BE4-39A5437F6F68}"/>
    <cellStyle name="Note 2 4 3 2 2 2 3" xfId="1733" xr:uid="{38812609-795D-47A6-83E6-5B68C95A60C8}"/>
    <cellStyle name="Note 2 4 3 2 2 2 3 2" xfId="14608" xr:uid="{088344A1-1C8D-47DC-9B1C-BA7027BE0C00}"/>
    <cellStyle name="Note 2 4 3 2 2 2 4" xfId="1732" xr:uid="{CD80D4DA-1F72-4688-AFF7-F9BD6A45A5DA}"/>
    <cellStyle name="Note 2 4 3 2 2 3" xfId="1731" xr:uid="{24530571-D923-4834-8C7B-309ABDB53706}"/>
    <cellStyle name="Note 2 4 3 2 2 3 2" xfId="1730" xr:uid="{D58A526E-05CD-4E5D-9AFF-CF7C9E5F45F5}"/>
    <cellStyle name="Note 2 4 3 2 2 3 2 2" xfId="1729" xr:uid="{870397DD-B4F4-4678-8E1A-663BB4F11C70}"/>
    <cellStyle name="Note 2 4 3 2 2 3 3" xfId="1728" xr:uid="{C63EF381-0162-4B2A-B9EA-CF91AC37B072}"/>
    <cellStyle name="Note 2 4 3 2 2 4" xfId="27313" xr:uid="{231E452A-9C01-46C4-A0FC-73EA500B2EEF}"/>
    <cellStyle name="Note 2 4 3 2 2 4 2" xfId="1727" xr:uid="{DF9DBCDE-7A69-463F-9540-671FDCAAD82F}"/>
    <cellStyle name="Note 2 4 3 2 2 5" xfId="1726" xr:uid="{513BB9FB-AFD6-4320-AE96-5758884A65BF}"/>
    <cellStyle name="Note 2 4 3 2 3" xfId="1725" xr:uid="{58DCE2AB-A138-48B8-9CA0-4C5D839CFAD7}"/>
    <cellStyle name="Note 2 4 3 2 3 2" xfId="1724" xr:uid="{01FC9512-719B-4008-801B-30DE041B713C}"/>
    <cellStyle name="Note 2 4 3 2 3 2 2" xfId="1723" xr:uid="{8AB7026A-7ED3-426C-AF75-2298976061B8}"/>
    <cellStyle name="Note 2 4 3 2 3 2 2 2" xfId="1722" xr:uid="{FFDD8517-005E-4CE4-9666-B291D2B047B9}"/>
    <cellStyle name="Note 2 4 3 2 3 2 3" xfId="1721" xr:uid="{5AE43554-ED60-4BED-A073-F872A234CB22}"/>
    <cellStyle name="Note 2 4 3 2 3 3" xfId="1720" xr:uid="{70268554-CF52-4B3F-856A-5B84DB091551}"/>
    <cellStyle name="Note 2 4 3 2 3 3 2" xfId="1719" xr:uid="{0C7F58EA-99F0-4CB3-936E-F7E23E1C6986}"/>
    <cellStyle name="Note 2 4 3 2 3 4" xfId="1718" xr:uid="{EF9834D5-2FF2-400B-BD69-0AED0ABD8CB0}"/>
    <cellStyle name="Note 2 4 3 2 4" xfId="1717" xr:uid="{04576506-D11E-4405-BF9F-CD90732F803D}"/>
    <cellStyle name="Note 2 4 3 2 4 2" xfId="1715" xr:uid="{346E3630-7815-4321-8314-ECB5B7E1B61E}"/>
    <cellStyle name="Note 2 4 3 2 4 2 2" xfId="1714" xr:uid="{6C3D6193-1A61-43CF-96CB-AFF5815EFA60}"/>
    <cellStyle name="Note 2 4 3 2 4 3" xfId="1713" xr:uid="{0AA9FDDA-15FC-49FA-954C-27A47F74B50C}"/>
    <cellStyle name="Note 2 4 3 2 5" xfId="1712" xr:uid="{60B8ECA2-25DE-4726-BEBE-46E00042B700}"/>
    <cellStyle name="Note 2 4 3 2 5 2" xfId="1711" xr:uid="{AFB33E80-C0DA-4D6F-8978-B89072DF146F}"/>
    <cellStyle name="Note 2 4 3 2 6" xfId="11005" xr:uid="{ABD1BCA1-129E-48DD-A366-7FB8039B88D2}"/>
    <cellStyle name="Note 2 4 3 3" xfId="5799" xr:uid="{65ECB56D-6220-4AE9-B76F-C1080BAB3E80}"/>
    <cellStyle name="Note 2 4 3 3 2" xfId="23758" xr:uid="{18863E3C-2511-4B37-928D-4B71131A8925}"/>
    <cellStyle name="Note 2 4 3 3 2 2" xfId="1710" xr:uid="{C09D132E-50BB-45A2-883F-2C03DDB3EEAB}"/>
    <cellStyle name="Note 2 4 3 3 2 2 2" xfId="1709" xr:uid="{EE1054BD-B041-493C-B068-EF670F27052C}"/>
    <cellStyle name="Note 2 4 3 3 2 2 2 2" xfId="29852" xr:uid="{154B5D78-DAAC-48CD-9F06-4077E2CBF184}"/>
    <cellStyle name="Note 2 4 3 3 2 2 3" xfId="1708" xr:uid="{5B6E22A6-7166-492C-9F10-729530DE68A2}"/>
    <cellStyle name="Note 2 4 3 3 2 3" xfId="1707" xr:uid="{D685AE43-EFF7-40C1-8D2B-37BFDAF72BC9}"/>
    <cellStyle name="Note 2 4 3 3 2 3 2" xfId="10328" xr:uid="{A89B7A3D-C796-4CD7-99E1-4DAC4A6393DF}"/>
    <cellStyle name="Note 2 4 3 3 2 4" xfId="1706" xr:uid="{CBC05FD1-C4C3-4270-BC1A-AE011F1630BC}"/>
    <cellStyle name="Note 2 4 3 3 3" xfId="23754" xr:uid="{D5D43391-1BE2-45F4-8345-EDE3A51CDBAF}"/>
    <cellStyle name="Note 2 4 3 3 3 2" xfId="1705" xr:uid="{82BF6416-04F6-4C96-820F-7E50D071D3FD}"/>
    <cellStyle name="Note 2 4 3 3 3 2 2" xfId="1704" xr:uid="{D6D1D989-EF54-4D8C-8F9D-5368C1F9E381}"/>
    <cellStyle name="Note 2 4 3 3 3 3" xfId="1703" xr:uid="{E3C00D35-C65E-4929-A430-8FA1B78D916F}"/>
    <cellStyle name="Note 2 4 3 3 4" xfId="1702" xr:uid="{CC61BCFF-E9AC-46A0-A613-BD4619F4DC7B}"/>
    <cellStyle name="Note 2 4 3 3 4 2" xfId="1701" xr:uid="{797E5771-27AC-4A16-995C-EE11AD8F8117}"/>
    <cellStyle name="Note 2 4 3 3 5" xfId="1700" xr:uid="{E0591FC3-44B2-417F-8629-E2E654466274}"/>
    <cellStyle name="Note 2 4 3 4" xfId="1699" xr:uid="{3762968B-E727-4EBC-9871-CA686DE3F4B1}"/>
    <cellStyle name="Note 2 4 3 4 2" xfId="8253" xr:uid="{5F901C62-1C69-4662-B379-93F80F9D219E}"/>
    <cellStyle name="Note 2 4 3 4 2 2" xfId="1698" xr:uid="{FEB97B22-E780-443A-B316-10DBFA956F46}"/>
    <cellStyle name="Note 2 4 3 4 2 2 2" xfId="14325" xr:uid="{7A660173-EF18-4168-AC16-03DDFDFDF2A3}"/>
    <cellStyle name="Note 2 4 3 4 2 3" xfId="1697" xr:uid="{397EDC10-8283-4EF1-AC56-289C39A99011}"/>
    <cellStyle name="Note 2 4 3 4 3" xfId="5917" xr:uid="{F2FD0280-9C06-4731-9E3A-A657D4ABEB6D}"/>
    <cellStyle name="Note 2 4 3 4 3 2" xfId="5915" xr:uid="{99C6A284-2A27-4232-A494-CE1948FEAD29}"/>
    <cellStyle name="Note 2 4 3 4 4" xfId="5911" xr:uid="{6E93BEFD-5054-4AC6-9DDF-99096CB6475E}"/>
    <cellStyle name="Note 2 4 3 5" xfId="1696" xr:uid="{E5DB7991-40E8-4CCE-8399-1A6886930AE3}"/>
    <cellStyle name="Note 2 4 3 5 2" xfId="1695" xr:uid="{21859D62-8D67-4173-A17C-BC794D65BAC3}"/>
    <cellStyle name="Note 2 4 3 5 2 2" xfId="1694" xr:uid="{5AFB9D87-AC62-4097-BFDC-7B436D2737D3}"/>
    <cellStyle name="Note 2 4 3 5 3" xfId="6283" xr:uid="{88EFBF7E-9676-46BF-9F6F-2918ABBCBF4B}"/>
    <cellStyle name="Note 2 4 3 6" xfId="14527" xr:uid="{715D2AAF-9A8E-4B1B-B34C-176CBF866995}"/>
    <cellStyle name="Note 2 4 3 6 2" xfId="1693" xr:uid="{7F6D9F81-70F8-44DC-A480-2EB0F08BDC69}"/>
    <cellStyle name="Note 2 4 3 7" xfId="1692" xr:uid="{5CFF7380-C57B-4311-A148-D85EFB47551D}"/>
    <cellStyle name="Note 2 4 4" xfId="12936" xr:uid="{9E8589AD-97C9-4B7B-84FC-A1DC66DDB02B}"/>
    <cellStyle name="Note 2 4 4 2" xfId="32712" xr:uid="{C330AC99-42D0-46D6-813A-90BCEC85F455}"/>
    <cellStyle name="Note 2 4 4 2 2" xfId="33519" xr:uid="{6748DF69-06BA-4A57-8362-A835E3E0EE93}"/>
    <cellStyle name="Note 2 4 4 2 2 2" xfId="1691" xr:uid="{E0338F0D-3B05-4B94-AE5D-0CAFAE6F4D4B}"/>
    <cellStyle name="Note 2 4 4 2 2 2 2" xfId="4980" xr:uid="{57FC4647-B230-4D15-B548-7E072D7A314C}"/>
    <cellStyle name="Note 2 4 4 2 2 2 2 2" xfId="4978" xr:uid="{3EC80A23-C1E4-4DED-99F1-02372168361C}"/>
    <cellStyle name="Note 2 4 4 2 2 2 3" xfId="4976" xr:uid="{768E0E3C-A76F-4777-B43D-44115D64E7F5}"/>
    <cellStyle name="Note 2 4 4 2 2 3" xfId="1690" xr:uid="{F2A84B48-1DED-4433-BC27-96661C06B012}"/>
    <cellStyle name="Note 2 4 4 2 2 3 2" xfId="11737" xr:uid="{7C09AC2A-7691-49ED-B2AA-402844ED5C02}"/>
    <cellStyle name="Note 2 4 4 2 2 4" xfId="1689" xr:uid="{CEBFBE8E-C160-4BCF-BF33-E83F07B7A753}"/>
    <cellStyle name="Note 2 4 4 2 3" xfId="1688" xr:uid="{8F20F7C2-3916-4D03-B69D-6DD842196FDB}"/>
    <cellStyle name="Note 2 4 4 2 3 2" xfId="1687" xr:uid="{ADB55231-9103-43DB-A521-B707CDE99B03}"/>
    <cellStyle name="Note 2 4 4 2 3 2 2" xfId="4952" xr:uid="{B4EC6557-F343-4988-B92F-DE5696D40329}"/>
    <cellStyle name="Note 2 4 4 2 3 3" xfId="1686" xr:uid="{40A1E7E4-2590-43F5-89F8-AC4F8A66CC52}"/>
    <cellStyle name="Note 2 4 4 2 4" xfId="1685" xr:uid="{0243D540-807D-4C86-BCCE-559D39257DB0}"/>
    <cellStyle name="Note 2 4 4 2 4 2" xfId="1684" xr:uid="{50F3058C-D941-4D8B-A231-5D52AF2DCCB4}"/>
    <cellStyle name="Note 2 4 4 2 5" xfId="1683" xr:uid="{4F192A61-DA85-4F99-BA3A-886B2447013B}"/>
    <cellStyle name="Note 2 4 4 3" xfId="1682" xr:uid="{F5FFDE4D-3744-41AB-95A6-8F430C847676}"/>
    <cellStyle name="Note 2 4 4 3 2" xfId="22955" xr:uid="{51B33D45-AD91-40B4-B6F7-2587DCC7F9A8}"/>
    <cellStyle name="Note 2 4 4 3 2 2" xfId="8838" xr:uid="{47088740-50C9-447A-932C-0F765B48A00A}"/>
    <cellStyle name="Note 2 4 4 3 2 2 2" xfId="4922" xr:uid="{FAA2CB84-5692-49D6-9E05-B99FE6BB92D9}"/>
    <cellStyle name="Note 2 4 4 3 2 3" xfId="1681" xr:uid="{3442EED2-F82E-46CF-8719-3D27DB3900AB}"/>
    <cellStyle name="Note 2 4 4 3 3" xfId="1680" xr:uid="{3A9D6DC8-D0FB-4A1B-B1C8-49F4ABB60E83}"/>
    <cellStyle name="Note 2 4 4 3 3 2" xfId="1679" xr:uid="{CAD28F1A-424C-405F-B065-0E645B6B7713}"/>
    <cellStyle name="Note 2 4 4 3 4" xfId="1678" xr:uid="{33365311-1366-41B3-895B-9C775E61D6E4}"/>
    <cellStyle name="Note 2 4 4 4" xfId="28000" xr:uid="{70B223E4-E0A5-4EF7-B80C-FBFE54322A1E}"/>
    <cellStyle name="Note 2 4 4 4 2" xfId="1677" xr:uid="{8CB172B4-B298-45B5-B131-86BB56C6639A}"/>
    <cellStyle name="Note 2 4 4 4 2 2" xfId="1676" xr:uid="{E89AD487-E18B-4A04-862B-E6AEBA7A419E}"/>
    <cellStyle name="Note 2 4 4 4 3" xfId="5906" xr:uid="{17FA66EE-063A-4EA2-A258-C95898686EBE}"/>
    <cellStyle name="Note 2 4 4 5" xfId="1675" xr:uid="{70BDF610-D41E-4532-AD29-011CB01DE349}"/>
    <cellStyle name="Note 2 4 4 5 2" xfId="1674" xr:uid="{C72725D3-D611-4FD6-9B30-BB18AC6B8FDD}"/>
    <cellStyle name="Note 2 4 4 6" xfId="1673" xr:uid="{03CD0BBA-050C-4867-AAF7-C1D05C91CCC1}"/>
    <cellStyle name="Note 2 4 5" xfId="12925" xr:uid="{DFA8D866-AD2D-4C46-88F2-1DA3A66544DC}"/>
    <cellStyle name="Note 2 4 5 2" xfId="29144" xr:uid="{21D0CAD8-5C04-44B2-9ED2-9962B599F993}"/>
    <cellStyle name="Note 2 4 5 2 2" xfId="17003" xr:uid="{442965F8-7E1F-4E5A-95FE-E0E11C0B5CC4}"/>
    <cellStyle name="Note 2 4 5 2 2 2" xfId="1672" xr:uid="{04D0AC30-E0DE-42C1-9D95-DFAB95A308FD}"/>
    <cellStyle name="Note 2 4 5 2 2 2 2" xfId="24133" xr:uid="{0D63B65C-AE0F-4526-858E-BCFEAACA9F9C}"/>
    <cellStyle name="Note 2 4 5 2 2 3" xfId="1671" xr:uid="{CD4769DA-5ECA-412A-B976-9284E2B09EF8}"/>
    <cellStyle name="Note 2 4 5 2 3" xfId="22802" xr:uid="{7B1CD233-2218-4886-959F-80F43FFD6570}"/>
    <cellStyle name="Note 2 4 5 2 3 2" xfId="34339" xr:uid="{B6C9BA55-566D-4001-8C19-A66BC8577125}"/>
    <cellStyle name="Note 2 4 5 2 4" xfId="1670" xr:uid="{A5D01B52-EBA0-4359-99A2-07314504F82B}"/>
    <cellStyle name="Note 2 4 5 3" xfId="33872" xr:uid="{D9BEF08B-3A39-4FB4-9BFB-7C60B3F03978}"/>
    <cellStyle name="Note 2 4 5 3 2" xfId="9373" xr:uid="{F4762F05-1FD2-4DEE-85B5-CB90E7195BD6}"/>
    <cellStyle name="Note 2 4 5 3 2 2" xfId="1669" xr:uid="{252D7322-E5B1-4DC3-9E1B-16E8B923EBA3}"/>
    <cellStyle name="Note 2 4 5 3 3" xfId="9369" xr:uid="{15C6AE28-F955-469B-A631-A9F28DC5BF9D}"/>
    <cellStyle name="Note 2 4 5 4" xfId="1668" xr:uid="{ACD5AD18-249C-4C74-8390-6980D1F3DAA6}"/>
    <cellStyle name="Note 2 4 5 4 2" xfId="1667" xr:uid="{90DB0EB5-162A-4347-BC1D-F14E33C51C47}"/>
    <cellStyle name="Note 2 4 5 5" xfId="1666" xr:uid="{A661D610-3A59-47B3-ACC6-DE160988F3BA}"/>
    <cellStyle name="Note 2 4 6" xfId="15406" xr:uid="{96381949-4A4C-41D6-8F57-BD135A090A77}"/>
    <cellStyle name="Note 2 4 6 2" xfId="1665" xr:uid="{F35FB60B-4477-4323-957A-EE753DB8335F}"/>
    <cellStyle name="Note 2 4 6 2 2" xfId="1664" xr:uid="{9452A672-0669-4580-B3A3-062A6AB84AA0}"/>
    <cellStyle name="Note 2 4 6 2 2 2" xfId="1663" xr:uid="{57B579F5-D13C-4C44-AFFB-33CB89C64C3C}"/>
    <cellStyle name="Note 2 4 6 2 3" xfId="1662" xr:uid="{D0542484-D753-45AE-9B4C-09B81B539B3E}"/>
    <cellStyle name="Note 2 4 6 3" xfId="1661" xr:uid="{764FE808-2ADC-4432-9F8F-9CAB22748B42}"/>
    <cellStyle name="Note 2 4 6 3 2" xfId="33867" xr:uid="{3B1DA219-9728-4403-9FE1-3AFCF3FC708D}"/>
    <cellStyle name="Note 2 4 6 4" xfId="1660" xr:uid="{2C7AA524-4B40-4E49-B39D-B3B67D182014}"/>
    <cellStyle name="Note 2 4 7" xfId="1659" xr:uid="{392D06FE-92DC-45B8-97C3-63EF5DDE56A3}"/>
    <cellStyle name="Note 2 4 7 2" xfId="1658" xr:uid="{E14683EC-87DA-454C-A89B-0025D27257E0}"/>
    <cellStyle name="Note 2 4 7 2 2" xfId="33131" xr:uid="{B59E7DF3-94AB-4442-B827-E6C86188E3F7}"/>
    <cellStyle name="Note 2 4 7 3" xfId="1657" xr:uid="{C205769F-3A48-4227-8A72-CCA5AE17330B}"/>
    <cellStyle name="Note 2 4 8" xfId="1656" xr:uid="{B5D9BA36-B4D3-497C-8B03-63367C67F4FC}"/>
    <cellStyle name="Note 2 4 8 2" xfId="1655" xr:uid="{B7BF1654-A982-4A59-8E87-4A0FD83487E7}"/>
    <cellStyle name="Note 2 4 9" xfId="1654" xr:uid="{AEE69F3B-A0D1-437A-9689-74585984B560}"/>
    <cellStyle name="Note 2 5" xfId="30108" xr:uid="{12A8C5E7-84D0-499D-B0D6-FC69040DA47E}"/>
    <cellStyle name="Note 2 5 2" xfId="27996" xr:uid="{236D0E7A-BCB8-42C3-9652-834ED4E642FB}"/>
    <cellStyle name="Note 2 5 2 2" xfId="23514" xr:uid="{1A002595-C3CD-42E1-8CE8-59B8617E3C52}"/>
    <cellStyle name="Note 2 5 2 2 2" xfId="27994" xr:uid="{DD7D3708-492C-43F1-A8DB-BF58133FBD70}"/>
    <cellStyle name="Note 2 5 2 2 2 2" xfId="10978" xr:uid="{C705C9A7-C4E1-4C4D-B216-334731475E5A}"/>
    <cellStyle name="Note 2 5 2 2 2 2 2" xfId="1653" xr:uid="{C35403CE-9AD8-4B73-8208-64B0D9FC453F}"/>
    <cellStyle name="Note 2 5 2 2 2 2 2 2" xfId="1652" xr:uid="{EAA233EC-F56C-4E1E-A93A-DF922987BBEB}"/>
    <cellStyle name="Note 2 5 2 2 2 2 2 2 2" xfId="1651" xr:uid="{77A63285-7DAA-4DC2-9C4D-6BE1D2B21B2D}"/>
    <cellStyle name="Note 2 5 2 2 2 2 2 3" xfId="1650" xr:uid="{9FAC5B92-1153-4AF1-9CFD-8F2B11112066}"/>
    <cellStyle name="Note 2 5 2 2 2 2 3" xfId="21082" xr:uid="{DDB89C3D-5E82-4A5E-8892-ECB9C80EC480}"/>
    <cellStyle name="Note 2 5 2 2 2 2 3 2" xfId="1649" xr:uid="{B56B37D1-BB26-4980-929A-C4388BD2F461}"/>
    <cellStyle name="Note 2 5 2 2 2 2 4" xfId="1648" xr:uid="{EB9C025A-05C8-474A-A387-383FFF71E007}"/>
    <cellStyle name="Note 2 5 2 2 2 3" xfId="1647" xr:uid="{F9B59B18-E7D8-4B16-8624-535827BB204B}"/>
    <cellStyle name="Note 2 5 2 2 2 3 2" xfId="1646" xr:uid="{1445177D-5607-49FD-8254-526974E22921}"/>
    <cellStyle name="Note 2 5 2 2 2 3 2 2" xfId="1645" xr:uid="{5D770193-7569-4295-90DE-81704210A3D3}"/>
    <cellStyle name="Note 2 5 2 2 2 3 3" xfId="1644" xr:uid="{869DA97B-5C0B-40F6-923C-9051456CCC12}"/>
    <cellStyle name="Note 2 5 2 2 2 4" xfId="28068" xr:uid="{3F53151B-2994-400A-8F78-CF958575CC82}"/>
    <cellStyle name="Note 2 5 2 2 2 4 2" xfId="1643" xr:uid="{69F32C68-CFC2-412D-B1C6-226A77E874AF}"/>
    <cellStyle name="Note 2 5 2 2 2 5" xfId="1642" xr:uid="{86BA2AB4-0274-4D92-AE45-172D67A82F76}"/>
    <cellStyle name="Note 2 5 2 2 3" xfId="1641" xr:uid="{A8B326D3-B345-41F8-8631-B00AD93487F0}"/>
    <cellStyle name="Note 2 5 2 2 3 2" xfId="1640" xr:uid="{B5AE3840-06ED-4F6B-A516-D138B604620D}"/>
    <cellStyle name="Note 2 5 2 2 3 2 2" xfId="1639" xr:uid="{B9125D80-F802-43FB-966B-02B0751957FF}"/>
    <cellStyle name="Note 2 5 2 2 3 2 2 2" xfId="1638" xr:uid="{A8138FD9-8BF0-4D19-9774-D0DE730D2D84}"/>
    <cellStyle name="Note 2 5 2 2 3 2 3" xfId="1637" xr:uid="{861094B4-4D7A-4F4A-8C1D-BAE1783CDD0F}"/>
    <cellStyle name="Note 2 5 2 2 3 3" xfId="1636" xr:uid="{1CC812DA-CE0A-4EAF-8B22-829D42A9FFCE}"/>
    <cellStyle name="Note 2 5 2 2 3 3 2" xfId="1635" xr:uid="{18975722-DCF7-4DE4-B1AB-AEC6C43B9201}"/>
    <cellStyle name="Note 2 5 2 2 3 4" xfId="1634" xr:uid="{83C355F0-92D9-4C40-8B66-9546BA254131}"/>
    <cellStyle name="Note 2 5 2 2 4" xfId="20974" xr:uid="{1876C1DF-D60F-4296-BF25-98B40EEB0819}"/>
    <cellStyle name="Note 2 5 2 2 4 2" xfId="1633" xr:uid="{E543FB3B-0DCE-4A9E-9367-E6E7E2EED0FA}"/>
    <cellStyle name="Note 2 5 2 2 4 2 2" xfId="1632" xr:uid="{98BC19BB-B213-4C3A-8447-0A83B617F8ED}"/>
    <cellStyle name="Note 2 5 2 2 4 3" xfId="1631" xr:uid="{894C2D90-A89B-49F7-B273-54992CC83290}"/>
    <cellStyle name="Note 2 5 2 2 5" xfId="1630" xr:uid="{57FF54E8-2F3F-481A-8A69-F90CCED56C7D}"/>
    <cellStyle name="Note 2 5 2 2 5 2" xfId="1629" xr:uid="{DCA03E4F-6986-4F71-A1E4-70967B1A8543}"/>
    <cellStyle name="Note 2 5 2 2 6" xfId="1628" xr:uid="{E5772398-A2D1-4222-99ED-388B686FC673}"/>
    <cellStyle name="Note 2 5 2 3" xfId="27989" xr:uid="{C7BB5E2F-9E8F-49A9-9BA7-F4AB1C93E69A}"/>
    <cellStyle name="Note 2 5 2 3 2" xfId="22090" xr:uid="{AB029F4A-B55E-4BB5-8D24-97A5BD940747}"/>
    <cellStyle name="Note 2 5 2 3 2 2" xfId="1627" xr:uid="{D09ED81F-C35F-476E-8A9C-5F4079EA3CD7}"/>
    <cellStyle name="Note 2 5 2 3 2 2 2" xfId="1626" xr:uid="{7BF83566-D166-45BD-BAD5-4055A49B289B}"/>
    <cellStyle name="Note 2 5 2 3 2 2 2 2" xfId="1625" xr:uid="{48D1DB09-2FCD-4800-A480-173E92630035}"/>
    <cellStyle name="Note 2 5 2 3 2 2 3" xfId="1624" xr:uid="{1E2766B1-FCFD-4724-B720-F1C1E903E283}"/>
    <cellStyle name="Note 2 5 2 3 2 3" xfId="30076" xr:uid="{F884CEAB-A117-40DA-A56E-2DAFE0E38695}"/>
    <cellStyle name="Note 2 5 2 3 2 3 2" xfId="9589" xr:uid="{6A6B6C23-97C1-4B02-AC41-75E0B3D7A680}"/>
    <cellStyle name="Note 2 5 2 3 2 4" xfId="1623" xr:uid="{7591827E-4B5D-4321-826B-9812958FCCA4}"/>
    <cellStyle name="Note 2 5 2 3 3" xfId="24232" xr:uid="{23B554B2-D620-4335-9F39-8A3876F09249}"/>
    <cellStyle name="Note 2 5 2 3 3 2" xfId="1622" xr:uid="{EFF10755-D0C7-4D12-AB2B-960AC28EF665}"/>
    <cellStyle name="Note 2 5 2 3 3 2 2" xfId="1621" xr:uid="{A1D24775-9100-43FF-A3E3-C8F5C87B0C99}"/>
    <cellStyle name="Note 2 5 2 3 3 3" xfId="1620" xr:uid="{09814317-D8B0-4040-9ACD-2DA85E1B0607}"/>
    <cellStyle name="Note 2 5 2 3 4" xfId="1619" xr:uid="{D50E12C8-35CD-49D9-A2CD-EF6013FCEDC6}"/>
    <cellStyle name="Note 2 5 2 3 4 2" xfId="1618" xr:uid="{D6B01BD5-4004-49B2-AF7D-BB21619D1160}"/>
    <cellStyle name="Note 2 5 2 3 5" xfId="1617" xr:uid="{D03D8A35-73FF-41C2-9A09-F7284CBFC1E2}"/>
    <cellStyle name="Note 2 5 2 4" xfId="1616" xr:uid="{BDA7FF03-F450-49FC-8444-BE52AA58B79B}"/>
    <cellStyle name="Note 2 5 2 4 2" xfId="22081" xr:uid="{8F7133F6-E86F-415B-9248-6A974AD1A563}"/>
    <cellStyle name="Note 2 5 2 4 2 2" xfId="1615" xr:uid="{50ABAAE7-ACE7-4DCC-9457-DB52F8D9C4EF}"/>
    <cellStyle name="Note 2 5 2 4 2 2 2" xfId="1614" xr:uid="{F984D360-427F-4475-9D64-6174AD62AB0F}"/>
    <cellStyle name="Note 2 5 2 4 2 3" xfId="1613" xr:uid="{9C3791EE-BF17-41B0-AFED-AF2D58AE6C72}"/>
    <cellStyle name="Note 2 5 2 4 3" xfId="5896" xr:uid="{B3D1F746-E374-4376-BD73-4C1E94182761}"/>
    <cellStyle name="Note 2 5 2 4 3 2" xfId="6506" xr:uid="{9CE10A5F-7081-473E-A834-292CE5810C24}"/>
    <cellStyle name="Note 2 5 2 4 4" xfId="5893" xr:uid="{41073462-0516-40D1-8795-F6C99E74DF64}"/>
    <cellStyle name="Note 2 5 2 5" xfId="1612" xr:uid="{563755F0-0C1D-48F4-89A1-C9E9838A4391}"/>
    <cellStyle name="Note 2 5 2 5 2" xfId="1611" xr:uid="{A120AF7A-DDFF-4855-BD78-6A435D3FCCC7}"/>
    <cellStyle name="Note 2 5 2 5 2 2" xfId="1610" xr:uid="{69D3655F-0EBF-4FD3-A385-DA7C3375B322}"/>
    <cellStyle name="Note 2 5 2 5 3" xfId="10515" xr:uid="{FDCA5283-9A4D-4EA2-9B68-9C0C78326608}"/>
    <cellStyle name="Note 2 5 2 6" xfId="9794" xr:uid="{B22FB11E-54CE-425A-BB6C-4579CCC9CDA7}"/>
    <cellStyle name="Note 2 5 2 6 2" xfId="20859" xr:uid="{9A688E2B-8B65-48B9-87F9-B23A2787A53C}"/>
    <cellStyle name="Note 2 5 2 7" xfId="1609" xr:uid="{8271AC4B-174F-480E-A6B3-2302DAE6C46B}"/>
    <cellStyle name="Note 2 5 3" xfId="5796" xr:uid="{16F29822-EA6C-436C-9675-D09AE2E4753D}"/>
    <cellStyle name="Note 2 5 3 2" xfId="5793" xr:uid="{4139451C-6950-42B4-818D-270E8F7F2AA0}"/>
    <cellStyle name="Note 2 5 3 2 2" xfId="1608" xr:uid="{6397808E-CD85-4F80-AF03-31C14CB7CC81}"/>
    <cellStyle name="Note 2 5 3 2 2 2" xfId="1607" xr:uid="{FBDC7898-BCEE-4E01-B679-824AACB67351}"/>
    <cellStyle name="Note 2 5 3 2 2 2 2" xfId="1606" xr:uid="{B765911F-2ECB-4F9E-9191-DC24C62D8082}"/>
    <cellStyle name="Note 2 5 3 2 2 2 2 2" xfId="2991" xr:uid="{666F8EC6-C76D-4532-A4EB-0940DA473E34}"/>
    <cellStyle name="Note 2 5 3 2 2 2 3" xfId="1605" xr:uid="{D5BB4EF8-6580-4CCF-AF70-4D71AC7F10CD}"/>
    <cellStyle name="Note 2 5 3 2 2 3" xfId="1604" xr:uid="{0AF29B71-3FCB-48D1-B635-6266A59730A8}"/>
    <cellStyle name="Note 2 5 3 2 2 3 2" xfId="1603" xr:uid="{84FD3EBB-01A6-44D2-AA17-6B200F098812}"/>
    <cellStyle name="Note 2 5 3 2 2 4" xfId="1602" xr:uid="{6C9A858E-8BC0-41C7-8214-7488D86A1C9F}"/>
    <cellStyle name="Note 2 5 3 2 3" xfId="1601" xr:uid="{3D365D53-084C-4EBA-B701-A0BF5AC35052}"/>
    <cellStyle name="Note 2 5 3 2 3 2" xfId="1600" xr:uid="{EAEA9BBD-0823-4275-84F3-49AEF3512A18}"/>
    <cellStyle name="Note 2 5 3 2 3 2 2" xfId="1599" xr:uid="{DF96FA7C-696D-4F96-9DCE-FAE3A05A4B14}"/>
    <cellStyle name="Note 2 5 3 2 3 3" xfId="1598" xr:uid="{734C124D-2840-46F1-A0F4-802D67766869}"/>
    <cellStyle name="Note 2 5 3 2 4" xfId="1597" xr:uid="{21E125A2-4334-46C9-B023-250372AF4340}"/>
    <cellStyle name="Note 2 5 3 2 4 2" xfId="1596" xr:uid="{9479491D-54AA-4E76-AD40-F84D15F0E956}"/>
    <cellStyle name="Note 2 5 3 2 5" xfId="1595" xr:uid="{82CB7242-72B3-45A0-8F1A-DEB9D938C219}"/>
    <cellStyle name="Note 2 5 3 3" xfId="1594" xr:uid="{89E60896-BD39-4244-A2A8-DF62387DBDE2}"/>
    <cellStyle name="Note 2 5 3 3 2" xfId="34157" xr:uid="{A23930DA-5A32-4A77-86B4-B899F4CADE23}"/>
    <cellStyle name="Note 2 5 3 3 2 2" xfId="1593" xr:uid="{AD07CA9C-15D2-4B1A-B74B-A4005C7A7794}"/>
    <cellStyle name="Note 2 5 3 3 2 2 2" xfId="1592" xr:uid="{701EA06C-511B-4425-BFA3-D113A4FE6C4B}"/>
    <cellStyle name="Note 2 5 3 3 2 3" xfId="1591" xr:uid="{97CC2F5B-E547-4A3C-A3A5-B69A7A3640D7}"/>
    <cellStyle name="Note 2 5 3 3 3" xfId="1590" xr:uid="{F1E6165C-32D3-4D18-AFA4-439AD3823B36}"/>
    <cellStyle name="Note 2 5 3 3 3 2" xfId="1589" xr:uid="{76907B9B-F6F1-4A03-B785-E14D798B8EAC}"/>
    <cellStyle name="Note 2 5 3 3 4" xfId="1588" xr:uid="{6AB4B8EA-3901-44DC-8F7B-B1923C9CECD3}"/>
    <cellStyle name="Note 2 5 3 4" xfId="1587" xr:uid="{FC4FFDFA-C57C-4DEA-8480-8B72B3ECBFAB}"/>
    <cellStyle name="Note 2 5 3 4 2" xfId="1586" xr:uid="{54B0D28A-AD09-4B40-8F48-19D317C92594}"/>
    <cellStyle name="Note 2 5 3 4 2 2" xfId="1585" xr:uid="{71C2BC28-3C41-444E-986B-460C26BD14FB}"/>
    <cellStyle name="Note 2 5 3 4 3" xfId="12136" xr:uid="{219694D8-E562-4359-9A27-7722326BD298}"/>
    <cellStyle name="Note 2 5 3 5" xfId="1584" xr:uid="{5E75D9C0-FD7E-4328-BB24-31855BF09337}"/>
    <cellStyle name="Note 2 5 3 5 2" xfId="1583" xr:uid="{28199123-CCC4-480F-B2B0-746763548296}"/>
    <cellStyle name="Note 2 5 3 6" xfId="1582" xr:uid="{697678FF-560E-4451-84C5-C1A213E346E4}"/>
    <cellStyle name="Note 2 5 4" xfId="12912" xr:uid="{3945C6EF-BF3A-486D-982D-85BF6DACC448}"/>
    <cellStyle name="Note 2 5 4 2" xfId="1581" xr:uid="{EECC4DC3-919A-49DD-A120-0D80C20C1083}"/>
    <cellStyle name="Note 2 5 4 2 2" xfId="1580" xr:uid="{76510F64-51CD-4AE1-9B95-A6E5EA2A4FAB}"/>
    <cellStyle name="Note 2 5 4 2 2 2" xfId="13137" xr:uid="{581EA624-55F9-4486-95FD-872ACC238668}"/>
    <cellStyle name="Note 2 5 4 2 2 2 2" xfId="5523" xr:uid="{BA9EECC5-1714-4E41-A24A-8C4329AEEB90}"/>
    <cellStyle name="Note 2 5 4 2 2 3" xfId="13135" xr:uid="{3795CB31-92D5-4721-9909-C4804AA29F13}"/>
    <cellStyle name="Note 2 5 4 2 3" xfId="1579" xr:uid="{7A0B2151-6DA2-47D1-94F5-398FE60EDBBA}"/>
    <cellStyle name="Note 2 5 4 2 3 2" xfId="13128" xr:uid="{A06FCC9D-7C95-4C1C-A0C5-A34559BA18E8}"/>
    <cellStyle name="Note 2 5 4 2 4" xfId="1578" xr:uid="{6AD5A150-726E-4E67-899A-778250361049}"/>
    <cellStyle name="Note 2 5 4 3" xfId="1577" xr:uid="{DE5D378A-4379-4AF6-970E-7B1C602E1528}"/>
    <cellStyle name="Note 2 5 4 3 2" xfId="1576" xr:uid="{43DB21D6-7DE2-4A9F-A329-AC55586105C7}"/>
    <cellStyle name="Note 2 5 4 3 2 2" xfId="13111" xr:uid="{08B9778B-EAFB-4F25-9CE4-EFC09D24685F}"/>
    <cellStyle name="Note 2 5 4 3 3" xfId="1575" xr:uid="{E7C8B816-9307-43DF-BE67-8E4686896AF2}"/>
    <cellStyle name="Note 2 5 4 4" xfId="32479" xr:uid="{13630D5E-5C44-442F-93E1-FC1FD50FD5BD}"/>
    <cellStyle name="Note 2 5 4 4 2" xfId="1574" xr:uid="{253C6E0A-2F9C-4A28-BA96-F027EEBE4F1D}"/>
    <cellStyle name="Note 2 5 4 5" xfId="30231" xr:uid="{249231F1-1E07-4074-AC54-7BCA60730834}"/>
    <cellStyle name="Note 2 5 5" xfId="1573" xr:uid="{017DFA9B-1B4A-461C-87B6-0A44F0078726}"/>
    <cellStyle name="Note 2 5 5 2" xfId="1572" xr:uid="{102C2EF9-3CF2-49B4-97B3-588144C18B77}"/>
    <cellStyle name="Note 2 5 5 2 2" xfId="1571" xr:uid="{9053D810-98C8-4C5A-9A18-683318170319}"/>
    <cellStyle name="Note 2 5 5 2 2 2" xfId="12897" xr:uid="{A85E19EE-D290-464A-9714-A93D69FEC3D1}"/>
    <cellStyle name="Note 2 5 5 2 3" xfId="1570" xr:uid="{5CD0791E-7680-4123-B03E-71232BBF5896}"/>
    <cellStyle name="Note 2 5 5 3" xfId="1569" xr:uid="{1DA35EE0-55E3-4C62-8298-4909307D533E}"/>
    <cellStyle name="Note 2 5 5 3 2" xfId="1568" xr:uid="{2D73DC80-98E4-405A-8EC9-BBD5898C390A}"/>
    <cellStyle name="Note 2 5 5 4" xfId="30089" xr:uid="{FD64269D-0C94-46A0-B315-5421D39F68E7}"/>
    <cellStyle name="Note 2 5 6" xfId="1567" xr:uid="{894C2BC3-D156-4275-B45F-8394C4CE0784}"/>
    <cellStyle name="Note 2 5 6 2" xfId="1566" xr:uid="{B1935D64-4114-405A-9361-16C0B28F2944}"/>
    <cellStyle name="Note 2 5 6 2 2" xfId="1565" xr:uid="{37EA8801-3BC7-4D75-A61D-5D398D31FCC0}"/>
    <cellStyle name="Note 2 5 6 3" xfId="1564" xr:uid="{37F1F26E-AFAA-4791-AAC3-FF47DCDDA4BD}"/>
    <cellStyle name="Note 2 5 7" xfId="1563" xr:uid="{3FC7F8F4-C252-4798-89CF-4879481FDD60}"/>
    <cellStyle name="Note 2 5 7 2" xfId="1562" xr:uid="{B8400F11-F324-46E5-91B5-C94FC7ACD033}"/>
    <cellStyle name="Note 2 5 8" xfId="1561" xr:uid="{5C3D0620-23A4-4EBB-8AE8-2567FEAFCD42}"/>
    <cellStyle name="Note 2 5 9" xfId="34938" xr:uid="{2B956BA1-85F0-4394-B697-C2FC3CB1402F}"/>
    <cellStyle name="Note 2 6" xfId="20314" xr:uid="{F9D6F152-8E09-448E-AD4B-645499398986}"/>
    <cellStyle name="Note 2 6 2" xfId="32662" xr:uid="{85BDC311-007D-4472-966E-A1F710BF518D}"/>
    <cellStyle name="Note 2 6 2 2" xfId="33980" xr:uid="{76C12206-256C-4DD4-8A46-D5E29CAAF3E1}"/>
    <cellStyle name="Note 2 6 2 2 2" xfId="3623" xr:uid="{31C59117-4FB7-45AA-B2A5-5A59BC6BA943}"/>
    <cellStyle name="Note 2 6 2 2 2 2" xfId="9927" xr:uid="{941B3A7A-9E5C-403E-BE01-E48E857FE685}"/>
    <cellStyle name="Note 2 6 2 2 2 2 2" xfId="1560" xr:uid="{5BF6FAE3-1769-4ABC-A61C-A2CF8AC4D243}"/>
    <cellStyle name="Note 2 6 2 2 2 2 2 2" xfId="1559" xr:uid="{8A1D188E-2CD2-4CA9-A586-3BEA437A3F74}"/>
    <cellStyle name="Note 2 6 2 2 2 2 3" xfId="1558" xr:uid="{6791A59F-30E9-411E-B041-5DC3BF73E575}"/>
    <cellStyle name="Note 2 6 2 2 2 3" xfId="1557" xr:uid="{2B1737F2-EBC8-4BDD-9053-2E3AC9F38B16}"/>
    <cellStyle name="Note 2 6 2 2 2 3 2" xfId="1556" xr:uid="{592DCAF6-0177-4DEA-B948-64FE1A3CA3AC}"/>
    <cellStyle name="Note 2 6 2 2 2 4" xfId="1555" xr:uid="{D1E33D87-69F7-4A04-8D7F-47BC198CBC35}"/>
    <cellStyle name="Note 2 6 2 2 3" xfId="4604" xr:uid="{362B98E0-9DFC-411F-9B23-8CCC10383FF2}"/>
    <cellStyle name="Note 2 6 2 2 3 2" xfId="4602" xr:uid="{B6636124-5A9B-4078-826C-92EC5A99C95F}"/>
    <cellStyle name="Note 2 6 2 2 3 2 2" xfId="4599" xr:uid="{C0078CC4-36C5-486F-8C2A-13CC7F286945}"/>
    <cellStyle name="Note 2 6 2 2 3 3" xfId="4597" xr:uid="{3BAEE923-F157-4242-8BF4-E91C743F0A09}"/>
    <cellStyle name="Note 2 6 2 2 4" xfId="33994" xr:uid="{F2BF5793-8AEB-436B-A83D-1532C31F808F}"/>
    <cellStyle name="Note 2 6 2 2 4 2" xfId="4595" xr:uid="{20032D7E-FF62-4745-AF8E-01A14D5312E5}"/>
    <cellStyle name="Note 2 6 2 2 5" xfId="4593" xr:uid="{11655FB1-DF7A-4C93-A5EE-4059315DE460}"/>
    <cellStyle name="Note 2 6 2 3" xfId="3621" xr:uid="{24B7E631-D834-40AF-A1BF-43ABF7AD279F}"/>
    <cellStyle name="Note 2 6 2 3 2" xfId="22059" xr:uid="{490A3A96-6E2F-4F1E-B1F5-38C8B3179267}"/>
    <cellStyle name="Note 2 6 2 3 2 2" xfId="1554" xr:uid="{E80FDAAD-AFEA-4311-AC8A-D6A027D2B021}"/>
    <cellStyle name="Note 2 6 2 3 2 2 2" xfId="1553" xr:uid="{CE7CAD26-3E50-4DF7-9CF6-7320FB427EE9}"/>
    <cellStyle name="Note 2 6 2 3 2 3" xfId="1552" xr:uid="{11FC0F1F-76B2-4AF6-AE8C-153CA8B5985E}"/>
    <cellStyle name="Note 2 6 2 3 3" xfId="4590" xr:uid="{FFAAF632-5172-47C2-8835-C035E14F14A9}"/>
    <cellStyle name="Note 2 6 2 3 3 2" xfId="4588" xr:uid="{55BBE5E3-161A-4C24-B709-36DDBE55460E}"/>
    <cellStyle name="Note 2 6 2 3 4" xfId="4586" xr:uid="{0D18859D-802C-4417-A507-7E26859AEA5D}"/>
    <cellStyle name="Note 2 6 2 4" xfId="3619" xr:uid="{1C3A644A-6EB6-46EF-8B9C-BD86DCFF8AFF}"/>
    <cellStyle name="Note 2 6 2 4 2" xfId="3617" xr:uid="{8988D067-E2C4-42E9-BEF2-AC0076DC1D79}"/>
    <cellStyle name="Note 2 6 2 4 2 2" xfId="1551" xr:uid="{3F1E990B-0A8A-4C06-A301-1226C092D990}"/>
    <cellStyle name="Note 2 6 2 4 3" xfId="5883" xr:uid="{6A8790D5-27E9-4246-8ED5-42DACB49E6FF}"/>
    <cellStyle name="Note 2 6 2 5" xfId="3615" xr:uid="{DBEAB8A8-E749-4056-AA45-EF4D6C35A350}"/>
    <cellStyle name="Note 2 6 2 5 2" xfId="3613" xr:uid="{D122277B-6110-4FC9-8BAF-B55058D0F080}"/>
    <cellStyle name="Note 2 6 2 6" xfId="3611" xr:uid="{522514A2-0D1A-42A5-9278-98F4888F0BE8}"/>
    <cellStyle name="Note 2 6 3" xfId="5789" xr:uid="{4BF4F8F2-025B-4E02-8A5C-959E2DFD8ED9}"/>
    <cellStyle name="Note 2 6 3 2" xfId="3601" xr:uid="{933CFACB-3643-4654-8D77-D11A18500C0E}"/>
    <cellStyle name="Note 2 6 3 2 2" xfId="3599" xr:uid="{64AD50EA-A8AC-466C-B5AE-E465824DFF8C}"/>
    <cellStyle name="Note 2 6 3 2 2 2" xfId="1550" xr:uid="{174F800B-4594-47B9-AC4E-B3F181C73E51}"/>
    <cellStyle name="Note 2 6 3 2 2 2 2" xfId="1549" xr:uid="{7D85B39B-5829-439D-99B9-7DE12228AC5B}"/>
    <cellStyle name="Note 2 6 3 2 2 3" xfId="33027" xr:uid="{736E8A66-C7F4-45BB-8F02-0BBF56081526}"/>
    <cellStyle name="Note 2 6 3 2 3" xfId="4576" xr:uid="{EAB5ACFD-3407-4AB5-897D-8356BB4B4E6F}"/>
    <cellStyle name="Note 2 6 3 2 3 2" xfId="4574" xr:uid="{FB4936F4-EBB1-4F29-970C-90043320C779}"/>
    <cellStyle name="Note 2 6 3 2 4" xfId="4572" xr:uid="{58BEA2E2-D85D-421A-BBC2-0F1244D32065}"/>
    <cellStyle name="Note 2 6 3 3" xfId="3597" xr:uid="{066A8819-8070-413A-B588-CD3DAC5D2994}"/>
    <cellStyle name="Note 2 6 3 3 2" xfId="3595" xr:uid="{F5E66C08-5E92-42EA-A487-07DE7DA1EA20}"/>
    <cellStyle name="Note 2 6 3 3 2 2" xfId="1548" xr:uid="{593B68E6-0AFE-4FF1-A351-08D902C5CF19}"/>
    <cellStyle name="Note 2 6 3 3 3" xfId="4569" xr:uid="{0ADBD3ED-F332-4A14-8849-EF7D29B8384A}"/>
    <cellStyle name="Note 2 6 3 4" xfId="3593" xr:uid="{4C7866E8-ECA5-4E10-B7D5-1B8CAA0864E4}"/>
    <cellStyle name="Note 2 6 3 4 2" xfId="3591" xr:uid="{5415C872-4AC2-49BA-838C-07FAE7124B0D}"/>
    <cellStyle name="Note 2 6 3 5" xfId="3589" xr:uid="{9E123942-BD8A-4D83-B3A5-219367F2DEB4}"/>
    <cellStyle name="Note 2 6 4" xfId="1547" xr:uid="{5C403B1A-1B57-44B8-B76D-D5FEB9782C1F}"/>
    <cellStyle name="Note 2 6 4 2" xfId="3576" xr:uid="{8AC3FFD8-4F03-422B-BE38-5F4C3135286E}"/>
    <cellStyle name="Note 2 6 4 2 2" xfId="3574" xr:uid="{A75C3578-CE2F-4930-AF78-A800035D0B00}"/>
    <cellStyle name="Note 2 6 4 2 2 2" xfId="12690" xr:uid="{5FD4DF0F-E129-4A16-AD43-7B7E3CB8357A}"/>
    <cellStyle name="Note 2 6 4 2 3" xfId="4563" xr:uid="{EBB48F4F-33F7-4269-B843-6D4C206E9C2C}"/>
    <cellStyle name="Note 2 6 4 3" xfId="3572" xr:uid="{9BBF2EA7-9CEB-44D6-A617-ACEBACCC03B5}"/>
    <cellStyle name="Note 2 6 4 3 2" xfId="3570" xr:uid="{4FB43572-7BE5-4F20-8841-5B876B6958DC}"/>
    <cellStyle name="Note 2 6 4 4" xfId="30059" xr:uid="{EE43F655-EB37-4D7C-900D-77CDA74FDFEF}"/>
    <cellStyle name="Note 2 6 5" xfId="1546" xr:uid="{3F76334D-3843-46B2-A742-0935C4F5766C}"/>
    <cellStyle name="Note 2 6 5 2" xfId="21996" xr:uid="{2E517432-C2C4-4C05-AA56-890E5AB7A18D}"/>
    <cellStyle name="Note 2 6 5 2 2" xfId="1545" xr:uid="{532D05B9-5AC5-41A7-A375-0EF258D69464}"/>
    <cellStyle name="Note 2 6 5 3" xfId="1544" xr:uid="{35D7B992-B721-49FB-A5AF-82F7066280B0}"/>
    <cellStyle name="Note 2 6 6" xfId="1543" xr:uid="{DD6BE58F-63BA-46E1-834C-3B3B5072493E}"/>
    <cellStyle name="Note 2 6 6 2" xfId="1542" xr:uid="{4173975E-2DF3-43A3-BC1D-8B01BA63DD0C}"/>
    <cellStyle name="Note 2 6 7" xfId="1541" xr:uid="{BA957F4F-FC07-4DAA-862E-78C1914888FC}"/>
    <cellStyle name="Note 2 6 8" xfId="35143" xr:uid="{497F6F98-D87A-45E5-8BC5-FF9926C71EF2}"/>
    <cellStyle name="Note 2 7" xfId="16766" xr:uid="{933327EA-3F6E-4C7F-B6B6-32278C8B3FB9}"/>
    <cellStyle name="Note 2 7 2" xfId="33933" xr:uid="{27132117-811C-4D0F-8C16-1C3D4F7813D3}"/>
    <cellStyle name="Note 2 7 2 2" xfId="1540" xr:uid="{9FE68517-270A-486D-BBEF-0EBE66249BF0}"/>
    <cellStyle name="Note 2 7 2 2 2" xfId="34030" xr:uid="{12BE63DD-C070-4BA4-95D4-C3A7EE119DD7}"/>
    <cellStyle name="Note 2 7 2 2 2 2" xfId="33526" xr:uid="{85E2DC38-CCB0-4C5C-8FFA-2276CDAED1FF}"/>
    <cellStyle name="Note 2 7 2 2 2 2 2" xfId="1539" xr:uid="{0B1AA98E-4C0E-4763-86A9-6A76E8686DF9}"/>
    <cellStyle name="Note 2 7 2 2 2 3" xfId="27074" xr:uid="{95E50A26-67AA-4AB0-9D35-41AAC32BB50F}"/>
    <cellStyle name="Note 2 7 2 2 3" xfId="4548" xr:uid="{1AC67B3A-A818-4F6C-A3A5-5F754A5A5FE8}"/>
    <cellStyle name="Note 2 7 2 2 3 2" xfId="22056" xr:uid="{780A89EE-6C3E-4F32-B0DC-2C7C83C5ADBE}"/>
    <cellStyle name="Note 2 7 2 2 4" xfId="4546" xr:uid="{39BEC980-6D55-4E4A-97A1-8DBEFC497D60}"/>
    <cellStyle name="Note 2 7 2 3" xfId="1538" xr:uid="{C16F5E38-CD5D-40BD-B0BA-71321B55FBBE}"/>
    <cellStyle name="Note 2 7 2 3 2" xfId="1537" xr:uid="{BCE23E01-95DA-4A48-B928-6D62AAC2DF63}"/>
    <cellStyle name="Note 2 7 2 3 2 2" xfId="32338" xr:uid="{01C1FD10-7F51-42C1-B3F1-C7C4CD82E0D6}"/>
    <cellStyle name="Note 2 7 2 3 3" xfId="4543" xr:uid="{85C2AD01-3874-4D17-A7CE-5290C87B314A}"/>
    <cellStyle name="Note 2 7 2 4" xfId="15448" xr:uid="{F97E2236-1B2E-4DA7-B1CA-FCAB6253F966}"/>
    <cellStyle name="Note 2 7 2 4 2" xfId="30347" xr:uid="{2DD8D05F-33FB-4437-A67A-8CB479698227}"/>
    <cellStyle name="Note 2 7 2 5" xfId="15439" xr:uid="{47FEA782-C1AE-4D77-B699-A740985D6CC9}"/>
    <cellStyle name="Note 2 7 3" xfId="1536" xr:uid="{9BAA7E5E-C85A-4FAE-AE62-FA7EE7006586}"/>
    <cellStyle name="Note 2 7 3 2" xfId="1535" xr:uid="{B2D9D041-073B-4FD0-8673-C11096B96AFD}"/>
    <cellStyle name="Note 2 7 3 2 2" xfId="1534" xr:uid="{92BF1BBF-E0B5-4E24-9708-B68185506E2E}"/>
    <cellStyle name="Note 2 7 3 2 2 2" xfId="1533" xr:uid="{E5958C57-3609-4453-A46D-8D0738944277}"/>
    <cellStyle name="Note 2 7 3 2 3" xfId="4537" xr:uid="{B4E6C726-A83A-403E-95E0-928D0C3FFE6E}"/>
    <cellStyle name="Note 2 7 3 3" xfId="4527" xr:uid="{88ACB272-7D6D-481B-B466-1C21FCAF4BC1}"/>
    <cellStyle name="Note 2 7 3 3 2" xfId="4525" xr:uid="{F6592CE9-9BE4-412D-B4E5-3A9DCE9C4183}"/>
    <cellStyle name="Note 2 7 3 4" xfId="15428" xr:uid="{B3D45C1C-61F1-4A07-8596-51E110CF7A8A}"/>
    <cellStyle name="Note 2 7 4" xfId="1532" xr:uid="{827A44B3-D0E3-4E46-8502-B1BE700BB03B}"/>
    <cellStyle name="Note 2 7 4 2" xfId="1530" xr:uid="{7293AEC6-728D-4E03-A5E0-0526A5B73FCC}"/>
    <cellStyle name="Note 2 7 4 2 2" xfId="1528" xr:uid="{0CE2E80C-6795-40DD-AB9B-8456E2C232ED}"/>
    <cellStyle name="Note 2 7 4 3" xfId="4521" xr:uid="{4A863565-02A1-454B-8DBC-A9851A57BD26}"/>
    <cellStyle name="Note 2 7 5" xfId="1526" xr:uid="{F7202A59-7085-4C2F-B443-00A5692F9282}"/>
    <cellStyle name="Note 2 7 5 2" xfId="1524" xr:uid="{CF15F257-BAB2-44AA-B3B3-10A75E5A83A7}"/>
    <cellStyle name="Note 2 7 6" xfId="1522" xr:uid="{8E185632-FAFD-460E-9E27-3BD09533AFCF}"/>
    <cellStyle name="Note 2 7 7" xfId="35372" xr:uid="{FE95527B-7AA2-4D16-B9A2-485B37C02059}"/>
    <cellStyle name="Note 2 8" xfId="28070" xr:uid="{80096144-F310-4543-BF41-18723FC0E42F}"/>
    <cellStyle name="Note 2 8 2" xfId="1520" xr:uid="{BA580CF9-3094-4A8E-9639-032C44ADCF0E}"/>
    <cellStyle name="Note 2 8 2 2" xfId="1519" xr:uid="{86BFDEF8-E2CD-44A1-B355-7E166AAB21FD}"/>
    <cellStyle name="Note 2 8 2 2 2" xfId="1518" xr:uid="{DA50B6BD-CAB7-4673-85DA-130931A40AF1}"/>
    <cellStyle name="Note 2 8 2 2 2 2" xfId="1517" xr:uid="{A03D15F1-5EAA-4C0C-90A1-BF4EFBAF2BE8}"/>
    <cellStyle name="Note 2 8 2 2 3" xfId="19421" xr:uid="{819C329A-3597-416E-9175-E0E6A08DAD4B}"/>
    <cellStyle name="Note 2 8 2 3" xfId="3805" xr:uid="{6A6F80B4-E2BD-4B3D-B1E8-F771C69088E7}"/>
    <cellStyle name="Note 2 8 2 3 2" xfId="3803" xr:uid="{79AF5353-AC06-42F7-A278-B8A63FE6F6B2}"/>
    <cellStyle name="Note 2 8 2 4" xfId="15343" xr:uid="{5E1D1F3E-6794-4295-901B-18D6324D50A9}"/>
    <cellStyle name="Note 2 8 3" xfId="1516" xr:uid="{41CDFD0D-34A7-4550-BC8B-ECEFE5EF1878}"/>
    <cellStyle name="Note 2 8 3 2" xfId="1515" xr:uid="{B23D83B1-F4BF-4D07-AE00-FCC64D036FC1}"/>
    <cellStyle name="Note 2 8 3 2 2" xfId="1514" xr:uid="{932FF9E0-45DA-4695-BE25-099ACA74BBEA}"/>
    <cellStyle name="Note 2 8 3 3" xfId="4512" xr:uid="{CEBD7D1F-678D-490B-8D02-45FDFC78B82A}"/>
    <cellStyle name="Note 2 8 4" xfId="1513" xr:uid="{F6D577B4-DAE3-4321-A244-2C67AB77096B}"/>
    <cellStyle name="Note 2 8 4 2" xfId="1511" xr:uid="{2BCCF577-3734-46FB-ADC1-028E0D8C6E73}"/>
    <cellStyle name="Note 2 8 5" xfId="1509" xr:uid="{1CB978CE-2F1D-4034-960C-B0AA179F003B}"/>
    <cellStyle name="Note 2 8 6" xfId="36244" xr:uid="{15FF312F-F371-4BA1-AEEB-D7F581A57CAD}"/>
    <cellStyle name="Note 2 9" xfId="23908" xr:uid="{4DCFF171-81E6-4343-828C-CA97F999F6C4}"/>
    <cellStyle name="Note 2 9 2" xfId="1507" xr:uid="{1FC64FEF-2F6F-4F8B-AB48-A198E69578A0}"/>
    <cellStyle name="Note 2 9 2 2" xfId="1506" xr:uid="{3044C5D4-5B35-4600-A64B-8649CFDC2FC8}"/>
    <cellStyle name="Note 2 9 2 2 2" xfId="10025" xr:uid="{A42A47DC-59C1-4907-B25F-7FF6C08A5AF6}"/>
    <cellStyle name="Note 2 9 2 3" xfId="3799" xr:uid="{B0435B60-9760-48AA-B265-A0FF3D74D861}"/>
    <cellStyle name="Note 2 9 3" xfId="34367" xr:uid="{A880E10A-CB3A-42EE-811C-5872CBA892A0}"/>
    <cellStyle name="Note 2 9 3 2" xfId="1505" xr:uid="{B40DD815-DA8B-4653-BD90-B6840CF0B913}"/>
    <cellStyle name="Note 2 9 4" xfId="34222" xr:uid="{32BE0C8A-A86C-41AC-8638-657D5B1B6637}"/>
    <cellStyle name="Note 2 9 5" xfId="36530" xr:uid="{C9973BC0-5AC6-404F-8480-86C43B7FEB38}"/>
    <cellStyle name="Note 20" xfId="35676" xr:uid="{AC64750A-01A5-4F89-A7C6-029740709D4F}"/>
    <cellStyle name="Note 20 2" xfId="36845" xr:uid="{52E169D8-6A09-4A0B-9F76-4BC1E719056F}"/>
    <cellStyle name="Note 20 3" xfId="37735" xr:uid="{807CED6E-5170-43E2-A53C-6CF6BA5F0404}"/>
    <cellStyle name="Note 21" xfId="35695" xr:uid="{5D1C5558-D580-4028-B9AE-43F9064C8339}"/>
    <cellStyle name="Note 21 2" xfId="36864" xr:uid="{3460BAD7-204B-4B80-AB22-8699DA1EF543}"/>
    <cellStyle name="Note 21 3" xfId="37755" xr:uid="{898141C5-D686-4424-9B40-3BB3EF0D6F38}"/>
    <cellStyle name="Note 22" xfId="35714" xr:uid="{C0143522-946A-4286-80FD-AA01E67FE4C2}"/>
    <cellStyle name="Note 22 2" xfId="36884" xr:uid="{07D6EB5F-4AD2-42E8-90AE-50028A7DD053}"/>
    <cellStyle name="Note 22 3" xfId="37775" xr:uid="{5270DB5C-A78F-40F3-98EB-3DD953081F99}"/>
    <cellStyle name="Note 23" xfId="35733" xr:uid="{79E7B05B-974A-4241-81CE-76456260F08A}"/>
    <cellStyle name="Note 23 2" xfId="36904" xr:uid="{81C316E9-2CD8-490B-B4B8-A1563DB50B04}"/>
    <cellStyle name="Note 23 3" xfId="37795" xr:uid="{F7F9C381-CCFA-4087-8599-C3E807055B23}"/>
    <cellStyle name="Note 24" xfId="35753" xr:uid="{CE0CD190-D62B-44E7-8F97-D4E419EB2C9A}"/>
    <cellStyle name="Note 24 2" xfId="36923" xr:uid="{8FA818DE-75B9-4E4F-90A4-763A71F8353F}"/>
    <cellStyle name="Note 24 3" xfId="37815" xr:uid="{92E088E6-2690-4816-8425-8E5519BC8DA3}"/>
    <cellStyle name="Note 25" xfId="35773" xr:uid="{97C21537-A3A5-4064-AFD3-70177FAD8498}"/>
    <cellStyle name="Note 25 2" xfId="36942" xr:uid="{3B8575F7-7D65-4504-93CF-7F801283BCEA}"/>
    <cellStyle name="Note 25 3" xfId="37835" xr:uid="{FE81808F-7FB3-4F15-A761-12C6D4E82262}"/>
    <cellStyle name="Note 26" xfId="35792" xr:uid="{7826E275-4C6A-46D9-930C-F7A22BD0E313}"/>
    <cellStyle name="Note 26 2" xfId="36962" xr:uid="{E0B0575B-2358-45BA-9D14-4096A958F5BC}"/>
    <cellStyle name="Note 26 3" xfId="37855" xr:uid="{006F0DD6-FD80-4BEA-824A-5C6A118DFA0F}"/>
    <cellStyle name="Note 27" xfId="35811" xr:uid="{65DEC0F8-1CDA-4A8E-9F44-FFD4C44EBF1D}"/>
    <cellStyle name="Note 27 2" xfId="36982" xr:uid="{D319C44B-D90F-441D-90E0-5E8E8F43BB91}"/>
    <cellStyle name="Note 27 3" xfId="37875" xr:uid="{AF03BD44-A6E8-4272-98FF-F7B5AC5782D0}"/>
    <cellStyle name="Note 28" xfId="35830" xr:uid="{B402B400-1F89-4D3F-BB0C-4392FBB395E3}"/>
    <cellStyle name="Note 28 2" xfId="37002" xr:uid="{4577CAA4-E7B7-4AE7-85B3-71FD8332A4D1}"/>
    <cellStyle name="Note 28 3" xfId="37895" xr:uid="{08330934-3A16-46DA-B007-18B5E7A7722B}"/>
    <cellStyle name="Note 29" xfId="35849" xr:uid="{9F8A1BF1-1B16-4285-846C-5CBD8E12EEFC}"/>
    <cellStyle name="Note 29 2" xfId="37022" xr:uid="{B0136590-7649-4998-AD16-64BB66F7B3F9}"/>
    <cellStyle name="Note 29 3" xfId="37915" xr:uid="{BF2B8A0B-6963-44EC-BEBB-24A75E746CEC}"/>
    <cellStyle name="Note 3" xfId="75" xr:uid="{F17740E2-94CB-4F43-8082-924AC174C938}"/>
    <cellStyle name="Note 3 10" xfId="1503" xr:uid="{0729624C-AE1E-45DE-AA03-2FB02ED6FFE3}"/>
    <cellStyle name="Note 3 10 2" xfId="9486" xr:uid="{9BCBF613-D321-4A1E-8AD1-86FCAB7C6BF6}"/>
    <cellStyle name="Note 3 10 3" xfId="37416" xr:uid="{6658FFB1-C116-43C8-95C1-F59A6ED5ADDD}"/>
    <cellStyle name="Note 3 11" xfId="33788" xr:uid="{DFEB4C81-60A4-49DF-9A91-BBB81E8EEC47}"/>
    <cellStyle name="Note 3 12" xfId="34436" xr:uid="{07D23786-B558-4CBF-A9F1-62BAB7E775AD}"/>
    <cellStyle name="Note 3 13" xfId="1504" xr:uid="{4E7F9AB9-6026-4FCD-ADC9-903A1AE3FDCF}"/>
    <cellStyle name="Note 3 2" xfId="137" xr:uid="{80A3D003-6281-48D5-B6F3-55A7AC79F8B6}"/>
    <cellStyle name="Note 3 2 10" xfId="1501" xr:uid="{56421692-9C87-4EF7-91D5-F50ED9C4C80D}"/>
    <cellStyle name="Note 3 2 11" xfId="34491" xr:uid="{E6D05041-2CE6-4B50-BB91-44E99343269F}"/>
    <cellStyle name="Note 3 2 12" xfId="1502" xr:uid="{D4D11287-EF94-42F2-B8F4-3434D3422F98}"/>
    <cellStyle name="Note 3 2 2" xfId="22322" xr:uid="{9F5FC3E5-0F1E-47F0-8F05-1E41289AB038}"/>
    <cellStyle name="Note 3 2 2 2" xfId="20218" xr:uid="{727ADB1F-73B8-4435-AEA8-D4EEFFE158E7}"/>
    <cellStyle name="Note 3 2 2 2 2" xfId="21335" xr:uid="{6F4309E2-5F1E-4B24-927C-F57262E692F1}"/>
    <cellStyle name="Note 3 2 2 2 2 2" xfId="18223" xr:uid="{6B771F3E-56EF-4AA3-9166-594043B4951B}"/>
    <cellStyle name="Note 3 2 2 2 2 2 2" xfId="28890" xr:uid="{12C4B928-72D1-4E26-983D-B7AC9790206C}"/>
    <cellStyle name="Note 3 2 2 2 2 2 2 2" xfId="29428" xr:uid="{C4C91A03-377B-4B88-9B6E-ACCF0251D18B}"/>
    <cellStyle name="Note 3 2 2 2 2 2 2 2 2" xfId="21770" xr:uid="{5983ACCA-B06A-4C98-BCEA-743D8D2C683F}"/>
    <cellStyle name="Note 3 2 2 2 2 2 2 2 2 2" xfId="1500" xr:uid="{5511A4FE-8A32-46A0-9BCB-548AE075F0B4}"/>
    <cellStyle name="Note 3 2 2 2 2 2 2 2 2 2 2" xfId="33274" xr:uid="{6159D68E-8AAD-4013-984B-7F8FA88344C1}"/>
    <cellStyle name="Note 3 2 2 2 2 2 2 2 2 3" xfId="1499" xr:uid="{840892E9-52AF-478A-9101-1EA84AA6A394}"/>
    <cellStyle name="Note 3 2 2 2 2 2 2 2 3" xfId="19144" xr:uid="{8935855A-8A33-455F-A9A7-B8EBAA7D3174}"/>
    <cellStyle name="Note 3 2 2 2 2 2 2 2 3 2" xfId="11127" xr:uid="{54559E3A-1BDF-42F5-8CF2-F8B506171870}"/>
    <cellStyle name="Note 3 2 2 2 2 2 2 2 4" xfId="1498" xr:uid="{944FC0F0-103C-4A6A-9E3E-6173C5EDF73E}"/>
    <cellStyle name="Note 3 2 2 2 2 2 2 3" xfId="28451" xr:uid="{15F8E592-C52B-4928-90F6-03C14C8A52CC}"/>
    <cellStyle name="Note 3 2 2 2 2 2 2 3 2" xfId="20958" xr:uid="{C161E6DA-ADE7-4D9C-A992-06C163764309}"/>
    <cellStyle name="Note 3 2 2 2 2 2 2 3 2 2" xfId="1497" xr:uid="{439A22C7-1175-4019-95CA-A762EA4856C7}"/>
    <cellStyle name="Note 3 2 2 2 2 2 2 3 3" xfId="1496" xr:uid="{D31D7DE5-00E6-49E5-827B-2FBB87865A89}"/>
    <cellStyle name="Note 3 2 2 2 2 2 2 4" xfId="29566" xr:uid="{0425BCA3-22A7-457D-B534-7878028C61A1}"/>
    <cellStyle name="Note 3 2 2 2 2 2 2 4 2" xfId="1495" xr:uid="{558040C2-A15B-4231-B334-393B00E88546}"/>
    <cellStyle name="Note 3 2 2 2 2 2 2 5" xfId="1494" xr:uid="{01F9B599-39FB-4E6B-ACBB-E6FADA69D5D4}"/>
    <cellStyle name="Note 3 2 2 2 2 2 3" xfId="28883" xr:uid="{58BD389D-70DC-4593-AC15-E5832715F8AA}"/>
    <cellStyle name="Note 3 2 2 2 2 2 3 2" xfId="33351" xr:uid="{C2C7718C-17A4-4D19-A66A-2C1028F140E2}"/>
    <cellStyle name="Note 3 2 2 2 2 2 3 2 2" xfId="20945" xr:uid="{D2E65CC5-BC6A-4B04-9EA6-C0F6741E64B0}"/>
    <cellStyle name="Note 3 2 2 2 2 2 3 2 2 2" xfId="1493" xr:uid="{538A7A12-5D18-4E0E-8B9A-AD3100C8E59D}"/>
    <cellStyle name="Note 3 2 2 2 2 2 3 2 3" xfId="16167" xr:uid="{C6214DDA-285B-4767-A62C-F946BF21DCE2}"/>
    <cellStyle name="Note 3 2 2 2 2 2 3 3" xfId="11057" xr:uid="{9204E683-F93F-4A6B-ABC0-F0FE6D6DF30A}"/>
    <cellStyle name="Note 3 2 2 2 2 2 3 3 2" xfId="4170" xr:uid="{375BF8AE-1AC4-4B39-9983-A76AA78A3B18}"/>
    <cellStyle name="Note 3 2 2 2 2 2 3 4" xfId="11049" xr:uid="{48ECE351-1679-4115-8000-06C9BE656C9A}"/>
    <cellStyle name="Note 3 2 2 2 2 2 4" xfId="19287" xr:uid="{46D29EE0-BB6C-42F7-B0D4-AB7AE080966E}"/>
    <cellStyle name="Note 3 2 2 2 2 2 4 2" xfId="4156" xr:uid="{240F6947-476A-45EF-9528-DEE258935563}"/>
    <cellStyle name="Note 3 2 2 2 2 2 4 2 2" xfId="4154" xr:uid="{15121387-A010-412C-8B64-AC0433164362}"/>
    <cellStyle name="Note 3 2 2 2 2 2 4 3" xfId="16953" xr:uid="{F25A627C-5BC8-4E31-BA82-855355A64D50}"/>
    <cellStyle name="Note 3 2 2 2 2 2 5" xfId="1492" xr:uid="{3DB2964E-B6E0-47F5-A8E9-9079C58B46F9}"/>
    <cellStyle name="Note 3 2 2 2 2 2 5 2" xfId="4139" xr:uid="{29D6D3C8-2300-4637-94E3-8CD7EA037F7F}"/>
    <cellStyle name="Note 3 2 2 2 2 2 6" xfId="15882" xr:uid="{E1459539-9AFE-4A59-ACF4-5AA821208ED6}"/>
    <cellStyle name="Note 3 2 2 2 2 3" xfId="18221" xr:uid="{ACE297E4-2D48-4AFF-A307-D46274859829}"/>
    <cellStyle name="Note 3 2 2 2 2 3 2" xfId="28858" xr:uid="{19E6AE49-0344-47C0-9A50-819EF37DF496}"/>
    <cellStyle name="Note 3 2 2 2 2 3 2 2" xfId="28104" xr:uid="{0D1F98C4-60A9-4194-A342-E69D1134D78C}"/>
    <cellStyle name="Note 3 2 2 2 2 3 2 2 2" xfId="20880" xr:uid="{D3A8263D-3758-47CB-96D4-0389F73FB2D7}"/>
    <cellStyle name="Note 3 2 2 2 2 3 2 2 2 2" xfId="1491" xr:uid="{84C71475-8C8E-48F8-9BD6-1CF520898C96}"/>
    <cellStyle name="Note 3 2 2 2 2 3 2 2 3" xfId="20725" xr:uid="{46B2967A-30A4-4570-AAF5-99657D9623B0}"/>
    <cellStyle name="Note 3 2 2 2 2 3 2 3" xfId="3261" xr:uid="{24E09756-F943-4A42-9058-E59070B674D5}"/>
    <cellStyle name="Note 3 2 2 2 2 3 2 3 2" xfId="28708" xr:uid="{1E41DACE-1877-4BCA-A137-706E16622F96}"/>
    <cellStyle name="Note 3 2 2 2 2 3 2 4" xfId="3259" xr:uid="{E7FDBEA6-2F37-4E6C-9361-46826E74FC56}"/>
    <cellStyle name="Note 3 2 2 2 2 3 3" xfId="24131" xr:uid="{8D3E50FA-2C0F-4A00-A92F-E8236EDE9C17}"/>
    <cellStyle name="Note 3 2 2 2 2 3 3 2" xfId="3232" xr:uid="{96C95246-18F5-4B74-9255-C2E324CF936A}"/>
    <cellStyle name="Note 3 2 2 2 2 3 3 2 2" xfId="25606" xr:uid="{448D22CE-F4C1-4794-A6CD-0C7403602C72}"/>
    <cellStyle name="Note 3 2 2 2 2 3 3 3" xfId="11035" xr:uid="{0566BAB5-D510-4AF4-9EA7-6E287F9A1D83}"/>
    <cellStyle name="Note 3 2 2 2 2 3 4" xfId="1490" xr:uid="{BA99206B-81D4-462B-A869-6950F147B389}"/>
    <cellStyle name="Note 3 2 2 2 2 3 4 2" xfId="3207" xr:uid="{2D07637D-5D35-485A-AC77-D344DE21F8B2}"/>
    <cellStyle name="Note 3 2 2 2 2 3 5" xfId="1489" xr:uid="{193436B8-89FF-4A40-BA0B-4A1944C155A1}"/>
    <cellStyle name="Note 3 2 2 2 2 4" xfId="18218" xr:uid="{E30FAF79-51AC-492E-9214-CA0CE3A2515C}"/>
    <cellStyle name="Note 3 2 2 2 2 4 2" xfId="5558" xr:uid="{EADB7A88-78E9-48B8-9A6C-596BAEB0E5C2}"/>
    <cellStyle name="Note 3 2 2 2 2 4 2 2" xfId="1488" xr:uid="{9DFBA149-B84F-41C3-A4CB-3B9090C4CE73}"/>
    <cellStyle name="Note 3 2 2 2 2 4 2 2 2" xfId="1486" xr:uid="{1AC28A5A-2B38-4C8A-A1F9-85E91E4D9BC2}"/>
    <cellStyle name="Note 3 2 2 2 2 4 2 3" xfId="1484" xr:uid="{10D6A6A3-77E2-4B25-8553-D44F4839AA39}"/>
    <cellStyle name="Note 3 2 2 2 2 4 3" xfId="1482" xr:uid="{D06B8FCE-B903-4E81-A42C-004100C368F2}"/>
    <cellStyle name="Note 3 2 2 2 2 4 3 2" xfId="1481" xr:uid="{B29482B9-020D-4B7D-8C68-820107CEC756}"/>
    <cellStyle name="Note 3 2 2 2 2 4 4" xfId="1479" xr:uid="{61E5A7AB-D83C-4781-ADEA-F370632AAD8F}"/>
    <cellStyle name="Note 3 2 2 2 2 5" xfId="1478" xr:uid="{44CC1658-69F6-4BC9-A812-2E287F3A7340}"/>
    <cellStyle name="Note 3 2 2 2 2 5 2" xfId="1477" xr:uid="{428E2F81-FC02-4000-831F-6ED73BD77CEA}"/>
    <cellStyle name="Note 3 2 2 2 2 5 2 2" xfId="2873" xr:uid="{5B943639-73A3-45E1-B444-890A3264696B}"/>
    <cellStyle name="Note 3 2 2 2 2 5 3" xfId="1476" xr:uid="{FDDB4925-ACAC-4DC9-AF18-981B6B015CE1}"/>
    <cellStyle name="Note 3 2 2 2 2 6" xfId="1475" xr:uid="{99E73F1E-FF25-4DD8-AE19-179C242E3477}"/>
    <cellStyle name="Note 3 2 2 2 2 6 2" xfId="1474" xr:uid="{B62D5D72-015D-4118-B8F4-7059432A6CBE}"/>
    <cellStyle name="Note 3 2 2 2 2 7" xfId="16312" xr:uid="{2998EBBB-1F68-4B4A-ABF7-B7A1296E480C}"/>
    <cellStyle name="Note 3 2 2 2 3" xfId="1473" xr:uid="{63976A10-123D-4674-9A77-499489E96AC7}"/>
    <cellStyle name="Note 3 2 2 2 3 2" xfId="18181" xr:uid="{2E7922B9-53C1-4FB5-8C65-E7A7E649B712}"/>
    <cellStyle name="Note 3 2 2 2 3 2 2" xfId="32120" xr:uid="{06323E51-84F3-4046-A959-3F5EB42D1675}"/>
    <cellStyle name="Note 3 2 2 2 3 2 2 2" xfId="29871" xr:uid="{EDC26397-3C65-4ED6-A9EF-E0FC5FDA2D53}"/>
    <cellStyle name="Note 3 2 2 2 3 2 2 2 2" xfId="18475" xr:uid="{9E2A57E8-9E05-4F39-88AC-F410ECC67AD7}"/>
    <cellStyle name="Note 3 2 2 2 3 2 2 2 2 2" xfId="1472" xr:uid="{E3DAAE1C-85F6-49D6-B24D-CF339CE414E0}"/>
    <cellStyle name="Note 3 2 2 2 3 2 2 2 3" xfId="1471" xr:uid="{526A85E1-71A9-48E8-9554-915DB50A5FB4}"/>
    <cellStyle name="Note 3 2 2 2 3 2 2 3" xfId="29856" xr:uid="{822BFD86-C282-48CC-B8DD-562F0F1B66CE}"/>
    <cellStyle name="Note 3 2 2 2 3 2 2 3 2" xfId="1470" xr:uid="{287467DB-E4A3-4D41-BD27-412753551569}"/>
    <cellStyle name="Note 3 2 2 2 3 2 2 4" xfId="6955" xr:uid="{A9C7261D-2796-4E31-8DD0-997A012B2EF8}"/>
    <cellStyle name="Note 3 2 2 2 3 2 3" xfId="21317" xr:uid="{940200D3-5135-4FB5-923C-5795AD22DE6D}"/>
    <cellStyle name="Note 3 2 2 2 3 2 3 2" xfId="24825" xr:uid="{32F7E240-89B5-4ADE-A8B2-631BA9C305D8}"/>
    <cellStyle name="Note 3 2 2 2 3 2 3 2 2" xfId="1469" xr:uid="{634B299D-97FE-47A0-B09B-1926BFF3A956}"/>
    <cellStyle name="Note 3 2 2 2 3 2 3 3" xfId="10975" xr:uid="{0C196938-4663-4209-B5D4-4F238AEBC980}"/>
    <cellStyle name="Note 3 2 2 2 3 2 4" xfId="1468" xr:uid="{4432F6C3-2EA4-40B8-B77F-C726DB04423F}"/>
    <cellStyle name="Note 3 2 2 2 3 2 4 2" xfId="1467" xr:uid="{CD10ED1A-DEF2-4B3E-981D-909DCBC34C52}"/>
    <cellStyle name="Note 3 2 2 2 3 2 5" xfId="1466" xr:uid="{CBCC1106-4871-45A0-90A4-8F887B59C16A}"/>
    <cellStyle name="Note 3 2 2 2 3 3" xfId="18179" xr:uid="{F435172A-8765-49F3-A889-058713502AC9}"/>
    <cellStyle name="Note 3 2 2 2 3 3 2" xfId="1465" xr:uid="{18808FD4-7942-46E3-BEFC-69F7B042712F}"/>
    <cellStyle name="Note 3 2 2 2 3 3 2 2" xfId="28670" xr:uid="{3B696977-47F1-4E75-A4F0-626805A047A9}"/>
    <cellStyle name="Note 3 2 2 2 3 3 2 2 2" xfId="1464" xr:uid="{AFFB471F-78B0-4F37-9704-14A23E0635BB}"/>
    <cellStyle name="Note 3 2 2 2 3 3 2 3" xfId="1463" xr:uid="{2419D63B-D526-4B44-8C7A-04CC0A6FFB82}"/>
    <cellStyle name="Note 3 2 2 2 3 3 3" xfId="1462" xr:uid="{2145AD94-4540-4785-A4E0-FFDA17199F7C}"/>
    <cellStyle name="Note 3 2 2 2 3 3 3 2" xfId="1461" xr:uid="{8CD0D2DA-54DF-4358-B989-0DB9990E5083}"/>
    <cellStyle name="Note 3 2 2 2 3 3 4" xfId="1460" xr:uid="{D65ECDAE-02AB-4C31-8523-A0E30CC7D9F2}"/>
    <cellStyle name="Note 3 2 2 2 3 4" xfId="1459" xr:uid="{FC53F8A6-6544-4A6C-A0DE-ACF2F72C2F21}"/>
    <cellStyle name="Note 3 2 2 2 3 4 2" xfId="1458" xr:uid="{27F52781-7C34-4226-9AF9-35EF5587E7D1}"/>
    <cellStyle name="Note 3 2 2 2 3 4 2 2" xfId="1457" xr:uid="{D12E2648-0CBA-48AE-A1B5-2FD2C91C4022}"/>
    <cellStyle name="Note 3 2 2 2 3 4 3" xfId="1456" xr:uid="{44974F99-632F-4DAF-93F7-966171976540}"/>
    <cellStyle name="Note 3 2 2 2 3 5" xfId="1455" xr:uid="{F6D306F5-0C1C-48C1-AA7C-178814F6CC07}"/>
    <cellStyle name="Note 3 2 2 2 3 5 2" xfId="1454" xr:uid="{0D5EEEDE-CC5C-4BD2-9421-9D751E54A2DE}"/>
    <cellStyle name="Note 3 2 2 2 3 6" xfId="1453" xr:uid="{5CEEF99E-A474-42FA-B728-5E90F488D2E1}"/>
    <cellStyle name="Note 3 2 2 2 4" xfId="1452" xr:uid="{0472D877-4D25-4938-AC6C-E463F47CBBEA}"/>
    <cellStyle name="Note 3 2 2 2 4 2" xfId="18159" xr:uid="{BE5D876D-22D8-4A84-BF18-05F6A1971125}"/>
    <cellStyle name="Note 3 2 2 2 4 2 2" xfId="1451" xr:uid="{E4348552-B972-4C8E-8E15-D5306F77C12A}"/>
    <cellStyle name="Note 3 2 2 2 4 2 2 2" xfId="29714" xr:uid="{9D7D4F8B-AA0B-423C-8756-D5743DBAFBBF}"/>
    <cellStyle name="Note 3 2 2 2 4 2 2 2 2" xfId="22936" xr:uid="{727D7D46-10AA-4BBD-AD14-343A85E2229C}"/>
    <cellStyle name="Note 3 2 2 2 4 2 2 3" xfId="29709" xr:uid="{9A0B4D05-577F-49F6-8402-0D995BA95D1A}"/>
    <cellStyle name="Note 3 2 2 2 4 2 3" xfId="1450" xr:uid="{7F548D97-4681-4921-BD27-F411A815BA29}"/>
    <cellStyle name="Note 3 2 2 2 4 2 3 2" xfId="29692" xr:uid="{4156170E-E9DD-44FB-8230-DBA81EA900BE}"/>
    <cellStyle name="Note 3 2 2 2 4 2 4" xfId="1449" xr:uid="{D6C9E8AE-6AE4-4A50-A5E8-1EA86BE60DA1}"/>
    <cellStyle name="Note 3 2 2 2 4 3" xfId="23150" xr:uid="{04506D37-AE2E-4FC5-BA13-9D0AFB83162B}"/>
    <cellStyle name="Note 3 2 2 2 4 3 2" xfId="6391" xr:uid="{329F7F77-1025-49A7-B658-1F04A5B70564}"/>
    <cellStyle name="Note 3 2 2 2 4 3 2 2" xfId="29669" xr:uid="{25B69F48-D412-4428-8290-7B0B409BBF47}"/>
    <cellStyle name="Note 3 2 2 2 4 3 3" xfId="1448" xr:uid="{503C1FDA-6AAF-47B2-9EB4-E26A977E6D51}"/>
    <cellStyle name="Note 3 2 2 2 4 4" xfId="6389" xr:uid="{3F3E5EC7-752B-4F9E-AE1F-3613AC2B08D8}"/>
    <cellStyle name="Note 3 2 2 2 4 4 2" xfId="4288" xr:uid="{F4877497-47F7-46FA-8FE9-121745F21FAF}"/>
    <cellStyle name="Note 3 2 2 2 4 5" xfId="1447" xr:uid="{2626C79B-867D-451A-AE43-9B139CABB068}"/>
    <cellStyle name="Note 3 2 2 2 5" xfId="1446" xr:uid="{C1EDD93A-7AFC-4CCB-9F47-35B0160A013F}"/>
    <cellStyle name="Note 3 2 2 2 5 2" xfId="1445" xr:uid="{E707BC01-0B19-4F69-99CE-9A37E3ACEFB1}"/>
    <cellStyle name="Note 3 2 2 2 5 2 2" xfId="1444" xr:uid="{B109C31C-33B0-45CF-9B9E-681175B493B1}"/>
    <cellStyle name="Note 3 2 2 2 5 2 2 2" xfId="29635" xr:uid="{47323D63-2705-454C-A1A0-BAE78622B482}"/>
    <cellStyle name="Note 3 2 2 2 5 2 3" xfId="1443" xr:uid="{4CB38334-DAF9-4C6E-A1EA-46304386D9A9}"/>
    <cellStyle name="Note 3 2 2 2 5 3" xfId="6385" xr:uid="{A0E385FE-52F2-4038-B6BD-D72BE7207D8E}"/>
    <cellStyle name="Note 3 2 2 2 5 3 2" xfId="8353" xr:uid="{56995EC9-2346-47E6-AF15-F2365799E26D}"/>
    <cellStyle name="Note 3 2 2 2 5 4" xfId="1442" xr:uid="{B76BD56D-1ACF-466B-B2F4-A2D4BBD53F32}"/>
    <cellStyle name="Note 3 2 2 2 6" xfId="1441" xr:uid="{6E409E80-7D53-4E12-A451-C80E8E0248ED}"/>
    <cellStyle name="Note 3 2 2 2 6 2" xfId="1440" xr:uid="{0C8495F8-35E0-4156-9566-EC396746E774}"/>
    <cellStyle name="Note 3 2 2 2 6 2 2" xfId="2551" xr:uid="{A06A86AE-1764-4EE0-A370-765319EBA6F4}"/>
    <cellStyle name="Note 3 2 2 2 6 3" xfId="1439" xr:uid="{A8F69F36-97C3-4383-93EF-9A04C08024D2}"/>
    <cellStyle name="Note 3 2 2 2 7" xfId="1438" xr:uid="{EFF817E2-FDE2-4F9E-883A-224F211624E0}"/>
    <cellStyle name="Note 3 2 2 2 7 2" xfId="1437" xr:uid="{2DF8D525-224D-44CD-812A-45A242A975D2}"/>
    <cellStyle name="Note 3 2 2 2 8" xfId="1436" xr:uid="{7D8A2C3B-B2E1-441D-9846-0C96A7C97EDC}"/>
    <cellStyle name="Note 3 2 2 3" xfId="5028" xr:uid="{66EFF32E-8415-4C20-9EF8-7C8602C68EDA}"/>
    <cellStyle name="Note 3 2 2 3 2" xfId="1435" xr:uid="{FBD4C880-5C7C-4BF2-AD4C-0B017C7D63B7}"/>
    <cellStyle name="Note 3 2 2 3 2 2" xfId="33694" xr:uid="{4CAC128E-1F1B-4934-940D-4470F470933F}"/>
    <cellStyle name="Note 3 2 2 3 2 2 2" xfId="7841" xr:uid="{1FC2A7CF-666E-4A19-ACD8-D59E721BF1B6}"/>
    <cellStyle name="Note 3 2 2 3 2 2 2 2" xfId="1746" xr:uid="{D4B39BF5-FECB-489A-9150-7ABE37C44D57}"/>
    <cellStyle name="Note 3 2 2 3 2 2 2 2 2" xfId="20510" xr:uid="{F9B8A46F-C7E6-40C3-BCBE-B96E462E385A}"/>
    <cellStyle name="Note 3 2 2 3 2 2 2 2 2 2" xfId="1434" xr:uid="{40827B8F-648F-4F0B-B93F-F1A9D7BF82E2}"/>
    <cellStyle name="Note 3 2 2 3 2 2 2 2 3" xfId="1433" xr:uid="{728E819A-E043-4429-9192-3C1F11C3661D}"/>
    <cellStyle name="Note 3 2 2 3 2 2 2 3" xfId="1432" xr:uid="{D2D419B1-2698-433E-B3EC-FA188B8DFCEF}"/>
    <cellStyle name="Note 3 2 2 3 2 2 2 3 2" xfId="1431" xr:uid="{5CE344F3-7FE7-457C-A3E2-D8914ED04174}"/>
    <cellStyle name="Note 3 2 2 3 2 2 2 4" xfId="1430" xr:uid="{A96E7E91-7610-439B-B2BF-302CCDF5E9F3}"/>
    <cellStyle name="Note 3 2 2 3 2 2 3" xfId="21153" xr:uid="{2E00B40B-BCC9-4DA2-9E71-B4CFC3C9D3B0}"/>
    <cellStyle name="Note 3 2 2 3 2 2 3 2" xfId="1429" xr:uid="{58225AA4-B65C-40E8-A052-7B97CF9DE55A}"/>
    <cellStyle name="Note 3 2 2 3 2 2 3 2 2" xfId="1428" xr:uid="{C20D7D20-B539-4F40-97F6-85C183A4C105}"/>
    <cellStyle name="Note 3 2 2 3 2 2 3 3" xfId="10621" xr:uid="{17F6B669-1CA3-48FC-83B1-4DA711ABD5B2}"/>
    <cellStyle name="Note 3 2 2 3 2 2 4" xfId="1427" xr:uid="{4CDF6DF9-FE0C-4E78-AF11-D399673F0033}"/>
    <cellStyle name="Note 3 2 2 3 2 2 4 2" xfId="1426" xr:uid="{38B89019-5F62-422A-8B9C-478A396A818E}"/>
    <cellStyle name="Note 3 2 2 3 2 2 5" xfId="1425" xr:uid="{198DB2DF-0734-41A1-A86D-EFB494B727B2}"/>
    <cellStyle name="Note 3 2 2 3 2 3" xfId="18116" xr:uid="{D45BABC5-2261-4ABD-A091-326F07493D5D}"/>
    <cellStyle name="Note 3 2 2 3 2 3 2" xfId="1424" xr:uid="{E92E169F-94CD-4A74-8D69-779337283BF7}"/>
    <cellStyle name="Note 3 2 2 3 2 3 2 2" xfId="1423" xr:uid="{B4585343-F95C-4B41-A2DB-533E3D4CC2F5}"/>
    <cellStyle name="Note 3 2 2 3 2 3 2 2 2" xfId="1422" xr:uid="{2121C0B3-43DC-4DF5-BAAD-A12C6DCE3039}"/>
    <cellStyle name="Note 3 2 2 3 2 3 2 3" xfId="1421" xr:uid="{D1E8689D-4F6B-4C49-BCC5-AE0E5DAA1407}"/>
    <cellStyle name="Note 3 2 2 3 2 3 3" xfId="1420" xr:uid="{E3333B41-94E8-4CB4-AD8E-626ED149B952}"/>
    <cellStyle name="Note 3 2 2 3 2 3 3 2" xfId="1419" xr:uid="{4BE02504-2261-477C-B831-CAB0D3B76B2B}"/>
    <cellStyle name="Note 3 2 2 3 2 3 4" xfId="1418" xr:uid="{781A49F8-A09F-406F-9164-6046BCCFAD92}"/>
    <cellStyle name="Note 3 2 2 3 2 4" xfId="1417" xr:uid="{22BDE7F1-4EE8-4190-B1F1-DF8EA294B04E}"/>
    <cellStyle name="Note 3 2 2 3 2 4 2" xfId="1416" xr:uid="{C69AB13B-214B-4E83-BC0C-236D498F09A0}"/>
    <cellStyle name="Note 3 2 2 3 2 4 2 2" xfId="1415" xr:uid="{5920F232-9ED3-46FB-8AD2-7C9A6C31BE1C}"/>
    <cellStyle name="Note 3 2 2 3 2 4 3" xfId="22882" xr:uid="{A146E722-7571-47E6-8EFD-8738D5885DAF}"/>
    <cellStyle name="Note 3 2 2 3 2 5" xfId="1414" xr:uid="{6CD61AE6-F63A-4ED7-B2B1-4FF45C1DC3CD}"/>
    <cellStyle name="Note 3 2 2 3 2 5 2" xfId="1413" xr:uid="{F7CE7FDC-3F56-42E8-9AF4-D6871BBCC840}"/>
    <cellStyle name="Note 3 2 2 3 2 6" xfId="27537" xr:uid="{8B25CA90-256F-43B9-9F82-40DFE8D02F0F}"/>
    <cellStyle name="Note 3 2 2 3 3" xfId="1412" xr:uid="{DCB6DE96-D967-4530-BD33-ECC2726601DD}"/>
    <cellStyle name="Note 3 2 2 3 3 2" xfId="18101" xr:uid="{880AB1EE-E913-4387-9495-90EAF23CD8E1}"/>
    <cellStyle name="Note 3 2 2 3 3 2 2" xfId="1411" xr:uid="{2627689F-9DCA-44AB-AA3A-B8FCDFE5896B}"/>
    <cellStyle name="Note 3 2 2 3 3 2 2 2" xfId="1410" xr:uid="{B17B728A-37FA-4AA3-B9AF-7EDD36C6FF7F}"/>
    <cellStyle name="Note 3 2 2 3 3 2 2 2 2" xfId="1409" xr:uid="{3E6AEF69-F324-4957-B347-D304FB09432F}"/>
    <cellStyle name="Note 3 2 2 3 3 2 2 3" xfId="1408" xr:uid="{E25F7219-4526-4A42-963A-4082952F62F5}"/>
    <cellStyle name="Note 3 2 2 3 3 2 3" xfId="1407" xr:uid="{821081B8-2AF7-4FF9-A2A8-1CA2E3231638}"/>
    <cellStyle name="Note 3 2 2 3 3 2 3 2" xfId="1406" xr:uid="{2C30D853-DCCD-4F8D-8A7B-502B49C1F4CD}"/>
    <cellStyle name="Note 3 2 2 3 3 2 4" xfId="1405" xr:uid="{AE7C3044-8543-4D7B-9E9E-7AF013229DFE}"/>
    <cellStyle name="Note 3 2 2 3 3 3" xfId="1404" xr:uid="{1A9314B3-1B41-4A53-99AB-8888555E82A5}"/>
    <cellStyle name="Note 3 2 2 3 3 3 2" xfId="1403" xr:uid="{5BF32EBA-46AB-45BD-BB1C-56A491CCDDAA}"/>
    <cellStyle name="Note 3 2 2 3 3 3 2 2" xfId="30113" xr:uid="{7A3F47C2-1ADB-46EE-9F18-465F3C86B143}"/>
    <cellStyle name="Note 3 2 2 3 3 3 3" xfId="1402" xr:uid="{19A8E6C9-DCE0-46D1-A87F-6AE2E596F893}"/>
    <cellStyle name="Note 3 2 2 3 3 4" xfId="1401" xr:uid="{E206B593-D0E2-4F9C-A051-872298B8BC30}"/>
    <cellStyle name="Note 3 2 2 3 3 4 2" xfId="1400" xr:uid="{98DBA274-8EBF-4631-854B-92F3D631DEFB}"/>
    <cellStyle name="Note 3 2 2 3 3 5" xfId="1399" xr:uid="{8F6719E1-E9C2-474D-97E5-D7B4FCB128B8}"/>
    <cellStyle name="Note 3 2 2 3 4" xfId="1398" xr:uid="{550C5B6D-F764-45F8-9EFE-E34F7CDD8E49}"/>
    <cellStyle name="Note 3 2 2 3 4 2" xfId="1397" xr:uid="{28F0C610-1A0D-42EB-94DD-97960A98D4A2}"/>
    <cellStyle name="Note 3 2 2 3 4 2 2" xfId="1396" xr:uid="{0BA0A8E6-0DB5-404D-B5D6-908899F56FDD}"/>
    <cellStyle name="Note 3 2 2 3 4 2 2 2" xfId="1395" xr:uid="{E2679021-7D6B-4F89-81C4-43AC40345164}"/>
    <cellStyle name="Note 3 2 2 3 4 2 3" xfId="1394" xr:uid="{EE766102-B333-4F89-86FD-49A3303B420F}"/>
    <cellStyle name="Note 3 2 2 3 4 3" xfId="6383" xr:uid="{8C1BAF66-B6A4-4139-8DB1-08DDF8470B96}"/>
    <cellStyle name="Note 3 2 2 3 4 3 2" xfId="1393" xr:uid="{44938487-F102-4B23-B71D-DFF8F9DF529C}"/>
    <cellStyle name="Note 3 2 2 3 4 4" xfId="1392" xr:uid="{4B2F1C12-2609-4C62-90E5-497BD2C1D09C}"/>
    <cellStyle name="Note 3 2 2 3 5" xfId="1391" xr:uid="{77E1FD30-2D97-47FF-A465-F3543D5E21E8}"/>
    <cellStyle name="Note 3 2 2 3 5 2" xfId="27639" xr:uid="{0287B2B8-AB1F-47E4-889A-682011ADF46C}"/>
    <cellStyle name="Note 3 2 2 3 5 2 2" xfId="1390" xr:uid="{F1BC060A-F5E2-43D5-9236-E3681377980F}"/>
    <cellStyle name="Note 3 2 2 3 5 3" xfId="1388" xr:uid="{26A7225D-129E-427B-A4C2-D6486B25B42A}"/>
    <cellStyle name="Note 3 2 2 3 6" xfId="1387" xr:uid="{2C3B70F8-57FB-4CE5-A43C-08DB6C7E26B4}"/>
    <cellStyle name="Note 3 2 2 3 6 2" xfId="33458" xr:uid="{5311F5DD-8831-4F44-A94D-EFBA604F8319}"/>
    <cellStyle name="Note 3 2 2 3 7" xfId="1386" xr:uid="{6B7ED3F9-B801-44AC-B60E-5CBE22C041BA}"/>
    <cellStyle name="Note 3 2 2 4" xfId="4889" xr:uid="{716891EA-AADF-44DA-AEB2-199437734674}"/>
    <cellStyle name="Note 3 2 2 4 2" xfId="4887" xr:uid="{63DCFEDF-1EA1-41E3-AE03-D2D4D4D616C0}"/>
    <cellStyle name="Note 3 2 2 4 2 2" xfId="14575" xr:uid="{CAAB7112-3B8F-424A-B697-68582862C989}"/>
    <cellStyle name="Note 3 2 2 4 2 2 2" xfId="1385" xr:uid="{8C93E627-97A1-4F93-9C0A-2A904006E6AC}"/>
    <cellStyle name="Note 3 2 2 4 2 2 2 2" xfId="1384" xr:uid="{5AE2342B-A755-4980-B9AB-5C5BAB344E48}"/>
    <cellStyle name="Note 3 2 2 4 2 2 2 2 2" xfId="1383" xr:uid="{43A71133-77ED-4280-A2AA-4C496FE6DA0E}"/>
    <cellStyle name="Note 3 2 2 4 2 2 2 3" xfId="1382" xr:uid="{B1E84289-0054-4BBD-AD25-64E5A0317D67}"/>
    <cellStyle name="Note 3 2 2 4 2 2 3" xfId="1381" xr:uid="{B600638F-231C-43E6-A8B8-91ADDE752888}"/>
    <cellStyle name="Note 3 2 2 4 2 2 3 2" xfId="1380" xr:uid="{9F5ED12B-87B6-45EF-85AD-A6B738957C9C}"/>
    <cellStyle name="Note 3 2 2 4 2 2 4" xfId="1379" xr:uid="{600C3083-AF63-4352-8416-47819D883072}"/>
    <cellStyle name="Note 3 2 2 4 2 3" xfId="1378" xr:uid="{8F0C5B8B-A482-4611-BB5E-90CD96028DF3}"/>
    <cellStyle name="Note 3 2 2 4 2 3 2" xfId="1377" xr:uid="{A32628A0-B730-4E50-9CA6-61047C6B5993}"/>
    <cellStyle name="Note 3 2 2 4 2 3 2 2" xfId="1376" xr:uid="{3273E1AC-DADE-476E-86AD-9046352B8E88}"/>
    <cellStyle name="Note 3 2 2 4 2 3 3" xfId="1375" xr:uid="{0521D488-DB8E-4D39-B10E-CF1CC8AAC452}"/>
    <cellStyle name="Note 3 2 2 4 2 4" xfId="1374" xr:uid="{398FD37B-12B7-4AB6-B26F-5C0081F3B075}"/>
    <cellStyle name="Note 3 2 2 4 2 4 2" xfId="19779" xr:uid="{F7D38AC7-E43D-4590-A1AF-4DC66BE6B992}"/>
    <cellStyle name="Note 3 2 2 4 2 5" xfId="1373" xr:uid="{F0430540-BE03-413A-8C00-37185159D148}"/>
    <cellStyle name="Note 3 2 2 4 3" xfId="1372" xr:uid="{0ECF00E7-A3B5-4953-A3BF-EB5B0618EE5D}"/>
    <cellStyle name="Note 3 2 2 4 3 2" xfId="18934" xr:uid="{E5B9775F-E15E-436B-81D7-82117E1E3F25}"/>
    <cellStyle name="Note 3 2 2 4 3 2 2" xfId="28487" xr:uid="{4D30E38C-212C-4089-AC11-A69DC26300F8}"/>
    <cellStyle name="Note 3 2 2 4 3 2 2 2" xfId="1371" xr:uid="{C5C94A69-2F09-4F91-8EE0-4286B72974D6}"/>
    <cellStyle name="Note 3 2 2 4 3 2 3" xfId="1370" xr:uid="{0CF77E88-B3F8-4996-B643-A23A8F720C09}"/>
    <cellStyle name="Note 3 2 2 4 3 3" xfId="29515" xr:uid="{3040B073-059A-4657-A568-FAADFD5B5E9F}"/>
    <cellStyle name="Note 3 2 2 4 3 3 2" xfId="1369" xr:uid="{24E46BBA-A3EC-406A-A70F-7D0835AE14F8}"/>
    <cellStyle name="Note 3 2 2 4 3 4" xfId="1368" xr:uid="{AB41668C-46A6-4076-8569-E0F83312DE14}"/>
    <cellStyle name="Note 3 2 2 4 4" xfId="1367" xr:uid="{1BE56CA6-99AB-49B7-BABF-8409E42AB274}"/>
    <cellStyle name="Note 3 2 2 4 4 2" xfId="29496" xr:uid="{9306DBDC-1731-44D0-9897-B5C319E2EC74}"/>
    <cellStyle name="Note 3 2 2 4 4 2 2" xfId="1366" xr:uid="{CA8D5F64-5F48-439E-A964-64763ED6C835}"/>
    <cellStyle name="Note 3 2 2 4 4 3" xfId="1365" xr:uid="{19214DF1-857C-49A1-B930-26F9A3926614}"/>
    <cellStyle name="Note 3 2 2 4 5" xfId="32205" xr:uid="{0B3D091C-F4E2-43CC-8496-F2EB8076FE0B}"/>
    <cellStyle name="Note 3 2 2 4 5 2" xfId="1364" xr:uid="{A507C1B6-8AD8-4D1B-BDF7-F9C3C6FE9056}"/>
    <cellStyle name="Note 3 2 2 4 6" xfId="1363" xr:uid="{9E37165B-65AA-4A90-B9C2-9E6CA7AAD035}"/>
    <cellStyle name="Note 3 2 2 5" xfId="4885" xr:uid="{CA212137-90F4-47F2-A0AF-95B50690BE23}"/>
    <cellStyle name="Note 3 2 2 5 2" xfId="1362" xr:uid="{993B9808-82AF-4BC3-965B-FB71A65DF53F}"/>
    <cellStyle name="Note 3 2 2 5 2 2" xfId="1361" xr:uid="{2B192B31-6691-4673-910B-473375007C7C}"/>
    <cellStyle name="Note 3 2 2 5 2 2 2" xfId="12946" xr:uid="{8529969C-0336-4A07-9293-B6A50DC1256D}"/>
    <cellStyle name="Note 3 2 2 5 2 2 2 2" xfId="27248" xr:uid="{02F7CDDD-D42D-4A46-BB28-9890E09477D5}"/>
    <cellStyle name="Note 3 2 2 5 2 2 3" xfId="8833" xr:uid="{A71AFEC7-8D9C-4FAB-9CCE-CFD7565DF24C}"/>
    <cellStyle name="Note 3 2 2 5 2 3" xfId="1360" xr:uid="{5DEA9336-0680-4EB4-9519-AA398008E8E6}"/>
    <cellStyle name="Note 3 2 2 5 2 3 2" xfId="8816" xr:uid="{D25D2C0A-18DF-47EC-B087-0B6AB408E8C0}"/>
    <cellStyle name="Note 3 2 2 5 2 4" xfId="1359" xr:uid="{326676D9-E198-43F4-A4D4-F3D7ECCFC034}"/>
    <cellStyle name="Note 3 2 2 5 3" xfId="1358" xr:uid="{7431CB9E-C435-4498-AEC0-14EE61C503B3}"/>
    <cellStyle name="Note 3 2 2 5 3 2" xfId="26409" xr:uid="{2778B739-1F4B-4714-9AE1-67BBDD2F59E0}"/>
    <cellStyle name="Note 3 2 2 5 3 2 2" xfId="8774" xr:uid="{C107BD77-DDCF-4A16-886F-DF67D4385CD5}"/>
    <cellStyle name="Note 3 2 2 5 3 3" xfId="1357" xr:uid="{2F69DFCD-8A9D-4C8B-B42D-C1DC3FAA6CBD}"/>
    <cellStyle name="Note 3 2 2 5 4" xfId="1356" xr:uid="{F3695415-C378-4396-8C08-A69FDA60F5AC}"/>
    <cellStyle name="Note 3 2 2 5 4 2" xfId="1355" xr:uid="{3DD7BE55-72B9-43C7-B167-8AD3380D6CE5}"/>
    <cellStyle name="Note 3 2 2 5 5" xfId="12152" xr:uid="{233B6CC5-6600-4C89-8C82-BF5FC0C6C117}"/>
    <cellStyle name="Note 3 2 2 6" xfId="9785" xr:uid="{63339CC1-9743-4188-846E-14E131D023C1}"/>
    <cellStyle name="Note 3 2 2 6 2" xfId="1354" xr:uid="{ADED6639-FB7F-4723-8C91-B3863BAB112F}"/>
    <cellStyle name="Note 3 2 2 6 2 2" xfId="1353" xr:uid="{73F2CB3E-EF87-4F44-98A6-03537FD6E772}"/>
    <cellStyle name="Note 3 2 2 6 2 2 2" xfId="8632" xr:uid="{11BA6521-08DD-453E-94B3-FFEF27C723DA}"/>
    <cellStyle name="Note 3 2 2 6 2 3" xfId="1352" xr:uid="{065239DB-3E3F-4FFD-A9AE-F71554A3B1F7}"/>
    <cellStyle name="Note 3 2 2 6 3" xfId="1351" xr:uid="{82864E88-A422-4F4F-80F9-9A93B5117263}"/>
    <cellStyle name="Note 3 2 2 6 3 2" xfId="1350" xr:uid="{9A072F97-93FA-4DAE-910C-57FD58989FD4}"/>
    <cellStyle name="Note 3 2 2 6 4" xfId="1349" xr:uid="{124A85DE-A2F3-4EA6-8E89-761796A81C82}"/>
    <cellStyle name="Note 3 2 2 7" xfId="9777" xr:uid="{D3F58B69-165A-4F3E-8889-4F9F5E79624F}"/>
    <cellStyle name="Note 3 2 2 7 2" xfId="1348" xr:uid="{FFA9EBD9-98E4-45AC-86B1-93E8F63E7174}"/>
    <cellStyle name="Note 3 2 2 7 2 2" xfId="1347" xr:uid="{10004721-45C8-4534-A29B-CC2848A4A521}"/>
    <cellStyle name="Note 3 2 2 7 3" xfId="1346" xr:uid="{61B42D51-7DD4-424A-AA2D-E957D03BDFDC}"/>
    <cellStyle name="Note 3 2 2 8" xfId="24446" xr:uid="{DDA4EC99-33FE-4F95-AF26-11A93606FE92}"/>
    <cellStyle name="Note 3 2 2 8 2" xfId="1345" xr:uid="{BC163E71-2A2F-47A6-8D69-FFADF258C444}"/>
    <cellStyle name="Note 3 2 2 9" xfId="1344" xr:uid="{6267454E-A9D0-481C-9264-C4AA01B1197C}"/>
    <cellStyle name="Note 3 2 3" xfId="19931" xr:uid="{EE4E2E3E-5FE7-45C0-A174-52930049181D}"/>
    <cellStyle name="Note 3 2 3 2" xfId="1343" xr:uid="{F6553214-073C-4D2E-821C-9B7E162FE745}"/>
    <cellStyle name="Note 3 2 3 2 2" xfId="18706" xr:uid="{D23ABA45-249C-47C2-85C2-0D35957E2669}"/>
    <cellStyle name="Note 3 2 3 2 2 2" xfId="12793" xr:uid="{2D065004-45EF-4FB2-9C33-29F80ED262B5}"/>
    <cellStyle name="Note 3 2 3 2 2 2 2" xfId="1342" xr:uid="{B5CAF236-3C81-453B-867D-79395BD627A7}"/>
    <cellStyle name="Note 3 2 3 2 2 2 2 2" xfId="1341" xr:uid="{2BF804DE-7FFD-4580-A7AA-454E7B75DBE4}"/>
    <cellStyle name="Note 3 2 3 2 2 2 2 2 2" xfId="27223" xr:uid="{57677174-3E05-43B9-AD83-87A46D4FF9F9}"/>
    <cellStyle name="Note 3 2 3 2 2 2 2 2 2 2" xfId="29518" xr:uid="{2DAB8EA5-7902-4EA3-A974-A83863CF72DC}"/>
    <cellStyle name="Note 3 2 3 2 2 2 2 2 3" xfId="27407" xr:uid="{F33E3DE2-EE12-4833-82E2-D8B29B1C7FA4}"/>
    <cellStyle name="Note 3 2 3 2 2 2 2 3" xfId="1339" xr:uid="{4C84E244-4F8D-428E-A3A0-6905855B4DBE}"/>
    <cellStyle name="Note 3 2 3 2 2 2 2 3 2" xfId="27401" xr:uid="{75D96BB5-835E-4D1C-9968-5F34575EC833}"/>
    <cellStyle name="Note 3 2 3 2 2 2 2 4" xfId="1338" xr:uid="{D880418C-2738-4D76-863E-709E118A504A}"/>
    <cellStyle name="Note 3 2 3 2 2 2 3" xfId="24482" xr:uid="{72ED8695-DC41-4BA8-8227-0F0F21C68AEF}"/>
    <cellStyle name="Note 3 2 3 2 2 2 3 2" xfId="1337" xr:uid="{442F5492-5443-4DFB-81A9-47C5DAA50CE4}"/>
    <cellStyle name="Note 3 2 3 2 2 2 3 2 2" xfId="27395" xr:uid="{FAA4EB86-E44D-498B-A760-018E67A05A18}"/>
    <cellStyle name="Note 3 2 3 2 2 2 3 3" xfId="9950" xr:uid="{9BFF8B56-CE69-4964-B295-4CA9DE67068E}"/>
    <cellStyle name="Note 3 2 3 2 2 2 4" xfId="1336" xr:uid="{8394E31D-3917-48B3-B5BA-1A3CDE550FE2}"/>
    <cellStyle name="Note 3 2 3 2 2 2 4 2" xfId="1335" xr:uid="{BD67EAB7-568D-4D49-8D40-818A0B0C8123}"/>
    <cellStyle name="Note 3 2 3 2 2 2 5" xfId="1334" xr:uid="{069CA0D6-39DC-4D75-BA36-C2F2805D960C}"/>
    <cellStyle name="Note 3 2 3 2 2 3" xfId="25273" xr:uid="{8444DDDC-E6DF-4844-B4B2-E629DB25F270}"/>
    <cellStyle name="Note 3 2 3 2 2 3 2" xfId="1333" xr:uid="{5EE9B621-BA4D-4A34-999F-6BEFF62F0369}"/>
    <cellStyle name="Note 3 2 3 2 2 3 2 2" xfId="1332" xr:uid="{C411F57D-50AA-4093-B1C1-200C0136BF2E}"/>
    <cellStyle name="Note 3 2 3 2 2 3 2 2 2" xfId="26579" xr:uid="{6D2B6A2C-E243-4F54-BC59-E5E0F7852A5A}"/>
    <cellStyle name="Note 3 2 3 2 2 3 2 3" xfId="1331" xr:uid="{48165432-5824-4B95-84EE-D9190D33A10C}"/>
    <cellStyle name="Note 3 2 3 2 2 3 3" xfId="1330" xr:uid="{D30BEBF0-14F8-407F-B757-DF52A2E4B2EA}"/>
    <cellStyle name="Note 3 2 3 2 2 3 3 2" xfId="1329" xr:uid="{B53F0281-7B1B-4FCC-9FB9-15FE16A109F0}"/>
    <cellStyle name="Note 3 2 3 2 2 3 4" xfId="1328" xr:uid="{3EB1661A-FC91-44AE-9527-EA89D1F4211C}"/>
    <cellStyle name="Note 3 2 3 2 2 4" xfId="26639" xr:uid="{AE351707-96D3-4C01-B43C-D2F6CB71C5AC}"/>
    <cellStyle name="Note 3 2 3 2 2 4 2" xfId="1327" xr:uid="{D4541578-EC1C-4655-9BD2-91DB67F272EB}"/>
    <cellStyle name="Note 3 2 3 2 2 4 2 2" xfId="1326" xr:uid="{51AA1F38-B073-42A8-A621-C57D7F09F41F}"/>
    <cellStyle name="Note 3 2 3 2 2 4 3" xfId="1325" xr:uid="{A6FE8D6E-8A21-4E2F-8EEE-B0AB4840119C}"/>
    <cellStyle name="Note 3 2 3 2 2 5" xfId="31355" xr:uid="{27F22C87-DC91-4611-94D9-79AF67DBD852}"/>
    <cellStyle name="Note 3 2 3 2 2 5 2" xfId="1324" xr:uid="{7BF734A1-DE6B-4C0E-9BB7-8E9851AC119E}"/>
    <cellStyle name="Note 3 2 3 2 2 6" xfId="1323" xr:uid="{B04AC6B8-2D8A-4BD9-BCF9-2564030BBCDE}"/>
    <cellStyle name="Note 3 2 3 2 3" xfId="1322" xr:uid="{03426176-B689-464F-8B05-93EF8AA63288}"/>
    <cellStyle name="Note 3 2 3 2 3 2" xfId="1321" xr:uid="{BB6D3A4A-91DC-4DD4-A259-47137569E8DD}"/>
    <cellStyle name="Note 3 2 3 2 3 2 2" xfId="1320" xr:uid="{2D0543F0-FFD8-4E85-ACBA-C24FDD3E1AFA}"/>
    <cellStyle name="Note 3 2 3 2 3 2 2 2" xfId="1319" xr:uid="{8D87D290-5160-404C-8C82-A96C7C5F3067}"/>
    <cellStyle name="Note 3 2 3 2 3 2 2 2 2" xfId="14133" xr:uid="{57EDE3BE-A3DC-454B-A0D6-5A535785F28B}"/>
    <cellStyle name="Note 3 2 3 2 3 2 2 3" xfId="1318" xr:uid="{0EBB1910-98CE-4D73-AD7E-F12F9587C3C5}"/>
    <cellStyle name="Note 3 2 3 2 3 2 3" xfId="1317" xr:uid="{0CBDE9A0-01F3-4E57-B90E-B3AAA853B87A}"/>
    <cellStyle name="Note 3 2 3 2 3 2 3 2" xfId="1316" xr:uid="{F56914E3-A49A-4718-8E31-DE5D17FDAA62}"/>
    <cellStyle name="Note 3 2 3 2 3 2 4" xfId="1315" xr:uid="{420ECD6F-ED6F-46E6-9B03-ACC759AB7B71}"/>
    <cellStyle name="Note 3 2 3 2 3 3" xfId="30879" xr:uid="{F6637A27-6354-4AFF-A478-0A016064DE4A}"/>
    <cellStyle name="Note 3 2 3 2 3 3 2" xfId="1314" xr:uid="{800FF10C-C43B-4ADF-AEC5-AD7003C056E4}"/>
    <cellStyle name="Note 3 2 3 2 3 3 2 2" xfId="1313" xr:uid="{914A63E0-38B7-411D-9ABE-D2093500DDB8}"/>
    <cellStyle name="Note 3 2 3 2 3 3 3" xfId="1312" xr:uid="{7BD39248-AA3B-4205-8F01-36B9A9242E5D}"/>
    <cellStyle name="Note 3 2 3 2 3 4" xfId="11879" xr:uid="{190CFBD0-C236-4E59-9B04-6628136F4BE5}"/>
    <cellStyle name="Note 3 2 3 2 3 4 2" xfId="11876" xr:uid="{A8E08DA6-F865-4D18-8C92-0210BE17D9D5}"/>
    <cellStyle name="Note 3 2 3 2 3 5" xfId="11873" xr:uid="{0F103E19-438A-46BF-992B-CE5B3EEC5FF2}"/>
    <cellStyle name="Note 3 2 3 2 4" xfId="1311" xr:uid="{E7CDAA0D-43DD-4F24-994B-808AD540B5C5}"/>
    <cellStyle name="Note 3 2 3 2 4 2" xfId="1310" xr:uid="{048A6909-5338-4F07-8D1D-C784458E97A1}"/>
    <cellStyle name="Note 3 2 3 2 4 2 2" xfId="1309" xr:uid="{B5484AB6-294C-45B0-A713-759549E76437}"/>
    <cellStyle name="Note 3 2 3 2 4 2 2 2" xfId="1308" xr:uid="{5D8F9116-9E4D-47BB-9A69-AE9AA99C8315}"/>
    <cellStyle name="Note 3 2 3 2 4 2 3" xfId="1307" xr:uid="{9E7B0A46-7B20-4257-B67D-30267875E109}"/>
    <cellStyle name="Note 3 2 3 2 4 3" xfId="6368" xr:uid="{0A0A7051-6845-4732-B46E-DD61959C254C}"/>
    <cellStyle name="Note 3 2 3 2 4 3 2" xfId="1306" xr:uid="{52ADC85C-CBCE-4411-BFCE-06826D9ED8D6}"/>
    <cellStyle name="Note 3 2 3 2 4 4" xfId="11870" xr:uid="{DBC1CDAE-C0BB-476C-8EE6-AA89037D32A8}"/>
    <cellStyle name="Note 3 2 3 2 5" xfId="23563" xr:uid="{C74FBCE3-717B-40A4-9630-5AF3A009337C}"/>
    <cellStyle name="Note 3 2 3 2 5 2" xfId="32234" xr:uid="{5B173049-2057-48E1-841E-C46AD11031D3}"/>
    <cellStyle name="Note 3 2 3 2 5 2 2" xfId="1305" xr:uid="{09C7CFF7-201B-47E7-B123-07AC1BC85959}"/>
    <cellStyle name="Note 3 2 3 2 5 3" xfId="1304" xr:uid="{40C16175-D04B-446D-A0A9-59E1F8D5CDEE}"/>
    <cellStyle name="Note 3 2 3 2 6" xfId="10737" xr:uid="{1235B95C-66C7-4900-87D8-035BC9A26C11}"/>
    <cellStyle name="Note 3 2 3 2 6 2" xfId="9248" xr:uid="{37D74874-E094-4FE4-AD90-FEE92920E52E}"/>
    <cellStyle name="Note 3 2 3 2 7" xfId="10731" xr:uid="{C3BE5CCA-0C28-4E29-9600-93AED744B3C9}"/>
    <cellStyle name="Note 3 2 3 3" xfId="5025" xr:uid="{B3129ED2-D55A-4D20-9F68-DEEC6B0199E4}"/>
    <cellStyle name="Note 3 2 3 3 2" xfId="1303" xr:uid="{599D8968-B987-4906-B81C-A439E5DF13C1}"/>
    <cellStyle name="Note 3 2 3 3 2 2" xfId="1302" xr:uid="{FD67A8C1-CA56-477F-BA45-386FB6958B43}"/>
    <cellStyle name="Note 3 2 3 3 2 2 2" xfId="1301" xr:uid="{B39E1A4E-41C8-4F09-A2D4-DA04A30B87F1}"/>
    <cellStyle name="Note 3 2 3 3 2 2 2 2" xfId="23479" xr:uid="{56AF413C-BCBA-4F19-8BF1-DB1C285B84CB}"/>
    <cellStyle name="Note 3 2 3 3 2 2 2 2 2" xfId="27032" xr:uid="{8D5DF22D-9991-428E-B897-AC687B17FD89}"/>
    <cellStyle name="Note 3 2 3 3 2 2 2 3" xfId="1300" xr:uid="{6714A878-6E31-461A-95AF-2AC0C7621993}"/>
    <cellStyle name="Note 3 2 3 3 2 2 3" xfId="1299" xr:uid="{841E71CC-5B84-4655-B4B6-F7FCF1B405AC}"/>
    <cellStyle name="Note 3 2 3 3 2 2 3 2" xfId="1298" xr:uid="{05FCB6B6-536A-4239-8AED-BC1E7F78B1BA}"/>
    <cellStyle name="Note 3 2 3 3 2 2 4" xfId="1296" xr:uid="{5ABFE28B-2B44-4EB4-BF30-126EAD8E00DE}"/>
    <cellStyle name="Note 3 2 3 3 2 3" xfId="30843" xr:uid="{3AA1B519-1503-4196-A04B-7284AFC5F573}"/>
    <cellStyle name="Note 3 2 3 3 2 3 2" xfId="1295" xr:uid="{88DE3301-F829-4E6F-BE09-61A667F56D22}"/>
    <cellStyle name="Note 3 2 3 3 2 3 2 2" xfId="1294" xr:uid="{AB5D3BCF-A103-4CD8-9043-42A1D9897B6E}"/>
    <cellStyle name="Note 3 2 3 3 2 3 3" xfId="1293" xr:uid="{5961D994-8A1F-4A30-B03B-05D5EC299A41}"/>
    <cellStyle name="Note 3 2 3 3 2 4" xfId="31335" xr:uid="{F996DD51-305D-42D0-A8E1-255BD9BA32C9}"/>
    <cellStyle name="Note 3 2 3 3 2 4 2" xfId="28762" xr:uid="{877438C6-F20C-4EFB-801E-57F804B16241}"/>
    <cellStyle name="Note 3 2 3 3 2 5" xfId="1292" xr:uid="{47C572FF-5091-435A-B3FB-2AFA2785B8A5}"/>
    <cellStyle name="Note 3 2 3 3 3" xfId="1291" xr:uid="{7C214B82-6491-4739-948F-A553D37EB6EA}"/>
    <cellStyle name="Note 3 2 3 3 3 2" xfId="1290" xr:uid="{1D0B7B8C-2F1F-4F4D-BBDB-43134D454B9B}"/>
    <cellStyle name="Note 3 2 3 3 3 2 2" xfId="1289" xr:uid="{0B928C64-08C0-49D3-9162-59184A613BDB}"/>
    <cellStyle name="Note 3 2 3 3 3 2 2 2" xfId="1288" xr:uid="{901911DC-7C59-4146-8A99-94E678E8491C}"/>
    <cellStyle name="Note 3 2 3 3 3 2 3" xfId="1287" xr:uid="{E564B6DC-D7BA-4C32-AB42-8D44F564A8AE}"/>
    <cellStyle name="Note 3 2 3 3 3 3" xfId="29384" xr:uid="{E90A9433-65B0-4DFB-821A-4878C78DF292}"/>
    <cellStyle name="Note 3 2 3 3 3 3 2" xfId="1286" xr:uid="{B45294A5-3807-4026-9BBE-117381F63023}"/>
    <cellStyle name="Note 3 2 3 3 3 4" xfId="11867" xr:uid="{06014219-2BB3-4667-A7B4-2871EEB85440}"/>
    <cellStyle name="Note 3 2 3 3 4" xfId="1285" xr:uid="{9FF23EFD-2884-438D-8B5F-CF30805E1C46}"/>
    <cellStyle name="Note 3 2 3 3 4 2" xfId="1284" xr:uid="{7C759CDF-C667-42CC-A7DE-460AF23DD641}"/>
    <cellStyle name="Note 3 2 3 3 4 2 2" xfId="1283" xr:uid="{991CF41E-26CC-4A27-9791-D42DA0F5D4E1}"/>
    <cellStyle name="Note 3 2 3 3 4 3" xfId="1282" xr:uid="{F9EADE60-1782-4333-A363-0DE31CC11365}"/>
    <cellStyle name="Note 3 2 3 3 5" xfId="1281" xr:uid="{D7E22B45-00BC-4A85-B4CA-B5C87170D36E}"/>
    <cellStyle name="Note 3 2 3 3 5 2" xfId="1280" xr:uid="{4ED61009-31C5-4A4F-909D-4186A7AC55CF}"/>
    <cellStyle name="Note 3 2 3 3 6" xfId="10721" xr:uid="{94D2C448-D081-4C28-9C67-2A717BCB388D}"/>
    <cellStyle name="Note 3 2 3 4" xfId="17237" xr:uid="{7144CF80-29B7-442E-BE06-6F3C94504773}"/>
    <cellStyle name="Note 3 2 3 4 2" xfId="1279" xr:uid="{C06B99A2-7A1F-4FCA-B41B-9DEDE9D8FC5E}"/>
    <cellStyle name="Note 3 2 3 4 2 2" xfId="1278" xr:uid="{2FD2CD59-DAFB-443F-9C7E-D46E83B4C865}"/>
    <cellStyle name="Note 3 2 3 4 2 2 2" xfId="1277" xr:uid="{7C288295-497E-48BB-8AC8-632C672035CF}"/>
    <cellStyle name="Note 3 2 3 4 2 2 2 2" xfId="1276" xr:uid="{B60E167F-B2A9-42DF-8E6B-75E399281418}"/>
    <cellStyle name="Note 3 2 3 4 2 2 3" xfId="1275" xr:uid="{1740B584-04D0-40A4-9D83-2DC12737B6C4}"/>
    <cellStyle name="Note 3 2 3 4 2 3" xfId="30819" xr:uid="{33618062-4A1A-44CB-BA71-ED2FE01D8B8F}"/>
    <cellStyle name="Note 3 2 3 4 2 3 2" xfId="1274" xr:uid="{7055F8F5-8B2B-492C-B4DE-D87D3C7538C4}"/>
    <cellStyle name="Note 3 2 3 4 2 4" xfId="1273" xr:uid="{5CE78487-A275-408D-8190-EE7010EF9E53}"/>
    <cellStyle name="Note 3 2 3 4 3" xfId="1272" xr:uid="{D58EE5FA-6103-4E75-8588-874234B267D2}"/>
    <cellStyle name="Note 3 2 3 4 3 2" xfId="29332" xr:uid="{A15257A6-4508-4301-A1CC-C356FC72E843}"/>
    <cellStyle name="Note 3 2 3 4 3 2 2" xfId="1271" xr:uid="{52ED5737-88D5-4D6C-9EED-ABBAF7D42D10}"/>
    <cellStyle name="Note 3 2 3 4 3 3" xfId="1270" xr:uid="{4F20E224-D083-46C9-86CC-C550FFA57DDB}"/>
    <cellStyle name="Note 3 2 3 4 4" xfId="1269" xr:uid="{90DA5356-9A48-48D1-9E65-2C85182A4E94}"/>
    <cellStyle name="Note 3 2 3 4 4 2" xfId="1268" xr:uid="{497CFABC-BA10-46EF-A327-E9CAEFDDB43A}"/>
    <cellStyle name="Note 3 2 3 4 5" xfId="1267" xr:uid="{53CABD63-983A-4331-AB48-B68F3D4ECDAA}"/>
    <cellStyle name="Note 3 2 3 5" xfId="1266" xr:uid="{5CD1533B-1425-4FCA-89BB-AA9E8F4B453E}"/>
    <cellStyle name="Note 3 2 3 5 2" xfId="1265" xr:uid="{5516C154-032B-44FC-A292-0B6FFDC457D1}"/>
    <cellStyle name="Note 3 2 3 5 2 2" xfId="1264" xr:uid="{ACF101C5-6C8E-48F6-9CF8-5659272F2C65}"/>
    <cellStyle name="Note 3 2 3 5 2 2 2" xfId="26584" xr:uid="{148DEE7A-E09E-4088-8B93-7F1202BE3C06}"/>
    <cellStyle name="Note 3 2 3 5 2 3" xfId="1263" xr:uid="{4FE3F6D5-09A0-4AC6-AB48-F0E79FADFD4C}"/>
    <cellStyle name="Note 3 2 3 5 3" xfId="1262" xr:uid="{BA17A5BF-6782-4407-B831-C437A369184B}"/>
    <cellStyle name="Note 3 2 3 5 3 2" xfId="1261" xr:uid="{A6CA1917-09BC-4F55-B7E2-A0B99175C10F}"/>
    <cellStyle name="Note 3 2 3 5 4" xfId="1260" xr:uid="{5BF694CC-77D0-4B39-83A8-438AB9D44074}"/>
    <cellStyle name="Note 3 2 3 6" xfId="9771" xr:uid="{6A92F765-9D82-4AE5-8497-228170961546}"/>
    <cellStyle name="Note 3 2 3 6 2" xfId="1259" xr:uid="{0DB24F4E-4599-4433-9FA1-39C4CE1201C6}"/>
    <cellStyle name="Note 3 2 3 6 2 2" xfId="1258" xr:uid="{926E3C65-E5EF-4185-89BF-5F2354A5168C}"/>
    <cellStyle name="Note 3 2 3 6 3" xfId="1257" xr:uid="{0E30670A-6BC0-47A0-A469-0E3DB5566FC8}"/>
    <cellStyle name="Note 3 2 3 7" xfId="9767" xr:uid="{2E311CEB-E1D8-4302-8F5A-CE533963CAE8}"/>
    <cellStyle name="Note 3 2 3 7 2" xfId="7790" xr:uid="{D01DF875-3403-4667-895D-C383C08736D2}"/>
    <cellStyle name="Note 3 2 3 8" xfId="1256" xr:uid="{05E92E1E-889F-407E-B9FC-7E71D64A9746}"/>
    <cellStyle name="Note 3 2 4" xfId="19700" xr:uid="{7BA4639A-822C-4DEE-A61A-CF99C395DE55}"/>
    <cellStyle name="Note 3 2 4 2" xfId="1255" xr:uid="{A856762D-907E-44E9-819E-C4451662BC8E}"/>
    <cellStyle name="Note 3 2 4 2 2" xfId="1254" xr:uid="{77183BCF-3F52-4A92-B434-201E007EFF41}"/>
    <cellStyle name="Note 3 2 4 2 2 2" xfId="1253" xr:uid="{DA02D9BF-99F3-4817-99CB-0AAEF0E857D4}"/>
    <cellStyle name="Note 3 2 4 2 2 2 2" xfId="1252" xr:uid="{06A5A443-FE70-4383-A186-CB66F8529C35}"/>
    <cellStyle name="Note 3 2 4 2 2 2 2 2" xfId="1251" xr:uid="{AFEC014B-9402-4E6B-BCF2-8DE0F6410E27}"/>
    <cellStyle name="Note 3 2 4 2 2 2 2 2 2" xfId="17142" xr:uid="{BF3216A3-65B3-4004-8EE1-75A6A639CF3B}"/>
    <cellStyle name="Note 3 2 4 2 2 2 2 3" xfId="1250" xr:uid="{39A986F6-C729-4835-BD47-2460E7353D09}"/>
    <cellStyle name="Note 3 2 4 2 2 2 3" xfId="16821" xr:uid="{38B25641-6C4B-4C61-BEB2-FD25B190A625}"/>
    <cellStyle name="Note 3 2 4 2 2 2 3 2" xfId="1249" xr:uid="{1D8E987C-FC72-4BFD-9D01-A52BE42BABFF}"/>
    <cellStyle name="Note 3 2 4 2 2 2 4" xfId="1248" xr:uid="{EF3B7331-4784-438C-8B2D-5ECAF6DD840A}"/>
    <cellStyle name="Note 3 2 4 2 2 3" xfId="31765" xr:uid="{6A67F984-9E66-4606-B759-F2831B9E2FBE}"/>
    <cellStyle name="Note 3 2 4 2 2 3 2" xfId="1247" xr:uid="{1646E134-D84D-4EB5-96E1-4DD1704AA1F1}"/>
    <cellStyle name="Note 3 2 4 2 2 3 2 2" xfId="5422" xr:uid="{660C8D48-D090-4A2B-98EA-71910CD37C77}"/>
    <cellStyle name="Note 3 2 4 2 2 3 3" xfId="1246" xr:uid="{C431C3B8-6614-4FBA-A24C-721D4D4D3361}"/>
    <cellStyle name="Note 3 2 4 2 2 4" xfId="31182" xr:uid="{4D01B221-B9CF-4A19-B8CF-1BABF4ACB429}"/>
    <cellStyle name="Note 3 2 4 2 2 4 2" xfId="1245" xr:uid="{100935C6-2C76-4E6E-B920-6C34E81317C6}"/>
    <cellStyle name="Note 3 2 4 2 2 5" xfId="34270" xr:uid="{32CCA4C6-1E45-4B07-B320-913967C2FDAB}"/>
    <cellStyle name="Note 3 2 4 2 3" xfId="1244" xr:uid="{59E037F1-1E60-42C7-9BC2-96A69F05C797}"/>
    <cellStyle name="Note 3 2 4 2 3 2" xfId="1243" xr:uid="{AB46E16A-A7F1-4801-AE31-05806F0E78A1}"/>
    <cellStyle name="Note 3 2 4 2 3 2 2" xfId="1242" xr:uid="{057AEA6D-10E6-45F1-9D3E-7CD7937C35EE}"/>
    <cellStyle name="Note 3 2 4 2 3 2 2 2" xfId="1241" xr:uid="{4B34DED9-5E5F-4C4B-B146-5998056C4683}"/>
    <cellStyle name="Note 3 2 4 2 3 2 3" xfId="18747" xr:uid="{73D477D9-5BC5-4309-B818-0C0ED8EB3033}"/>
    <cellStyle name="Note 3 2 4 2 3 3" xfId="29251" xr:uid="{3C401E1E-753E-422A-913D-2BB11878994F}"/>
    <cellStyle name="Note 3 2 4 2 3 3 2" xfId="1240" xr:uid="{555E6914-6756-400E-BFC1-BBBDBC6EE6EA}"/>
    <cellStyle name="Note 3 2 4 2 3 4" xfId="11833" xr:uid="{14979E42-12B9-4AEB-BEB7-88E8B3507454}"/>
    <cellStyle name="Note 3 2 4 2 4" xfId="1239" xr:uid="{350417AE-C75A-4A1B-BAFB-C7980491540C}"/>
    <cellStyle name="Note 3 2 4 2 4 2" xfId="30129" xr:uid="{E76891B6-1FC5-4C12-A854-278E35F8B7FD}"/>
    <cellStyle name="Note 3 2 4 2 4 2 2" xfId="16347" xr:uid="{4BC4A881-733C-4778-8015-8F1C0A9D1C71}"/>
    <cellStyle name="Note 3 2 4 2 4 3" xfId="17842" xr:uid="{3627F420-1145-42B6-8F1F-3FA8158D1302}"/>
    <cellStyle name="Note 3 2 4 2 5" xfId="1238" xr:uid="{73AE39BB-61AB-4810-B03C-56B90EA1A4DE}"/>
    <cellStyle name="Note 3 2 4 2 5 2" xfId="33816" xr:uid="{7CACFB3D-4D56-428F-9D3B-8C2F4A4D2EC2}"/>
    <cellStyle name="Note 3 2 4 2 6" xfId="10701" xr:uid="{6FB73E67-61CD-47BC-B1C2-D9B585347AA7}"/>
    <cellStyle name="Note 3 2 4 3" xfId="5022" xr:uid="{1CB26D82-EB88-4242-891C-8A7EE33E68CF}"/>
    <cellStyle name="Note 3 2 4 3 2" xfId="1237" xr:uid="{4CF5E064-C7DA-4DBE-9021-56EEB1623DEB}"/>
    <cellStyle name="Note 3 2 4 3 2 2" xfId="1236" xr:uid="{7DCCF557-0AFB-4FC6-8C44-E58A8B15AC0F}"/>
    <cellStyle name="Note 3 2 4 3 2 2 2" xfId="1235" xr:uid="{9DD48D3C-AF74-441C-B021-716A7DCA06C2}"/>
    <cellStyle name="Note 3 2 4 3 2 2 2 2" xfId="1234" xr:uid="{1B9D6817-1AF5-4BE4-A946-42266ED3AB9B}"/>
    <cellStyle name="Note 3 2 4 3 2 2 3" xfId="1233" xr:uid="{0DC5257F-C69C-4B6B-92FA-28B9E6FAFE81}"/>
    <cellStyle name="Note 3 2 4 3 2 3" xfId="27692" xr:uid="{A2A300A8-8FAA-4DAF-B314-07E143B76A1E}"/>
    <cellStyle name="Note 3 2 4 3 2 3 2" xfId="1232" xr:uid="{817C17B3-AD81-4C04-8341-4B3DEFC7341C}"/>
    <cellStyle name="Note 3 2 4 3 2 4" xfId="1231" xr:uid="{89051836-963A-4FBC-BA2A-05BF5AD3A04D}"/>
    <cellStyle name="Note 3 2 4 3 3" xfId="1230" xr:uid="{C7DC11F9-A349-4585-B1E3-F4E64344098A}"/>
    <cellStyle name="Note 3 2 4 3 3 2" xfId="1229" xr:uid="{4650EC63-335B-4D62-AC01-ABF2D25BD260}"/>
    <cellStyle name="Note 3 2 4 3 3 2 2" xfId="1228" xr:uid="{01B2B028-26F2-4E1F-997D-242A4C38EB8A}"/>
    <cellStyle name="Note 3 2 4 3 3 3" xfId="1227" xr:uid="{BBBFA930-D8F6-41A9-A099-A0FBAE441924}"/>
    <cellStyle name="Note 3 2 4 3 4" xfId="1226" xr:uid="{D45E18F9-AED7-438F-A784-6FF816B62A3B}"/>
    <cellStyle name="Note 3 2 4 3 4 2" xfId="19951" xr:uid="{1067DAFD-9D9A-4DF9-BEEF-96FC94C29AD7}"/>
    <cellStyle name="Note 3 2 4 3 5" xfId="1225" xr:uid="{E0EEB183-E864-4970-B7D4-C5B8FDD89596}"/>
    <cellStyle name="Note 3 2 4 4" xfId="4553" xr:uid="{1F728C47-0C28-4DD7-99E5-5F6473F4BCAA}"/>
    <cellStyle name="Note 3 2 4 4 2" xfId="1224" xr:uid="{469AACBF-3430-4EE0-85E0-4A8F341AF48F}"/>
    <cellStyle name="Note 3 2 4 4 2 2" xfId="1223" xr:uid="{96FF29E5-F921-46E6-B24D-5094E9E26E99}"/>
    <cellStyle name="Note 3 2 4 4 2 2 2" xfId="17966" xr:uid="{B346BDE4-5812-4B48-9F31-65CFB72E9D0A}"/>
    <cellStyle name="Note 3 2 4 4 2 3" xfId="1222" xr:uid="{9E99943D-BE5B-4B51-961B-863C667804F7}"/>
    <cellStyle name="Note 3 2 4 4 3" xfId="1221" xr:uid="{6936EAB7-6955-4BDC-86AA-7EA632FD1AD5}"/>
    <cellStyle name="Note 3 2 4 4 3 2" xfId="1220" xr:uid="{AF731190-DBD3-49F1-A8E7-02DD6E0C4020}"/>
    <cellStyle name="Note 3 2 4 4 4" xfId="1219" xr:uid="{9B23F5A0-A31B-46F3-847D-1A7F381DA2E3}"/>
    <cellStyle name="Note 3 2 4 5" xfId="1218" xr:uid="{32E183FE-7515-4F49-B207-8F185D57A2FB}"/>
    <cellStyle name="Note 3 2 4 5 2" xfId="1217" xr:uid="{58C973EA-26D5-413C-966D-3C4CA5D4F935}"/>
    <cellStyle name="Note 3 2 4 5 2 2" xfId="1216" xr:uid="{6BFCE787-5C93-423F-A21A-A3DF94D4D9F9}"/>
    <cellStyle name="Note 3 2 4 5 3" xfId="1215" xr:uid="{16506910-1988-4454-A35E-C23DEF240B08}"/>
    <cellStyle name="Note 3 2 4 6" xfId="9765" xr:uid="{8D649141-FC13-4A02-AD05-3AF905A3CE78}"/>
    <cellStyle name="Note 3 2 4 6 2" xfId="1214" xr:uid="{BA359229-684C-4014-9053-DA057A08EABE}"/>
    <cellStyle name="Note 3 2 4 7" xfId="1213" xr:uid="{4EE26637-A397-40E6-B7D6-05C8450591C6}"/>
    <cellStyle name="Note 3 2 5" xfId="1212" xr:uid="{991B0D69-D165-4929-8CB1-55750AE26142}"/>
    <cellStyle name="Note 3 2 5 2" xfId="1211" xr:uid="{F999AD91-6D1A-4AFB-B15D-24B4CA9AECF3}"/>
    <cellStyle name="Note 3 2 5 2 2" xfId="1210" xr:uid="{3B95ADF0-6AA1-4618-AE07-F5075A2FB8DE}"/>
    <cellStyle name="Note 3 2 5 2 2 2" xfId="1209" xr:uid="{E3A20175-D5AB-496C-87F3-9EDFF91D2D82}"/>
    <cellStyle name="Note 3 2 5 2 2 2 2" xfId="4474" xr:uid="{0B885CDA-76E8-4069-BA3A-D03B6B4A84DF}"/>
    <cellStyle name="Note 3 2 5 2 2 2 2 2" xfId="34273" xr:uid="{27A7E587-0B7E-4DC6-A7E7-2636CDDC5C30}"/>
    <cellStyle name="Note 3 2 5 2 2 2 3" xfId="1208" xr:uid="{AAB453F6-9474-440B-89F9-F9344B11A853}"/>
    <cellStyle name="Note 3 2 5 2 2 3" xfId="32866" xr:uid="{6D31C3BB-694D-47F7-AE67-E6275B28E1C4}"/>
    <cellStyle name="Note 3 2 5 2 2 3 2" xfId="1207" xr:uid="{62E140F8-B5FC-40F5-9E22-E0A317056A3E}"/>
    <cellStyle name="Note 3 2 5 2 2 4" xfId="1206" xr:uid="{8DA7165D-91E4-472A-AA0D-C06D7B8D676E}"/>
    <cellStyle name="Note 3 2 5 2 3" xfId="17692" xr:uid="{7BBC4F80-D9C8-4160-AC51-59BF10FE7E05}"/>
    <cellStyle name="Note 3 2 5 2 3 2" xfId="1205" xr:uid="{7941C12D-3760-4E41-AB57-07FE0EA8F804}"/>
    <cellStyle name="Note 3 2 5 2 3 2 2" xfId="1204" xr:uid="{8873A140-7838-4963-A6D5-BB4984749E02}"/>
    <cellStyle name="Note 3 2 5 2 3 3" xfId="1203" xr:uid="{EB4C2F43-58D2-4FFB-A339-6E673C5C5759}"/>
    <cellStyle name="Note 3 2 5 2 4" xfId="17689" xr:uid="{85F946C0-174A-458B-8EF4-E48CD09A190D}"/>
    <cellStyle name="Note 3 2 5 2 4 2" xfId="17824" xr:uid="{0A86000E-285B-4404-A85F-BD0AB34683EB}"/>
    <cellStyle name="Note 3 2 5 2 5" xfId="1202" xr:uid="{78DFFA23-F99C-4170-843B-B13C5FB8AD81}"/>
    <cellStyle name="Note 3 2 5 3" xfId="1201" xr:uid="{2076B315-2411-4407-B12C-C7F746EA127E}"/>
    <cellStyle name="Note 3 2 5 3 2" xfId="1200" xr:uid="{AC6FBAF6-3E7A-4D51-B7D8-8043558BB902}"/>
    <cellStyle name="Note 3 2 5 3 2 2" xfId="1199" xr:uid="{4F38000D-4A4B-4DD2-971A-20D12E32AFDD}"/>
    <cellStyle name="Note 3 2 5 3 2 2 2" xfId="1198" xr:uid="{872BD592-3E2E-4BE8-BB2B-2F7BDC685F7C}"/>
    <cellStyle name="Note 3 2 5 3 2 3" xfId="1197" xr:uid="{02F25B76-812F-463F-936D-921E3C135444}"/>
    <cellStyle name="Note 3 2 5 3 3" xfId="32148" xr:uid="{B8F0A1D9-1A02-450D-9F70-FD56A1AF1CA2}"/>
    <cellStyle name="Note 3 2 5 3 3 2" xfId="1196" xr:uid="{7E91E680-AF85-44EE-A109-849C823D6141}"/>
    <cellStyle name="Note 3 2 5 3 4" xfId="1195" xr:uid="{BFB034D7-4E8D-4C6D-A8C4-50895065988B}"/>
    <cellStyle name="Note 3 2 5 4" xfId="1194" xr:uid="{464E80B9-79DE-4431-B8D5-BE19F068020B}"/>
    <cellStyle name="Note 3 2 5 4 2" xfId="1193" xr:uid="{10096009-7EFF-41AF-A832-68E0DF63191A}"/>
    <cellStyle name="Note 3 2 5 4 2 2" xfId="1192" xr:uid="{CFF3D39A-B3D7-4CA1-9621-F4604ED0C233}"/>
    <cellStyle name="Note 3 2 5 4 3" xfId="1191" xr:uid="{346A7D19-F125-41E5-B285-4D0B56C57CE1}"/>
    <cellStyle name="Note 3 2 5 5" xfId="1190" xr:uid="{661EE82C-EB7F-4AAE-9555-6C7BAA7B8E5B}"/>
    <cellStyle name="Note 3 2 5 5 2" xfId="1189" xr:uid="{9A171FAF-8014-42F4-AB56-0FC65EA53608}"/>
    <cellStyle name="Note 3 2 5 6" xfId="1188" xr:uid="{4C2FC437-F32D-46F6-8695-435F56C0A875}"/>
    <cellStyle name="Note 3 2 6" xfId="12850" xr:uid="{051575D7-5EF0-4D18-BB32-DE89CBE63FBB}"/>
    <cellStyle name="Note 3 2 6 2" xfId="1187" xr:uid="{970FFE51-149A-49C1-9CA8-794BD44293B8}"/>
    <cellStyle name="Note 3 2 6 2 2" xfId="1186" xr:uid="{369ACA22-0EC0-4956-9843-5977BE28A8CF}"/>
    <cellStyle name="Note 3 2 6 2 2 2" xfId="1185" xr:uid="{8EAFE2DB-D61D-4920-BA68-90CC14D821D3}"/>
    <cellStyle name="Note 3 2 6 2 2 2 2" xfId="1184" xr:uid="{285AD55F-3E28-4CA9-9F1C-044A667953AD}"/>
    <cellStyle name="Note 3 2 6 2 2 3" xfId="1183" xr:uid="{62A90347-CEAA-4028-BD79-F4D8FBE49292}"/>
    <cellStyle name="Note 3 2 6 2 3" xfId="18949" xr:uid="{E6FF095B-6833-4E57-BFD5-2B5F5076E94F}"/>
    <cellStyle name="Note 3 2 6 2 3 2" xfId="1182" xr:uid="{23DC7C03-4521-4491-BD82-AC071321D087}"/>
    <cellStyle name="Note 3 2 6 2 4" xfId="1181" xr:uid="{29678DC9-D886-4EB6-A5B6-1408166223BC}"/>
    <cellStyle name="Note 3 2 6 3" xfId="1180" xr:uid="{D947FCBE-6759-49E2-B4FB-A5DAEE5A96FE}"/>
    <cellStyle name="Note 3 2 6 3 2" xfId="1179" xr:uid="{1452FC68-93CA-43DC-B898-E19BAF7F0E57}"/>
    <cellStyle name="Note 3 2 6 3 2 2" xfId="1178" xr:uid="{0A71D01D-8680-4E12-8A52-237A3CB204AA}"/>
    <cellStyle name="Note 3 2 6 3 3" xfId="1177" xr:uid="{19CBE7AF-F354-4707-A3BA-3B14DCAF8B4E}"/>
    <cellStyle name="Note 3 2 6 4" xfId="1176" xr:uid="{EAB61FB5-3D96-4625-AE2A-0E4BE692F568}"/>
    <cellStyle name="Note 3 2 6 4 2" xfId="1175" xr:uid="{B5DDADFE-0812-4F5B-819D-A7E66760D931}"/>
    <cellStyle name="Note 3 2 6 5" xfId="1174" xr:uid="{9F8A1363-E80C-4380-A774-8152D6FB6A92}"/>
    <cellStyle name="Note 3 2 7" xfId="7101" xr:uid="{1EDAC14A-DCF6-4531-8496-1E86B429427C}"/>
    <cellStyle name="Note 3 2 7 2" xfId="1173" xr:uid="{3F5F2623-53F6-4F20-B21F-7A1871AA3F3B}"/>
    <cellStyle name="Note 3 2 7 2 2" xfId="1172" xr:uid="{E3999912-487F-43D8-AB40-58577DDA1506}"/>
    <cellStyle name="Note 3 2 7 2 2 2" xfId="1171" xr:uid="{910735B8-9AC7-4CC8-92CB-0ACAB2A116BA}"/>
    <cellStyle name="Note 3 2 7 2 3" xfId="1170" xr:uid="{D242581A-7E2D-4F15-A458-72E64F82077D}"/>
    <cellStyle name="Note 3 2 7 3" xfId="1169" xr:uid="{566C1F76-7A5E-49C7-94FF-921C03C21E6C}"/>
    <cellStyle name="Note 3 2 7 3 2" xfId="1168" xr:uid="{47CBA9E0-0C00-40F0-ACBA-8EC61898A679}"/>
    <cellStyle name="Note 3 2 7 4" xfId="1167" xr:uid="{493E4641-DFB5-435D-A93F-9F78CAEDA4A7}"/>
    <cellStyle name="Note 3 2 8" xfId="7097" xr:uid="{86FCEE5B-2209-4B76-A636-B185009460D5}"/>
    <cellStyle name="Note 3 2 8 2" xfId="1166" xr:uid="{BF604CAB-279D-4C45-B337-146CFAC01BE6}"/>
    <cellStyle name="Note 3 2 8 2 2" xfId="19675" xr:uid="{752FAEC0-A6C2-4173-A591-49B1FA9F844E}"/>
    <cellStyle name="Note 3 2 8 3" xfId="31972" xr:uid="{66CDF11A-25DA-4B9B-A810-6C509D98CEF3}"/>
    <cellStyle name="Note 3 2 9" xfId="11842" xr:uid="{B692C688-07B3-4571-9391-9F106920C133}"/>
    <cellStyle name="Note 3 2 9 2" xfId="11839" xr:uid="{1E7261A8-D962-4073-97C5-E9EFC2DA10BD}"/>
    <cellStyle name="Note 3 3" xfId="198" xr:uid="{6867DC85-4E3D-4223-BEC3-3054B3666874}"/>
    <cellStyle name="Note 3 3 10" xfId="34533" xr:uid="{B10EE0DA-BF35-44AD-A153-8D9E7AB12792}"/>
    <cellStyle name="Note 3 3 11" xfId="1165" xr:uid="{DB9CA185-D9A4-443E-ACEC-CC5CAFC95DC9}"/>
    <cellStyle name="Note 3 3 2" xfId="18480" xr:uid="{AC8038E8-48BE-48BB-99AE-E6306E414E13}"/>
    <cellStyle name="Note 3 3 2 2" xfId="1164" xr:uid="{DEB992C4-D621-47A4-B202-E25987ACE7F5}"/>
    <cellStyle name="Note 3 3 2 2 2" xfId="1163" xr:uid="{CEC1C916-9B35-4462-8ED8-D99FDA8F616D}"/>
    <cellStyle name="Note 3 3 2 2 2 2" xfId="1162" xr:uid="{178072DA-5F86-48FA-ADD7-F00525375A5D}"/>
    <cellStyle name="Note 3 3 2 2 2 2 2" xfId="1161" xr:uid="{6BE93296-91CE-4FC8-BD54-CA0EF1FF340D}"/>
    <cellStyle name="Note 3 3 2 2 2 2 2 2" xfId="1160" xr:uid="{6D93E4D3-64F8-47C7-AA0A-EAF216E00E41}"/>
    <cellStyle name="Note 3 3 2 2 2 2 2 2 2" xfId="1159" xr:uid="{6A7FF714-EFCD-4E92-B6EA-80385D7BA609}"/>
    <cellStyle name="Note 3 3 2 2 2 2 2 2 2 2" xfId="1158" xr:uid="{3C0F7066-239E-4BBE-969A-589F8237FC9C}"/>
    <cellStyle name="Note 3 3 2 2 2 2 2 2 3" xfId="22285" xr:uid="{F62211B7-54E9-443C-88F3-598DBC769263}"/>
    <cellStyle name="Note 3 3 2 2 2 2 2 3" xfId="1157" xr:uid="{A320D91B-1F71-4621-8F7A-B2EFBB784140}"/>
    <cellStyle name="Note 3 3 2 2 2 2 2 3 2" xfId="1156" xr:uid="{6DF7FDCA-D273-4615-B3FE-E611E1D60D48}"/>
    <cellStyle name="Note 3 3 2 2 2 2 2 4" xfId="1155" xr:uid="{AF183B2D-2189-46C7-A929-6B1FAE6E8881}"/>
    <cellStyle name="Note 3 3 2 2 2 2 3" xfId="26514" xr:uid="{2F073D1E-00B0-4988-80BD-5FD27A662559}"/>
    <cellStyle name="Note 3 3 2 2 2 2 3 2" xfId="1154" xr:uid="{F8083D12-3065-4C0C-9E8A-727792F8E6BF}"/>
    <cellStyle name="Note 3 3 2 2 2 2 3 2 2" xfId="1153" xr:uid="{C8A46A4C-7F8F-4A89-B015-14E9187483FA}"/>
    <cellStyle name="Note 3 3 2 2 2 2 3 3" xfId="8493" xr:uid="{4A436D0D-DB30-4151-A7EE-BDC8CFE65073}"/>
    <cellStyle name="Note 3 3 2 2 2 2 4" xfId="1152" xr:uid="{E4D365E9-01EE-4DD9-BBB2-80EC6C0FD21D}"/>
    <cellStyle name="Note 3 3 2 2 2 2 4 2" xfId="1151" xr:uid="{9F7BC806-3F82-4839-A25C-7090D0940394}"/>
    <cellStyle name="Note 3 3 2 2 2 2 5" xfId="1150" xr:uid="{A6E4E74A-161B-4DC7-9FC2-7AA93475C234}"/>
    <cellStyle name="Note 3 3 2 2 2 3" xfId="5204" xr:uid="{F1B02610-5188-4CD2-9733-46D682AA5343}"/>
    <cellStyle name="Note 3 3 2 2 2 3 2" xfId="5202" xr:uid="{81A25643-F8CC-4042-86F9-FC7FAE85B6EB}"/>
    <cellStyle name="Note 3 3 2 2 2 3 2 2" xfId="5200" xr:uid="{A379F668-2460-4C21-89D7-F2AB6572C9A7}"/>
    <cellStyle name="Note 3 3 2 2 2 3 2 2 2" xfId="1149" xr:uid="{C0CD8CCE-C7B7-4620-A7E7-FFFB2288FA07}"/>
    <cellStyle name="Note 3 3 2 2 2 3 2 3" xfId="19653" xr:uid="{31A99248-595B-4C3D-9C8A-B1FA63E8C2B8}"/>
    <cellStyle name="Note 3 3 2 2 2 3 3" xfId="5198" xr:uid="{846C82F5-CED9-4453-A9DD-65853287CF9D}"/>
    <cellStyle name="Note 3 3 2 2 2 3 3 2" xfId="1148" xr:uid="{04FFA8E2-6487-4E3A-AC9B-B869AB6935EF}"/>
    <cellStyle name="Note 3 3 2 2 2 3 4" xfId="1147" xr:uid="{22C536ED-AFFA-416C-8AC2-75BCBB06A80D}"/>
    <cellStyle name="Note 3 3 2 2 2 4" xfId="5196" xr:uid="{1D468B65-43FA-444E-9D17-D940F364B0DE}"/>
    <cellStyle name="Note 3 3 2 2 2 4 2" xfId="11390" xr:uid="{C4309AE0-9CDD-41FF-AF43-EE9DF73085F7}"/>
    <cellStyle name="Note 3 3 2 2 2 4 2 2" xfId="1146" xr:uid="{4728ADC9-B9D7-419D-9DC2-BACBA3D5EE55}"/>
    <cellStyle name="Note 3 3 2 2 2 4 3" xfId="1145" xr:uid="{50760976-56E6-4034-A7CF-C3E391DA4D3E}"/>
    <cellStyle name="Note 3 3 2 2 2 5" xfId="5194" xr:uid="{126BBA65-A20D-4030-B09C-D3DD9600B7EF}"/>
    <cellStyle name="Note 3 3 2 2 2 5 2" xfId="1144" xr:uid="{29FEE958-EC8C-4414-81D8-52684A7558B2}"/>
    <cellStyle name="Note 3 3 2 2 2 6" xfId="1143" xr:uid="{DF97C5B1-D269-4075-9E71-1B101C6B820A}"/>
    <cellStyle name="Note 3 3 2 2 3" xfId="1142" xr:uid="{D5FCC92A-27CB-464A-8834-2042DC1871E2}"/>
    <cellStyle name="Note 3 3 2 2 3 2" xfId="3418" xr:uid="{035ED298-F85F-4797-B318-E68E167162CC}"/>
    <cellStyle name="Note 3 3 2 2 3 2 2" xfId="3416" xr:uid="{7A8BF4F0-7D7F-4A45-874D-AFBD3E327046}"/>
    <cellStyle name="Note 3 3 2 2 3 2 2 2" xfId="3414" xr:uid="{6D5F1670-1795-44CA-ADAD-E400E6A43A46}"/>
    <cellStyle name="Note 3 3 2 2 3 2 2 2 2" xfId="30472" xr:uid="{BA6EB918-9B8C-4CAE-801F-9B96B5D5A1FE}"/>
    <cellStyle name="Note 3 3 2 2 3 2 2 3" xfId="3412" xr:uid="{734B3636-50EA-47FB-8610-E005D86D1D7E}"/>
    <cellStyle name="Note 3 3 2 2 3 2 3" xfId="3410" xr:uid="{E208636E-AF43-4DCB-A335-F60E1202BA11}"/>
    <cellStyle name="Note 3 3 2 2 3 2 3 2" xfId="3408" xr:uid="{9EAF2549-0138-45D5-86EA-39C2A06615B7}"/>
    <cellStyle name="Note 3 3 2 2 3 2 4" xfId="18770" xr:uid="{B7BFDA05-FE6B-4ED3-98F7-887D413F25B8}"/>
    <cellStyle name="Note 3 3 2 2 3 3" xfId="5190" xr:uid="{84AC75CA-E27B-401E-8679-377517EB4F86}"/>
    <cellStyle name="Note 3 3 2 2 3 3 2" xfId="5187" xr:uid="{29C5A231-D5BF-4674-845F-CEA89EF046D5}"/>
    <cellStyle name="Note 3 3 2 2 3 3 2 2" xfId="19201" xr:uid="{15D00C57-E723-4DFE-98FC-BFA9BBE5B62E}"/>
    <cellStyle name="Note 3 3 2 2 3 3 3" xfId="3406" xr:uid="{06C8E81F-292C-42A4-8499-A29487AE8119}"/>
    <cellStyle name="Note 3 3 2 2 3 4" xfId="5184" xr:uid="{246A7FEA-8BB0-4FEE-8809-BA57C2FCEAE5}"/>
    <cellStyle name="Note 3 3 2 2 3 4 2" xfId="3404" xr:uid="{EBAA8468-95E7-4EE2-81FF-E47DF3766537}"/>
    <cellStyle name="Note 3 3 2 2 3 5" xfId="9971" xr:uid="{74DA2872-905C-4CF4-9D84-A5CA8C99C014}"/>
    <cellStyle name="Note 3 3 2 2 4" xfId="1141" xr:uid="{B90959C7-0554-498B-86A6-BE0B6478D03E}"/>
    <cellStyle name="Note 3 3 2 2 4 2" xfId="3396" xr:uid="{DE0D79DA-0089-4DA4-96BE-BBAD83B3CDAE}"/>
    <cellStyle name="Note 3 3 2 2 4 2 2" xfId="27614" xr:uid="{31238B9F-5C9B-4AB8-B13D-B8C6CA8996FC}"/>
    <cellStyle name="Note 3 3 2 2 4 2 2 2" xfId="3394" xr:uid="{EF8004EA-0A06-4CF8-A51B-FE3C69D0EEBA}"/>
    <cellStyle name="Note 3 3 2 2 4 2 3" xfId="3392" xr:uid="{66AF9060-BD48-431A-8D26-9E9D2F8DFD7D}"/>
    <cellStyle name="Note 3 3 2 2 4 3" xfId="17547" xr:uid="{E8579701-9C14-43A4-A352-22BCA893B6DD}"/>
    <cellStyle name="Note 3 3 2 2 4 3 2" xfId="3390" xr:uid="{231F42BE-8418-4A13-90ED-C170DAA3FED3}"/>
    <cellStyle name="Note 3 3 2 2 4 4" xfId="3388" xr:uid="{CE20CE37-36D1-445D-A738-C2A66F99299A}"/>
    <cellStyle name="Note 3 3 2 2 5" xfId="1140" xr:uid="{65E0D6FA-130E-413F-A658-AC1C38856267}"/>
    <cellStyle name="Note 3 3 2 2 5 2" xfId="3381" xr:uid="{AA635823-5448-477D-984F-684DEA3F4EB1}"/>
    <cellStyle name="Note 3 3 2 2 5 2 2" xfId="3379" xr:uid="{CD7F7ED5-ACD4-43AC-BE1C-4B0D44957080}"/>
    <cellStyle name="Note 3 3 2 2 5 3" xfId="3377" xr:uid="{27BD14AD-BB5B-4DEB-9744-D015E9375235}"/>
    <cellStyle name="Note 3 3 2 2 6" xfId="1139" xr:uid="{23B78E96-0A2D-41A7-A3B8-2E578F6A817E}"/>
    <cellStyle name="Note 3 3 2 2 6 2" xfId="3371" xr:uid="{BFD7CE1C-EB97-4E06-8360-19EF38F94C5A}"/>
    <cellStyle name="Note 3 3 2 2 7" xfId="1138" xr:uid="{4AB5F618-CD88-4342-817B-85AE523E9EBA}"/>
    <cellStyle name="Note 3 3 2 3" xfId="1137" xr:uid="{5F9410C1-4486-4E04-A0DB-FE4FF0273C0C}"/>
    <cellStyle name="Note 3 3 2 3 2" xfId="1136" xr:uid="{3879EDAE-C765-430D-AAAD-2568A8A826E4}"/>
    <cellStyle name="Note 3 3 2 3 2 2" xfId="1135" xr:uid="{72837839-45FB-4F2F-91B9-2FE5D5FF8DDC}"/>
    <cellStyle name="Note 3 3 2 3 2 2 2" xfId="1134" xr:uid="{7B0F9582-4208-4428-BAD8-8D6FCB08EB78}"/>
    <cellStyle name="Note 3 3 2 3 2 2 2 2" xfId="1133" xr:uid="{99B4FFF1-895F-487D-8BD1-AE354F4CAF69}"/>
    <cellStyle name="Note 3 3 2 3 2 2 2 2 2" xfId="1132" xr:uid="{D0B7CFB6-08AC-4A07-89C4-AAB77D5393C7}"/>
    <cellStyle name="Note 3 3 2 3 2 2 2 3" xfId="1131" xr:uid="{9368984F-643A-4127-8E55-FDFF3BBA710C}"/>
    <cellStyle name="Note 3 3 2 3 2 2 3" xfId="1130" xr:uid="{54E53461-10B4-45E2-A4B0-6C4B1246641C}"/>
    <cellStyle name="Note 3 3 2 3 2 2 3 2" xfId="1129" xr:uid="{5B43DD4B-B9EB-4B7E-82EB-CF8CE82753B9}"/>
    <cellStyle name="Note 3 3 2 3 2 2 4" xfId="1128" xr:uid="{E8213652-6E55-4058-9A1B-066075D69911}"/>
    <cellStyle name="Note 3 3 2 3 2 3" xfId="5173" xr:uid="{5F5F1001-4304-41D6-AEA4-121170963A5A}"/>
    <cellStyle name="Note 3 3 2 3 2 3 2" xfId="5171" xr:uid="{0B086944-F0F4-4F9C-8C49-725B24F4368D}"/>
    <cellStyle name="Note 3 3 2 3 2 3 2 2" xfId="1127" xr:uid="{80E57BDB-06CF-455B-B885-DDBE9F9D6012}"/>
    <cellStyle name="Note 3 3 2 3 2 3 3" xfId="1126" xr:uid="{40CC4076-7538-43D9-93CF-DADF040589C9}"/>
    <cellStyle name="Note 3 3 2 3 2 4" xfId="5169" xr:uid="{76207DFC-B7E9-4357-88A6-CFFBB3C6A036}"/>
    <cellStyle name="Note 3 3 2 3 2 4 2" xfId="1125" xr:uid="{A86AF276-2B2F-4DA0-A786-3502798378FA}"/>
    <cellStyle name="Note 3 3 2 3 2 5" xfId="1124" xr:uid="{990577C2-5B50-42BA-9996-5FAFC83FDF6D}"/>
    <cellStyle name="Note 3 3 2 3 3" xfId="1123" xr:uid="{32E506C1-4509-44ED-9339-E23581D0DF7A}"/>
    <cellStyle name="Note 3 3 2 3 3 2" xfId="3359" xr:uid="{76F90BF2-0666-40B8-8626-EB78A6562167}"/>
    <cellStyle name="Note 3 3 2 3 3 2 2" xfId="3357" xr:uid="{480715AB-D2F0-40D8-955D-296D2E37480D}"/>
    <cellStyle name="Note 3 3 2 3 3 2 2 2" xfId="3355" xr:uid="{DF68A7D9-03F8-45FD-9A93-28A808EDCF46}"/>
    <cellStyle name="Note 3 3 2 3 3 2 3" xfId="3353" xr:uid="{99AC836D-2369-41ED-ABBD-E1E81736D2A3}"/>
    <cellStyle name="Note 3 3 2 3 3 3" xfId="5166" xr:uid="{6E16C132-E794-4061-B803-60102476F0CC}"/>
    <cellStyle name="Note 3 3 2 3 3 3 2" xfId="3351" xr:uid="{F0C6CC06-AF5E-45ED-ADE1-FFFAC83C9798}"/>
    <cellStyle name="Note 3 3 2 3 3 4" xfId="3349" xr:uid="{A4A2271E-0302-40D1-AA29-123C58AD05D1}"/>
    <cellStyle name="Note 3 3 2 3 4" xfId="1122" xr:uid="{2F9BC6DC-1747-4EF4-B1BB-299150BB5302}"/>
    <cellStyle name="Note 3 3 2 3 4 2" xfId="3342" xr:uid="{DB4E4655-4C75-402F-8755-80E3260D5C31}"/>
    <cellStyle name="Note 3 3 2 3 4 2 2" xfId="3340" xr:uid="{BD81438F-F375-4CD1-999A-96B5265EE30B}"/>
    <cellStyle name="Note 3 3 2 3 4 3" xfId="3338" xr:uid="{8D259DF1-2282-411F-B4D2-18B87D6BAA49}"/>
    <cellStyle name="Note 3 3 2 3 5" xfId="1121" xr:uid="{4AE1B1B9-2B56-4C43-AACA-91D0BB8615D7}"/>
    <cellStyle name="Note 3 3 2 3 5 2" xfId="3334" xr:uid="{AEEBDB91-0C8E-42D7-A402-6050F3F38959}"/>
    <cellStyle name="Note 3 3 2 3 6" xfId="1120" xr:uid="{C07621DF-DB88-46BA-9F5C-ACB1A981042D}"/>
    <cellStyle name="Note 3 3 2 4" xfId="4871" xr:uid="{23F27676-A37D-4069-8949-F69D13B11C09}"/>
    <cellStyle name="Note 3 3 2 4 2" xfId="25042" xr:uid="{A8854E0D-A74B-4351-8B75-3951F0186F61}"/>
    <cellStyle name="Note 3 3 2 4 2 2" xfId="1119" xr:uid="{B66DC842-D2B5-4EA3-82D5-64CF8A734D59}"/>
    <cellStyle name="Note 3 3 2 4 2 2 2" xfId="1118" xr:uid="{FBE6A222-F155-453C-8075-0187B6C4F879}"/>
    <cellStyle name="Note 3 3 2 4 2 2 2 2" xfId="1117" xr:uid="{13C20300-8804-4A5F-A0E4-FEDA9DFF2B2B}"/>
    <cellStyle name="Note 3 3 2 4 2 2 3" xfId="1116" xr:uid="{4BD60B28-0C4C-47CD-A010-400FFEBE4B30}"/>
    <cellStyle name="Note 3 3 2 4 2 3" xfId="5160" xr:uid="{7AACB108-85A9-44FB-8624-062A0AA3C755}"/>
    <cellStyle name="Note 3 3 2 4 2 3 2" xfId="1115" xr:uid="{D6A1D708-FA33-49D0-BFFB-27CDF29E4A6C}"/>
    <cellStyle name="Note 3 3 2 4 2 4" xfId="1340" xr:uid="{D9951B2C-7D33-4841-8853-269F58826762}"/>
    <cellStyle name="Note 3 3 2 4 3" xfId="31322" xr:uid="{923C055B-39EB-4100-8542-C8B534AFA70A}"/>
    <cellStyle name="Note 3 3 2 4 3 2" xfId="29821" xr:uid="{8492D033-C927-42B6-A652-DF4400B578CA}"/>
    <cellStyle name="Note 3 3 2 4 3 2 2" xfId="3328" xr:uid="{5C7088BB-6ADB-4171-A1FC-89FC920A9C77}"/>
    <cellStyle name="Note 3 3 2 4 3 3" xfId="3326" xr:uid="{2966E1D8-AD52-4365-B632-715D157DF9C4}"/>
    <cellStyle name="Note 3 3 2 4 4" xfId="1114" xr:uid="{70421A9C-4FEE-421A-AD75-0A2B0B4B9BD3}"/>
    <cellStyle name="Note 3 3 2 4 4 2" xfId="3323" xr:uid="{D7EC786A-D47F-42AA-BFFE-B9614791614A}"/>
    <cellStyle name="Note 3 3 2 4 5" xfId="1113" xr:uid="{DB8D633B-5C53-4D2A-8FC2-09CF90CDA640}"/>
    <cellStyle name="Note 3 3 2 5" xfId="1112" xr:uid="{61601CCE-7215-4258-9F82-3F3CB7E10850}"/>
    <cellStyle name="Note 3 3 2 5 2" xfId="8141" xr:uid="{32845F3C-3A41-4E05-A93F-690D304E0649}"/>
    <cellStyle name="Note 3 3 2 5 2 2" xfId="1111" xr:uid="{B5BF76BA-3756-4C61-BF61-00DCC5AC1479}"/>
    <cellStyle name="Note 3 3 2 5 2 2 2" xfId="18022" xr:uid="{CC51FE0C-4E89-4880-88E2-F65B60F69CE7}"/>
    <cellStyle name="Note 3 3 2 5 2 3" xfId="1110" xr:uid="{ADD191BE-35DF-4910-B13F-8B517132A02D}"/>
    <cellStyle name="Note 3 3 2 5 3" xfId="1109" xr:uid="{91C8DD4D-CD0D-4296-BC9D-5033D7351193}"/>
    <cellStyle name="Note 3 3 2 5 3 2" xfId="3319" xr:uid="{3F6E5CC6-A41A-462E-9205-F7AB790D6F29}"/>
    <cellStyle name="Note 3 3 2 5 4" xfId="21095" xr:uid="{A9295C28-FE50-4FD0-A102-F628C77E1066}"/>
    <cellStyle name="Note 3 3 2 6" xfId="9759" xr:uid="{13FF5060-D7C3-4392-8BD9-E90E2B3C3CD0}"/>
    <cellStyle name="Note 3 3 2 6 2" xfId="1108" xr:uid="{E573242D-DF37-486A-AB7F-6803ABBDCFD3}"/>
    <cellStyle name="Note 3 3 2 6 2 2" xfId="1107" xr:uid="{0B4C6FDA-E38B-42A3-B7CF-7300D6F83760}"/>
    <cellStyle name="Note 3 3 2 6 3" xfId="1106" xr:uid="{C82D2B39-A421-434C-BD9E-B5D8AEF19425}"/>
    <cellStyle name="Note 3 3 2 7" xfId="9753" xr:uid="{918F04D7-06B7-4840-9F24-631D8386422A}"/>
    <cellStyle name="Note 3 3 2 7 2" xfId="1105" xr:uid="{FB5080A2-2CE5-445C-B098-50B01B1B12CF}"/>
    <cellStyle name="Note 3 3 2 8" xfId="17555" xr:uid="{A604B0FE-BBE3-4496-AF8F-FD4EDD0F540F}"/>
    <cellStyle name="Note 3 3 3" xfId="1104" xr:uid="{A7D64B0D-8C85-48B3-9B02-3E04C0DB262E}"/>
    <cellStyle name="Note 3 3 3 2" xfId="1103" xr:uid="{7E27ABCB-3EE0-4988-8486-A32D1EF0490A}"/>
    <cellStyle name="Note 3 3 3 2 2" xfId="1102" xr:uid="{DEA3D60A-1AC8-4966-846C-41D57D643755}"/>
    <cellStyle name="Note 3 3 3 2 2 2" xfId="1101" xr:uid="{FEA13373-E4EE-4F97-975B-839A210DB118}"/>
    <cellStyle name="Note 3 3 3 2 2 2 2" xfId="1100" xr:uid="{FF7001B1-9A9A-4A04-9197-9AB7323AFE51}"/>
    <cellStyle name="Note 3 3 3 2 2 2 2 2" xfId="1099" xr:uid="{5E9B377C-9A1A-4EBD-BC99-F89CBE94DBF6}"/>
    <cellStyle name="Note 3 3 3 2 2 2 2 2 2" xfId="1098" xr:uid="{9DB6E7C5-9209-4C27-A147-B88B656FD1C3}"/>
    <cellStyle name="Note 3 3 3 2 2 2 2 3" xfId="1097" xr:uid="{057BF414-F102-4911-BF95-EE078CDD4C56}"/>
    <cellStyle name="Note 3 3 3 2 2 2 3" xfId="5503" xr:uid="{8ED1B38C-5EBE-4BD6-B37D-9064E5957E23}"/>
    <cellStyle name="Note 3 3 3 2 2 2 3 2" xfId="15187" xr:uid="{358FAA63-3A9F-46D6-A6FB-A2A8FF62584A}"/>
    <cellStyle name="Note 3 3 3 2 2 2 4" xfId="33196" xr:uid="{E5E50483-A7D1-4955-B6B6-B374785B9E6C}"/>
    <cellStyle name="Note 3 3 3 2 2 3" xfId="30276" xr:uid="{311EFE38-B9A4-42A9-A65E-2CFE5AB36462}"/>
    <cellStyle name="Note 3 3 3 2 2 3 2" xfId="5100" xr:uid="{DF70285D-BB53-45BA-B12A-D736563EBBA7}"/>
    <cellStyle name="Note 3 3 3 2 2 3 2 2" xfId="1096" xr:uid="{00AC25F7-5A13-44CE-B9C8-3C16EEA44367}"/>
    <cellStyle name="Note 3 3 3 2 2 3 3" xfId="5018" xr:uid="{E64C6481-4546-4AAC-824B-C010412986F3}"/>
    <cellStyle name="Note 3 3 3 2 2 4" xfId="30273" xr:uid="{6A57C24D-E35F-4858-A8D0-EA2182001FCE}"/>
    <cellStyle name="Note 3 3 3 2 2 4 2" xfId="1095" xr:uid="{6FD8E02E-CE3F-4BE1-AE1F-4567F5881361}"/>
    <cellStyle name="Note 3 3 3 2 2 5" xfId="33501" xr:uid="{89ED8B16-8FBC-4572-86AB-F354CF014BF7}"/>
    <cellStyle name="Note 3 3 3 2 3" xfId="3946" xr:uid="{8AEC66A2-1961-4B7B-B81D-298FD14C3EF2}"/>
    <cellStyle name="Note 3 3 3 2 3 2" xfId="3943" xr:uid="{CB230D99-CE8A-43FE-AA1D-F2491D62DD7C}"/>
    <cellStyle name="Note 3 3 3 2 3 2 2" xfId="3940" xr:uid="{B1C56A48-47B8-45BB-9E4C-BD18DDD9CB13}"/>
    <cellStyle name="Note 3 3 3 2 3 2 2 2" xfId="3306" xr:uid="{5578ACE2-F554-486A-98DB-2BCDAC119607}"/>
    <cellStyle name="Note 3 3 3 2 3 2 3" xfId="4297" xr:uid="{E26F9953-65B3-4237-8251-CE48C84E4229}"/>
    <cellStyle name="Note 3 3 3 2 3 3" xfId="30264" xr:uid="{3537636C-90B0-425B-A0E3-6EF6491CE67A}"/>
    <cellStyle name="Note 3 3 3 2 3 3 2" xfId="3304" xr:uid="{B6CB1052-A619-4594-984D-9F6AACF5E00D}"/>
    <cellStyle name="Note 3 3 3 2 3 4" xfId="11742" xr:uid="{944546A7-448F-4497-A6EC-2F1C111F000A}"/>
    <cellStyle name="Note 3 3 3 2 4" xfId="3938" xr:uid="{EF06A99C-13E4-43A6-B43C-9517A41E2715}"/>
    <cellStyle name="Note 3 3 3 2 4 2" xfId="3934" xr:uid="{83EA7818-10B8-47D0-B2CF-F20B6339E49E}"/>
    <cellStyle name="Note 3 3 3 2 4 2 2" xfId="3297" xr:uid="{B7FD9658-C3CC-4903-81C3-629D6E6EAAE9}"/>
    <cellStyle name="Note 3 3 3 2 4 3" xfId="3295" xr:uid="{0315C31A-ABA1-42A0-A899-E248E54AF592}"/>
    <cellStyle name="Note 3 3 3 2 5" xfId="3932" xr:uid="{3B5ADFE8-70BB-4EA4-92C6-9FDB5C447A5B}"/>
    <cellStyle name="Note 3 3 3 2 5 2" xfId="3291" xr:uid="{4D850A1A-2BF6-4C08-94FE-5D5A69B4C322}"/>
    <cellStyle name="Note 3 3 3 2 6" xfId="10652" xr:uid="{82DBC25A-5E3A-49BB-BC42-61F04E86987B}"/>
    <cellStyle name="Note 3 3 3 3" xfId="1094" xr:uid="{79092C64-461A-441D-A18E-C127393B38A1}"/>
    <cellStyle name="Note 3 3 3 3 2" xfId="7849" xr:uid="{F69D8CF1-6A00-4032-905A-E9C2EF81F909}"/>
    <cellStyle name="Note 3 3 3 3 2 2" xfId="1093" xr:uid="{8683B44C-DAD0-4768-9D26-EA15CA9CF070}"/>
    <cellStyle name="Note 3 3 3 3 2 2 2" xfId="1092" xr:uid="{34D1E3AC-8CF1-4D8C-BC9C-8DA649ADFF4A}"/>
    <cellStyle name="Note 3 3 3 3 2 2 2 2" xfId="1091" xr:uid="{5BD3368C-E6CD-4E9C-90F9-E51FFD54E8BA}"/>
    <cellStyle name="Note 3 3 3 3 2 2 3" xfId="1090" xr:uid="{81243096-6261-4C68-8EB3-C2C0D2A92C5F}"/>
    <cellStyle name="Note 3 3 3 3 2 3" xfId="30244" xr:uid="{07467D00-CFC7-4018-8CEE-F6E2684F63DD}"/>
    <cellStyle name="Note 3 3 3 3 2 3 2" xfId="1089" xr:uid="{508414DD-1EDA-4433-97F9-4F546B7DA71C}"/>
    <cellStyle name="Note 3 3 3 3 2 4" xfId="1088" xr:uid="{E4E97C7E-2BEA-41D4-87C9-1869005B50A9}"/>
    <cellStyle name="Note 3 3 3 3 3" xfId="6495" xr:uid="{3FAC6AE5-B163-427D-AA90-0A0CFCA2A41B}"/>
    <cellStyle name="Note 3 3 3 3 3 2" xfId="3928" xr:uid="{F30B5572-CE1F-4FAE-8937-CB21317CA342}"/>
    <cellStyle name="Note 3 3 3 3 3 2 2" xfId="3279" xr:uid="{3926CE29-9694-4216-A527-FC9F4C3D642B}"/>
    <cellStyle name="Note 3 3 3 3 3 3" xfId="3277" xr:uid="{4B8FF90B-C315-4B77-8ACF-EAC47144A668}"/>
    <cellStyle name="Note 3 3 3 3 4" xfId="3926" xr:uid="{B245BC9B-4FC4-4C15-AEDB-3EE748A382BF}"/>
    <cellStyle name="Note 3 3 3 3 4 2" xfId="3272" xr:uid="{AD51DDA8-7876-480F-B667-C79A093114F4}"/>
    <cellStyle name="Note 3 3 3 3 5" xfId="1087" xr:uid="{93DBA2B4-D72D-4D3D-8E78-A7AF153824AD}"/>
    <cellStyle name="Note 3 3 3 4" xfId="1086" xr:uid="{A69D6490-AF60-4F21-97E3-9B763B37600A}"/>
    <cellStyle name="Note 3 3 3 4 2" xfId="8135" xr:uid="{BA0EC7D3-7ACC-4D43-B9E7-6E5E79ACE80B}"/>
    <cellStyle name="Note 3 3 3 4 2 2" xfId="33865" xr:uid="{CF217A89-866C-4F51-B30F-E758DA81B952}"/>
    <cellStyle name="Note 3 3 3 4 2 2 2" xfId="22281" xr:uid="{4CEC3DA5-1A6A-4BFD-9507-DFCF8E4845C7}"/>
    <cellStyle name="Note 3 3 3 4 2 3" xfId="1085" xr:uid="{FE0E41F1-2E74-46B3-A109-8030123F6A61}"/>
    <cellStyle name="Note 3 3 3 4 3" xfId="3924" xr:uid="{DD8D9A4A-FCC4-4971-AA7D-514C0A9FB278}"/>
    <cellStyle name="Note 3 3 3 4 3 2" xfId="3266" xr:uid="{23FBFDC1-21DF-40A0-9E74-055870844CBE}"/>
    <cellStyle name="Note 3 3 3 4 4" xfId="1084" xr:uid="{3FD4395B-3F83-4B4A-B4CC-EDA4440F9C26}"/>
    <cellStyle name="Note 3 3 3 5" xfId="1083" xr:uid="{304126D8-1083-4DFE-A6E2-EF32BB777163}"/>
    <cellStyle name="Note 3 3 3 5 2" xfId="1082" xr:uid="{CFE02362-9911-4E83-95F8-52ABBDFCE9DB}"/>
    <cellStyle name="Note 3 3 3 5 2 2" xfId="1081" xr:uid="{ABEA4A3B-84C0-4DE7-B667-55BA78A22BE2}"/>
    <cellStyle name="Note 3 3 3 5 3" xfId="1080" xr:uid="{73E437FC-D18F-475B-BD69-2AE47236FCAD}"/>
    <cellStyle name="Note 3 3 3 6" xfId="9744" xr:uid="{6A13BE3A-AE98-4476-A968-F7B6E8E2C65C}"/>
    <cellStyle name="Note 3 3 3 6 2" xfId="1079" xr:uid="{2D950ADE-48C7-4F69-BFFA-62BE358C49D1}"/>
    <cellStyle name="Note 3 3 3 7" xfId="1078" xr:uid="{A2314A97-E281-48A2-81A9-3E5F946B8CCB}"/>
    <cellStyle name="Note 3 3 4" xfId="1077" xr:uid="{1583F864-1BC8-44D8-8864-D6EC45B10FE8}"/>
    <cellStyle name="Note 3 3 4 2" xfId="1076" xr:uid="{6633AE26-AAA0-4693-921D-CDA7F2AB9C54}"/>
    <cellStyle name="Note 3 3 4 2 2" xfId="1075" xr:uid="{86504F4B-33B5-4216-A289-E06916D507AA}"/>
    <cellStyle name="Note 3 3 4 2 2 2" xfId="11515" xr:uid="{D971128E-E801-4AA2-AB1A-5CFAB9478FB2}"/>
    <cellStyle name="Note 3 3 4 2 2 2 2" xfId="1074" xr:uid="{8E2A9D90-56A3-404B-9848-D5F09F1F77FB}"/>
    <cellStyle name="Note 3 3 4 2 2 2 2 2" xfId="1073" xr:uid="{5F481268-1E30-4F06-902D-EFFF203DAD4A}"/>
    <cellStyle name="Note 3 3 4 2 2 2 3" xfId="1072" xr:uid="{7C97D93C-D788-43A5-8D9F-3BBCC7B65C8D}"/>
    <cellStyle name="Note 3 3 4 2 2 3" xfId="31134" xr:uid="{098AC964-DFB3-4AFD-9D18-3F21FA2B8E0D}"/>
    <cellStyle name="Note 3 3 4 2 2 3 2" xfId="26480" xr:uid="{69EE262A-930F-403C-BD67-05CB7EA23BD3}"/>
    <cellStyle name="Note 3 3 4 2 2 4" xfId="1071" xr:uid="{D9A8A00B-F524-42A3-AA96-2E9E5706C5E6}"/>
    <cellStyle name="Note 3 3 4 2 3" xfId="3908" xr:uid="{31AE36D2-48FE-4FF2-B5B2-E55C874A679C}"/>
    <cellStyle name="Note 3 3 4 2 3 2" xfId="3905" xr:uid="{74387ECF-363A-4358-844A-DCD4E0C46392}"/>
    <cellStyle name="Note 3 3 4 2 3 2 2" xfId="3252" xr:uid="{D22708A4-9A67-4AA1-878B-095F186B60E7}"/>
    <cellStyle name="Note 3 3 4 2 3 3" xfId="3250" xr:uid="{A9A908A4-1E66-4D73-8B05-CB7B32188E38}"/>
    <cellStyle name="Note 3 3 4 2 4" xfId="3903" xr:uid="{27F0B557-D409-491E-8ADD-B0DC891F418B}"/>
    <cellStyle name="Note 3 3 4 2 4 2" xfId="17811" xr:uid="{FB78F484-17B5-4284-8F30-10364D512765}"/>
    <cellStyle name="Note 3 3 4 2 5" xfId="1070" xr:uid="{5F68E6A6-B593-4262-902A-BF2CFD12438C}"/>
    <cellStyle name="Note 3 3 4 3" xfId="1069" xr:uid="{823DC51D-B634-4B94-8FE2-E7E9AEEC7CD8}"/>
    <cellStyle name="Note 3 3 4 3 2" xfId="6493" xr:uid="{64DC30AE-7CCB-4808-BBB4-BABD7A5DC61D}"/>
    <cellStyle name="Note 3 3 4 3 2 2" xfId="27928" xr:uid="{59F82CC9-DA11-4AC4-BDAC-01C7E9E500DC}"/>
    <cellStyle name="Note 3 3 4 3 2 2 2" xfId="1068" xr:uid="{B852A911-1975-4AB0-B565-1A919D02A51E}"/>
    <cellStyle name="Note 3 3 4 3 2 3" xfId="1067" xr:uid="{3FCED257-7064-45D9-B6AA-432A096A4055}"/>
    <cellStyle name="Note 3 3 4 3 3" xfId="3900" xr:uid="{482CF512-45C8-4A6D-9BEA-DF72D0CA1470}"/>
    <cellStyle name="Note 3 3 4 3 3 2" xfId="3238" xr:uid="{0182447F-F3DD-48C5-A15E-F6ADF34C015E}"/>
    <cellStyle name="Note 3 3 4 3 4" xfId="1066" xr:uid="{9E46B2B1-EFC9-4053-9BDC-DE5599E91317}"/>
    <cellStyle name="Note 3 3 4 4" xfId="1065" xr:uid="{1AA3D9D9-D845-474B-BFCF-E977F8C7DD75}"/>
    <cellStyle name="Note 3 3 4 4 2" xfId="1064" xr:uid="{4A4698F9-B494-47D9-8EA0-A0089E04E2C3}"/>
    <cellStyle name="Note 3 3 4 4 2 2" xfId="1063" xr:uid="{D47188E8-1EED-4EE9-B5BE-B3D86CF65BBA}"/>
    <cellStyle name="Note 3 3 4 4 3" xfId="1062" xr:uid="{37D671EF-CC61-4C5D-BAFF-443B0FC72A0F}"/>
    <cellStyle name="Note 3 3 4 5" xfId="1061" xr:uid="{EB60AEE9-B301-4BE2-9FE6-3FF203C0AED8}"/>
    <cellStyle name="Note 3 3 4 5 2" xfId="1060" xr:uid="{D921BFF3-C310-4320-BE17-057E1BA04327}"/>
    <cellStyle name="Note 3 3 4 6" xfId="1059" xr:uid="{F6E0964F-613B-438E-BE55-A56637918D81}"/>
    <cellStyle name="Note 3 3 5" xfId="1058" xr:uid="{4F3578C8-D2BD-4B5D-A852-34149AF1DF98}"/>
    <cellStyle name="Note 3 3 5 2" xfId="1057" xr:uid="{D2CD5584-D5C0-4C35-9526-878B67191F93}"/>
    <cellStyle name="Note 3 3 5 2 2" xfId="1056" xr:uid="{0714C3AD-6E42-45B8-88C9-D17B2A483103}"/>
    <cellStyle name="Note 3 3 5 2 2 2" xfId="1055" xr:uid="{848AE414-961F-4758-A190-3BCC03C23DBC}"/>
    <cellStyle name="Note 3 3 5 2 2 2 2" xfId="1054" xr:uid="{7EADDCE6-E5C1-4B33-8B9F-2A85A5E8C47B}"/>
    <cellStyle name="Note 3 3 5 2 2 3" xfId="1053" xr:uid="{C740597A-A79F-494A-9CEF-1E50620EF004}"/>
    <cellStyle name="Note 3 3 5 2 3" xfId="17658" xr:uid="{689871A6-4307-43F9-88EB-CAFFC3E1EFBF}"/>
    <cellStyle name="Note 3 3 5 2 3 2" xfId="3223" xr:uid="{2885FF4B-2693-48EC-BD55-D37797EFE1D4}"/>
    <cellStyle name="Note 3 3 5 2 4" xfId="1052" xr:uid="{8EF4BDF3-58FD-42D8-855B-A4C56E3998F5}"/>
    <cellStyle name="Note 3 3 5 3" xfId="1051" xr:uid="{C8408460-3E50-423C-B7B1-DC74835A2E35}"/>
    <cellStyle name="Note 3 3 5 3 2" xfId="1050" xr:uid="{25848692-FA05-49EB-894A-861A51DE5043}"/>
    <cellStyle name="Note 3 3 5 3 2 2" xfId="1049" xr:uid="{78551170-72FC-45CE-B910-83A881BF7DDF}"/>
    <cellStyle name="Note 3 3 5 3 3" xfId="1048" xr:uid="{B1162745-3ED9-4510-96FF-CB3012AF5544}"/>
    <cellStyle name="Note 3 3 5 4" xfId="1047" xr:uid="{51237039-41E3-421F-BDC9-D3BF9BED38EF}"/>
    <cellStyle name="Note 3 3 5 4 2" xfId="1046" xr:uid="{AAE82062-AE50-411D-8FBD-BEE399A0A94D}"/>
    <cellStyle name="Note 3 3 5 5" xfId="1045" xr:uid="{421F7448-C1E5-403D-82B5-D0F1AA3FF29B}"/>
    <cellStyle name="Note 3 3 6" xfId="15397" xr:uid="{0180E4D3-8870-4DC3-ABA6-0C5971F3CB9B}"/>
    <cellStyle name="Note 3 3 6 2" xfId="1044" xr:uid="{3EE201AA-63EC-4362-803E-8BA720E30A85}"/>
    <cellStyle name="Note 3 3 6 2 2" xfId="1043" xr:uid="{D940FA0F-6CFA-42E0-AF34-95DDCD0888FF}"/>
    <cellStyle name="Note 3 3 6 2 2 2" xfId="1042" xr:uid="{EE55835F-96F4-4B32-9BA2-B15E6D2BB073}"/>
    <cellStyle name="Note 3 3 6 2 3" xfId="1041" xr:uid="{BC3D5480-D5EC-4F44-81FE-71A2551509E0}"/>
    <cellStyle name="Note 3 3 6 3" xfId="1040" xr:uid="{101B4068-5E0E-43F6-BF8A-2ACEC72DB278}"/>
    <cellStyle name="Note 3 3 6 3 2" xfId="1039" xr:uid="{01155DA6-B087-4341-94AF-9A9032C626FC}"/>
    <cellStyle name="Note 3 3 6 4" xfId="1038" xr:uid="{9345EC10-3D66-4792-B097-DBD2657717F6}"/>
    <cellStyle name="Note 3 3 7" xfId="12215" xr:uid="{9D72822D-E708-4415-B8B9-B041DC22231D}"/>
    <cellStyle name="Note 3 3 7 2" xfId="1037" xr:uid="{419166C1-D5A3-4251-AB73-BF85913B8790}"/>
    <cellStyle name="Note 3 3 7 2 2" xfId="24925" xr:uid="{FC87E4EF-F48E-4711-9B0D-4D325AAA1E1D}"/>
    <cellStyle name="Note 3 3 7 3" xfId="1036" xr:uid="{DBCD3361-5408-47D5-A0F7-BF55D11FBAC8}"/>
    <cellStyle name="Note 3 3 8" xfId="1035" xr:uid="{D2507F69-646B-4189-AE6A-31559C35D945}"/>
    <cellStyle name="Note 3 3 8 2" xfId="1034" xr:uid="{3318C480-8FA6-4158-9488-55311C2B44A2}"/>
    <cellStyle name="Note 3 3 9" xfId="26764" xr:uid="{6DA91878-C241-445A-A748-2C51A15E75F6}"/>
    <cellStyle name="Note 3 4" xfId="32636" xr:uid="{9C5D774E-B6D8-4104-8344-C645A27CA191}"/>
    <cellStyle name="Note 3 4 2" xfId="27985" xr:uid="{ACD749E7-DC42-48EA-8F36-BDB410D3E821}"/>
    <cellStyle name="Note 3 4 2 2" xfId="28422" xr:uid="{574C14E6-2CF5-46B9-A0A8-D6C9D1604094}"/>
    <cellStyle name="Note 3 4 2 2 2" xfId="27982" xr:uid="{9EAD5847-AC67-4BB4-B86F-46EC9B765073}"/>
    <cellStyle name="Note 3 4 2 2 2 2" xfId="1033" xr:uid="{B46B002A-DF07-469B-93DB-41A6320388CE}"/>
    <cellStyle name="Note 3 4 2 2 2 2 2" xfId="29328" xr:uid="{5D9BE056-7B17-4E96-9DAC-9EAA5A5677B9}"/>
    <cellStyle name="Note 3 4 2 2 2 2 2 2" xfId="1032" xr:uid="{404AFD01-3B82-49D6-AFF8-442DFD99407F}"/>
    <cellStyle name="Note 3 4 2 2 2 2 2 2 2" xfId="1031" xr:uid="{B716AF1F-CA6F-4479-B110-34C478397995}"/>
    <cellStyle name="Note 3 4 2 2 2 2 2 3" xfId="1030" xr:uid="{980B2312-1BE4-424B-942E-DCE95D24FB47}"/>
    <cellStyle name="Note 3 4 2 2 2 2 3" xfId="1029" xr:uid="{25349C0C-9A3C-4008-8440-7D7FABF67470}"/>
    <cellStyle name="Note 3 4 2 2 2 2 3 2" xfId="1028" xr:uid="{5619C4E4-E756-417C-8C2E-78FA4B2A5270}"/>
    <cellStyle name="Note 3 4 2 2 2 2 4" xfId="1027" xr:uid="{6498C281-7A73-4460-8E96-915633D216FE}"/>
    <cellStyle name="Note 3 4 2 2 2 3" xfId="4787" xr:uid="{05E9C850-B016-4256-968E-44969430BE67}"/>
    <cellStyle name="Note 3 4 2 2 2 3 2" xfId="4785" xr:uid="{43184A12-2B66-4928-9C33-566C1089DCFB}"/>
    <cellStyle name="Note 3 4 2 2 2 3 2 2" xfId="1026" xr:uid="{25E6E635-45D5-4A83-9696-1C1191F86DB7}"/>
    <cellStyle name="Note 3 4 2 2 2 3 3" xfId="1025" xr:uid="{F8A2C2B4-1AF2-4CE0-8E70-72A84C040DD1}"/>
    <cellStyle name="Note 3 4 2 2 2 4" xfId="4783" xr:uid="{F95B4023-3183-42E9-96B8-2906855FF8B9}"/>
    <cellStyle name="Note 3 4 2 2 2 4 2" xfId="1024" xr:uid="{6340D4C3-9E6D-487B-83CC-37D3136DBD6F}"/>
    <cellStyle name="Note 3 4 2 2 2 5" xfId="18130" xr:uid="{EE7F1A04-511B-4CCB-BCCC-CCBBAA1447BC}"/>
    <cellStyle name="Note 3 4 2 2 3" xfId="1023" xr:uid="{19679B1F-EE91-47D4-BA4E-4A0A403D8966}"/>
    <cellStyle name="Note 3 4 2 2 3 2" xfId="1022" xr:uid="{3184661F-5339-4FC5-B913-BB2B41E8F9AA}"/>
    <cellStyle name="Note 3 4 2 2 3 2 2" xfId="24907" xr:uid="{8824C3EB-9852-4D6B-8FCC-3C6AC8F873A0}"/>
    <cellStyle name="Note 3 4 2 2 3 2 2 2" xfId="1020" xr:uid="{72DE797E-A14D-4862-9E47-7415D6A07ADB}"/>
    <cellStyle name="Note 3 4 2 2 3 2 3" xfId="24220" xr:uid="{3012CD42-6062-462A-B1D6-384556AA3258}"/>
    <cellStyle name="Note 3 4 2 2 3 3" xfId="4781" xr:uid="{73271FCE-E19F-4F56-BED4-296798AC8722}"/>
    <cellStyle name="Note 3 4 2 2 3 3 2" xfId="24181" xr:uid="{BC71B189-EE2F-4431-9F5E-1D9662B97B33}"/>
    <cellStyle name="Note 3 4 2 2 3 4" xfId="1018" xr:uid="{564D0B9A-7A2A-480B-A95E-D8378DC59D47}"/>
    <cellStyle name="Note 3 4 2 2 4" xfId="1016" xr:uid="{3141FD76-7E94-40DA-93F8-5F75A3EB27A7}"/>
    <cellStyle name="Note 3 4 2 2 4 2" xfId="1015" xr:uid="{FBC62AF7-D055-46D2-B846-11F8867C7D2F}"/>
    <cellStyle name="Note 3 4 2 2 4 2 2" xfId="23670" xr:uid="{1D136495-4C77-4BE4-AB06-21099CFB87AB}"/>
    <cellStyle name="Note 3 4 2 2 4 3" xfId="1013" xr:uid="{DE376A26-92DF-4D12-A62D-1500E4D85D61}"/>
    <cellStyle name="Note 3 4 2 2 5" xfId="1011" xr:uid="{6BC3F25C-24D1-438D-A99D-A04DBEF55982}"/>
    <cellStyle name="Note 3 4 2 2 5 2" xfId="1010" xr:uid="{5B23DE48-634D-4FF1-9FEA-77D36CC70C57}"/>
    <cellStyle name="Note 3 4 2 2 6" xfId="1008" xr:uid="{EC14E64E-46A6-422D-A8C2-D84B27D462C0}"/>
    <cellStyle name="Note 3 4 2 3" xfId="27979" xr:uid="{4C2C2DEE-41F4-4F23-919A-58BCD4164499}"/>
    <cellStyle name="Note 3 4 2 3 2" xfId="24342" xr:uid="{7DF83DE7-7401-4625-8B77-A42BCAD1CE92}"/>
    <cellStyle name="Note 3 4 2 3 2 2" xfId="1007" xr:uid="{195D6A4C-30FB-4490-9E64-86DDD12A055F}"/>
    <cellStyle name="Note 3 4 2 3 2 2 2" xfId="1006" xr:uid="{9DAC0F2A-9F73-49FE-858A-BE95CD5CCCB8}"/>
    <cellStyle name="Note 3 4 2 3 2 2 2 2" xfId="1005" xr:uid="{C350C131-6975-45D9-8D4D-D0878BB8DB92}"/>
    <cellStyle name="Note 3 4 2 3 2 2 3" xfId="1004" xr:uid="{F192F65A-D18F-42B9-9EE5-512C1C3571C1}"/>
    <cellStyle name="Note 3 4 2 3 2 3" xfId="4771" xr:uid="{D0109261-872B-4286-AA79-B7F6353BDE5F}"/>
    <cellStyle name="Note 3 4 2 3 2 3 2" xfId="17985" xr:uid="{DFEC286B-2A00-4C19-BC6D-67DFD4E1B1EF}"/>
    <cellStyle name="Note 3 4 2 3 2 4" xfId="21508" xr:uid="{DFDAD36B-51F6-4144-98C2-F2F091211066}"/>
    <cellStyle name="Note 3 4 2 3 3" xfId="21641" xr:uid="{325FCBF5-A07E-4765-8BAF-194F57ACE6B9}"/>
    <cellStyle name="Note 3 4 2 3 3 2" xfId="1003" xr:uid="{BEE53937-BE19-4FA1-BF0C-B43034268699}"/>
    <cellStyle name="Note 3 4 2 3 3 2 2" xfId="23944" xr:uid="{1BAEE402-DA46-4D91-B5A4-203C4DE0DEF8}"/>
    <cellStyle name="Note 3 4 2 3 3 3" xfId="1001" xr:uid="{DF9F37A2-DED5-4298-8ADF-C0195F5722A1}"/>
    <cellStyle name="Note 3 4 2 3 4" xfId="999" xr:uid="{676F3900-0F22-4D8F-ABEA-9873EE7D8596}"/>
    <cellStyle name="Note 3 4 2 3 4 2" xfId="998" xr:uid="{46B90945-4E7B-4E10-8D43-5319691B7617}"/>
    <cellStyle name="Note 3 4 2 3 5" xfId="996" xr:uid="{2DEB5E3E-38BC-4316-A2D3-7F5C01C5F575}"/>
    <cellStyle name="Note 3 4 2 4" xfId="995" xr:uid="{C69AD85A-D5A5-4D5C-AEBE-9A48D8CDB3F0}"/>
    <cellStyle name="Note 3 4 2 4 2" xfId="8108" xr:uid="{BECF08DC-788A-4CA1-8179-2CAD1C21ACAB}"/>
    <cellStyle name="Note 3 4 2 4 2 2" xfId="994" xr:uid="{73BFC041-6B1A-46DA-8FDB-39E6925A93FC}"/>
    <cellStyle name="Note 3 4 2 4 2 2 2" xfId="21980" xr:uid="{781ABE67-E4AA-4CCB-9294-204E1432AD13}"/>
    <cellStyle name="Note 3 4 2 4 2 3" xfId="993" xr:uid="{C16B65EC-2A9D-41A8-8414-9E6450A7B5D6}"/>
    <cellStyle name="Note 3 4 2 4 3" xfId="12087" xr:uid="{BCD15634-4090-4110-A974-425A239FB376}"/>
    <cellStyle name="Note 3 4 2 4 3 2" xfId="5864" xr:uid="{795BB5F4-1676-49CA-A846-1D29B188C071}"/>
    <cellStyle name="Note 3 4 2 4 4" xfId="28140" xr:uid="{EECB933B-2627-40DE-93C5-DE355A42E972}"/>
    <cellStyle name="Note 3 4 2 5" xfId="992" xr:uid="{2D982675-AE4A-4C9B-912A-EC0DFDAACA5B}"/>
    <cellStyle name="Note 3 4 2 5 2" xfId="991" xr:uid="{CCBCCFEF-1BAC-4DF4-B399-4BCF388EBC81}"/>
    <cellStyle name="Note 3 4 2 5 2 2" xfId="990" xr:uid="{FC871906-C7A3-499A-914F-C88888A14F85}"/>
    <cellStyle name="Note 3 4 2 5 3" xfId="6244" xr:uid="{4408177A-166A-475C-AF96-700A6F25FED5}"/>
    <cellStyle name="Note 3 4 2 6" xfId="9733" xr:uid="{96F0664E-5C80-416C-80ED-6A1E84D771EE}"/>
    <cellStyle name="Note 3 4 2 6 2" xfId="989" xr:uid="{0461D633-798F-46F1-AB6E-FA926F60221F}"/>
    <cellStyle name="Note 3 4 2 7" xfId="988" xr:uid="{F7150586-D83E-4758-A809-F4811099B8CD}"/>
    <cellStyle name="Note 3 4 3" xfId="27976" xr:uid="{2E3EABB4-F060-4269-8E0D-A67A48604584}"/>
    <cellStyle name="Note 3 4 3 2" xfId="27969" xr:uid="{AAEA5D8D-24BA-4A63-B792-551EE417DA0A}"/>
    <cellStyle name="Note 3 4 3 2 2" xfId="987" xr:uid="{A73F9A67-FE61-45A1-8985-8ED9E764B226}"/>
    <cellStyle name="Note 3 4 3 2 2 2" xfId="986" xr:uid="{650528E2-520D-41D8-AE4E-DB4D3F423F96}"/>
    <cellStyle name="Note 3 4 3 2 2 2 2" xfId="985" xr:uid="{96A0D5B7-02F7-4852-8A2D-BFEA1E0EC63F}"/>
    <cellStyle name="Note 3 4 3 2 2 2 2 2" xfId="4072" xr:uid="{2459C9F9-C13B-452F-9EB8-29328C937EFB}"/>
    <cellStyle name="Note 3 4 3 2 2 2 3" xfId="984" xr:uid="{0A2F4DD4-ACFD-4FB1-A6E2-C991D71DC813}"/>
    <cellStyle name="Note 3 4 3 2 2 3" xfId="29766" xr:uid="{9A9918D8-893E-4313-ADE6-54FFE64E6E99}"/>
    <cellStyle name="Note 3 4 3 2 2 3 2" xfId="983" xr:uid="{FE8CE5E1-8CE9-482F-BF2F-BCC9BFAFB3B2}"/>
    <cellStyle name="Note 3 4 3 2 2 4" xfId="982" xr:uid="{277F3643-6D3D-4225-A829-D304C9E55FC4}"/>
    <cellStyle name="Note 3 4 3 2 3" xfId="3860" xr:uid="{9EFA02A8-853E-48E7-803F-063F00CCF551}"/>
    <cellStyle name="Note 3 4 3 2 3 2" xfId="3858" xr:uid="{838A58AF-47F4-45BC-BB8D-86D7F81AECD9}"/>
    <cellStyle name="Note 3 4 3 2 3 2 2" xfId="30443" xr:uid="{2FDB2D0E-493B-49AB-BEC0-0855555FB31D}"/>
    <cellStyle name="Note 3 4 3 2 3 3" xfId="981" xr:uid="{EEEECDE4-115D-4CAA-ABDB-D67871A2489A}"/>
    <cellStyle name="Note 3 4 3 2 4" xfId="3855" xr:uid="{E34DB8DF-A5C1-44F9-AF5F-D042B1961AE3}"/>
    <cellStyle name="Note 3 4 3 2 4 2" xfId="979" xr:uid="{77B6E76C-A8A6-4F02-921D-7B7EDDBBC6EF}"/>
    <cellStyle name="Note 3 4 3 2 5" xfId="977" xr:uid="{D0E3FC8A-442E-4D05-BEE3-2BE3EC6AD1C3}"/>
    <cellStyle name="Note 3 4 3 3" xfId="976" xr:uid="{BEBD1A6C-DC06-4AF3-9820-3A069A8EA818}"/>
    <cellStyle name="Note 3 4 3 3 2" xfId="19717" xr:uid="{02DA9E95-C4FB-44D3-803C-FC5D2CF16227}"/>
    <cellStyle name="Note 3 4 3 3 2 2" xfId="975" xr:uid="{E7655C89-0490-490C-943A-2D0826F06E60}"/>
    <cellStyle name="Note 3 4 3 3 2 2 2" xfId="974" xr:uid="{0642AC4E-025A-4480-8296-EEC79F3EFCD7}"/>
    <cellStyle name="Note 3 4 3 3 2 3" xfId="973" xr:uid="{48EF9D5B-F27A-4893-B94B-51B798AA7B63}"/>
    <cellStyle name="Note 3 4 3 3 3" xfId="3852" xr:uid="{85FCDA80-C6B8-459A-A416-4C7416623C1F}"/>
    <cellStyle name="Note 3 4 3 3 3 2" xfId="972" xr:uid="{4A7B0CE9-355D-4D90-BA71-26530026C60C}"/>
    <cellStyle name="Note 3 4 3 3 4" xfId="970" xr:uid="{68614088-2272-4B53-8CE9-2BA5344CD4A7}"/>
    <cellStyle name="Note 3 4 3 4" xfId="969" xr:uid="{3BE4E150-8665-47A3-8E96-26F1C45B6A63}"/>
    <cellStyle name="Note 3 4 3 4 2" xfId="968" xr:uid="{F918B2FA-D68B-4986-9737-6F52D4D8D810}"/>
    <cellStyle name="Note 3 4 3 4 2 2" xfId="967" xr:uid="{0D94206F-B2E3-41A0-AE39-1CA81876D0D0}"/>
    <cellStyle name="Note 3 4 3 4 3" xfId="5857" xr:uid="{E9A2F5E6-96A0-49B7-8234-C4AC21C170AB}"/>
    <cellStyle name="Note 3 4 3 5" xfId="966" xr:uid="{DA25A64C-1749-4B0B-8012-335FA4ADFA10}"/>
    <cellStyle name="Note 3 4 3 5 2" xfId="965" xr:uid="{CF2EBE81-0333-472C-87BE-12F43026204F}"/>
    <cellStyle name="Note 3 4 3 6" xfId="964" xr:uid="{3DF86A30-F087-4A31-BA0E-D935293A59EB}"/>
    <cellStyle name="Note 3 4 4" xfId="27965" xr:uid="{C250410D-99F4-4256-A418-6262728D3591}"/>
    <cellStyle name="Note 3 4 4 2" xfId="963" xr:uid="{BD578AF0-B766-4095-9D12-74090992B026}"/>
    <cellStyle name="Note 3 4 4 2 2" xfId="962" xr:uid="{363A325B-6AF3-4307-96AD-E48710D60476}"/>
    <cellStyle name="Note 3 4 4 2 2 2" xfId="961" xr:uid="{8C6E8A67-1D8F-4765-9650-B0CEA13CB2F4}"/>
    <cellStyle name="Note 3 4 4 2 2 2 2" xfId="960" xr:uid="{8F01B3AB-4A57-4B15-B3F3-2D45155ECEED}"/>
    <cellStyle name="Note 3 4 4 2 2 3" xfId="26834" xr:uid="{A428F598-CAED-4237-A55B-09E97EBD98AB}"/>
    <cellStyle name="Note 3 4 4 2 3" xfId="3840" xr:uid="{79AEEE2A-F73D-4882-8771-650B16C948AF}"/>
    <cellStyle name="Note 3 4 4 2 3 2" xfId="959" xr:uid="{A7F4332C-82EB-43BF-A22C-84C8A14DC3BF}"/>
    <cellStyle name="Note 3 4 4 2 4" xfId="957" xr:uid="{9D22AD8F-CDC8-46DC-B5FD-FE485A18AB48}"/>
    <cellStyle name="Note 3 4 4 3" xfId="956" xr:uid="{29705133-F0E6-4BD1-8DD2-730F2CC60E3B}"/>
    <cellStyle name="Note 3 4 4 3 2" xfId="955" xr:uid="{05199DAF-D413-448F-BB82-FDFFDAE20E3A}"/>
    <cellStyle name="Note 3 4 4 3 2 2" xfId="954" xr:uid="{2DA6DA2B-0F21-4A50-B76E-B0BFC9AF8F3D}"/>
    <cellStyle name="Note 3 4 4 3 3" xfId="953" xr:uid="{27AA3AA2-91BD-424F-92D8-762664E1C2B0}"/>
    <cellStyle name="Note 3 4 4 4" xfId="952" xr:uid="{99F57E3B-07A6-4645-9F16-6B66D8CD0BC7}"/>
    <cellStyle name="Note 3 4 4 4 2" xfId="951" xr:uid="{3195DDF1-3965-40D7-9899-D63245DF84AA}"/>
    <cellStyle name="Note 3 4 4 5" xfId="950" xr:uid="{01C319AB-EE26-4F38-B739-EEF135F783AC}"/>
    <cellStyle name="Note 3 4 5" xfId="949" xr:uid="{8CBAA934-5C24-4AC7-8C95-DFE25B152B8A}"/>
    <cellStyle name="Note 3 4 5 2" xfId="948" xr:uid="{8EA22508-DD7D-47F5-8D5F-DBA01BB14BFE}"/>
    <cellStyle name="Note 3 4 5 2 2" xfId="947" xr:uid="{19818613-FAD2-4747-B33D-20DFC70F610E}"/>
    <cellStyle name="Note 3 4 5 2 2 2" xfId="946" xr:uid="{3FB10008-13C5-48E1-B840-4B1D039D80CD}"/>
    <cellStyle name="Note 3 4 5 2 3" xfId="945" xr:uid="{8D9D1B0E-206C-418C-9B20-B6CF4A778CCA}"/>
    <cellStyle name="Note 3 4 5 3" xfId="944" xr:uid="{444C5D07-E7A3-42A3-94AE-EF3D32E4E222}"/>
    <cellStyle name="Note 3 4 5 3 2" xfId="943" xr:uid="{312CED37-3B13-4812-AD9D-E8CC913906EC}"/>
    <cellStyle name="Note 3 4 5 4" xfId="942" xr:uid="{BA699E1C-4BA2-4937-952A-67A1D5DEF274}"/>
    <cellStyle name="Note 3 4 6" xfId="941" xr:uid="{95658599-2C3E-4465-B3C6-A5B5BF642F35}"/>
    <cellStyle name="Note 3 4 6 2" xfId="940" xr:uid="{5249EF15-4E1C-4AB3-A825-E3B6BF6CBC0C}"/>
    <cellStyle name="Note 3 4 6 2 2" xfId="939" xr:uid="{636DDEE9-751D-4A07-9820-A8750491CCFF}"/>
    <cellStyle name="Note 3 4 6 3" xfId="938" xr:uid="{36F3231C-817B-4040-80EB-49231A392D0E}"/>
    <cellStyle name="Note 3 4 7" xfId="937" xr:uid="{1C1BDA97-8525-4418-84F7-CD9F263C18FA}"/>
    <cellStyle name="Note 3 4 7 2" xfId="936" xr:uid="{0F24D41C-5D6B-4464-BAC4-B8B889CEF9F2}"/>
    <cellStyle name="Note 3 4 8" xfId="4449" xr:uid="{1894617E-2E87-460D-84FC-76D934070A10}"/>
    <cellStyle name="Note 3 4 9" xfId="34749" xr:uid="{897165F1-E1C9-46BB-9A9E-FCCC481784D3}"/>
    <cellStyle name="Note 3 5" xfId="27962" xr:uid="{3311ED60-2DDB-40A5-8BBB-C42C3ED06869}"/>
    <cellStyle name="Note 3 5 2" xfId="27958" xr:uid="{37BE7969-4E45-45D5-ACB5-1B51BB70AF33}"/>
    <cellStyle name="Note 3 5 2 2" xfId="22533" xr:uid="{FF538ABD-21ED-46CE-B45A-3F6D99A4791B}"/>
    <cellStyle name="Note 3 5 2 2 2" xfId="11023" xr:uid="{FC6C75F1-606F-4277-A744-F258630DE8D5}"/>
    <cellStyle name="Note 3 5 2 2 2 2" xfId="935" xr:uid="{AC36648C-4EC4-4533-8F9B-2F4206B4F6E3}"/>
    <cellStyle name="Note 3 5 2 2 2 2 2" xfId="934" xr:uid="{A695DE5F-C982-4773-93F7-9FDE4AC138E0}"/>
    <cellStyle name="Note 3 5 2 2 2 2 2 2" xfId="26251" xr:uid="{D2BDA0F9-6C37-4F00-8FAE-48EF6B3674A2}"/>
    <cellStyle name="Note 3 5 2 2 2 2 3" xfId="933" xr:uid="{4681064F-6B74-4634-A8CA-C502EC6CD9F9}"/>
    <cellStyle name="Note 3 5 2 2 2 3" xfId="4631" xr:uid="{D53975B8-B04A-4F2A-9689-7B5AF8B6711C}"/>
    <cellStyle name="Note 3 5 2 2 2 3 2" xfId="932" xr:uid="{E93FA8F7-CCF6-41CF-BB54-86907CA09AF1}"/>
    <cellStyle name="Note 3 5 2 2 2 4" xfId="931" xr:uid="{5C852EE4-17A8-46FF-8DC1-9B88FDAD0E93}"/>
    <cellStyle name="Note 3 5 2 2 3" xfId="930" xr:uid="{44854BF1-D98E-45AB-862F-831DAE29D30A}"/>
    <cellStyle name="Note 3 5 2 2 3 2" xfId="2944" xr:uid="{9835B428-3CCA-4958-AC6A-96F289431FBD}"/>
    <cellStyle name="Note 3 5 2 2 3 2 2" xfId="21448" xr:uid="{71ECC527-0D15-4A33-B5A8-46D5DFFC3B83}"/>
    <cellStyle name="Note 3 5 2 2 3 3" xfId="8407" xr:uid="{695ED6FE-AF6E-40AD-99A7-9A87CD366807}"/>
    <cellStyle name="Note 3 5 2 2 4" xfId="929" xr:uid="{E342E992-A867-41F2-B23B-969375FB1C9C}"/>
    <cellStyle name="Note 3 5 2 2 4 2" xfId="2936" xr:uid="{0BE40A05-51E2-4517-9217-C26736B6C705}"/>
    <cellStyle name="Note 3 5 2 2 5" xfId="928" xr:uid="{B592E7EF-A47A-4B6D-98C2-BBDBC57DC756}"/>
    <cellStyle name="Note 3 5 2 3" xfId="927" xr:uid="{A048DB65-0EDB-40D7-B73D-EE9EF64478B3}"/>
    <cellStyle name="Note 3 5 2 3 2" xfId="31526" xr:uid="{59CB9129-F9E8-46F7-A64B-0AEF4D9B3742}"/>
    <cellStyle name="Note 3 5 2 3 2 2" xfId="926" xr:uid="{39C9D1DC-3060-4BC3-A4C0-C9983DBDAC12}"/>
    <cellStyle name="Note 3 5 2 3 2 2 2" xfId="925" xr:uid="{9CF4F435-F0E5-4C74-AA36-2B56A6A2180C}"/>
    <cellStyle name="Note 3 5 2 3 2 3" xfId="924" xr:uid="{6B83F7A5-AADF-418E-AFEF-36C5A3D7FE7A}"/>
    <cellStyle name="Note 3 5 2 3 3" xfId="923" xr:uid="{7043292D-98FB-402F-BAA2-07B209FE152C}"/>
    <cellStyle name="Note 3 5 2 3 3 2" xfId="2920" xr:uid="{2A4CE103-EB9E-4B17-8BB5-7E4A55527375}"/>
    <cellStyle name="Note 3 5 2 3 4" xfId="922" xr:uid="{F4E3E991-AF2B-4DFC-BB5F-7A1A247AAF67}"/>
    <cellStyle name="Note 3 5 2 4" xfId="921" xr:uid="{2DC63948-18CB-4E8C-8C46-17A3862648BF}"/>
    <cellStyle name="Note 3 5 2 4 2" xfId="920" xr:uid="{9D23B540-2788-45EC-9511-2A446969AD32}"/>
    <cellStyle name="Note 3 5 2 4 2 2" xfId="919" xr:uid="{A23DA0CD-5048-4FFE-8913-FCD45BFD8EE0}"/>
    <cellStyle name="Note 3 5 2 4 3" xfId="5850" xr:uid="{9B713755-EC8F-4FE5-91AE-2A202A6666D7}"/>
    <cellStyle name="Note 3 5 2 5" xfId="918" xr:uid="{6D4196E2-9D9E-4890-B83F-D508B1DFC2BF}"/>
    <cellStyle name="Note 3 5 2 5 2" xfId="917" xr:uid="{FF42075B-3C69-4DAC-BE79-A09462C179EC}"/>
    <cellStyle name="Note 3 5 2 6" xfId="916" xr:uid="{4E1BEAD4-4EA5-421F-8EB6-D1CDE820CE3E}"/>
    <cellStyle name="Note 3 5 3" xfId="25340" xr:uid="{AA3C644B-CB63-4097-A059-689B7E42D6D5}"/>
    <cellStyle name="Note 3 5 3 2" xfId="915" xr:uid="{6AD2EC22-AED9-47D2-B42C-9FCED7A93516}"/>
    <cellStyle name="Note 3 5 3 2 2" xfId="914" xr:uid="{100A125C-5607-40E3-9360-6F46F5AF0822}"/>
    <cellStyle name="Note 3 5 3 2 2 2" xfId="913" xr:uid="{C3AD616F-DE0F-4CFA-9E9D-DB8456539E15}"/>
    <cellStyle name="Note 3 5 3 2 2 2 2" xfId="912" xr:uid="{2C8028A6-6A37-4DF6-A4F6-5FD14554A278}"/>
    <cellStyle name="Note 3 5 3 2 2 3" xfId="911" xr:uid="{8A04773E-2F81-4790-8E93-BD8BEA9CCBF5}"/>
    <cellStyle name="Note 3 5 3 2 3" xfId="16532" xr:uid="{78E48E27-B19D-437E-B22D-3FD8F67D52D9}"/>
    <cellStyle name="Note 3 5 3 2 3 2" xfId="2894" xr:uid="{D7B0758C-2252-4233-AF6F-708BC12C021F}"/>
    <cellStyle name="Note 3 5 3 2 4" xfId="16529" xr:uid="{A65512FC-6E15-4348-BEEC-5D6E6F8D0FB8}"/>
    <cellStyle name="Note 3 5 3 3" xfId="910" xr:uid="{C88ED2B2-3563-496A-90A9-037EC1CCD022}"/>
    <cellStyle name="Note 3 5 3 3 2" xfId="909" xr:uid="{C91BB907-7799-4F03-84EB-00E748BBF644}"/>
    <cellStyle name="Note 3 5 3 3 2 2" xfId="908" xr:uid="{79C7BE7B-BC34-4B49-9120-245799B882FD}"/>
    <cellStyle name="Note 3 5 3 3 3" xfId="30016" xr:uid="{25D128FC-F8B0-44FE-B3B6-2F2DBC4FB16B}"/>
    <cellStyle name="Note 3 5 3 4" xfId="907" xr:uid="{51F314C2-83BC-42CE-9201-FDACFD6B92F4}"/>
    <cellStyle name="Note 3 5 3 4 2" xfId="906" xr:uid="{C029F9B9-D0D4-45FD-A87B-9A5672C1006A}"/>
    <cellStyle name="Note 3 5 3 5" xfId="905" xr:uid="{4A1DDBDC-D8DB-4664-82D0-D23CA9B7089F}"/>
    <cellStyle name="Note 3 5 4" xfId="904" xr:uid="{1F51D60A-1A16-4C37-8B43-856AAB10F1DD}"/>
    <cellStyle name="Note 3 5 4 2" xfId="32257" xr:uid="{671D5B3B-C342-4BDD-9D25-E62FBBD730CF}"/>
    <cellStyle name="Note 3 5 4 2 2" xfId="903" xr:uid="{02C4D963-4FEC-40E9-AE0D-6F2568BB44E7}"/>
    <cellStyle name="Note 3 5 4 2 2 2" xfId="10992" xr:uid="{4849D636-F08A-48D4-9D79-8591AB58B33D}"/>
    <cellStyle name="Note 3 5 4 2 3" xfId="16517" xr:uid="{7AA31B7E-A6BA-45FA-94CA-447DECD59A45}"/>
    <cellStyle name="Note 3 5 4 3" xfId="29367" xr:uid="{363558C9-F8F2-41EB-BBF5-BD5FFC2C708E}"/>
    <cellStyle name="Note 3 5 4 3 2" xfId="2857" xr:uid="{7F952714-0961-4F62-95E8-61C1D1821E19}"/>
    <cellStyle name="Note 3 5 4 4" xfId="28726" xr:uid="{9ECDB3D7-D04B-4C69-A7A9-CD941A3C90EC}"/>
    <cellStyle name="Note 3 5 5" xfId="902" xr:uid="{A4145027-CC7D-4EDF-ABE9-86258F735D2C}"/>
    <cellStyle name="Note 3 5 5 2" xfId="32239" xr:uid="{74398B95-FA32-4B2F-B5E6-3EDD901C691C}"/>
    <cellStyle name="Note 3 5 5 2 2" xfId="27665" xr:uid="{9EC6A994-135F-46E8-B342-D7C404843F62}"/>
    <cellStyle name="Note 3 5 5 3" xfId="901" xr:uid="{38C919E7-8FB2-459F-8D53-9AD873FE6A3D}"/>
    <cellStyle name="Note 3 5 6" xfId="15224" xr:uid="{C8816842-1A0A-4923-B5E9-A7A6096AF993}"/>
    <cellStyle name="Note 3 5 6 2" xfId="15222" xr:uid="{8975679E-A6F9-42E7-8A06-BDE906FE3CCC}"/>
    <cellStyle name="Note 3 5 7" xfId="15168" xr:uid="{7CE89FE0-7AE5-43FD-B188-FB87103D9BB8}"/>
    <cellStyle name="Note 3 5 8" xfId="34939" xr:uid="{8EE426B7-F40F-409A-9CA7-2CBEB8FD5EE1}"/>
    <cellStyle name="Note 3 6" xfId="20278" xr:uid="{2970CE40-5046-427A-B30E-EEA79A9D85E4}"/>
    <cellStyle name="Note 3 6 2" xfId="20969" xr:uid="{22AFB090-D81F-4CFF-889E-C3DF4D199FF0}"/>
    <cellStyle name="Note 3 6 2 2" xfId="1531" xr:uid="{BB80EC04-6341-4B34-9331-7D60266FDC28}"/>
    <cellStyle name="Note 3 6 2 2 2" xfId="1529" xr:uid="{03180CB5-C9B0-4D5A-8029-DAFC170AF1D8}"/>
    <cellStyle name="Note 3 6 2 2 2 2" xfId="1527" xr:uid="{2CE1D49E-7910-4A11-9F38-32AC1D35BBDD}"/>
    <cellStyle name="Note 3 6 2 2 2 2 2" xfId="900" xr:uid="{581ED8A3-9E7E-4EFF-A18B-43750B3965A7}"/>
    <cellStyle name="Note 3 6 2 2 2 3" xfId="899" xr:uid="{0E804A66-59AC-437D-9333-CBF52B0CCE2A}"/>
    <cellStyle name="Note 3 6 2 2 3" xfId="4520" xr:uid="{7415515D-66FD-4DB9-ABF4-29DCEE064395}"/>
    <cellStyle name="Note 3 6 2 2 3 2" xfId="4518" xr:uid="{C731EC0C-A3AA-46BA-B15D-6AA5589F49BB}"/>
    <cellStyle name="Note 3 6 2 2 4" xfId="20815" xr:uid="{805416F2-7BED-4ED1-A06A-213F93D52DD9}"/>
    <cellStyle name="Note 3 6 2 3" xfId="1525" xr:uid="{2BFDB020-29AA-4E1F-9AC2-C0C6BCD30825}"/>
    <cellStyle name="Note 3 6 2 3 2" xfId="1523" xr:uid="{ECE9DD8E-2902-4A10-AC4E-FC4B64FBE237}"/>
    <cellStyle name="Note 3 6 2 3 2 2" xfId="898" xr:uid="{7DA34FE2-6DC5-45E6-9818-B395A4E156B3}"/>
    <cellStyle name="Note 3 6 2 3 3" xfId="4515" xr:uid="{3C162B5E-9BA8-4C22-87E2-4042FF798C92}"/>
    <cellStyle name="Note 3 6 2 4" xfId="1521" xr:uid="{2AF9552C-06E7-44EB-AF48-87CEC2DE1E74}"/>
    <cellStyle name="Note 3 6 2 4 2" xfId="897" xr:uid="{ED98F2B9-07D6-438B-BEDA-97286D61F74B}"/>
    <cellStyle name="Note 3 6 2 5" xfId="896" xr:uid="{EC51CD9D-1188-4A9E-A338-F160280BA130}"/>
    <cellStyle name="Note 3 6 3" xfId="20862" xr:uid="{71FCC5A0-2602-4816-86A6-E3F254A5F906}"/>
    <cellStyle name="Note 3 6 3 2" xfId="1512" xr:uid="{7E5DE321-CDEB-4A1D-8BDC-AA650DAD97A5}"/>
    <cellStyle name="Note 3 6 3 2 2" xfId="1510" xr:uid="{1EEC503D-0A3D-42A7-8B58-71BAC8A34301}"/>
    <cellStyle name="Note 3 6 3 2 2 2" xfId="895" xr:uid="{AD9AE90F-68C8-4FBE-89F1-7757139C3C9A}"/>
    <cellStyle name="Note 3 6 3 2 3" xfId="16487" xr:uid="{E7B51D17-52E7-448D-993B-09CD1BB27936}"/>
    <cellStyle name="Note 3 6 3 3" xfId="1508" xr:uid="{3F0306C1-C29A-4094-8AE0-AD876710869D}"/>
    <cellStyle name="Note 3 6 3 3 2" xfId="21863" xr:uid="{C91B32DB-7177-4D13-AF53-6A6D64413CB0}"/>
    <cellStyle name="Note 3 6 3 4" xfId="894" xr:uid="{46D1F67C-D2B6-4170-B9C1-68F7352E9B9B}"/>
    <cellStyle name="Note 3 6 4" xfId="893" xr:uid="{67999A5B-E33C-48BC-B0E7-BDF5E26F3912}"/>
    <cellStyle name="Note 3 6 4 2" xfId="34221" xr:uid="{8BB00586-3B58-4AB1-AAED-2B2572871376}"/>
    <cellStyle name="Note 3 6 4 2 2" xfId="892" xr:uid="{14A1AE6B-9948-4FB4-9254-690B050E0C89}"/>
    <cellStyle name="Note 3 6 4 3" xfId="891" xr:uid="{3282E190-9D48-4590-8F94-A3B6028BC737}"/>
    <cellStyle name="Note 3 6 5" xfId="890" xr:uid="{3AC43015-5BEE-4B8A-AA16-F145E9E6ED1D}"/>
    <cellStyle name="Note 3 6 5 2" xfId="889" xr:uid="{7E2D6029-9B54-48FB-86D3-12FF09DC8857}"/>
    <cellStyle name="Note 3 6 6" xfId="15128" xr:uid="{A5A52C9A-C66A-4114-81D7-FD7B6617C80B}"/>
    <cellStyle name="Note 3 6 7" xfId="35144" xr:uid="{F3066700-6FCB-4BD1-B1AC-492E4DD704EF}"/>
    <cellStyle name="Note 3 7" xfId="16761" xr:uid="{BCD3D5AB-19BD-4BBB-A589-E23C7B9B4652}"/>
    <cellStyle name="Note 3 7 2" xfId="20852" xr:uid="{3DD903DC-DCD4-4C51-815A-F71BDFA1F3EB}"/>
    <cellStyle name="Note 3 7 2 2" xfId="888" xr:uid="{3C23FE33-7222-4F2D-93D9-4DBC93294C40}"/>
    <cellStyle name="Note 3 7 2 2 2" xfId="886" xr:uid="{51FF549D-7CBD-4508-A17D-3C2D9B798FA3}"/>
    <cellStyle name="Note 3 7 2 2 2 2" xfId="884" xr:uid="{C05DF766-A929-453E-B249-FA32BFCF9A39}"/>
    <cellStyle name="Note 3 7 2 2 3" xfId="4500" xr:uid="{B439A1FB-3DD7-4A89-9C72-795EB811B29D}"/>
    <cellStyle name="Note 3 7 2 3" xfId="883" xr:uid="{0EEB58D1-38B3-4E48-8EF9-BB88975DC2B4}"/>
    <cellStyle name="Note 3 7 2 3 2" xfId="881" xr:uid="{62ECC413-B56B-4F1C-AE18-C95133035FED}"/>
    <cellStyle name="Note 3 7 2 4" xfId="31835" xr:uid="{A4E30B4F-08D4-4036-AF66-775DF3D7C172}"/>
    <cellStyle name="Note 3 7 3" xfId="880" xr:uid="{9AF80CC8-5BD6-42CB-8829-E4A7AD5CB792}"/>
    <cellStyle name="Note 3 7 3 2" xfId="879" xr:uid="{5761CBE7-7FA5-4527-8880-E268A6C39177}"/>
    <cellStyle name="Note 3 7 3 2 2" xfId="877" xr:uid="{FECFEC4E-FFF1-41B3-959D-C0B4D5BCF76A}"/>
    <cellStyle name="Note 3 7 3 3" xfId="4503" xr:uid="{6AB23F1D-EBD0-449C-92DC-9218FDC53B69}"/>
    <cellStyle name="Note 3 7 4" xfId="887" xr:uid="{D8DE420F-3907-4D00-8518-D29011E68F7F}"/>
    <cellStyle name="Note 3 7 4 2" xfId="885" xr:uid="{DC1F5714-FF79-44B0-B9B6-7504B7B5FE05}"/>
    <cellStyle name="Note 3 7 5" xfId="882" xr:uid="{2E22E3AF-3DBB-4672-8E7F-AD21F6370A2C}"/>
    <cellStyle name="Note 3 7 6" xfId="35373" xr:uid="{727E1E89-8C87-40AE-8C18-6AB16B876E40}"/>
    <cellStyle name="Note 3 8" xfId="28029" xr:uid="{279EA5C8-E3A0-473A-BDAF-AF74C9B223CA}"/>
    <cellStyle name="Note 3 8 2" xfId="876" xr:uid="{534E31AC-0524-4BE5-9B09-BB91DA26CA7A}"/>
    <cellStyle name="Note 3 8 2 2" xfId="875" xr:uid="{A59691D4-E3AE-440F-A59B-1A867FCAAE0C}"/>
    <cellStyle name="Note 3 8 2 2 2" xfId="873" xr:uid="{2A4EE9EA-BC5F-4966-AD41-026F2C9B1544}"/>
    <cellStyle name="Note 3 8 2 3" xfId="3792" xr:uid="{13264B71-9B2C-4153-A10F-6B416BE48F94}"/>
    <cellStyle name="Note 3 8 3" xfId="872" xr:uid="{717DB380-85A4-4FFD-9AD9-EBADF4542CAE}"/>
    <cellStyle name="Note 3 8 3 2" xfId="871" xr:uid="{B0265571-0009-4156-A311-71BEF0C48217}"/>
    <cellStyle name="Note 3 8 4" xfId="878" xr:uid="{4F3D6329-32C4-4AB3-9AEA-707B4274EEA3}"/>
    <cellStyle name="Note 3 8 5" xfId="36245" xr:uid="{73C94955-1A3C-4382-BCDA-12FD0E05BCD3}"/>
    <cellStyle name="Note 3 9" xfId="870" xr:uid="{74392E9A-60FF-4B95-A43A-43198B8EB500}"/>
    <cellStyle name="Note 3 9 2" xfId="869" xr:uid="{1CA7CFC4-641A-4369-B614-0110297A5BB2}"/>
    <cellStyle name="Note 3 9 2 2" xfId="868" xr:uid="{85E55F7D-32F5-4213-AD6F-CFCA30A44856}"/>
    <cellStyle name="Note 3 9 3" xfId="28177" xr:uid="{4DD8E503-2174-4BE2-A918-AAA67BC82C4F}"/>
    <cellStyle name="Note 3 9 4" xfId="36531" xr:uid="{E2478BEB-22C2-4D1E-AE05-EA69CB360232}"/>
    <cellStyle name="Note 30" xfId="35887" xr:uid="{A00BAC7D-4E3F-451B-9F38-2AD4B7772F4B}"/>
    <cellStyle name="Note 30 2" xfId="37059" xr:uid="{1F74B7C1-CBF7-42FA-B55E-644C35966217}"/>
    <cellStyle name="Note 30 3" xfId="37953" xr:uid="{5C1B7CC8-183F-4DCF-A81B-111361328E2C}"/>
    <cellStyle name="Note 31" xfId="35889" xr:uid="{98C75060-EBA6-4994-825A-BEF68A915E0C}"/>
    <cellStyle name="Note 31 2" xfId="37061" xr:uid="{127F91AC-490C-4534-83FC-15E47B724F57}"/>
    <cellStyle name="Note 31 3" xfId="37956" xr:uid="{CBBE8348-6BE5-401D-B951-8CFD46FC39B1}"/>
    <cellStyle name="Note 32" xfId="35909" xr:uid="{5079E46B-5C3C-4283-A806-37DACDE468C8}"/>
    <cellStyle name="Note 32 2" xfId="37080" xr:uid="{6E261F87-377E-4E77-9471-83CCE5404834}"/>
    <cellStyle name="Note 32 3" xfId="37976" xr:uid="{CF14611F-AB70-40E6-A057-52B1D9FC7A27}"/>
    <cellStyle name="Note 33" xfId="35929" xr:uid="{0E09649A-C0D9-4D14-9566-2223C68B635B}"/>
    <cellStyle name="Note 33 2" xfId="37099" xr:uid="{9D33C46B-D6CD-4B48-B745-F5A24BDAB959}"/>
    <cellStyle name="Note 33 3" xfId="37996" xr:uid="{3B74D660-08A8-41AF-90F8-5CB9D2BED601}"/>
    <cellStyle name="Note 34" xfId="35949" xr:uid="{AE94B674-24C2-4D24-805A-2F32D0CFD6C3}"/>
    <cellStyle name="Note 34 2" xfId="37118" xr:uid="{7A956A97-2456-4411-A068-12F87CE28CF7}"/>
    <cellStyle name="Note 34 3" xfId="38016" xr:uid="{9CFF4FAF-AB07-42CE-81F4-7214835A2F3C}"/>
    <cellStyle name="Note 35" xfId="35969" xr:uid="{398C2B0A-B239-4B17-92C8-0CDF2E776213}"/>
    <cellStyle name="Note 35 2" xfId="37138" xr:uid="{1C791A0E-4E95-45CD-8640-DB9FDD78C0EE}"/>
    <cellStyle name="Note 35 3" xfId="38036" xr:uid="{FB2AA0C3-CB16-4700-BD2F-CCD394F6A771}"/>
    <cellStyle name="Note 36" xfId="35989" xr:uid="{A05610C1-6959-4381-88BD-433022847DD0}"/>
    <cellStyle name="Note 36 2" xfId="37158" xr:uid="{E7018CAA-81F2-4D73-AF65-65FD21664751}"/>
    <cellStyle name="Note 36 3" xfId="38056" xr:uid="{30B0D0E5-38AB-4B6F-97FF-B43543358FBE}"/>
    <cellStyle name="Note 37" xfId="36009" xr:uid="{AE9123BA-9851-461F-B457-27A0FA0B54C8}"/>
    <cellStyle name="Note 37 2" xfId="37178" xr:uid="{6D42F29C-4D31-4E14-ADBE-507AF465FFF3}"/>
    <cellStyle name="Note 37 3" xfId="38076" xr:uid="{D386F902-078E-4903-9154-62ECA814BF26}"/>
    <cellStyle name="Note 38" xfId="36029" xr:uid="{4B4ECFCE-7B1B-4B75-8F7B-F0112715A2AF}"/>
    <cellStyle name="Note 38 2" xfId="37198" xr:uid="{F73F46F8-F932-4044-B408-CEF730A69A6E}"/>
    <cellStyle name="Note 38 3" xfId="38096" xr:uid="{A6C14AFE-173D-49F9-968E-077BF0DF0412}"/>
    <cellStyle name="Note 39" xfId="36049" xr:uid="{52506EF2-AD1F-4905-8852-AC141E4F7BFD}"/>
    <cellStyle name="Note 39 2" xfId="37218" xr:uid="{5B2B74D2-91EA-440E-B841-FCABC31D3F67}"/>
    <cellStyle name="Note 39 3" xfId="38116" xr:uid="{2F7A9DBE-69C8-4FA9-BDCC-3A3D22F489EF}"/>
    <cellStyle name="Note 4" xfId="96" xr:uid="{21296980-5522-4D83-BCA4-2E6691BAA847}"/>
    <cellStyle name="Note 4 10" xfId="866" xr:uid="{AC4BD8F1-3FEA-45F7-A2AC-C99A4AEEE349}"/>
    <cellStyle name="Note 4 10 2" xfId="37435" xr:uid="{13CBF9EE-232C-454F-AD66-656BCBC69549}"/>
    <cellStyle name="Note 4 11" xfId="34450" xr:uid="{5F8B3479-490A-42B0-B00A-9A62CB253364}"/>
    <cellStyle name="Note 4 12" xfId="867" xr:uid="{7ED17F7D-667D-464A-AFC7-EBF62AF8564C}"/>
    <cellStyle name="Note 4 2" xfId="157" xr:uid="{E8C9012A-C5C5-4A68-BE23-1297480B1A8E}"/>
    <cellStyle name="Note 4 2 10" xfId="34505" xr:uid="{B2986BC9-C5C9-4966-9E09-8C2B58492435}"/>
    <cellStyle name="Note 4 2 11" xfId="865" xr:uid="{399041A2-25B3-469E-9342-FA9B288376C1}"/>
    <cellStyle name="Note 4 2 2" xfId="10264" xr:uid="{05E8C2FA-C23A-4D93-9F65-B7BDF67C08DB}"/>
    <cellStyle name="Note 4 2 2 2" xfId="864" xr:uid="{97AAA9B0-AF69-4278-9807-9348D4725A28}"/>
    <cellStyle name="Note 4 2 2 2 2" xfId="863" xr:uid="{3023111E-F2B1-4836-A831-1AFB19C99DC6}"/>
    <cellStyle name="Note 4 2 2 2 2 2" xfId="862" xr:uid="{FAD535ED-5F2D-4611-9EBF-C33CC2DE7E78}"/>
    <cellStyle name="Note 4 2 2 2 2 2 2" xfId="861" xr:uid="{43C3AFC4-1238-41F4-926E-BB6CAD94CFC2}"/>
    <cellStyle name="Note 4 2 2 2 2 2 2 2" xfId="860" xr:uid="{DFAB20C3-F409-4D63-ABEE-9E1AFAB77CF3}"/>
    <cellStyle name="Note 4 2 2 2 2 2 2 2 2" xfId="859" xr:uid="{EAC12B8B-7D73-46DA-94A5-BE66A610348F}"/>
    <cellStyle name="Note 4 2 2 2 2 2 2 2 2 2" xfId="858" xr:uid="{491AE0C2-A12C-4CA0-89EE-ED4DE034DFD2}"/>
    <cellStyle name="Note 4 2 2 2 2 2 2 2 3" xfId="857" xr:uid="{5BC952DF-B497-454B-B08F-6078558D19FB}"/>
    <cellStyle name="Note 4 2 2 2 2 2 2 3" xfId="856" xr:uid="{01C3B02B-8491-474B-AC0B-6785600CFA3B}"/>
    <cellStyle name="Note 4 2 2 2 2 2 2 3 2" xfId="855" xr:uid="{458313FA-BEDF-4AAD-A32D-0E27291A084A}"/>
    <cellStyle name="Note 4 2 2 2 2 2 2 4" xfId="5057" xr:uid="{0BCDA481-61A1-43AC-BDC6-E2D663A5BF7D}"/>
    <cellStyle name="Note 4 2 2 2 2 2 3" xfId="18635" xr:uid="{E9BD1FC0-ED59-4503-BE19-2A22239F0177}"/>
    <cellStyle name="Note 4 2 2 2 2 2 3 2" xfId="854" xr:uid="{DC5F3FDC-21A6-4450-92B0-B6400017E8FD}"/>
    <cellStyle name="Note 4 2 2 2 2 2 3 2 2" xfId="853" xr:uid="{9EEA9686-F0BC-45CE-B2D9-710A2B5FFDB9}"/>
    <cellStyle name="Note 4 2 2 2 2 2 3 3" xfId="852" xr:uid="{A036B875-5C79-4619-A396-910769FD7AD0}"/>
    <cellStyle name="Note 4 2 2 2 2 2 4" xfId="7137" xr:uid="{9FF49F3F-A27C-43BC-8526-EAB9205B388D}"/>
    <cellStyle name="Note 4 2 2 2 2 2 4 2" xfId="24894" xr:uid="{178377A5-057B-42AF-A8DD-C604FA217802}"/>
    <cellStyle name="Note 4 2 2 2 2 2 5" xfId="31044" xr:uid="{43BD8963-6F8A-43B6-8504-FE153D98DFB2}"/>
    <cellStyle name="Note 4 2 2 2 2 3" xfId="851" xr:uid="{BA43F64E-EA6F-4BBC-9CB8-D61F19C9AD89}"/>
    <cellStyle name="Note 4 2 2 2 2 3 2" xfId="850" xr:uid="{0D755172-0494-4791-832A-F514B71FE08C}"/>
    <cellStyle name="Note 4 2 2 2 2 3 2 2" xfId="849" xr:uid="{BF3CAC97-F2E9-4660-A893-A06AE3BF05BF}"/>
    <cellStyle name="Note 4 2 2 2 2 3 2 2 2" xfId="848" xr:uid="{A33B14BD-8E64-4B1F-AF4B-9CF956F73204}"/>
    <cellStyle name="Note 4 2 2 2 2 3 2 3" xfId="847" xr:uid="{1756D147-754E-4CAD-AF13-B148188E0656}"/>
    <cellStyle name="Note 4 2 2 2 2 3 3" xfId="846" xr:uid="{B780058F-DF53-4EAF-ACE9-FEA084725389}"/>
    <cellStyle name="Note 4 2 2 2 2 3 3 2" xfId="845" xr:uid="{DA315E8B-9F6E-4AAD-A32A-57FE161A6BCD}"/>
    <cellStyle name="Note 4 2 2 2 2 3 4" xfId="32304" xr:uid="{1E4C5987-2356-4ED0-8006-73B2D9ACC546}"/>
    <cellStyle name="Note 4 2 2 2 2 4" xfId="844" xr:uid="{32242A82-A7B0-4EFB-B6F7-262284980943}"/>
    <cellStyle name="Note 4 2 2 2 2 4 2" xfId="3202" xr:uid="{BB7A951F-CAA7-4D26-9032-5A26A5EF2C74}"/>
    <cellStyle name="Note 4 2 2 2 2 4 2 2" xfId="3200" xr:uid="{42D81FA9-C9EC-40D5-B044-01D7CE996D10}"/>
    <cellStyle name="Note 4 2 2 2 2 4 3" xfId="3198" xr:uid="{93693CD8-E7C2-42C4-AD37-455E8948FF4E}"/>
    <cellStyle name="Note 4 2 2 2 2 5" xfId="843" xr:uid="{C786C5CA-1654-461D-A3BB-836538AE3FBD}"/>
    <cellStyle name="Note 4 2 2 2 2 5 2" xfId="17734" xr:uid="{6A8EEDD9-8B01-42CE-9D63-EF29F263B445}"/>
    <cellStyle name="Note 4 2 2 2 2 6" xfId="842" xr:uid="{1FAAA756-6A42-4914-B5BE-5A5D13CC7BEB}"/>
    <cellStyle name="Note 4 2 2 2 3" xfId="15603" xr:uid="{6D82B6CC-3F27-431D-AE66-C170215B8C54}"/>
    <cellStyle name="Note 4 2 2 2 3 2" xfId="841" xr:uid="{FBC1DE12-4529-4E14-9A7F-BD4C417B59E0}"/>
    <cellStyle name="Note 4 2 2 2 3 2 2" xfId="2673" xr:uid="{B23044F6-38C9-4CCA-B72E-52918D5B3E5C}"/>
    <cellStyle name="Note 4 2 2 2 3 2 2 2" xfId="16692" xr:uid="{6E36A2E0-4F8E-4847-BDAE-BB2EC99434E4}"/>
    <cellStyle name="Note 4 2 2 2 3 2 2 2 2" xfId="6774" xr:uid="{9B8826B2-4FE5-49C3-84BC-2755491DD63F}"/>
    <cellStyle name="Note 4 2 2 2 3 2 2 3" xfId="6770" xr:uid="{6E8744DE-DDA6-4CC6-B333-DC4A313713F4}"/>
    <cellStyle name="Note 4 2 2 2 3 2 3" xfId="840" xr:uid="{5B65425B-4898-4A33-8E61-E1D47A939AC7}"/>
    <cellStyle name="Note 4 2 2 2 3 2 3 2" xfId="16674" xr:uid="{CE40C12F-A2E3-4973-831C-6E61294E0BE5}"/>
    <cellStyle name="Note 4 2 2 2 3 2 4" xfId="32186" xr:uid="{9B692F86-3D12-46F8-BAF6-97C0A079C09A}"/>
    <cellStyle name="Note 4 2 2 2 3 3" xfId="6729" xr:uid="{86A3920D-E9A8-4155-B99D-4F306CFEA56F}"/>
    <cellStyle name="Note 4 2 2 2 3 3 2" xfId="839" xr:uid="{987FEBE7-05D5-4111-B30C-A87991450C83}"/>
    <cellStyle name="Note 4 2 2 2 3 3 2 2" xfId="6731" xr:uid="{8A65454A-2A4B-40D4-94A0-4E43FB15454F}"/>
    <cellStyle name="Note 4 2 2 2 3 3 3" xfId="837" xr:uid="{698AF213-7741-4B54-AE44-79FB5D764713}"/>
    <cellStyle name="Note 4 2 2 2 3 4" xfId="6725" xr:uid="{BDF8D027-BEFA-4C6F-A7C5-3A1CBAEBA1BA}"/>
    <cellStyle name="Note 4 2 2 2 3 4 2" xfId="3184" xr:uid="{8C110C0B-E8CE-42FA-8CE4-EB4102B5E577}"/>
    <cellStyle name="Note 4 2 2 2 3 5" xfId="836" xr:uid="{27A7BE19-C0E0-4759-8383-D4DC6581CBC9}"/>
    <cellStyle name="Note 4 2 2 2 4" xfId="28281" xr:uid="{88154750-3E51-4B65-B75A-1A63FD3C70E2}"/>
    <cellStyle name="Note 4 2 2 2 4 2" xfId="835" xr:uid="{DC971189-84EB-42E5-9E69-1DF390414D6C}"/>
    <cellStyle name="Note 4 2 2 2 4 2 2" xfId="834" xr:uid="{7BC08C60-F040-4525-A767-57D30EDFBC9C}"/>
    <cellStyle name="Note 4 2 2 2 4 2 2 2" xfId="6546" xr:uid="{1030E885-805D-45A5-8EA7-EF1BF2F2E7CA}"/>
    <cellStyle name="Note 4 2 2 2 4 2 3" xfId="833" xr:uid="{1C3D7652-8E3F-4546-83E9-7E5A7D48A4A6}"/>
    <cellStyle name="Note 4 2 2 2 4 3" xfId="6722" xr:uid="{B19DCCBD-4222-4273-B5F8-C7FC009B3FDA}"/>
    <cellStyle name="Note 4 2 2 2 4 3 2" xfId="832" xr:uid="{D66277CE-9AB5-41CD-B482-C1DB59D53092}"/>
    <cellStyle name="Note 4 2 2 2 4 4" xfId="831" xr:uid="{9ED03321-73B8-46B0-B579-12BAF007E228}"/>
    <cellStyle name="Note 4 2 2 2 5" xfId="830" xr:uid="{CD161560-94BD-47B1-A803-06CD69DC22B8}"/>
    <cellStyle name="Note 4 2 2 2 5 2" xfId="829" xr:uid="{1FE27BF1-EB6D-4328-A820-BF2684C422B2}"/>
    <cellStyle name="Note 4 2 2 2 5 2 2" xfId="828" xr:uid="{66F756F1-541F-4E4E-97FE-D4689C57244B}"/>
    <cellStyle name="Note 4 2 2 2 5 3" xfId="827" xr:uid="{7702BDD7-256A-4B2B-8AD6-981E1B266CE5}"/>
    <cellStyle name="Note 4 2 2 2 6" xfId="826" xr:uid="{F1485D7D-8D6C-46C8-8005-CA43FF58C4EC}"/>
    <cellStyle name="Note 4 2 2 2 6 2" xfId="825" xr:uid="{C2B08BD1-2FD4-44ED-BAA1-2E8CDADD43B5}"/>
    <cellStyle name="Note 4 2 2 2 7" xfId="824" xr:uid="{41DDC870-E25F-441D-9816-CA1300BC0B2C}"/>
    <cellStyle name="Note 4 2 2 3" xfId="1021" xr:uid="{93E8B478-8177-4D5C-8FDF-8C96D4E59137}"/>
    <cellStyle name="Note 4 2 2 3 2" xfId="24906" xr:uid="{AD727C9B-B07C-4AF8-90FC-2AF3CEF6A284}"/>
    <cellStyle name="Note 4 2 2 3 2 2" xfId="1019" xr:uid="{F9D77C3C-4131-4C50-81E7-9460167B631C}"/>
    <cellStyle name="Note 4 2 2 3 2 2 2" xfId="26032" xr:uid="{A0B56788-65C9-4CB8-9365-0EA4CE38590E}"/>
    <cellStyle name="Note 4 2 2 3 2 2 2 2" xfId="823" xr:uid="{A27CEE45-9379-4B3C-99A5-6F850F336805}"/>
    <cellStyle name="Note 4 2 2 3 2 2 2 2 2" xfId="32098" xr:uid="{DE1893D1-2447-4723-907F-90A0743324F3}"/>
    <cellStyle name="Note 4 2 2 3 2 2 2 3" xfId="822" xr:uid="{01288E40-D987-4521-98A1-5B07F9D36B78}"/>
    <cellStyle name="Note 4 2 2 3 2 2 3" xfId="821" xr:uid="{EF3D957E-D1DE-46F7-A0FA-883C5A42CEDE}"/>
    <cellStyle name="Note 4 2 2 3 2 2 3 2" xfId="820" xr:uid="{9B4CF2A8-3E79-4D91-8BF3-3FF383582B74}"/>
    <cellStyle name="Note 4 2 2 3 2 2 4" xfId="31721" xr:uid="{1879BA87-0FAF-44FE-9D66-CD4C0C8A30A5}"/>
    <cellStyle name="Note 4 2 2 3 2 3" xfId="819" xr:uid="{92BF627B-1170-4CBF-BD80-0CB74840FB00}"/>
    <cellStyle name="Note 4 2 2 3 2 3 2" xfId="818" xr:uid="{F0B869A3-5793-4DD4-ADC1-E1EC541E9ABB}"/>
    <cellStyle name="Note 4 2 2 3 2 3 2 2" xfId="817" xr:uid="{01371FDD-83DD-49B3-8EA8-EF0B2865F0BA}"/>
    <cellStyle name="Note 4 2 2 3 2 3 3" xfId="816" xr:uid="{BC45FBF6-CDA7-4803-ADDD-719FC45B323A}"/>
    <cellStyle name="Note 4 2 2 3 2 4" xfId="815" xr:uid="{B9A43436-6AA6-4020-946D-CEC69879727F}"/>
    <cellStyle name="Note 4 2 2 3 2 4 2" xfId="7329" xr:uid="{0D5AA19D-4D54-4F7C-B0FC-C885B932F75A}"/>
    <cellStyle name="Note 4 2 2 3 2 5" xfId="814" xr:uid="{DF14043B-6E21-4836-B9BB-1B0DB8844020}"/>
    <cellStyle name="Note 4 2 2 3 3" xfId="24219" xr:uid="{7B202B68-9969-43AD-AA72-C69CC322B712}"/>
    <cellStyle name="Note 4 2 2 3 3 2" xfId="813" xr:uid="{32E630C2-C3A3-47D1-962F-043056434524}"/>
    <cellStyle name="Note 4 2 2 3 3 2 2" xfId="20080" xr:uid="{D4A4EF4B-284F-4BE2-BFC2-5A61D02E0B93}"/>
    <cellStyle name="Note 4 2 2 3 3 2 2 2" xfId="17425" xr:uid="{1DBAB1DB-7AB1-44C4-998F-22041A60DADC}"/>
    <cellStyle name="Note 4 2 2 3 3 2 3" xfId="812" xr:uid="{2FA8C969-8F56-4867-92FF-F5A7EFCED9D0}"/>
    <cellStyle name="Note 4 2 2 3 3 3" xfId="6720" xr:uid="{A6844225-0F51-473B-9348-98451C073690}"/>
    <cellStyle name="Note 4 2 2 3 3 3 2" xfId="21604" xr:uid="{445D4B99-60AF-4BA7-86DD-9A776F4B97B0}"/>
    <cellStyle name="Note 4 2 2 3 3 4" xfId="811" xr:uid="{685D9BB9-251E-44D2-9BAF-B8B798FE2715}"/>
    <cellStyle name="Note 4 2 2 3 4" xfId="21797" xr:uid="{077E1E94-BF8F-4CBB-9D40-6453D46BCF2E}"/>
    <cellStyle name="Note 4 2 2 3 4 2" xfId="810" xr:uid="{5BEAC1C2-D47F-4405-8CB7-768EF0321937}"/>
    <cellStyle name="Note 4 2 2 3 4 2 2" xfId="809" xr:uid="{F998A6E2-AE18-4D42-8045-005977D8BB74}"/>
    <cellStyle name="Note 4 2 2 3 4 3" xfId="808" xr:uid="{FF6E0A53-0A87-4C7F-9CA0-6BE3E14CA915}"/>
    <cellStyle name="Note 4 2 2 3 5" xfId="26072" xr:uid="{A9C02D5A-2B29-433C-8951-3B1CBE22EF85}"/>
    <cellStyle name="Note 4 2 2 3 5 2" xfId="807" xr:uid="{2C5B3BDC-1B9B-4D40-9E4F-D4235E96083E}"/>
    <cellStyle name="Note 4 2 2 3 6" xfId="26070" xr:uid="{10A239BA-319E-4541-896E-35273095FB7B}"/>
    <cellStyle name="Note 4 2 2 4" xfId="4780" xr:uid="{7E259DC7-5572-4394-A244-DAE8E1FE5901}"/>
    <cellStyle name="Note 4 2 2 4 2" xfId="24180" xr:uid="{D2ED95D2-3E43-4011-8166-584985389C9D}"/>
    <cellStyle name="Note 4 2 2 4 2 2" xfId="806" xr:uid="{A9D9B366-5679-441C-AD15-24268BBBE55F}"/>
    <cellStyle name="Note 4 2 2 4 2 2 2" xfId="13299" xr:uid="{C53BC471-224E-428A-B7CD-18421D4E27FD}"/>
    <cellStyle name="Note 4 2 2 4 2 2 2 2" xfId="10433" xr:uid="{8807509C-6E91-430C-9B74-4B163B0F879D}"/>
    <cellStyle name="Note 4 2 2 4 2 2 3" xfId="10428" xr:uid="{F75EE001-0C5B-4D15-952D-AA11C1259ACB}"/>
    <cellStyle name="Note 4 2 2 4 2 3" xfId="805" xr:uid="{EB001B78-6722-437E-BBE8-53164FDBC2E5}"/>
    <cellStyle name="Note 4 2 2 4 2 3 2" xfId="10409" xr:uid="{E40AF00C-6005-4970-9AF0-197CCA1BE09B}"/>
    <cellStyle name="Note 4 2 2 4 2 4" xfId="804" xr:uid="{8BCBA1F3-A2A6-436E-A670-AAC4D3BA856C}"/>
    <cellStyle name="Note 4 2 2 4 3" xfId="21790" xr:uid="{E8D952A2-9715-4442-9666-23E4BF56ED6C}"/>
    <cellStyle name="Note 4 2 2 4 3 2" xfId="28315" xr:uid="{72DAE3B5-0193-4735-A707-28E148C7B9DB}"/>
    <cellStyle name="Note 4 2 2 4 3 2 2" xfId="10343" xr:uid="{119EFE1E-2173-4DA8-9F3F-66D4D8C282F9}"/>
    <cellStyle name="Note 4 2 2 4 3 3" xfId="25836" xr:uid="{C7CA7EA5-47B4-491D-9DC7-50593B788D05}"/>
    <cellStyle name="Note 4 2 2 4 4" xfId="21783" xr:uid="{88649DFD-7C25-42C5-A410-B64AAE1D6856}"/>
    <cellStyle name="Note 4 2 2 4 4 2" xfId="25825" xr:uid="{F648AA3B-B606-4B8F-8009-A3A10CEC174D}"/>
    <cellStyle name="Note 4 2 2 4 5" xfId="27261" xr:uid="{46C44489-9CC4-4E60-B928-834244B3A440}"/>
    <cellStyle name="Note 4 2 2 5" xfId="1017" xr:uid="{ABFA6228-B99D-4D36-B5A8-25EEA022B2CE}"/>
    <cellStyle name="Note 4 2 2 5 2" xfId="29374" xr:uid="{AFD541AA-F2E0-4004-8C04-1EDBBC645951}"/>
    <cellStyle name="Note 4 2 2 5 2 2" xfId="803" xr:uid="{CEB87973-C7B7-4C64-8668-FFEA6C8C862A}"/>
    <cellStyle name="Note 4 2 2 5 2 2 2" xfId="9607" xr:uid="{93D10202-FBCC-494D-866A-16AE97271CC1}"/>
    <cellStyle name="Note 4 2 2 5 2 3" xfId="802" xr:uid="{BF2C845E-CBCC-4B52-85B3-0E4A10DE84BF}"/>
    <cellStyle name="Note 4 2 2 5 3" xfId="18974" xr:uid="{09CB86BD-88D9-42BD-8134-B498810E0A08}"/>
    <cellStyle name="Note 4 2 2 5 3 2" xfId="22809" xr:uid="{3EE27196-53D5-45BE-952B-4F72F88E221D}"/>
    <cellStyle name="Note 4 2 2 5 4" xfId="801" xr:uid="{11700D86-CA32-4A4C-9F2E-4A2C096D499F}"/>
    <cellStyle name="Note 4 2 2 6" xfId="9716" xr:uid="{5F1127F8-BB37-421E-836D-3C72E726B0B1}"/>
    <cellStyle name="Note 4 2 2 6 2" xfId="18088" xr:uid="{44C4A67D-15AE-410E-9F1E-26EBDC0401BE}"/>
    <cellStyle name="Note 4 2 2 6 2 2" xfId="20057" xr:uid="{20DAFC59-9121-44FB-84E2-9F7B3B3F1399}"/>
    <cellStyle name="Note 4 2 2 6 3" xfId="18073" xr:uid="{3636C67B-ACBF-4EB8-AA83-92C1FAD09FE6}"/>
    <cellStyle name="Note 4 2 2 7" xfId="9713" xr:uid="{FD69CB68-1F07-44B5-906B-7DEFBA98575B}"/>
    <cellStyle name="Note 4 2 2 7 2" xfId="31862" xr:uid="{7647B5AA-EB69-41BF-B247-1E56C48787D9}"/>
    <cellStyle name="Note 4 2 2 8" xfId="18067" xr:uid="{0FEDAD7E-F36D-4117-B2D5-AADA79185DBE}"/>
    <cellStyle name="Note 4 2 3" xfId="800" xr:uid="{7E3954FE-1396-4AF1-81DE-7418121D312E}"/>
    <cellStyle name="Note 4 2 3 2" xfId="2267" xr:uid="{CC56A94B-E405-400C-826D-6F122AD9A771}"/>
    <cellStyle name="Note 4 2 3 2 2" xfId="32795" xr:uid="{946BEA38-9656-4471-973C-EAF1C8CC1A0D}"/>
    <cellStyle name="Note 4 2 3 2 2 2" xfId="799" xr:uid="{293FFAAA-940B-4DE4-8875-E8D7BCF48C33}"/>
    <cellStyle name="Note 4 2 3 2 2 2 2" xfId="3721" xr:uid="{45251DC7-A1EE-4821-B21A-56FD595684A1}"/>
    <cellStyle name="Note 4 2 3 2 2 2 2 2" xfId="3719" xr:uid="{6C0A1062-B65E-4323-BCBC-9D055CD9ED48}"/>
    <cellStyle name="Note 4 2 3 2 2 2 2 2 2" xfId="17045" xr:uid="{9A8090BA-5243-484C-BC24-D77F5BF056F3}"/>
    <cellStyle name="Note 4 2 3 2 2 2 2 3" xfId="798" xr:uid="{9C4F2D39-7370-4994-B332-62D33CBC4D35}"/>
    <cellStyle name="Note 4 2 3 2 2 2 3" xfId="3716" xr:uid="{A348C07F-38BD-4992-9C63-716854E875F0}"/>
    <cellStyle name="Note 4 2 3 2 2 2 3 2" xfId="796" xr:uid="{91373C16-79EC-4079-8EBF-32E90B7450FC}"/>
    <cellStyle name="Note 4 2 3 2 2 2 4" xfId="28728" xr:uid="{AE0988B4-A0A6-475F-BA07-1113B372C10A}"/>
    <cellStyle name="Note 4 2 3 2 2 3" xfId="29117" xr:uid="{4CCC3813-0C41-4DC2-8CAD-C54A08EA8211}"/>
    <cellStyle name="Note 4 2 3 2 2 3 2" xfId="26154" xr:uid="{4BC6D0E6-7679-45E1-BAE2-9E65F86F42FA}"/>
    <cellStyle name="Note 4 2 3 2 2 3 2 2" xfId="5532" xr:uid="{27C6BACF-FD96-4110-A16A-73005B2E60CB}"/>
    <cellStyle name="Note 4 2 3 2 2 3 3" xfId="18272" xr:uid="{C86F7764-DAE2-4E2C-87BA-B8AFABB4FF4B}"/>
    <cellStyle name="Note 4 2 3 2 2 4" xfId="31776" xr:uid="{7DA5D918-0B6F-4A58-9677-3393E13BC510}"/>
    <cellStyle name="Note 4 2 3 2 2 4 2" xfId="794" xr:uid="{3CD75FFD-4A58-45D9-89E0-76C7D847A753}"/>
    <cellStyle name="Note 4 2 3 2 2 5" xfId="793" xr:uid="{00F02910-CF15-4F9C-9BB1-27202345ABD1}"/>
    <cellStyle name="Note 4 2 3 2 3" xfId="792" xr:uid="{7603DF37-2F53-4ED2-B9CD-2A5F8859C5B0}"/>
    <cellStyle name="Note 4 2 3 2 3 2" xfId="791" xr:uid="{AE9AB405-644E-45B2-B77B-477FE896D467}"/>
    <cellStyle name="Note 4 2 3 2 3 2 2" xfId="3701" xr:uid="{FE6584CF-0F95-41B8-B79D-796D909E0230}"/>
    <cellStyle name="Note 4 2 3 2 3 2 2 2" xfId="6974" xr:uid="{C8821E41-5BFA-4E5D-9215-CEF135F7E3F7}"/>
    <cellStyle name="Note 4 2 3 2 3 2 3" xfId="790" xr:uid="{D4365371-E4CB-4951-80C3-D461469B5DCE}"/>
    <cellStyle name="Note 4 2 3 2 3 3" xfId="12978" xr:uid="{B558A1A1-3674-4D4F-AF81-AB673E24D3E1}"/>
    <cellStyle name="Note 4 2 3 2 3 3 2" xfId="789" xr:uid="{12622245-1DC3-406E-98B3-86DF87F0A762}"/>
    <cellStyle name="Note 4 2 3 2 3 4" xfId="13645" xr:uid="{F5E24D4E-8EA8-42A6-B904-2DF65DC0F2F7}"/>
    <cellStyle name="Note 4 2 3 2 4" xfId="3753" xr:uid="{8A0AA3CB-2660-410C-9DD7-1547FC3C43F6}"/>
    <cellStyle name="Note 4 2 3 2 4 2" xfId="788" xr:uid="{9FC5A36C-6CE3-4EF0-9EAB-00369962450E}"/>
    <cellStyle name="Note 4 2 3 2 4 2 2" xfId="30282" xr:uid="{6908327A-3260-4382-82ED-07F3686D55CE}"/>
    <cellStyle name="Note 4 2 3 2 4 3" xfId="787" xr:uid="{F40543A4-B8F0-4167-8358-B0229C7D71C0}"/>
    <cellStyle name="Note 4 2 3 2 5" xfId="4260" xr:uid="{EAF252E9-FEE9-4F6A-B382-EAFD5E73016D}"/>
    <cellStyle name="Note 4 2 3 2 5 2" xfId="786" xr:uid="{B9D5A3DC-FC85-488A-A5BA-281C3BA7878F}"/>
    <cellStyle name="Note 4 2 3 2 6" xfId="12497" xr:uid="{CB5D3D8D-6E2D-4A68-9F5A-927463F6AB70}"/>
    <cellStyle name="Note 4 2 3 3" xfId="1014" xr:uid="{D82994EA-B82E-42C3-9AEF-107D4F6D7586}"/>
    <cellStyle name="Note 4 2 3 3 2" xfId="23669" xr:uid="{1CAE3A89-26C4-40F0-AE14-713F8418F837}"/>
    <cellStyle name="Note 4 2 3 3 2 2" xfId="785" xr:uid="{FA323DEE-9E5E-41AF-8570-A410E056ED87}"/>
    <cellStyle name="Note 4 2 3 3 2 2 2" xfId="3660" xr:uid="{125AED15-B9DB-4507-B472-D33DDF3B9FEE}"/>
    <cellStyle name="Note 4 2 3 3 2 2 2 2" xfId="784" xr:uid="{A1E7F6E0-FA2F-43DF-A0E1-870EB13CDE7B}"/>
    <cellStyle name="Note 4 2 3 3 2 2 3" xfId="782" xr:uid="{C3DD9AE5-08D0-4830-9139-EF6402DD3CD8}"/>
    <cellStyle name="Note 4 2 3 3 2 3" xfId="29090" xr:uid="{D53870A9-D8AA-47AA-A72C-03B27574D3EF}"/>
    <cellStyle name="Note 4 2 3 3 2 3 2" xfId="781" xr:uid="{B4D1ED1A-98EB-40C8-A380-6CE5D01E5BB4}"/>
    <cellStyle name="Note 4 2 3 3 2 4" xfId="780" xr:uid="{B297D4F9-E778-4F9F-9CBB-C47388B5195D}"/>
    <cellStyle name="Note 4 2 3 3 3" xfId="21763" xr:uid="{0F152AF3-9CF8-48E6-B02A-FDF843D08701}"/>
    <cellStyle name="Note 4 2 3 3 3 2" xfId="779" xr:uid="{54C1A43D-F11F-4FA7-8696-CF235364B48C}"/>
    <cellStyle name="Note 4 2 3 3 3 2 2" xfId="778" xr:uid="{287659B1-8958-4A4B-BC23-5B820AD458F5}"/>
    <cellStyle name="Note 4 2 3 3 3 3" xfId="777" xr:uid="{F71A509D-1798-4003-ADD9-BD28F605414B}"/>
    <cellStyle name="Note 4 2 3 3 4" xfId="22905" xr:uid="{981DDC8D-D24D-46FB-A23D-14E092C3EDD1}"/>
    <cellStyle name="Note 4 2 3 3 4 2" xfId="776" xr:uid="{4A04ADD2-26E5-485C-B2BA-327DA9A423AA}"/>
    <cellStyle name="Note 4 2 3 3 5" xfId="26060" xr:uid="{E3897F8C-4A5D-41A1-ABE6-F0D96BB7048E}"/>
    <cellStyle name="Note 4 2 3 4" xfId="1012" xr:uid="{B2B0C2AD-891E-43A6-87CE-2457FD2D7D09}"/>
    <cellStyle name="Note 4 2 3 4 2" xfId="21759" xr:uid="{5D69F248-78B4-41A2-8618-77DC998F42C5}"/>
    <cellStyle name="Note 4 2 3 4 2 2" xfId="775" xr:uid="{78E726F2-15C4-4490-BA34-3DD47583823C}"/>
    <cellStyle name="Note 4 2 3 4 2 2 2" xfId="8100" xr:uid="{3C481D1B-2FA8-46FD-B16E-CF911155FD0B}"/>
    <cellStyle name="Note 4 2 3 4 2 3" xfId="774" xr:uid="{6DEE3EF3-88F1-4278-AC7D-5E59A329EC5B}"/>
    <cellStyle name="Note 4 2 3 4 3" xfId="21755" xr:uid="{E6E24A68-E2A4-46F9-BCB7-A20B2187E97F}"/>
    <cellStyle name="Note 4 2 3 4 3 2" xfId="25805" xr:uid="{6AB7CBF5-172D-42E5-AA9F-65F671826ECD}"/>
    <cellStyle name="Note 4 2 3 4 4" xfId="773" xr:uid="{1396FA62-B4C7-4BF8-89A9-5B2E92346AD0}"/>
    <cellStyle name="Note 4 2 3 5" xfId="772" xr:uid="{4775DE5F-261E-40F3-8354-C96F1E36F3B7}"/>
    <cellStyle name="Note 4 2 3 5 2" xfId="29296" xr:uid="{FABC0141-87DA-49F1-81D0-71ACB2E910EB}"/>
    <cellStyle name="Note 4 2 3 5 2 2" xfId="771" xr:uid="{5E32F43E-2563-45C6-8D18-99E35A6A8F34}"/>
    <cellStyle name="Note 4 2 3 5 3" xfId="770" xr:uid="{61D16A62-F87F-4977-AC58-64859CCC7A7E}"/>
    <cellStyle name="Note 4 2 3 6" xfId="9705" xr:uid="{4BA6B760-7740-4AB6-A0AC-797262477904}"/>
    <cellStyle name="Note 4 2 3 6 2" xfId="18060" xr:uid="{4B0BB6BE-AF6F-4ED3-9E8B-308BEF64885E}"/>
    <cellStyle name="Note 4 2 3 7" xfId="28785" xr:uid="{3D260355-B0D8-47D3-93C0-D0339D64162D}"/>
    <cellStyle name="Note 4 2 4" xfId="769" xr:uid="{627657C4-B737-4113-8BAA-F73716FDBEEA}"/>
    <cellStyle name="Note 4 2 4 2" xfId="768" xr:uid="{74E2872D-1601-4F95-9B1C-1E42852038C4}"/>
    <cellStyle name="Note 4 2 4 2 2" xfId="767" xr:uid="{F02F41EB-0F83-404A-AA5E-298E04F6D037}"/>
    <cellStyle name="Note 4 2 4 2 2 2" xfId="766" xr:uid="{2E70EB59-877C-440E-831E-C867124BEB8D}"/>
    <cellStyle name="Note 4 2 4 2 2 2 2" xfId="3471" xr:uid="{BDA2735E-DB40-4916-8FDC-7B891E7F6D5F}"/>
    <cellStyle name="Note 4 2 4 2 2 2 2 2" xfId="765" xr:uid="{A70FC608-0DCC-4962-BDF9-D87BC6759D36}"/>
    <cellStyle name="Note 4 2 4 2 2 2 3" xfId="6345" xr:uid="{72640A47-F0D4-4C13-96E1-FB9B895C7216}"/>
    <cellStyle name="Note 4 2 4 2 2 3" xfId="31476" xr:uid="{A3964D47-0C91-4EBB-8D50-7D1671E2705C}"/>
    <cellStyle name="Note 4 2 4 2 2 3 2" xfId="764" xr:uid="{6F4E57C0-A3D8-4B19-9B01-A524B29B276B}"/>
    <cellStyle name="Note 4 2 4 2 2 4" xfId="3519" xr:uid="{29AB94CE-9462-414F-9BB4-03540046CDEE}"/>
    <cellStyle name="Note 4 2 4 2 3" xfId="763" xr:uid="{CF90B5D0-F021-4A85-888A-EB2ADFF8E4F7}"/>
    <cellStyle name="Note 4 2 4 2 3 2" xfId="762" xr:uid="{8DB91D20-05DC-4E9E-804A-58490C3923C8}"/>
    <cellStyle name="Note 4 2 4 2 3 2 2" xfId="761" xr:uid="{29D58E52-C330-41EE-A10E-24B5AD356585}"/>
    <cellStyle name="Note 4 2 4 2 3 3" xfId="760" xr:uid="{41EF870B-41C2-4D0E-A033-D4F4FA30CA95}"/>
    <cellStyle name="Note 4 2 4 2 4" xfId="759" xr:uid="{7EA050C8-931C-4F24-8D4D-3A71719076AA}"/>
    <cellStyle name="Note 4 2 4 2 4 2" xfId="17688" xr:uid="{5F7B3BE0-906E-4CA7-A698-851D0113C03B}"/>
    <cellStyle name="Note 4 2 4 2 5" xfId="758" xr:uid="{88527347-C85F-4B69-8958-E27C0CB6AC47}"/>
    <cellStyle name="Note 4 2 4 3" xfId="1009" xr:uid="{D28DD6E9-1C0F-44F1-B1B0-752F29D4E064}"/>
    <cellStyle name="Note 4 2 4 3 2" xfId="31943" xr:uid="{1847ADBF-BD60-4D1E-9D21-28C1896FA447}"/>
    <cellStyle name="Note 4 2 4 3 2 2" xfId="757" xr:uid="{2E1F9E79-3705-4443-8965-1997FB946F90}"/>
    <cellStyle name="Note 4 2 4 3 2 2 2" xfId="756" xr:uid="{B74A9174-BD5B-4BF4-B9EE-319FA13A07BB}"/>
    <cellStyle name="Note 4 2 4 3 2 3" xfId="755" xr:uid="{30721350-4EF1-4B9F-9583-25B19ABB7AE1}"/>
    <cellStyle name="Note 4 2 4 3 3" xfId="29666" xr:uid="{4012419F-3DB5-4904-837E-6B6211D5B239}"/>
    <cellStyle name="Note 4 2 4 3 3 2" xfId="754" xr:uid="{452BB94E-B722-4498-90E2-432580E6657E}"/>
    <cellStyle name="Note 4 2 4 3 4" xfId="753" xr:uid="{E8AC41A4-B509-46E1-8726-51A252C48AA9}"/>
    <cellStyle name="Note 4 2 4 4" xfId="752" xr:uid="{48410780-553F-4DDA-A053-32A7FFD21D16}"/>
    <cellStyle name="Note 4 2 4 4 2" xfId="21742" xr:uid="{D98715B5-CFB3-4729-94B7-DD8D95669DE1}"/>
    <cellStyle name="Note 4 2 4 4 2 2" xfId="751" xr:uid="{67FE8180-BF72-4122-91D6-8F58CD13F205}"/>
    <cellStyle name="Note 4 2 4 4 3" xfId="750" xr:uid="{65175EFC-546E-48A6-8A83-62B89D882427}"/>
    <cellStyle name="Note 4 2 4 5" xfId="749" xr:uid="{1142FD74-CB0E-4EF5-A4B9-1EF89304DC95}"/>
    <cellStyle name="Note 4 2 4 5 2" xfId="748" xr:uid="{C2DF3457-3C93-4362-A6FB-895DC091B80C}"/>
    <cellStyle name="Note 4 2 4 6" xfId="18041" xr:uid="{A8A9C49B-0135-4BB2-A77D-90C6F5C3C5E9}"/>
    <cellStyle name="Note 4 2 5" xfId="747" xr:uid="{448C8D95-B010-4D81-BB58-0081A64853CC}"/>
    <cellStyle name="Note 4 2 5 2" xfId="746" xr:uid="{AF805CBD-D36F-42BD-A905-B6B22D2A5349}"/>
    <cellStyle name="Note 4 2 5 2 2" xfId="745" xr:uid="{1AC5323A-9B51-41A0-953C-A953FB9C272A}"/>
    <cellStyle name="Note 4 2 5 2 2 2" xfId="34353" xr:uid="{55C15330-0FDA-4C8F-964F-50E1DDA1D346}"/>
    <cellStyle name="Note 4 2 5 2 2 2 2" xfId="3895" xr:uid="{954D980A-7C23-498F-9D88-906EF499512B}"/>
    <cellStyle name="Note 4 2 5 2 2 3" xfId="33085" xr:uid="{1B1756CC-A45B-4380-9DDE-F0CF79790899}"/>
    <cellStyle name="Note 4 2 5 2 3" xfId="17645" xr:uid="{34444FF0-E852-4565-8EB6-F16DD1D9E380}"/>
    <cellStyle name="Note 4 2 5 2 3 2" xfId="3891" xr:uid="{5F0B5ACF-B8E0-4857-898A-58FD8646C845}"/>
    <cellStyle name="Note 4 2 5 2 4" xfId="744" xr:uid="{5FE9C13F-5522-48B5-8174-8D3F52D0A9E8}"/>
    <cellStyle name="Note 4 2 5 3" xfId="743" xr:uid="{B62AD2F8-20FE-4AD7-BF9F-B9E8AD663CE4}"/>
    <cellStyle name="Note 4 2 5 3 2" xfId="21734" xr:uid="{92677A6B-A1B6-47E4-9E8D-16AAFE2FA354}"/>
    <cellStyle name="Note 4 2 5 3 2 2" xfId="3885" xr:uid="{F28B12AE-42DC-4933-B3CF-C8C701419979}"/>
    <cellStyle name="Note 4 2 5 3 3" xfId="742" xr:uid="{8E399812-174A-4226-963E-B9808EDF6C2F}"/>
    <cellStyle name="Note 4 2 5 4" xfId="741" xr:uid="{0624E818-49B3-4F2E-A72A-6B3B7AB6B2F8}"/>
    <cellStyle name="Note 4 2 5 4 2" xfId="740" xr:uid="{12ADD42F-26F7-4E7C-932E-8907E122A9F6}"/>
    <cellStyle name="Note 4 2 5 5" xfId="739" xr:uid="{F631849C-E607-45C3-941E-81B709859DFA}"/>
    <cellStyle name="Note 4 2 6" xfId="32961" xr:uid="{045AE578-6075-4018-B638-854E05DBC417}"/>
    <cellStyle name="Note 4 2 6 2" xfId="738" xr:uid="{D23A22B8-52AF-473B-8D8B-2556AE49D57D}"/>
    <cellStyle name="Note 4 2 6 2 2" xfId="737" xr:uid="{A6906098-4887-47B9-9EA4-8AA3F300D2E4}"/>
    <cellStyle name="Note 4 2 6 2 2 2" xfId="3836" xr:uid="{DDD24E09-F148-4603-842E-306704A8A36D}"/>
    <cellStyle name="Note 4 2 6 2 3" xfId="736" xr:uid="{FBEE323C-A956-42D8-95DA-36816B29A866}"/>
    <cellStyle name="Note 4 2 6 3" xfId="735" xr:uid="{0B612261-B59C-445E-A496-6785C412C170}"/>
    <cellStyle name="Note 4 2 6 3 2" xfId="734" xr:uid="{2B961271-BAFE-4B2A-8AB8-BB780C3F3B60}"/>
    <cellStyle name="Note 4 2 6 4" xfId="733" xr:uid="{C42819BA-5DF2-46AF-AB22-92964D3C01C7}"/>
    <cellStyle name="Note 4 2 7" xfId="25480" xr:uid="{59C4BABA-B949-4AFD-BA41-37FE72545ADA}"/>
    <cellStyle name="Note 4 2 7 2" xfId="732" xr:uid="{668A213F-ACF6-45D7-A23E-191F894F73C8}"/>
    <cellStyle name="Note 4 2 7 2 2" xfId="731" xr:uid="{CF418F95-2C2D-4AB5-ADF3-7635D24C2544}"/>
    <cellStyle name="Note 4 2 7 3" xfId="730" xr:uid="{870FA801-9505-4622-8E40-D043B0F0DCFE}"/>
    <cellStyle name="Note 4 2 8" xfId="729" xr:uid="{F5D70FBD-DEB6-412E-B3BB-1A77823337E8}"/>
    <cellStyle name="Note 4 2 8 2" xfId="728" xr:uid="{2CE37673-3541-41EE-8AD1-3988C15CB226}"/>
    <cellStyle name="Note 4 2 9" xfId="11831" xr:uid="{99E6F179-E8DC-4795-9017-18140EDA77AC}"/>
    <cellStyle name="Note 4 3" xfId="218" xr:uid="{69ECB7B0-C098-4500-804B-E56D72EC04A0}"/>
    <cellStyle name="Note 4 3 10" xfId="727" xr:uid="{2DDC1FEA-14CA-4727-AC9B-28EBFCBE979D}"/>
    <cellStyle name="Note 4 3 2" xfId="726" xr:uid="{F28DEE32-7263-4CF5-9EFF-98AF28824455}"/>
    <cellStyle name="Note 4 3 2 2" xfId="725" xr:uid="{E1E75BE6-5790-4578-8CE9-FCBD77B23462}"/>
    <cellStyle name="Note 4 3 2 2 2" xfId="724" xr:uid="{1092F65D-8C89-4BE4-8A31-6249D81A2197}"/>
    <cellStyle name="Note 4 3 2 2 2 2" xfId="723" xr:uid="{E8AE3195-104B-488E-B4F7-0E6221215C08}"/>
    <cellStyle name="Note 4 3 2 2 2 2 2" xfId="722" xr:uid="{4DA21187-B1D8-4CB3-A410-83B37705C837}"/>
    <cellStyle name="Note 4 3 2 2 2 2 2 2" xfId="721" xr:uid="{E8F6ED2E-A1C8-48D1-8C6A-AE9A3C9FB3D8}"/>
    <cellStyle name="Note 4 3 2 2 2 2 2 2 2" xfId="720" xr:uid="{B625D017-FABA-4A95-98C2-3C621BDA5865}"/>
    <cellStyle name="Note 4 3 2 2 2 2 2 3" xfId="719" xr:uid="{63972E46-C264-4C2D-94EF-59959228FFEF}"/>
    <cellStyle name="Note 4 3 2 2 2 2 3" xfId="718" xr:uid="{541EE887-B7CC-452C-8CB3-596A165A1F3A}"/>
    <cellStyle name="Note 4 3 2 2 2 2 3 2" xfId="717" xr:uid="{2D040D40-CFCD-43DD-8ACC-97533D4D092A}"/>
    <cellStyle name="Note 4 3 2 2 2 2 4" xfId="9664" xr:uid="{5013210C-0AA3-4C64-83A5-6BCDA2FF22A6}"/>
    <cellStyle name="Note 4 3 2 2 2 3" xfId="716" xr:uid="{BDC31CE7-C7CE-435D-B439-AB5F9F8D351A}"/>
    <cellStyle name="Note 4 3 2 2 2 3 2" xfId="715" xr:uid="{8F6C612D-B09C-4B24-8515-C86B00C64857}"/>
    <cellStyle name="Note 4 3 2 2 2 3 2 2" xfId="34163" xr:uid="{FAD7E147-F5CF-469F-8522-68D39ADFFE60}"/>
    <cellStyle name="Note 4 3 2 2 2 3 3" xfId="714" xr:uid="{2556266D-6318-4655-92DA-5EBB216DC926}"/>
    <cellStyle name="Note 4 3 2 2 2 4" xfId="713" xr:uid="{D52BB341-AB75-4543-9702-E416B9FFED8B}"/>
    <cellStyle name="Note 4 3 2 2 2 4 2" xfId="8747" xr:uid="{CCCE19A3-8193-475F-9006-3CAC2428645A}"/>
    <cellStyle name="Note 4 3 2 2 2 5" xfId="712" xr:uid="{4EA59443-F583-4418-B2A5-38241AE9939A}"/>
    <cellStyle name="Note 4 3 2 2 3" xfId="711" xr:uid="{F60C3883-7CAE-41F5-A2BB-B231A0D16C22}"/>
    <cellStyle name="Note 4 3 2 2 3 2" xfId="20674" xr:uid="{7175081D-C488-491F-8C71-C0BB0E80A838}"/>
    <cellStyle name="Note 4 3 2 2 3 2 2" xfId="710" xr:uid="{E7E746AB-6FDA-44BD-B14C-29195EBDB230}"/>
    <cellStyle name="Note 4 3 2 2 3 2 2 2" xfId="31927" xr:uid="{71B49DDB-6C7E-442A-8875-3E1381F283A3}"/>
    <cellStyle name="Note 4 3 2 2 3 2 3" xfId="709" xr:uid="{3CB484D5-F8FC-461F-81AE-BE314D419F25}"/>
    <cellStyle name="Note 4 3 2 2 3 3" xfId="6525" xr:uid="{9B73A2B5-26DD-4236-B643-4690E685789E}"/>
    <cellStyle name="Note 4 3 2 2 3 3 2" xfId="708" xr:uid="{1174799F-4969-4BFF-B5B4-ABE6960C112A}"/>
    <cellStyle name="Note 4 3 2 2 3 4" xfId="707" xr:uid="{B5AA2E0A-2734-4EFA-A791-7043AA46B1D8}"/>
    <cellStyle name="Note 4 3 2 2 4" xfId="706" xr:uid="{4390ADA0-C245-4EA9-BFE2-F41A4D106A89}"/>
    <cellStyle name="Note 4 3 2 2 4 2" xfId="705" xr:uid="{5FFA8B41-B212-419A-A405-3BDAAF1EF563}"/>
    <cellStyle name="Note 4 3 2 2 4 2 2" xfId="704" xr:uid="{01CECFC4-BBAC-41A2-B5D8-1D99320C4E39}"/>
    <cellStyle name="Note 4 3 2 2 4 3" xfId="703" xr:uid="{24125346-CCAD-4B7C-9A1B-A8E51041FE0C}"/>
    <cellStyle name="Note 4 3 2 2 5" xfId="702" xr:uid="{6DA15F66-3158-4143-80F4-8891E5D009FB}"/>
    <cellStyle name="Note 4 3 2 2 5 2" xfId="701" xr:uid="{0A5B32B6-1497-4BB5-A029-77A3F29CE782}"/>
    <cellStyle name="Note 4 3 2 2 6" xfId="700" xr:uid="{5FA89AE2-1442-4037-8304-2AAEC6D04F5E}"/>
    <cellStyle name="Note 4 3 2 3" xfId="1002" xr:uid="{4B23DFFE-66C2-4CEF-9CF6-D2D22C242F76}"/>
    <cellStyle name="Note 4 3 2 3 2" xfId="23943" xr:uid="{C6D29C4A-7201-499C-9475-1F2B210404ED}"/>
    <cellStyle name="Note 4 3 2 3 2 2" xfId="699" xr:uid="{CB8E7B92-6B26-47C1-BBB6-D78D25A04BED}"/>
    <cellStyle name="Note 4 3 2 3 2 2 2" xfId="698" xr:uid="{2BC34D19-9D4C-453D-A307-199907DF5D74}"/>
    <cellStyle name="Note 4 3 2 3 2 2 2 2" xfId="697" xr:uid="{3EA703FC-FFAC-44A3-AC6F-07C127D10B4B}"/>
    <cellStyle name="Note 4 3 2 3 2 2 3" xfId="696" xr:uid="{8DAFD01C-5CAD-405D-BBC8-7F630B141421}"/>
    <cellStyle name="Note 4 3 2 3 2 3" xfId="695" xr:uid="{C960634C-0B35-4462-AE1E-BFE9F2EAABC0}"/>
    <cellStyle name="Note 4 3 2 3 2 3 2" xfId="694" xr:uid="{41E49768-AC20-4C50-8D8C-F8B1C701E077}"/>
    <cellStyle name="Note 4 3 2 3 2 4" xfId="693" xr:uid="{242968A0-301B-4616-992A-34662052F860}"/>
    <cellStyle name="Note 4 3 2 3 3" xfId="21677" xr:uid="{3014F8FB-6785-435C-BC8C-B513A992A7B7}"/>
    <cellStyle name="Note 4 3 2 3 3 2" xfId="692" xr:uid="{5DF2F8F3-4FC8-4C1C-B817-3EA0CAA4DC54}"/>
    <cellStyle name="Note 4 3 2 3 3 2 2" xfId="691" xr:uid="{DB85FE5D-0E25-4022-9D92-C5ABF9969F10}"/>
    <cellStyle name="Note 4 3 2 3 3 3" xfId="690" xr:uid="{1F4E32CA-BA16-430B-AC43-CE112E51E08F}"/>
    <cellStyle name="Note 4 3 2 3 4" xfId="21671" xr:uid="{4480E289-00D6-4E6B-98AE-4AFE0192D60D}"/>
    <cellStyle name="Note 4 3 2 3 4 2" xfId="689" xr:uid="{604AEF8D-F62D-4550-9273-BAEC681F6029}"/>
    <cellStyle name="Note 4 3 2 3 5" xfId="28066" xr:uid="{D6F95A63-B28F-4921-9E24-BBAC657AA30F}"/>
    <cellStyle name="Note 4 3 2 4" xfId="1000" xr:uid="{F4A75F49-74C7-4059-913F-B7CB205B136F}"/>
    <cellStyle name="Note 4 3 2 4 2" xfId="30601" xr:uid="{55219DE8-387F-4DEC-AA4B-7E3C02274FA6}"/>
    <cellStyle name="Note 4 3 2 4 2 2" xfId="26010" xr:uid="{673B7740-AE3A-4560-A973-FFB64EFB9659}"/>
    <cellStyle name="Note 4 3 2 4 2 2 2" xfId="688" xr:uid="{8E391CE0-1493-480E-AE50-5A4C4FEF1D99}"/>
    <cellStyle name="Note 4 3 2 4 2 3" xfId="687" xr:uid="{06255217-0215-4120-8F27-BF5163CCF36A}"/>
    <cellStyle name="Note 4 3 2 4 3" xfId="21664" xr:uid="{0AD4887A-F7EE-4BD1-A3E8-9EF6443EAC20}"/>
    <cellStyle name="Note 4 3 2 4 3 2" xfId="25448" xr:uid="{187DA4E9-4411-4285-84CB-85EBBE59CCF1}"/>
    <cellStyle name="Note 4 3 2 4 4" xfId="4364" xr:uid="{B2FA52AB-904E-4E76-A523-EDCD46105DEB}"/>
    <cellStyle name="Note 4 3 2 5" xfId="30316" xr:uid="{6ADAE534-337F-46E7-936D-5C8D0DEBDAC8}"/>
    <cellStyle name="Note 4 3 2 5 2" xfId="23460" xr:uid="{3FF8F11F-0316-496E-BAED-003FB4370367}"/>
    <cellStyle name="Note 4 3 2 5 2 2" xfId="686" xr:uid="{CB9C06AD-F056-42C7-9D84-BC37810E524E}"/>
    <cellStyle name="Note 4 3 2 5 3" xfId="685" xr:uid="{B6A38727-D5E1-4BAC-8D87-A7F30D6418CA}"/>
    <cellStyle name="Note 4 3 2 6" xfId="9697" xr:uid="{51B932EC-B452-4353-BDF9-D34E34A567D8}"/>
    <cellStyle name="Note 4 3 2 6 2" xfId="684" xr:uid="{33A43F0A-F23A-417B-84F6-5AB49212513A}"/>
    <cellStyle name="Note 4 3 2 7" xfId="683" xr:uid="{69856C27-F09B-4265-A3F9-A8FF383E4794}"/>
    <cellStyle name="Note 4 3 3" xfId="682" xr:uid="{1CD7007A-FB32-43A0-BAF1-553F234DADDE}"/>
    <cellStyle name="Note 4 3 3 2" xfId="681" xr:uid="{12B33CFD-ABB4-43EA-A8DF-3EF60B3C3D00}"/>
    <cellStyle name="Note 4 3 3 2 2" xfId="680" xr:uid="{169F525D-8FBB-4FEF-883E-A94D4AB9C950}"/>
    <cellStyle name="Note 4 3 3 2 2 2" xfId="679" xr:uid="{3C7BA3F6-E716-4636-AED9-26E33555225A}"/>
    <cellStyle name="Note 4 3 3 2 2 2 2" xfId="1872" xr:uid="{460BE689-DBF9-44A4-80C3-950CF21E6460}"/>
    <cellStyle name="Note 4 3 3 2 2 2 2 2" xfId="2594" xr:uid="{5F0C2EFF-D596-4F89-9C56-EFBC0D9EB98E}"/>
    <cellStyle name="Note 4 3 3 2 2 2 3" xfId="1865" xr:uid="{640447A9-1E33-43FB-83DB-16710C5AE05A}"/>
    <cellStyle name="Note 4 3 3 2 2 3" xfId="28755" xr:uid="{FA627890-EB58-483D-B3F8-B232DE4B49D0}"/>
    <cellStyle name="Note 4 3 3 2 2 3 2" xfId="29807" xr:uid="{22034796-35E9-4896-B63B-FE8A0429CCF3}"/>
    <cellStyle name="Note 4 3 3 2 2 4" xfId="678" xr:uid="{C0D17496-F462-4B40-9EC5-69116261A7E6}"/>
    <cellStyle name="Note 4 3 3 2 3" xfId="3764" xr:uid="{DAE73E88-6327-44E0-B357-6A9D69222F97}"/>
    <cellStyle name="Note 4 3 3 2 3 2" xfId="3762" xr:uid="{1DF1F1E4-3E8C-46D8-921E-E76F1A980834}"/>
    <cellStyle name="Note 4 3 3 2 3 2 2" xfId="1853" xr:uid="{731191CC-00D7-4528-8CA6-35EA0ED48620}"/>
    <cellStyle name="Note 4 3 3 2 3 3" xfId="677" xr:uid="{F277B0C5-5E0E-4793-989A-B9579EC6A98B}"/>
    <cellStyle name="Note 4 3 3 2 4" xfId="3760" xr:uid="{9344B33B-877B-4533-8F11-BD0A92E7E2B6}"/>
    <cellStyle name="Note 4 3 3 2 4 2" xfId="676" xr:uid="{3CDC8217-B470-4143-871E-6F1ED82E707A}"/>
    <cellStyle name="Note 4 3 3 2 5" xfId="4250" xr:uid="{D72F115D-F788-4F9B-9CF0-0C862DE958A8}"/>
    <cellStyle name="Note 4 3 3 3" xfId="997" xr:uid="{8C8379B5-197B-4CBF-B44D-AEFF845F90DF}"/>
    <cellStyle name="Note 4 3 3 3 2" xfId="21658" xr:uid="{AA2F06E8-EC4C-48CF-8F4E-9F3908621437}"/>
    <cellStyle name="Note 4 3 3 3 2 2" xfId="675" xr:uid="{964B6AF1-69EC-4A28-B3A2-B173253A6546}"/>
    <cellStyle name="Note 4 3 3 3 2 2 2" xfId="1716" xr:uid="{794E5578-ECCB-41B9-AE79-D8300D7B44E9}"/>
    <cellStyle name="Note 4 3 3 3 2 3" xfId="674" xr:uid="{64A52E91-569A-4A23-98D6-7F75F616B291}"/>
    <cellStyle name="Note 4 3 3 3 3" xfId="21651" xr:uid="{AF63AD6F-C1D8-46A4-AB4C-33D2415A6372}"/>
    <cellStyle name="Note 4 3 3 3 3 2" xfId="673" xr:uid="{EFBB6E03-7DFC-474D-9AC9-AE0C705D7BE5}"/>
    <cellStyle name="Note 4 3 3 3 4" xfId="4355" xr:uid="{0A5B2CF2-1136-4E7C-BD87-E60D0CB27C53}"/>
    <cellStyle name="Note 4 3 3 4" xfId="672" xr:uid="{CE8D2B0C-5EC2-4A29-82C6-FF4C67FECCDF}"/>
    <cellStyle name="Note 4 3 3 4 2" xfId="21646" xr:uid="{C3D3E68D-6EA9-4CC2-ADEF-E841C8F391C5}"/>
    <cellStyle name="Note 4 3 3 4 2 2" xfId="671" xr:uid="{F973F2E5-01B3-461C-BD3A-A73CBAE7E205}"/>
    <cellStyle name="Note 4 3 3 4 3" xfId="670" xr:uid="{AC9570B6-D9F0-4623-ADF0-180A82D7AED0}"/>
    <cellStyle name="Note 4 3 3 5" xfId="669" xr:uid="{31E44ED4-A2B8-422B-9B86-03C4697CA7BA}"/>
    <cellStyle name="Note 4 3 3 5 2" xfId="668" xr:uid="{4F198154-746A-4F43-8FF3-E25343612917}"/>
    <cellStyle name="Note 4 3 3 6" xfId="667" xr:uid="{9C100A1B-0560-499A-B284-D53979AD0D8E}"/>
    <cellStyle name="Note 4 3 4" xfId="666" xr:uid="{8142F605-093C-4DFF-BF59-B06EC56E4835}"/>
    <cellStyle name="Note 4 3 4 2" xfId="665" xr:uid="{370CB225-CCB0-41E3-9FC8-54821600243F}"/>
    <cellStyle name="Note 4 3 4 2 2" xfId="664" xr:uid="{EF2DEF33-15C3-439C-B5A7-F98EF0B3444D}"/>
    <cellStyle name="Note 4 3 4 2 2 2" xfId="663" xr:uid="{9E683F48-CA3C-4431-A0DC-3B01EB2A2E9A}"/>
    <cellStyle name="Note 4 3 4 2 2 2 2" xfId="3937" xr:uid="{C17D8225-8064-4736-ACE9-9F701E1C0A04}"/>
    <cellStyle name="Note 4 3 4 2 2 3" xfId="662" xr:uid="{AFE545DA-0E0E-4AF5-9BFA-D792A9FAA6B2}"/>
    <cellStyle name="Note 4 3 4 2 3" xfId="3745" xr:uid="{A21C5302-A609-402A-88B4-84C90CC22601}"/>
    <cellStyle name="Note 4 3 4 2 3 2" xfId="661" xr:uid="{B388C57B-E20A-4C54-A395-1968E3E90B1E}"/>
    <cellStyle name="Note 4 3 4 2 4" xfId="660" xr:uid="{08E2DF88-02AD-41B8-AB3B-56A86FD9379A}"/>
    <cellStyle name="Note 4 3 4 3" xfId="659" xr:uid="{03E7080D-6ED0-4CBB-8D39-3F775099C219}"/>
    <cellStyle name="Note 4 3 4 3 2" xfId="21639" xr:uid="{1852A817-3677-47D6-B27A-761E0E995304}"/>
    <cellStyle name="Note 4 3 4 3 2 2" xfId="658" xr:uid="{B31F722A-435F-4EC4-9DAF-CCFFA07C8629}"/>
    <cellStyle name="Note 4 3 4 3 3" xfId="657" xr:uid="{7677F290-32E4-429F-8C22-746A8B2D71C8}"/>
    <cellStyle name="Note 4 3 4 4" xfId="656" xr:uid="{AA3BEAFD-3569-45D4-AF1D-526FB79A86A4}"/>
    <cellStyle name="Note 4 3 4 4 2" xfId="655" xr:uid="{3213A2AA-9AE4-43E6-A21F-471762812C44}"/>
    <cellStyle name="Note 4 3 4 5" xfId="654" xr:uid="{57F21BBE-C00F-46FA-BA2E-AAD1F44AADBC}"/>
    <cellStyle name="Note 4 3 5" xfId="653" xr:uid="{F131D831-FFE0-4083-ABBB-69918116A596}"/>
    <cellStyle name="Note 4 3 5 2" xfId="652" xr:uid="{0E8048EA-A418-4847-92EA-912A699E1E44}"/>
    <cellStyle name="Note 4 3 5 2 2" xfId="651" xr:uid="{D5232C71-C593-4C54-8D2D-70A419C64CF0}"/>
    <cellStyle name="Note 4 3 5 2 2 2" xfId="3740" xr:uid="{B9264C13-569D-4A49-9799-B54554D989CC}"/>
    <cellStyle name="Note 4 3 5 2 3" xfId="8987" xr:uid="{04278B9A-4A9D-40E5-8F5F-6497C5355945}"/>
    <cellStyle name="Note 4 3 5 3" xfId="650" xr:uid="{BDE0D8B8-2D32-4CE3-A097-D4D1F33FF62B}"/>
    <cellStyle name="Note 4 3 5 3 2" xfId="649" xr:uid="{06BAECB1-6840-4B95-9454-060755C383CE}"/>
    <cellStyle name="Note 4 3 5 4" xfId="648" xr:uid="{65B25635-BC49-4744-930E-1C38A5A2179A}"/>
    <cellStyle name="Note 4 3 6" xfId="647" xr:uid="{4636B201-669C-4097-B5E9-1938AF76698E}"/>
    <cellStyle name="Note 4 3 6 2" xfId="646" xr:uid="{0F5FF5D4-C4A1-47FE-9773-3DCE327BBECE}"/>
    <cellStyle name="Note 4 3 6 2 2" xfId="645" xr:uid="{D875A17B-7C54-44DE-8625-CE28AE2E3520}"/>
    <cellStyle name="Note 4 3 6 3" xfId="644" xr:uid="{529BC6DB-691E-4542-9B39-BFC032D2A40C}"/>
    <cellStyle name="Note 4 3 7" xfId="643" xr:uid="{B1CE8200-8DA0-459F-B8BA-D5E62F5FCFA2}"/>
    <cellStyle name="Note 4 3 7 2" xfId="642" xr:uid="{7A7C04CF-C4E1-4450-A059-ED1968FC1811}"/>
    <cellStyle name="Note 4 3 8" xfId="641" xr:uid="{C572028C-5660-4AA7-9AF2-DDFB2E410415}"/>
    <cellStyle name="Note 4 3 9" xfId="34547" xr:uid="{05D529E2-8BE7-4465-BC3E-4B7B0D58DB1F}"/>
    <cellStyle name="Note 4 4" xfId="27949" xr:uid="{52F93828-B4F1-48A6-9857-43986FAD7BD7}"/>
    <cellStyle name="Note 4 4 2" xfId="29818" xr:uid="{DC5EBE09-3D54-4F9C-A3C1-3AC6446C221E}"/>
    <cellStyle name="Note 4 4 2 2" xfId="29813" xr:uid="{FCA98ECB-0CDE-4212-B24F-D237172DEFE3}"/>
    <cellStyle name="Note 4 4 2 2 2" xfId="640" xr:uid="{64C8FBEE-8BDB-47F2-B2E1-E8B1BE1CEDCA}"/>
    <cellStyle name="Note 4 4 2 2 2 2" xfId="17159" xr:uid="{F98979D2-A77A-47AE-B96B-53B467752D9A}"/>
    <cellStyle name="Note 4 4 2 2 2 2 2" xfId="19075" xr:uid="{3C686700-074D-47E5-9F6E-85855863BEB9}"/>
    <cellStyle name="Note 4 4 2 2 2 2 2 2" xfId="14408" xr:uid="{7B5D5F0E-086D-469A-9597-B5DC850296BA}"/>
    <cellStyle name="Note 4 4 2 2 2 2 3" xfId="14405" xr:uid="{9175D3F4-9BF5-4B7A-B2A4-86B971DFF568}"/>
    <cellStyle name="Note 4 4 2 2 2 3" xfId="18509" xr:uid="{6144F4DD-E78C-44E2-AF68-3DF73507FFE9}"/>
    <cellStyle name="Note 4 4 2 2 2 3 2" xfId="19065" xr:uid="{4CE0170A-2E88-4810-A7C3-1A68E0E6850D}"/>
    <cellStyle name="Note 4 4 2 2 2 4" xfId="24385" xr:uid="{0102B93B-4AAF-436B-8825-8AC737B4A6A9}"/>
    <cellStyle name="Note 4 4 2 2 3" xfId="639" xr:uid="{FABD6D8C-8F3A-4F0F-9725-0B40667BA384}"/>
    <cellStyle name="Note 4 4 2 2 3 2" xfId="17144" xr:uid="{D3D1BCE2-036F-4B50-B523-92C156A9FDBA}"/>
    <cellStyle name="Note 4 4 2 2 3 2 2" xfId="14321" xr:uid="{77CE3C72-64D2-4587-866C-29D9B3CC582B}"/>
    <cellStyle name="Note 4 4 2 2 3 3" xfId="18505" xr:uid="{4151BB18-138B-4C2F-8FDA-064A2EB677DD}"/>
    <cellStyle name="Note 4 4 2 2 4" xfId="638" xr:uid="{A77A5763-F263-4F21-8923-EF327800F6C6}"/>
    <cellStyle name="Note 4 4 2 2 4 2" xfId="17129" xr:uid="{96D92660-35FB-4129-A151-F22C08C21D1B}"/>
    <cellStyle name="Note 4 4 2 2 5" xfId="637" xr:uid="{51841857-C153-423C-8A1C-3FB3B01B7532}"/>
    <cellStyle name="Note 4 4 2 3" xfId="5863" xr:uid="{F2D2CF82-EF5B-4211-9B3E-32ADD84F462D}"/>
    <cellStyle name="Note 4 4 2 3 2" xfId="21594" xr:uid="{9B73BE02-5196-442D-9B1E-84AAE9951AEF}"/>
    <cellStyle name="Note 4 4 2 3 2 2" xfId="30521" xr:uid="{588BB35A-C2A8-4EAF-A99A-B9CD91C4A63E}"/>
    <cellStyle name="Note 4 4 2 3 2 2 2" xfId="13982" xr:uid="{18A17D3F-1E11-49DF-86F5-40ED211AC8FE}"/>
    <cellStyle name="Note 4 4 2 3 2 3" xfId="18497" xr:uid="{6A377943-5995-4C05-AE9E-5321D30B3B70}"/>
    <cellStyle name="Note 4 4 2 3 3" xfId="20239" xr:uid="{DB888B2E-8DFF-4C23-853F-FF16A2D0AE36}"/>
    <cellStyle name="Note 4 4 2 3 3 2" xfId="17094" xr:uid="{4CC2AB6A-395B-4DB7-88FE-AA42C8C51A85}"/>
    <cellStyle name="Note 4 4 2 3 4" xfId="636" xr:uid="{DE690D43-88AC-4845-A58B-6F79AD3ABA02}"/>
    <cellStyle name="Note 4 4 2 4" xfId="635" xr:uid="{05142B76-0A0C-488F-83C3-D6401DE21F01}"/>
    <cellStyle name="Note 4 4 2 4 2" xfId="21588" xr:uid="{10F42034-99C9-46A1-9D9E-418E1AF600A5}"/>
    <cellStyle name="Note 4 4 2 4 2 2" xfId="28334" xr:uid="{F06276BE-57ED-4514-9A04-7276A5A553CD}"/>
    <cellStyle name="Note 4 4 2 4 3" xfId="5840" xr:uid="{8B56475A-9B43-49F6-87D7-DB352EE1AC8E}"/>
    <cellStyle name="Note 4 4 2 5" xfId="1297" xr:uid="{A46B4597-849E-4342-8042-9FFD4D96BF2D}"/>
    <cellStyle name="Note 4 4 2 5 2" xfId="634" xr:uid="{327B711B-04D4-45E6-ABD2-C8BE19C8A189}"/>
    <cellStyle name="Note 4 4 2 6" xfId="633" xr:uid="{69C7BA90-1A44-4D07-B3BF-8CC2A1A4EFDC}"/>
    <cellStyle name="Note 4 4 3" xfId="29537" xr:uid="{57E16E09-7A29-428E-9061-6A65CF26C1A9}"/>
    <cellStyle name="Note 4 4 3 2" xfId="632" xr:uid="{14146E7B-0894-46FA-8DC8-ED1136EEF157}"/>
    <cellStyle name="Note 4 4 3 2 2" xfId="631" xr:uid="{7CA22704-6F6A-4364-B19E-72D8CD348FA6}"/>
    <cellStyle name="Note 4 4 3 2 2 2" xfId="17057" xr:uid="{A4BDA574-EAFA-41C4-A192-572AF185C9ED}"/>
    <cellStyle name="Note 4 4 3 2 2 2 2" xfId="17430" xr:uid="{21924A06-C5C9-4EE0-AB47-5B6A04C02FDB}"/>
    <cellStyle name="Note 4 4 3 2 2 3" xfId="30019" xr:uid="{4C98F6AF-087D-41C1-BB60-20400BD207FC}"/>
    <cellStyle name="Note 4 4 3 2 3" xfId="3718" xr:uid="{28B55288-9739-475E-9064-3D3C55733BA9}"/>
    <cellStyle name="Note 4 4 3 2 3 2" xfId="17044" xr:uid="{1FF2505A-3D95-4B0A-A6B0-B4F17FBD59B1}"/>
    <cellStyle name="Note 4 4 3 2 4" xfId="797" xr:uid="{E538575F-E01E-48BE-AAC7-2B22CCA8610C}"/>
    <cellStyle name="Note 4 4 3 3" xfId="630" xr:uid="{27A35574-DBFA-45C6-929C-C03C258949A9}"/>
    <cellStyle name="Note 4 4 3 3 2" xfId="21584" xr:uid="{011E6899-DAC2-4C8F-BF71-ABDF52601EF5}"/>
    <cellStyle name="Note 4 4 3 3 2 2" xfId="5845" xr:uid="{E7316B77-1967-4ABE-BA4F-B773986EAD89}"/>
    <cellStyle name="Note 4 4 3 3 3" xfId="795" xr:uid="{C5CF1F99-ABEA-49D2-8C13-CDA150BFC187}"/>
    <cellStyle name="Note 4 4 3 4" xfId="629" xr:uid="{9A861788-1ACE-45A2-863E-D15DD24C4CCF}"/>
    <cellStyle name="Note 4 4 3 4 2" xfId="628" xr:uid="{EB2B4ED6-DEC3-493E-B0C5-70FC02B10B69}"/>
    <cellStyle name="Note 4 4 3 5" xfId="627" xr:uid="{07FB4A3F-DA7D-4E12-AD46-0AFC82F29423}"/>
    <cellStyle name="Note 4 4 4" xfId="626" xr:uid="{C2905033-3C50-4034-95D6-84FBA1407A0D}"/>
    <cellStyle name="Note 4 4 4 2" xfId="625" xr:uid="{ADA6E8C2-9790-419C-AAB8-28E4D7FA1EF7}"/>
    <cellStyle name="Note 4 4 4 2 2" xfId="624" xr:uid="{F88AAEE1-10DD-441C-B224-CBC2966E52C2}"/>
    <cellStyle name="Note 4 4 4 2 2 2" xfId="17008" xr:uid="{837D1C88-2971-4FD8-8522-7ED530A1981D}"/>
    <cellStyle name="Note 4 4 4 2 3" xfId="5531" xr:uid="{4F423095-C28F-4DB5-90DA-1A5CA1FD5622}"/>
    <cellStyle name="Note 4 4 4 3" xfId="623" xr:uid="{0034F9AA-1032-4D99-B8F4-3E5B9E8D12A1}"/>
    <cellStyle name="Note 4 4 4 3 2" xfId="622" xr:uid="{359D161C-8D83-45DF-81AD-288A16FE35A3}"/>
    <cellStyle name="Note 4 4 4 4" xfId="621" xr:uid="{2C9388E3-B154-45ED-9F79-E5752941EBE9}"/>
    <cellStyle name="Note 4 4 5" xfId="620" xr:uid="{CFC6ECBF-8FE3-49A1-9CDE-C79353EA6B0A}"/>
    <cellStyle name="Note 4 4 5 2" xfId="619" xr:uid="{7BED887B-F098-4A19-B13B-0F674501B882}"/>
    <cellStyle name="Note 4 4 5 2 2" xfId="20603" xr:uid="{D58194F5-318B-4549-B77D-2BA2B267A7BE}"/>
    <cellStyle name="Note 4 4 5 3" xfId="618" xr:uid="{84EAEAF8-4A37-41D7-8F57-A08A575D70AF}"/>
    <cellStyle name="Note 4 4 6" xfId="617" xr:uid="{A3658C2F-073B-45AE-92B2-9DB732EB1F5C}"/>
    <cellStyle name="Note 4 4 6 2" xfId="616" xr:uid="{95DC4B0D-6E67-4FAF-B4D1-4517F0636FDD}"/>
    <cellStyle name="Note 4 4 7" xfId="615" xr:uid="{17E67387-C717-4D60-945E-8B509D211B35}"/>
    <cellStyle name="Note 4 4 8" xfId="34768" xr:uid="{9558CDCC-F615-46DB-ABD7-85D5260E386A}"/>
    <cellStyle name="Note 4 5" xfId="22400" xr:uid="{D1A9E5B4-76DA-4B14-9932-ADB3BF7AD8A7}"/>
    <cellStyle name="Note 4 5 2" xfId="29511" xr:uid="{91E282B1-871C-4C53-83E5-CAAC96E1CF86}"/>
    <cellStyle name="Note 4 5 2 2" xfId="614" xr:uid="{45E4B8ED-30B7-4925-AD2F-982DCE945B8D}"/>
    <cellStyle name="Note 4 5 2 2 2" xfId="7054" xr:uid="{1D41E9FC-FF2A-4077-BAF6-1D4FDAEBD41D}"/>
    <cellStyle name="Note 4 5 2 2 2 2" xfId="613" xr:uid="{E362A09C-36A3-4C2E-8B4C-029645AE73C8}"/>
    <cellStyle name="Note 4 5 2 2 2 2 2" xfId="612" xr:uid="{644C8778-7A71-4603-8F87-62C98BC525E0}"/>
    <cellStyle name="Note 4 5 2 2 2 3" xfId="1389" xr:uid="{CC28AE4D-4B26-4B59-A85C-73474D02ACB1}"/>
    <cellStyle name="Note 4 5 2 2 3" xfId="15798" xr:uid="{5DD4A532-77FA-4E9F-94E0-9E501BE29042}"/>
    <cellStyle name="Note 4 5 2 2 3 2" xfId="611" xr:uid="{98F63F6D-B1F1-453F-B244-A41D135362D3}"/>
    <cellStyle name="Note 4 5 2 2 4" xfId="7047" xr:uid="{43236BAE-BCBC-4B1F-B135-77AB40ABF382}"/>
    <cellStyle name="Note 4 5 2 3" xfId="610" xr:uid="{0E897A71-795D-4E6E-8473-62ED79A9AD60}"/>
    <cellStyle name="Note 4 5 2 3 2" xfId="21560" xr:uid="{A4D9809A-6173-423B-AF90-510412C7CF33}"/>
    <cellStyle name="Note 4 5 2 3 2 2" xfId="2534" xr:uid="{6F46212C-6685-42F6-B9E4-623CB5B0EBC6}"/>
    <cellStyle name="Note 4 5 2 3 3" xfId="7029" xr:uid="{D16D1522-C41C-4041-8BE2-F901643C3C66}"/>
    <cellStyle name="Note 4 5 2 4" xfId="609" xr:uid="{DE89673F-419D-4A42-AB69-35A4B93D8FD0}"/>
    <cellStyle name="Note 4 5 2 4 2" xfId="7017" xr:uid="{45D9E9A7-2D8D-4B18-AF2D-3A496CCCB1CF}"/>
    <cellStyle name="Note 4 5 2 5" xfId="608" xr:uid="{B1548086-44F7-4B63-9FDE-6AA3FFF0CED7}"/>
    <cellStyle name="Note 4 5 3" xfId="607" xr:uid="{5264A976-6AF5-4D29-9ACB-B4A6FB02B165}"/>
    <cellStyle name="Note 4 5 3 2" xfId="606" xr:uid="{A91C0574-7B07-48DD-B9B5-3AD551D18B39}"/>
    <cellStyle name="Note 4 5 3 2 2" xfId="6979" xr:uid="{045322AA-9859-44BE-B75B-6998372B3FD8}"/>
    <cellStyle name="Note 4 5 3 2 2 2" xfId="605" xr:uid="{79557D14-3E4B-4756-BF10-B3A0AC580F54}"/>
    <cellStyle name="Note 4 5 3 2 3" xfId="6973" xr:uid="{FF12A32E-0AB3-47CC-9CE7-B4D20815E479}"/>
    <cellStyle name="Note 4 5 3 3" xfId="604" xr:uid="{BFCBEAAD-8CD6-4A22-A3F3-5DCF0ABD9D1C}"/>
    <cellStyle name="Note 4 5 3 3 2" xfId="6961" xr:uid="{F75E0070-5DB9-4140-877C-2A3FC933E1D6}"/>
    <cellStyle name="Note 4 5 3 4" xfId="603" xr:uid="{A217B8DE-5782-4275-8F28-F35FCDDDA387}"/>
    <cellStyle name="Note 4 5 4" xfId="602" xr:uid="{18DFD367-7AB6-482E-96F1-9F151886AF66}"/>
    <cellStyle name="Note 4 5 4 2" xfId="34344" xr:uid="{EC056114-BD84-4BA4-ABF5-14000D4B76D0}"/>
    <cellStyle name="Note 4 5 4 2 2" xfId="6937" xr:uid="{699AFBD8-FB79-4AB6-BBBB-B8EB221098C0}"/>
    <cellStyle name="Note 4 5 4 3" xfId="601" xr:uid="{6D343D35-41D2-4E7B-BB0E-BE3E8B37B090}"/>
    <cellStyle name="Note 4 5 5" xfId="600" xr:uid="{FB9F4EC0-59CD-483B-B5E6-55798E634A27}"/>
    <cellStyle name="Note 4 5 5 2" xfId="599" xr:uid="{4FFF05B9-3CDD-4880-8A88-6F994D231A38}"/>
    <cellStyle name="Note 4 5 6" xfId="15065" xr:uid="{22DDD796-9D1C-4BA5-B272-3B2A1BFE672E}"/>
    <cellStyle name="Note 4 5 7" xfId="34958" xr:uid="{094E6B6D-361E-4CB5-9E0A-F5B37158ED0A}"/>
    <cellStyle name="Note 4 6" xfId="31558" xr:uid="{43484819-1B1F-49F4-A661-2A61542EE600}"/>
    <cellStyle name="Note 4 6 2" xfId="22180" xr:uid="{22574D8A-8A62-4441-8118-4AB255107794}"/>
    <cellStyle name="Note 4 6 2 2" xfId="598" xr:uid="{184877E6-2447-4881-AA9C-AAD80F0FCCA1}"/>
    <cellStyle name="Note 4 6 2 2 2" xfId="22234" xr:uid="{28EEB840-6559-4A54-978E-64790107DF55}"/>
    <cellStyle name="Note 4 6 2 2 2 2" xfId="597" xr:uid="{FC38F9AF-EEA3-4459-AF98-C711AF560EB9}"/>
    <cellStyle name="Note 4 6 2 2 3" xfId="6866" xr:uid="{D162CB6A-DE9A-40D3-B929-694DE2511286}"/>
    <cellStyle name="Note 4 6 2 3" xfId="17737" xr:uid="{F2ADFAE6-B420-4662-A9B8-C209C2A30B3D}"/>
    <cellStyle name="Note 4 6 2 3 2" xfId="25419" xr:uid="{8EBDF9AD-0298-4A9E-9F84-0D536CD87426}"/>
    <cellStyle name="Note 4 6 2 4" xfId="18990" xr:uid="{9B3795BF-F629-4248-A6DE-0CA1C477F9BC}"/>
    <cellStyle name="Note 4 6 3" xfId="596" xr:uid="{57E7757E-1912-4AEE-B498-B6CE2196C67D}"/>
    <cellStyle name="Note 4 6 3 2" xfId="595" xr:uid="{FF34059A-603A-4A85-B2A4-1577DBF309CC}"/>
    <cellStyle name="Note 4 6 3 2 2" xfId="6829" xr:uid="{C89217D8-C0C6-47F6-B716-B48A9C3A2AB0}"/>
    <cellStyle name="Note 4 6 3 3" xfId="18983" xr:uid="{0DF4F75F-FA30-4DA4-922F-4F1A76ADCF40}"/>
    <cellStyle name="Note 4 6 4" xfId="594" xr:uid="{3F6E7A46-E47F-4573-AF20-FEAA7399F3C6}"/>
    <cellStyle name="Note 4 6 4 2" xfId="593" xr:uid="{BD08B238-44F5-4C03-964C-15FB83533214}"/>
    <cellStyle name="Note 4 6 5" xfId="592" xr:uid="{C9405BC8-24E8-4F14-ACBC-9B9597A56548}"/>
    <cellStyle name="Note 4 6 6" xfId="35163" xr:uid="{AC801A2C-D4CC-4F5F-AD2D-A96557897CFA}"/>
    <cellStyle name="Note 4 7" xfId="16758" xr:uid="{D3E42DA5-1ADD-4F91-9F7C-F89C4ED54C10}"/>
    <cellStyle name="Note 4 7 2" xfId="23560" xr:uid="{1E6F687F-B8AA-4486-B8A0-8BD4E041F50A}"/>
    <cellStyle name="Note 4 7 2 2" xfId="591" xr:uid="{F8387D5D-DBDC-40D1-89CE-1FA6601DB7FB}"/>
    <cellStyle name="Note 4 7 2 2 2" xfId="21922" xr:uid="{2092145E-0411-4186-BEBE-D20DBE5DDE09}"/>
    <cellStyle name="Note 4 7 2 3" xfId="18965" xr:uid="{69E902A3-49FE-48A6-BE6B-73299AC4C0B8}"/>
    <cellStyle name="Note 4 7 3" xfId="590" xr:uid="{7FE3362A-DD56-4040-BBD7-8BCCA0C32CBC}"/>
    <cellStyle name="Note 4 7 3 2" xfId="589" xr:uid="{96E95B56-9727-4638-869A-0A93712F6AF1}"/>
    <cellStyle name="Note 4 7 4" xfId="874" xr:uid="{7B50D11B-B1E8-442F-A9E1-0C6728885EA0}"/>
    <cellStyle name="Note 4 7 5" xfId="35392" xr:uid="{23849AB5-3DF2-4A8B-9ECA-801DCA0460B6}"/>
    <cellStyle name="Note 4 8" xfId="588" xr:uid="{6D63ACD5-FE2D-415E-A829-3E7CD878FA6A}"/>
    <cellStyle name="Note 4 8 2" xfId="587" xr:uid="{A031F506-7C72-4559-8B40-16991192CFA1}"/>
    <cellStyle name="Note 4 8 2 2" xfId="586" xr:uid="{54E878EB-6B81-4B09-BD11-8EDBE4092F1F}"/>
    <cellStyle name="Note 4 8 3" xfId="585" xr:uid="{B4D6084B-C42F-4E88-B54C-E3F8916B9DED}"/>
    <cellStyle name="Note 4 8 4" xfId="36264" xr:uid="{3FF0E45A-F513-4F0E-84A6-F847E9437CF8}"/>
    <cellStyle name="Note 4 9" xfId="584" xr:uid="{2F22CBD0-B204-49A4-AF62-F1E52757EB87}"/>
    <cellStyle name="Note 4 9 2" xfId="583" xr:uid="{36842C60-FF7B-4A3F-94A0-A6BEB5524275}"/>
    <cellStyle name="Note 4 9 3" xfId="36550" xr:uid="{DC2A2CB4-915A-45A1-A9A6-44E0D4E0E89A}"/>
    <cellStyle name="Note 40" xfId="36069" xr:uid="{CBFF61F6-E237-4E18-B956-E78831CDAB5B}"/>
    <cellStyle name="Note 40 2" xfId="37238" xr:uid="{7378CE54-36FD-4732-92D6-34CA951B22FB}"/>
    <cellStyle name="Note 40 3" xfId="38136" xr:uid="{443D6ECD-585B-4B13-9049-EFD9495A68BA}"/>
    <cellStyle name="Note 41" xfId="36089" xr:uid="{50B6498F-C6F9-46DF-8918-D5BDF54B4D20}"/>
    <cellStyle name="Note 41 2" xfId="37258" xr:uid="{6C7926F0-3E01-4BBB-A388-B2A81740CC50}"/>
    <cellStyle name="Note 41 3" xfId="38156" xr:uid="{4B4A8BAB-D23F-4CA7-8E26-7AF66ACB2E15}"/>
    <cellStyle name="Note 42" xfId="36109" xr:uid="{EC744C9D-2660-4B9E-A95B-C20A69EBA64E}"/>
    <cellStyle name="Note 42 2" xfId="37278" xr:uid="{1E7322C1-F2ED-438D-970E-A53E53636965}"/>
    <cellStyle name="Note 42 3" xfId="38176" xr:uid="{E454465F-2FA9-4412-ADA1-3C4A37565F65}"/>
    <cellStyle name="Note 43" xfId="36129" xr:uid="{46743605-DB84-493F-8062-FC777EF97727}"/>
    <cellStyle name="Note 43 2" xfId="37298" xr:uid="{E547BFE4-F5B9-48C8-8BC5-5E71B99C0FF0}"/>
    <cellStyle name="Note 43 3" xfId="38196" xr:uid="{E767DD89-0238-4527-9AC1-9432AC0CF6B3}"/>
    <cellStyle name="Note 44" xfId="36149" xr:uid="{8AC9B838-557D-4F6B-96F1-07C0B4E155DE}"/>
    <cellStyle name="Note 44 2" xfId="37318" xr:uid="{93452881-3B15-4847-9219-A41F2BDFADCC}"/>
    <cellStyle name="Note 44 3" xfId="38216" xr:uid="{07D4314C-F53D-4E47-B5E6-3C3A96A3A9E4}"/>
    <cellStyle name="Note 45" xfId="36169" xr:uid="{109B71EA-2489-4735-831A-352638F645C8}"/>
    <cellStyle name="Note 45 2" xfId="37338" xr:uid="{70E71CEE-5528-49F7-87E2-D30003168FD5}"/>
    <cellStyle name="Note 45 3" xfId="38236" xr:uid="{3B8EDB6B-1DAF-4EF2-94B6-58241F3A88E5}"/>
    <cellStyle name="Note 46" xfId="36189" xr:uid="{5EE881AD-BF3D-4C20-A9A3-5CBA8447672B}"/>
    <cellStyle name="Note 46 2" xfId="37358" xr:uid="{A9B6663C-AF29-46C2-AC0E-A5EA400C4628}"/>
    <cellStyle name="Note 46 3" xfId="38256" xr:uid="{7149E9CA-7FF6-48CE-8EE4-A440D6A74041}"/>
    <cellStyle name="Note 47" xfId="36209" xr:uid="{74AD9545-332F-4AAD-B9CF-625E7A477A9E}"/>
    <cellStyle name="Note 47 2" xfId="38276" xr:uid="{9F3E994E-A1E0-43E0-82C6-BFF10969AA7B}"/>
    <cellStyle name="Note 5" xfId="238" xr:uid="{DCF68B6F-48C7-4705-A6C9-0849B31A55D9}"/>
    <cellStyle name="Note 5 10" xfId="34561" xr:uid="{9873AEB8-F4E3-495A-B94E-B17000B47CEE}"/>
    <cellStyle name="Note 5 11" xfId="582" xr:uid="{B25CFD0E-776B-4953-AFE4-9DB32D2421C2}"/>
    <cellStyle name="Note 5 2" xfId="581" xr:uid="{F7C7657F-F3D4-4372-8F76-E95451A51137}"/>
    <cellStyle name="Note 5 2 2" xfId="580" xr:uid="{F6962CC5-6385-46B4-BC01-CB5F9FDDF905}"/>
    <cellStyle name="Note 5 2 2 2" xfId="579" xr:uid="{A466562C-772C-4135-AAAA-9652B264CC2A}"/>
    <cellStyle name="Note 5 2 2 2 2" xfId="578" xr:uid="{F9F4A657-7FE5-41DD-BA15-CB392389790C}"/>
    <cellStyle name="Note 5 2 2 2 2 2" xfId="577" xr:uid="{F75F976E-EFD8-4C50-9127-2FE02C15BDCB}"/>
    <cellStyle name="Note 5 2 2 2 2 2 2" xfId="576" xr:uid="{009DBE9C-5D2A-494F-9A92-118373F36897}"/>
    <cellStyle name="Note 5 2 2 2 2 2 2 2" xfId="4962" xr:uid="{1CC7C217-BC05-449D-BCE3-490E8BCD19AA}"/>
    <cellStyle name="Note 5 2 2 2 2 2 2 2 2" xfId="575" xr:uid="{AD198D69-F625-4B5F-A145-66F291664F38}"/>
    <cellStyle name="Note 5 2 2 2 2 2 2 3" xfId="2397" xr:uid="{4D64C896-8C9F-4813-BBF8-AAE5856B5AC5}"/>
    <cellStyle name="Note 5 2 2 2 2 2 3" xfId="23104" xr:uid="{D45CC303-AE52-4F73-A7B1-B5D7BDD2D808}"/>
    <cellStyle name="Note 5 2 2 2 2 2 3 2" xfId="23672" xr:uid="{ED19A7C9-6235-44D1-9EBA-AEE33040773A}"/>
    <cellStyle name="Note 5 2 2 2 2 2 4" xfId="20642" xr:uid="{CFDB897E-CA5D-44EC-B7DB-F0E33B793C8A}"/>
    <cellStyle name="Note 5 2 2 2 2 3" xfId="16951" xr:uid="{16B6CBAF-A04F-44E1-9B8A-57D0FE70EF62}"/>
    <cellStyle name="Note 5 2 2 2 2 3 2" xfId="574" xr:uid="{EF012435-6597-4166-9A8C-37498D170514}"/>
    <cellStyle name="Note 5 2 2 2 2 3 2 2" xfId="573" xr:uid="{48718257-7CD8-4ACC-BF72-4F0B218C36E3}"/>
    <cellStyle name="Note 5 2 2 2 2 3 3" xfId="34134" xr:uid="{AD94F45C-54FB-485D-AAC4-A31EFE98E6BB}"/>
    <cellStyle name="Note 5 2 2 2 2 4" xfId="2670" xr:uid="{1E03184D-108E-4F77-BECB-49DEDA2833D5}"/>
    <cellStyle name="Note 5 2 2 2 2 4 2" xfId="572" xr:uid="{A582F98E-BDA0-45ED-B90B-91EF53B05C53}"/>
    <cellStyle name="Note 5 2 2 2 2 5" xfId="838" xr:uid="{495C3B45-D1ED-4D5E-885E-F483EC07F0DE}"/>
    <cellStyle name="Note 5 2 2 2 3" xfId="571" xr:uid="{F89AE12D-4F25-4137-B391-25162D037D1F}"/>
    <cellStyle name="Note 5 2 2 2 3 2" xfId="570" xr:uid="{55517AF0-B38B-4871-B490-DAB458C50E42}"/>
    <cellStyle name="Note 5 2 2 2 3 2 2" xfId="569" xr:uid="{28956CE7-5771-4866-8795-DFAA8398E1EA}"/>
    <cellStyle name="Note 5 2 2 2 3 2 2 2" xfId="34161" xr:uid="{F289704D-2C80-4E65-BD90-76C28C447034}"/>
    <cellStyle name="Note 5 2 2 2 3 2 3" xfId="34282" xr:uid="{ADB33C36-0375-486E-9EF3-85E5925FE5DB}"/>
    <cellStyle name="Note 5 2 2 2 3 3" xfId="25664" xr:uid="{92DC961D-344F-41C6-97BF-1EBC3D3FE781}"/>
    <cellStyle name="Note 5 2 2 2 3 3 2" xfId="568" xr:uid="{55FEDEC2-F80C-4F95-99B8-9061A4FB1EF2}"/>
    <cellStyle name="Note 5 2 2 2 3 4" xfId="3186" xr:uid="{7425B2F5-5DB9-4A3D-89F4-529E65FC229F}"/>
    <cellStyle name="Note 5 2 2 2 4" xfId="567" xr:uid="{C16F19D9-6EB5-4204-A557-133A67032C9A}"/>
    <cellStyle name="Note 5 2 2 2 4 2" xfId="566" xr:uid="{A6DACC13-1266-4ED9-81C7-8BFC11D64E50}"/>
    <cellStyle name="Note 5 2 2 2 4 2 2" xfId="565" xr:uid="{50633FCD-90D5-43AA-A205-0137F622E6F8}"/>
    <cellStyle name="Note 5 2 2 2 4 3" xfId="564" xr:uid="{CF111490-59F3-4341-B1EE-023252148BC0}"/>
    <cellStyle name="Note 5 2 2 2 5" xfId="563" xr:uid="{4F60426D-6757-4A6D-8D29-304B26A93A96}"/>
    <cellStyle name="Note 5 2 2 2 5 2" xfId="562" xr:uid="{5A2F7ED8-3322-45EC-8BB5-3EF73B0CB936}"/>
    <cellStyle name="Note 5 2 2 2 6" xfId="561" xr:uid="{B60C74A7-1FF6-4393-AE79-58C7326FE45A}"/>
    <cellStyle name="Note 5 2 2 3" xfId="3857" xr:uid="{C433ECB5-1E6E-46FF-94EC-2A9442F0452A}"/>
    <cellStyle name="Note 5 2 2 3 2" xfId="30442" xr:uid="{F1CDEF5C-EB21-4F9B-9574-A94588AF9DCE}"/>
    <cellStyle name="Note 5 2 2 3 2 2" xfId="560" xr:uid="{50B9C328-0D46-4A36-8395-6CB434C34195}"/>
    <cellStyle name="Note 5 2 2 3 2 2 2" xfId="23050" xr:uid="{218057AB-94BA-4230-A916-8B4EDEEF9025}"/>
    <cellStyle name="Note 5 2 2 3 2 2 2 2" xfId="559" xr:uid="{3B7127D2-8136-4F60-936E-2ECE3C2A3A30}"/>
    <cellStyle name="Note 5 2 2 3 2 2 3" xfId="20424" xr:uid="{5BE907FE-8E09-4DED-AC39-8341F4973122}"/>
    <cellStyle name="Note 5 2 2 3 2 3" xfId="558" xr:uid="{14DACC52-C1CD-4AE5-9ED7-F1157CA8AC22}"/>
    <cellStyle name="Note 5 2 2 3 2 3 2" xfId="557" xr:uid="{1381FEA4-E4AE-47A8-8AA8-8E34B190634D}"/>
    <cellStyle name="Note 5 2 2 3 2 4" xfId="556" xr:uid="{9F688834-0942-4587-88D1-E75F3FD6B9FE}"/>
    <cellStyle name="Note 5 2 2 3 3" xfId="30175" xr:uid="{B0796A43-97D3-4698-882A-43D01E8F3B94}"/>
    <cellStyle name="Note 5 2 2 3 3 2" xfId="555" xr:uid="{9B509F08-054F-4C1A-889E-8C2215C3450A}"/>
    <cellStyle name="Note 5 2 2 3 3 2 2" xfId="554" xr:uid="{6EFBC8A4-B08D-45E6-9637-3905280FF9E3}"/>
    <cellStyle name="Note 5 2 2 3 3 3" xfId="553" xr:uid="{5D2B687D-D186-4F10-89B7-850006BF692C}"/>
    <cellStyle name="Note 5 2 2 3 4" xfId="21384" xr:uid="{98949BB3-2CEF-4C0B-81A2-F4E725897427}"/>
    <cellStyle name="Note 5 2 2 3 4 2" xfId="552" xr:uid="{00C819FB-73E4-41B1-86A5-826FC6D0FBEC}"/>
    <cellStyle name="Note 5 2 2 3 5" xfId="25491" xr:uid="{BF943B1D-8F4A-4262-B2A7-58237057588A}"/>
    <cellStyle name="Note 5 2 2 4" xfId="980" xr:uid="{E6F68AB5-5827-42B3-B1BF-2375BD450665}"/>
    <cellStyle name="Note 5 2 2 4 2" xfId="29711" xr:uid="{195BA447-81EA-4A1D-B0CE-D370BFC876EA}"/>
    <cellStyle name="Note 5 2 2 4 2 2" xfId="551" xr:uid="{938F8D7D-89B4-427E-A9DF-2642D7CC2B20}"/>
    <cellStyle name="Note 5 2 2 4 2 2 2" xfId="550" xr:uid="{25CD2D64-AE1F-437C-B8C6-CB2B558C9705}"/>
    <cellStyle name="Note 5 2 2 4 2 3" xfId="549" xr:uid="{B27D78B8-1C99-48E3-BD7E-A7866C35D80F}"/>
    <cellStyle name="Note 5 2 2 4 3" xfId="21382" xr:uid="{F95FBA6B-786B-429B-9FB2-8B07A0249EB6}"/>
    <cellStyle name="Note 5 2 2 4 3 2" xfId="31616" xr:uid="{7C693A8D-6E06-4A0C-9AB7-31E812154F6D}"/>
    <cellStyle name="Note 5 2 2 4 4" xfId="548" xr:uid="{4BF64E86-D94F-4AAF-B28D-78ADA7EA3ECE}"/>
    <cellStyle name="Note 5 2 2 5" xfId="547" xr:uid="{94EB162D-9D30-449E-B9EA-F489BE90A989}"/>
    <cellStyle name="Note 5 2 2 5 2" xfId="21380" xr:uid="{BE812224-63A4-44D2-9875-2F217F6A8CBE}"/>
    <cellStyle name="Note 5 2 2 5 2 2" xfId="30415" xr:uid="{44FC4A2E-97C4-47F7-9924-700DC15C436E}"/>
    <cellStyle name="Note 5 2 2 5 3" xfId="546" xr:uid="{FF715A28-50FA-44AD-A9A0-069DE383D25A}"/>
    <cellStyle name="Note 5 2 2 6" xfId="9687" xr:uid="{8F9B844E-F03B-40F1-B021-4A09399D47B3}"/>
    <cellStyle name="Note 5 2 2 6 2" xfId="545" xr:uid="{3E2BBB59-8A93-4632-87F0-DBB19A00E936}"/>
    <cellStyle name="Note 5 2 2 7" xfId="544" xr:uid="{A00EDDB9-8ACA-4D9C-938C-3EB3D5FDAD49}"/>
    <cellStyle name="Note 5 2 3" xfId="543" xr:uid="{EB76086F-2457-4DEB-B351-3B7C0ED0A614}"/>
    <cellStyle name="Note 5 2 3 2" xfId="542" xr:uid="{A2AED102-048A-46E6-9AC8-E1AFF0D19520}"/>
    <cellStyle name="Note 5 2 3 2 2" xfId="541" xr:uid="{43C4AE3E-2DA7-407D-9296-3F6D41D4CB8A}"/>
    <cellStyle name="Note 5 2 3 2 2 2" xfId="20069" xr:uid="{06B46694-7C27-46B7-90A1-16D81C2E2672}"/>
    <cellStyle name="Note 5 2 3 2 2 2 2" xfId="29786" xr:uid="{639479E4-5B43-4987-B7C6-4A3D78D7362E}"/>
    <cellStyle name="Note 5 2 3 2 2 2 2 2" xfId="540" xr:uid="{16767295-EC77-4A09-90ED-543BFB6A850A}"/>
    <cellStyle name="Note 5 2 3 2 2 2 3" xfId="32216" xr:uid="{F8319446-1FE2-4EBA-BF9C-7007E1D4C85B}"/>
    <cellStyle name="Note 5 2 3 2 2 3" xfId="20059" xr:uid="{FD030FCA-8F81-436B-A67A-74F0C5114F2D}"/>
    <cellStyle name="Note 5 2 3 2 2 3 2" xfId="539" xr:uid="{44FED5C7-DF03-4C5D-B168-6680B7FD1DC3}"/>
    <cellStyle name="Note 5 2 3 2 2 4" xfId="20053" xr:uid="{E9FB60DF-C122-468A-A302-30F46BA4E3EE}"/>
    <cellStyle name="Note 5 2 3 2 3" xfId="538" xr:uid="{E1153866-67B3-4737-B9F4-9B6DF0D7EBAB}"/>
    <cellStyle name="Note 5 2 3 2 3 2" xfId="28079" xr:uid="{0179EBF6-8C08-41E3-A41F-0FA518437B30}"/>
    <cellStyle name="Note 5 2 3 2 3 2 2" xfId="6196" xr:uid="{D505B6E3-DD16-47A2-8112-3779CD2285CD}"/>
    <cellStyle name="Note 5 2 3 2 3 3" xfId="28075" xr:uid="{AACD6C68-1C9B-4841-B0D0-ED8C8BE8B3D2}"/>
    <cellStyle name="Note 5 2 3 2 4" xfId="537" xr:uid="{5D0E2177-2BE9-4CAD-AE04-8D7D6FD06DC6}"/>
    <cellStyle name="Note 5 2 3 2 4 2" xfId="21274" xr:uid="{7BE3907C-82CF-47AF-B64B-0375E7C9BC56}"/>
    <cellStyle name="Note 5 2 3 2 5" xfId="536" xr:uid="{FC9741F0-8700-4E69-B601-0F463BACEB8F}"/>
    <cellStyle name="Note 5 2 3 3" xfId="978" xr:uid="{DB31C2BF-6777-4164-8D54-8CCE744E5EFB}"/>
    <cellStyle name="Note 5 2 3 3 2" xfId="30141" xr:uid="{9847752D-95BC-4010-982E-78ACEBE7595C}"/>
    <cellStyle name="Note 5 2 3 3 2 2" xfId="25993" xr:uid="{31FB1A47-622F-4CAD-AC9E-E7A364C66F60}"/>
    <cellStyle name="Note 5 2 3 3 2 2 2" xfId="13089" xr:uid="{147F3CDF-18DB-4BCE-840F-3C17D1DB3826}"/>
    <cellStyle name="Note 5 2 3 3 2 3" xfId="33327" xr:uid="{34C4CE8A-5303-4557-913C-A9A2F09BE5C0}"/>
    <cellStyle name="Note 5 2 3 3 3" xfId="21374" xr:uid="{91540C7D-1AF9-4F47-B8E0-A372CEAF0BBF}"/>
    <cellStyle name="Note 5 2 3 3 3 2" xfId="28002" xr:uid="{BE0A8C87-9F85-4E09-947B-2CA09D377422}"/>
    <cellStyle name="Note 5 2 3 3 4" xfId="4732" xr:uid="{F0DB9B9B-796A-44AE-B89B-24452708F18C}"/>
    <cellStyle name="Note 5 2 3 4" xfId="31325" xr:uid="{DA2F639A-4F68-4D66-98C2-F8C547ECD997}"/>
    <cellStyle name="Note 5 2 3 4 2" xfId="18014" xr:uid="{CAC34D96-59DD-4B4C-961F-96A597A59311}"/>
    <cellStyle name="Note 5 2 3 4 2 2" xfId="26605" xr:uid="{7C292FAA-A8F7-4D63-8B65-6F932A8C487C}"/>
    <cellStyle name="Note 5 2 3 4 3" xfId="23391" xr:uid="{0E3D06BD-7C60-4C4F-B6EC-42EBA95E4216}"/>
    <cellStyle name="Note 5 2 3 5" xfId="31289" xr:uid="{DE32F1F5-7E94-445C-BBF4-675D6083E6C0}"/>
    <cellStyle name="Note 5 2 3 5 2" xfId="25776" xr:uid="{FD932AD9-1AE5-432D-8685-2C288EA4049B}"/>
    <cellStyle name="Note 5 2 3 6" xfId="23842" xr:uid="{94F387FB-6662-4B8B-B288-DD9112D48CE3}"/>
    <cellStyle name="Note 5 2 4" xfId="535" xr:uid="{B41BF391-2484-4625-8620-A9FC04AE07D9}"/>
    <cellStyle name="Note 5 2 4 2" xfId="534" xr:uid="{BCE72D38-3A93-482A-895B-1FF00CA78087}"/>
    <cellStyle name="Note 5 2 4 2 2" xfId="12015" xr:uid="{F9B7B2E3-31BE-4BAA-98CB-6F6E097BCA0F}"/>
    <cellStyle name="Note 5 2 4 2 2 2" xfId="19998" xr:uid="{D6DF3B4C-98E7-4351-A147-FA756642C17A}"/>
    <cellStyle name="Note 5 2 4 2 2 2 2" xfId="28717" xr:uid="{F9BD6373-DBAB-4FDF-BC32-F77C386CC23B}"/>
    <cellStyle name="Note 5 2 4 2 2 3" xfId="19992" xr:uid="{1C02CC9A-B2F7-4950-96C8-A209CDA23DEE}"/>
    <cellStyle name="Note 5 2 4 2 3" xfId="12010" xr:uid="{D1913431-D93B-4154-A24B-FE942EA10FC9}"/>
    <cellStyle name="Note 5 2 4 2 3 2" xfId="27903" xr:uid="{0FACA9DD-E25F-4588-A2CF-2CD3716A53D0}"/>
    <cellStyle name="Note 5 2 4 2 4" xfId="13395" xr:uid="{826C794A-8E3D-4056-ACD4-8C3790BBEAB1}"/>
    <cellStyle name="Note 5 2 4 3" xfId="533" xr:uid="{7BC7A054-65D4-4E34-A18D-26D8CBAE4430}"/>
    <cellStyle name="Note 5 2 4 3 2" xfId="11990" xr:uid="{780FD1B1-6D92-4A13-8366-1B79FCF52ED8}"/>
    <cellStyle name="Note 5 2 4 3 2 2" xfId="26537" xr:uid="{AC4E5752-D296-4EA0-806A-A24C2E5D65DE}"/>
    <cellStyle name="Note 5 2 4 3 3" xfId="11986" xr:uid="{A2BC7966-4CF1-4183-9AEF-1BA66A8E2F97}"/>
    <cellStyle name="Note 5 2 4 4" xfId="30252" xr:uid="{C6A67841-AA5C-46F2-AD57-D48673E79974}"/>
    <cellStyle name="Note 5 2 4 4 2" xfId="11981" xr:uid="{2F58A3BF-7811-437B-BBD3-42A3835F1975}"/>
    <cellStyle name="Note 5 2 4 5" xfId="31213" xr:uid="{E529792B-DDB3-4699-8E55-054BA0DB9630}"/>
    <cellStyle name="Note 5 2 5" xfId="532" xr:uid="{E9E52C16-6FFB-495D-A0AF-20C95C9D7D95}"/>
    <cellStyle name="Note 5 2 5 2" xfId="531" xr:uid="{296E06A2-CAAC-427E-9907-35B3FBBAAEC3}"/>
    <cellStyle name="Note 5 2 5 2 2" xfId="11957" xr:uid="{8AC06FCE-3634-4164-9C18-AC55BD45F07F}"/>
    <cellStyle name="Note 5 2 5 2 2 2" xfId="19959" xr:uid="{C710911A-5E0C-425B-BAB8-6B5F058A5552}"/>
    <cellStyle name="Note 5 2 5 2 3" xfId="23207" xr:uid="{2ABD2587-4A7A-4882-9279-DBBB7CFCEDCE}"/>
    <cellStyle name="Note 5 2 5 3" xfId="530" xr:uid="{2B7423AA-5905-47BA-99F5-B78CC00F0D28}"/>
    <cellStyle name="Note 5 2 5 3 2" xfId="12237" xr:uid="{5A7F91EC-66C6-4285-A363-726D33A5E679}"/>
    <cellStyle name="Note 5 2 5 4" xfId="31205" xr:uid="{63F4B7DA-9929-4B84-A6E1-371D54397EFB}"/>
    <cellStyle name="Note 5 2 6" xfId="529" xr:uid="{54DA3D8C-CE55-4041-BF51-7D28B88825BE}"/>
    <cellStyle name="Note 5 2 6 2" xfId="528" xr:uid="{2070DFA8-7D15-4B98-A0E1-EF996288C718}"/>
    <cellStyle name="Note 5 2 6 2 2" xfId="11945" xr:uid="{0E5965AB-32F3-41F2-81A1-EDE45A3DEE92}"/>
    <cellStyle name="Note 5 2 6 3" xfId="527" xr:uid="{4E4F5F64-C21F-4523-8826-E44EEE6127A6}"/>
    <cellStyle name="Note 5 2 7" xfId="526" xr:uid="{CC435DC0-04CD-4238-A1E1-7A1BA69E8607}"/>
    <cellStyle name="Note 5 2 7 2" xfId="525" xr:uid="{50E3A325-B5E2-4D37-90F4-03F78C5A5A80}"/>
    <cellStyle name="Note 5 2 8" xfId="524" xr:uid="{D778706E-31BE-4C44-9E5F-BE3E338B200C}"/>
    <cellStyle name="Note 5 2 9" xfId="34781" xr:uid="{8ADA96D6-305A-475F-A543-92432DE9B2F7}"/>
    <cellStyle name="Note 5 3" xfId="523" xr:uid="{9C8EC87F-8448-40D7-BD5A-F6B02DE15306}"/>
    <cellStyle name="Note 5 3 2" xfId="522" xr:uid="{8C48EC4B-E11C-4E85-9EA9-DEB64FDE82AF}"/>
    <cellStyle name="Note 5 3 2 2" xfId="521" xr:uid="{7DE5D34B-6AA9-4A68-94F2-B054036E7E50}"/>
    <cellStyle name="Note 5 3 2 2 2" xfId="33674" xr:uid="{FA9A725B-F87A-4587-AB2A-056450C49F45}"/>
    <cellStyle name="Note 5 3 2 2 2 2" xfId="520" xr:uid="{6EDE0D43-2D99-4D4B-B900-769CB03AB381}"/>
    <cellStyle name="Note 5 3 2 2 2 2 2" xfId="519" xr:uid="{2DA17953-A97A-435A-9DA1-C50262EEF581}"/>
    <cellStyle name="Note 5 3 2 2 2 2 2 2" xfId="8745" xr:uid="{AB3B29DF-0EEF-4F76-B1E7-AC7C93796634}"/>
    <cellStyle name="Note 5 3 2 2 2 2 3" xfId="28377" xr:uid="{59B60E76-3BCC-4C54-96B3-F78AAE25D986}"/>
    <cellStyle name="Note 5 3 2 2 2 3" xfId="3699" xr:uid="{642B6503-1FA9-4333-A5C4-2751BA3B0D08}"/>
    <cellStyle name="Note 5 3 2 2 2 3 2" xfId="3697" xr:uid="{56C9DA05-C462-44D1-8557-A45B6813EF4C}"/>
    <cellStyle name="Note 5 3 2 2 2 4" xfId="3695" xr:uid="{F6D642C1-62D6-46DE-B5B5-DD2077C735DF}"/>
    <cellStyle name="Note 5 3 2 2 3" xfId="518" xr:uid="{6167A981-BC9F-4E50-8AB4-34279F9924D7}"/>
    <cellStyle name="Note 5 3 2 2 3 2" xfId="517" xr:uid="{6515AD77-B214-4B19-9CEE-36A4F3EE0E24}"/>
    <cellStyle name="Note 5 3 2 2 3 2 2" xfId="516" xr:uid="{7ED089BD-797F-48AC-8E8A-7EA363CA2BE9}"/>
    <cellStyle name="Note 5 3 2 2 3 3" xfId="3693" xr:uid="{60C5F456-362D-47FC-A060-E726A43EB0AE}"/>
    <cellStyle name="Note 5 3 2 2 4" xfId="14223" xr:uid="{56BB868A-AB6C-4D87-8C4C-934D0C12F0A9}"/>
    <cellStyle name="Note 5 3 2 2 4 2" xfId="515" xr:uid="{1A64B9FB-3CF4-4B95-BAB2-40DFECEC75D7}"/>
    <cellStyle name="Note 5 3 2 2 5" xfId="14220" xr:uid="{4242A8A6-21AF-425D-9EFE-2E4FEA6E52CF}"/>
    <cellStyle name="Note 5 3 2 3" xfId="971" xr:uid="{D42282E2-CE9E-45CD-9824-C6F77C8B74CC}"/>
    <cellStyle name="Note 5 3 2 3 2" xfId="29923" xr:uid="{CD4CC11F-625E-4D8A-9A01-3CD720501A13}"/>
    <cellStyle name="Note 5 3 2 3 2 2" xfId="514" xr:uid="{C586E480-52E8-4066-A1B4-159F1EA6BBFA}"/>
    <cellStyle name="Note 5 3 2 3 2 2 2" xfId="513" xr:uid="{AEDCB128-799B-42E9-8976-A82D84181429}"/>
    <cellStyle name="Note 5 3 2 3 2 3" xfId="3686" xr:uid="{EC3A3D57-9A3E-41EF-87F1-7D376D5F8FF5}"/>
    <cellStyle name="Note 5 3 2 3 3" xfId="21356" xr:uid="{53982B59-B4F5-4C20-A1CF-D2A6BF558CCB}"/>
    <cellStyle name="Note 5 3 2 3 3 2" xfId="512" xr:uid="{1C87FD7C-D01E-4F5E-BA3A-6CB3875D205F}"/>
    <cellStyle name="Note 5 3 2 3 4" xfId="14216" xr:uid="{C4B1D4E9-4ABC-476E-8E7C-A93157855DB3}"/>
    <cellStyle name="Note 5 3 2 4" xfId="511" xr:uid="{73BEAA07-F123-4FC9-BD34-F807BF556570}"/>
    <cellStyle name="Note 5 3 2 4 2" xfId="21352" xr:uid="{8E884519-0447-41B1-8E9B-DF7BEB91BA07}"/>
    <cellStyle name="Note 5 3 2 4 2 2" xfId="510" xr:uid="{6A5E2739-55D2-4FCA-BA47-60B1216BC4E6}"/>
    <cellStyle name="Note 5 3 2 4 3" xfId="509" xr:uid="{E80000F9-81FB-4511-B61D-331151ED631D}"/>
    <cellStyle name="Note 5 3 2 5" xfId="508" xr:uid="{1EB0BE69-2680-40E3-8D5D-186BD2BDBF07}"/>
    <cellStyle name="Note 5 3 2 5 2" xfId="507" xr:uid="{1D510817-77AB-4D38-8F7F-F22D389DBAA0}"/>
    <cellStyle name="Note 5 3 2 6" xfId="506" xr:uid="{BD3FE3F3-2C55-4CF7-A99A-738F8F0A51E0}"/>
    <cellStyle name="Note 5 3 3" xfId="505" xr:uid="{25BFE8DF-006B-40B5-B5C7-4110DA8304FF}"/>
    <cellStyle name="Note 5 3 3 2" xfId="504" xr:uid="{D95112E6-D5D8-4ED8-ADEA-917F07B9FA71}"/>
    <cellStyle name="Note 5 3 3 2 2" xfId="503" xr:uid="{9BAF5791-60B9-4146-8EC3-18A67B61C779}"/>
    <cellStyle name="Note 5 3 3 2 2 2" xfId="5356" xr:uid="{8F7015C4-F6E5-4895-9B31-760BF15FE910}"/>
    <cellStyle name="Note 5 3 3 2 2 2 2" xfId="502" xr:uid="{C1816F27-517B-4D16-B98F-9D613CCD62C7}"/>
    <cellStyle name="Note 5 3 3 2 2 3" xfId="19917" xr:uid="{FE123507-ADAD-4DD4-A479-EA37DA224058}"/>
    <cellStyle name="Note 5 3 3 2 3" xfId="3670" xr:uid="{59D0A17F-9663-4DEE-8ED8-16767F6300F9}"/>
    <cellStyle name="Note 5 3 3 2 3 2" xfId="25364" xr:uid="{46CD9A5B-BD2E-47FD-9BC1-BA14893FE448}"/>
    <cellStyle name="Note 5 3 3 2 4" xfId="28355" xr:uid="{E9A48D85-61D9-4BAF-B835-00751B4E09AB}"/>
    <cellStyle name="Note 5 3 3 3" xfId="501" xr:uid="{22BEDA3F-5DBF-4812-A75A-C80136975F89}"/>
    <cellStyle name="Note 5 3 3 3 2" xfId="21349" xr:uid="{6791559A-B587-4013-8C8D-A21914BF0666}"/>
    <cellStyle name="Note 5 3 3 3 2 2" xfId="23070" xr:uid="{7DE80017-DC5F-48E0-95D3-720F30FBB9D4}"/>
    <cellStyle name="Note 5 3 3 3 3" xfId="500" xr:uid="{C9E9865A-8A7B-448A-B97B-6F00449FF242}"/>
    <cellStyle name="Note 5 3 3 4" xfId="31178" xr:uid="{C7580ED6-B06C-4A34-85D1-EEAA54BB3303}"/>
    <cellStyle name="Note 5 3 3 4 2" xfId="26830" xr:uid="{3E605F85-BEDC-4E2A-BD55-82929994A90D}"/>
    <cellStyle name="Note 5 3 3 5" xfId="31173" xr:uid="{73FABEF9-2E92-41E6-A274-E98D67E1C352}"/>
    <cellStyle name="Note 5 3 4" xfId="499" xr:uid="{59170329-2B95-4041-9F1B-F13D31EA851B}"/>
    <cellStyle name="Note 5 3 4 2" xfId="498" xr:uid="{38E8117B-6823-4584-92D0-248D7985BE72}"/>
    <cellStyle name="Note 5 3 4 2 2" xfId="11811" xr:uid="{0D1DC9EC-89D0-4239-89C7-0492A25054AE}"/>
    <cellStyle name="Note 5 3 4 2 2 2" xfId="19857" xr:uid="{B929C838-2A70-417F-BDA0-5A3F5AA49B8F}"/>
    <cellStyle name="Note 5 3 4 2 3" xfId="11808" xr:uid="{08A92D5D-1A99-4696-979A-46C49351C7E2}"/>
    <cellStyle name="Note 5 3 4 3" xfId="497" xr:uid="{93B57122-0396-4377-A9C5-45F453C137C1}"/>
    <cellStyle name="Note 5 3 4 3 2" xfId="11798" xr:uid="{462D5A93-FAC8-46CB-AAA9-F0B17FF58BE2}"/>
    <cellStyle name="Note 5 3 4 4" xfId="28724" xr:uid="{7F2E4789-84E0-40F7-9B96-635F50E5D127}"/>
    <cellStyle name="Note 5 3 5" xfId="13387" xr:uid="{19CEBD09-64DD-415B-9A16-5EB1142F676F}"/>
    <cellStyle name="Note 5 3 5 2" xfId="496" xr:uid="{3C4A5992-2EFA-4FA5-9285-F79F37346F93}"/>
    <cellStyle name="Note 5 3 5 2 2" xfId="11781" xr:uid="{30DFE308-38C4-43FF-9893-73E25BF30A08}"/>
    <cellStyle name="Note 5 3 5 3" xfId="495" xr:uid="{ECCEA3FA-054B-4381-9640-9B902489C9AB}"/>
    <cellStyle name="Note 5 3 6" xfId="494" xr:uid="{60C9AD55-8FB2-41FE-9F90-8CC7B4788BE7}"/>
    <cellStyle name="Note 5 3 6 2" xfId="493" xr:uid="{84FE475E-7B98-4E85-983E-FEF569F2AE24}"/>
    <cellStyle name="Note 5 3 7" xfId="492" xr:uid="{72659945-BEAA-4FBB-A59F-17E0B1BAB966}"/>
    <cellStyle name="Note 5 3 8" xfId="34977" xr:uid="{DAA9BF2C-60B7-4459-8413-46FF59073E89}"/>
    <cellStyle name="Note 5 4" xfId="27939" xr:uid="{A62AA701-929F-44BD-BFDD-F64F66CBFA6C}"/>
    <cellStyle name="Note 5 4 2" xfId="29450" xr:uid="{F18B74B2-49E0-400E-A20B-E0B5024E18EC}"/>
    <cellStyle name="Note 5 4 2 2" xfId="491" xr:uid="{671FA96F-27C5-4D94-872B-C6D65D0FA232}"/>
    <cellStyle name="Note 5 4 2 2 2" xfId="490" xr:uid="{468849C2-1919-4789-A8B3-6A2E667C4EB4}"/>
    <cellStyle name="Note 5 4 2 2 2 2" xfId="489" xr:uid="{6F5CA676-03A4-40AF-8782-CABD314F9C02}"/>
    <cellStyle name="Note 5 4 2 2 2 2 2" xfId="488" xr:uid="{E711AD49-68F8-4F09-BF20-9DC70AB9D3B0}"/>
    <cellStyle name="Note 5 4 2 2 2 3" xfId="3459" xr:uid="{C154DE91-9DA4-4302-9999-710470B53CE4}"/>
    <cellStyle name="Note 5 4 2 2 3" xfId="20734" xr:uid="{EB85C5ED-5A76-4D68-88D0-A50C57BBB173}"/>
    <cellStyle name="Note 5 4 2 2 3 2" xfId="27464" xr:uid="{51B5BB13-8011-41C4-B032-F156EF5A378D}"/>
    <cellStyle name="Note 5 4 2 2 4" xfId="14184" xr:uid="{4F8B1655-A50D-42F8-8CAA-17D202A5726B}"/>
    <cellStyle name="Note 5 4 2 3" xfId="487" xr:uid="{1F0DD30C-2549-43C2-87D6-4D98167F3C84}"/>
    <cellStyle name="Note 5 4 2 3 2" xfId="21339" xr:uid="{8AA818C4-6998-4306-95A9-B7735FB226F8}"/>
    <cellStyle name="Note 5 4 2 3 2 2" xfId="486" xr:uid="{84BF4BEA-E6F3-4328-AF50-6BDCD9FCEBC0}"/>
    <cellStyle name="Note 5 4 2 3 3" xfId="485" xr:uid="{FB43014A-6CE7-4716-BC09-D5F1750C91F3}"/>
    <cellStyle name="Note 5 4 2 4" xfId="484" xr:uid="{4C6444D7-22E8-49E3-BDEB-C59460384986}"/>
    <cellStyle name="Note 5 4 2 4 2" xfId="483" xr:uid="{FF443C22-D499-41AB-B01A-347182068B63}"/>
    <cellStyle name="Note 5 4 2 5" xfId="482" xr:uid="{39E1D546-079D-41CE-AC16-BE9A05DDFD01}"/>
    <cellStyle name="Note 5 4 3" xfId="481" xr:uid="{DC65C008-6567-49F5-AEFB-4DF9EFA23F13}"/>
    <cellStyle name="Note 5 4 3 2" xfId="480" xr:uid="{E790F169-150C-453A-B3C9-D87035140EA1}"/>
    <cellStyle name="Note 5 4 3 2 2" xfId="479" xr:uid="{9A0C3298-92A0-4E0E-928E-4DBC23574CD5}"/>
    <cellStyle name="Note 5 4 3 2 2 2" xfId="19787" xr:uid="{E9EEBDB1-BDB3-4889-8AF8-B1709D4F7C0D}"/>
    <cellStyle name="Note 5 4 3 2 3" xfId="783" xr:uid="{87EE6C51-D813-4CCF-B583-C9ED10B95BDE}"/>
    <cellStyle name="Note 5 4 3 3" xfId="478" xr:uid="{0A3A4866-D3BA-4D78-953D-95AB6F11C40C}"/>
    <cellStyle name="Note 5 4 3 3 2" xfId="477" xr:uid="{3B5BDF26-6D54-42B3-A143-DC1A2646C861}"/>
    <cellStyle name="Note 5 4 3 4" xfId="19884" xr:uid="{8924B1AA-406F-4B66-B68E-5D8D6F273E1C}"/>
    <cellStyle name="Note 5 4 4" xfId="476" xr:uid="{0C437679-AFC7-4DA1-9CE0-41BBDCEFBFBD}"/>
    <cellStyle name="Note 5 4 4 2" xfId="475" xr:uid="{945533E8-9327-4C00-870E-2D7C0D52A818}"/>
    <cellStyle name="Note 5 4 4 2 2" xfId="30807" xr:uid="{5D972452-5BAD-4E0B-9CED-CAAA35ADF3C2}"/>
    <cellStyle name="Note 5 4 4 3" xfId="29202" xr:uid="{8629DA23-DEA7-4ACA-AFD8-58168D74DC92}"/>
    <cellStyle name="Note 5 4 5" xfId="474" xr:uid="{971ED8B0-4EB1-4AAE-A4FD-600CD6AC2033}"/>
    <cellStyle name="Note 5 4 5 2" xfId="473" xr:uid="{C06DED26-3484-4A1C-A4F9-D0DB7AA1B588}"/>
    <cellStyle name="Note 5 4 6" xfId="472" xr:uid="{F1DF627B-68D1-4D1D-9DFB-5717C3E06E6B}"/>
    <cellStyle name="Note 5 4 7" xfId="35182" xr:uid="{CC0D59F5-77A4-4F70-A3E2-10489FE7F3EF}"/>
    <cellStyle name="Note 5 5" xfId="27935" xr:uid="{8C7C3BD1-FD59-4E0A-B913-5C60A92ACA17}"/>
    <cellStyle name="Note 5 5 2" xfId="14484" xr:uid="{86C7EEB3-3081-48F9-9E56-0CADCEA7FC04}"/>
    <cellStyle name="Note 5 5 2 2" xfId="471" xr:uid="{6CFFCC12-117A-4537-81DB-9938E03B441B}"/>
    <cellStyle name="Note 5 5 2 2 2" xfId="6672" xr:uid="{5461129F-6547-4001-AAC9-76AC95172AD3}"/>
    <cellStyle name="Note 5 5 2 2 2 2" xfId="470" xr:uid="{A242C75E-7434-4BCB-A460-916765534FD9}"/>
    <cellStyle name="Note 5 5 2 2 3" xfId="31985" xr:uid="{4A5CC01B-D1C6-4FD3-9077-B957F554E17B}"/>
    <cellStyle name="Note 5 5 2 3" xfId="469" xr:uid="{3D1CC66D-F006-4B14-84BE-B1A4A026618C}"/>
    <cellStyle name="Note 5 5 2 3 2" xfId="6663" xr:uid="{A3675F48-8E65-4D5D-B5AB-8E577148901F}"/>
    <cellStyle name="Note 5 5 2 4" xfId="30754" xr:uid="{50923974-C8C8-4F47-A000-2C2BA4389D96}"/>
    <cellStyle name="Note 5 5 3" xfId="20856" xr:uid="{CD393970-FCAC-4AA8-99AC-2F4CBD398DD8}"/>
    <cellStyle name="Note 5 5 3 2" xfId="468" xr:uid="{C316D770-D9F1-4CD6-9E47-4447142AF770}"/>
    <cellStyle name="Note 5 5 3 2 2" xfId="6641" xr:uid="{CB82BB28-8454-4507-A43A-69B4A586CDC9}"/>
    <cellStyle name="Note 5 5 3 3" xfId="467" xr:uid="{68B0BDBF-3F8A-4651-BF40-073D6260F21B}"/>
    <cellStyle name="Note 5 5 4" xfId="20850" xr:uid="{CF9F8EB0-73FF-4739-84CE-E994DFF30DF6}"/>
    <cellStyle name="Note 5 5 4 2" xfId="466" xr:uid="{25AD7492-59CE-4613-8D3C-9E2ECDD7F0CB}"/>
    <cellStyle name="Note 5 5 5" xfId="465" xr:uid="{DD0468AC-A38E-4058-A003-60DEAB5C2171}"/>
    <cellStyle name="Note 5 5 6" xfId="35411" xr:uid="{121334D4-BD37-4A85-AD46-F39353E99534}"/>
    <cellStyle name="Note 5 6" xfId="1487" xr:uid="{BC5CB5AE-C294-464B-9E16-5180BF768C7E}"/>
    <cellStyle name="Note 5 6 2" xfId="1485" xr:uid="{45DFFC03-97A2-4FC6-AA57-9D008130D168}"/>
    <cellStyle name="Note 5 6 2 2" xfId="464" xr:uid="{496CC79E-29F2-4E14-B990-6FBBF9BB1E88}"/>
    <cellStyle name="Note 5 6 2 2 2" xfId="6594" xr:uid="{D55D6C27-35A3-4F12-88D2-353E2244F622}"/>
    <cellStyle name="Note 5 6 2 3" xfId="18931" xr:uid="{4CE43253-5E63-4A23-84BB-031571C79567}"/>
    <cellStyle name="Note 5 6 3" xfId="20063" xr:uid="{EB96DDC2-3869-42AF-9F22-3D8B2E084B1B}"/>
    <cellStyle name="Note 5 6 3 2" xfId="9500" xr:uid="{DCAB99D1-B181-439E-BC20-95F0809ADCD4}"/>
    <cellStyle name="Note 5 6 4" xfId="463" xr:uid="{3245F848-7DAD-4515-A935-FEA6D0E5C95C}"/>
    <cellStyle name="Note 5 6 5" xfId="36283" xr:uid="{A4D883C5-F53E-4263-B820-4521F74FFE5D}"/>
    <cellStyle name="Note 5 7" xfId="1483" xr:uid="{CD957110-F312-4A65-8803-32E2626049C1}"/>
    <cellStyle name="Note 5 7 2" xfId="462" xr:uid="{6E12E879-8E6A-4D57-AD9C-2EBB097E6D9A}"/>
    <cellStyle name="Note 5 7 2 2" xfId="461" xr:uid="{9994A7E8-439F-4261-BA2D-C2DA62DA79C7}"/>
    <cellStyle name="Note 5 7 3" xfId="460" xr:uid="{3845F27D-329D-4757-ACD4-75EB67A61B25}"/>
    <cellStyle name="Note 5 7 4" xfId="36569" xr:uid="{3542E0C7-7FE8-4F45-98EF-BC9EDBE3CF27}"/>
    <cellStyle name="Note 5 8" xfId="459" xr:uid="{1314EA62-E925-45A5-80C5-A2D6BE7B20D9}"/>
    <cellStyle name="Note 5 8 2" xfId="458" xr:uid="{CE483FEC-71CC-4CB6-A65D-37FD924246E8}"/>
    <cellStyle name="Note 5 8 3" xfId="37454" xr:uid="{8A996A3F-7829-48BB-B516-BEAEBA911644}"/>
    <cellStyle name="Note 5 9" xfId="457" xr:uid="{9A7F3524-A4DC-42E4-9601-263EF7D0674F}"/>
    <cellStyle name="Note 6" xfId="258" xr:uid="{4F4EB395-1B18-48C4-9F73-69EAFE19DDB9}"/>
    <cellStyle name="Note 6 10" xfId="456" xr:uid="{6887DECF-7262-4A46-B5A9-E15C7AFF5925}"/>
    <cellStyle name="Note 6 2" xfId="22202" xr:uid="{F6FDF3C3-3377-4998-BBDD-0F6B125B47A4}"/>
    <cellStyle name="Note 6 2 2" xfId="455" xr:uid="{EE49A38D-562B-4AD1-9EDE-37250FF85E75}"/>
    <cellStyle name="Note 6 2 2 2" xfId="454" xr:uid="{A942FFA0-AB9A-4F0F-9808-085A74CD19A5}"/>
    <cellStyle name="Note 6 2 2 2 2" xfId="453" xr:uid="{C345168E-EB6E-485D-8EB2-BCD1DF51F1FD}"/>
    <cellStyle name="Note 6 2 2 2 2 2" xfId="452" xr:uid="{CFA5A96E-F6C9-4D21-BD8D-E9CF521FAB98}"/>
    <cellStyle name="Note 6 2 2 2 2 2 2" xfId="24024" xr:uid="{1966A0FC-EB3F-49F9-8DA3-EC70B12DDDBC}"/>
    <cellStyle name="Note 6 2 2 2 2 2 2 2" xfId="451" xr:uid="{570FA9A5-0CB8-4F05-BEB5-70A1A04A4E68}"/>
    <cellStyle name="Note 6 2 2 2 2 2 3" xfId="26303" xr:uid="{F6C9F9E7-BBE4-49F2-9BFE-581E70EFD6B2}"/>
    <cellStyle name="Note 6 2 2 2 2 3" xfId="450" xr:uid="{C71125BA-81AD-4249-91A9-CC0B592A915E}"/>
    <cellStyle name="Note 6 2 2 2 2 3 2" xfId="24017" xr:uid="{DE34BD05-876D-4928-A5F0-10E0CC22C653}"/>
    <cellStyle name="Note 6 2 2 2 2 4" xfId="449" xr:uid="{35B3D1CC-F6C0-4A79-9F7D-2D749797FE19}"/>
    <cellStyle name="Note 6 2 2 2 3" xfId="8726" xr:uid="{38390AB1-1754-4991-AA3B-49158F47053A}"/>
    <cellStyle name="Note 6 2 2 2 3 2" xfId="8724" xr:uid="{747ED832-7063-4D73-A5EF-EBC36CC275B9}"/>
    <cellStyle name="Note 6 2 2 2 3 2 2" xfId="23996" xr:uid="{B0307359-03F0-4642-BABD-200C51B0618C}"/>
    <cellStyle name="Note 6 2 2 2 3 3" xfId="27377" xr:uid="{060E03A6-311C-41EB-A9BD-73F5B699E41E}"/>
    <cellStyle name="Note 6 2 2 2 4" xfId="19588" xr:uid="{6F00CB88-1F0F-4D4D-A526-7C62F78DB37A}"/>
    <cellStyle name="Note 6 2 2 2 4 2" xfId="8715" xr:uid="{A9AC0730-1D5B-484F-BAE3-17254C2B3510}"/>
    <cellStyle name="Note 6 2 2 2 5" xfId="27245" xr:uid="{7F03130C-A1AA-43DF-AE8A-B0F79DA7E111}"/>
    <cellStyle name="Note 6 2 2 3" xfId="958" xr:uid="{286565C7-79D4-4188-86A5-F6C7ED614DEF}"/>
    <cellStyle name="Note 6 2 2 3 2" xfId="23355" xr:uid="{710B95DB-127E-4F7C-9D02-5432D2C268D9}"/>
    <cellStyle name="Note 6 2 2 3 2 2" xfId="448" xr:uid="{C0A6DCF0-2D0B-4D09-BCD3-8EF403B2DF13}"/>
    <cellStyle name="Note 6 2 2 3 2 2 2" xfId="20637" xr:uid="{E926275C-E035-4EEF-ACA6-219B75393D51}"/>
    <cellStyle name="Note 6 2 2 3 2 3" xfId="447" xr:uid="{D4CF2D7E-C7FD-4C89-B514-192DBC3F8833}"/>
    <cellStyle name="Note 6 2 2 3 3" xfId="21205" xr:uid="{107687D6-7A46-4C6B-B4BD-E407961661C3}"/>
    <cellStyle name="Note 6 2 2 3 3 2" xfId="8712" xr:uid="{55C85541-FBF6-454F-9F4C-AC1583B59827}"/>
    <cellStyle name="Note 6 2 2 3 4" xfId="27237" xr:uid="{36970EA8-451C-4A87-BBA3-D0BBF5C05AC8}"/>
    <cellStyle name="Note 6 2 2 4" xfId="446" xr:uid="{F612826A-DA7F-4191-988A-233610BF61FA}"/>
    <cellStyle name="Note 6 2 2 4 2" xfId="10418" xr:uid="{16C72932-9D64-4744-8CDC-965FEF71F802}"/>
    <cellStyle name="Note 6 2 2 4 2 2" xfId="445" xr:uid="{C46D4D2C-BB7F-49F0-BB02-A19A0566BE57}"/>
    <cellStyle name="Note 6 2 2 4 3" xfId="7094" xr:uid="{788DB8D5-B627-4A64-9B98-D5717C85644D}"/>
    <cellStyle name="Note 6 2 2 5" xfId="444" xr:uid="{FCBFA5E4-89A8-4034-9EF4-FABF62C8A2EE}"/>
    <cellStyle name="Note 6 2 2 5 2" xfId="7084" xr:uid="{49740926-2210-4F78-85E6-A07758CACBB6}"/>
    <cellStyle name="Note 6 2 2 6" xfId="23958" xr:uid="{E9D42AF6-5BF8-43D0-AA5B-F25540288747}"/>
    <cellStyle name="Note 6 2 3" xfId="443" xr:uid="{3CA98E61-1E66-4C2F-B8D8-0472C6510C95}"/>
    <cellStyle name="Note 6 2 3 2" xfId="33340" xr:uid="{A36F7106-0050-4284-B700-0A1A40F16AA7}"/>
    <cellStyle name="Note 6 2 3 2 2" xfId="442" xr:uid="{FF9A7664-277D-4027-9A28-04F44387B8C5}"/>
    <cellStyle name="Note 6 2 3 2 2 2" xfId="19680" xr:uid="{8681CAE1-5602-4258-8475-3C6DECA6AE02}"/>
    <cellStyle name="Note 6 2 3 2 2 2 2" xfId="23914" xr:uid="{98CDE1B6-0369-4ACE-B633-4347971E0BC0}"/>
    <cellStyle name="Note 6 2 3 2 2 3" xfId="19677" xr:uid="{66A4E661-322C-4880-B7AC-88BFB2BA2734}"/>
    <cellStyle name="Note 6 2 3 2 3" xfId="8574" xr:uid="{6890B4B8-5615-4F43-9C80-71996A7CBB96}"/>
    <cellStyle name="Note 6 2 3 2 3 2" xfId="8571" xr:uid="{6A88F71F-BC29-4E20-BD33-49FB9BBCA63F}"/>
    <cellStyle name="Note 6 2 3 2 4" xfId="19573" xr:uid="{958C8D3D-8672-4C5B-A073-DF996D59F726}"/>
    <cellStyle name="Note 6 2 3 3" xfId="441" xr:uid="{0F60AD46-F55E-4CE1-B593-B941A700489B}"/>
    <cellStyle name="Note 6 2 3 3 2" xfId="21200" xr:uid="{E5D9B769-9D02-47D8-AB48-0D7D9D462F65}"/>
    <cellStyle name="Note 6 2 3 3 2 2" xfId="20363" xr:uid="{2E0033B7-A99D-4F35-AC97-86125CFD3A23}"/>
    <cellStyle name="Note 6 2 3 3 3" xfId="34250" xr:uid="{0B467C3B-9742-477F-879E-19B652B04027}"/>
    <cellStyle name="Note 6 2 3 4" xfId="32021" xr:uid="{4B9A9472-4237-4344-9153-AE71DF47D817}"/>
    <cellStyle name="Note 6 2 3 4 2" xfId="7060" xr:uid="{181FB0D1-3F8C-435D-A566-38DF97C439EF}"/>
    <cellStyle name="Note 6 2 3 5" xfId="33725" xr:uid="{07A1DF38-6809-46ED-BED5-6D1B9CCFF945}"/>
    <cellStyle name="Note 6 2 4" xfId="3171" xr:uid="{E0F16CD3-C882-4098-8FC3-1E99ED6BAE2B}"/>
    <cellStyle name="Note 6 2 4 2" xfId="3169" xr:uid="{22E87E92-6F78-4F2D-97E1-04ABBEE67733}"/>
    <cellStyle name="Note 6 2 4 2 2" xfId="3167" xr:uid="{290850E8-14E1-4C60-A2FA-565D9061889E}"/>
    <cellStyle name="Note 6 2 4 2 2 2" xfId="19652" xr:uid="{B7234A95-46BC-4C8B-BEB2-88F9419C1026}"/>
    <cellStyle name="Note 6 2 4 2 3" xfId="10955" xr:uid="{E4828ADD-9BFF-459B-96EF-669D2F43E50E}"/>
    <cellStyle name="Note 6 2 4 3" xfId="3095" xr:uid="{A329B8B8-11F2-4289-BFA6-DF418FB36372}"/>
    <cellStyle name="Note 6 2 4 3 2" xfId="14626" xr:uid="{16172BEB-3288-495B-885E-CC2971AF42D7}"/>
    <cellStyle name="Note 6 2 4 4" xfId="31130" xr:uid="{F26389D6-FCB8-4635-85D9-2E5C60B0BFD9}"/>
    <cellStyle name="Note 6 2 5" xfId="3029" xr:uid="{95CB5128-5EB0-4B31-80F6-A7BEE4C6ED31}"/>
    <cellStyle name="Note 6 2 5 2" xfId="3027" xr:uid="{B621B7C4-4EDA-4066-9578-975F80FBD7A8}"/>
    <cellStyle name="Note 6 2 5 2 2" xfId="20186" xr:uid="{7D529642-5DB4-4E59-9CB7-764C03BA75C8}"/>
    <cellStyle name="Note 6 2 5 3" xfId="2990" xr:uid="{9875E539-F73F-4873-9648-40529CAECF86}"/>
    <cellStyle name="Note 6 2 6" xfId="2953" xr:uid="{500188E2-C4A6-4F94-90C8-0653C583430F}"/>
    <cellStyle name="Note 6 2 6 2" xfId="2951" xr:uid="{C3402DB6-2A84-4D5C-80CD-13FD656EFB9E}"/>
    <cellStyle name="Note 6 2 7" xfId="2902" xr:uid="{0FF68496-4339-4291-A5EA-9130FA88BE70}"/>
    <cellStyle name="Note 6 2 8" xfId="34794" xr:uid="{4C40E0E0-D6DC-4ADA-B382-1093B020C6E9}"/>
    <cellStyle name="Note 6 3" xfId="440" xr:uid="{B098F900-BEEA-41D3-982A-F84DA3F01B27}"/>
    <cellStyle name="Note 6 3 2" xfId="439" xr:uid="{E49814B8-D1DB-4A69-9B08-FE5D89170C3C}"/>
    <cellStyle name="Note 6 3 2 2" xfId="438" xr:uid="{B3BDABD2-55C8-49CB-AD00-6D2191A8E03E}"/>
    <cellStyle name="Note 6 3 2 2 2" xfId="437" xr:uid="{2A1A7F8E-6017-417F-B5FC-834BB6C34570}"/>
    <cellStyle name="Note 6 3 2 2 2 2" xfId="23791" xr:uid="{912F8E73-5BC4-47B1-A1F6-AC224878513F}"/>
    <cellStyle name="Note 6 3 2 2 2 2 2" xfId="8966" xr:uid="{9BEABBDF-65BA-4CE2-8913-151A2502B94C}"/>
    <cellStyle name="Note 6 3 2 2 2 3" xfId="23751" xr:uid="{8B531A61-05F7-432F-A9D3-0ACC31CE0BC7}"/>
    <cellStyle name="Note 6 3 2 2 3" xfId="8308" xr:uid="{27B4945A-0708-473F-A621-16215E261B3F}"/>
    <cellStyle name="Note 6 3 2 2 3 2" xfId="22965" xr:uid="{AC44EB22-93F1-4C0A-BFE1-D76A07ACC7A6}"/>
    <cellStyle name="Note 6 3 2 2 4" xfId="14159" xr:uid="{788DC537-1F79-4CAD-A007-3C5DA6771FEC}"/>
    <cellStyle name="Note 6 3 2 3" xfId="436" xr:uid="{BD3FD13A-4AEA-4B4E-B908-3A3579381BB1}"/>
    <cellStyle name="Note 6 3 2 3 2" xfId="23859" xr:uid="{FE7C0E55-C418-4920-B363-772324D22265}"/>
    <cellStyle name="Note 6 3 2 3 2 2" xfId="32231" xr:uid="{FEFEDE2D-22C9-4744-8674-D3B276F909B1}"/>
    <cellStyle name="Note 6 3 2 3 3" xfId="22754" xr:uid="{C7154899-2B9C-464C-9CAC-C833DF850C9B}"/>
    <cellStyle name="Note 6 3 2 4" xfId="435" xr:uid="{6145F0C4-D4B6-4DF0-872B-1FD07AD2429C}"/>
    <cellStyle name="Note 6 3 2 4 2" xfId="7002" xr:uid="{03C0D628-D3AB-4CDF-B515-7D96D9B2C6B2}"/>
    <cellStyle name="Note 6 3 2 5" xfId="434" xr:uid="{ACCEF666-6F22-4B59-8309-6CCD074E4859}"/>
    <cellStyle name="Note 6 3 3" xfId="433" xr:uid="{A2A7C9C3-0976-40D6-B122-DF7B6C80F569}"/>
    <cellStyle name="Note 6 3 3 2" xfId="432" xr:uid="{7E0F7CB5-F8C4-4146-879A-47A401095376}"/>
    <cellStyle name="Note 6 3 3 2 2" xfId="431" xr:uid="{E73AE18D-B0BC-4F78-9219-C59BB385351A}"/>
    <cellStyle name="Note 6 3 3 2 2 2" xfId="19613" xr:uid="{195D8C3A-6B9B-40C6-9D26-9FDA50440FC2}"/>
    <cellStyle name="Note 6 3 3 2 3" xfId="8248" xr:uid="{316F8FDD-3D40-412E-9E15-019B8A4D7499}"/>
    <cellStyle name="Note 6 3 3 3" xfId="430" xr:uid="{ED5F17CC-8EC0-40F3-B177-FA837009A694}"/>
    <cellStyle name="Note 6 3 3 3 2" xfId="429" xr:uid="{5169F408-AC84-4369-9797-B58BA585E017}"/>
    <cellStyle name="Note 6 3 3 4" xfId="28371" xr:uid="{54BC9E34-BDA8-45B6-A4F1-F6478F7AA9C6}"/>
    <cellStyle name="Note 6 3 4" xfId="2866" xr:uid="{F5703C61-01B8-4CF7-B49D-4E7C5658571B}"/>
    <cellStyle name="Note 6 3 4 2" xfId="428" xr:uid="{C7F562AD-3D74-4FC2-A4A0-2EE3C0A1E09A}"/>
    <cellStyle name="Note 6 3 4 2 2" xfId="427" xr:uid="{126E01BA-3CC0-41CC-B7C6-BDA6AD01F7FC}"/>
    <cellStyle name="Note 6 3 4 3" xfId="426" xr:uid="{7FBC086B-E6A3-4112-B51D-A55BCCC585B1}"/>
    <cellStyle name="Note 6 3 5" xfId="425" xr:uid="{E77AD41C-9FA8-4C3E-8222-6BEA4DB63500}"/>
    <cellStyle name="Note 6 3 5 2" xfId="424" xr:uid="{74AF0E35-52A7-49E9-8BE8-A54CA2A60351}"/>
    <cellStyle name="Note 6 3 6" xfId="423" xr:uid="{52440CA2-F7EF-49C8-9FF3-2794D70616E4}"/>
    <cellStyle name="Note 6 3 7" xfId="34996" xr:uid="{419EAC96-8432-4E9B-B1A3-A705A923E3DC}"/>
    <cellStyle name="Note 6 4" xfId="33554" xr:uid="{99DBED14-3739-4C10-842D-85D36ECD2FD4}"/>
    <cellStyle name="Note 6 4 2" xfId="422" xr:uid="{3C9AEC4B-FB86-4963-81E5-A611DEB1A4B8}"/>
    <cellStyle name="Note 6 4 2 2" xfId="421" xr:uid="{CDE9B584-FA2E-46A6-B34E-31FA48487D50}"/>
    <cellStyle name="Note 6 4 2 2 2" xfId="420" xr:uid="{23C62FBB-B855-4389-B497-913129A26A03}"/>
    <cellStyle name="Note 6 4 2 2 2 2" xfId="419" xr:uid="{5753B8D2-FEA0-4552-9813-5C759233664A}"/>
    <cellStyle name="Note 6 4 2 2 3" xfId="8131" xr:uid="{ED5A1BBB-A462-489C-B6AA-08B8D5698F7B}"/>
    <cellStyle name="Note 6 4 2 3" xfId="418" xr:uid="{7CCB49AF-FB78-4F27-A23C-E309C4E1FAF9}"/>
    <cellStyle name="Note 6 4 2 3 2" xfId="31425" xr:uid="{CBE1967E-A99B-45CA-BFAD-1E7996ACF8B3}"/>
    <cellStyle name="Note 6 4 2 4" xfId="417" xr:uid="{4973C4EC-CD94-4581-9715-8716072941B3}"/>
    <cellStyle name="Note 6 4 3" xfId="416" xr:uid="{3C3A3DE4-C92F-412D-BA2D-3173144A0975}"/>
    <cellStyle name="Note 6 4 3 2" xfId="415" xr:uid="{0F1FDEEC-C763-477A-97E6-B2EDC4190421}"/>
    <cellStyle name="Note 6 4 3 2 2" xfId="414" xr:uid="{B124912D-EB2B-4370-9566-748FCA9B7674}"/>
    <cellStyle name="Note 6 4 3 3" xfId="413" xr:uid="{841A428B-ED53-4F27-B39F-AE961DDFCD3E}"/>
    <cellStyle name="Note 6 4 4" xfId="2864" xr:uid="{60DB29B9-5878-4A39-8E84-7F679F66FAE3}"/>
    <cellStyle name="Note 6 4 4 2" xfId="2862" xr:uid="{BD4D695E-9230-4D92-BC10-4D791706469C}"/>
    <cellStyle name="Note 6 4 5" xfId="27456" xr:uid="{59735B00-963E-431D-A973-8A6BD9B11AC6}"/>
    <cellStyle name="Note 6 4 6" xfId="35202" xr:uid="{44866656-925D-49D0-AC7F-017E192E56C3}"/>
    <cellStyle name="Note 6 5" xfId="412" xr:uid="{2A67A08C-4AB2-4CFF-A5E9-DDAF6F1C5BE2}"/>
    <cellStyle name="Note 6 5 2" xfId="411" xr:uid="{2BFB8DE6-BB1D-4139-BF2F-E3D539526C3D}"/>
    <cellStyle name="Note 6 5 2 2" xfId="410" xr:uid="{C483FADC-B21D-4487-A1BA-DD86D7D0C226}"/>
    <cellStyle name="Note 6 5 2 2 2" xfId="7586" xr:uid="{0172454F-F9A4-4DA1-9963-6D447F91C6C8}"/>
    <cellStyle name="Note 6 5 2 3" xfId="409" xr:uid="{796A3718-B0E6-476D-BE77-A04E1EB68316}"/>
    <cellStyle name="Note 6 5 3" xfId="14340" xr:uid="{3A13CBAD-4BFE-4AD9-A94D-C2406806A0DB}"/>
    <cellStyle name="Note 6 5 3 2" xfId="408" xr:uid="{BED46BC8-1D11-4268-86A8-620CD4028822}"/>
    <cellStyle name="Note 6 5 4" xfId="407" xr:uid="{49C8DB2E-1BB8-4CA3-BF7A-960CF46D235D}"/>
    <cellStyle name="Note 6 5 5" xfId="35431" xr:uid="{E0336D31-6025-4741-8445-114EF869EC46}"/>
    <cellStyle name="Note 6 6" xfId="1480" xr:uid="{B714E94A-7442-4776-8CB0-49D285F8B69A}"/>
    <cellStyle name="Note 6 6 2" xfId="406" xr:uid="{2CB7AD3D-7F28-43F7-A31D-86C83954EB83}"/>
    <cellStyle name="Note 6 6 2 2" xfId="405" xr:uid="{5C61FD7C-9336-486D-9735-1C1C9365D134}"/>
    <cellStyle name="Note 6 6 3" xfId="404" xr:uid="{D0CC408E-0C71-42C5-A28D-C84BB51091AE}"/>
    <cellStyle name="Note 6 6 4" xfId="36303" xr:uid="{B1BF6DC4-04B3-45E2-BCEF-91AEFF612107}"/>
    <cellStyle name="Note 6 7" xfId="403" xr:uid="{86420C97-F5B7-448B-BBCE-B3DF81D3F50E}"/>
    <cellStyle name="Note 6 7 2" xfId="402" xr:uid="{38B08F13-28A1-4633-BB87-ACC69FBEBC2A}"/>
    <cellStyle name="Note 6 7 3" xfId="36589" xr:uid="{978B025C-FD7B-44A8-932A-A4E372E9863E}"/>
    <cellStyle name="Note 6 8" xfId="401" xr:uid="{29487C1B-CF4C-4B4A-A708-1ED8BE27A372}"/>
    <cellStyle name="Note 6 8 2" xfId="37474" xr:uid="{9639130F-9976-4BB3-932C-04DF43919787}"/>
    <cellStyle name="Note 6 9" xfId="34575" xr:uid="{59D97598-F751-4CDC-8EC1-0D42A8BF463D}"/>
    <cellStyle name="Note 7" xfId="278" xr:uid="{DAFF8440-E158-448C-9E9B-F04CE2DB6DB7}"/>
    <cellStyle name="Note 7 2" xfId="28387" xr:uid="{8C38C03B-A795-4CF4-9366-6A38D964DAB2}"/>
    <cellStyle name="Note 7 2 2" xfId="21726" xr:uid="{1794FD67-0DC9-47F3-94B2-05DC3CE54C2F}"/>
    <cellStyle name="Note 7 2 2 2" xfId="7373" xr:uid="{9EB19E7E-3C27-423C-B74A-ADF230AB819B}"/>
    <cellStyle name="Note 7 2 2 2 2" xfId="400" xr:uid="{F1B1E911-8A36-42C3-8E00-BC3256745E29}"/>
    <cellStyle name="Note 7 2 2 2 2 2" xfId="399" xr:uid="{72602A9F-2129-4ACE-A73F-B1F9607456CE}"/>
    <cellStyle name="Note 7 2 2 2 2 2 2" xfId="23074" xr:uid="{FE46606C-E3F0-4ADE-B6DC-1354A1E52080}"/>
    <cellStyle name="Note 7 2 2 2 2 3" xfId="398" xr:uid="{7858C499-6150-4DD2-80A8-F65B3606CB38}"/>
    <cellStyle name="Note 7 2 2 2 3" xfId="26454" xr:uid="{C9D2ACBA-53F1-4B7E-BBAD-FD4D09A78A2A}"/>
    <cellStyle name="Note 7 2 2 2 3 2" xfId="32406" xr:uid="{85235789-AE51-4289-A48F-AFE60D2AB088}"/>
    <cellStyle name="Note 7 2 2 2 4" xfId="18721" xr:uid="{6AF42CCD-6149-47E3-A6EE-2EA5D35F77D6}"/>
    <cellStyle name="Note 7 2 2 3" xfId="7368" xr:uid="{1E98D4BF-FB63-437A-B5A8-2C5A4B5733F3}"/>
    <cellStyle name="Note 7 2 2 3 2" xfId="29259" xr:uid="{C65C66B8-D5EB-4EAF-849D-AD9101587CC2}"/>
    <cellStyle name="Note 7 2 2 3 2 2" xfId="376" xr:uid="{368D7366-05AB-4DE6-BFD7-EA43D71876A7}"/>
    <cellStyle name="Note 7 2 2 3 3" xfId="26423" xr:uid="{645A0466-9162-472F-B568-C56E5F6E98BB}"/>
    <cellStyle name="Note 7 2 2 4" xfId="7364" xr:uid="{D990726E-947F-43B6-B8EA-092E5BE19474}"/>
    <cellStyle name="Note 7 2 2 4 2" xfId="6894" xr:uid="{7251EC85-7ACF-4369-9672-7604A151B09B}"/>
    <cellStyle name="Note 7 2 2 5" xfId="33416" xr:uid="{15A03F6D-B2F6-4418-B24B-8353CFF045D2}"/>
    <cellStyle name="Note 7 2 3" xfId="7359" xr:uid="{3FF4477B-16B1-4A37-B6A5-DBD272CDEDC0}"/>
    <cellStyle name="Note 7 2 3 2" xfId="7357" xr:uid="{ADF25B84-4288-47AB-B01A-DAA6F26D30F9}"/>
    <cellStyle name="Note 7 2 3 2 2" xfId="386" xr:uid="{2C925E31-D447-43E7-850A-66C09E8A5A19}"/>
    <cellStyle name="Note 7 2 3 2 2 2" xfId="30738" xr:uid="{FD57A9DF-E724-4EA4-81A5-6B575EE648CA}"/>
    <cellStyle name="Note 7 2 3 2 3" xfId="29854" xr:uid="{CB33A2DC-5B4F-49B5-9D84-86AF7307BF89}"/>
    <cellStyle name="Note 7 2 3 3" xfId="7353" xr:uid="{1CF53EA8-AB3A-4448-8939-768DA5E963FE}"/>
    <cellStyle name="Note 7 2 3 3 2" xfId="393" xr:uid="{CAA02B3F-A990-48BE-BF5C-C409215D7850}"/>
    <cellStyle name="Note 7 2 3 4" xfId="15589" xr:uid="{D5A08F3A-9865-4334-8D02-D4F5C3340203}"/>
    <cellStyle name="Note 7 2 4" xfId="15329" xr:uid="{17FE6B16-2DD9-4924-B64C-DB620FCE7F49}"/>
    <cellStyle name="Note 7 2 4 2" xfId="7349" xr:uid="{7CD2119E-B551-4A0D-8ACA-B1049A37D1F6}"/>
    <cellStyle name="Note 7 2 4 2 2" xfId="378" xr:uid="{A8394266-6472-44CE-82FA-28CF1B020C97}"/>
    <cellStyle name="Note 7 2 4 3" xfId="384" xr:uid="{5653BE19-C717-4121-ADDB-2CAE9CB6C19B}"/>
    <cellStyle name="Note 7 2 5" xfId="22603" xr:uid="{60C890DC-3D51-41A0-BFEC-E1A23193AE60}"/>
    <cellStyle name="Note 7 2 5 2" xfId="395" xr:uid="{61C619D8-3B44-428C-8AB5-06C0494EF166}"/>
    <cellStyle name="Note 7 2 6" xfId="372" xr:uid="{4A1C3CCB-5912-4C18-BC28-D2D539D62E8B}"/>
    <cellStyle name="Note 7 2 7" xfId="34813" xr:uid="{F5373C42-6AA2-4788-925A-B4EB7A357AE5}"/>
    <cellStyle name="Note 7 3" xfId="33384" xr:uid="{47F3719B-EBAD-423F-965C-999469E55CD5}"/>
    <cellStyle name="Note 7 3 2" xfId="9867" xr:uid="{8B0E42A0-7B1B-49CF-B3C3-D2E26A993993}"/>
    <cellStyle name="Note 7 3 2 2" xfId="7344" xr:uid="{6C9980C1-9E9C-483A-9A48-5FE21E2F7957}"/>
    <cellStyle name="Note 7 3 2 2 2" xfId="383" xr:uid="{8F7EAF1F-571E-4EF4-8AAF-ED0AFA103BE0}"/>
    <cellStyle name="Note 7 3 2 2 2 2" xfId="389" xr:uid="{F98BD2E8-946A-462D-93F8-2B45AB90AE54}"/>
    <cellStyle name="Note 7 3 2 2 3" xfId="23732" xr:uid="{021AE5E1-43B5-4621-BCE8-13643BD02FE8}"/>
    <cellStyle name="Note 7 3 2 3" xfId="29861" xr:uid="{3A629F2B-929A-48D2-9064-B401D0E9C1B9}"/>
    <cellStyle name="Note 7 3 2 3 2" xfId="22735" xr:uid="{97FBB956-5E5E-461B-954D-93AED9CDA85A}"/>
    <cellStyle name="Note 7 3 2 4" xfId="374" xr:uid="{F4BA9C40-499F-4737-8405-5F9B1274B667}"/>
    <cellStyle name="Note 7 3 3" xfId="9856" xr:uid="{E732F5C1-B007-4116-BAD8-2A0FE1208580}"/>
    <cellStyle name="Note 7 3 3 2" xfId="7340" xr:uid="{339FFDAC-7555-408A-B9BA-D6819FF710E8}"/>
    <cellStyle name="Note 7 3 3 2 2" xfId="19814" xr:uid="{DC0546CC-E625-4D95-B20E-140475820BE5}"/>
    <cellStyle name="Note 7 3 3 3" xfId="381" xr:uid="{EF462BA9-A74D-40CC-83ED-077235DD1A2F}"/>
    <cellStyle name="Note 7 3 4" xfId="17683" xr:uid="{C59881B4-CA54-4875-9130-FEC93AB76820}"/>
    <cellStyle name="Note 7 3 4 2" xfId="396" xr:uid="{5282A629-32C0-4655-AA7A-E2317FD6C9A6}"/>
    <cellStyle name="Note 7 3 5" xfId="17681" xr:uid="{2E53FCB6-796F-4759-AF30-A37EC694B52E}"/>
    <cellStyle name="Note 7 3 6" xfId="35015" xr:uid="{E33D18BB-1F91-48FB-9EAC-939645B9CCBE}"/>
    <cellStyle name="Note 7 4" xfId="9848" xr:uid="{D459A4B1-D229-4576-9005-BD5E62E24954}"/>
    <cellStyle name="Note 7 4 2" xfId="9842" xr:uid="{6A18741E-1657-4F29-895D-4306259B78AA}"/>
    <cellStyle name="Note 7 4 2 2" xfId="30369" xr:uid="{ABC66116-6772-4429-95F1-6E4604352BC2}"/>
    <cellStyle name="Note 7 4 2 2 2" xfId="394" xr:uid="{F5EA20A2-C640-41B0-AA56-67D239822E40}"/>
    <cellStyle name="Note 7 4 2 3" xfId="379" xr:uid="{C8AFB13A-5E3B-4509-A21E-1416C3E24B0A}"/>
    <cellStyle name="Note 7 4 3" xfId="9833" xr:uid="{B113E409-F2AC-407C-87DB-5BB08B7464B6}"/>
    <cellStyle name="Note 7 4 3 2" xfId="385" xr:uid="{81D058EB-21C2-48D9-8B2F-DE5A24BEF8E5}"/>
    <cellStyle name="Note 7 4 4" xfId="17674" xr:uid="{0753D732-DEAF-4851-8BFC-C490147D7423}"/>
    <cellStyle name="Note 7 4 5" xfId="35221" xr:uid="{F18BECB0-A235-4FD7-A781-D60C86C7B836}"/>
    <cellStyle name="Note 7 5" xfId="9829" xr:uid="{42B4A412-57A6-43C8-B26A-BCE88DDB146C}"/>
    <cellStyle name="Note 7 5 2" xfId="34040" xr:uid="{9D796A50-6835-4A8C-8F1A-53B6D73D5C73}"/>
    <cellStyle name="Note 7 5 2 2" xfId="392" xr:uid="{59DD2DDA-3435-4BED-95F0-69240BB5E919}"/>
    <cellStyle name="Note 7 5 3" xfId="17670" xr:uid="{852FC093-9DC5-4043-8114-5F3DF221299B}"/>
    <cellStyle name="Note 7 5 4" xfId="35450" xr:uid="{6F7355F4-EB9F-4DE5-A66E-5E670EA3D994}"/>
    <cellStyle name="Note 7 6" xfId="9825" xr:uid="{997A1790-8B50-47B6-AFCB-3E6DF7F992CB}"/>
    <cellStyle name="Note 7 6 2" xfId="377" xr:uid="{846F700A-2864-4170-BE2D-5510EB689D64}"/>
    <cellStyle name="Note 7 6 3" xfId="36322" xr:uid="{ECC96E99-391E-46FC-84E1-29676FE18C1D}"/>
    <cellStyle name="Note 7 7" xfId="397" xr:uid="{67D00502-DD6E-49CE-8368-E6B72870299D}"/>
    <cellStyle name="Note 7 7 2" xfId="36608" xr:uid="{7F8A8E3A-B6FE-4CA8-8976-543B02B09888}"/>
    <cellStyle name="Note 7 8" xfId="34589" xr:uid="{C70A7DEE-F994-4317-841B-69360371D754}"/>
    <cellStyle name="Note 7 9" xfId="7376" xr:uid="{DEEEC1A6-5D32-4FD2-B665-B662F4264733}"/>
    <cellStyle name="Note 8" xfId="298" xr:uid="{3760DDD6-3C4C-4CD7-B149-1D70B8E24395}"/>
    <cellStyle name="Note 8 2" xfId="21625" xr:uid="{AEF29F5D-3359-4A9F-8DFF-1A77A01F5F4E}"/>
    <cellStyle name="Note 8 2 2" xfId="7336" xr:uid="{732BB84C-3FDC-4D22-BD32-5596A0CA2189}"/>
    <cellStyle name="Note 8 2 2 2" xfId="7333" xr:uid="{88F62B54-854D-4D92-977D-1B8E68C8A025}"/>
    <cellStyle name="Note 8 2 2 2 2" xfId="14522" xr:uid="{7F789C1E-EF26-4120-972C-BA08D248ECCB}"/>
    <cellStyle name="Note 8 2 2 2 2 2" xfId="380" xr:uid="{FB010742-62D8-45E6-ADDE-2AA3B0268126}"/>
    <cellStyle name="Note 8 2 2 2 3" xfId="10143" xr:uid="{EF28520F-392E-4AA5-B3F7-6E277245487F}"/>
    <cellStyle name="Note 8 2 2 3" xfId="7331" xr:uid="{C5F0F186-197E-4139-B543-A1A66234B9FF}"/>
    <cellStyle name="Note 8 2 2 3 2" xfId="390" xr:uid="{413F443E-6057-4898-BD45-680B3AB3F811}"/>
    <cellStyle name="Note 8 2 2 4" xfId="4826" xr:uid="{50513828-AC9C-4ACA-B0DD-2E2D1B4BB17E}"/>
    <cellStyle name="Note 8 2 3" xfId="7328" xr:uid="{B2516BBE-3C92-467E-BE4C-A328C30FE199}"/>
    <cellStyle name="Note 8 2 3 2" xfId="25808" xr:uid="{ADCC48B8-A0F6-48AD-8F41-21327CD2A6E9}"/>
    <cellStyle name="Note 8 2 3 2 2" xfId="375" xr:uid="{7E178D19-8949-4362-99BA-8DAB12EF1042}"/>
    <cellStyle name="Note 8 2 3 3" xfId="382" xr:uid="{FD7E0261-A378-4FF7-B744-E6F67E4DC0F8}"/>
    <cellStyle name="Note 8 2 4" xfId="7325" xr:uid="{C757F8B9-0FE5-4F31-A6C7-3C9BC4F78AB9}"/>
    <cellStyle name="Note 8 2 4 2" xfId="388" xr:uid="{2A95B55B-DCC8-4197-8B98-580411241D2D}"/>
    <cellStyle name="Note 8 2 5" xfId="373" xr:uid="{A6758644-5426-48D9-9122-2C26337F42D4}"/>
    <cellStyle name="Note 8 2 6" xfId="34832" xr:uid="{D1F23019-45E5-4E4B-BDC4-0E53EC3B742E}"/>
    <cellStyle name="Note 8 3" xfId="9819" xr:uid="{9B1CB152-2C89-4459-ADF7-004A6DE02548}"/>
    <cellStyle name="Note 8 3 2" xfId="9815" xr:uid="{656150D3-DDBD-4EC0-801E-7C48F15E9460}"/>
    <cellStyle name="Note 8 3 2 2" xfId="7323" xr:uid="{64E197E3-60F6-444D-94B1-E4EA75438731}"/>
    <cellStyle name="Note 8 3 2 2 2" xfId="361" xr:uid="{E6B2579B-EEDF-4F7B-AACA-D7B9BCF66348}"/>
    <cellStyle name="Note 8 3 2 3" xfId="371" xr:uid="{4C4C1950-7D8C-49BA-806A-7DB893F87E16}"/>
    <cellStyle name="Note 8 3 3" xfId="9807" xr:uid="{DA7BCF1F-D236-4A8F-813A-222BFB9EA073}"/>
    <cellStyle name="Note 8 3 3 2" xfId="367" xr:uid="{28F28DCE-BAC2-44AA-923E-3C428AA2055E}"/>
    <cellStyle name="Note 8 3 4" xfId="27609" xr:uid="{64B58242-B6D8-4455-8716-8F3E9BEB7969}"/>
    <cellStyle name="Note 8 3 5" xfId="35034" xr:uid="{5647644A-E323-46DE-BC59-C616A6092945}"/>
    <cellStyle name="Note 8 4" xfId="9803" xr:uid="{7CE65D00-0489-4991-BECA-600ACA4A8FF4}"/>
    <cellStyle name="Note 8 4 2" xfId="14525" xr:uid="{D8594A19-93B4-4BF9-9608-AE7AC764D003}"/>
    <cellStyle name="Note 8 4 2 2" xfId="387" xr:uid="{BA6161A5-05FF-47DF-8C74-1A0F6DFA563C}"/>
    <cellStyle name="Note 8 4 3" xfId="34308" xr:uid="{A8017E70-722B-48B2-8134-0B436183FFC2}"/>
    <cellStyle name="Note 8 4 4" xfId="35241" xr:uid="{7DB166BF-71E9-4E89-8FA1-A04D6108A005}"/>
    <cellStyle name="Note 8 5" xfId="9800" xr:uid="{A82FE756-9CDD-4F0F-BF74-2C09A9C12412}"/>
    <cellStyle name="Note 8 5 2" xfId="362" xr:uid="{87B87FB2-3FF2-439D-866A-115EE35DBB9A}"/>
    <cellStyle name="Note 8 5 3" xfId="35470" xr:uid="{9A6440CA-C504-4D9F-B2D5-E654A8DF3EC7}"/>
    <cellStyle name="Note 8 6" xfId="358" xr:uid="{9F872BF2-7E88-4C6B-A6F4-963B62D1012D}"/>
    <cellStyle name="Note 8 6 2" xfId="36342" xr:uid="{D10C19E8-55A6-4960-8EC7-D0043FBF410C}"/>
    <cellStyle name="Note 8 7" xfId="34603" xr:uid="{52C35A0D-FD23-4868-A3DC-18EC64F0FD49}"/>
    <cellStyle name="Note 8 8" xfId="22618" xr:uid="{0ED2DB07-3CC3-42A7-8E62-801AC7AB450A}"/>
    <cellStyle name="Note 8 8 2" xfId="37500" xr:uid="{631F9733-F15D-45B0-B37D-33CBB1CD5AF7}"/>
    <cellStyle name="Note 9" xfId="318" xr:uid="{E7C3BC5C-E18F-41E0-9E7B-3C9CF8045E68}"/>
    <cellStyle name="Note 9 2" xfId="7320" xr:uid="{1B8C5A78-0515-4C63-9061-ABD7F768D049}"/>
    <cellStyle name="Note 9 2 2" xfId="13352" xr:uid="{7D5D2541-4DA2-4A8B-A2B5-C78CE10D8DB2}"/>
    <cellStyle name="Note 9 2 2 2" xfId="7318" xr:uid="{3117555E-1EEA-4506-BDA9-7722DBA0A0E9}"/>
    <cellStyle name="Note 9 2 2 2 2" xfId="364" xr:uid="{A2985899-E355-414A-9463-2EC634BEF502}"/>
    <cellStyle name="Note 9 2 2 3" xfId="368" xr:uid="{E4CA3D28-57A9-490D-9015-F686FBE6A895}"/>
    <cellStyle name="Note 9 2 3" xfId="7316" xr:uid="{798735AA-822F-4423-A202-99B5F5AA2A4B}"/>
    <cellStyle name="Note 9 2 3 2" xfId="33938" xr:uid="{4A2F36A8-3824-4998-B1A8-1504E6372F5E}"/>
    <cellStyle name="Note 9 2 4" xfId="365" xr:uid="{10EE607E-4BBD-4317-BEF0-6C01E4028F4D}"/>
    <cellStyle name="Note 9 2 5" xfId="34851" xr:uid="{8493E518-25D8-43F8-BA1B-30EC523957A9}"/>
    <cellStyle name="Note 9 3" xfId="9796" xr:uid="{F7C2D5D6-5889-4B0B-8104-A686AEB650B7}"/>
    <cellStyle name="Note 9 3 2" xfId="9792" xr:uid="{23879135-6ED0-4310-B8A8-ABC41DF237AC}"/>
    <cellStyle name="Note 9 3 2 2" xfId="359" xr:uid="{FDC21752-51BD-4F23-9089-BDEA199AACAF}"/>
    <cellStyle name="Note 9 3 3" xfId="21533" xr:uid="{74C1894C-C7E5-491F-8451-A1FEE0268E60}"/>
    <cellStyle name="Note 9 3 4" xfId="35053" xr:uid="{91249BC4-116F-42B0-A307-ED026BC0F395}"/>
    <cellStyle name="Note 9 4" xfId="9788" xr:uid="{E06FE104-BE5D-4876-8B36-F1A8D24E771A}"/>
    <cellStyle name="Note 9 4 2" xfId="369" xr:uid="{E2C39798-4DB5-485A-9A7A-2ECF8579DEB6}"/>
    <cellStyle name="Note 9 4 3" xfId="35260" xr:uid="{449A5915-EA59-4875-AB97-BDB38CF43E1A}"/>
    <cellStyle name="Note 9 5" xfId="360" xr:uid="{759E89AD-4EBA-4CDC-874D-990D1860E04D}"/>
    <cellStyle name="Note 9 5 2" xfId="35489" xr:uid="{EF9C3DE6-6ECD-400A-B20A-39A7F5CB0598}"/>
    <cellStyle name="Note 9 6" xfId="34617" xr:uid="{DA60DF00-950C-4686-870B-DCBD3D608A32}"/>
    <cellStyle name="Note 9 7" xfId="22612" xr:uid="{766287AB-A8A2-4EDB-B055-FD99856A87F4}"/>
    <cellStyle name="Note 9 7 2" xfId="36634" xr:uid="{CAB3366C-B187-4408-8B36-D253AD712E5E}"/>
    <cellStyle name="Note 9 8" xfId="37519" xr:uid="{387961A0-4253-4455-B796-EAD71C5E60DE}"/>
    <cellStyle name="Output" xfId="14" builtinId="21" customBuiltin="1"/>
    <cellStyle name="Output 2" xfId="366" xr:uid="{5836058B-4E9A-4C6A-A46F-6749AC984A80}"/>
    <cellStyle name="Output 3" xfId="391" xr:uid="{29E421AB-C802-49AB-8E84-0FC5E3A2407B}"/>
    <cellStyle name="Percent" xfId="2" builtinId="5"/>
    <cellStyle name="Percent 2" xfId="46" xr:uid="{6C0D2E27-81E3-4D3F-BFE7-E3BE553037FD}"/>
    <cellStyle name="Percent 3" xfId="370" xr:uid="{609B75A3-F768-436C-A17C-2270BB010C90}"/>
    <cellStyle name="Percent 4" xfId="4" xr:uid="{9D57BA68-1362-4374-97B1-5FD57C08E2BA}"/>
    <cellStyle name="Percent 5" xfId="34410" xr:uid="{FA9BC7C7-7418-4B42-91BF-710A8A6B0784}"/>
    <cellStyle name="Style 1" xfId="13707" xr:uid="{6A88331B-8697-427D-B82D-B97872217A33}"/>
    <cellStyle name="Title" xfId="5" builtinId="15" customBuiltin="1"/>
    <cellStyle name="Total" xfId="20" builtinId="25" customBuiltin="1"/>
    <cellStyle name="Total 2" xfId="76" xr:uid="{7E816F57-D4EC-41D2-8CD0-5A54BBACCF99}"/>
    <cellStyle name="Warning Text" xfId="18" builtinId="11" customBuiltin="1"/>
    <cellStyle name="Warning Text 2" xfId="74" xr:uid="{D4FE8CD2-740F-4ACC-9426-9B6616241676}"/>
  </cellStyles>
  <dxfs count="887">
    <dxf>
      <fill>
        <patternFill>
          <bgColor rgb="FFDE787A"/>
        </patternFill>
      </fill>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4" formatCode="[$-409]dd/mmm/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auto="1"/>
        </left>
        <right style="thin">
          <color auto="1"/>
        </right>
        <top/>
        <bottom/>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7" formatCode="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3" formatCode="0%"/>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mmm\-yy"/>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7" formatCode="d\-mmm\-yy"/>
      <fill>
        <patternFill patternType="solid">
          <fgColor indexed="64"/>
          <bgColor theme="0" tint="-0.1499984740745262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border diagonalUp="0" diagonalDown="0">
        <left style="hair">
          <color auto="1"/>
        </left>
        <right style="hair">
          <color auto="1"/>
        </right>
        <top style="hair">
          <color auto="1"/>
        </top>
        <bottom style="hair">
          <color auto="1"/>
        </bottom>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outline="0">
        <left style="hair">
          <color auto="1"/>
        </left>
        <right style="hair">
          <color auto="1"/>
        </right>
        <top style="hair">
          <color auto="1"/>
        </top>
        <bottom style="hair">
          <color auto="1"/>
        </bottom>
      </border>
    </dxf>
    <dxf>
      <numFmt numFmtId="2" formatCode="0.00"/>
      <alignment horizontal="right"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border diagonalUp="0" diagonalDown="0" outline="0">
        <left style="hair">
          <color auto="1"/>
        </left>
        <right style="hair">
          <color auto="1"/>
        </right>
        <top style="hair">
          <color auto="1"/>
        </top>
        <bottom style="hair">
          <color auto="1"/>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left"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d\-mmm\-yy"/>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border outline="0">
        <top style="dotted">
          <color auto="1"/>
        </top>
      </border>
    </dxf>
    <dxf>
      <alignment horizontal="center" vertical="center" textRotation="0" wrapText="0" indent="0" justifyLastLine="0" shrinkToFit="0" readingOrder="0"/>
    </dxf>
    <dxf>
      <border diagonalUp="0" diagonalDown="0">
        <left style="dotted">
          <color auto="1"/>
        </left>
        <right style="dotted">
          <color auto="1"/>
        </right>
        <top style="dotted">
          <color auto="1"/>
        </top>
        <bottom style="dotted">
          <color auto="1"/>
        </bottom>
      </border>
    </dxf>
    <dxf>
      <protection locked="1" hidden="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left style="dotted">
          <color auto="1"/>
        </left>
        <right style="dotted">
          <color auto="1"/>
        </right>
        <top/>
        <bottom/>
      </border>
      <protection locked="1" hidden="0"/>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3"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9"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fill>
        <patternFill patternType="solid">
          <fgColor indexed="64"/>
          <bgColor theme="6" tint="0.59999389629810485"/>
        </patternFill>
      </fill>
      <alignment horizontal="center" vertical="bottom" textRotation="0" wrapText="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6237665505187083E-2"/>
          <c:y val="8.7272387566772469E-2"/>
          <c:w val="0.87753018372703417"/>
          <c:h val="0.61984507144940215"/>
        </c:manualLayout>
      </c:layout>
      <c:lineChart>
        <c:grouping val="standard"/>
        <c:varyColors val="0"/>
        <c:ser>
          <c:idx val="0"/>
          <c:order val="0"/>
          <c:tx>
            <c:v>2.34725065 IS2 WMS POA Upward(W/mÂ²)</c:v>
          </c:tx>
          <c:spPr>
            <a:ln w="28575" cap="rnd">
              <a:solidFill>
                <a:schemeClr val="accent1"/>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9.9000000000000005E-2</c:v>
              </c:pt>
              <c:pt idx="2">
                <c:v>8.2000000000000003E-2</c:v>
              </c:pt>
              <c:pt idx="3">
                <c:v>0.14000000000000001</c:v>
              </c:pt>
              <c:pt idx="4">
                <c:v>7.0000000000000007E-2</c:v>
              </c:pt>
              <c:pt idx="5">
                <c:v>7.6999999999999999E-2</c:v>
              </c:pt>
              <c:pt idx="6">
                <c:v>3.9E-2</c:v>
              </c:pt>
              <c:pt idx="7">
                <c:v>3.0000000000000001E-3</c:v>
              </c:pt>
              <c:pt idx="8">
                <c:v>3.0000000000000001E-3</c:v>
              </c:pt>
              <c:pt idx="9">
                <c:v>0</c:v>
              </c:pt>
              <c:pt idx="10">
                <c:v>0</c:v>
              </c:pt>
              <c:pt idx="11">
                <c:v>6.0000000000000001E-3</c:v>
              </c:pt>
              <c:pt idx="12">
                <c:v>6.0000000000000001E-3</c:v>
              </c:pt>
              <c:pt idx="13">
                <c:v>2.9000000000000001E-2</c:v>
              </c:pt>
              <c:pt idx="14">
                <c:v>6.2E-2</c:v>
              </c:pt>
              <c:pt idx="15">
                <c:v>5.1999999999999998E-2</c:v>
              </c:pt>
              <c:pt idx="16">
                <c:v>6.5000000000000002E-2</c:v>
              </c:pt>
              <c:pt idx="17">
                <c:v>6.0999999999999999E-2</c:v>
              </c:pt>
              <c:pt idx="18">
                <c:v>0.111</c:v>
              </c:pt>
              <c:pt idx="19">
                <c:v>0.11799999999999999</c:v>
              </c:pt>
              <c:pt idx="20">
                <c:v>7.1999999999999995E-2</c:v>
              </c:pt>
              <c:pt idx="21">
                <c:v>0.13900000000000001</c:v>
              </c:pt>
              <c:pt idx="22">
                <c:v>0.17799999999999999</c:v>
              </c:pt>
              <c:pt idx="23">
                <c:v>0.125</c:v>
              </c:pt>
              <c:pt idx="24">
                <c:v>0.14599999999999999</c:v>
              </c:pt>
              <c:pt idx="25">
                <c:v>0.185</c:v>
              </c:pt>
              <c:pt idx="26">
                <c:v>0.16900000000000001</c:v>
              </c:pt>
              <c:pt idx="27">
                <c:v>0.16200000000000001</c:v>
              </c:pt>
              <c:pt idx="28">
                <c:v>0.246</c:v>
              </c:pt>
              <c:pt idx="29">
                <c:v>0.19700000000000001</c:v>
              </c:pt>
              <c:pt idx="30">
                <c:v>0.14899999999999999</c:v>
              </c:pt>
              <c:pt idx="31">
                <c:v>0.16900000000000001</c:v>
              </c:pt>
              <c:pt idx="32">
                <c:v>0.16500000000000001</c:v>
              </c:pt>
              <c:pt idx="33">
                <c:v>0.124</c:v>
              </c:pt>
              <c:pt idx="34">
                <c:v>0.17499999999999999</c:v>
              </c:pt>
              <c:pt idx="35">
                <c:v>0.11600000000000001</c:v>
              </c:pt>
              <c:pt idx="36">
                <c:v>9.5000000000000001E-2</c:v>
              </c:pt>
              <c:pt idx="37">
                <c:v>0.129</c:v>
              </c:pt>
              <c:pt idx="38">
                <c:v>0.218</c:v>
              </c:pt>
              <c:pt idx="39">
                <c:v>0.20799999999999999</c:v>
              </c:pt>
              <c:pt idx="40">
                <c:v>0.191</c:v>
              </c:pt>
              <c:pt idx="41">
                <c:v>0.13200000000000001</c:v>
              </c:pt>
              <c:pt idx="42">
                <c:v>0.19900000000000001</c:v>
              </c:pt>
              <c:pt idx="43">
                <c:v>0.161</c:v>
              </c:pt>
              <c:pt idx="44">
                <c:v>0.192</c:v>
              </c:pt>
              <c:pt idx="45">
                <c:v>0.22800000000000001</c:v>
              </c:pt>
              <c:pt idx="46">
                <c:v>0.23100000000000001</c:v>
              </c:pt>
              <c:pt idx="47">
                <c:v>0.248</c:v>
              </c:pt>
              <c:pt idx="48">
                <c:v>0.182</c:v>
              </c:pt>
              <c:pt idx="49">
                <c:v>0.15</c:v>
              </c:pt>
              <c:pt idx="50">
                <c:v>0.186</c:v>
              </c:pt>
              <c:pt idx="51">
                <c:v>0.21099999999999999</c:v>
              </c:pt>
              <c:pt idx="52">
                <c:v>0.186</c:v>
              </c:pt>
              <c:pt idx="53">
                <c:v>0.153</c:v>
              </c:pt>
              <c:pt idx="54">
                <c:v>0.151</c:v>
              </c:pt>
              <c:pt idx="55">
                <c:v>6.3E-2</c:v>
              </c:pt>
              <c:pt idx="56">
                <c:v>0.13600000000000001</c:v>
              </c:pt>
              <c:pt idx="57">
                <c:v>0.191</c:v>
              </c:pt>
              <c:pt idx="58">
                <c:v>0.24299999999999999</c:v>
              </c:pt>
              <c:pt idx="59">
                <c:v>0.33</c:v>
              </c:pt>
              <c:pt idx="60">
                <c:v>0.34899999999999998</c:v>
              </c:pt>
              <c:pt idx="61">
                <c:v>0.37</c:v>
              </c:pt>
              <c:pt idx="62">
                <c:v>0.316</c:v>
              </c:pt>
              <c:pt idx="63">
                <c:v>0.28499999999999998</c:v>
              </c:pt>
              <c:pt idx="64">
                <c:v>0.34799999999999998</c:v>
              </c:pt>
              <c:pt idx="65">
                <c:v>0.27100000000000002</c:v>
              </c:pt>
              <c:pt idx="66">
                <c:v>0.29199999999999998</c:v>
              </c:pt>
              <c:pt idx="67">
                <c:v>0.186</c:v>
              </c:pt>
              <c:pt idx="68">
                <c:v>0.21</c:v>
              </c:pt>
              <c:pt idx="69">
                <c:v>0.14799999999999999</c:v>
              </c:pt>
              <c:pt idx="70">
                <c:v>0.10299999999999999</c:v>
              </c:pt>
              <c:pt idx="71">
                <c:v>0.11799999999999999</c:v>
              </c:pt>
              <c:pt idx="72">
                <c:v>0.14399999999999999</c:v>
              </c:pt>
              <c:pt idx="73">
                <c:v>8.8999999999999996E-2</c:v>
              </c:pt>
              <c:pt idx="74">
                <c:v>0.14399999999999999</c:v>
              </c:pt>
              <c:pt idx="75">
                <c:v>0.16400000000000001</c:v>
              </c:pt>
              <c:pt idx="76">
                <c:v>0.21199999999999999</c:v>
              </c:pt>
              <c:pt idx="77">
                <c:v>0.13300000000000001</c:v>
              </c:pt>
              <c:pt idx="78">
                <c:v>0.17399999999999999</c:v>
              </c:pt>
              <c:pt idx="79">
                <c:v>0.13300000000000001</c:v>
              </c:pt>
              <c:pt idx="80">
                <c:v>0.17699999999999999</c:v>
              </c:pt>
              <c:pt idx="81">
                <c:v>0.221</c:v>
              </c:pt>
              <c:pt idx="82">
                <c:v>0.17399999999999999</c:v>
              </c:pt>
              <c:pt idx="83">
                <c:v>0.21</c:v>
              </c:pt>
              <c:pt idx="84">
                <c:v>0.20899999999999999</c:v>
              </c:pt>
              <c:pt idx="85">
                <c:v>0.18</c:v>
              </c:pt>
              <c:pt idx="86">
                <c:v>0.157</c:v>
              </c:pt>
              <c:pt idx="87">
                <c:v>0.20200000000000001</c:v>
              </c:pt>
              <c:pt idx="88">
                <c:v>0.19700000000000001</c:v>
              </c:pt>
              <c:pt idx="89">
                <c:v>0.158</c:v>
              </c:pt>
              <c:pt idx="90">
                <c:v>0.20399999999999999</c:v>
              </c:pt>
              <c:pt idx="91">
                <c:v>0.17699999999999999</c:v>
              </c:pt>
              <c:pt idx="92">
                <c:v>0.23400000000000001</c:v>
              </c:pt>
              <c:pt idx="93">
                <c:v>0.20300000000000001</c:v>
              </c:pt>
              <c:pt idx="94">
                <c:v>0.20499999999999999</c:v>
              </c:pt>
              <c:pt idx="95">
                <c:v>0.19700000000000001</c:v>
              </c:pt>
              <c:pt idx="96">
                <c:v>0.21299999999999999</c:v>
              </c:pt>
              <c:pt idx="97">
                <c:v>0.19600000000000001</c:v>
              </c:pt>
              <c:pt idx="98">
                <c:v>0.17899999999999999</c:v>
              </c:pt>
              <c:pt idx="99">
                <c:v>0.184</c:v>
              </c:pt>
              <c:pt idx="100">
                <c:v>0.124</c:v>
              </c:pt>
              <c:pt idx="101">
                <c:v>0.14299999999999999</c:v>
              </c:pt>
              <c:pt idx="102">
                <c:v>0.14799999999999999</c:v>
              </c:pt>
              <c:pt idx="103">
                <c:v>0.14599999999999999</c:v>
              </c:pt>
              <c:pt idx="104">
                <c:v>0.17</c:v>
              </c:pt>
              <c:pt idx="105">
                <c:v>0.156</c:v>
              </c:pt>
              <c:pt idx="106">
                <c:v>0.214</c:v>
              </c:pt>
              <c:pt idx="107">
                <c:v>0.17299999999999999</c:v>
              </c:pt>
              <c:pt idx="108">
                <c:v>0.17299999999999999</c:v>
              </c:pt>
              <c:pt idx="109">
                <c:v>0.186</c:v>
              </c:pt>
              <c:pt idx="110">
                <c:v>0.159</c:v>
              </c:pt>
              <c:pt idx="111">
                <c:v>0.187</c:v>
              </c:pt>
              <c:pt idx="112">
                <c:v>0.17499999999999999</c:v>
              </c:pt>
              <c:pt idx="113">
                <c:v>0.16300000000000001</c:v>
              </c:pt>
              <c:pt idx="114">
                <c:v>0.16700000000000001</c:v>
              </c:pt>
              <c:pt idx="115">
                <c:v>0.122</c:v>
              </c:pt>
              <c:pt idx="116">
                <c:v>0.17699999999999999</c:v>
              </c:pt>
              <c:pt idx="117">
                <c:v>0.14599999999999999</c:v>
              </c:pt>
              <c:pt idx="118">
                <c:v>0.20200000000000001</c:v>
              </c:pt>
              <c:pt idx="119">
                <c:v>0.17199999999999999</c:v>
              </c:pt>
              <c:pt idx="120">
                <c:v>0.16700000000000001</c:v>
              </c:pt>
              <c:pt idx="121">
                <c:v>0.11799999999999999</c:v>
              </c:pt>
              <c:pt idx="122">
                <c:v>0.10299999999999999</c:v>
              </c:pt>
              <c:pt idx="123">
                <c:v>7.1999999999999995E-2</c:v>
              </c:pt>
              <c:pt idx="124">
                <c:v>6.2E-2</c:v>
              </c:pt>
              <c:pt idx="125">
                <c:v>6.7000000000000004E-2</c:v>
              </c:pt>
              <c:pt idx="126">
                <c:v>7.1999999999999995E-2</c:v>
              </c:pt>
              <c:pt idx="127">
                <c:v>0.111</c:v>
              </c:pt>
              <c:pt idx="128">
                <c:v>5.0999999999999997E-2</c:v>
              </c:pt>
              <c:pt idx="129">
                <c:v>8.8999999999999996E-2</c:v>
              </c:pt>
              <c:pt idx="130">
                <c:v>0.14699999999999999</c:v>
              </c:pt>
              <c:pt idx="131">
                <c:v>0.13200000000000001</c:v>
              </c:pt>
              <c:pt idx="132">
                <c:v>0.11600000000000001</c:v>
              </c:pt>
              <c:pt idx="133">
                <c:v>9.9000000000000005E-2</c:v>
              </c:pt>
              <c:pt idx="134">
                <c:v>7.0999999999999994E-2</c:v>
              </c:pt>
              <c:pt idx="135">
                <c:v>0.109</c:v>
              </c:pt>
              <c:pt idx="136">
                <c:v>9.9000000000000005E-2</c:v>
              </c:pt>
              <c:pt idx="137">
                <c:v>9.7000000000000003E-2</c:v>
              </c:pt>
              <c:pt idx="138">
                <c:v>5.8000000000000003E-2</c:v>
              </c:pt>
              <c:pt idx="139">
                <c:v>5.8000000000000003E-2</c:v>
              </c:pt>
              <c:pt idx="140">
                <c:v>3.6999999999999998E-2</c:v>
              </c:pt>
              <c:pt idx="141">
                <c:v>2.7E-2</c:v>
              </c:pt>
              <c:pt idx="142">
                <c:v>4.7E-2</c:v>
              </c:pt>
              <c:pt idx="143">
                <c:v>6.9000000000000006E-2</c:v>
              </c:pt>
              <c:pt idx="144">
                <c:v>5.6000000000000001E-2</c:v>
              </c:pt>
              <c:pt idx="145">
                <c:v>8.1000000000000003E-2</c:v>
              </c:pt>
              <c:pt idx="146">
                <c:v>3.9E-2</c:v>
              </c:pt>
              <c:pt idx="147">
                <c:v>4.1000000000000002E-2</c:v>
              </c:pt>
              <c:pt idx="148">
                <c:v>5.8000000000000003E-2</c:v>
              </c:pt>
              <c:pt idx="149">
                <c:v>5.8000000000000003E-2</c:v>
              </c:pt>
              <c:pt idx="150">
                <c:v>2.1000000000000001E-2</c:v>
              </c:pt>
              <c:pt idx="151">
                <c:v>2.7E-2</c:v>
              </c:pt>
              <c:pt idx="152">
                <c:v>9.0999999999999998E-2</c:v>
              </c:pt>
              <c:pt idx="153">
                <c:v>8.7999999999999995E-2</c:v>
              </c:pt>
              <c:pt idx="154">
                <c:v>1.7000000000000001E-2</c:v>
              </c:pt>
              <c:pt idx="155">
                <c:v>5.6000000000000001E-2</c:v>
              </c:pt>
              <c:pt idx="156">
                <c:v>5.5E-2</c:v>
              </c:pt>
              <c:pt idx="157">
                <c:v>7.1999999999999995E-2</c:v>
              </c:pt>
              <c:pt idx="158">
                <c:v>4.4999999999999998E-2</c:v>
              </c:pt>
              <c:pt idx="159">
                <c:v>2.5000000000000001E-2</c:v>
              </c:pt>
              <c:pt idx="160">
                <c:v>1.4E-2</c:v>
              </c:pt>
              <c:pt idx="161">
                <c:v>1.9E-2</c:v>
              </c:pt>
              <c:pt idx="162">
                <c:v>1E-3</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1E-3</c:v>
              </c:pt>
              <c:pt idx="261">
                <c:v>0.01</c:v>
              </c:pt>
              <c:pt idx="262">
                <c:v>8.9999999999999993E-3</c:v>
              </c:pt>
              <c:pt idx="263">
                <c:v>8.0000000000000002E-3</c:v>
              </c:pt>
              <c:pt idx="264">
                <c:v>1.4999999999999999E-2</c:v>
              </c:pt>
              <c:pt idx="265">
                <c:v>1.0999999999999999E-2</c:v>
              </c:pt>
              <c:pt idx="266">
                <c:v>2.3E-2</c:v>
              </c:pt>
              <c:pt idx="267">
                <c:v>2E-3</c:v>
              </c:pt>
              <c:pt idx="268">
                <c:v>1E-3</c:v>
              </c:pt>
              <c:pt idx="269">
                <c:v>0</c:v>
              </c:pt>
              <c:pt idx="270">
                <c:v>0</c:v>
              </c:pt>
              <c:pt idx="271">
                <c:v>0</c:v>
              </c:pt>
              <c:pt idx="272">
                <c:v>0</c:v>
              </c:pt>
              <c:pt idx="273">
                <c:v>0</c:v>
              </c:pt>
              <c:pt idx="274">
                <c:v>0</c:v>
              </c:pt>
              <c:pt idx="275">
                <c:v>0</c:v>
              </c:pt>
              <c:pt idx="276">
                <c:v>0</c:v>
              </c:pt>
              <c:pt idx="277">
                <c:v>5.0000000000000001E-3</c:v>
              </c:pt>
              <c:pt idx="278">
                <c:v>0</c:v>
              </c:pt>
              <c:pt idx="279">
                <c:v>0</c:v>
              </c:pt>
              <c:pt idx="280">
                <c:v>0</c:v>
              </c:pt>
              <c:pt idx="281">
                <c:v>0</c:v>
              </c:pt>
              <c:pt idx="282">
                <c:v>0</c:v>
              </c:pt>
              <c:pt idx="283">
                <c:v>0</c:v>
              </c:pt>
              <c:pt idx="284">
                <c:v>1E-3</c:v>
              </c:pt>
              <c:pt idx="285">
                <c:v>0</c:v>
              </c:pt>
              <c:pt idx="286">
                <c:v>1.6E-2</c:v>
              </c:pt>
              <c:pt idx="287">
                <c:v>3.0000000000000001E-3</c:v>
              </c:pt>
              <c:pt idx="288">
                <c:v>1.4E-2</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3.0000000000000001E-3</c:v>
              </c:pt>
              <c:pt idx="357">
                <c:v>0</c:v>
              </c:pt>
              <c:pt idx="358">
                <c:v>4.2000000000000003E-2</c:v>
              </c:pt>
              <c:pt idx="359">
                <c:v>5.0999999999999997E-2</c:v>
              </c:pt>
              <c:pt idx="360">
                <c:v>0.16400000000000001</c:v>
              </c:pt>
              <c:pt idx="361">
                <c:v>0.23799999999999999</c:v>
              </c:pt>
              <c:pt idx="362">
                <c:v>0.27700000000000002</c:v>
              </c:pt>
              <c:pt idx="363">
                <c:v>0.39400000000000002</c:v>
              </c:pt>
              <c:pt idx="364">
                <c:v>0.50700000000000001</c:v>
              </c:pt>
              <c:pt idx="365">
                <c:v>0.65700000000000003</c:v>
              </c:pt>
              <c:pt idx="366">
                <c:v>0.94699999999999995</c:v>
              </c:pt>
              <c:pt idx="367">
                <c:v>1.0780000000000001</c:v>
              </c:pt>
              <c:pt idx="368">
                <c:v>1.2390000000000001</c:v>
              </c:pt>
              <c:pt idx="369">
                <c:v>1.5569999999999999</c:v>
              </c:pt>
              <c:pt idx="370">
                <c:v>1.946</c:v>
              </c:pt>
              <c:pt idx="371">
                <c:v>2.3809999999999998</c:v>
              </c:pt>
              <c:pt idx="372">
                <c:v>2.5099999999999998</c:v>
              </c:pt>
              <c:pt idx="373">
                <c:v>2.8889999999999998</c:v>
              </c:pt>
              <c:pt idx="374">
                <c:v>3.0739999999999998</c:v>
              </c:pt>
              <c:pt idx="375">
                <c:v>3.37</c:v>
              </c:pt>
              <c:pt idx="376">
                <c:v>3.8570000000000002</c:v>
              </c:pt>
              <c:pt idx="377">
                <c:v>4.0999999999999996</c:v>
              </c:pt>
              <c:pt idx="378">
                <c:v>4.1970000000000001</c:v>
              </c:pt>
              <c:pt idx="379">
                <c:v>4.2290000000000001</c:v>
              </c:pt>
              <c:pt idx="380">
                <c:v>4.5880000000000001</c:v>
              </c:pt>
              <c:pt idx="381">
                <c:v>4.827</c:v>
              </c:pt>
              <c:pt idx="382">
                <c:v>5.3689999999999998</c:v>
              </c:pt>
              <c:pt idx="383">
                <c:v>6.6260000000000003</c:v>
              </c:pt>
              <c:pt idx="384">
                <c:v>8.4700000000000006</c:v>
              </c:pt>
              <c:pt idx="385">
                <c:v>9.9</c:v>
              </c:pt>
              <c:pt idx="386">
                <c:v>10.32</c:v>
              </c:pt>
              <c:pt idx="387">
                <c:v>10.79</c:v>
              </c:pt>
              <c:pt idx="388">
                <c:v>10.57</c:v>
              </c:pt>
              <c:pt idx="389">
                <c:v>10.67</c:v>
              </c:pt>
              <c:pt idx="390">
                <c:v>10.35</c:v>
              </c:pt>
              <c:pt idx="391">
                <c:v>10.3</c:v>
              </c:pt>
              <c:pt idx="392">
                <c:v>10.96</c:v>
              </c:pt>
              <c:pt idx="393">
                <c:v>12.57</c:v>
              </c:pt>
              <c:pt idx="394">
                <c:v>15.25</c:v>
              </c:pt>
              <c:pt idx="395">
                <c:v>16.559999999999999</c:v>
              </c:pt>
              <c:pt idx="396">
                <c:v>18.37</c:v>
              </c:pt>
              <c:pt idx="397">
                <c:v>20.21</c:v>
              </c:pt>
              <c:pt idx="398">
                <c:v>22.73</c:v>
              </c:pt>
              <c:pt idx="399">
                <c:v>24.12</c:v>
              </c:pt>
              <c:pt idx="400">
                <c:v>22.41</c:v>
              </c:pt>
              <c:pt idx="401">
                <c:v>25.28</c:v>
              </c:pt>
              <c:pt idx="402">
                <c:v>25.01</c:v>
              </c:pt>
              <c:pt idx="403">
                <c:v>23.88</c:v>
              </c:pt>
              <c:pt idx="404">
                <c:v>22.69</c:v>
              </c:pt>
              <c:pt idx="405">
                <c:v>21.27</c:v>
              </c:pt>
              <c:pt idx="406">
                <c:v>21.03</c:v>
              </c:pt>
              <c:pt idx="407">
                <c:v>20.350000000000001</c:v>
              </c:pt>
              <c:pt idx="408">
                <c:v>20.45</c:v>
              </c:pt>
              <c:pt idx="409">
                <c:v>20.99</c:v>
              </c:pt>
              <c:pt idx="410">
                <c:v>19.45</c:v>
              </c:pt>
              <c:pt idx="411">
                <c:v>16.64</c:v>
              </c:pt>
              <c:pt idx="412">
                <c:v>15.73</c:v>
              </c:pt>
              <c:pt idx="413">
                <c:v>15.76</c:v>
              </c:pt>
              <c:pt idx="414">
                <c:v>15.77</c:v>
              </c:pt>
              <c:pt idx="415">
                <c:v>17.23</c:v>
              </c:pt>
              <c:pt idx="416">
                <c:v>18.63</c:v>
              </c:pt>
              <c:pt idx="417">
                <c:v>20.36</c:v>
              </c:pt>
              <c:pt idx="418">
                <c:v>21.13</c:v>
              </c:pt>
              <c:pt idx="419">
                <c:v>20.49</c:v>
              </c:pt>
              <c:pt idx="420">
                <c:v>20.440000000000001</c:v>
              </c:pt>
              <c:pt idx="421">
                <c:v>19.86</c:v>
              </c:pt>
              <c:pt idx="422">
                <c:v>20.190000000000001</c:v>
              </c:pt>
              <c:pt idx="423">
                <c:v>20.38</c:v>
              </c:pt>
              <c:pt idx="424">
                <c:v>20.02</c:v>
              </c:pt>
              <c:pt idx="425">
                <c:v>20.09</c:v>
              </c:pt>
              <c:pt idx="426">
                <c:v>22.44</c:v>
              </c:pt>
              <c:pt idx="427">
                <c:v>23.49</c:v>
              </c:pt>
              <c:pt idx="428">
                <c:v>23.55</c:v>
              </c:pt>
              <c:pt idx="429">
                <c:v>22.5</c:v>
              </c:pt>
              <c:pt idx="430">
                <c:v>23.24</c:v>
              </c:pt>
              <c:pt idx="431">
                <c:v>25.7</c:v>
              </c:pt>
              <c:pt idx="432">
                <c:v>29.56</c:v>
              </c:pt>
              <c:pt idx="433">
                <c:v>31.09</c:v>
              </c:pt>
              <c:pt idx="434">
                <c:v>32.020000000000003</c:v>
              </c:pt>
              <c:pt idx="435">
                <c:v>29.91</c:v>
              </c:pt>
              <c:pt idx="436">
                <c:v>29.14</c:v>
              </c:pt>
              <c:pt idx="437">
                <c:v>29.96</c:v>
              </c:pt>
              <c:pt idx="438">
                <c:v>30.99</c:v>
              </c:pt>
              <c:pt idx="439">
                <c:v>31.99</c:v>
              </c:pt>
              <c:pt idx="440">
                <c:v>32.76</c:v>
              </c:pt>
              <c:pt idx="441">
                <c:v>33.81</c:v>
              </c:pt>
              <c:pt idx="442">
                <c:v>33.06</c:v>
              </c:pt>
              <c:pt idx="443">
                <c:v>28.97</c:v>
              </c:pt>
              <c:pt idx="444">
                <c:v>27.53</c:v>
              </c:pt>
              <c:pt idx="445">
                <c:v>26.52</c:v>
              </c:pt>
              <c:pt idx="446">
                <c:v>27.63</c:v>
              </c:pt>
              <c:pt idx="447">
                <c:v>30.66</c:v>
              </c:pt>
              <c:pt idx="448">
                <c:v>31.07</c:v>
              </c:pt>
              <c:pt idx="449">
                <c:v>34.19</c:v>
              </c:pt>
              <c:pt idx="450">
                <c:v>36.72</c:v>
              </c:pt>
              <c:pt idx="451">
                <c:v>36.64</c:v>
              </c:pt>
              <c:pt idx="452">
                <c:v>43.59</c:v>
              </c:pt>
              <c:pt idx="453">
                <c:v>47.95</c:v>
              </c:pt>
              <c:pt idx="454">
                <c:v>44.6</c:v>
              </c:pt>
              <c:pt idx="455">
                <c:v>47.63</c:v>
              </c:pt>
              <c:pt idx="456">
                <c:v>42.94</c:v>
              </c:pt>
              <c:pt idx="457">
                <c:v>38.71</c:v>
              </c:pt>
              <c:pt idx="458">
                <c:v>33.49</c:v>
              </c:pt>
              <c:pt idx="459">
                <c:v>30.84</c:v>
              </c:pt>
              <c:pt idx="460">
                <c:v>28.12</c:v>
              </c:pt>
              <c:pt idx="461">
                <c:v>26.78</c:v>
              </c:pt>
              <c:pt idx="462">
                <c:v>26.85</c:v>
              </c:pt>
              <c:pt idx="463">
                <c:v>28.23</c:v>
              </c:pt>
              <c:pt idx="464">
                <c:v>28.56</c:v>
              </c:pt>
              <c:pt idx="465">
                <c:v>27.16</c:v>
              </c:pt>
              <c:pt idx="466">
                <c:v>24.32</c:v>
              </c:pt>
              <c:pt idx="467">
                <c:v>23.05</c:v>
              </c:pt>
              <c:pt idx="468">
                <c:v>21.54</c:v>
              </c:pt>
              <c:pt idx="469">
                <c:v>22.8</c:v>
              </c:pt>
              <c:pt idx="470">
                <c:v>21.36</c:v>
              </c:pt>
              <c:pt idx="471">
                <c:v>25.38</c:v>
              </c:pt>
              <c:pt idx="472">
                <c:v>24.23</c:v>
              </c:pt>
              <c:pt idx="473">
                <c:v>23.24</c:v>
              </c:pt>
              <c:pt idx="474">
                <c:v>23.36</c:v>
              </c:pt>
              <c:pt idx="475">
                <c:v>22.8</c:v>
              </c:pt>
              <c:pt idx="476">
                <c:v>21.95</c:v>
              </c:pt>
              <c:pt idx="477">
                <c:v>20.3</c:v>
              </c:pt>
              <c:pt idx="478">
                <c:v>20.74</c:v>
              </c:pt>
              <c:pt idx="479">
                <c:v>24.02</c:v>
              </c:pt>
              <c:pt idx="480">
                <c:v>23.52</c:v>
              </c:pt>
              <c:pt idx="481">
                <c:v>24.45</c:v>
              </c:pt>
              <c:pt idx="482">
                <c:v>27.63</c:v>
              </c:pt>
              <c:pt idx="483">
                <c:v>29.39</c:v>
              </c:pt>
              <c:pt idx="484">
                <c:v>30.62</c:v>
              </c:pt>
              <c:pt idx="485">
                <c:v>31.94</c:v>
              </c:pt>
              <c:pt idx="486">
                <c:v>33.49</c:v>
              </c:pt>
              <c:pt idx="487">
                <c:v>37.700000000000003</c:v>
              </c:pt>
              <c:pt idx="488">
                <c:v>39.5</c:v>
              </c:pt>
              <c:pt idx="489">
                <c:v>39.619999999999997</c:v>
              </c:pt>
              <c:pt idx="490">
                <c:v>45.71</c:v>
              </c:pt>
              <c:pt idx="491">
                <c:v>49.29</c:v>
              </c:pt>
              <c:pt idx="492">
                <c:v>51.23</c:v>
              </c:pt>
              <c:pt idx="493">
                <c:v>59.6</c:v>
              </c:pt>
              <c:pt idx="494">
                <c:v>60.82</c:v>
              </c:pt>
              <c:pt idx="495">
                <c:v>63.54</c:v>
              </c:pt>
              <c:pt idx="496">
                <c:v>63.5</c:v>
              </c:pt>
              <c:pt idx="497">
                <c:v>68.849999999999994</c:v>
              </c:pt>
              <c:pt idx="498">
                <c:v>75.67</c:v>
              </c:pt>
              <c:pt idx="499">
                <c:v>81.2</c:v>
              </c:pt>
              <c:pt idx="500">
                <c:v>96</c:v>
              </c:pt>
              <c:pt idx="501">
                <c:v>114.2</c:v>
              </c:pt>
              <c:pt idx="502">
                <c:v>128.80000000000001</c:v>
              </c:pt>
              <c:pt idx="503">
                <c:v>142.4</c:v>
              </c:pt>
              <c:pt idx="504">
                <c:v>156.19999999999999</c:v>
              </c:pt>
              <c:pt idx="505">
                <c:v>160.5</c:v>
              </c:pt>
              <c:pt idx="506">
                <c:v>169.5</c:v>
              </c:pt>
              <c:pt idx="507">
                <c:v>155.19999999999999</c:v>
              </c:pt>
              <c:pt idx="508">
                <c:v>153.80000000000001</c:v>
              </c:pt>
              <c:pt idx="509">
                <c:v>159.4</c:v>
              </c:pt>
              <c:pt idx="510">
                <c:v>172</c:v>
              </c:pt>
              <c:pt idx="511">
                <c:v>181.4</c:v>
              </c:pt>
              <c:pt idx="512">
                <c:v>166.6</c:v>
              </c:pt>
              <c:pt idx="513">
                <c:v>157.69999999999999</c:v>
              </c:pt>
              <c:pt idx="514">
                <c:v>171.7</c:v>
              </c:pt>
              <c:pt idx="515">
                <c:v>159.9</c:v>
              </c:pt>
              <c:pt idx="516">
                <c:v>151.19999999999999</c:v>
              </c:pt>
              <c:pt idx="517">
                <c:v>154</c:v>
              </c:pt>
              <c:pt idx="518">
                <c:v>170</c:v>
              </c:pt>
              <c:pt idx="519">
                <c:v>192.8</c:v>
              </c:pt>
              <c:pt idx="520">
                <c:v>208.7</c:v>
              </c:pt>
              <c:pt idx="521">
                <c:v>200.3</c:v>
              </c:pt>
              <c:pt idx="522">
                <c:v>201.6</c:v>
              </c:pt>
              <c:pt idx="523">
                <c:v>202.4</c:v>
              </c:pt>
              <c:pt idx="524">
                <c:v>202</c:v>
              </c:pt>
              <c:pt idx="525">
                <c:v>199</c:v>
              </c:pt>
              <c:pt idx="526">
                <c:v>195.8</c:v>
              </c:pt>
              <c:pt idx="527">
                <c:v>192.4</c:v>
              </c:pt>
              <c:pt idx="528">
                <c:v>182.2</c:v>
              </c:pt>
              <c:pt idx="529">
                <c:v>185.3</c:v>
              </c:pt>
              <c:pt idx="530">
                <c:v>192.3</c:v>
              </c:pt>
              <c:pt idx="531">
                <c:v>184.4</c:v>
              </c:pt>
              <c:pt idx="532">
                <c:v>190.6</c:v>
              </c:pt>
              <c:pt idx="533">
                <c:v>182.1</c:v>
              </c:pt>
              <c:pt idx="534">
                <c:v>173.5</c:v>
              </c:pt>
              <c:pt idx="535">
                <c:v>178.9</c:v>
              </c:pt>
              <c:pt idx="536">
                <c:v>157.19999999999999</c:v>
              </c:pt>
              <c:pt idx="537">
                <c:v>139.80000000000001</c:v>
              </c:pt>
              <c:pt idx="538">
                <c:v>140.80000000000001</c:v>
              </c:pt>
              <c:pt idx="539">
                <c:v>163.30000000000001</c:v>
              </c:pt>
              <c:pt idx="540">
                <c:v>171.8</c:v>
              </c:pt>
              <c:pt idx="541">
                <c:v>166.1</c:v>
              </c:pt>
              <c:pt idx="542">
                <c:v>161</c:v>
              </c:pt>
              <c:pt idx="543">
                <c:v>147.69999999999999</c:v>
              </c:pt>
              <c:pt idx="544">
                <c:v>148.19999999999999</c:v>
              </c:pt>
              <c:pt idx="545">
                <c:v>159.6</c:v>
              </c:pt>
              <c:pt idx="546">
                <c:v>164.3</c:v>
              </c:pt>
              <c:pt idx="547">
                <c:v>183.4</c:v>
              </c:pt>
              <c:pt idx="548">
                <c:v>177.6</c:v>
              </c:pt>
              <c:pt idx="549">
                <c:v>171</c:v>
              </c:pt>
              <c:pt idx="550">
                <c:v>157.9</c:v>
              </c:pt>
              <c:pt idx="551">
                <c:v>135.30000000000001</c:v>
              </c:pt>
              <c:pt idx="552">
                <c:v>113.3</c:v>
              </c:pt>
              <c:pt idx="553">
                <c:v>97.2</c:v>
              </c:pt>
              <c:pt idx="554">
                <c:v>93.2</c:v>
              </c:pt>
              <c:pt idx="555">
                <c:v>100.8</c:v>
              </c:pt>
              <c:pt idx="556">
                <c:v>93.1</c:v>
              </c:pt>
              <c:pt idx="557">
                <c:v>91.9</c:v>
              </c:pt>
              <c:pt idx="558">
                <c:v>96.6</c:v>
              </c:pt>
              <c:pt idx="559">
                <c:v>88.5</c:v>
              </c:pt>
              <c:pt idx="560">
                <c:v>70.62</c:v>
              </c:pt>
              <c:pt idx="561">
                <c:v>59.85</c:v>
              </c:pt>
              <c:pt idx="562">
                <c:v>58.04</c:v>
              </c:pt>
              <c:pt idx="563">
                <c:v>59.86</c:v>
              </c:pt>
              <c:pt idx="564">
                <c:v>60.84</c:v>
              </c:pt>
              <c:pt idx="565">
                <c:v>51.95</c:v>
              </c:pt>
              <c:pt idx="566">
                <c:v>45.28</c:v>
              </c:pt>
              <c:pt idx="567">
                <c:v>52.72</c:v>
              </c:pt>
              <c:pt idx="568">
                <c:v>62.66</c:v>
              </c:pt>
              <c:pt idx="569">
                <c:v>68.16</c:v>
              </c:pt>
              <c:pt idx="570">
                <c:v>74.33</c:v>
              </c:pt>
              <c:pt idx="571">
                <c:v>79.489999999999995</c:v>
              </c:pt>
              <c:pt idx="572">
                <c:v>84.2</c:v>
              </c:pt>
              <c:pt idx="573">
                <c:v>89.4</c:v>
              </c:pt>
              <c:pt idx="574">
                <c:v>95.4</c:v>
              </c:pt>
              <c:pt idx="575">
                <c:v>98.2</c:v>
              </c:pt>
              <c:pt idx="576">
                <c:v>94.3</c:v>
              </c:pt>
              <c:pt idx="577">
                <c:v>94</c:v>
              </c:pt>
              <c:pt idx="578">
                <c:v>90.7</c:v>
              </c:pt>
              <c:pt idx="579">
                <c:v>99.8</c:v>
              </c:pt>
              <c:pt idx="580">
                <c:v>106.2</c:v>
              </c:pt>
              <c:pt idx="581">
                <c:v>113.8</c:v>
              </c:pt>
              <c:pt idx="582">
                <c:v>116.6</c:v>
              </c:pt>
              <c:pt idx="583">
                <c:v>134.4</c:v>
              </c:pt>
              <c:pt idx="584">
                <c:v>141.80000000000001</c:v>
              </c:pt>
              <c:pt idx="585">
                <c:v>144.9</c:v>
              </c:pt>
              <c:pt idx="586">
                <c:v>153.19999999999999</c:v>
              </c:pt>
              <c:pt idx="587">
                <c:v>160.4</c:v>
              </c:pt>
              <c:pt idx="588">
                <c:v>174.9</c:v>
              </c:pt>
              <c:pt idx="589">
                <c:v>173.4</c:v>
              </c:pt>
              <c:pt idx="590">
                <c:v>184.5</c:v>
              </c:pt>
              <c:pt idx="591">
                <c:v>187.1</c:v>
              </c:pt>
              <c:pt idx="592">
                <c:v>194.6</c:v>
              </c:pt>
              <c:pt idx="593">
                <c:v>200</c:v>
              </c:pt>
              <c:pt idx="594">
                <c:v>201.1</c:v>
              </c:pt>
              <c:pt idx="595">
                <c:v>204.7</c:v>
              </c:pt>
              <c:pt idx="596">
                <c:v>208.2</c:v>
              </c:pt>
              <c:pt idx="597">
                <c:v>201.9</c:v>
              </c:pt>
              <c:pt idx="598">
                <c:v>205.1</c:v>
              </c:pt>
              <c:pt idx="599">
                <c:v>203.5</c:v>
              </c:pt>
              <c:pt idx="600">
                <c:v>206.5</c:v>
              </c:pt>
              <c:pt idx="601">
                <c:v>201.4</c:v>
              </c:pt>
              <c:pt idx="602">
                <c:v>198.6</c:v>
              </c:pt>
              <c:pt idx="603">
                <c:v>192.9</c:v>
              </c:pt>
              <c:pt idx="604">
                <c:v>199.5</c:v>
              </c:pt>
              <c:pt idx="605">
                <c:v>202.7</c:v>
              </c:pt>
              <c:pt idx="606">
                <c:v>206.5</c:v>
              </c:pt>
              <c:pt idx="607">
                <c:v>205.9</c:v>
              </c:pt>
              <c:pt idx="608">
                <c:v>211.3</c:v>
              </c:pt>
              <c:pt idx="609">
                <c:v>202.4</c:v>
              </c:pt>
              <c:pt idx="610">
                <c:v>206.8</c:v>
              </c:pt>
              <c:pt idx="611">
                <c:v>213.4</c:v>
              </c:pt>
              <c:pt idx="612">
                <c:v>216.3</c:v>
              </c:pt>
              <c:pt idx="613">
                <c:v>221</c:v>
              </c:pt>
              <c:pt idx="614">
                <c:v>224</c:v>
              </c:pt>
              <c:pt idx="615">
                <c:v>225.6</c:v>
              </c:pt>
              <c:pt idx="616">
                <c:v>224.9</c:v>
              </c:pt>
              <c:pt idx="617">
                <c:v>231.4</c:v>
              </c:pt>
              <c:pt idx="618">
                <c:v>243.6</c:v>
              </c:pt>
              <c:pt idx="619">
                <c:v>249.6</c:v>
              </c:pt>
              <c:pt idx="620">
                <c:v>257.10000000000002</c:v>
              </c:pt>
              <c:pt idx="621">
                <c:v>264.10000000000002</c:v>
              </c:pt>
              <c:pt idx="622">
                <c:v>268.7</c:v>
              </c:pt>
              <c:pt idx="623">
                <c:v>268.3</c:v>
              </c:pt>
              <c:pt idx="624">
                <c:v>268.5</c:v>
              </c:pt>
              <c:pt idx="625">
                <c:v>268.2</c:v>
              </c:pt>
              <c:pt idx="626">
                <c:v>272.60000000000002</c:v>
              </c:pt>
              <c:pt idx="627">
                <c:v>268.39999999999998</c:v>
              </c:pt>
              <c:pt idx="628">
                <c:v>276.8</c:v>
              </c:pt>
              <c:pt idx="629">
                <c:v>271.8</c:v>
              </c:pt>
              <c:pt idx="630">
                <c:v>262.8</c:v>
              </c:pt>
              <c:pt idx="631">
                <c:v>259.89999999999998</c:v>
              </c:pt>
              <c:pt idx="632">
                <c:v>257.2</c:v>
              </c:pt>
              <c:pt idx="633">
                <c:v>262.7</c:v>
              </c:pt>
              <c:pt idx="634">
                <c:v>274.7</c:v>
              </c:pt>
              <c:pt idx="635">
                <c:v>285.2</c:v>
              </c:pt>
              <c:pt idx="636">
                <c:v>293.5</c:v>
              </c:pt>
              <c:pt idx="637">
                <c:v>298.39999999999998</c:v>
              </c:pt>
              <c:pt idx="638">
                <c:v>294.89999999999998</c:v>
              </c:pt>
              <c:pt idx="639">
                <c:v>286.60000000000002</c:v>
              </c:pt>
              <c:pt idx="640">
                <c:v>286.10000000000002</c:v>
              </c:pt>
              <c:pt idx="641">
                <c:v>290.39999999999998</c:v>
              </c:pt>
              <c:pt idx="642">
                <c:v>294.7</c:v>
              </c:pt>
              <c:pt idx="643">
                <c:v>302.39999999999998</c:v>
              </c:pt>
              <c:pt idx="644">
                <c:v>311.7</c:v>
              </c:pt>
              <c:pt idx="645">
                <c:v>311</c:v>
              </c:pt>
              <c:pt idx="646">
                <c:v>313.39999999999998</c:v>
              </c:pt>
              <c:pt idx="647">
                <c:v>314.60000000000002</c:v>
              </c:pt>
              <c:pt idx="648">
                <c:v>319.5</c:v>
              </c:pt>
              <c:pt idx="649">
                <c:v>326.39999999999998</c:v>
              </c:pt>
              <c:pt idx="650">
                <c:v>334.7</c:v>
              </c:pt>
              <c:pt idx="651">
                <c:v>340.9</c:v>
              </c:pt>
              <c:pt idx="652">
                <c:v>342.7</c:v>
              </c:pt>
              <c:pt idx="653">
                <c:v>342.3</c:v>
              </c:pt>
              <c:pt idx="654">
                <c:v>341</c:v>
              </c:pt>
              <c:pt idx="655">
                <c:v>345.8</c:v>
              </c:pt>
              <c:pt idx="656">
                <c:v>355.4</c:v>
              </c:pt>
              <c:pt idx="657">
                <c:v>375.4</c:v>
              </c:pt>
              <c:pt idx="658">
                <c:v>395.5</c:v>
              </c:pt>
              <c:pt idx="659">
                <c:v>418.7</c:v>
              </c:pt>
              <c:pt idx="660">
                <c:v>441.9</c:v>
              </c:pt>
              <c:pt idx="661">
                <c:v>460</c:v>
              </c:pt>
              <c:pt idx="662">
                <c:v>478.7</c:v>
              </c:pt>
              <c:pt idx="663">
                <c:v>488.7</c:v>
              </c:pt>
              <c:pt idx="664">
                <c:v>484.4</c:v>
              </c:pt>
              <c:pt idx="665">
                <c:v>489.6</c:v>
              </c:pt>
              <c:pt idx="666">
                <c:v>503</c:v>
              </c:pt>
              <c:pt idx="667">
                <c:v>499.9</c:v>
              </c:pt>
              <c:pt idx="668">
                <c:v>486.6</c:v>
              </c:pt>
              <c:pt idx="669">
                <c:v>480.4</c:v>
              </c:pt>
              <c:pt idx="670">
                <c:v>483.5</c:v>
              </c:pt>
              <c:pt idx="671">
                <c:v>497.8</c:v>
              </c:pt>
              <c:pt idx="672">
                <c:v>542.9</c:v>
              </c:pt>
              <c:pt idx="673">
                <c:v>510.4</c:v>
              </c:pt>
              <c:pt idx="674">
                <c:v>477</c:v>
              </c:pt>
              <c:pt idx="675">
                <c:v>467.7</c:v>
              </c:pt>
              <c:pt idx="676">
                <c:v>433.5</c:v>
              </c:pt>
              <c:pt idx="677">
                <c:v>397.3</c:v>
              </c:pt>
              <c:pt idx="678">
                <c:v>369.8</c:v>
              </c:pt>
              <c:pt idx="679">
                <c:v>376.2</c:v>
              </c:pt>
              <c:pt idx="680">
                <c:v>365.1</c:v>
              </c:pt>
              <c:pt idx="681">
                <c:v>352.1</c:v>
              </c:pt>
              <c:pt idx="682">
                <c:v>364.9</c:v>
              </c:pt>
              <c:pt idx="683">
                <c:v>374.7</c:v>
              </c:pt>
              <c:pt idx="684">
                <c:v>366.7</c:v>
              </c:pt>
              <c:pt idx="685">
                <c:v>349.2</c:v>
              </c:pt>
              <c:pt idx="686">
                <c:v>324.10000000000002</c:v>
              </c:pt>
              <c:pt idx="687">
                <c:v>322.89999999999998</c:v>
              </c:pt>
              <c:pt idx="688">
                <c:v>319</c:v>
              </c:pt>
              <c:pt idx="689">
                <c:v>304.89999999999998</c:v>
              </c:pt>
              <c:pt idx="690">
                <c:v>326.2</c:v>
              </c:pt>
              <c:pt idx="691">
                <c:v>351.7</c:v>
              </c:pt>
              <c:pt idx="692">
                <c:v>372.1</c:v>
              </c:pt>
              <c:pt idx="693">
                <c:v>380.3</c:v>
              </c:pt>
              <c:pt idx="694">
                <c:v>375.8</c:v>
              </c:pt>
              <c:pt idx="695">
                <c:v>375.1</c:v>
              </c:pt>
              <c:pt idx="696">
                <c:v>381</c:v>
              </c:pt>
              <c:pt idx="697">
                <c:v>366.5</c:v>
              </c:pt>
              <c:pt idx="698">
                <c:v>356.8</c:v>
              </c:pt>
              <c:pt idx="699">
                <c:v>368.2</c:v>
              </c:pt>
              <c:pt idx="700">
                <c:v>382</c:v>
              </c:pt>
              <c:pt idx="701">
                <c:v>385.4</c:v>
              </c:pt>
              <c:pt idx="702">
                <c:v>375.2</c:v>
              </c:pt>
              <c:pt idx="703">
                <c:v>419.8</c:v>
              </c:pt>
              <c:pt idx="704">
                <c:v>449.3</c:v>
              </c:pt>
              <c:pt idx="705">
                <c:v>456.7</c:v>
              </c:pt>
              <c:pt idx="706">
                <c:v>501.5</c:v>
              </c:pt>
              <c:pt idx="707">
                <c:v>544.5</c:v>
              </c:pt>
              <c:pt idx="708">
                <c:v>590.70000000000005</c:v>
              </c:pt>
              <c:pt idx="709">
                <c:v>590.20000000000005</c:v>
              </c:pt>
              <c:pt idx="710">
                <c:v>594.1</c:v>
              </c:pt>
              <c:pt idx="711">
                <c:v>578.9</c:v>
              </c:pt>
              <c:pt idx="712">
                <c:v>524.1</c:v>
              </c:pt>
              <c:pt idx="713">
                <c:v>487.7</c:v>
              </c:pt>
              <c:pt idx="714">
                <c:v>472.7</c:v>
              </c:pt>
              <c:pt idx="715">
                <c:v>457</c:v>
              </c:pt>
              <c:pt idx="716">
                <c:v>406.5</c:v>
              </c:pt>
              <c:pt idx="717">
                <c:v>371</c:v>
              </c:pt>
              <c:pt idx="718">
                <c:v>385.4</c:v>
              </c:pt>
              <c:pt idx="719">
                <c:v>391.7</c:v>
              </c:pt>
              <c:pt idx="720">
                <c:v>404.8</c:v>
              </c:pt>
              <c:pt idx="721">
                <c:v>449.9</c:v>
              </c:pt>
              <c:pt idx="722">
                <c:v>461.4</c:v>
              </c:pt>
              <c:pt idx="723">
                <c:v>444</c:v>
              </c:pt>
              <c:pt idx="724">
                <c:v>404.6</c:v>
              </c:pt>
              <c:pt idx="725">
                <c:v>359.6</c:v>
              </c:pt>
              <c:pt idx="726">
                <c:v>342.4</c:v>
              </c:pt>
              <c:pt idx="727">
                <c:v>344.3</c:v>
              </c:pt>
              <c:pt idx="728">
                <c:v>344.8</c:v>
              </c:pt>
              <c:pt idx="729">
                <c:v>331.8</c:v>
              </c:pt>
              <c:pt idx="730">
                <c:v>329.7</c:v>
              </c:pt>
              <c:pt idx="731">
                <c:v>300.10000000000002</c:v>
              </c:pt>
              <c:pt idx="732">
                <c:v>296.2</c:v>
              </c:pt>
              <c:pt idx="733">
                <c:v>325.5</c:v>
              </c:pt>
              <c:pt idx="734">
                <c:v>350</c:v>
              </c:pt>
              <c:pt idx="735">
                <c:v>352</c:v>
              </c:pt>
              <c:pt idx="736">
                <c:v>351.9</c:v>
              </c:pt>
              <c:pt idx="737">
                <c:v>345.3</c:v>
              </c:pt>
              <c:pt idx="738">
                <c:v>288.5</c:v>
              </c:pt>
              <c:pt idx="739">
                <c:v>260.2</c:v>
              </c:pt>
              <c:pt idx="740">
                <c:v>271.60000000000002</c:v>
              </c:pt>
              <c:pt idx="741">
                <c:v>288.7</c:v>
              </c:pt>
              <c:pt idx="742">
                <c:v>295</c:v>
              </c:pt>
              <c:pt idx="743">
                <c:v>297.10000000000002</c:v>
              </c:pt>
              <c:pt idx="744">
                <c:v>278.5</c:v>
              </c:pt>
              <c:pt idx="745">
                <c:v>268.3</c:v>
              </c:pt>
              <c:pt idx="746">
                <c:v>264</c:v>
              </c:pt>
              <c:pt idx="747">
                <c:v>266.39999999999998</c:v>
              </c:pt>
              <c:pt idx="748">
                <c:v>277.39999999999998</c:v>
              </c:pt>
              <c:pt idx="749">
                <c:v>320.89999999999998</c:v>
              </c:pt>
              <c:pt idx="750">
                <c:v>362.2</c:v>
              </c:pt>
              <c:pt idx="751">
                <c:v>354.6</c:v>
              </c:pt>
              <c:pt idx="752">
                <c:v>332.1</c:v>
              </c:pt>
              <c:pt idx="753">
                <c:v>316.39999999999998</c:v>
              </c:pt>
              <c:pt idx="754">
                <c:v>296.3</c:v>
              </c:pt>
              <c:pt idx="755">
                <c:v>258</c:v>
              </c:pt>
              <c:pt idx="756">
                <c:v>218.5</c:v>
              </c:pt>
              <c:pt idx="757">
                <c:v>186.2</c:v>
              </c:pt>
              <c:pt idx="758">
                <c:v>163.69999999999999</c:v>
              </c:pt>
              <c:pt idx="759">
                <c:v>170.3</c:v>
              </c:pt>
              <c:pt idx="760">
                <c:v>174.6</c:v>
              </c:pt>
              <c:pt idx="761">
                <c:v>174.2</c:v>
              </c:pt>
              <c:pt idx="762">
                <c:v>175.3</c:v>
              </c:pt>
              <c:pt idx="763">
                <c:v>173.3</c:v>
              </c:pt>
              <c:pt idx="764">
                <c:v>177.4</c:v>
              </c:pt>
              <c:pt idx="765">
                <c:v>178.9</c:v>
              </c:pt>
              <c:pt idx="766">
                <c:v>171.5</c:v>
              </c:pt>
              <c:pt idx="767">
                <c:v>159.30000000000001</c:v>
              </c:pt>
              <c:pt idx="768">
                <c:v>158.19999999999999</c:v>
              </c:pt>
              <c:pt idx="769">
                <c:v>162.6</c:v>
              </c:pt>
              <c:pt idx="770">
                <c:v>163.30000000000001</c:v>
              </c:pt>
              <c:pt idx="771">
                <c:v>156.80000000000001</c:v>
              </c:pt>
              <c:pt idx="772">
                <c:v>148.4</c:v>
              </c:pt>
              <c:pt idx="773">
                <c:v>142.5</c:v>
              </c:pt>
              <c:pt idx="774">
                <c:v>138</c:v>
              </c:pt>
              <c:pt idx="775">
                <c:v>128.1</c:v>
              </c:pt>
              <c:pt idx="776">
                <c:v>128.19999999999999</c:v>
              </c:pt>
              <c:pt idx="777">
                <c:v>132.19999999999999</c:v>
              </c:pt>
              <c:pt idx="778">
                <c:v>139.5</c:v>
              </c:pt>
              <c:pt idx="779">
                <c:v>145.80000000000001</c:v>
              </c:pt>
              <c:pt idx="780">
                <c:v>151.1</c:v>
              </c:pt>
              <c:pt idx="781">
                <c:v>156.4</c:v>
              </c:pt>
              <c:pt idx="782">
                <c:v>165.3</c:v>
              </c:pt>
              <c:pt idx="783">
                <c:v>176.5</c:v>
              </c:pt>
              <c:pt idx="784">
                <c:v>187.4</c:v>
              </c:pt>
              <c:pt idx="785">
                <c:v>197.1</c:v>
              </c:pt>
              <c:pt idx="786">
                <c:v>207.7</c:v>
              </c:pt>
              <c:pt idx="787">
                <c:v>216.7</c:v>
              </c:pt>
              <c:pt idx="788">
                <c:v>222.3</c:v>
              </c:pt>
              <c:pt idx="789">
                <c:v>214.9</c:v>
              </c:pt>
              <c:pt idx="790">
                <c:v>207.8</c:v>
              </c:pt>
              <c:pt idx="791">
                <c:v>200.4</c:v>
              </c:pt>
              <c:pt idx="792">
                <c:v>203.9</c:v>
              </c:pt>
              <c:pt idx="793">
                <c:v>230</c:v>
              </c:pt>
              <c:pt idx="794">
                <c:v>245.8</c:v>
              </c:pt>
              <c:pt idx="795">
                <c:v>256.60000000000002</c:v>
              </c:pt>
              <c:pt idx="796">
                <c:v>277.5</c:v>
              </c:pt>
              <c:pt idx="797">
                <c:v>307.89999999999998</c:v>
              </c:pt>
              <c:pt idx="798">
                <c:v>335.5</c:v>
              </c:pt>
              <c:pt idx="799">
                <c:v>354.3</c:v>
              </c:pt>
              <c:pt idx="800">
                <c:v>364</c:v>
              </c:pt>
              <c:pt idx="801">
                <c:v>367.3</c:v>
              </c:pt>
              <c:pt idx="802">
                <c:v>374.6</c:v>
              </c:pt>
              <c:pt idx="803">
                <c:v>391.9</c:v>
              </c:pt>
              <c:pt idx="804">
                <c:v>411.6</c:v>
              </c:pt>
              <c:pt idx="805">
                <c:v>418.5</c:v>
              </c:pt>
              <c:pt idx="806">
                <c:v>411.1</c:v>
              </c:pt>
              <c:pt idx="807">
                <c:v>411.7</c:v>
              </c:pt>
              <c:pt idx="808">
                <c:v>429.4</c:v>
              </c:pt>
              <c:pt idx="809">
                <c:v>455.6</c:v>
              </c:pt>
              <c:pt idx="810">
                <c:v>476.1</c:v>
              </c:pt>
              <c:pt idx="811">
                <c:v>481.2</c:v>
              </c:pt>
              <c:pt idx="812">
                <c:v>483.7</c:v>
              </c:pt>
              <c:pt idx="813">
                <c:v>493.3</c:v>
              </c:pt>
              <c:pt idx="814">
                <c:v>494.6</c:v>
              </c:pt>
              <c:pt idx="815">
                <c:v>478.5</c:v>
              </c:pt>
              <c:pt idx="816">
                <c:v>458.5</c:v>
              </c:pt>
              <c:pt idx="817">
                <c:v>456.2</c:v>
              </c:pt>
              <c:pt idx="818">
                <c:v>445</c:v>
              </c:pt>
              <c:pt idx="819">
                <c:v>386.9</c:v>
              </c:pt>
              <c:pt idx="820">
                <c:v>383.3</c:v>
              </c:pt>
              <c:pt idx="821">
                <c:v>409.9</c:v>
              </c:pt>
              <c:pt idx="822">
                <c:v>402.7</c:v>
              </c:pt>
              <c:pt idx="823">
                <c:v>385.5</c:v>
              </c:pt>
              <c:pt idx="824">
                <c:v>361.8</c:v>
              </c:pt>
              <c:pt idx="825">
                <c:v>310.89999999999998</c:v>
              </c:pt>
              <c:pt idx="826">
                <c:v>292.8</c:v>
              </c:pt>
              <c:pt idx="827">
                <c:v>315.7</c:v>
              </c:pt>
              <c:pt idx="828">
                <c:v>340</c:v>
              </c:pt>
              <c:pt idx="829">
                <c:v>353.6</c:v>
              </c:pt>
              <c:pt idx="830">
                <c:v>348.9</c:v>
              </c:pt>
              <c:pt idx="831">
                <c:v>335.3</c:v>
              </c:pt>
              <c:pt idx="832">
                <c:v>342.9</c:v>
              </c:pt>
              <c:pt idx="833">
                <c:v>359</c:v>
              </c:pt>
              <c:pt idx="834">
                <c:v>352.5</c:v>
              </c:pt>
              <c:pt idx="835">
                <c:v>363</c:v>
              </c:pt>
              <c:pt idx="836">
                <c:v>372.6</c:v>
              </c:pt>
              <c:pt idx="837">
                <c:v>415.8</c:v>
              </c:pt>
              <c:pt idx="838">
                <c:v>418</c:v>
              </c:pt>
              <c:pt idx="839">
                <c:v>433.1</c:v>
              </c:pt>
              <c:pt idx="840">
                <c:v>482.9</c:v>
              </c:pt>
              <c:pt idx="841">
                <c:v>481.9</c:v>
              </c:pt>
              <c:pt idx="842">
                <c:v>524.70000000000005</c:v>
              </c:pt>
              <c:pt idx="843">
                <c:v>501.9</c:v>
              </c:pt>
              <c:pt idx="844">
                <c:v>433.4</c:v>
              </c:pt>
              <c:pt idx="845">
                <c:v>393.2</c:v>
              </c:pt>
              <c:pt idx="846">
                <c:v>376.6</c:v>
              </c:pt>
              <c:pt idx="847">
                <c:v>394.5</c:v>
              </c:pt>
              <c:pt idx="848">
                <c:v>406.9</c:v>
              </c:pt>
              <c:pt idx="849">
                <c:v>399.9</c:v>
              </c:pt>
              <c:pt idx="850">
                <c:v>391.2</c:v>
              </c:pt>
              <c:pt idx="851">
                <c:v>388.1</c:v>
              </c:pt>
              <c:pt idx="852">
                <c:v>384.6</c:v>
              </c:pt>
              <c:pt idx="853">
                <c:v>386</c:v>
              </c:pt>
              <c:pt idx="854">
                <c:v>375</c:v>
              </c:pt>
              <c:pt idx="855">
                <c:v>336.3</c:v>
              </c:pt>
              <c:pt idx="856">
                <c:v>280.8</c:v>
              </c:pt>
              <c:pt idx="857">
                <c:v>254.8</c:v>
              </c:pt>
              <c:pt idx="858">
                <c:v>272.7</c:v>
              </c:pt>
              <c:pt idx="859">
                <c:v>278.2</c:v>
              </c:pt>
              <c:pt idx="860">
                <c:v>269.5</c:v>
              </c:pt>
              <c:pt idx="861">
                <c:v>259.39999999999998</c:v>
              </c:pt>
              <c:pt idx="862">
                <c:v>247.2</c:v>
              </c:pt>
              <c:pt idx="863">
                <c:v>233.5</c:v>
              </c:pt>
              <c:pt idx="864">
                <c:v>229.3</c:v>
              </c:pt>
              <c:pt idx="865">
                <c:v>216.8</c:v>
              </c:pt>
              <c:pt idx="866">
                <c:v>202.9</c:v>
              </c:pt>
              <c:pt idx="867">
                <c:v>211.6</c:v>
              </c:pt>
              <c:pt idx="868">
                <c:v>218.5</c:v>
              </c:pt>
              <c:pt idx="869">
                <c:v>250.7</c:v>
              </c:pt>
              <c:pt idx="870">
                <c:v>262</c:v>
              </c:pt>
              <c:pt idx="871">
                <c:v>253.7</c:v>
              </c:pt>
              <c:pt idx="872">
                <c:v>252.9</c:v>
              </c:pt>
              <c:pt idx="873">
                <c:v>250.6</c:v>
              </c:pt>
              <c:pt idx="874">
                <c:v>259.8</c:v>
              </c:pt>
              <c:pt idx="875">
                <c:v>298.7</c:v>
              </c:pt>
              <c:pt idx="876">
                <c:v>311</c:v>
              </c:pt>
              <c:pt idx="877">
                <c:v>313.60000000000002</c:v>
              </c:pt>
              <c:pt idx="878">
                <c:v>343.1</c:v>
              </c:pt>
              <c:pt idx="879">
                <c:v>323.89999999999998</c:v>
              </c:pt>
              <c:pt idx="880">
                <c:v>353.2</c:v>
              </c:pt>
              <c:pt idx="881">
                <c:v>387.4</c:v>
              </c:pt>
              <c:pt idx="882">
                <c:v>376.4</c:v>
              </c:pt>
              <c:pt idx="883">
                <c:v>324.60000000000002</c:v>
              </c:pt>
              <c:pt idx="884">
                <c:v>276.39999999999998</c:v>
              </c:pt>
              <c:pt idx="885">
                <c:v>270.7</c:v>
              </c:pt>
              <c:pt idx="886">
                <c:v>279.60000000000002</c:v>
              </c:pt>
              <c:pt idx="887">
                <c:v>284.39999999999998</c:v>
              </c:pt>
              <c:pt idx="888">
                <c:v>287.89999999999998</c:v>
              </c:pt>
              <c:pt idx="889">
                <c:v>266.89999999999998</c:v>
              </c:pt>
              <c:pt idx="890">
                <c:v>243</c:v>
              </c:pt>
              <c:pt idx="891">
                <c:v>215.1</c:v>
              </c:pt>
              <c:pt idx="892">
                <c:v>195.1</c:v>
              </c:pt>
              <c:pt idx="893">
                <c:v>192.4</c:v>
              </c:pt>
              <c:pt idx="894">
                <c:v>202.6</c:v>
              </c:pt>
              <c:pt idx="895">
                <c:v>204.2</c:v>
              </c:pt>
              <c:pt idx="896">
                <c:v>189.5</c:v>
              </c:pt>
              <c:pt idx="897">
                <c:v>170.3</c:v>
              </c:pt>
              <c:pt idx="898">
                <c:v>171.8</c:v>
              </c:pt>
              <c:pt idx="899">
                <c:v>172.6</c:v>
              </c:pt>
              <c:pt idx="900">
                <c:v>163.6</c:v>
              </c:pt>
              <c:pt idx="901">
                <c:v>147.4</c:v>
              </c:pt>
              <c:pt idx="902">
                <c:v>174.9</c:v>
              </c:pt>
              <c:pt idx="903">
                <c:v>221.8</c:v>
              </c:pt>
              <c:pt idx="904">
                <c:v>219.4</c:v>
              </c:pt>
              <c:pt idx="905">
                <c:v>181.1</c:v>
              </c:pt>
              <c:pt idx="906">
                <c:v>127.3</c:v>
              </c:pt>
              <c:pt idx="907">
                <c:v>90.3</c:v>
              </c:pt>
              <c:pt idx="908">
                <c:v>85.9</c:v>
              </c:pt>
              <c:pt idx="909">
                <c:v>90.1</c:v>
              </c:pt>
              <c:pt idx="910">
                <c:v>100.6</c:v>
              </c:pt>
              <c:pt idx="911">
                <c:v>103.3</c:v>
              </c:pt>
              <c:pt idx="912">
                <c:v>105.5</c:v>
              </c:pt>
              <c:pt idx="913">
                <c:v>103.3</c:v>
              </c:pt>
              <c:pt idx="914">
                <c:v>97</c:v>
              </c:pt>
              <c:pt idx="915">
                <c:v>89.4</c:v>
              </c:pt>
              <c:pt idx="916">
                <c:v>86.5</c:v>
              </c:pt>
              <c:pt idx="917">
                <c:v>100.1</c:v>
              </c:pt>
              <c:pt idx="918">
                <c:v>116.1</c:v>
              </c:pt>
              <c:pt idx="919">
                <c:v>127.1</c:v>
              </c:pt>
              <c:pt idx="920">
                <c:v>135.9</c:v>
              </c:pt>
              <c:pt idx="921">
                <c:v>141.19999999999999</c:v>
              </c:pt>
              <c:pt idx="922">
                <c:v>139.19999999999999</c:v>
              </c:pt>
              <c:pt idx="923">
                <c:v>134.1</c:v>
              </c:pt>
              <c:pt idx="924">
                <c:v>125.1</c:v>
              </c:pt>
              <c:pt idx="925">
                <c:v>118.3</c:v>
              </c:pt>
              <c:pt idx="926">
                <c:v>114.5</c:v>
              </c:pt>
              <c:pt idx="927">
                <c:v>113.9</c:v>
              </c:pt>
              <c:pt idx="928">
                <c:v>116.8</c:v>
              </c:pt>
              <c:pt idx="929">
                <c:v>118.1</c:v>
              </c:pt>
              <c:pt idx="930">
                <c:v>122.3</c:v>
              </c:pt>
              <c:pt idx="931">
                <c:v>122.1</c:v>
              </c:pt>
              <c:pt idx="932">
                <c:v>122.5</c:v>
              </c:pt>
              <c:pt idx="933">
                <c:v>121</c:v>
              </c:pt>
              <c:pt idx="934">
                <c:v>113.2</c:v>
              </c:pt>
              <c:pt idx="935">
                <c:v>98</c:v>
              </c:pt>
              <c:pt idx="936">
                <c:v>83.9</c:v>
              </c:pt>
              <c:pt idx="937">
                <c:v>74.59</c:v>
              </c:pt>
              <c:pt idx="938">
                <c:v>70.2</c:v>
              </c:pt>
              <c:pt idx="939">
                <c:v>68.89</c:v>
              </c:pt>
              <c:pt idx="940">
                <c:v>68.069999999999993</c:v>
              </c:pt>
              <c:pt idx="941">
                <c:v>66.52</c:v>
              </c:pt>
              <c:pt idx="942">
                <c:v>65.27</c:v>
              </c:pt>
              <c:pt idx="943">
                <c:v>65.03</c:v>
              </c:pt>
              <c:pt idx="944">
                <c:v>65.77</c:v>
              </c:pt>
              <c:pt idx="945">
                <c:v>67.41</c:v>
              </c:pt>
              <c:pt idx="946">
                <c:v>69.48</c:v>
              </c:pt>
              <c:pt idx="947">
                <c:v>70</c:v>
              </c:pt>
              <c:pt idx="948">
                <c:v>69.52</c:v>
              </c:pt>
              <c:pt idx="949">
                <c:v>70.31</c:v>
              </c:pt>
              <c:pt idx="950">
                <c:v>72.959999999999994</c:v>
              </c:pt>
              <c:pt idx="951">
                <c:v>76.3</c:v>
              </c:pt>
              <c:pt idx="952">
                <c:v>77.61</c:v>
              </c:pt>
              <c:pt idx="953">
                <c:v>77.77</c:v>
              </c:pt>
              <c:pt idx="954">
                <c:v>79.56</c:v>
              </c:pt>
              <c:pt idx="955">
                <c:v>83</c:v>
              </c:pt>
              <c:pt idx="956">
                <c:v>86.9</c:v>
              </c:pt>
              <c:pt idx="957">
                <c:v>90.6</c:v>
              </c:pt>
              <c:pt idx="958">
                <c:v>93.1</c:v>
              </c:pt>
              <c:pt idx="959">
                <c:v>97</c:v>
              </c:pt>
              <c:pt idx="960">
                <c:v>105</c:v>
              </c:pt>
              <c:pt idx="961">
                <c:v>115.9</c:v>
              </c:pt>
              <c:pt idx="962">
                <c:v>129.6</c:v>
              </c:pt>
              <c:pt idx="963">
                <c:v>146.19999999999999</c:v>
              </c:pt>
              <c:pt idx="964">
                <c:v>163.4</c:v>
              </c:pt>
              <c:pt idx="965">
                <c:v>172.5</c:v>
              </c:pt>
              <c:pt idx="966">
                <c:v>172.1</c:v>
              </c:pt>
              <c:pt idx="967">
                <c:v>166.9</c:v>
              </c:pt>
              <c:pt idx="968">
                <c:v>163.1</c:v>
              </c:pt>
              <c:pt idx="969">
                <c:v>161.9</c:v>
              </c:pt>
              <c:pt idx="970">
                <c:v>158.5</c:v>
              </c:pt>
              <c:pt idx="971">
                <c:v>146.30000000000001</c:v>
              </c:pt>
              <c:pt idx="972">
                <c:v>127.2</c:v>
              </c:pt>
              <c:pt idx="973">
                <c:v>107.4</c:v>
              </c:pt>
              <c:pt idx="974">
                <c:v>90.9</c:v>
              </c:pt>
              <c:pt idx="975">
                <c:v>81.599999999999994</c:v>
              </c:pt>
              <c:pt idx="976">
                <c:v>77.540000000000006</c:v>
              </c:pt>
              <c:pt idx="977">
                <c:v>75.89</c:v>
              </c:pt>
              <c:pt idx="978">
                <c:v>76.28</c:v>
              </c:pt>
              <c:pt idx="979">
                <c:v>78.33</c:v>
              </c:pt>
              <c:pt idx="980">
                <c:v>80.400000000000006</c:v>
              </c:pt>
              <c:pt idx="981">
                <c:v>81.5</c:v>
              </c:pt>
              <c:pt idx="982">
                <c:v>81.400000000000006</c:v>
              </c:pt>
              <c:pt idx="983">
                <c:v>79.33</c:v>
              </c:pt>
              <c:pt idx="984">
                <c:v>75.680000000000007</c:v>
              </c:pt>
              <c:pt idx="985">
                <c:v>78.650000000000006</c:v>
              </c:pt>
              <c:pt idx="986">
                <c:v>86.5</c:v>
              </c:pt>
              <c:pt idx="987">
                <c:v>95.7</c:v>
              </c:pt>
              <c:pt idx="988">
                <c:v>110</c:v>
              </c:pt>
              <c:pt idx="989">
                <c:v>121.8</c:v>
              </c:pt>
              <c:pt idx="990">
                <c:v>123.8</c:v>
              </c:pt>
              <c:pt idx="991">
                <c:v>130.9</c:v>
              </c:pt>
              <c:pt idx="992">
                <c:v>155.30000000000001</c:v>
              </c:pt>
              <c:pt idx="993">
                <c:v>186</c:v>
              </c:pt>
              <c:pt idx="994">
                <c:v>219.1</c:v>
              </c:pt>
              <c:pt idx="995">
                <c:v>216.4</c:v>
              </c:pt>
              <c:pt idx="996">
                <c:v>204.8</c:v>
              </c:pt>
              <c:pt idx="997">
                <c:v>190</c:v>
              </c:pt>
              <c:pt idx="998">
                <c:v>180.1</c:v>
              </c:pt>
              <c:pt idx="999">
                <c:v>175.1</c:v>
              </c:pt>
              <c:pt idx="1000">
                <c:v>177.6</c:v>
              </c:pt>
              <c:pt idx="1001">
                <c:v>184.5</c:v>
              </c:pt>
              <c:pt idx="1002">
                <c:v>191.4</c:v>
              </c:pt>
              <c:pt idx="1003">
                <c:v>196.4</c:v>
              </c:pt>
              <c:pt idx="1004">
                <c:v>200.2</c:v>
              </c:pt>
              <c:pt idx="1005">
                <c:v>202.8</c:v>
              </c:pt>
              <c:pt idx="1006">
                <c:v>198.8</c:v>
              </c:pt>
              <c:pt idx="1007">
                <c:v>190.3</c:v>
              </c:pt>
              <c:pt idx="1008">
                <c:v>178.7</c:v>
              </c:pt>
              <c:pt idx="1009">
                <c:v>163.5</c:v>
              </c:pt>
              <c:pt idx="1010">
                <c:v>150.9</c:v>
              </c:pt>
              <c:pt idx="1011">
                <c:v>143.1</c:v>
              </c:pt>
              <c:pt idx="1012">
                <c:v>134.30000000000001</c:v>
              </c:pt>
              <c:pt idx="1013">
                <c:v>127.6</c:v>
              </c:pt>
              <c:pt idx="1014">
                <c:v>117.8</c:v>
              </c:pt>
              <c:pt idx="1015">
                <c:v>102.6</c:v>
              </c:pt>
              <c:pt idx="1016">
                <c:v>92</c:v>
              </c:pt>
              <c:pt idx="1017">
                <c:v>81.400000000000006</c:v>
              </c:pt>
              <c:pt idx="1018">
                <c:v>70.260000000000005</c:v>
              </c:pt>
              <c:pt idx="1019">
                <c:v>62.05</c:v>
              </c:pt>
              <c:pt idx="1020">
                <c:v>57.48</c:v>
              </c:pt>
              <c:pt idx="1021">
                <c:v>58.42</c:v>
              </c:pt>
              <c:pt idx="1022">
                <c:v>59.5</c:v>
              </c:pt>
              <c:pt idx="1023">
                <c:v>54.38</c:v>
              </c:pt>
              <c:pt idx="1024">
                <c:v>47.22</c:v>
              </c:pt>
              <c:pt idx="1025">
                <c:v>43.35</c:v>
              </c:pt>
              <c:pt idx="1026">
                <c:v>43.65</c:v>
              </c:pt>
              <c:pt idx="1027">
                <c:v>46.75</c:v>
              </c:pt>
              <c:pt idx="1028">
                <c:v>48.01</c:v>
              </c:pt>
              <c:pt idx="1029">
                <c:v>47.46</c:v>
              </c:pt>
              <c:pt idx="1030">
                <c:v>46.58</c:v>
              </c:pt>
              <c:pt idx="1031">
                <c:v>46.21</c:v>
              </c:pt>
              <c:pt idx="1032">
                <c:v>49.73</c:v>
              </c:pt>
              <c:pt idx="1033">
                <c:v>58.76</c:v>
              </c:pt>
              <c:pt idx="1034">
                <c:v>73.12</c:v>
              </c:pt>
              <c:pt idx="1035">
                <c:v>90.1</c:v>
              </c:pt>
              <c:pt idx="1036">
                <c:v>108.1</c:v>
              </c:pt>
              <c:pt idx="1037">
                <c:v>125.5</c:v>
              </c:pt>
              <c:pt idx="1038">
                <c:v>141.5</c:v>
              </c:pt>
              <c:pt idx="1039">
                <c:v>157.80000000000001</c:v>
              </c:pt>
              <c:pt idx="1040">
                <c:v>174.4</c:v>
              </c:pt>
              <c:pt idx="1041">
                <c:v>191.9</c:v>
              </c:pt>
              <c:pt idx="1042">
                <c:v>208.7</c:v>
              </c:pt>
              <c:pt idx="1043">
                <c:v>215.1</c:v>
              </c:pt>
              <c:pt idx="1044">
                <c:v>205.1</c:v>
              </c:pt>
              <c:pt idx="1045">
                <c:v>187.1</c:v>
              </c:pt>
              <c:pt idx="1046">
                <c:v>173.3</c:v>
              </c:pt>
              <c:pt idx="1047">
                <c:v>149.19999999999999</c:v>
              </c:pt>
              <c:pt idx="1048">
                <c:v>135.69999999999999</c:v>
              </c:pt>
              <c:pt idx="1049">
                <c:v>133.9</c:v>
              </c:pt>
              <c:pt idx="1050">
                <c:v>107.1</c:v>
              </c:pt>
              <c:pt idx="1051">
                <c:v>87.6</c:v>
              </c:pt>
              <c:pt idx="1052">
                <c:v>68.36</c:v>
              </c:pt>
              <c:pt idx="1053">
                <c:v>54.87</c:v>
              </c:pt>
              <c:pt idx="1054">
                <c:v>47.89</c:v>
              </c:pt>
              <c:pt idx="1055">
                <c:v>47.88</c:v>
              </c:pt>
              <c:pt idx="1056">
                <c:v>56.18</c:v>
              </c:pt>
              <c:pt idx="1057">
                <c:v>72.08</c:v>
              </c:pt>
              <c:pt idx="1058">
                <c:v>92.2</c:v>
              </c:pt>
              <c:pt idx="1059">
                <c:v>112.9</c:v>
              </c:pt>
              <c:pt idx="1060">
                <c:v>130.5</c:v>
              </c:pt>
              <c:pt idx="1061">
                <c:v>150</c:v>
              </c:pt>
              <c:pt idx="1062">
                <c:v>165.2</c:v>
              </c:pt>
              <c:pt idx="1063">
                <c:v>175.4</c:v>
              </c:pt>
              <c:pt idx="1064">
                <c:v>185.4</c:v>
              </c:pt>
              <c:pt idx="1065">
                <c:v>195.6</c:v>
              </c:pt>
              <c:pt idx="1066">
                <c:v>202.9</c:v>
              </c:pt>
              <c:pt idx="1067">
                <c:v>204.5</c:v>
              </c:pt>
              <c:pt idx="1068">
                <c:v>203.8</c:v>
              </c:pt>
              <c:pt idx="1069">
                <c:v>200.8</c:v>
              </c:pt>
              <c:pt idx="1070">
                <c:v>194.6</c:v>
              </c:pt>
              <c:pt idx="1071">
                <c:v>183.5</c:v>
              </c:pt>
              <c:pt idx="1072">
                <c:v>168.9</c:v>
              </c:pt>
              <c:pt idx="1073">
                <c:v>151.5</c:v>
              </c:pt>
              <c:pt idx="1074">
                <c:v>134.80000000000001</c:v>
              </c:pt>
              <c:pt idx="1075">
                <c:v>121.9</c:v>
              </c:pt>
              <c:pt idx="1076">
                <c:v>112.9</c:v>
              </c:pt>
              <c:pt idx="1077">
                <c:v>107.1</c:v>
              </c:pt>
              <c:pt idx="1078">
                <c:v>102.9</c:v>
              </c:pt>
              <c:pt idx="1079">
                <c:v>97</c:v>
              </c:pt>
              <c:pt idx="1080">
                <c:v>89.4</c:v>
              </c:pt>
              <c:pt idx="1081">
                <c:v>84.3</c:v>
              </c:pt>
              <c:pt idx="1082">
                <c:v>75.489999999999995</c:v>
              </c:pt>
              <c:pt idx="1083">
                <c:v>65.23</c:v>
              </c:pt>
              <c:pt idx="1084">
                <c:v>54.03</c:v>
              </c:pt>
              <c:pt idx="1085">
                <c:v>44.4</c:v>
              </c:pt>
              <c:pt idx="1086">
                <c:v>39.369999999999997</c:v>
              </c:pt>
              <c:pt idx="1087">
                <c:v>40.14</c:v>
              </c:pt>
              <c:pt idx="1088">
                <c:v>44.69</c:v>
              </c:pt>
              <c:pt idx="1089">
                <c:v>49.39</c:v>
              </c:pt>
              <c:pt idx="1090">
                <c:v>52.04</c:v>
              </c:pt>
              <c:pt idx="1091">
                <c:v>53.84</c:v>
              </c:pt>
              <c:pt idx="1092">
                <c:v>54.11</c:v>
              </c:pt>
              <c:pt idx="1093">
                <c:v>54.1</c:v>
              </c:pt>
              <c:pt idx="1094">
                <c:v>57.11</c:v>
              </c:pt>
              <c:pt idx="1095">
                <c:v>63.54</c:v>
              </c:pt>
              <c:pt idx="1096">
                <c:v>72.84</c:v>
              </c:pt>
              <c:pt idx="1097">
                <c:v>79.680000000000007</c:v>
              </c:pt>
              <c:pt idx="1098">
                <c:v>83.5</c:v>
              </c:pt>
              <c:pt idx="1099">
                <c:v>85</c:v>
              </c:pt>
              <c:pt idx="1100">
                <c:v>83.4</c:v>
              </c:pt>
              <c:pt idx="1101">
                <c:v>78.45</c:v>
              </c:pt>
              <c:pt idx="1102">
                <c:v>72.569999999999993</c:v>
              </c:pt>
              <c:pt idx="1103">
                <c:v>73.59</c:v>
              </c:pt>
              <c:pt idx="1104">
                <c:v>80.5</c:v>
              </c:pt>
              <c:pt idx="1105">
                <c:v>84.3</c:v>
              </c:pt>
              <c:pt idx="1106">
                <c:v>85.3</c:v>
              </c:pt>
              <c:pt idx="1107">
                <c:v>85.3</c:v>
              </c:pt>
              <c:pt idx="1108">
                <c:v>84.5</c:v>
              </c:pt>
              <c:pt idx="1109">
                <c:v>83.3</c:v>
              </c:pt>
              <c:pt idx="1110">
                <c:v>81.7</c:v>
              </c:pt>
              <c:pt idx="1111">
                <c:v>80.2</c:v>
              </c:pt>
              <c:pt idx="1112">
                <c:v>78.599999999999994</c:v>
              </c:pt>
              <c:pt idx="1113">
                <c:v>78.010000000000005</c:v>
              </c:pt>
              <c:pt idx="1114">
                <c:v>78.23</c:v>
              </c:pt>
              <c:pt idx="1115">
                <c:v>78.81</c:v>
              </c:pt>
              <c:pt idx="1116">
                <c:v>79.56</c:v>
              </c:pt>
              <c:pt idx="1117">
                <c:v>80.2</c:v>
              </c:pt>
              <c:pt idx="1118">
                <c:v>80.5</c:v>
              </c:pt>
              <c:pt idx="1119">
                <c:v>80.099999999999994</c:v>
              </c:pt>
              <c:pt idx="1120">
                <c:v>79.349999999999994</c:v>
              </c:pt>
              <c:pt idx="1121">
                <c:v>78.84</c:v>
              </c:pt>
              <c:pt idx="1122">
                <c:v>78.27</c:v>
              </c:pt>
              <c:pt idx="1123">
                <c:v>77.14</c:v>
              </c:pt>
              <c:pt idx="1124">
                <c:v>75.459999999999994</c:v>
              </c:pt>
              <c:pt idx="1125">
                <c:v>73.22</c:v>
              </c:pt>
              <c:pt idx="1126">
                <c:v>70.739999999999995</c:v>
              </c:pt>
              <c:pt idx="1127">
                <c:v>68.239999999999995</c:v>
              </c:pt>
              <c:pt idx="1128">
                <c:v>66.12</c:v>
              </c:pt>
              <c:pt idx="1129">
                <c:v>64.22</c:v>
              </c:pt>
              <c:pt idx="1130">
                <c:v>62.81</c:v>
              </c:pt>
              <c:pt idx="1131">
                <c:v>61.3</c:v>
              </c:pt>
              <c:pt idx="1132">
                <c:v>59.7</c:v>
              </c:pt>
              <c:pt idx="1133">
                <c:v>58.42</c:v>
              </c:pt>
              <c:pt idx="1134">
                <c:v>57.32</c:v>
              </c:pt>
              <c:pt idx="1135">
                <c:v>56.34</c:v>
              </c:pt>
              <c:pt idx="1136">
                <c:v>55.26</c:v>
              </c:pt>
              <c:pt idx="1137">
                <c:v>54.17</c:v>
              </c:pt>
              <c:pt idx="1138">
                <c:v>53.43</c:v>
              </c:pt>
              <c:pt idx="1139">
                <c:v>52.58</c:v>
              </c:pt>
              <c:pt idx="1140">
                <c:v>51.09</c:v>
              </c:pt>
              <c:pt idx="1141">
                <c:v>49.61</c:v>
              </c:pt>
              <c:pt idx="1142">
                <c:v>48.12</c:v>
              </c:pt>
              <c:pt idx="1143">
                <c:v>46.22</c:v>
              </c:pt>
              <c:pt idx="1144">
                <c:v>43.83</c:v>
              </c:pt>
              <c:pt idx="1145">
                <c:v>41.67</c:v>
              </c:pt>
              <c:pt idx="1146">
                <c:v>39.99</c:v>
              </c:pt>
              <c:pt idx="1147">
                <c:v>38.049999999999997</c:v>
              </c:pt>
              <c:pt idx="1148">
                <c:v>36.06</c:v>
              </c:pt>
              <c:pt idx="1149">
                <c:v>34.78</c:v>
              </c:pt>
              <c:pt idx="1150">
                <c:v>33.76</c:v>
              </c:pt>
              <c:pt idx="1151">
                <c:v>32.6</c:v>
              </c:pt>
              <c:pt idx="1152">
                <c:v>31.64</c:v>
              </c:pt>
              <c:pt idx="1153">
                <c:v>30.96</c:v>
              </c:pt>
              <c:pt idx="1154">
                <c:v>30.83</c:v>
              </c:pt>
              <c:pt idx="1155">
                <c:v>31.12</c:v>
              </c:pt>
              <c:pt idx="1156">
                <c:v>31.37</c:v>
              </c:pt>
              <c:pt idx="1157">
                <c:v>30.97</c:v>
              </c:pt>
              <c:pt idx="1158">
                <c:v>29.33</c:v>
              </c:pt>
              <c:pt idx="1159">
                <c:v>26.9</c:v>
              </c:pt>
              <c:pt idx="1160">
                <c:v>25.28</c:v>
              </c:pt>
              <c:pt idx="1161">
                <c:v>24.56</c:v>
              </c:pt>
              <c:pt idx="1162">
                <c:v>22.41</c:v>
              </c:pt>
              <c:pt idx="1163">
                <c:v>18.05</c:v>
              </c:pt>
              <c:pt idx="1164">
                <c:v>14.02</c:v>
              </c:pt>
              <c:pt idx="1165">
                <c:v>11.36</c:v>
              </c:pt>
              <c:pt idx="1166">
                <c:v>9.2799999999999994</c:v>
              </c:pt>
              <c:pt idx="1167">
                <c:v>7.6950000000000003</c:v>
              </c:pt>
              <c:pt idx="1168">
                <c:v>6.2370000000000001</c:v>
              </c:pt>
              <c:pt idx="1169">
                <c:v>5.0970000000000004</c:v>
              </c:pt>
              <c:pt idx="1170">
                <c:v>4.2009999999999996</c:v>
              </c:pt>
              <c:pt idx="1171">
                <c:v>3.43</c:v>
              </c:pt>
              <c:pt idx="1172">
                <c:v>2.86</c:v>
              </c:pt>
              <c:pt idx="1173">
                <c:v>2.3540000000000001</c:v>
              </c:pt>
              <c:pt idx="1174">
                <c:v>1.994</c:v>
              </c:pt>
              <c:pt idx="1175">
                <c:v>1.6240000000000001</c:v>
              </c:pt>
              <c:pt idx="1176">
                <c:v>1.41</c:v>
              </c:pt>
              <c:pt idx="1177">
                <c:v>1.1579999999999999</c:v>
              </c:pt>
              <c:pt idx="1178">
                <c:v>0.97499999999999998</c:v>
              </c:pt>
              <c:pt idx="1179">
                <c:v>0.81599999999999995</c:v>
              </c:pt>
              <c:pt idx="1180">
                <c:v>0.71099999999999997</c:v>
              </c:pt>
              <c:pt idx="1181">
                <c:v>0.48499999999999999</c:v>
              </c:pt>
              <c:pt idx="1182">
                <c:v>0.41099999999999998</c:v>
              </c:pt>
              <c:pt idx="1183">
                <c:v>0.30199999999999999</c:v>
              </c:pt>
              <c:pt idx="1184">
                <c:v>0.219</c:v>
              </c:pt>
              <c:pt idx="1185">
                <c:v>4.9000000000000002E-2</c:v>
              </c:pt>
              <c:pt idx="1186">
                <c:v>2.9000000000000001E-2</c:v>
              </c:pt>
              <c:pt idx="1187">
                <c:v>1E-3</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2.3472506499999972</c:v>
              </c:pt>
            </c:numLit>
          </c:val>
          <c:smooth val="0"/>
          <c:extLst>
            <c:ext xmlns:c16="http://schemas.microsoft.com/office/drawing/2014/chart" uri="{C3380CC4-5D6E-409C-BE32-E72D297353CC}">
              <c16:uniqueId val="{00000000-E3D2-4F3F-B450-EC8B6FCDC9BF}"/>
            </c:ext>
          </c:extLst>
        </c:ser>
        <c:ser>
          <c:idx val="1"/>
          <c:order val="1"/>
          <c:tx>
            <c:v>2.419054083 IS4 WMS POA Upward(W/mÂ²)</c:v>
          </c:tx>
          <c:spPr>
            <a:ln w="28575" cap="rnd">
              <a:solidFill>
                <a:schemeClr val="accent2"/>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9.6000000000000002E-2</c:v>
              </c:pt>
              <c:pt idx="2">
                <c:v>7.5999999999999998E-2</c:v>
              </c:pt>
              <c:pt idx="3">
                <c:v>8.6999999999999994E-2</c:v>
              </c:pt>
              <c:pt idx="4">
                <c:v>6.5000000000000002E-2</c:v>
              </c:pt>
              <c:pt idx="5">
                <c:v>3.6999999999999998E-2</c:v>
              </c:pt>
              <c:pt idx="6">
                <c:v>9.0999999999999998E-2</c:v>
              </c:pt>
              <c:pt idx="7">
                <c:v>0.11</c:v>
              </c:pt>
              <c:pt idx="8">
                <c:v>0.123</c:v>
              </c:pt>
              <c:pt idx="9">
                <c:v>9.0999999999999998E-2</c:v>
              </c:pt>
              <c:pt idx="10">
                <c:v>8.5000000000000006E-2</c:v>
              </c:pt>
              <c:pt idx="11">
                <c:v>0.113</c:v>
              </c:pt>
              <c:pt idx="12">
                <c:v>7.3999999999999996E-2</c:v>
              </c:pt>
              <c:pt idx="13">
                <c:v>5.5E-2</c:v>
              </c:pt>
              <c:pt idx="14">
                <c:v>3.7999999999999999E-2</c:v>
              </c:pt>
              <c:pt idx="15">
                <c:v>8.5000000000000006E-2</c:v>
              </c:pt>
              <c:pt idx="16">
                <c:v>7.9000000000000001E-2</c:v>
              </c:pt>
              <c:pt idx="17">
                <c:v>6.7000000000000004E-2</c:v>
              </c:pt>
              <c:pt idx="18">
                <c:v>7.8E-2</c:v>
              </c:pt>
              <c:pt idx="19">
                <c:v>0.16200000000000001</c:v>
              </c:pt>
              <c:pt idx="20">
                <c:v>0.14899999999999999</c:v>
              </c:pt>
              <c:pt idx="21">
                <c:v>0.16700000000000001</c:v>
              </c:pt>
              <c:pt idx="22">
                <c:v>0.21099999999999999</c:v>
              </c:pt>
              <c:pt idx="23">
                <c:v>0.17899999999999999</c:v>
              </c:pt>
              <c:pt idx="24">
                <c:v>0.14199999999999999</c:v>
              </c:pt>
              <c:pt idx="25">
                <c:v>0.19500000000000001</c:v>
              </c:pt>
              <c:pt idx="26">
                <c:v>0.22600000000000001</c:v>
              </c:pt>
              <c:pt idx="27">
                <c:v>0.19900000000000001</c:v>
              </c:pt>
              <c:pt idx="28">
                <c:v>0.17</c:v>
              </c:pt>
              <c:pt idx="29">
                <c:v>0.20699999999999999</c:v>
              </c:pt>
              <c:pt idx="30">
                <c:v>0.219</c:v>
              </c:pt>
              <c:pt idx="31">
                <c:v>0.18099999999999999</c:v>
              </c:pt>
              <c:pt idx="32">
                <c:v>0.19700000000000001</c:v>
              </c:pt>
              <c:pt idx="33">
                <c:v>0.18099999999999999</c:v>
              </c:pt>
              <c:pt idx="34">
                <c:v>0.183</c:v>
              </c:pt>
              <c:pt idx="35">
                <c:v>0.16200000000000001</c:v>
              </c:pt>
              <c:pt idx="36">
                <c:v>0.189</c:v>
              </c:pt>
              <c:pt idx="37">
                <c:v>0.22600000000000001</c:v>
              </c:pt>
              <c:pt idx="38">
                <c:v>0.19700000000000001</c:v>
              </c:pt>
              <c:pt idx="39">
                <c:v>0.20300000000000001</c:v>
              </c:pt>
              <c:pt idx="40">
                <c:v>0.189</c:v>
              </c:pt>
              <c:pt idx="41">
                <c:v>0.23</c:v>
              </c:pt>
              <c:pt idx="42">
                <c:v>0.24399999999999999</c:v>
              </c:pt>
              <c:pt idx="43">
                <c:v>0.20399999999999999</c:v>
              </c:pt>
              <c:pt idx="44">
                <c:v>0.187</c:v>
              </c:pt>
              <c:pt idx="45">
                <c:v>0.20300000000000001</c:v>
              </c:pt>
              <c:pt idx="46">
                <c:v>0.14699999999999999</c:v>
              </c:pt>
              <c:pt idx="47">
                <c:v>0.18099999999999999</c:v>
              </c:pt>
              <c:pt idx="48">
                <c:v>0.14799999999999999</c:v>
              </c:pt>
              <c:pt idx="49">
                <c:v>0.14899999999999999</c:v>
              </c:pt>
              <c:pt idx="50">
                <c:v>0.158</c:v>
              </c:pt>
              <c:pt idx="51">
                <c:v>0.157</c:v>
              </c:pt>
              <c:pt idx="52">
                <c:v>0.184</c:v>
              </c:pt>
              <c:pt idx="53">
                <c:v>0.26500000000000001</c:v>
              </c:pt>
              <c:pt idx="54">
                <c:v>0.18</c:v>
              </c:pt>
              <c:pt idx="55">
                <c:v>0.19700000000000001</c:v>
              </c:pt>
              <c:pt idx="56">
                <c:v>0.28599999999999998</c:v>
              </c:pt>
              <c:pt idx="57">
                <c:v>0.28599999999999998</c:v>
              </c:pt>
              <c:pt idx="58">
                <c:v>0.26900000000000002</c:v>
              </c:pt>
              <c:pt idx="59">
                <c:v>0.28899999999999998</c:v>
              </c:pt>
              <c:pt idx="60">
                <c:v>0.23499999999999999</c:v>
              </c:pt>
              <c:pt idx="61">
                <c:v>0.23</c:v>
              </c:pt>
              <c:pt idx="62">
                <c:v>0.16400000000000001</c:v>
              </c:pt>
              <c:pt idx="63">
                <c:v>0.17</c:v>
              </c:pt>
              <c:pt idx="64">
                <c:v>0.11799999999999999</c:v>
              </c:pt>
              <c:pt idx="65">
                <c:v>5.6000000000000001E-2</c:v>
              </c:pt>
              <c:pt idx="66">
                <c:v>3.3000000000000002E-2</c:v>
              </c:pt>
              <c:pt idx="67">
                <c:v>4.0000000000000001E-3</c:v>
              </c:pt>
              <c:pt idx="68">
                <c:v>1.2999999999999999E-2</c:v>
              </c:pt>
              <c:pt idx="69">
                <c:v>0.03</c:v>
              </c:pt>
              <c:pt idx="70">
                <c:v>7.0000000000000007E-2</c:v>
              </c:pt>
              <c:pt idx="71">
                <c:v>0.109</c:v>
              </c:pt>
              <c:pt idx="72">
                <c:v>7.4999999999999997E-2</c:v>
              </c:pt>
              <c:pt idx="73">
                <c:v>0.107</c:v>
              </c:pt>
              <c:pt idx="74">
                <c:v>0.108</c:v>
              </c:pt>
              <c:pt idx="75">
                <c:v>8.7999999999999995E-2</c:v>
              </c:pt>
              <c:pt idx="76">
                <c:v>0.14299999999999999</c:v>
              </c:pt>
              <c:pt idx="77">
                <c:v>0.127</c:v>
              </c:pt>
              <c:pt idx="78">
                <c:v>0.112</c:v>
              </c:pt>
              <c:pt idx="79">
                <c:v>0.128</c:v>
              </c:pt>
              <c:pt idx="80">
                <c:v>0.112</c:v>
              </c:pt>
              <c:pt idx="81">
                <c:v>0.152</c:v>
              </c:pt>
              <c:pt idx="82">
                <c:v>0.127</c:v>
              </c:pt>
              <c:pt idx="83">
                <c:v>0.159</c:v>
              </c:pt>
              <c:pt idx="84">
                <c:v>0.156</c:v>
              </c:pt>
              <c:pt idx="85">
                <c:v>0.13400000000000001</c:v>
              </c:pt>
              <c:pt idx="86">
                <c:v>0.20799999999999999</c:v>
              </c:pt>
              <c:pt idx="87">
                <c:v>0.192</c:v>
              </c:pt>
              <c:pt idx="88">
                <c:v>0.13500000000000001</c:v>
              </c:pt>
              <c:pt idx="89">
                <c:v>0.17100000000000001</c:v>
              </c:pt>
              <c:pt idx="90">
                <c:v>0.13400000000000001</c:v>
              </c:pt>
              <c:pt idx="91">
                <c:v>0.13600000000000001</c:v>
              </c:pt>
              <c:pt idx="92">
                <c:v>0.126</c:v>
              </c:pt>
              <c:pt idx="93">
                <c:v>8.5999999999999993E-2</c:v>
              </c:pt>
              <c:pt idx="94">
                <c:v>0.13600000000000001</c:v>
              </c:pt>
              <c:pt idx="95">
                <c:v>0.183</c:v>
              </c:pt>
              <c:pt idx="96">
                <c:v>0.14099999999999999</c:v>
              </c:pt>
              <c:pt idx="97">
                <c:v>0.1</c:v>
              </c:pt>
              <c:pt idx="98">
                <c:v>0.13900000000000001</c:v>
              </c:pt>
              <c:pt idx="99">
                <c:v>0.13800000000000001</c:v>
              </c:pt>
              <c:pt idx="100">
                <c:v>0.151</c:v>
              </c:pt>
              <c:pt idx="101">
                <c:v>0.13100000000000001</c:v>
              </c:pt>
              <c:pt idx="102">
                <c:v>0.18099999999999999</c:v>
              </c:pt>
              <c:pt idx="103">
                <c:v>0.158</c:v>
              </c:pt>
              <c:pt idx="104">
                <c:v>0.17100000000000001</c:v>
              </c:pt>
              <c:pt idx="105">
                <c:v>0.13600000000000001</c:v>
              </c:pt>
              <c:pt idx="106">
                <c:v>0.16</c:v>
              </c:pt>
              <c:pt idx="107">
                <c:v>0.14899999999999999</c:v>
              </c:pt>
              <c:pt idx="108">
                <c:v>0.13300000000000001</c:v>
              </c:pt>
              <c:pt idx="109">
                <c:v>0.111</c:v>
              </c:pt>
              <c:pt idx="110">
                <c:v>0.14499999999999999</c:v>
              </c:pt>
              <c:pt idx="111">
                <c:v>0.10100000000000001</c:v>
              </c:pt>
              <c:pt idx="112">
                <c:v>6.7000000000000004E-2</c:v>
              </c:pt>
              <c:pt idx="113">
                <c:v>8.7999999999999995E-2</c:v>
              </c:pt>
              <c:pt idx="114">
                <c:v>7.9000000000000001E-2</c:v>
              </c:pt>
              <c:pt idx="115">
                <c:v>7.8E-2</c:v>
              </c:pt>
              <c:pt idx="116">
                <c:v>0.112</c:v>
              </c:pt>
              <c:pt idx="117">
                <c:v>0.112</c:v>
              </c:pt>
              <c:pt idx="118">
                <c:v>9.8000000000000004E-2</c:v>
              </c:pt>
              <c:pt idx="119">
                <c:v>8.4000000000000005E-2</c:v>
              </c:pt>
              <c:pt idx="120">
                <c:v>9.1999999999999998E-2</c:v>
              </c:pt>
              <c:pt idx="121">
                <c:v>9.7000000000000003E-2</c:v>
              </c:pt>
              <c:pt idx="122">
                <c:v>6.5000000000000002E-2</c:v>
              </c:pt>
              <c:pt idx="123">
                <c:v>9.7000000000000003E-2</c:v>
              </c:pt>
              <c:pt idx="124">
                <c:v>7.8E-2</c:v>
              </c:pt>
              <c:pt idx="125">
                <c:v>6.4000000000000001E-2</c:v>
              </c:pt>
              <c:pt idx="126">
                <c:v>8.3000000000000004E-2</c:v>
              </c:pt>
              <c:pt idx="127">
                <c:v>5.8000000000000003E-2</c:v>
              </c:pt>
              <c:pt idx="128">
                <c:v>8.7999999999999995E-2</c:v>
              </c:pt>
              <c:pt idx="129">
                <c:v>3.7999999999999999E-2</c:v>
              </c:pt>
              <c:pt idx="130">
                <c:v>4.5999999999999999E-2</c:v>
              </c:pt>
              <c:pt idx="131">
                <c:v>3.2000000000000001E-2</c:v>
              </c:pt>
              <c:pt idx="132">
                <c:v>4.2999999999999997E-2</c:v>
              </c:pt>
              <c:pt idx="133">
                <c:v>1.0999999999999999E-2</c:v>
              </c:pt>
              <c:pt idx="134">
                <c:v>4.9000000000000002E-2</c:v>
              </c:pt>
              <c:pt idx="135">
                <c:v>1.4E-2</c:v>
              </c:pt>
              <c:pt idx="136">
                <c:v>4.0000000000000001E-3</c:v>
              </c:pt>
              <c:pt idx="137">
                <c:v>7.0000000000000001E-3</c:v>
              </c:pt>
              <c:pt idx="138">
                <c:v>5.0000000000000001E-3</c:v>
              </c:pt>
              <c:pt idx="139">
                <c:v>4.1000000000000002E-2</c:v>
              </c:pt>
              <c:pt idx="140">
                <c:v>4.9000000000000002E-2</c:v>
              </c:pt>
              <c:pt idx="141">
                <c:v>3.7999999999999999E-2</c:v>
              </c:pt>
              <c:pt idx="142">
                <c:v>4.1000000000000002E-2</c:v>
              </c:pt>
              <c:pt idx="143">
                <c:v>1.9E-2</c:v>
              </c:pt>
              <c:pt idx="144">
                <c:v>0</c:v>
              </c:pt>
              <c:pt idx="145">
                <c:v>1.9E-2</c:v>
              </c:pt>
              <c:pt idx="146">
                <c:v>3.4000000000000002E-2</c:v>
              </c:pt>
              <c:pt idx="147">
                <c:v>1.2E-2</c:v>
              </c:pt>
              <c:pt idx="148">
                <c:v>1.7999999999999999E-2</c:v>
              </c:pt>
              <c:pt idx="149">
                <c:v>4.2000000000000003E-2</c:v>
              </c:pt>
              <c:pt idx="150">
                <c:v>6.7000000000000004E-2</c:v>
              </c:pt>
              <c:pt idx="151">
                <c:v>0.06</c:v>
              </c:pt>
              <c:pt idx="152">
                <c:v>3.1E-2</c:v>
              </c:pt>
              <c:pt idx="153">
                <c:v>0.01</c:v>
              </c:pt>
              <c:pt idx="154">
                <c:v>5.5E-2</c:v>
              </c:pt>
              <c:pt idx="155">
                <c:v>4.2999999999999997E-2</c:v>
              </c:pt>
              <c:pt idx="156">
                <c:v>1E-3</c:v>
              </c:pt>
              <c:pt idx="157">
                <c:v>0</c:v>
              </c:pt>
              <c:pt idx="158">
                <c:v>2E-3</c:v>
              </c:pt>
              <c:pt idx="159">
                <c:v>0</c:v>
              </c:pt>
              <c:pt idx="160">
                <c:v>0</c:v>
              </c:pt>
              <c:pt idx="161">
                <c:v>0</c:v>
              </c:pt>
              <c:pt idx="162">
                <c:v>0</c:v>
              </c:pt>
              <c:pt idx="163">
                <c:v>1E-3</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1E-3</c:v>
              </c:pt>
              <c:pt idx="253">
                <c:v>0</c:v>
              </c:pt>
              <c:pt idx="254">
                <c:v>2E-3</c:v>
              </c:pt>
              <c:pt idx="255">
                <c:v>2E-3</c:v>
              </c:pt>
              <c:pt idx="256">
                <c:v>0</c:v>
              </c:pt>
              <c:pt idx="257">
                <c:v>0</c:v>
              </c:pt>
              <c:pt idx="258">
                <c:v>0</c:v>
              </c:pt>
              <c:pt idx="259">
                <c:v>2E-3</c:v>
              </c:pt>
              <c:pt idx="260">
                <c:v>1E-3</c:v>
              </c:pt>
              <c:pt idx="261">
                <c:v>4.1000000000000002E-2</c:v>
              </c:pt>
              <c:pt idx="262">
                <c:v>0</c:v>
              </c:pt>
              <c:pt idx="263">
                <c:v>0</c:v>
              </c:pt>
              <c:pt idx="264">
                <c:v>0</c:v>
              </c:pt>
              <c:pt idx="265">
                <c:v>6.0000000000000001E-3</c:v>
              </c:pt>
              <c:pt idx="266">
                <c:v>0</c:v>
              </c:pt>
              <c:pt idx="267">
                <c:v>0</c:v>
              </c:pt>
              <c:pt idx="268">
                <c:v>0</c:v>
              </c:pt>
              <c:pt idx="269">
                <c:v>0</c:v>
              </c:pt>
              <c:pt idx="270">
                <c:v>1.4E-2</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6.0000000000000001E-3</c:v>
              </c:pt>
              <c:pt idx="358">
                <c:v>2.5999999999999999E-2</c:v>
              </c:pt>
              <c:pt idx="359">
                <c:v>0.02</c:v>
              </c:pt>
              <c:pt idx="360">
                <c:v>8.5000000000000006E-2</c:v>
              </c:pt>
              <c:pt idx="361">
                <c:v>0.22</c:v>
              </c:pt>
              <c:pt idx="362">
                <c:v>0.35</c:v>
              </c:pt>
              <c:pt idx="363">
                <c:v>0.47799999999999998</c:v>
              </c:pt>
              <c:pt idx="364">
                <c:v>0.57999999999999996</c:v>
              </c:pt>
              <c:pt idx="365">
                <c:v>0.77100000000000002</c:v>
              </c:pt>
              <c:pt idx="366">
                <c:v>0.94199999999999995</c:v>
              </c:pt>
              <c:pt idx="367">
                <c:v>1.0029999999999999</c:v>
              </c:pt>
              <c:pt idx="368">
                <c:v>1.2649999999999999</c:v>
              </c:pt>
              <c:pt idx="369">
                <c:v>1.581</c:v>
              </c:pt>
              <c:pt idx="370">
                <c:v>2.109</c:v>
              </c:pt>
              <c:pt idx="371">
                <c:v>2.117</c:v>
              </c:pt>
              <c:pt idx="372">
                <c:v>2.2170000000000001</c:v>
              </c:pt>
              <c:pt idx="373">
                <c:v>2.597</c:v>
              </c:pt>
              <c:pt idx="374">
                <c:v>2.851</c:v>
              </c:pt>
              <c:pt idx="375">
                <c:v>2.9340000000000002</c:v>
              </c:pt>
              <c:pt idx="376">
                <c:v>3.3220000000000001</c:v>
              </c:pt>
              <c:pt idx="377">
                <c:v>3.806</c:v>
              </c:pt>
              <c:pt idx="378">
                <c:v>5.1239999999999997</c:v>
              </c:pt>
              <c:pt idx="379">
                <c:v>6.569</c:v>
              </c:pt>
              <c:pt idx="380">
                <c:v>6.7489999999999997</c:v>
              </c:pt>
              <c:pt idx="381">
                <c:v>6.4509999999999996</c:v>
              </c:pt>
              <c:pt idx="382">
                <c:v>5.6929999999999996</c:v>
              </c:pt>
              <c:pt idx="383">
                <c:v>6.3579999999999997</c:v>
              </c:pt>
              <c:pt idx="384">
                <c:v>7.2270000000000003</c:v>
              </c:pt>
              <c:pt idx="385">
                <c:v>8.52</c:v>
              </c:pt>
              <c:pt idx="386">
                <c:v>9.2799999999999994</c:v>
              </c:pt>
              <c:pt idx="387">
                <c:v>10.51</c:v>
              </c:pt>
              <c:pt idx="388">
                <c:v>10.83</c:v>
              </c:pt>
              <c:pt idx="389">
                <c:v>10.96</c:v>
              </c:pt>
              <c:pt idx="390">
                <c:v>10.95</c:v>
              </c:pt>
              <c:pt idx="391">
                <c:v>11.73</c:v>
              </c:pt>
              <c:pt idx="392">
                <c:v>13.12</c:v>
              </c:pt>
              <c:pt idx="393">
                <c:v>13.9</c:v>
              </c:pt>
              <c:pt idx="394">
                <c:v>15.21</c:v>
              </c:pt>
              <c:pt idx="395">
                <c:v>17.170000000000002</c:v>
              </c:pt>
              <c:pt idx="396">
                <c:v>19.02</c:v>
              </c:pt>
              <c:pt idx="397">
                <c:v>21.64</c:v>
              </c:pt>
              <c:pt idx="398">
                <c:v>21.21</c:v>
              </c:pt>
              <c:pt idx="399">
                <c:v>20.34</c:v>
              </c:pt>
              <c:pt idx="400">
                <c:v>22.17</c:v>
              </c:pt>
              <c:pt idx="401">
                <c:v>21.64</c:v>
              </c:pt>
              <c:pt idx="402">
                <c:v>21.83</c:v>
              </c:pt>
              <c:pt idx="403">
                <c:v>22.23</c:v>
              </c:pt>
              <c:pt idx="404">
                <c:v>20.95</c:v>
              </c:pt>
              <c:pt idx="405">
                <c:v>20.97</c:v>
              </c:pt>
              <c:pt idx="406">
                <c:v>22.27</c:v>
              </c:pt>
              <c:pt idx="407">
                <c:v>23.45</c:v>
              </c:pt>
              <c:pt idx="408">
                <c:v>22.33</c:v>
              </c:pt>
              <c:pt idx="409">
                <c:v>20.74</c:v>
              </c:pt>
              <c:pt idx="410">
                <c:v>18.93</c:v>
              </c:pt>
              <c:pt idx="411">
                <c:v>18.39</c:v>
              </c:pt>
              <c:pt idx="412">
                <c:v>18.53</c:v>
              </c:pt>
              <c:pt idx="413">
                <c:v>18.34</c:v>
              </c:pt>
              <c:pt idx="414">
                <c:v>18.670000000000002</c:v>
              </c:pt>
              <c:pt idx="415">
                <c:v>20.100000000000001</c:v>
              </c:pt>
              <c:pt idx="416">
                <c:v>20.49</c:v>
              </c:pt>
              <c:pt idx="417">
                <c:v>21.08</c:v>
              </c:pt>
              <c:pt idx="418">
                <c:v>22.94</c:v>
              </c:pt>
              <c:pt idx="419">
                <c:v>22.74</c:v>
              </c:pt>
              <c:pt idx="420">
                <c:v>21.59</c:v>
              </c:pt>
              <c:pt idx="421">
                <c:v>21.01</c:v>
              </c:pt>
              <c:pt idx="422">
                <c:v>21.19</c:v>
              </c:pt>
              <c:pt idx="423">
                <c:v>21</c:v>
              </c:pt>
              <c:pt idx="424">
                <c:v>20.84</c:v>
              </c:pt>
              <c:pt idx="425">
                <c:v>20.91</c:v>
              </c:pt>
              <c:pt idx="426">
                <c:v>21.15</c:v>
              </c:pt>
              <c:pt idx="427">
                <c:v>20.9</c:v>
              </c:pt>
              <c:pt idx="428">
                <c:v>21.28</c:v>
              </c:pt>
              <c:pt idx="429">
                <c:v>24.52</c:v>
              </c:pt>
              <c:pt idx="430">
                <c:v>28.1</c:v>
              </c:pt>
              <c:pt idx="431">
                <c:v>27.77</c:v>
              </c:pt>
              <c:pt idx="432">
                <c:v>27.28</c:v>
              </c:pt>
              <c:pt idx="433">
                <c:v>25.02</c:v>
              </c:pt>
              <c:pt idx="434">
                <c:v>23.55</c:v>
              </c:pt>
              <c:pt idx="435">
                <c:v>22.7</c:v>
              </c:pt>
              <c:pt idx="436">
                <c:v>23.03</c:v>
              </c:pt>
              <c:pt idx="437">
                <c:v>24.56</c:v>
              </c:pt>
              <c:pt idx="438">
                <c:v>23.88</c:v>
              </c:pt>
              <c:pt idx="439">
                <c:v>24.6</c:v>
              </c:pt>
              <c:pt idx="440">
                <c:v>26.54</c:v>
              </c:pt>
              <c:pt idx="441">
                <c:v>29.56</c:v>
              </c:pt>
              <c:pt idx="442">
                <c:v>33.229999999999997</c:v>
              </c:pt>
              <c:pt idx="443">
                <c:v>32.590000000000003</c:v>
              </c:pt>
              <c:pt idx="444">
                <c:v>30.66</c:v>
              </c:pt>
              <c:pt idx="445">
                <c:v>32</c:v>
              </c:pt>
              <c:pt idx="446">
                <c:v>33.770000000000003</c:v>
              </c:pt>
              <c:pt idx="447">
                <c:v>35.76</c:v>
              </c:pt>
              <c:pt idx="448">
                <c:v>37.72</c:v>
              </c:pt>
              <c:pt idx="449">
                <c:v>40.630000000000003</c:v>
              </c:pt>
              <c:pt idx="450">
                <c:v>42.5</c:v>
              </c:pt>
              <c:pt idx="451">
                <c:v>36.630000000000003</c:v>
              </c:pt>
              <c:pt idx="452">
                <c:v>38.53</c:v>
              </c:pt>
              <c:pt idx="453">
                <c:v>36.28</c:v>
              </c:pt>
              <c:pt idx="454">
                <c:v>37.69</c:v>
              </c:pt>
              <c:pt idx="455">
                <c:v>36.39</c:v>
              </c:pt>
              <c:pt idx="456">
                <c:v>32.47</c:v>
              </c:pt>
              <c:pt idx="457">
                <c:v>30.34</c:v>
              </c:pt>
              <c:pt idx="458">
                <c:v>30.68</c:v>
              </c:pt>
              <c:pt idx="459">
                <c:v>29.23</c:v>
              </c:pt>
              <c:pt idx="460">
                <c:v>26.76</c:v>
              </c:pt>
              <c:pt idx="461">
                <c:v>24.45</c:v>
              </c:pt>
              <c:pt idx="462">
                <c:v>22.28</c:v>
              </c:pt>
              <c:pt idx="463">
                <c:v>20.239999999999998</c:v>
              </c:pt>
              <c:pt idx="464">
                <c:v>20.12</c:v>
              </c:pt>
              <c:pt idx="465">
                <c:v>18.21</c:v>
              </c:pt>
              <c:pt idx="466">
                <c:v>18.850000000000001</c:v>
              </c:pt>
              <c:pt idx="467">
                <c:v>20.14</c:v>
              </c:pt>
              <c:pt idx="468">
                <c:v>19.13</c:v>
              </c:pt>
              <c:pt idx="469">
                <c:v>23.61</c:v>
              </c:pt>
              <c:pt idx="470">
                <c:v>25.14</c:v>
              </c:pt>
              <c:pt idx="471">
                <c:v>27.51</c:v>
              </c:pt>
              <c:pt idx="472">
                <c:v>31.11</c:v>
              </c:pt>
              <c:pt idx="473">
                <c:v>31.61</c:v>
              </c:pt>
              <c:pt idx="474">
                <c:v>34.630000000000003</c:v>
              </c:pt>
              <c:pt idx="475">
                <c:v>32.85</c:v>
              </c:pt>
              <c:pt idx="476">
                <c:v>31.81</c:v>
              </c:pt>
              <c:pt idx="477">
                <c:v>32.049999999999997</c:v>
              </c:pt>
              <c:pt idx="478">
                <c:v>28.96</c:v>
              </c:pt>
              <c:pt idx="479">
                <c:v>26.59</c:v>
              </c:pt>
              <c:pt idx="480">
                <c:v>24.82</c:v>
              </c:pt>
              <c:pt idx="481">
                <c:v>24.74</c:v>
              </c:pt>
              <c:pt idx="482">
                <c:v>26.13</c:v>
              </c:pt>
              <c:pt idx="483">
                <c:v>28.72</c:v>
              </c:pt>
              <c:pt idx="484">
                <c:v>26.92</c:v>
              </c:pt>
              <c:pt idx="485">
                <c:v>28.71</c:v>
              </c:pt>
              <c:pt idx="486">
                <c:v>31.34</c:v>
              </c:pt>
              <c:pt idx="487">
                <c:v>41.29</c:v>
              </c:pt>
              <c:pt idx="488">
                <c:v>46.23</c:v>
              </c:pt>
              <c:pt idx="489">
                <c:v>43.82</c:v>
              </c:pt>
              <c:pt idx="490">
                <c:v>43.51</c:v>
              </c:pt>
              <c:pt idx="491">
                <c:v>54.63</c:v>
              </c:pt>
              <c:pt idx="492">
                <c:v>60.44</c:v>
              </c:pt>
              <c:pt idx="493">
                <c:v>61.26</c:v>
              </c:pt>
              <c:pt idx="494">
                <c:v>63.44</c:v>
              </c:pt>
              <c:pt idx="495">
                <c:v>67.47</c:v>
              </c:pt>
              <c:pt idx="496">
                <c:v>70.27</c:v>
              </c:pt>
              <c:pt idx="497">
                <c:v>66.02</c:v>
              </c:pt>
              <c:pt idx="498">
                <c:v>74.150000000000006</c:v>
              </c:pt>
              <c:pt idx="499">
                <c:v>86.6</c:v>
              </c:pt>
              <c:pt idx="500">
                <c:v>94.1</c:v>
              </c:pt>
              <c:pt idx="501">
                <c:v>97.6</c:v>
              </c:pt>
              <c:pt idx="502">
                <c:v>110.5</c:v>
              </c:pt>
              <c:pt idx="503">
                <c:v>117.8</c:v>
              </c:pt>
              <c:pt idx="504">
                <c:v>120.4</c:v>
              </c:pt>
              <c:pt idx="505">
                <c:v>121</c:v>
              </c:pt>
              <c:pt idx="506">
                <c:v>129.4</c:v>
              </c:pt>
              <c:pt idx="507">
                <c:v>137.9</c:v>
              </c:pt>
              <c:pt idx="508">
                <c:v>142.6</c:v>
              </c:pt>
              <c:pt idx="509">
                <c:v>143.1</c:v>
              </c:pt>
              <c:pt idx="510">
                <c:v>134.6</c:v>
              </c:pt>
              <c:pt idx="511">
                <c:v>123.9</c:v>
              </c:pt>
              <c:pt idx="512">
                <c:v>144.19999999999999</c:v>
              </c:pt>
              <c:pt idx="513">
                <c:v>142.6</c:v>
              </c:pt>
              <c:pt idx="514">
                <c:v>119.4</c:v>
              </c:pt>
              <c:pt idx="515">
                <c:v>116.3</c:v>
              </c:pt>
              <c:pt idx="516">
                <c:v>134.1</c:v>
              </c:pt>
              <c:pt idx="517">
                <c:v>154.6</c:v>
              </c:pt>
              <c:pt idx="518">
                <c:v>169.8</c:v>
              </c:pt>
              <c:pt idx="519">
                <c:v>172.9</c:v>
              </c:pt>
              <c:pt idx="520">
                <c:v>184.6</c:v>
              </c:pt>
              <c:pt idx="521">
                <c:v>196.1</c:v>
              </c:pt>
              <c:pt idx="522">
                <c:v>190.3</c:v>
              </c:pt>
              <c:pt idx="523">
                <c:v>199.1</c:v>
              </c:pt>
              <c:pt idx="524">
                <c:v>209.2</c:v>
              </c:pt>
              <c:pt idx="525">
                <c:v>211.4</c:v>
              </c:pt>
              <c:pt idx="526">
                <c:v>209.3</c:v>
              </c:pt>
              <c:pt idx="527">
                <c:v>205.6</c:v>
              </c:pt>
              <c:pt idx="528">
                <c:v>205.7</c:v>
              </c:pt>
              <c:pt idx="529">
                <c:v>213.6</c:v>
              </c:pt>
              <c:pt idx="530">
                <c:v>218.5</c:v>
              </c:pt>
              <c:pt idx="531">
                <c:v>215.8</c:v>
              </c:pt>
              <c:pt idx="532">
                <c:v>220.4</c:v>
              </c:pt>
              <c:pt idx="533">
                <c:v>211.8</c:v>
              </c:pt>
              <c:pt idx="534">
                <c:v>195.4</c:v>
              </c:pt>
              <c:pt idx="535">
                <c:v>185.4</c:v>
              </c:pt>
              <c:pt idx="536">
                <c:v>183.4</c:v>
              </c:pt>
              <c:pt idx="537">
                <c:v>183.7</c:v>
              </c:pt>
              <c:pt idx="538">
                <c:v>177.2</c:v>
              </c:pt>
              <c:pt idx="539">
                <c:v>174.5</c:v>
              </c:pt>
              <c:pt idx="540">
                <c:v>173.1</c:v>
              </c:pt>
              <c:pt idx="541">
                <c:v>157.9</c:v>
              </c:pt>
              <c:pt idx="542">
                <c:v>155</c:v>
              </c:pt>
              <c:pt idx="543">
                <c:v>142.69999999999999</c:v>
              </c:pt>
              <c:pt idx="544">
                <c:v>158.9</c:v>
              </c:pt>
              <c:pt idx="545">
                <c:v>186.3</c:v>
              </c:pt>
              <c:pt idx="546">
                <c:v>189.3</c:v>
              </c:pt>
              <c:pt idx="547">
                <c:v>207</c:v>
              </c:pt>
              <c:pt idx="548">
                <c:v>189.8</c:v>
              </c:pt>
              <c:pt idx="549">
                <c:v>167.9</c:v>
              </c:pt>
              <c:pt idx="550">
                <c:v>145.80000000000001</c:v>
              </c:pt>
              <c:pt idx="551">
                <c:v>118.7</c:v>
              </c:pt>
              <c:pt idx="552">
                <c:v>127.2</c:v>
              </c:pt>
              <c:pt idx="553">
                <c:v>126.1</c:v>
              </c:pt>
              <c:pt idx="554">
                <c:v>106.2</c:v>
              </c:pt>
              <c:pt idx="555">
                <c:v>101.9</c:v>
              </c:pt>
              <c:pt idx="556">
                <c:v>104.3</c:v>
              </c:pt>
              <c:pt idx="557">
                <c:v>97.2</c:v>
              </c:pt>
              <c:pt idx="558">
                <c:v>75.66</c:v>
              </c:pt>
              <c:pt idx="559">
                <c:v>63.73</c:v>
              </c:pt>
              <c:pt idx="560">
                <c:v>57.63</c:v>
              </c:pt>
              <c:pt idx="561">
                <c:v>59.65</c:v>
              </c:pt>
              <c:pt idx="562">
                <c:v>60.02</c:v>
              </c:pt>
              <c:pt idx="563">
                <c:v>54.14</c:v>
              </c:pt>
              <c:pt idx="564">
                <c:v>48.67</c:v>
              </c:pt>
              <c:pt idx="565">
                <c:v>51.5</c:v>
              </c:pt>
              <c:pt idx="566">
                <c:v>57.98</c:v>
              </c:pt>
              <c:pt idx="567">
                <c:v>62.79</c:v>
              </c:pt>
              <c:pt idx="568">
                <c:v>71.91</c:v>
              </c:pt>
              <c:pt idx="569">
                <c:v>80.3</c:v>
              </c:pt>
              <c:pt idx="570">
                <c:v>85.4</c:v>
              </c:pt>
              <c:pt idx="571">
                <c:v>87.7</c:v>
              </c:pt>
              <c:pt idx="572">
                <c:v>89.2</c:v>
              </c:pt>
              <c:pt idx="573">
                <c:v>88.3</c:v>
              </c:pt>
              <c:pt idx="574">
                <c:v>87.2</c:v>
              </c:pt>
              <c:pt idx="575">
                <c:v>89.6</c:v>
              </c:pt>
              <c:pt idx="576">
                <c:v>91.8</c:v>
              </c:pt>
              <c:pt idx="577">
                <c:v>96</c:v>
              </c:pt>
              <c:pt idx="578">
                <c:v>100</c:v>
              </c:pt>
              <c:pt idx="579">
                <c:v>108.4</c:v>
              </c:pt>
              <c:pt idx="580">
                <c:v>100.2</c:v>
              </c:pt>
              <c:pt idx="581">
                <c:v>113.7</c:v>
              </c:pt>
              <c:pt idx="582">
                <c:v>124.3</c:v>
              </c:pt>
              <c:pt idx="583">
                <c:v>122.8</c:v>
              </c:pt>
              <c:pt idx="584">
                <c:v>128.69999999999999</c:v>
              </c:pt>
              <c:pt idx="585">
                <c:v>139.80000000000001</c:v>
              </c:pt>
              <c:pt idx="586">
                <c:v>160.5</c:v>
              </c:pt>
              <c:pt idx="587">
                <c:v>171.5</c:v>
              </c:pt>
              <c:pt idx="588">
                <c:v>181.5</c:v>
              </c:pt>
              <c:pt idx="589">
                <c:v>186.1</c:v>
              </c:pt>
              <c:pt idx="590">
                <c:v>193.3</c:v>
              </c:pt>
              <c:pt idx="591">
                <c:v>196.4</c:v>
              </c:pt>
              <c:pt idx="592">
                <c:v>197.5</c:v>
              </c:pt>
              <c:pt idx="593">
                <c:v>207.4</c:v>
              </c:pt>
              <c:pt idx="594">
                <c:v>211.6</c:v>
              </c:pt>
              <c:pt idx="595">
                <c:v>212.1</c:v>
              </c:pt>
              <c:pt idx="596">
                <c:v>228.3</c:v>
              </c:pt>
              <c:pt idx="597">
                <c:v>239.3</c:v>
              </c:pt>
              <c:pt idx="598">
                <c:v>249.4</c:v>
              </c:pt>
              <c:pt idx="599">
                <c:v>252.3</c:v>
              </c:pt>
              <c:pt idx="600">
                <c:v>247.4</c:v>
              </c:pt>
              <c:pt idx="601">
                <c:v>244.8</c:v>
              </c:pt>
              <c:pt idx="602">
                <c:v>234.8</c:v>
              </c:pt>
              <c:pt idx="603">
                <c:v>231.2</c:v>
              </c:pt>
              <c:pt idx="604">
                <c:v>230.8</c:v>
              </c:pt>
              <c:pt idx="605">
                <c:v>230.3</c:v>
              </c:pt>
              <c:pt idx="606">
                <c:v>225.1</c:v>
              </c:pt>
              <c:pt idx="607">
                <c:v>218.4</c:v>
              </c:pt>
              <c:pt idx="608">
                <c:v>221.3</c:v>
              </c:pt>
              <c:pt idx="609">
                <c:v>226.2</c:v>
              </c:pt>
              <c:pt idx="610">
                <c:v>227</c:v>
              </c:pt>
              <c:pt idx="611">
                <c:v>224</c:v>
              </c:pt>
              <c:pt idx="612">
                <c:v>223.8</c:v>
              </c:pt>
              <c:pt idx="613">
                <c:v>212.2</c:v>
              </c:pt>
              <c:pt idx="614">
                <c:v>216.1</c:v>
              </c:pt>
              <c:pt idx="615">
                <c:v>232.8</c:v>
              </c:pt>
              <c:pt idx="616">
                <c:v>234.1</c:v>
              </c:pt>
              <c:pt idx="617">
                <c:v>237.1</c:v>
              </c:pt>
              <c:pt idx="618">
                <c:v>240.4</c:v>
              </c:pt>
              <c:pt idx="619">
                <c:v>244.6</c:v>
              </c:pt>
              <c:pt idx="620">
                <c:v>249.2</c:v>
              </c:pt>
              <c:pt idx="621">
                <c:v>252.4</c:v>
              </c:pt>
              <c:pt idx="622">
                <c:v>250.5</c:v>
              </c:pt>
              <c:pt idx="623">
                <c:v>247</c:v>
              </c:pt>
              <c:pt idx="624">
                <c:v>251</c:v>
              </c:pt>
              <c:pt idx="625">
                <c:v>263.89999999999998</c:v>
              </c:pt>
              <c:pt idx="626">
                <c:v>270.10000000000002</c:v>
              </c:pt>
              <c:pt idx="627">
                <c:v>267.39999999999998</c:v>
              </c:pt>
              <c:pt idx="628">
                <c:v>267.5</c:v>
              </c:pt>
              <c:pt idx="629">
                <c:v>263.7</c:v>
              </c:pt>
              <c:pt idx="630">
                <c:v>257.3</c:v>
              </c:pt>
              <c:pt idx="631">
                <c:v>252.4</c:v>
              </c:pt>
              <c:pt idx="632">
                <c:v>251.7</c:v>
              </c:pt>
              <c:pt idx="633">
                <c:v>254.2</c:v>
              </c:pt>
              <c:pt idx="634">
                <c:v>260.7</c:v>
              </c:pt>
              <c:pt idx="635">
                <c:v>268.8</c:v>
              </c:pt>
              <c:pt idx="636">
                <c:v>272.5</c:v>
              </c:pt>
              <c:pt idx="637">
                <c:v>273.2</c:v>
              </c:pt>
              <c:pt idx="638">
                <c:v>270.2</c:v>
              </c:pt>
              <c:pt idx="639">
                <c:v>266.39999999999998</c:v>
              </c:pt>
              <c:pt idx="640">
                <c:v>257.8</c:v>
              </c:pt>
              <c:pt idx="641">
                <c:v>261.8</c:v>
              </c:pt>
              <c:pt idx="642">
                <c:v>278</c:v>
              </c:pt>
              <c:pt idx="643">
                <c:v>285.5</c:v>
              </c:pt>
              <c:pt idx="644">
                <c:v>291.8</c:v>
              </c:pt>
              <c:pt idx="645">
                <c:v>291.2</c:v>
              </c:pt>
              <c:pt idx="646">
                <c:v>294.10000000000002</c:v>
              </c:pt>
              <c:pt idx="647">
                <c:v>299.89999999999998</c:v>
              </c:pt>
              <c:pt idx="648">
                <c:v>308.5</c:v>
              </c:pt>
              <c:pt idx="649">
                <c:v>312.3</c:v>
              </c:pt>
              <c:pt idx="650">
                <c:v>317.39999999999998</c:v>
              </c:pt>
              <c:pt idx="651">
                <c:v>326.39999999999998</c:v>
              </c:pt>
              <c:pt idx="652">
                <c:v>331.8</c:v>
              </c:pt>
              <c:pt idx="653">
                <c:v>330.4</c:v>
              </c:pt>
              <c:pt idx="654">
                <c:v>345.3</c:v>
              </c:pt>
              <c:pt idx="655">
                <c:v>369.7</c:v>
              </c:pt>
              <c:pt idx="656">
                <c:v>393.6</c:v>
              </c:pt>
              <c:pt idx="657">
                <c:v>413.6</c:v>
              </c:pt>
              <c:pt idx="658">
                <c:v>436.8</c:v>
              </c:pt>
              <c:pt idx="659">
                <c:v>465.3</c:v>
              </c:pt>
              <c:pt idx="660">
                <c:v>490.4</c:v>
              </c:pt>
              <c:pt idx="661">
                <c:v>489.3</c:v>
              </c:pt>
              <c:pt idx="662">
                <c:v>489.1</c:v>
              </c:pt>
              <c:pt idx="663">
                <c:v>518</c:v>
              </c:pt>
              <c:pt idx="664">
                <c:v>513.5</c:v>
              </c:pt>
              <c:pt idx="665">
                <c:v>480.2</c:v>
              </c:pt>
              <c:pt idx="666">
                <c:v>477.9</c:v>
              </c:pt>
              <c:pt idx="667">
                <c:v>468.6</c:v>
              </c:pt>
              <c:pt idx="668">
                <c:v>458.2</c:v>
              </c:pt>
              <c:pt idx="669">
                <c:v>485.8</c:v>
              </c:pt>
              <c:pt idx="670">
                <c:v>507.3</c:v>
              </c:pt>
              <c:pt idx="671">
                <c:v>497.1</c:v>
              </c:pt>
              <c:pt idx="672">
                <c:v>499.5</c:v>
              </c:pt>
              <c:pt idx="673">
                <c:v>492</c:v>
              </c:pt>
              <c:pt idx="674">
                <c:v>433.7</c:v>
              </c:pt>
              <c:pt idx="675">
                <c:v>363.7</c:v>
              </c:pt>
              <c:pt idx="676">
                <c:v>342.5</c:v>
              </c:pt>
              <c:pt idx="677">
                <c:v>334.6</c:v>
              </c:pt>
              <c:pt idx="678">
                <c:v>333</c:v>
              </c:pt>
              <c:pt idx="679">
                <c:v>341.2</c:v>
              </c:pt>
              <c:pt idx="680">
                <c:v>350</c:v>
              </c:pt>
              <c:pt idx="681">
                <c:v>343.1</c:v>
              </c:pt>
              <c:pt idx="682">
                <c:v>336.1</c:v>
              </c:pt>
              <c:pt idx="683">
                <c:v>315.39999999999998</c:v>
              </c:pt>
              <c:pt idx="684">
                <c:v>297.7</c:v>
              </c:pt>
              <c:pt idx="685">
                <c:v>299.5</c:v>
              </c:pt>
              <c:pt idx="686">
                <c:v>305</c:v>
              </c:pt>
              <c:pt idx="687">
                <c:v>307.8</c:v>
              </c:pt>
              <c:pt idx="688">
                <c:v>326.5</c:v>
              </c:pt>
              <c:pt idx="689">
                <c:v>350.3</c:v>
              </c:pt>
              <c:pt idx="690">
                <c:v>363.2</c:v>
              </c:pt>
              <c:pt idx="691">
                <c:v>365.5</c:v>
              </c:pt>
              <c:pt idx="692">
                <c:v>364.1</c:v>
              </c:pt>
              <c:pt idx="693">
                <c:v>364</c:v>
              </c:pt>
              <c:pt idx="694">
                <c:v>355.6</c:v>
              </c:pt>
              <c:pt idx="695">
                <c:v>349.5</c:v>
              </c:pt>
              <c:pt idx="696">
                <c:v>357.4</c:v>
              </c:pt>
              <c:pt idx="697">
                <c:v>369.5</c:v>
              </c:pt>
              <c:pt idx="698">
                <c:v>381.1</c:v>
              </c:pt>
              <c:pt idx="699">
                <c:v>394.2</c:v>
              </c:pt>
              <c:pt idx="700">
                <c:v>414.8</c:v>
              </c:pt>
              <c:pt idx="701">
                <c:v>449.2</c:v>
              </c:pt>
              <c:pt idx="702">
                <c:v>466.6</c:v>
              </c:pt>
              <c:pt idx="703">
                <c:v>483.7</c:v>
              </c:pt>
              <c:pt idx="704">
                <c:v>498.4</c:v>
              </c:pt>
              <c:pt idx="705">
                <c:v>539.29999999999995</c:v>
              </c:pt>
              <c:pt idx="706">
                <c:v>581.9</c:v>
              </c:pt>
              <c:pt idx="707">
                <c:v>598.29999999999995</c:v>
              </c:pt>
              <c:pt idx="708">
                <c:v>599</c:v>
              </c:pt>
              <c:pt idx="709">
                <c:v>573.1</c:v>
              </c:pt>
              <c:pt idx="710">
                <c:v>517.70000000000005</c:v>
              </c:pt>
              <c:pt idx="711">
                <c:v>490.1</c:v>
              </c:pt>
              <c:pt idx="712">
                <c:v>472.3</c:v>
              </c:pt>
              <c:pt idx="713">
                <c:v>427.4</c:v>
              </c:pt>
              <c:pt idx="714">
                <c:v>406.4</c:v>
              </c:pt>
              <c:pt idx="715">
                <c:v>436.1</c:v>
              </c:pt>
              <c:pt idx="716">
                <c:v>505</c:v>
              </c:pt>
              <c:pt idx="717">
                <c:v>497.4</c:v>
              </c:pt>
              <c:pt idx="718">
                <c:v>534.4</c:v>
              </c:pt>
              <c:pt idx="719">
                <c:v>592.6</c:v>
              </c:pt>
              <c:pt idx="720">
                <c:v>601.4</c:v>
              </c:pt>
              <c:pt idx="721">
                <c:v>559.20000000000005</c:v>
              </c:pt>
              <c:pt idx="722">
                <c:v>467.2</c:v>
              </c:pt>
              <c:pt idx="723">
                <c:v>405.1</c:v>
              </c:pt>
              <c:pt idx="724">
                <c:v>378.4</c:v>
              </c:pt>
              <c:pt idx="725">
                <c:v>366.2</c:v>
              </c:pt>
              <c:pt idx="726">
                <c:v>360.3</c:v>
              </c:pt>
              <c:pt idx="727">
                <c:v>350.2</c:v>
              </c:pt>
              <c:pt idx="728">
                <c:v>346</c:v>
              </c:pt>
              <c:pt idx="729">
                <c:v>324.3</c:v>
              </c:pt>
              <c:pt idx="730">
                <c:v>326.39999999999998</c:v>
              </c:pt>
              <c:pt idx="731">
                <c:v>362.9</c:v>
              </c:pt>
              <c:pt idx="732">
                <c:v>359.8</c:v>
              </c:pt>
              <c:pt idx="733">
                <c:v>361.7</c:v>
              </c:pt>
              <c:pt idx="734">
                <c:v>380.1</c:v>
              </c:pt>
              <c:pt idx="735">
                <c:v>342.2</c:v>
              </c:pt>
              <c:pt idx="736">
                <c:v>324.5</c:v>
              </c:pt>
              <c:pt idx="737">
                <c:v>333.1</c:v>
              </c:pt>
              <c:pt idx="738">
                <c:v>338.8</c:v>
              </c:pt>
              <c:pt idx="739">
                <c:v>328.6</c:v>
              </c:pt>
              <c:pt idx="740">
                <c:v>345.6</c:v>
              </c:pt>
              <c:pt idx="741">
                <c:v>316.10000000000002</c:v>
              </c:pt>
              <c:pt idx="742">
                <c:v>301.5</c:v>
              </c:pt>
              <c:pt idx="743">
                <c:v>274</c:v>
              </c:pt>
              <c:pt idx="744">
                <c:v>266.7</c:v>
              </c:pt>
              <c:pt idx="745">
                <c:v>279.2</c:v>
              </c:pt>
              <c:pt idx="746">
                <c:v>319.3</c:v>
              </c:pt>
              <c:pt idx="747">
                <c:v>371.8</c:v>
              </c:pt>
              <c:pt idx="748">
                <c:v>392.7</c:v>
              </c:pt>
              <c:pt idx="749">
                <c:v>399.4</c:v>
              </c:pt>
              <c:pt idx="750">
                <c:v>389.9</c:v>
              </c:pt>
              <c:pt idx="751">
                <c:v>347.1</c:v>
              </c:pt>
              <c:pt idx="752">
                <c:v>295.7</c:v>
              </c:pt>
              <c:pt idx="753">
                <c:v>267.39999999999998</c:v>
              </c:pt>
              <c:pt idx="754">
                <c:v>231.3</c:v>
              </c:pt>
              <c:pt idx="755">
                <c:v>210</c:v>
              </c:pt>
              <c:pt idx="756">
                <c:v>218.7</c:v>
              </c:pt>
              <c:pt idx="757">
                <c:v>212.1</c:v>
              </c:pt>
              <c:pt idx="758">
                <c:v>203.8</c:v>
              </c:pt>
              <c:pt idx="759">
                <c:v>203.3</c:v>
              </c:pt>
              <c:pt idx="760">
                <c:v>196</c:v>
              </c:pt>
              <c:pt idx="761">
                <c:v>187.5</c:v>
              </c:pt>
              <c:pt idx="762">
                <c:v>175</c:v>
              </c:pt>
              <c:pt idx="763">
                <c:v>170.1</c:v>
              </c:pt>
              <c:pt idx="764">
                <c:v>177.9</c:v>
              </c:pt>
              <c:pt idx="765">
                <c:v>193.6</c:v>
              </c:pt>
              <c:pt idx="766">
                <c:v>193.6</c:v>
              </c:pt>
              <c:pt idx="767">
                <c:v>166.3</c:v>
              </c:pt>
              <c:pt idx="768">
                <c:v>135.19999999999999</c:v>
              </c:pt>
              <c:pt idx="769">
                <c:v>130.19999999999999</c:v>
              </c:pt>
              <c:pt idx="770">
                <c:v>138.80000000000001</c:v>
              </c:pt>
              <c:pt idx="771">
                <c:v>145.19999999999999</c:v>
              </c:pt>
              <c:pt idx="772">
                <c:v>134</c:v>
              </c:pt>
              <c:pt idx="773">
                <c:v>130.30000000000001</c:v>
              </c:pt>
              <c:pt idx="774">
                <c:v>128.69999999999999</c:v>
              </c:pt>
              <c:pt idx="775">
                <c:v>126.6</c:v>
              </c:pt>
              <c:pt idx="776">
                <c:v>128.6</c:v>
              </c:pt>
              <c:pt idx="777">
                <c:v>135.69999999999999</c:v>
              </c:pt>
              <c:pt idx="778">
                <c:v>150.4</c:v>
              </c:pt>
              <c:pt idx="779">
                <c:v>164.4</c:v>
              </c:pt>
              <c:pt idx="780">
                <c:v>172.7</c:v>
              </c:pt>
              <c:pt idx="781">
                <c:v>180.6</c:v>
              </c:pt>
              <c:pt idx="782">
                <c:v>191</c:v>
              </c:pt>
              <c:pt idx="783">
                <c:v>203.6</c:v>
              </c:pt>
              <c:pt idx="784">
                <c:v>217.4</c:v>
              </c:pt>
              <c:pt idx="785">
                <c:v>228.2</c:v>
              </c:pt>
              <c:pt idx="786">
                <c:v>233.6</c:v>
              </c:pt>
              <c:pt idx="787">
                <c:v>241.8</c:v>
              </c:pt>
              <c:pt idx="788">
                <c:v>248.1</c:v>
              </c:pt>
              <c:pt idx="789">
                <c:v>257.10000000000002</c:v>
              </c:pt>
              <c:pt idx="790">
                <c:v>269.3</c:v>
              </c:pt>
              <c:pt idx="791">
                <c:v>264.89999999999998</c:v>
              </c:pt>
              <c:pt idx="792">
                <c:v>264.89999999999998</c:v>
              </c:pt>
              <c:pt idx="793">
                <c:v>277.10000000000002</c:v>
              </c:pt>
              <c:pt idx="794">
                <c:v>292.7</c:v>
              </c:pt>
              <c:pt idx="795">
                <c:v>310.39999999999998</c:v>
              </c:pt>
              <c:pt idx="796">
                <c:v>326.7</c:v>
              </c:pt>
              <c:pt idx="797">
                <c:v>335.3</c:v>
              </c:pt>
              <c:pt idx="798">
                <c:v>335.4</c:v>
              </c:pt>
              <c:pt idx="799">
                <c:v>335.7</c:v>
              </c:pt>
              <c:pt idx="800">
                <c:v>340.5</c:v>
              </c:pt>
              <c:pt idx="801">
                <c:v>343.6</c:v>
              </c:pt>
              <c:pt idx="802">
                <c:v>345.8</c:v>
              </c:pt>
              <c:pt idx="803">
                <c:v>347.2</c:v>
              </c:pt>
              <c:pt idx="804">
                <c:v>359.1</c:v>
              </c:pt>
              <c:pt idx="805">
                <c:v>378.8</c:v>
              </c:pt>
              <c:pt idx="806">
                <c:v>397.8</c:v>
              </c:pt>
              <c:pt idx="807">
                <c:v>417.1</c:v>
              </c:pt>
              <c:pt idx="808">
                <c:v>436.9</c:v>
              </c:pt>
              <c:pt idx="809">
                <c:v>443.3</c:v>
              </c:pt>
              <c:pt idx="810">
                <c:v>477.6</c:v>
              </c:pt>
              <c:pt idx="811">
                <c:v>494.3</c:v>
              </c:pt>
              <c:pt idx="812">
                <c:v>492.6</c:v>
              </c:pt>
              <c:pt idx="813">
                <c:v>467.8</c:v>
              </c:pt>
              <c:pt idx="814">
                <c:v>440.4</c:v>
              </c:pt>
              <c:pt idx="815">
                <c:v>389.8</c:v>
              </c:pt>
              <c:pt idx="816">
                <c:v>332.5</c:v>
              </c:pt>
              <c:pt idx="817">
                <c:v>350.9</c:v>
              </c:pt>
              <c:pt idx="818">
                <c:v>356</c:v>
              </c:pt>
              <c:pt idx="819">
                <c:v>337.3</c:v>
              </c:pt>
              <c:pt idx="820">
                <c:v>320.89999999999998</c:v>
              </c:pt>
              <c:pt idx="821">
                <c:v>325.5</c:v>
              </c:pt>
              <c:pt idx="822">
                <c:v>311.3</c:v>
              </c:pt>
              <c:pt idx="823">
                <c:v>300.10000000000002</c:v>
              </c:pt>
              <c:pt idx="824">
                <c:v>302.8</c:v>
              </c:pt>
              <c:pt idx="825">
                <c:v>311.5</c:v>
              </c:pt>
              <c:pt idx="826">
                <c:v>313.8</c:v>
              </c:pt>
              <c:pt idx="827">
                <c:v>306.10000000000002</c:v>
              </c:pt>
              <c:pt idx="828">
                <c:v>279.2</c:v>
              </c:pt>
              <c:pt idx="829">
                <c:v>297.39999999999998</c:v>
              </c:pt>
              <c:pt idx="830">
                <c:v>314.39999999999998</c:v>
              </c:pt>
              <c:pt idx="831">
                <c:v>310.3</c:v>
              </c:pt>
              <c:pt idx="832">
                <c:v>306</c:v>
              </c:pt>
              <c:pt idx="833">
                <c:v>308.60000000000002</c:v>
              </c:pt>
              <c:pt idx="834">
                <c:v>317.10000000000002</c:v>
              </c:pt>
              <c:pt idx="835">
                <c:v>312.2</c:v>
              </c:pt>
              <c:pt idx="836">
                <c:v>304.10000000000002</c:v>
              </c:pt>
              <c:pt idx="837">
                <c:v>304.7</c:v>
              </c:pt>
              <c:pt idx="838">
                <c:v>361</c:v>
              </c:pt>
              <c:pt idx="839">
                <c:v>446.4</c:v>
              </c:pt>
              <c:pt idx="840">
                <c:v>449.4</c:v>
              </c:pt>
              <c:pt idx="841">
                <c:v>368.9</c:v>
              </c:pt>
              <c:pt idx="842">
                <c:v>344.2</c:v>
              </c:pt>
              <c:pt idx="843">
                <c:v>398</c:v>
              </c:pt>
              <c:pt idx="844">
                <c:v>442.9</c:v>
              </c:pt>
              <c:pt idx="845">
                <c:v>430.4</c:v>
              </c:pt>
              <c:pt idx="846">
                <c:v>392.2</c:v>
              </c:pt>
              <c:pt idx="847">
                <c:v>374.5</c:v>
              </c:pt>
              <c:pt idx="848">
                <c:v>392.9</c:v>
              </c:pt>
              <c:pt idx="849">
                <c:v>409</c:v>
              </c:pt>
              <c:pt idx="850">
                <c:v>409.3</c:v>
              </c:pt>
              <c:pt idx="851">
                <c:v>399</c:v>
              </c:pt>
              <c:pt idx="852">
                <c:v>374.2</c:v>
              </c:pt>
              <c:pt idx="853">
                <c:v>322.3</c:v>
              </c:pt>
              <c:pt idx="854">
                <c:v>313.89999999999998</c:v>
              </c:pt>
              <c:pt idx="855">
                <c:v>332.8</c:v>
              </c:pt>
              <c:pt idx="856">
                <c:v>305.10000000000002</c:v>
              </c:pt>
              <c:pt idx="857">
                <c:v>274.7</c:v>
              </c:pt>
              <c:pt idx="858">
                <c:v>279.39999999999998</c:v>
              </c:pt>
              <c:pt idx="859">
                <c:v>301</c:v>
              </c:pt>
              <c:pt idx="860">
                <c:v>315.3</c:v>
              </c:pt>
              <c:pt idx="861">
                <c:v>305.3</c:v>
              </c:pt>
              <c:pt idx="862">
                <c:v>260.5</c:v>
              </c:pt>
              <c:pt idx="863">
                <c:v>224.2</c:v>
              </c:pt>
              <c:pt idx="864">
                <c:v>256.60000000000002</c:v>
              </c:pt>
              <c:pt idx="865">
                <c:v>302.5</c:v>
              </c:pt>
              <c:pt idx="866">
                <c:v>328.5</c:v>
              </c:pt>
              <c:pt idx="867">
                <c:v>344.6</c:v>
              </c:pt>
              <c:pt idx="868">
                <c:v>337.6</c:v>
              </c:pt>
              <c:pt idx="869">
                <c:v>294.8</c:v>
              </c:pt>
              <c:pt idx="870">
                <c:v>276.8</c:v>
              </c:pt>
              <c:pt idx="871">
                <c:v>303</c:v>
              </c:pt>
              <c:pt idx="872">
                <c:v>326.3</c:v>
              </c:pt>
              <c:pt idx="873">
                <c:v>393.2</c:v>
              </c:pt>
              <c:pt idx="874">
                <c:v>440.3</c:v>
              </c:pt>
              <c:pt idx="875">
                <c:v>460.3</c:v>
              </c:pt>
              <c:pt idx="876">
                <c:v>473.4</c:v>
              </c:pt>
              <c:pt idx="877">
                <c:v>447.9</c:v>
              </c:pt>
              <c:pt idx="878">
                <c:v>407.5</c:v>
              </c:pt>
              <c:pt idx="879">
                <c:v>394.4</c:v>
              </c:pt>
              <c:pt idx="880">
                <c:v>361.3</c:v>
              </c:pt>
              <c:pt idx="881">
                <c:v>280.2</c:v>
              </c:pt>
              <c:pt idx="882">
                <c:v>246</c:v>
              </c:pt>
              <c:pt idx="883">
                <c:v>268.89999999999998</c:v>
              </c:pt>
              <c:pt idx="884">
                <c:v>291.89999999999998</c:v>
              </c:pt>
              <c:pt idx="885">
                <c:v>306.3</c:v>
              </c:pt>
              <c:pt idx="886">
                <c:v>297</c:v>
              </c:pt>
              <c:pt idx="887">
                <c:v>296.7</c:v>
              </c:pt>
              <c:pt idx="888">
                <c:v>327.2</c:v>
              </c:pt>
              <c:pt idx="889">
                <c:v>342</c:v>
              </c:pt>
              <c:pt idx="890">
                <c:v>326.5</c:v>
              </c:pt>
              <c:pt idx="891">
                <c:v>314.10000000000002</c:v>
              </c:pt>
              <c:pt idx="892">
                <c:v>293</c:v>
              </c:pt>
              <c:pt idx="893">
                <c:v>260</c:v>
              </c:pt>
              <c:pt idx="894">
                <c:v>231.6</c:v>
              </c:pt>
              <c:pt idx="895">
                <c:v>215.5</c:v>
              </c:pt>
              <c:pt idx="896">
                <c:v>226.6</c:v>
              </c:pt>
              <c:pt idx="897">
                <c:v>236.2</c:v>
              </c:pt>
              <c:pt idx="898">
                <c:v>235.7</c:v>
              </c:pt>
              <c:pt idx="899">
                <c:v>242.3</c:v>
              </c:pt>
              <c:pt idx="900">
                <c:v>290.3</c:v>
              </c:pt>
              <c:pt idx="901">
                <c:v>308</c:v>
              </c:pt>
              <c:pt idx="902">
                <c:v>285.89999999999998</c:v>
              </c:pt>
              <c:pt idx="903">
                <c:v>222.4</c:v>
              </c:pt>
              <c:pt idx="904">
                <c:v>169.6</c:v>
              </c:pt>
              <c:pt idx="905">
                <c:v>137.6</c:v>
              </c:pt>
              <c:pt idx="906">
                <c:v>121.7</c:v>
              </c:pt>
              <c:pt idx="907">
                <c:v>120.2</c:v>
              </c:pt>
              <c:pt idx="908">
                <c:v>122.4</c:v>
              </c:pt>
              <c:pt idx="909">
                <c:v>119.3</c:v>
              </c:pt>
              <c:pt idx="910">
                <c:v>108.8</c:v>
              </c:pt>
              <c:pt idx="911">
                <c:v>98.6</c:v>
              </c:pt>
              <c:pt idx="912">
                <c:v>92.1</c:v>
              </c:pt>
              <c:pt idx="913">
                <c:v>94.9</c:v>
              </c:pt>
              <c:pt idx="914">
                <c:v>109.2</c:v>
              </c:pt>
              <c:pt idx="915">
                <c:v>122.8</c:v>
              </c:pt>
              <c:pt idx="916">
                <c:v>132.9</c:v>
              </c:pt>
              <c:pt idx="917">
                <c:v>143.69999999999999</c:v>
              </c:pt>
              <c:pt idx="918">
                <c:v>154.4</c:v>
              </c:pt>
              <c:pt idx="919">
                <c:v>154.5</c:v>
              </c:pt>
              <c:pt idx="920">
                <c:v>147.69999999999999</c:v>
              </c:pt>
              <c:pt idx="921">
                <c:v>143.80000000000001</c:v>
              </c:pt>
              <c:pt idx="922">
                <c:v>142.1</c:v>
              </c:pt>
              <c:pt idx="923">
                <c:v>141.9</c:v>
              </c:pt>
              <c:pt idx="924">
                <c:v>146.1</c:v>
              </c:pt>
              <c:pt idx="925">
                <c:v>148.80000000000001</c:v>
              </c:pt>
              <c:pt idx="926">
                <c:v>151.69999999999999</c:v>
              </c:pt>
              <c:pt idx="927">
                <c:v>152.9</c:v>
              </c:pt>
              <c:pt idx="928">
                <c:v>154.80000000000001</c:v>
              </c:pt>
              <c:pt idx="929">
                <c:v>156</c:v>
              </c:pt>
              <c:pt idx="930">
                <c:v>157.5</c:v>
              </c:pt>
              <c:pt idx="931">
                <c:v>159.80000000000001</c:v>
              </c:pt>
              <c:pt idx="932">
                <c:v>158.5</c:v>
              </c:pt>
              <c:pt idx="933">
                <c:v>152.9</c:v>
              </c:pt>
              <c:pt idx="934">
                <c:v>141.19999999999999</c:v>
              </c:pt>
              <c:pt idx="935">
                <c:v>127.3</c:v>
              </c:pt>
              <c:pt idx="936">
                <c:v>117.8</c:v>
              </c:pt>
              <c:pt idx="937">
                <c:v>114.1</c:v>
              </c:pt>
              <c:pt idx="938">
                <c:v>111.9</c:v>
              </c:pt>
              <c:pt idx="939">
                <c:v>109.5</c:v>
              </c:pt>
              <c:pt idx="940">
                <c:v>106.8</c:v>
              </c:pt>
              <c:pt idx="941">
                <c:v>103.9</c:v>
              </c:pt>
              <c:pt idx="942">
                <c:v>101</c:v>
              </c:pt>
              <c:pt idx="943">
                <c:v>99.2</c:v>
              </c:pt>
              <c:pt idx="944">
                <c:v>100.1</c:v>
              </c:pt>
              <c:pt idx="945">
                <c:v>102.5</c:v>
              </c:pt>
              <c:pt idx="946">
                <c:v>105</c:v>
              </c:pt>
              <c:pt idx="947">
                <c:v>107.9</c:v>
              </c:pt>
              <c:pt idx="948">
                <c:v>109.4</c:v>
              </c:pt>
              <c:pt idx="949">
                <c:v>109</c:v>
              </c:pt>
              <c:pt idx="950">
                <c:v>106.3</c:v>
              </c:pt>
              <c:pt idx="951">
                <c:v>103.8</c:v>
              </c:pt>
              <c:pt idx="952">
                <c:v>102.2</c:v>
              </c:pt>
              <c:pt idx="953">
                <c:v>101.8</c:v>
              </c:pt>
              <c:pt idx="954">
                <c:v>102.5</c:v>
              </c:pt>
              <c:pt idx="955">
                <c:v>104.4</c:v>
              </c:pt>
              <c:pt idx="956">
                <c:v>106.6</c:v>
              </c:pt>
              <c:pt idx="957">
                <c:v>109.7</c:v>
              </c:pt>
              <c:pt idx="958">
                <c:v>114.5</c:v>
              </c:pt>
              <c:pt idx="959">
                <c:v>120.6</c:v>
              </c:pt>
              <c:pt idx="960">
                <c:v>128.9</c:v>
              </c:pt>
              <c:pt idx="961">
                <c:v>140.19999999999999</c:v>
              </c:pt>
              <c:pt idx="962">
                <c:v>151.9</c:v>
              </c:pt>
              <c:pt idx="963">
                <c:v>161.5</c:v>
              </c:pt>
              <c:pt idx="964">
                <c:v>165.6</c:v>
              </c:pt>
              <c:pt idx="965">
                <c:v>162.9</c:v>
              </c:pt>
              <c:pt idx="966">
                <c:v>157.4</c:v>
              </c:pt>
              <c:pt idx="967">
                <c:v>157.6</c:v>
              </c:pt>
              <c:pt idx="968">
                <c:v>162.5</c:v>
              </c:pt>
              <c:pt idx="969">
                <c:v>165</c:v>
              </c:pt>
              <c:pt idx="970">
                <c:v>157.5</c:v>
              </c:pt>
              <c:pt idx="971">
                <c:v>139.1</c:v>
              </c:pt>
              <c:pt idx="972">
                <c:v>116.1</c:v>
              </c:pt>
              <c:pt idx="973">
                <c:v>97.8</c:v>
              </c:pt>
              <c:pt idx="974">
                <c:v>85</c:v>
              </c:pt>
              <c:pt idx="975">
                <c:v>76.459999999999994</c:v>
              </c:pt>
              <c:pt idx="976">
                <c:v>71.19</c:v>
              </c:pt>
              <c:pt idx="977">
                <c:v>67.42</c:v>
              </c:pt>
              <c:pt idx="978">
                <c:v>65.27</c:v>
              </c:pt>
              <c:pt idx="979">
                <c:v>66.680000000000007</c:v>
              </c:pt>
              <c:pt idx="980">
                <c:v>71.069999999999993</c:v>
              </c:pt>
              <c:pt idx="981">
                <c:v>73.900000000000006</c:v>
              </c:pt>
              <c:pt idx="982">
                <c:v>73.099999999999994</c:v>
              </c:pt>
              <c:pt idx="983">
                <c:v>71.400000000000006</c:v>
              </c:pt>
              <c:pt idx="984">
                <c:v>72.099999999999994</c:v>
              </c:pt>
              <c:pt idx="985">
                <c:v>74.27</c:v>
              </c:pt>
              <c:pt idx="986">
                <c:v>75.16</c:v>
              </c:pt>
              <c:pt idx="987">
                <c:v>76.64</c:v>
              </c:pt>
              <c:pt idx="988">
                <c:v>81</c:v>
              </c:pt>
              <c:pt idx="989">
                <c:v>92.5</c:v>
              </c:pt>
              <c:pt idx="990">
                <c:v>112.3</c:v>
              </c:pt>
              <c:pt idx="991">
                <c:v>144.9</c:v>
              </c:pt>
              <c:pt idx="992">
                <c:v>182.7</c:v>
              </c:pt>
              <c:pt idx="993">
                <c:v>202.6</c:v>
              </c:pt>
              <c:pt idx="994">
                <c:v>226.2</c:v>
              </c:pt>
              <c:pt idx="995">
                <c:v>227.4</c:v>
              </c:pt>
              <c:pt idx="996">
                <c:v>220.5</c:v>
              </c:pt>
              <c:pt idx="997">
                <c:v>218.8</c:v>
              </c:pt>
              <c:pt idx="998">
                <c:v>219.9</c:v>
              </c:pt>
              <c:pt idx="999">
                <c:v>218.6</c:v>
              </c:pt>
              <c:pt idx="1000">
                <c:v>223.7</c:v>
              </c:pt>
              <c:pt idx="1001">
                <c:v>228.1</c:v>
              </c:pt>
              <c:pt idx="1002">
                <c:v>279.8</c:v>
              </c:pt>
              <c:pt idx="1003">
                <c:v>230.8</c:v>
              </c:pt>
              <c:pt idx="1004">
                <c:v>236.8</c:v>
              </c:pt>
              <c:pt idx="1005">
                <c:v>223.9</c:v>
              </c:pt>
              <c:pt idx="1006">
                <c:v>201.1</c:v>
              </c:pt>
              <c:pt idx="1007">
                <c:v>178.9</c:v>
              </c:pt>
              <c:pt idx="1008">
                <c:v>156.4</c:v>
              </c:pt>
              <c:pt idx="1009">
                <c:v>135.30000000000001</c:v>
              </c:pt>
              <c:pt idx="1010">
                <c:v>119.8</c:v>
              </c:pt>
              <c:pt idx="1011">
                <c:v>108.5</c:v>
              </c:pt>
              <c:pt idx="1012">
                <c:v>96.7</c:v>
              </c:pt>
              <c:pt idx="1013">
                <c:v>84.9</c:v>
              </c:pt>
              <c:pt idx="1014">
                <c:v>73.45</c:v>
              </c:pt>
              <c:pt idx="1015">
                <c:v>66.260000000000005</c:v>
              </c:pt>
              <c:pt idx="1016">
                <c:v>64.08</c:v>
              </c:pt>
              <c:pt idx="1017">
                <c:v>62.26</c:v>
              </c:pt>
              <c:pt idx="1018">
                <c:v>59.67</c:v>
              </c:pt>
              <c:pt idx="1019">
                <c:v>55.33</c:v>
              </c:pt>
              <c:pt idx="1020">
                <c:v>49.32</c:v>
              </c:pt>
              <c:pt idx="1021">
                <c:v>42.63</c:v>
              </c:pt>
              <c:pt idx="1022">
                <c:v>37.880000000000003</c:v>
              </c:pt>
              <c:pt idx="1023">
                <c:v>36.6</c:v>
              </c:pt>
              <c:pt idx="1024">
                <c:v>35</c:v>
              </c:pt>
              <c:pt idx="1025">
                <c:v>34.03</c:v>
              </c:pt>
              <c:pt idx="1026">
                <c:v>35.229999999999997</c:v>
              </c:pt>
              <c:pt idx="1027">
                <c:v>37.53</c:v>
              </c:pt>
              <c:pt idx="1028">
                <c:v>40.049999999999997</c:v>
              </c:pt>
              <c:pt idx="1029">
                <c:v>42.46</c:v>
              </c:pt>
              <c:pt idx="1030">
                <c:v>47.47</c:v>
              </c:pt>
              <c:pt idx="1031">
                <c:v>56.54</c:v>
              </c:pt>
              <c:pt idx="1032">
                <c:v>68.56</c:v>
              </c:pt>
              <c:pt idx="1033">
                <c:v>82.3</c:v>
              </c:pt>
              <c:pt idx="1034">
                <c:v>98.1</c:v>
              </c:pt>
              <c:pt idx="1035">
                <c:v>113.9</c:v>
              </c:pt>
              <c:pt idx="1036">
                <c:v>127.8</c:v>
              </c:pt>
              <c:pt idx="1037">
                <c:v>140.30000000000001</c:v>
              </c:pt>
              <c:pt idx="1038">
                <c:v>153.1</c:v>
              </c:pt>
              <c:pt idx="1039">
                <c:v>166</c:v>
              </c:pt>
              <c:pt idx="1040">
                <c:v>179.1</c:v>
              </c:pt>
              <c:pt idx="1041">
                <c:v>196.9</c:v>
              </c:pt>
              <c:pt idx="1042">
                <c:v>219.1</c:v>
              </c:pt>
              <c:pt idx="1043">
                <c:v>234.3</c:v>
              </c:pt>
              <c:pt idx="1044">
                <c:v>236.1</c:v>
              </c:pt>
              <c:pt idx="1045">
                <c:v>222.4</c:v>
              </c:pt>
              <c:pt idx="1046">
                <c:v>263.60000000000002</c:v>
              </c:pt>
              <c:pt idx="1047">
                <c:v>266.10000000000002</c:v>
              </c:pt>
              <c:pt idx="1048">
                <c:v>215.6</c:v>
              </c:pt>
              <c:pt idx="1049">
                <c:v>155.19999999999999</c:v>
              </c:pt>
              <c:pt idx="1050">
                <c:v>132.5</c:v>
              </c:pt>
              <c:pt idx="1051">
                <c:v>120.9</c:v>
              </c:pt>
              <c:pt idx="1052">
                <c:v>124.6</c:v>
              </c:pt>
              <c:pt idx="1053">
                <c:v>61.29</c:v>
              </c:pt>
              <c:pt idx="1054">
                <c:v>62.54</c:v>
              </c:pt>
              <c:pt idx="1055">
                <c:v>75.040000000000006</c:v>
              </c:pt>
              <c:pt idx="1056">
                <c:v>93.9</c:v>
              </c:pt>
              <c:pt idx="1057">
                <c:v>115.7</c:v>
              </c:pt>
              <c:pt idx="1058">
                <c:v>135.1</c:v>
              </c:pt>
              <c:pt idx="1059">
                <c:v>155.80000000000001</c:v>
              </c:pt>
              <c:pt idx="1060">
                <c:v>173.5</c:v>
              </c:pt>
              <c:pt idx="1061">
                <c:v>179.3</c:v>
              </c:pt>
              <c:pt idx="1062">
                <c:v>179.1</c:v>
              </c:pt>
              <c:pt idx="1063">
                <c:v>179.3</c:v>
              </c:pt>
              <c:pt idx="1064">
                <c:v>181.8</c:v>
              </c:pt>
              <c:pt idx="1065">
                <c:v>184.5</c:v>
              </c:pt>
              <c:pt idx="1066">
                <c:v>182.6</c:v>
              </c:pt>
              <c:pt idx="1067">
                <c:v>176.9</c:v>
              </c:pt>
              <c:pt idx="1068">
                <c:v>172.4</c:v>
              </c:pt>
              <c:pt idx="1069">
                <c:v>166.9</c:v>
              </c:pt>
              <c:pt idx="1070">
                <c:v>159.4</c:v>
              </c:pt>
              <c:pt idx="1071">
                <c:v>151.5</c:v>
              </c:pt>
              <c:pt idx="1072">
                <c:v>141.19999999999999</c:v>
              </c:pt>
              <c:pt idx="1073">
                <c:v>125.9</c:v>
              </c:pt>
              <c:pt idx="1074">
                <c:v>112.9</c:v>
              </c:pt>
              <c:pt idx="1075">
                <c:v>101.2</c:v>
              </c:pt>
              <c:pt idx="1076">
                <c:v>93.7</c:v>
              </c:pt>
              <c:pt idx="1077">
                <c:v>90.2</c:v>
              </c:pt>
              <c:pt idx="1078">
                <c:v>89.6</c:v>
              </c:pt>
              <c:pt idx="1079">
                <c:v>89.8</c:v>
              </c:pt>
              <c:pt idx="1080">
                <c:v>86.6</c:v>
              </c:pt>
              <c:pt idx="1081">
                <c:v>79.849999999999994</c:v>
              </c:pt>
              <c:pt idx="1082">
                <c:v>70.099999999999994</c:v>
              </c:pt>
              <c:pt idx="1083">
                <c:v>62.58</c:v>
              </c:pt>
              <c:pt idx="1084">
                <c:v>57.51</c:v>
              </c:pt>
              <c:pt idx="1085">
                <c:v>54.9</c:v>
              </c:pt>
              <c:pt idx="1086">
                <c:v>53.65</c:v>
              </c:pt>
              <c:pt idx="1087">
                <c:v>53.52</c:v>
              </c:pt>
              <c:pt idx="1088">
                <c:v>54.15</c:v>
              </c:pt>
              <c:pt idx="1089">
                <c:v>55.55</c:v>
              </c:pt>
              <c:pt idx="1090">
                <c:v>58.39</c:v>
              </c:pt>
              <c:pt idx="1091">
                <c:v>61.56</c:v>
              </c:pt>
              <c:pt idx="1092">
                <c:v>64.31</c:v>
              </c:pt>
              <c:pt idx="1093">
                <c:v>67.47</c:v>
              </c:pt>
              <c:pt idx="1094">
                <c:v>71.680000000000007</c:v>
              </c:pt>
              <c:pt idx="1095">
                <c:v>76.55</c:v>
              </c:pt>
              <c:pt idx="1096">
                <c:v>81.400000000000006</c:v>
              </c:pt>
              <c:pt idx="1097">
                <c:v>85.7</c:v>
              </c:pt>
              <c:pt idx="1098">
                <c:v>89.3</c:v>
              </c:pt>
              <c:pt idx="1099">
                <c:v>91.5</c:v>
              </c:pt>
              <c:pt idx="1100">
                <c:v>92.1</c:v>
              </c:pt>
              <c:pt idx="1101">
                <c:v>91.1</c:v>
              </c:pt>
              <c:pt idx="1102">
                <c:v>90</c:v>
              </c:pt>
              <c:pt idx="1103">
                <c:v>88.4</c:v>
              </c:pt>
              <c:pt idx="1104">
                <c:v>86.3</c:v>
              </c:pt>
              <c:pt idx="1105">
                <c:v>84.3</c:v>
              </c:pt>
              <c:pt idx="1106">
                <c:v>83.3</c:v>
              </c:pt>
              <c:pt idx="1107">
                <c:v>82.5</c:v>
              </c:pt>
              <c:pt idx="1108">
                <c:v>81.8</c:v>
              </c:pt>
              <c:pt idx="1109">
                <c:v>81.099999999999994</c:v>
              </c:pt>
              <c:pt idx="1110">
                <c:v>80.599999999999994</c:v>
              </c:pt>
              <c:pt idx="1111">
                <c:v>79.72</c:v>
              </c:pt>
              <c:pt idx="1112">
                <c:v>78.489999999999995</c:v>
              </c:pt>
              <c:pt idx="1113">
                <c:v>77.47</c:v>
              </c:pt>
              <c:pt idx="1114">
                <c:v>76.7</c:v>
              </c:pt>
              <c:pt idx="1115">
                <c:v>76.459999999999994</c:v>
              </c:pt>
              <c:pt idx="1116">
                <c:v>76.16</c:v>
              </c:pt>
              <c:pt idx="1117">
                <c:v>75.69</c:v>
              </c:pt>
              <c:pt idx="1118">
                <c:v>74.66</c:v>
              </c:pt>
              <c:pt idx="1119">
                <c:v>74.08</c:v>
              </c:pt>
              <c:pt idx="1120">
                <c:v>73.72</c:v>
              </c:pt>
              <c:pt idx="1121">
                <c:v>72.84</c:v>
              </c:pt>
              <c:pt idx="1122">
                <c:v>71.19</c:v>
              </c:pt>
              <c:pt idx="1123">
                <c:v>68.88</c:v>
              </c:pt>
              <c:pt idx="1124">
                <c:v>66.489999999999995</c:v>
              </c:pt>
              <c:pt idx="1125">
                <c:v>64.55</c:v>
              </c:pt>
              <c:pt idx="1126">
                <c:v>62.75</c:v>
              </c:pt>
              <c:pt idx="1127">
                <c:v>60.9</c:v>
              </c:pt>
              <c:pt idx="1128">
                <c:v>59.65</c:v>
              </c:pt>
              <c:pt idx="1129">
                <c:v>58.54</c:v>
              </c:pt>
              <c:pt idx="1130">
                <c:v>57.48</c:v>
              </c:pt>
              <c:pt idx="1131">
                <c:v>56.55</c:v>
              </c:pt>
              <c:pt idx="1132">
                <c:v>55.67</c:v>
              </c:pt>
              <c:pt idx="1133">
                <c:v>54.85</c:v>
              </c:pt>
              <c:pt idx="1134">
                <c:v>54.41</c:v>
              </c:pt>
              <c:pt idx="1135">
                <c:v>54.08</c:v>
              </c:pt>
              <c:pt idx="1136">
                <c:v>53.71</c:v>
              </c:pt>
              <c:pt idx="1137">
                <c:v>53.48</c:v>
              </c:pt>
              <c:pt idx="1138">
                <c:v>53.24</c:v>
              </c:pt>
              <c:pt idx="1139">
                <c:v>52.31</c:v>
              </c:pt>
              <c:pt idx="1140">
                <c:v>51.07</c:v>
              </c:pt>
              <c:pt idx="1141">
                <c:v>49.64</c:v>
              </c:pt>
              <c:pt idx="1142">
                <c:v>48.12</c:v>
              </c:pt>
              <c:pt idx="1143">
                <c:v>46.58</c:v>
              </c:pt>
              <c:pt idx="1144">
                <c:v>44.97</c:v>
              </c:pt>
              <c:pt idx="1145">
                <c:v>43.52</c:v>
              </c:pt>
              <c:pt idx="1146">
                <c:v>41.96</c:v>
              </c:pt>
              <c:pt idx="1147">
                <c:v>39.85</c:v>
              </c:pt>
              <c:pt idx="1148">
                <c:v>37.44</c:v>
              </c:pt>
              <c:pt idx="1149">
                <c:v>35.369999999999997</c:v>
              </c:pt>
              <c:pt idx="1150">
                <c:v>33.729999999999997</c:v>
              </c:pt>
              <c:pt idx="1151">
                <c:v>32.450000000000003</c:v>
              </c:pt>
              <c:pt idx="1152">
                <c:v>31.57</c:v>
              </c:pt>
              <c:pt idx="1153">
                <c:v>31.12</c:v>
              </c:pt>
              <c:pt idx="1154">
                <c:v>31.26</c:v>
              </c:pt>
              <c:pt idx="1155">
                <c:v>31.56</c:v>
              </c:pt>
              <c:pt idx="1156">
                <c:v>31.55</c:v>
              </c:pt>
              <c:pt idx="1157">
                <c:v>30.55</c:v>
              </c:pt>
              <c:pt idx="1158">
                <c:v>28.46</c:v>
              </c:pt>
              <c:pt idx="1159">
                <c:v>25.96</c:v>
              </c:pt>
              <c:pt idx="1160">
                <c:v>24.54</c:v>
              </c:pt>
              <c:pt idx="1161">
                <c:v>24.01</c:v>
              </c:pt>
              <c:pt idx="1162">
                <c:v>21.78</c:v>
              </c:pt>
              <c:pt idx="1163">
                <c:v>17.39</c:v>
              </c:pt>
              <c:pt idx="1164">
                <c:v>13.51</c:v>
              </c:pt>
              <c:pt idx="1165">
                <c:v>10.9</c:v>
              </c:pt>
              <c:pt idx="1166">
                <c:v>8.94</c:v>
              </c:pt>
              <c:pt idx="1167">
                <c:v>7.3220000000000001</c:v>
              </c:pt>
              <c:pt idx="1168">
                <c:v>6.0209999999999999</c:v>
              </c:pt>
              <c:pt idx="1169">
                <c:v>4.8819999999999997</c:v>
              </c:pt>
              <c:pt idx="1170">
                <c:v>4</c:v>
              </c:pt>
              <c:pt idx="1171">
                <c:v>3.3050000000000002</c:v>
              </c:pt>
              <c:pt idx="1172">
                <c:v>2.6619999999999999</c:v>
              </c:pt>
              <c:pt idx="1173">
                <c:v>2.2189999999999999</c:v>
              </c:pt>
              <c:pt idx="1174">
                <c:v>1.79</c:v>
              </c:pt>
              <c:pt idx="1175">
                <c:v>1.532</c:v>
              </c:pt>
              <c:pt idx="1176">
                <c:v>1.3069999999999999</c:v>
              </c:pt>
              <c:pt idx="1177">
                <c:v>1.0820000000000001</c:v>
              </c:pt>
              <c:pt idx="1178">
                <c:v>0.92</c:v>
              </c:pt>
              <c:pt idx="1179">
                <c:v>0.73599999999999999</c:v>
              </c:pt>
              <c:pt idx="1180">
                <c:v>0.67100000000000004</c:v>
              </c:pt>
              <c:pt idx="1181">
                <c:v>0.54200000000000004</c:v>
              </c:pt>
              <c:pt idx="1182">
                <c:v>0.39400000000000002</c:v>
              </c:pt>
              <c:pt idx="1183">
                <c:v>0.28100000000000003</c:v>
              </c:pt>
              <c:pt idx="1184">
                <c:v>0.19600000000000001</c:v>
              </c:pt>
              <c:pt idx="1185">
                <c:v>4.9000000000000002E-2</c:v>
              </c:pt>
              <c:pt idx="1186">
                <c:v>1.2E-2</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2.4190540833333327</c:v>
              </c:pt>
            </c:numLit>
          </c:val>
          <c:smooth val="0"/>
          <c:extLst>
            <c:ext xmlns:c16="http://schemas.microsoft.com/office/drawing/2014/chart" uri="{C3380CC4-5D6E-409C-BE32-E72D297353CC}">
              <c16:uniqueId val="{00000001-E3D2-4F3F-B450-EC8B6FCDC9BF}"/>
            </c:ext>
          </c:extLst>
        </c:ser>
        <c:ser>
          <c:idx val="2"/>
          <c:order val="2"/>
          <c:tx>
            <c:v>2.472829767 IS6 WMS POA Upward(W/mÂ²)</c:v>
          </c:tx>
          <c:spPr>
            <a:ln w="28575" cap="rnd">
              <a:solidFill>
                <a:schemeClr val="accent3"/>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0.192</c:v>
              </c:pt>
              <c:pt idx="2">
                <c:v>0.183</c:v>
              </c:pt>
              <c:pt idx="3">
                <c:v>0.14299999999999999</c:v>
              </c:pt>
              <c:pt idx="4">
                <c:v>9.7000000000000003E-2</c:v>
              </c:pt>
              <c:pt idx="5">
                <c:v>8.5999999999999993E-2</c:v>
              </c:pt>
              <c:pt idx="6">
                <c:v>4.2000000000000003E-2</c:v>
              </c:pt>
              <c:pt idx="7">
                <c:v>6.5000000000000002E-2</c:v>
              </c:pt>
              <c:pt idx="8">
                <c:v>4.5999999999999999E-2</c:v>
              </c:pt>
              <c:pt idx="9">
                <c:v>1.6E-2</c:v>
              </c:pt>
              <c:pt idx="10">
                <c:v>1.4E-2</c:v>
              </c:pt>
              <c:pt idx="11">
                <c:v>1E-3</c:v>
              </c:pt>
              <c:pt idx="12">
                <c:v>2.5999999999999999E-2</c:v>
              </c:pt>
              <c:pt idx="13">
                <c:v>1E-3</c:v>
              </c:pt>
              <c:pt idx="14">
                <c:v>3.7999999999999999E-2</c:v>
              </c:pt>
              <c:pt idx="15">
                <c:v>4.7E-2</c:v>
              </c:pt>
              <c:pt idx="16">
                <c:v>0.10299999999999999</c:v>
              </c:pt>
              <c:pt idx="17">
                <c:v>0.14699999999999999</c:v>
              </c:pt>
              <c:pt idx="18">
                <c:v>0.17799999999999999</c:v>
              </c:pt>
              <c:pt idx="19">
                <c:v>0.20899999999999999</c:v>
              </c:pt>
              <c:pt idx="20">
                <c:v>0.255</c:v>
              </c:pt>
              <c:pt idx="21">
                <c:v>0.27300000000000002</c:v>
              </c:pt>
              <c:pt idx="22">
                <c:v>0.317</c:v>
              </c:pt>
              <c:pt idx="23">
                <c:v>0.36799999999999999</c:v>
              </c:pt>
              <c:pt idx="24">
                <c:v>0.311</c:v>
              </c:pt>
              <c:pt idx="25">
                <c:v>0.38900000000000001</c:v>
              </c:pt>
              <c:pt idx="26">
                <c:v>0.42</c:v>
              </c:pt>
              <c:pt idx="27">
                <c:v>0.33400000000000002</c:v>
              </c:pt>
              <c:pt idx="28">
                <c:v>0.38700000000000001</c:v>
              </c:pt>
              <c:pt idx="29">
                <c:v>0.36899999999999999</c:v>
              </c:pt>
              <c:pt idx="30">
                <c:v>0.38200000000000001</c:v>
              </c:pt>
              <c:pt idx="31">
                <c:v>0.312</c:v>
              </c:pt>
              <c:pt idx="32">
                <c:v>0.29399999999999998</c:v>
              </c:pt>
              <c:pt idx="33">
                <c:v>0.33700000000000002</c:v>
              </c:pt>
              <c:pt idx="34">
                <c:v>0.32</c:v>
              </c:pt>
              <c:pt idx="35">
                <c:v>0.372</c:v>
              </c:pt>
              <c:pt idx="36">
                <c:v>0.28899999999999998</c:v>
              </c:pt>
              <c:pt idx="37">
                <c:v>0.33300000000000002</c:v>
              </c:pt>
              <c:pt idx="38">
                <c:v>0.29899999999999999</c:v>
              </c:pt>
              <c:pt idx="39">
                <c:v>0.32900000000000001</c:v>
              </c:pt>
              <c:pt idx="40">
                <c:v>0.36</c:v>
              </c:pt>
              <c:pt idx="41">
                <c:v>0.373</c:v>
              </c:pt>
              <c:pt idx="42">
                <c:v>0.39100000000000001</c:v>
              </c:pt>
              <c:pt idx="43">
                <c:v>0.32500000000000001</c:v>
              </c:pt>
              <c:pt idx="44">
                <c:v>0.38800000000000001</c:v>
              </c:pt>
              <c:pt idx="45">
                <c:v>0.35599999999999998</c:v>
              </c:pt>
              <c:pt idx="46">
                <c:v>0.317</c:v>
              </c:pt>
              <c:pt idx="47">
                <c:v>0.38500000000000001</c:v>
              </c:pt>
              <c:pt idx="48">
                <c:v>0.39600000000000002</c:v>
              </c:pt>
              <c:pt idx="49">
                <c:v>0.36</c:v>
              </c:pt>
              <c:pt idx="50">
                <c:v>0.34499999999999997</c:v>
              </c:pt>
              <c:pt idx="51">
                <c:v>0.42699999999999999</c:v>
              </c:pt>
              <c:pt idx="52">
                <c:v>0.44700000000000001</c:v>
              </c:pt>
              <c:pt idx="53">
                <c:v>0.47199999999999998</c:v>
              </c:pt>
              <c:pt idx="54">
                <c:v>0.55700000000000005</c:v>
              </c:pt>
              <c:pt idx="55">
                <c:v>0.57799999999999996</c:v>
              </c:pt>
              <c:pt idx="56">
                <c:v>0.60699999999999998</c:v>
              </c:pt>
              <c:pt idx="57">
                <c:v>0.60199999999999998</c:v>
              </c:pt>
              <c:pt idx="58">
                <c:v>0.49299999999999999</c:v>
              </c:pt>
              <c:pt idx="59">
                <c:v>0.44700000000000001</c:v>
              </c:pt>
              <c:pt idx="60">
                <c:v>0.38100000000000001</c:v>
              </c:pt>
              <c:pt idx="61">
                <c:v>0.36399999999999999</c:v>
              </c:pt>
              <c:pt idx="62">
                <c:v>0.42</c:v>
              </c:pt>
              <c:pt idx="63">
                <c:v>0.46200000000000002</c:v>
              </c:pt>
              <c:pt idx="64">
                <c:v>0.47</c:v>
              </c:pt>
              <c:pt idx="65">
                <c:v>0.45700000000000002</c:v>
              </c:pt>
              <c:pt idx="66">
                <c:v>0.40899999999999997</c:v>
              </c:pt>
              <c:pt idx="67">
                <c:v>0.379</c:v>
              </c:pt>
              <c:pt idx="68">
                <c:v>0.36399999999999999</c:v>
              </c:pt>
              <c:pt idx="69">
                <c:v>0.28699999999999998</c:v>
              </c:pt>
              <c:pt idx="70">
                <c:v>0.33200000000000002</c:v>
              </c:pt>
              <c:pt idx="71">
                <c:v>0.32400000000000001</c:v>
              </c:pt>
              <c:pt idx="72">
                <c:v>0.30399999999999999</c:v>
              </c:pt>
              <c:pt idx="73">
                <c:v>0.34399999999999997</c:v>
              </c:pt>
              <c:pt idx="74">
                <c:v>0.41099999999999998</c:v>
              </c:pt>
              <c:pt idx="75">
                <c:v>0.33800000000000002</c:v>
              </c:pt>
              <c:pt idx="76">
                <c:v>0.40500000000000003</c:v>
              </c:pt>
              <c:pt idx="77">
                <c:v>0.41299999999999998</c:v>
              </c:pt>
              <c:pt idx="78">
                <c:v>0.40600000000000003</c:v>
              </c:pt>
              <c:pt idx="79">
                <c:v>0.42099999999999999</c:v>
              </c:pt>
              <c:pt idx="80">
                <c:v>0.436</c:v>
              </c:pt>
              <c:pt idx="81">
                <c:v>0.38600000000000001</c:v>
              </c:pt>
              <c:pt idx="82">
                <c:v>0.39600000000000002</c:v>
              </c:pt>
              <c:pt idx="83">
                <c:v>0.35299999999999998</c:v>
              </c:pt>
              <c:pt idx="84">
                <c:v>0.38800000000000001</c:v>
              </c:pt>
              <c:pt idx="85">
                <c:v>0.35199999999999998</c:v>
              </c:pt>
              <c:pt idx="86">
                <c:v>0.35299999999999998</c:v>
              </c:pt>
              <c:pt idx="87">
                <c:v>0.371</c:v>
              </c:pt>
              <c:pt idx="88">
                <c:v>0.41399999999999998</c:v>
              </c:pt>
              <c:pt idx="89">
                <c:v>0.41399999999999998</c:v>
              </c:pt>
              <c:pt idx="90">
                <c:v>0.36</c:v>
              </c:pt>
              <c:pt idx="91">
                <c:v>0.41899999999999998</c:v>
              </c:pt>
              <c:pt idx="92">
                <c:v>0.432</c:v>
              </c:pt>
              <c:pt idx="93">
                <c:v>0.34399999999999997</c:v>
              </c:pt>
              <c:pt idx="94">
                <c:v>0.372</c:v>
              </c:pt>
              <c:pt idx="95">
                <c:v>0.38200000000000001</c:v>
              </c:pt>
              <c:pt idx="96">
                <c:v>0.39300000000000002</c:v>
              </c:pt>
              <c:pt idx="97">
                <c:v>0.34699999999999998</c:v>
              </c:pt>
              <c:pt idx="98">
                <c:v>0.32900000000000001</c:v>
              </c:pt>
              <c:pt idx="99">
                <c:v>0.28000000000000003</c:v>
              </c:pt>
              <c:pt idx="100">
                <c:v>0.33700000000000002</c:v>
              </c:pt>
              <c:pt idx="101">
                <c:v>0.28299999999999997</c:v>
              </c:pt>
              <c:pt idx="102">
                <c:v>0.32500000000000001</c:v>
              </c:pt>
              <c:pt idx="103">
                <c:v>0.33300000000000002</c:v>
              </c:pt>
              <c:pt idx="104">
                <c:v>0.26900000000000002</c:v>
              </c:pt>
              <c:pt idx="105">
                <c:v>0.36599999999999999</c:v>
              </c:pt>
              <c:pt idx="106">
                <c:v>0.28599999999999998</c:v>
              </c:pt>
              <c:pt idx="107">
                <c:v>0.33500000000000002</c:v>
              </c:pt>
              <c:pt idx="108">
                <c:v>0.307</c:v>
              </c:pt>
              <c:pt idx="109">
                <c:v>0.26500000000000001</c:v>
              </c:pt>
              <c:pt idx="110">
                <c:v>0.29799999999999999</c:v>
              </c:pt>
              <c:pt idx="111">
                <c:v>0.30499999999999999</c:v>
              </c:pt>
              <c:pt idx="112">
                <c:v>0.35199999999999998</c:v>
              </c:pt>
              <c:pt idx="113">
                <c:v>0.31</c:v>
              </c:pt>
              <c:pt idx="114">
                <c:v>0.26500000000000001</c:v>
              </c:pt>
              <c:pt idx="115">
                <c:v>0.30099999999999999</c:v>
              </c:pt>
              <c:pt idx="116">
                <c:v>0.28100000000000003</c:v>
              </c:pt>
              <c:pt idx="117">
                <c:v>0.25</c:v>
              </c:pt>
              <c:pt idx="118">
                <c:v>0.26900000000000002</c:v>
              </c:pt>
              <c:pt idx="119">
                <c:v>0.26100000000000001</c:v>
              </c:pt>
              <c:pt idx="120">
                <c:v>0.251</c:v>
              </c:pt>
              <c:pt idx="121">
                <c:v>0.28000000000000003</c:v>
              </c:pt>
              <c:pt idx="122">
                <c:v>0.246</c:v>
              </c:pt>
              <c:pt idx="123">
                <c:v>0.28399999999999997</c:v>
              </c:pt>
              <c:pt idx="124">
                <c:v>0.28100000000000003</c:v>
              </c:pt>
              <c:pt idx="125">
                <c:v>0.27300000000000002</c:v>
              </c:pt>
              <c:pt idx="126">
                <c:v>0.29599999999999999</c:v>
              </c:pt>
              <c:pt idx="127">
                <c:v>0.28599999999999998</c:v>
              </c:pt>
              <c:pt idx="128">
                <c:v>0.29499999999999998</c:v>
              </c:pt>
              <c:pt idx="129">
                <c:v>0.23</c:v>
              </c:pt>
              <c:pt idx="130">
                <c:v>0.221</c:v>
              </c:pt>
              <c:pt idx="131">
                <c:v>0.186</c:v>
              </c:pt>
              <c:pt idx="132">
                <c:v>0.24299999999999999</c:v>
              </c:pt>
              <c:pt idx="133">
                <c:v>0.23899999999999999</c:v>
              </c:pt>
              <c:pt idx="134">
                <c:v>0.24</c:v>
              </c:pt>
              <c:pt idx="135">
                <c:v>0.24199999999999999</c:v>
              </c:pt>
              <c:pt idx="136">
                <c:v>0.247</c:v>
              </c:pt>
              <c:pt idx="137">
                <c:v>0.26500000000000001</c:v>
              </c:pt>
              <c:pt idx="138">
                <c:v>0.254</c:v>
              </c:pt>
              <c:pt idx="139">
                <c:v>0.222</c:v>
              </c:pt>
              <c:pt idx="140">
                <c:v>0.17399999999999999</c:v>
              </c:pt>
              <c:pt idx="141">
                <c:v>0.183</c:v>
              </c:pt>
              <c:pt idx="142">
                <c:v>0.189</c:v>
              </c:pt>
              <c:pt idx="143">
                <c:v>0.20699999999999999</c:v>
              </c:pt>
              <c:pt idx="144">
                <c:v>0.22900000000000001</c:v>
              </c:pt>
              <c:pt idx="145">
                <c:v>0.23499999999999999</c:v>
              </c:pt>
              <c:pt idx="146">
                <c:v>0.17499999999999999</c:v>
              </c:pt>
              <c:pt idx="147">
                <c:v>0.20200000000000001</c:v>
              </c:pt>
              <c:pt idx="148">
                <c:v>0.20599999999999999</c:v>
              </c:pt>
              <c:pt idx="149">
                <c:v>0.14399999999999999</c:v>
              </c:pt>
              <c:pt idx="150">
                <c:v>0.16800000000000001</c:v>
              </c:pt>
              <c:pt idx="151">
                <c:v>0.17599999999999999</c:v>
              </c:pt>
              <c:pt idx="152">
                <c:v>0.20699999999999999</c:v>
              </c:pt>
              <c:pt idx="153">
                <c:v>0.188</c:v>
              </c:pt>
              <c:pt idx="154">
                <c:v>0.19400000000000001</c:v>
              </c:pt>
              <c:pt idx="155">
                <c:v>0.17100000000000001</c:v>
              </c:pt>
              <c:pt idx="156">
                <c:v>0.17499999999999999</c:v>
              </c:pt>
              <c:pt idx="157">
                <c:v>0.16900000000000001</c:v>
              </c:pt>
              <c:pt idx="158">
                <c:v>0.115</c:v>
              </c:pt>
              <c:pt idx="159">
                <c:v>0.129</c:v>
              </c:pt>
              <c:pt idx="160">
                <c:v>0.153</c:v>
              </c:pt>
              <c:pt idx="161">
                <c:v>9.1999999999999998E-2</c:v>
              </c:pt>
              <c:pt idx="162">
                <c:v>0.114</c:v>
              </c:pt>
              <c:pt idx="163">
                <c:v>0.13</c:v>
              </c:pt>
              <c:pt idx="164">
                <c:v>0.11799999999999999</c:v>
              </c:pt>
              <c:pt idx="165">
                <c:v>0.14199999999999999</c:v>
              </c:pt>
              <c:pt idx="166">
                <c:v>0.14599999999999999</c:v>
              </c:pt>
              <c:pt idx="167">
                <c:v>0.106</c:v>
              </c:pt>
              <c:pt idx="168">
                <c:v>9.9000000000000005E-2</c:v>
              </c:pt>
              <c:pt idx="169">
                <c:v>6.8000000000000005E-2</c:v>
              </c:pt>
              <c:pt idx="170">
                <c:v>4.4999999999999998E-2</c:v>
              </c:pt>
              <c:pt idx="171">
                <c:v>2.7E-2</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1E-3</c:v>
              </c:pt>
              <c:pt idx="233">
                <c:v>2E-3</c:v>
              </c:pt>
              <c:pt idx="234">
                <c:v>8.9999999999999993E-3</c:v>
              </c:pt>
              <c:pt idx="235">
                <c:v>0</c:v>
              </c:pt>
              <c:pt idx="236">
                <c:v>0.01</c:v>
              </c:pt>
              <c:pt idx="237">
                <c:v>1.0999999999999999E-2</c:v>
              </c:pt>
              <c:pt idx="238">
                <c:v>0</c:v>
              </c:pt>
              <c:pt idx="239">
                <c:v>3.0000000000000001E-3</c:v>
              </c:pt>
              <c:pt idx="240">
                <c:v>6.0000000000000001E-3</c:v>
              </c:pt>
              <c:pt idx="241">
                <c:v>3.7999999999999999E-2</c:v>
              </c:pt>
              <c:pt idx="242">
                <c:v>3.6999999999999998E-2</c:v>
              </c:pt>
              <c:pt idx="243">
                <c:v>3.3000000000000002E-2</c:v>
              </c:pt>
              <c:pt idx="244">
                <c:v>3.4000000000000002E-2</c:v>
              </c:pt>
              <c:pt idx="245">
                <c:v>4.4999999999999998E-2</c:v>
              </c:pt>
              <c:pt idx="246">
                <c:v>2.7E-2</c:v>
              </c:pt>
              <c:pt idx="247">
                <c:v>6.0999999999999999E-2</c:v>
              </c:pt>
              <c:pt idx="248">
                <c:v>3.3000000000000002E-2</c:v>
              </c:pt>
              <c:pt idx="249">
                <c:v>4.4999999999999998E-2</c:v>
              </c:pt>
              <c:pt idx="250">
                <c:v>6.0999999999999999E-2</c:v>
              </c:pt>
              <c:pt idx="251">
                <c:v>3.7999999999999999E-2</c:v>
              </c:pt>
              <c:pt idx="252">
                <c:v>5.8000000000000003E-2</c:v>
              </c:pt>
              <c:pt idx="253">
                <c:v>5.0999999999999997E-2</c:v>
              </c:pt>
              <c:pt idx="254">
                <c:v>6.7000000000000004E-2</c:v>
              </c:pt>
              <c:pt idx="255">
                <c:v>3.1E-2</c:v>
              </c:pt>
              <c:pt idx="256">
                <c:v>4.2000000000000003E-2</c:v>
              </c:pt>
              <c:pt idx="257">
                <c:v>6.6000000000000003E-2</c:v>
              </c:pt>
              <c:pt idx="258">
                <c:v>6.2E-2</c:v>
              </c:pt>
              <c:pt idx="259">
                <c:v>0.11</c:v>
              </c:pt>
              <c:pt idx="260">
                <c:v>0.08</c:v>
              </c:pt>
              <c:pt idx="261">
                <c:v>7.1999999999999995E-2</c:v>
              </c:pt>
              <c:pt idx="262">
                <c:v>0.11700000000000001</c:v>
              </c:pt>
              <c:pt idx="263">
                <c:v>0.1</c:v>
              </c:pt>
              <c:pt idx="264">
                <c:v>0.115</c:v>
              </c:pt>
              <c:pt idx="265">
                <c:v>8.8999999999999996E-2</c:v>
              </c:pt>
              <c:pt idx="266">
                <c:v>5.1999999999999998E-2</c:v>
              </c:pt>
              <c:pt idx="267">
                <c:v>9.5000000000000001E-2</c:v>
              </c:pt>
              <c:pt idx="268">
                <c:v>5.8000000000000003E-2</c:v>
              </c:pt>
              <c:pt idx="269">
                <c:v>4.5999999999999999E-2</c:v>
              </c:pt>
              <c:pt idx="270">
                <c:v>0.02</c:v>
              </c:pt>
              <c:pt idx="271">
                <c:v>5.6000000000000001E-2</c:v>
              </c:pt>
              <c:pt idx="272">
                <c:v>0.08</c:v>
              </c:pt>
              <c:pt idx="273">
                <c:v>7.3999999999999996E-2</c:v>
              </c:pt>
              <c:pt idx="274">
                <c:v>0.03</c:v>
              </c:pt>
              <c:pt idx="275">
                <c:v>9.2999999999999999E-2</c:v>
              </c:pt>
              <c:pt idx="276">
                <c:v>7.0999999999999994E-2</c:v>
              </c:pt>
              <c:pt idx="277">
                <c:v>7.3999999999999996E-2</c:v>
              </c:pt>
              <c:pt idx="278">
                <c:v>7.0999999999999994E-2</c:v>
              </c:pt>
              <c:pt idx="279">
                <c:v>7.0000000000000007E-2</c:v>
              </c:pt>
              <c:pt idx="280">
                <c:v>2.5999999999999999E-2</c:v>
              </c:pt>
              <c:pt idx="281">
                <c:v>1.2E-2</c:v>
              </c:pt>
              <c:pt idx="282">
                <c:v>2.1999999999999999E-2</c:v>
              </c:pt>
              <c:pt idx="283">
                <c:v>0</c:v>
              </c:pt>
              <c:pt idx="284">
                <c:v>0.05</c:v>
              </c:pt>
              <c:pt idx="285">
                <c:v>3.5000000000000003E-2</c:v>
              </c:pt>
              <c:pt idx="286">
                <c:v>2.8000000000000001E-2</c:v>
              </c:pt>
              <c:pt idx="287">
                <c:v>2.5000000000000001E-2</c:v>
              </c:pt>
              <c:pt idx="288">
                <c:v>5.0000000000000001E-3</c:v>
              </c:pt>
              <c:pt idx="289">
                <c:v>2E-3</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4.0000000000000001E-3</c:v>
              </c:pt>
              <c:pt idx="355">
                <c:v>0</c:v>
              </c:pt>
              <c:pt idx="356">
                <c:v>2E-3</c:v>
              </c:pt>
              <c:pt idx="357">
                <c:v>1.0999999999999999E-2</c:v>
              </c:pt>
              <c:pt idx="358">
                <c:v>0.03</c:v>
              </c:pt>
              <c:pt idx="359">
                <c:v>4.8000000000000001E-2</c:v>
              </c:pt>
              <c:pt idx="360">
                <c:v>0.12</c:v>
              </c:pt>
              <c:pt idx="361">
                <c:v>0.23300000000000001</c:v>
              </c:pt>
              <c:pt idx="362">
                <c:v>0.36499999999999999</c:v>
              </c:pt>
              <c:pt idx="363">
                <c:v>0.55400000000000005</c:v>
              </c:pt>
              <c:pt idx="364">
                <c:v>0.67600000000000005</c:v>
              </c:pt>
              <c:pt idx="365">
                <c:v>0.82399999999999995</c:v>
              </c:pt>
              <c:pt idx="366">
                <c:v>0.97599999999999998</c:v>
              </c:pt>
              <c:pt idx="367">
                <c:v>1.214</c:v>
              </c:pt>
              <c:pt idx="368">
                <c:v>1.45</c:v>
              </c:pt>
              <c:pt idx="369">
                <c:v>1.788</c:v>
              </c:pt>
              <c:pt idx="370">
                <c:v>2.2370000000000001</c:v>
              </c:pt>
              <c:pt idx="371">
                <c:v>2.6160000000000001</c:v>
              </c:pt>
              <c:pt idx="372">
                <c:v>3.0840000000000001</c:v>
              </c:pt>
              <c:pt idx="373">
                <c:v>3.5649999999999999</c:v>
              </c:pt>
              <c:pt idx="374">
                <c:v>3.8239999999999998</c:v>
              </c:pt>
              <c:pt idx="375">
                <c:v>4.258</c:v>
              </c:pt>
              <c:pt idx="376">
                <c:v>4.6130000000000004</c:v>
              </c:pt>
              <c:pt idx="377">
                <c:v>4.6769999999999996</c:v>
              </c:pt>
              <c:pt idx="378">
                <c:v>4.8259999999999996</c:v>
              </c:pt>
              <c:pt idx="379">
                <c:v>5.3239999999999998</c:v>
              </c:pt>
              <c:pt idx="380">
                <c:v>5.452</c:v>
              </c:pt>
              <c:pt idx="381">
                <c:v>5.6349999999999998</c:v>
              </c:pt>
              <c:pt idx="382">
                <c:v>6.2939999999999996</c:v>
              </c:pt>
              <c:pt idx="383">
                <c:v>7.3460000000000001</c:v>
              </c:pt>
              <c:pt idx="384">
                <c:v>8.43</c:v>
              </c:pt>
              <c:pt idx="385">
                <c:v>9.92</c:v>
              </c:pt>
              <c:pt idx="386">
                <c:v>11.12</c:v>
              </c:pt>
              <c:pt idx="387">
                <c:v>11.85</c:v>
              </c:pt>
              <c:pt idx="388">
                <c:v>12</c:v>
              </c:pt>
              <c:pt idx="389">
                <c:v>12.73</c:v>
              </c:pt>
              <c:pt idx="390">
                <c:v>13.48</c:v>
              </c:pt>
              <c:pt idx="391">
                <c:v>13.67</c:v>
              </c:pt>
              <c:pt idx="392">
                <c:v>14.73</c:v>
              </c:pt>
              <c:pt idx="393">
                <c:v>16.100000000000001</c:v>
              </c:pt>
              <c:pt idx="394">
                <c:v>16.98</c:v>
              </c:pt>
              <c:pt idx="395">
                <c:v>18.690000000000001</c:v>
              </c:pt>
              <c:pt idx="396">
                <c:v>18.71</c:v>
              </c:pt>
              <c:pt idx="397">
                <c:v>17.920000000000002</c:v>
              </c:pt>
              <c:pt idx="398">
                <c:v>18.55</c:v>
              </c:pt>
              <c:pt idx="399">
                <c:v>18.54</c:v>
              </c:pt>
              <c:pt idx="400">
                <c:v>19.28</c:v>
              </c:pt>
              <c:pt idx="401">
                <c:v>19.29</c:v>
              </c:pt>
              <c:pt idx="402">
                <c:v>18.95</c:v>
              </c:pt>
              <c:pt idx="403">
                <c:v>17.8</c:v>
              </c:pt>
              <c:pt idx="404">
                <c:v>17.54</c:v>
              </c:pt>
              <c:pt idx="405">
                <c:v>17.73</c:v>
              </c:pt>
              <c:pt idx="406">
                <c:v>17.829999999999998</c:v>
              </c:pt>
              <c:pt idx="407">
                <c:v>18.47</c:v>
              </c:pt>
              <c:pt idx="408">
                <c:v>19.350000000000001</c:v>
              </c:pt>
              <c:pt idx="409">
                <c:v>20.71</c:v>
              </c:pt>
              <c:pt idx="410">
                <c:v>22.34</c:v>
              </c:pt>
              <c:pt idx="411">
                <c:v>22.41</c:v>
              </c:pt>
              <c:pt idx="412">
                <c:v>21.35</c:v>
              </c:pt>
              <c:pt idx="413">
                <c:v>19.11</c:v>
              </c:pt>
              <c:pt idx="414">
                <c:v>17.75</c:v>
              </c:pt>
              <c:pt idx="415">
                <c:v>15.88</c:v>
              </c:pt>
              <c:pt idx="416">
                <c:v>15.3</c:v>
              </c:pt>
              <c:pt idx="417">
                <c:v>16.07</c:v>
              </c:pt>
              <c:pt idx="418">
                <c:v>16.93</c:v>
              </c:pt>
              <c:pt idx="419">
                <c:v>17.73</c:v>
              </c:pt>
              <c:pt idx="420">
                <c:v>18.28</c:v>
              </c:pt>
              <c:pt idx="421">
                <c:v>18.38</c:v>
              </c:pt>
              <c:pt idx="422">
                <c:v>17.8</c:v>
              </c:pt>
              <c:pt idx="423">
                <c:v>16.66</c:v>
              </c:pt>
              <c:pt idx="424">
                <c:v>17.57</c:v>
              </c:pt>
              <c:pt idx="425">
                <c:v>17.11</c:v>
              </c:pt>
              <c:pt idx="426">
                <c:v>16.52</c:v>
              </c:pt>
              <c:pt idx="427">
                <c:v>16.260000000000002</c:v>
              </c:pt>
              <c:pt idx="428">
                <c:v>17.09</c:v>
              </c:pt>
              <c:pt idx="429">
                <c:v>18.37</c:v>
              </c:pt>
              <c:pt idx="430">
                <c:v>17.61</c:v>
              </c:pt>
              <c:pt idx="431">
                <c:v>16.37</c:v>
              </c:pt>
              <c:pt idx="432">
                <c:v>15.35</c:v>
              </c:pt>
              <c:pt idx="433">
                <c:v>15.07</c:v>
              </c:pt>
              <c:pt idx="434">
                <c:v>13.87</c:v>
              </c:pt>
              <c:pt idx="435">
                <c:v>13.81</c:v>
              </c:pt>
              <c:pt idx="436">
                <c:v>14.17</c:v>
              </c:pt>
              <c:pt idx="437">
                <c:v>14.89</c:v>
              </c:pt>
              <c:pt idx="438">
                <c:v>17.5</c:v>
              </c:pt>
              <c:pt idx="439">
                <c:v>20.329999999999998</c:v>
              </c:pt>
              <c:pt idx="440">
                <c:v>26.13</c:v>
              </c:pt>
              <c:pt idx="441">
                <c:v>30.03</c:v>
              </c:pt>
              <c:pt idx="442">
                <c:v>30.05</c:v>
              </c:pt>
              <c:pt idx="443">
                <c:v>32.43</c:v>
              </c:pt>
              <c:pt idx="444">
                <c:v>34.53</c:v>
              </c:pt>
              <c:pt idx="445">
                <c:v>34.58</c:v>
              </c:pt>
              <c:pt idx="446">
                <c:v>35.950000000000003</c:v>
              </c:pt>
              <c:pt idx="447">
                <c:v>38.96</c:v>
              </c:pt>
              <c:pt idx="448">
                <c:v>37.909999999999997</c:v>
              </c:pt>
              <c:pt idx="449">
                <c:v>33.29</c:v>
              </c:pt>
              <c:pt idx="450">
                <c:v>36.17</c:v>
              </c:pt>
              <c:pt idx="451">
                <c:v>40.35</c:v>
              </c:pt>
              <c:pt idx="452">
                <c:v>34.049999999999997</c:v>
              </c:pt>
              <c:pt idx="453">
                <c:v>30.6</c:v>
              </c:pt>
              <c:pt idx="454">
                <c:v>30.62</c:v>
              </c:pt>
              <c:pt idx="455">
                <c:v>34.71</c:v>
              </c:pt>
              <c:pt idx="456">
                <c:v>40.4</c:v>
              </c:pt>
              <c:pt idx="457">
                <c:v>40.69</c:v>
              </c:pt>
              <c:pt idx="458">
                <c:v>38.26</c:v>
              </c:pt>
              <c:pt idx="459">
                <c:v>35.32</c:v>
              </c:pt>
              <c:pt idx="460">
                <c:v>32.96</c:v>
              </c:pt>
              <c:pt idx="461">
                <c:v>27.04</c:v>
              </c:pt>
              <c:pt idx="462">
                <c:v>21.76</c:v>
              </c:pt>
              <c:pt idx="463">
                <c:v>20.25</c:v>
              </c:pt>
              <c:pt idx="464">
                <c:v>20.99</c:v>
              </c:pt>
              <c:pt idx="465">
                <c:v>26.17</c:v>
              </c:pt>
              <c:pt idx="466">
                <c:v>29.23</c:v>
              </c:pt>
              <c:pt idx="467">
                <c:v>28.18</c:v>
              </c:pt>
              <c:pt idx="468">
                <c:v>27.53</c:v>
              </c:pt>
              <c:pt idx="469">
                <c:v>28.61</c:v>
              </c:pt>
              <c:pt idx="470">
                <c:v>31.32</c:v>
              </c:pt>
              <c:pt idx="471">
                <c:v>32.22</c:v>
              </c:pt>
              <c:pt idx="472">
                <c:v>33.630000000000003</c:v>
              </c:pt>
              <c:pt idx="473">
                <c:v>37.32</c:v>
              </c:pt>
              <c:pt idx="474">
                <c:v>38.06</c:v>
              </c:pt>
              <c:pt idx="475">
                <c:v>34.01</c:v>
              </c:pt>
              <c:pt idx="476">
                <c:v>31.98</c:v>
              </c:pt>
              <c:pt idx="477">
                <c:v>31.17</c:v>
              </c:pt>
              <c:pt idx="478">
                <c:v>33.299999999999997</c:v>
              </c:pt>
              <c:pt idx="479">
                <c:v>33.979999999999997</c:v>
              </c:pt>
              <c:pt idx="480">
                <c:v>31.56</c:v>
              </c:pt>
              <c:pt idx="481">
                <c:v>31.38</c:v>
              </c:pt>
              <c:pt idx="482">
                <c:v>27.95</c:v>
              </c:pt>
              <c:pt idx="483">
                <c:v>26.9</c:v>
              </c:pt>
              <c:pt idx="484">
                <c:v>28.22</c:v>
              </c:pt>
              <c:pt idx="485">
                <c:v>28.12</c:v>
              </c:pt>
              <c:pt idx="486">
                <c:v>31.36</c:v>
              </c:pt>
              <c:pt idx="487">
                <c:v>37.47</c:v>
              </c:pt>
              <c:pt idx="488">
                <c:v>45.84</c:v>
              </c:pt>
              <c:pt idx="489">
                <c:v>51.5</c:v>
              </c:pt>
              <c:pt idx="490">
                <c:v>56.46</c:v>
              </c:pt>
              <c:pt idx="491">
                <c:v>56.72</c:v>
              </c:pt>
              <c:pt idx="492">
                <c:v>57.13</c:v>
              </c:pt>
              <c:pt idx="493">
                <c:v>57.72</c:v>
              </c:pt>
              <c:pt idx="494">
                <c:v>60.66</c:v>
              </c:pt>
              <c:pt idx="495">
                <c:v>62.42</c:v>
              </c:pt>
              <c:pt idx="496">
                <c:v>63.1</c:v>
              </c:pt>
              <c:pt idx="497">
                <c:v>64.48</c:v>
              </c:pt>
              <c:pt idx="498">
                <c:v>74.47</c:v>
              </c:pt>
              <c:pt idx="499">
                <c:v>76.23</c:v>
              </c:pt>
              <c:pt idx="500">
                <c:v>77.150000000000006</c:v>
              </c:pt>
              <c:pt idx="501">
                <c:v>78.2</c:v>
              </c:pt>
              <c:pt idx="502">
                <c:v>78.959999999999994</c:v>
              </c:pt>
              <c:pt idx="503">
                <c:v>87</c:v>
              </c:pt>
              <c:pt idx="504">
                <c:v>91</c:v>
              </c:pt>
              <c:pt idx="505">
                <c:v>97.9</c:v>
              </c:pt>
              <c:pt idx="506">
                <c:v>99.5</c:v>
              </c:pt>
              <c:pt idx="507">
                <c:v>104.8</c:v>
              </c:pt>
              <c:pt idx="508">
                <c:v>113.5</c:v>
              </c:pt>
              <c:pt idx="509">
                <c:v>98.2</c:v>
              </c:pt>
              <c:pt idx="510">
                <c:v>96.4</c:v>
              </c:pt>
              <c:pt idx="511">
                <c:v>102.6</c:v>
              </c:pt>
              <c:pt idx="512">
                <c:v>106.4</c:v>
              </c:pt>
              <c:pt idx="513">
                <c:v>118.7</c:v>
              </c:pt>
              <c:pt idx="514">
                <c:v>119.9</c:v>
              </c:pt>
              <c:pt idx="515">
                <c:v>120.2</c:v>
              </c:pt>
              <c:pt idx="516">
                <c:v>124.5</c:v>
              </c:pt>
              <c:pt idx="517">
                <c:v>129.69999999999999</c:v>
              </c:pt>
              <c:pt idx="518">
                <c:v>133.19999999999999</c:v>
              </c:pt>
              <c:pt idx="519">
                <c:v>143.30000000000001</c:v>
              </c:pt>
              <c:pt idx="520">
                <c:v>154.69999999999999</c:v>
              </c:pt>
              <c:pt idx="521">
                <c:v>167.5</c:v>
              </c:pt>
              <c:pt idx="522">
                <c:v>181.2</c:v>
              </c:pt>
              <c:pt idx="523">
                <c:v>193.4</c:v>
              </c:pt>
              <c:pt idx="524">
                <c:v>178</c:v>
              </c:pt>
              <c:pt idx="525">
                <c:v>165.1</c:v>
              </c:pt>
              <c:pt idx="526">
                <c:v>190</c:v>
              </c:pt>
              <c:pt idx="527">
                <c:v>201.1</c:v>
              </c:pt>
              <c:pt idx="528">
                <c:v>191.5</c:v>
              </c:pt>
              <c:pt idx="529">
                <c:v>192.7</c:v>
              </c:pt>
              <c:pt idx="530">
                <c:v>207.4</c:v>
              </c:pt>
              <c:pt idx="531">
                <c:v>209.6</c:v>
              </c:pt>
              <c:pt idx="532">
                <c:v>196.6</c:v>
              </c:pt>
              <c:pt idx="533">
                <c:v>191.1</c:v>
              </c:pt>
              <c:pt idx="534">
                <c:v>189.4</c:v>
              </c:pt>
              <c:pt idx="535">
                <c:v>175</c:v>
              </c:pt>
              <c:pt idx="536">
                <c:v>162.30000000000001</c:v>
              </c:pt>
              <c:pt idx="537">
                <c:v>159.5</c:v>
              </c:pt>
              <c:pt idx="538">
                <c:v>156.6</c:v>
              </c:pt>
              <c:pt idx="539">
                <c:v>156</c:v>
              </c:pt>
              <c:pt idx="540">
                <c:v>162.69999999999999</c:v>
              </c:pt>
              <c:pt idx="541">
                <c:v>173.2</c:v>
              </c:pt>
              <c:pt idx="542">
                <c:v>188.1</c:v>
              </c:pt>
              <c:pt idx="543">
                <c:v>195.3</c:v>
              </c:pt>
              <c:pt idx="544">
                <c:v>187.3</c:v>
              </c:pt>
              <c:pt idx="545">
                <c:v>194.7</c:v>
              </c:pt>
              <c:pt idx="546">
                <c:v>186.2</c:v>
              </c:pt>
              <c:pt idx="547">
                <c:v>178.4</c:v>
              </c:pt>
              <c:pt idx="548">
                <c:v>169.7</c:v>
              </c:pt>
              <c:pt idx="549">
                <c:v>156</c:v>
              </c:pt>
              <c:pt idx="550">
                <c:v>149.19999999999999</c:v>
              </c:pt>
              <c:pt idx="551">
                <c:v>139.5</c:v>
              </c:pt>
              <c:pt idx="552">
                <c:v>123.6</c:v>
              </c:pt>
              <c:pt idx="553">
                <c:v>105.5</c:v>
              </c:pt>
              <c:pt idx="554">
                <c:v>101.9</c:v>
              </c:pt>
              <c:pt idx="555">
                <c:v>102.2</c:v>
              </c:pt>
              <c:pt idx="556">
                <c:v>89</c:v>
              </c:pt>
              <c:pt idx="557">
                <c:v>82.9</c:v>
              </c:pt>
              <c:pt idx="558">
                <c:v>78.239999999999995</c:v>
              </c:pt>
              <c:pt idx="559">
                <c:v>72.02</c:v>
              </c:pt>
              <c:pt idx="560">
                <c:v>63.85</c:v>
              </c:pt>
              <c:pt idx="561">
                <c:v>54.92</c:v>
              </c:pt>
              <c:pt idx="562">
                <c:v>54.19</c:v>
              </c:pt>
              <c:pt idx="563">
                <c:v>57.9</c:v>
              </c:pt>
              <c:pt idx="564">
                <c:v>55.01</c:v>
              </c:pt>
              <c:pt idx="565">
                <c:v>53.03</c:v>
              </c:pt>
              <c:pt idx="566">
                <c:v>56.3</c:v>
              </c:pt>
              <c:pt idx="567">
                <c:v>66.64</c:v>
              </c:pt>
              <c:pt idx="568">
                <c:v>81.400000000000006</c:v>
              </c:pt>
              <c:pt idx="569">
                <c:v>82.1</c:v>
              </c:pt>
              <c:pt idx="570">
                <c:v>82.5</c:v>
              </c:pt>
              <c:pt idx="571">
                <c:v>88.3</c:v>
              </c:pt>
              <c:pt idx="572">
                <c:v>92.5</c:v>
              </c:pt>
              <c:pt idx="573">
                <c:v>102.6</c:v>
              </c:pt>
              <c:pt idx="574">
                <c:v>109.5</c:v>
              </c:pt>
              <c:pt idx="575">
                <c:v>102.1</c:v>
              </c:pt>
              <c:pt idx="576">
                <c:v>104.2</c:v>
              </c:pt>
              <c:pt idx="577">
                <c:v>112</c:v>
              </c:pt>
              <c:pt idx="578">
                <c:v>115.5</c:v>
              </c:pt>
              <c:pt idx="579">
                <c:v>121.1</c:v>
              </c:pt>
              <c:pt idx="580">
                <c:v>120.6</c:v>
              </c:pt>
              <c:pt idx="581">
                <c:v>129.69999999999999</c:v>
              </c:pt>
              <c:pt idx="582">
                <c:v>146.30000000000001</c:v>
              </c:pt>
              <c:pt idx="583">
                <c:v>147.4</c:v>
              </c:pt>
              <c:pt idx="584">
                <c:v>150.5</c:v>
              </c:pt>
              <c:pt idx="585">
                <c:v>160.30000000000001</c:v>
              </c:pt>
              <c:pt idx="586">
                <c:v>168.2</c:v>
              </c:pt>
              <c:pt idx="587">
                <c:v>181.2</c:v>
              </c:pt>
              <c:pt idx="588">
                <c:v>188.6</c:v>
              </c:pt>
              <c:pt idx="589">
                <c:v>191.7</c:v>
              </c:pt>
              <c:pt idx="590">
                <c:v>204.7</c:v>
              </c:pt>
              <c:pt idx="591">
                <c:v>205.6</c:v>
              </c:pt>
              <c:pt idx="592">
                <c:v>210.6</c:v>
              </c:pt>
              <c:pt idx="593">
                <c:v>223.2</c:v>
              </c:pt>
              <c:pt idx="594">
                <c:v>224.7</c:v>
              </c:pt>
              <c:pt idx="595">
                <c:v>232.8</c:v>
              </c:pt>
              <c:pt idx="596">
                <c:v>247.5</c:v>
              </c:pt>
              <c:pt idx="597">
                <c:v>263.10000000000002</c:v>
              </c:pt>
              <c:pt idx="598">
                <c:v>271.60000000000002</c:v>
              </c:pt>
              <c:pt idx="599">
                <c:v>292.3</c:v>
              </c:pt>
              <c:pt idx="600">
                <c:v>300</c:v>
              </c:pt>
              <c:pt idx="601">
                <c:v>277.3</c:v>
              </c:pt>
              <c:pt idx="602">
                <c:v>276.2</c:v>
              </c:pt>
              <c:pt idx="603">
                <c:v>260.89999999999998</c:v>
              </c:pt>
              <c:pt idx="604">
                <c:v>259.39999999999998</c:v>
              </c:pt>
              <c:pt idx="605">
                <c:v>250.4</c:v>
              </c:pt>
              <c:pt idx="606">
                <c:v>255.3</c:v>
              </c:pt>
              <c:pt idx="607">
                <c:v>269.2</c:v>
              </c:pt>
              <c:pt idx="608">
                <c:v>265.8</c:v>
              </c:pt>
              <c:pt idx="609">
                <c:v>261.5</c:v>
              </c:pt>
              <c:pt idx="610">
                <c:v>256.39999999999998</c:v>
              </c:pt>
              <c:pt idx="611">
                <c:v>245.8</c:v>
              </c:pt>
              <c:pt idx="612">
                <c:v>253.8</c:v>
              </c:pt>
              <c:pt idx="613">
                <c:v>251.6</c:v>
              </c:pt>
              <c:pt idx="614">
                <c:v>245.8</c:v>
              </c:pt>
              <c:pt idx="615">
                <c:v>242.9</c:v>
              </c:pt>
              <c:pt idx="616">
                <c:v>246.8</c:v>
              </c:pt>
              <c:pt idx="617">
                <c:v>265.60000000000002</c:v>
              </c:pt>
              <c:pt idx="618">
                <c:v>260</c:v>
              </c:pt>
              <c:pt idx="619">
                <c:v>252.5</c:v>
              </c:pt>
              <c:pt idx="620">
                <c:v>257.8</c:v>
              </c:pt>
              <c:pt idx="621">
                <c:v>256.39999999999998</c:v>
              </c:pt>
              <c:pt idx="622">
                <c:v>275.7</c:v>
              </c:pt>
              <c:pt idx="623">
                <c:v>282.5</c:v>
              </c:pt>
              <c:pt idx="624">
                <c:v>272.8</c:v>
              </c:pt>
              <c:pt idx="625">
                <c:v>285.2</c:v>
              </c:pt>
              <c:pt idx="626">
                <c:v>278</c:v>
              </c:pt>
              <c:pt idx="627">
                <c:v>265.7</c:v>
              </c:pt>
              <c:pt idx="628">
                <c:v>262.3</c:v>
              </c:pt>
              <c:pt idx="629">
                <c:v>250.1</c:v>
              </c:pt>
              <c:pt idx="630">
                <c:v>229.8</c:v>
              </c:pt>
              <c:pt idx="631">
                <c:v>229.9</c:v>
              </c:pt>
              <c:pt idx="632">
                <c:v>229.2</c:v>
              </c:pt>
              <c:pt idx="633">
                <c:v>223.1</c:v>
              </c:pt>
              <c:pt idx="634">
                <c:v>222.8</c:v>
              </c:pt>
              <c:pt idx="635">
                <c:v>227.1</c:v>
              </c:pt>
              <c:pt idx="636">
                <c:v>226.5</c:v>
              </c:pt>
              <c:pt idx="637">
                <c:v>228.1</c:v>
              </c:pt>
              <c:pt idx="638">
                <c:v>224.7</c:v>
              </c:pt>
              <c:pt idx="639">
                <c:v>229.6</c:v>
              </c:pt>
              <c:pt idx="640">
                <c:v>226.9</c:v>
              </c:pt>
              <c:pt idx="641">
                <c:v>232.7</c:v>
              </c:pt>
              <c:pt idx="642">
                <c:v>231.4</c:v>
              </c:pt>
              <c:pt idx="643">
                <c:v>240.3</c:v>
              </c:pt>
              <c:pt idx="644">
                <c:v>247.2</c:v>
              </c:pt>
              <c:pt idx="645">
                <c:v>251</c:v>
              </c:pt>
              <c:pt idx="646">
                <c:v>253</c:v>
              </c:pt>
              <c:pt idx="647">
                <c:v>265.3</c:v>
              </c:pt>
              <c:pt idx="648">
                <c:v>276.7</c:v>
              </c:pt>
              <c:pt idx="649">
                <c:v>288</c:v>
              </c:pt>
              <c:pt idx="650">
                <c:v>310.89999999999998</c:v>
              </c:pt>
              <c:pt idx="651">
                <c:v>330.5</c:v>
              </c:pt>
              <c:pt idx="652">
                <c:v>354.1</c:v>
              </c:pt>
              <c:pt idx="653">
                <c:v>387</c:v>
              </c:pt>
              <c:pt idx="654">
                <c:v>413.3</c:v>
              </c:pt>
              <c:pt idx="655">
                <c:v>436.7</c:v>
              </c:pt>
              <c:pt idx="656">
                <c:v>458.2</c:v>
              </c:pt>
              <c:pt idx="657">
                <c:v>482.2</c:v>
              </c:pt>
              <c:pt idx="658">
                <c:v>500.4</c:v>
              </c:pt>
              <c:pt idx="659">
                <c:v>495.9</c:v>
              </c:pt>
              <c:pt idx="660">
                <c:v>479.1</c:v>
              </c:pt>
              <c:pt idx="661">
                <c:v>492.6</c:v>
              </c:pt>
              <c:pt idx="662">
                <c:v>472.9</c:v>
              </c:pt>
              <c:pt idx="663">
                <c:v>436.2</c:v>
              </c:pt>
              <c:pt idx="664">
                <c:v>398.4</c:v>
              </c:pt>
              <c:pt idx="665">
                <c:v>386.9</c:v>
              </c:pt>
              <c:pt idx="666">
                <c:v>421.1</c:v>
              </c:pt>
              <c:pt idx="667">
                <c:v>419.7</c:v>
              </c:pt>
              <c:pt idx="668">
                <c:v>424.1</c:v>
              </c:pt>
              <c:pt idx="669">
                <c:v>443.8</c:v>
              </c:pt>
              <c:pt idx="670">
                <c:v>461.8</c:v>
              </c:pt>
              <c:pt idx="671">
                <c:v>434</c:v>
              </c:pt>
              <c:pt idx="672">
                <c:v>391</c:v>
              </c:pt>
              <c:pt idx="673">
                <c:v>361.4</c:v>
              </c:pt>
              <c:pt idx="674">
                <c:v>338.7</c:v>
              </c:pt>
              <c:pt idx="675">
                <c:v>311.7</c:v>
              </c:pt>
              <c:pt idx="676">
                <c:v>301.39999999999998</c:v>
              </c:pt>
              <c:pt idx="677">
                <c:v>302.3</c:v>
              </c:pt>
              <c:pt idx="678">
                <c:v>308.5</c:v>
              </c:pt>
              <c:pt idx="679">
                <c:v>307.3</c:v>
              </c:pt>
              <c:pt idx="680">
                <c:v>292.60000000000002</c:v>
              </c:pt>
              <c:pt idx="681">
                <c:v>283.60000000000002</c:v>
              </c:pt>
              <c:pt idx="682">
                <c:v>288.7</c:v>
              </c:pt>
              <c:pt idx="683">
                <c:v>287.7</c:v>
              </c:pt>
              <c:pt idx="684">
                <c:v>275.3</c:v>
              </c:pt>
              <c:pt idx="685">
                <c:v>265.8</c:v>
              </c:pt>
              <c:pt idx="686">
                <c:v>278.5</c:v>
              </c:pt>
              <c:pt idx="687">
                <c:v>295.89999999999998</c:v>
              </c:pt>
              <c:pt idx="688">
                <c:v>302.60000000000002</c:v>
              </c:pt>
              <c:pt idx="689">
                <c:v>301.2</c:v>
              </c:pt>
              <c:pt idx="690">
                <c:v>290.2</c:v>
              </c:pt>
              <c:pt idx="691">
                <c:v>286.2</c:v>
              </c:pt>
              <c:pt idx="692">
                <c:v>279.10000000000002</c:v>
              </c:pt>
              <c:pt idx="693">
                <c:v>277</c:v>
              </c:pt>
              <c:pt idx="694">
                <c:v>270.8</c:v>
              </c:pt>
              <c:pt idx="695">
                <c:v>276.10000000000002</c:v>
              </c:pt>
              <c:pt idx="696">
                <c:v>302.39999999999998</c:v>
              </c:pt>
              <c:pt idx="697">
                <c:v>331.5</c:v>
              </c:pt>
              <c:pt idx="698">
                <c:v>348.5</c:v>
              </c:pt>
              <c:pt idx="699">
                <c:v>361.6</c:v>
              </c:pt>
              <c:pt idx="700">
                <c:v>371</c:v>
              </c:pt>
              <c:pt idx="701">
                <c:v>372.2</c:v>
              </c:pt>
              <c:pt idx="702">
                <c:v>398.7</c:v>
              </c:pt>
              <c:pt idx="703">
                <c:v>429.9</c:v>
              </c:pt>
              <c:pt idx="704">
                <c:v>443.3</c:v>
              </c:pt>
              <c:pt idx="705">
                <c:v>459.7</c:v>
              </c:pt>
              <c:pt idx="706">
                <c:v>488.2</c:v>
              </c:pt>
              <c:pt idx="707">
                <c:v>495.4</c:v>
              </c:pt>
              <c:pt idx="708">
                <c:v>495.8</c:v>
              </c:pt>
              <c:pt idx="709">
                <c:v>515.70000000000005</c:v>
              </c:pt>
              <c:pt idx="710">
                <c:v>439.9</c:v>
              </c:pt>
              <c:pt idx="711">
                <c:v>396.7</c:v>
              </c:pt>
              <c:pt idx="712">
                <c:v>355.7</c:v>
              </c:pt>
              <c:pt idx="713">
                <c:v>348.4</c:v>
              </c:pt>
              <c:pt idx="714">
                <c:v>363.2</c:v>
              </c:pt>
              <c:pt idx="715">
                <c:v>428.7</c:v>
              </c:pt>
              <c:pt idx="716">
                <c:v>479.2</c:v>
              </c:pt>
              <c:pt idx="717">
                <c:v>545.20000000000005</c:v>
              </c:pt>
              <c:pt idx="718">
                <c:v>596</c:v>
              </c:pt>
              <c:pt idx="719">
                <c:v>529.20000000000005</c:v>
              </c:pt>
              <c:pt idx="720">
                <c:v>453.9</c:v>
              </c:pt>
              <c:pt idx="721">
                <c:v>404.5</c:v>
              </c:pt>
              <c:pt idx="722">
                <c:v>373.5</c:v>
              </c:pt>
              <c:pt idx="723">
                <c:v>333.8</c:v>
              </c:pt>
              <c:pt idx="724">
                <c:v>312.89999999999998</c:v>
              </c:pt>
              <c:pt idx="725">
                <c:v>294.2</c:v>
              </c:pt>
              <c:pt idx="726">
                <c:v>289.3</c:v>
              </c:pt>
              <c:pt idx="727">
                <c:v>329.9</c:v>
              </c:pt>
              <c:pt idx="728">
                <c:v>375.1</c:v>
              </c:pt>
              <c:pt idx="729">
                <c:v>364.7</c:v>
              </c:pt>
              <c:pt idx="730">
                <c:v>348.2</c:v>
              </c:pt>
              <c:pt idx="731">
                <c:v>380.2</c:v>
              </c:pt>
              <c:pt idx="732">
                <c:v>375.6</c:v>
              </c:pt>
              <c:pt idx="733">
                <c:v>330.1</c:v>
              </c:pt>
              <c:pt idx="734">
                <c:v>331.6</c:v>
              </c:pt>
              <c:pt idx="735">
                <c:v>371.8</c:v>
              </c:pt>
              <c:pt idx="736">
                <c:v>381</c:v>
              </c:pt>
              <c:pt idx="737">
                <c:v>360.3</c:v>
              </c:pt>
              <c:pt idx="738">
                <c:v>342.1</c:v>
              </c:pt>
              <c:pt idx="739">
                <c:v>325.7</c:v>
              </c:pt>
              <c:pt idx="740">
                <c:v>339.5</c:v>
              </c:pt>
              <c:pt idx="741">
                <c:v>339.1</c:v>
              </c:pt>
              <c:pt idx="742">
                <c:v>359.4</c:v>
              </c:pt>
              <c:pt idx="743">
                <c:v>389.7</c:v>
              </c:pt>
              <c:pt idx="744">
                <c:v>449.7</c:v>
              </c:pt>
              <c:pt idx="745">
                <c:v>460.2</c:v>
              </c:pt>
              <c:pt idx="746">
                <c:v>404.9</c:v>
              </c:pt>
              <c:pt idx="747">
                <c:v>409.7</c:v>
              </c:pt>
              <c:pt idx="748">
                <c:v>421.7</c:v>
              </c:pt>
              <c:pt idx="749">
                <c:v>378.9</c:v>
              </c:pt>
              <c:pt idx="750">
                <c:v>321.60000000000002</c:v>
              </c:pt>
              <c:pt idx="751">
                <c:v>271.8</c:v>
              </c:pt>
              <c:pt idx="752">
                <c:v>288.5</c:v>
              </c:pt>
              <c:pt idx="753">
                <c:v>308.60000000000002</c:v>
              </c:pt>
              <c:pt idx="754">
                <c:v>316.5</c:v>
              </c:pt>
              <c:pt idx="755">
                <c:v>310.89999999999998</c:v>
              </c:pt>
              <c:pt idx="756">
                <c:v>284.3</c:v>
              </c:pt>
              <c:pt idx="757">
                <c:v>256.89999999999998</c:v>
              </c:pt>
              <c:pt idx="758">
                <c:v>245.1</c:v>
              </c:pt>
              <c:pt idx="759">
                <c:v>221.4</c:v>
              </c:pt>
              <c:pt idx="760">
                <c:v>205.7</c:v>
              </c:pt>
              <c:pt idx="761">
                <c:v>220.7</c:v>
              </c:pt>
              <c:pt idx="762">
                <c:v>228.6</c:v>
              </c:pt>
              <c:pt idx="763">
                <c:v>191</c:v>
              </c:pt>
              <c:pt idx="764">
                <c:v>178.5</c:v>
              </c:pt>
              <c:pt idx="765">
                <c:v>203.2</c:v>
              </c:pt>
              <c:pt idx="766">
                <c:v>219.4</c:v>
              </c:pt>
              <c:pt idx="767">
                <c:v>233.9</c:v>
              </c:pt>
              <c:pt idx="768">
                <c:v>229.3</c:v>
              </c:pt>
              <c:pt idx="769">
                <c:v>218</c:v>
              </c:pt>
              <c:pt idx="770">
                <c:v>207.8</c:v>
              </c:pt>
              <c:pt idx="771">
                <c:v>203.9</c:v>
              </c:pt>
              <c:pt idx="772">
                <c:v>201.5</c:v>
              </c:pt>
              <c:pt idx="773">
                <c:v>197.6</c:v>
              </c:pt>
              <c:pt idx="774">
                <c:v>182.5</c:v>
              </c:pt>
              <c:pt idx="775">
                <c:v>149.6</c:v>
              </c:pt>
              <c:pt idx="776">
                <c:v>136.6</c:v>
              </c:pt>
              <c:pt idx="777">
                <c:v>151.19999999999999</c:v>
              </c:pt>
              <c:pt idx="778">
                <c:v>185</c:v>
              </c:pt>
              <c:pt idx="779">
                <c:v>192.1</c:v>
              </c:pt>
              <c:pt idx="780">
                <c:v>184.1</c:v>
              </c:pt>
              <c:pt idx="781">
                <c:v>200.1</c:v>
              </c:pt>
              <c:pt idx="782">
                <c:v>217.1</c:v>
              </c:pt>
              <c:pt idx="783">
                <c:v>233.6</c:v>
              </c:pt>
              <c:pt idx="784">
                <c:v>252</c:v>
              </c:pt>
              <c:pt idx="785">
                <c:v>260.5</c:v>
              </c:pt>
              <c:pt idx="786">
                <c:v>265.2</c:v>
              </c:pt>
              <c:pt idx="787">
                <c:v>262.8</c:v>
              </c:pt>
              <c:pt idx="788">
                <c:v>265.39999999999998</c:v>
              </c:pt>
              <c:pt idx="789">
                <c:v>271.7</c:v>
              </c:pt>
              <c:pt idx="790">
                <c:v>269.39999999999998</c:v>
              </c:pt>
              <c:pt idx="791">
                <c:v>268.3</c:v>
              </c:pt>
              <c:pt idx="792">
                <c:v>266.10000000000002</c:v>
              </c:pt>
              <c:pt idx="793">
                <c:v>276.2</c:v>
              </c:pt>
              <c:pt idx="794">
                <c:v>283.5</c:v>
              </c:pt>
              <c:pt idx="795">
                <c:v>283.5</c:v>
              </c:pt>
              <c:pt idx="796">
                <c:v>283.8</c:v>
              </c:pt>
              <c:pt idx="797">
                <c:v>280.7</c:v>
              </c:pt>
              <c:pt idx="798">
                <c:v>271.5</c:v>
              </c:pt>
              <c:pt idx="799">
                <c:v>257.39999999999998</c:v>
              </c:pt>
              <c:pt idx="800">
                <c:v>242.1</c:v>
              </c:pt>
              <c:pt idx="801">
                <c:v>254</c:v>
              </c:pt>
              <c:pt idx="802">
                <c:v>267.2</c:v>
              </c:pt>
              <c:pt idx="803">
                <c:v>277.89999999999998</c:v>
              </c:pt>
              <c:pt idx="804">
                <c:v>291.2</c:v>
              </c:pt>
              <c:pt idx="805">
                <c:v>302.60000000000002</c:v>
              </c:pt>
              <c:pt idx="806">
                <c:v>307.2</c:v>
              </c:pt>
              <c:pt idx="807">
                <c:v>305.8</c:v>
              </c:pt>
              <c:pt idx="808">
                <c:v>308.89999999999998</c:v>
              </c:pt>
              <c:pt idx="809">
                <c:v>324.8</c:v>
              </c:pt>
              <c:pt idx="810">
                <c:v>343.2</c:v>
              </c:pt>
              <c:pt idx="811">
                <c:v>328.3</c:v>
              </c:pt>
              <c:pt idx="812">
                <c:v>308.39999999999998</c:v>
              </c:pt>
              <c:pt idx="813">
                <c:v>333.1</c:v>
              </c:pt>
              <c:pt idx="814">
                <c:v>355.2</c:v>
              </c:pt>
              <c:pt idx="815">
                <c:v>340.2</c:v>
              </c:pt>
              <c:pt idx="816">
                <c:v>310.5</c:v>
              </c:pt>
              <c:pt idx="817">
                <c:v>332.5</c:v>
              </c:pt>
              <c:pt idx="818">
                <c:v>318.8</c:v>
              </c:pt>
              <c:pt idx="819">
                <c:v>312.5</c:v>
              </c:pt>
              <c:pt idx="820">
                <c:v>290.10000000000002</c:v>
              </c:pt>
              <c:pt idx="821">
                <c:v>269.39999999999998</c:v>
              </c:pt>
              <c:pt idx="822">
                <c:v>261.7</c:v>
              </c:pt>
              <c:pt idx="823">
                <c:v>259.8</c:v>
              </c:pt>
              <c:pt idx="824">
                <c:v>267.2</c:v>
              </c:pt>
              <c:pt idx="825">
                <c:v>270.10000000000002</c:v>
              </c:pt>
              <c:pt idx="826">
                <c:v>280.5</c:v>
              </c:pt>
              <c:pt idx="827">
                <c:v>286.3</c:v>
              </c:pt>
              <c:pt idx="828">
                <c:v>290.10000000000002</c:v>
              </c:pt>
              <c:pt idx="829">
                <c:v>310.5</c:v>
              </c:pt>
              <c:pt idx="830">
                <c:v>317.2</c:v>
              </c:pt>
              <c:pt idx="831">
                <c:v>311.8</c:v>
              </c:pt>
              <c:pt idx="832">
                <c:v>306.10000000000002</c:v>
              </c:pt>
              <c:pt idx="833">
                <c:v>312.39999999999998</c:v>
              </c:pt>
              <c:pt idx="834">
                <c:v>327.2</c:v>
              </c:pt>
              <c:pt idx="835">
                <c:v>357</c:v>
              </c:pt>
              <c:pt idx="836">
                <c:v>387.1</c:v>
              </c:pt>
              <c:pt idx="837">
                <c:v>404.6</c:v>
              </c:pt>
              <c:pt idx="838">
                <c:v>414.7</c:v>
              </c:pt>
              <c:pt idx="839">
                <c:v>418.9</c:v>
              </c:pt>
              <c:pt idx="840">
                <c:v>404.6</c:v>
              </c:pt>
              <c:pt idx="841">
                <c:v>358.8</c:v>
              </c:pt>
              <c:pt idx="842">
                <c:v>388.3</c:v>
              </c:pt>
              <c:pt idx="843">
                <c:v>442.7</c:v>
              </c:pt>
              <c:pt idx="844">
                <c:v>442.7</c:v>
              </c:pt>
              <c:pt idx="845">
                <c:v>427.2</c:v>
              </c:pt>
              <c:pt idx="846">
                <c:v>419.5</c:v>
              </c:pt>
              <c:pt idx="847">
                <c:v>407.8</c:v>
              </c:pt>
              <c:pt idx="848">
                <c:v>384.5</c:v>
              </c:pt>
              <c:pt idx="849">
                <c:v>370.7</c:v>
              </c:pt>
              <c:pt idx="850">
                <c:v>359.9</c:v>
              </c:pt>
              <c:pt idx="851">
                <c:v>350.3</c:v>
              </c:pt>
              <c:pt idx="852">
                <c:v>337.2</c:v>
              </c:pt>
              <c:pt idx="853">
                <c:v>314.89999999999998</c:v>
              </c:pt>
              <c:pt idx="854">
                <c:v>271.7</c:v>
              </c:pt>
              <c:pt idx="855">
                <c:v>274.10000000000002</c:v>
              </c:pt>
              <c:pt idx="856">
                <c:v>284.39999999999998</c:v>
              </c:pt>
              <c:pt idx="857">
                <c:v>292.2</c:v>
              </c:pt>
              <c:pt idx="858">
                <c:v>300.39999999999998</c:v>
              </c:pt>
              <c:pt idx="859">
                <c:v>297</c:v>
              </c:pt>
              <c:pt idx="860">
                <c:v>283.7</c:v>
              </c:pt>
              <c:pt idx="861">
                <c:v>292.5</c:v>
              </c:pt>
              <c:pt idx="862">
                <c:v>279.2</c:v>
              </c:pt>
              <c:pt idx="863">
                <c:v>256.10000000000002</c:v>
              </c:pt>
              <c:pt idx="864">
                <c:v>254.1</c:v>
              </c:pt>
              <c:pt idx="865">
                <c:v>278.10000000000002</c:v>
              </c:pt>
              <c:pt idx="866">
                <c:v>277.10000000000002</c:v>
              </c:pt>
              <c:pt idx="867">
                <c:v>307.89999999999998</c:v>
              </c:pt>
              <c:pt idx="868">
                <c:v>348.4</c:v>
              </c:pt>
              <c:pt idx="869">
                <c:v>357.9</c:v>
              </c:pt>
              <c:pt idx="870">
                <c:v>355.4</c:v>
              </c:pt>
              <c:pt idx="871">
                <c:v>330.5</c:v>
              </c:pt>
              <c:pt idx="872">
                <c:v>303</c:v>
              </c:pt>
              <c:pt idx="873">
                <c:v>289.3</c:v>
              </c:pt>
              <c:pt idx="874">
                <c:v>266.5</c:v>
              </c:pt>
              <c:pt idx="875">
                <c:v>267.39999999999998</c:v>
              </c:pt>
              <c:pt idx="876">
                <c:v>257.10000000000002</c:v>
              </c:pt>
              <c:pt idx="877">
                <c:v>246.6</c:v>
              </c:pt>
              <c:pt idx="878">
                <c:v>255.9</c:v>
              </c:pt>
              <c:pt idx="879">
                <c:v>274.3</c:v>
              </c:pt>
              <c:pt idx="880">
                <c:v>297.5</c:v>
              </c:pt>
              <c:pt idx="881">
                <c:v>323.7</c:v>
              </c:pt>
              <c:pt idx="882">
                <c:v>365.7</c:v>
              </c:pt>
              <c:pt idx="883">
                <c:v>402.1</c:v>
              </c:pt>
              <c:pt idx="884">
                <c:v>431.3</c:v>
              </c:pt>
              <c:pt idx="885">
                <c:v>503.3</c:v>
              </c:pt>
              <c:pt idx="886">
                <c:v>487.7</c:v>
              </c:pt>
              <c:pt idx="887">
                <c:v>474.1</c:v>
              </c:pt>
              <c:pt idx="888">
                <c:v>638.9</c:v>
              </c:pt>
              <c:pt idx="889">
                <c:v>632.5</c:v>
              </c:pt>
              <c:pt idx="890">
                <c:v>501.3</c:v>
              </c:pt>
              <c:pt idx="891">
                <c:v>462.2</c:v>
              </c:pt>
              <c:pt idx="892">
                <c:v>416.8</c:v>
              </c:pt>
              <c:pt idx="893">
                <c:v>438.2</c:v>
              </c:pt>
              <c:pt idx="894">
                <c:v>421.9</c:v>
              </c:pt>
              <c:pt idx="895">
                <c:v>400.3</c:v>
              </c:pt>
              <c:pt idx="896">
                <c:v>400.3</c:v>
              </c:pt>
              <c:pt idx="897">
                <c:v>415.4</c:v>
              </c:pt>
              <c:pt idx="898">
                <c:v>446.2</c:v>
              </c:pt>
              <c:pt idx="899">
                <c:v>407.1</c:v>
              </c:pt>
              <c:pt idx="900">
                <c:v>390.4</c:v>
              </c:pt>
              <c:pt idx="901">
                <c:v>409.3</c:v>
              </c:pt>
              <c:pt idx="902">
                <c:v>404.9</c:v>
              </c:pt>
              <c:pt idx="903">
                <c:v>414</c:v>
              </c:pt>
              <c:pt idx="904">
                <c:v>334.9</c:v>
              </c:pt>
              <c:pt idx="905">
                <c:v>292.5</c:v>
              </c:pt>
              <c:pt idx="906">
                <c:v>257.60000000000002</c:v>
              </c:pt>
              <c:pt idx="907">
                <c:v>229.7</c:v>
              </c:pt>
              <c:pt idx="908">
                <c:v>209</c:v>
              </c:pt>
              <c:pt idx="909">
                <c:v>188.9</c:v>
              </c:pt>
              <c:pt idx="910">
                <c:v>159.19999999999999</c:v>
              </c:pt>
              <c:pt idx="911">
                <c:v>146.80000000000001</c:v>
              </c:pt>
              <c:pt idx="912">
                <c:v>140.19999999999999</c:v>
              </c:pt>
              <c:pt idx="913">
                <c:v>136.5</c:v>
              </c:pt>
              <c:pt idx="914">
                <c:v>151.80000000000001</c:v>
              </c:pt>
              <c:pt idx="915">
                <c:v>166.7</c:v>
              </c:pt>
              <c:pt idx="916">
                <c:v>173.3</c:v>
              </c:pt>
              <c:pt idx="917">
                <c:v>179.3</c:v>
              </c:pt>
              <c:pt idx="918">
                <c:v>186.2</c:v>
              </c:pt>
              <c:pt idx="919">
                <c:v>192</c:v>
              </c:pt>
              <c:pt idx="920">
                <c:v>194.4</c:v>
              </c:pt>
              <c:pt idx="921">
                <c:v>195.6</c:v>
              </c:pt>
              <c:pt idx="922">
                <c:v>199.8</c:v>
              </c:pt>
              <c:pt idx="923">
                <c:v>202</c:v>
              </c:pt>
              <c:pt idx="924">
                <c:v>208.4</c:v>
              </c:pt>
              <c:pt idx="925">
                <c:v>215.6</c:v>
              </c:pt>
              <c:pt idx="926">
                <c:v>224.7</c:v>
              </c:pt>
              <c:pt idx="927">
                <c:v>229.7</c:v>
              </c:pt>
              <c:pt idx="928">
                <c:v>231.3</c:v>
              </c:pt>
              <c:pt idx="929">
                <c:v>230.8</c:v>
              </c:pt>
              <c:pt idx="930">
                <c:v>228.1</c:v>
              </c:pt>
              <c:pt idx="931">
                <c:v>224.9</c:v>
              </c:pt>
              <c:pt idx="932">
                <c:v>219.4</c:v>
              </c:pt>
              <c:pt idx="933">
                <c:v>211</c:v>
              </c:pt>
              <c:pt idx="934">
                <c:v>204.2</c:v>
              </c:pt>
              <c:pt idx="935">
                <c:v>197.7</c:v>
              </c:pt>
              <c:pt idx="936">
                <c:v>191.3</c:v>
              </c:pt>
              <c:pt idx="937">
                <c:v>187.2</c:v>
              </c:pt>
              <c:pt idx="938">
                <c:v>187.4</c:v>
              </c:pt>
              <c:pt idx="939">
                <c:v>189.6</c:v>
              </c:pt>
              <c:pt idx="940">
                <c:v>191.2</c:v>
              </c:pt>
              <c:pt idx="941">
                <c:v>191.2</c:v>
              </c:pt>
              <c:pt idx="942">
                <c:v>186.1</c:v>
              </c:pt>
              <c:pt idx="943">
                <c:v>179.4</c:v>
              </c:pt>
              <c:pt idx="944">
                <c:v>175.2</c:v>
              </c:pt>
              <c:pt idx="945">
                <c:v>172.6</c:v>
              </c:pt>
              <c:pt idx="946">
                <c:v>170.9</c:v>
              </c:pt>
              <c:pt idx="947">
                <c:v>171.8</c:v>
              </c:pt>
              <c:pt idx="948">
                <c:v>172</c:v>
              </c:pt>
              <c:pt idx="949">
                <c:v>168</c:v>
              </c:pt>
              <c:pt idx="950">
                <c:v>159.69999999999999</c:v>
              </c:pt>
              <c:pt idx="951">
                <c:v>149.5</c:v>
              </c:pt>
              <c:pt idx="952">
                <c:v>142.5</c:v>
              </c:pt>
              <c:pt idx="953">
                <c:v>137.9</c:v>
              </c:pt>
              <c:pt idx="954">
                <c:v>137.19999999999999</c:v>
              </c:pt>
              <c:pt idx="955">
                <c:v>139.1</c:v>
              </c:pt>
              <c:pt idx="956">
                <c:v>142.4</c:v>
              </c:pt>
              <c:pt idx="957">
                <c:v>146.5</c:v>
              </c:pt>
              <c:pt idx="958">
                <c:v>150.6</c:v>
              </c:pt>
              <c:pt idx="959">
                <c:v>152.6</c:v>
              </c:pt>
              <c:pt idx="960">
                <c:v>154.80000000000001</c:v>
              </c:pt>
              <c:pt idx="961">
                <c:v>161</c:v>
              </c:pt>
              <c:pt idx="962">
                <c:v>168.2</c:v>
              </c:pt>
              <c:pt idx="963">
                <c:v>173.3</c:v>
              </c:pt>
              <c:pt idx="964">
                <c:v>176.3</c:v>
              </c:pt>
              <c:pt idx="965">
                <c:v>178.5</c:v>
              </c:pt>
              <c:pt idx="966">
                <c:v>178.6</c:v>
              </c:pt>
              <c:pt idx="967">
                <c:v>177.5</c:v>
              </c:pt>
              <c:pt idx="968">
                <c:v>177</c:v>
              </c:pt>
              <c:pt idx="969">
                <c:v>174.2</c:v>
              </c:pt>
              <c:pt idx="970">
                <c:v>167.3</c:v>
              </c:pt>
              <c:pt idx="971">
                <c:v>154.1</c:v>
              </c:pt>
              <c:pt idx="972">
                <c:v>134.6</c:v>
              </c:pt>
              <c:pt idx="973">
                <c:v>114.8</c:v>
              </c:pt>
              <c:pt idx="974">
                <c:v>99.1</c:v>
              </c:pt>
              <c:pt idx="975">
                <c:v>88.2</c:v>
              </c:pt>
              <c:pt idx="976">
                <c:v>81</c:v>
              </c:pt>
              <c:pt idx="977">
                <c:v>76.48</c:v>
              </c:pt>
              <c:pt idx="978">
                <c:v>73.09</c:v>
              </c:pt>
              <c:pt idx="979">
                <c:v>71.03</c:v>
              </c:pt>
              <c:pt idx="980">
                <c:v>71.25</c:v>
              </c:pt>
              <c:pt idx="981">
                <c:v>71.900000000000006</c:v>
              </c:pt>
              <c:pt idx="982">
                <c:v>68.94</c:v>
              </c:pt>
              <c:pt idx="983">
                <c:v>66.3</c:v>
              </c:pt>
              <c:pt idx="984">
                <c:v>69.08</c:v>
              </c:pt>
              <c:pt idx="985">
                <c:v>77.7</c:v>
              </c:pt>
              <c:pt idx="986">
                <c:v>87.4</c:v>
              </c:pt>
              <c:pt idx="987">
                <c:v>96</c:v>
              </c:pt>
              <c:pt idx="988">
                <c:v>108.4</c:v>
              </c:pt>
              <c:pt idx="989">
                <c:v>132.80000000000001</c:v>
              </c:pt>
              <c:pt idx="990">
                <c:v>175</c:v>
              </c:pt>
              <c:pt idx="991">
                <c:v>222.2</c:v>
              </c:pt>
              <c:pt idx="992">
                <c:v>247.9</c:v>
              </c:pt>
              <c:pt idx="993">
                <c:v>256.2</c:v>
              </c:pt>
              <c:pt idx="994">
                <c:v>256.89999999999998</c:v>
              </c:pt>
              <c:pt idx="995">
                <c:v>255.4</c:v>
              </c:pt>
              <c:pt idx="996">
                <c:v>269.8</c:v>
              </c:pt>
              <c:pt idx="997">
                <c:v>312.10000000000002</c:v>
              </c:pt>
              <c:pt idx="998">
                <c:v>338</c:v>
              </c:pt>
              <c:pt idx="999">
                <c:v>311.5</c:v>
              </c:pt>
              <c:pt idx="1000">
                <c:v>407.5</c:v>
              </c:pt>
              <c:pt idx="1001">
                <c:v>361.1</c:v>
              </c:pt>
              <c:pt idx="1002">
                <c:v>265.60000000000002</c:v>
              </c:pt>
              <c:pt idx="1003">
                <c:v>243.3</c:v>
              </c:pt>
              <c:pt idx="1004">
                <c:v>229.5</c:v>
              </c:pt>
              <c:pt idx="1005">
                <c:v>215.8</c:v>
              </c:pt>
              <c:pt idx="1006">
                <c:v>211.7</c:v>
              </c:pt>
              <c:pt idx="1007">
                <c:v>184.3</c:v>
              </c:pt>
              <c:pt idx="1008">
                <c:v>159.1</c:v>
              </c:pt>
              <c:pt idx="1009">
                <c:v>136.69999999999999</c:v>
              </c:pt>
              <c:pt idx="1010">
                <c:v>120.6</c:v>
              </c:pt>
              <c:pt idx="1011">
                <c:v>110.2</c:v>
              </c:pt>
              <c:pt idx="1012">
                <c:v>99.9</c:v>
              </c:pt>
              <c:pt idx="1013">
                <c:v>87.6</c:v>
              </c:pt>
              <c:pt idx="1014">
                <c:v>75.95</c:v>
              </c:pt>
              <c:pt idx="1015">
                <c:v>68.599999999999994</c:v>
              </c:pt>
              <c:pt idx="1016">
                <c:v>64.86</c:v>
              </c:pt>
              <c:pt idx="1017">
                <c:v>62.09</c:v>
              </c:pt>
              <c:pt idx="1018">
                <c:v>59.72</c:v>
              </c:pt>
              <c:pt idx="1019">
                <c:v>55.43</c:v>
              </c:pt>
              <c:pt idx="1020">
                <c:v>49.37</c:v>
              </c:pt>
              <c:pt idx="1021">
                <c:v>45.68</c:v>
              </c:pt>
              <c:pt idx="1022">
                <c:v>44.83</c:v>
              </c:pt>
              <c:pt idx="1023">
                <c:v>44.21</c:v>
              </c:pt>
              <c:pt idx="1024">
                <c:v>43.73</c:v>
              </c:pt>
              <c:pt idx="1025">
                <c:v>44.49</c:v>
              </c:pt>
              <c:pt idx="1026">
                <c:v>47.84</c:v>
              </c:pt>
              <c:pt idx="1027">
                <c:v>52.49</c:v>
              </c:pt>
              <c:pt idx="1028">
                <c:v>57.19</c:v>
              </c:pt>
              <c:pt idx="1029">
                <c:v>61.75</c:v>
              </c:pt>
              <c:pt idx="1030">
                <c:v>67.27</c:v>
              </c:pt>
              <c:pt idx="1031">
                <c:v>75.05</c:v>
              </c:pt>
              <c:pt idx="1032">
                <c:v>84.3</c:v>
              </c:pt>
              <c:pt idx="1033">
                <c:v>94.4</c:v>
              </c:pt>
              <c:pt idx="1034">
                <c:v>105.4</c:v>
              </c:pt>
              <c:pt idx="1035">
                <c:v>115.9</c:v>
              </c:pt>
              <c:pt idx="1036">
                <c:v>124.8</c:v>
              </c:pt>
              <c:pt idx="1037">
                <c:v>133</c:v>
              </c:pt>
              <c:pt idx="1038">
                <c:v>142.5</c:v>
              </c:pt>
              <c:pt idx="1039">
                <c:v>155</c:v>
              </c:pt>
              <c:pt idx="1040">
                <c:v>169.2</c:v>
              </c:pt>
              <c:pt idx="1041">
                <c:v>185.8</c:v>
              </c:pt>
              <c:pt idx="1042">
                <c:v>207.2</c:v>
              </c:pt>
              <c:pt idx="1043">
                <c:v>230.3</c:v>
              </c:pt>
              <c:pt idx="1044">
                <c:v>250.2</c:v>
              </c:pt>
              <c:pt idx="1045">
                <c:v>260.3</c:v>
              </c:pt>
              <c:pt idx="1046">
                <c:v>260</c:v>
              </c:pt>
              <c:pt idx="1047">
                <c:v>249.5</c:v>
              </c:pt>
              <c:pt idx="1048">
                <c:v>230.5</c:v>
              </c:pt>
              <c:pt idx="1049">
                <c:v>208.5</c:v>
              </c:pt>
              <c:pt idx="1050">
                <c:v>181.4</c:v>
              </c:pt>
              <c:pt idx="1051">
                <c:v>157.4</c:v>
              </c:pt>
              <c:pt idx="1052">
                <c:v>134.80000000000001</c:v>
              </c:pt>
              <c:pt idx="1053">
                <c:v>106.7</c:v>
              </c:pt>
              <c:pt idx="1054">
                <c:v>93</c:v>
              </c:pt>
              <c:pt idx="1055">
                <c:v>94.9</c:v>
              </c:pt>
              <c:pt idx="1056">
                <c:v>101</c:v>
              </c:pt>
              <c:pt idx="1057">
                <c:v>106.6</c:v>
              </c:pt>
              <c:pt idx="1058">
                <c:v>115.6</c:v>
              </c:pt>
              <c:pt idx="1059">
                <c:v>125.2</c:v>
              </c:pt>
              <c:pt idx="1060">
                <c:v>133.19999999999999</c:v>
              </c:pt>
              <c:pt idx="1061">
                <c:v>132.9</c:v>
              </c:pt>
              <c:pt idx="1062">
                <c:v>129.5</c:v>
              </c:pt>
              <c:pt idx="1063">
                <c:v>126.3</c:v>
              </c:pt>
              <c:pt idx="1064">
                <c:v>126.4</c:v>
              </c:pt>
              <c:pt idx="1065">
                <c:v>127.4</c:v>
              </c:pt>
              <c:pt idx="1066">
                <c:v>127.7</c:v>
              </c:pt>
              <c:pt idx="1067">
                <c:v>127.1</c:v>
              </c:pt>
              <c:pt idx="1068">
                <c:v>125.8</c:v>
              </c:pt>
              <c:pt idx="1069">
                <c:v>123.2</c:v>
              </c:pt>
              <c:pt idx="1070">
                <c:v>119.6</c:v>
              </c:pt>
              <c:pt idx="1071">
                <c:v>118.8</c:v>
              </c:pt>
              <c:pt idx="1072">
                <c:v>116.9</c:v>
              </c:pt>
              <c:pt idx="1073">
                <c:v>112.8</c:v>
              </c:pt>
              <c:pt idx="1074">
                <c:v>106.2</c:v>
              </c:pt>
              <c:pt idx="1075">
                <c:v>96.9</c:v>
              </c:pt>
              <c:pt idx="1076">
                <c:v>86.2</c:v>
              </c:pt>
              <c:pt idx="1077">
                <c:v>77.81</c:v>
              </c:pt>
              <c:pt idx="1078">
                <c:v>76.47</c:v>
              </c:pt>
              <c:pt idx="1079">
                <c:v>77.13</c:v>
              </c:pt>
              <c:pt idx="1080">
                <c:v>79.650000000000006</c:v>
              </c:pt>
              <c:pt idx="1081">
                <c:v>82.1</c:v>
              </c:pt>
              <c:pt idx="1082">
                <c:v>81.7</c:v>
              </c:pt>
              <c:pt idx="1083">
                <c:v>80.599999999999994</c:v>
              </c:pt>
              <c:pt idx="1084">
                <c:v>80.099999999999994</c:v>
              </c:pt>
              <c:pt idx="1085">
                <c:v>79.58</c:v>
              </c:pt>
              <c:pt idx="1086">
                <c:v>74.97</c:v>
              </c:pt>
              <c:pt idx="1087">
                <c:v>68.19</c:v>
              </c:pt>
              <c:pt idx="1088">
                <c:v>62.17</c:v>
              </c:pt>
              <c:pt idx="1089">
                <c:v>60.73</c:v>
              </c:pt>
              <c:pt idx="1090">
                <c:v>63.59</c:v>
              </c:pt>
              <c:pt idx="1091">
                <c:v>66.73</c:v>
              </c:pt>
              <c:pt idx="1092">
                <c:v>70.36</c:v>
              </c:pt>
              <c:pt idx="1093">
                <c:v>73.94</c:v>
              </c:pt>
              <c:pt idx="1094">
                <c:v>77.98</c:v>
              </c:pt>
              <c:pt idx="1095">
                <c:v>82.4</c:v>
              </c:pt>
              <c:pt idx="1096">
                <c:v>86.8</c:v>
              </c:pt>
              <c:pt idx="1097">
                <c:v>90.4</c:v>
              </c:pt>
              <c:pt idx="1098">
                <c:v>92.7</c:v>
              </c:pt>
              <c:pt idx="1099">
                <c:v>93.8</c:v>
              </c:pt>
              <c:pt idx="1100">
                <c:v>94</c:v>
              </c:pt>
              <c:pt idx="1101">
                <c:v>92.9</c:v>
              </c:pt>
              <c:pt idx="1102">
                <c:v>90.2</c:v>
              </c:pt>
              <c:pt idx="1103">
                <c:v>86.6</c:v>
              </c:pt>
              <c:pt idx="1104">
                <c:v>83.1</c:v>
              </c:pt>
              <c:pt idx="1105">
                <c:v>80.2</c:v>
              </c:pt>
              <c:pt idx="1106">
                <c:v>78.290000000000006</c:v>
              </c:pt>
              <c:pt idx="1107">
                <c:v>76.94</c:v>
              </c:pt>
              <c:pt idx="1108">
                <c:v>76.09</c:v>
              </c:pt>
              <c:pt idx="1109">
                <c:v>75.52</c:v>
              </c:pt>
              <c:pt idx="1110">
                <c:v>75.17</c:v>
              </c:pt>
              <c:pt idx="1111">
                <c:v>74.62</c:v>
              </c:pt>
              <c:pt idx="1112">
                <c:v>73.52</c:v>
              </c:pt>
              <c:pt idx="1113">
                <c:v>72.12</c:v>
              </c:pt>
              <c:pt idx="1114">
                <c:v>70.819999999999993</c:v>
              </c:pt>
              <c:pt idx="1115">
                <c:v>69.790000000000006</c:v>
              </c:pt>
              <c:pt idx="1116">
                <c:v>69.27</c:v>
              </c:pt>
              <c:pt idx="1117">
                <c:v>69.09</c:v>
              </c:pt>
              <c:pt idx="1118">
                <c:v>69.069999999999993</c:v>
              </c:pt>
              <c:pt idx="1119">
                <c:v>68.41</c:v>
              </c:pt>
              <c:pt idx="1120">
                <c:v>66.959999999999994</c:v>
              </c:pt>
              <c:pt idx="1121">
                <c:v>65.319999999999993</c:v>
              </c:pt>
              <c:pt idx="1122">
                <c:v>63.27</c:v>
              </c:pt>
              <c:pt idx="1123">
                <c:v>61.3</c:v>
              </c:pt>
              <c:pt idx="1124">
                <c:v>60.14</c:v>
              </c:pt>
              <c:pt idx="1125">
                <c:v>59.06</c:v>
              </c:pt>
              <c:pt idx="1126">
                <c:v>57.7</c:v>
              </c:pt>
              <c:pt idx="1127">
                <c:v>56.05</c:v>
              </c:pt>
              <c:pt idx="1128">
                <c:v>54.46</c:v>
              </c:pt>
              <c:pt idx="1129">
                <c:v>53.37</c:v>
              </c:pt>
              <c:pt idx="1130">
                <c:v>52.06</c:v>
              </c:pt>
              <c:pt idx="1131">
                <c:v>50.89</c:v>
              </c:pt>
              <c:pt idx="1132">
                <c:v>50.21</c:v>
              </c:pt>
              <c:pt idx="1133">
                <c:v>49.71</c:v>
              </c:pt>
              <c:pt idx="1134">
                <c:v>49.38</c:v>
              </c:pt>
              <c:pt idx="1135">
                <c:v>48.96</c:v>
              </c:pt>
              <c:pt idx="1136">
                <c:v>48.63</c:v>
              </c:pt>
              <c:pt idx="1137">
                <c:v>48.43</c:v>
              </c:pt>
              <c:pt idx="1138">
                <c:v>48.27</c:v>
              </c:pt>
              <c:pt idx="1139">
                <c:v>48.13</c:v>
              </c:pt>
              <c:pt idx="1140">
                <c:v>47.79</c:v>
              </c:pt>
              <c:pt idx="1141">
                <c:v>47.15</c:v>
              </c:pt>
              <c:pt idx="1142">
                <c:v>46.04</c:v>
              </c:pt>
              <c:pt idx="1143">
                <c:v>44.58</c:v>
              </c:pt>
              <c:pt idx="1144">
                <c:v>43.12</c:v>
              </c:pt>
              <c:pt idx="1145">
                <c:v>41.26</c:v>
              </c:pt>
              <c:pt idx="1146">
                <c:v>39.450000000000003</c:v>
              </c:pt>
              <c:pt idx="1147">
                <c:v>37.83</c:v>
              </c:pt>
              <c:pt idx="1148">
                <c:v>36.19</c:v>
              </c:pt>
              <c:pt idx="1149">
                <c:v>34.659999999999997</c:v>
              </c:pt>
              <c:pt idx="1150">
                <c:v>33.229999999999997</c:v>
              </c:pt>
              <c:pt idx="1151">
                <c:v>32.11</c:v>
              </c:pt>
              <c:pt idx="1152">
                <c:v>31.42</c:v>
              </c:pt>
              <c:pt idx="1153">
                <c:v>31.09</c:v>
              </c:pt>
              <c:pt idx="1154">
                <c:v>31.13</c:v>
              </c:pt>
              <c:pt idx="1155">
                <c:v>31.12</c:v>
              </c:pt>
              <c:pt idx="1156">
                <c:v>30.25</c:v>
              </c:pt>
              <c:pt idx="1157">
                <c:v>28.43</c:v>
              </c:pt>
              <c:pt idx="1158">
                <c:v>26.01</c:v>
              </c:pt>
              <c:pt idx="1159">
                <c:v>23.81</c:v>
              </c:pt>
              <c:pt idx="1160">
                <c:v>22.69</c:v>
              </c:pt>
              <c:pt idx="1161">
                <c:v>21.54</c:v>
              </c:pt>
              <c:pt idx="1162">
                <c:v>18.87</c:v>
              </c:pt>
              <c:pt idx="1163">
                <c:v>15.53</c:v>
              </c:pt>
              <c:pt idx="1164">
                <c:v>12.72</c:v>
              </c:pt>
              <c:pt idx="1165">
                <c:v>10.72</c:v>
              </c:pt>
              <c:pt idx="1166">
                <c:v>8.99</c:v>
              </c:pt>
              <c:pt idx="1167">
                <c:v>7.35</c:v>
              </c:pt>
              <c:pt idx="1168">
                <c:v>6.0510000000000002</c:v>
              </c:pt>
              <c:pt idx="1169">
                <c:v>4.8559999999999999</c:v>
              </c:pt>
              <c:pt idx="1170">
                <c:v>3.9340000000000002</c:v>
              </c:pt>
              <c:pt idx="1171">
                <c:v>3.2589999999999999</c:v>
              </c:pt>
              <c:pt idx="1172">
                <c:v>2.734</c:v>
              </c:pt>
              <c:pt idx="1173">
                <c:v>2.351</c:v>
              </c:pt>
              <c:pt idx="1174">
                <c:v>1.97</c:v>
              </c:pt>
              <c:pt idx="1175">
                <c:v>1.6719999999999999</c:v>
              </c:pt>
              <c:pt idx="1176">
                <c:v>1.397</c:v>
              </c:pt>
              <c:pt idx="1177">
                <c:v>1.1910000000000001</c:v>
              </c:pt>
              <c:pt idx="1178">
                <c:v>0.96899999999999997</c:v>
              </c:pt>
              <c:pt idx="1179">
                <c:v>0.873</c:v>
              </c:pt>
              <c:pt idx="1180">
                <c:v>0.66800000000000004</c:v>
              </c:pt>
              <c:pt idx="1181">
                <c:v>0.56599999999999995</c:v>
              </c:pt>
              <c:pt idx="1182">
                <c:v>0.42099999999999999</c:v>
              </c:pt>
              <c:pt idx="1183">
                <c:v>0.28000000000000003</c:v>
              </c:pt>
              <c:pt idx="1184">
                <c:v>0.189</c:v>
              </c:pt>
              <c:pt idx="1185">
                <c:v>7.2999999999999995E-2</c:v>
              </c:pt>
              <c:pt idx="1186">
                <c:v>0.01</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2.4728297666666643</c:v>
              </c:pt>
            </c:numLit>
          </c:val>
          <c:smooth val="0"/>
          <c:extLst>
            <c:ext xmlns:c16="http://schemas.microsoft.com/office/drawing/2014/chart" uri="{C3380CC4-5D6E-409C-BE32-E72D297353CC}">
              <c16:uniqueId val="{00000002-E3D2-4F3F-B450-EC8B6FCDC9BF}"/>
            </c:ext>
          </c:extLst>
        </c:ser>
        <c:ser>
          <c:idx val="3"/>
          <c:order val="3"/>
          <c:tx>
            <c:v>2.336074867 IS9 WMS POA Upward(W/mÂ²)</c:v>
          </c:tx>
          <c:spPr>
            <a:ln w="28575" cap="rnd">
              <a:solidFill>
                <a:schemeClr val="accent4"/>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0.22600000000000001</c:v>
              </c:pt>
              <c:pt idx="2">
                <c:v>0.23400000000000001</c:v>
              </c:pt>
              <c:pt idx="3">
                <c:v>0.16800000000000001</c:v>
              </c:pt>
              <c:pt idx="4">
                <c:v>0.16800000000000001</c:v>
              </c:pt>
              <c:pt idx="5">
                <c:v>0.23400000000000001</c:v>
              </c:pt>
              <c:pt idx="6">
                <c:v>0.223</c:v>
              </c:pt>
              <c:pt idx="7">
                <c:v>0.24099999999999999</c:v>
              </c:pt>
              <c:pt idx="8">
                <c:v>0.24099999999999999</c:v>
              </c:pt>
              <c:pt idx="9">
                <c:v>0.27700000000000002</c:v>
              </c:pt>
              <c:pt idx="10">
                <c:v>0.27500000000000002</c:v>
              </c:pt>
              <c:pt idx="11">
                <c:v>0.29399999999999998</c:v>
              </c:pt>
              <c:pt idx="12">
                <c:v>0.25900000000000001</c:v>
              </c:pt>
              <c:pt idx="13">
                <c:v>0.25800000000000001</c:v>
              </c:pt>
              <c:pt idx="14">
                <c:v>0.24</c:v>
              </c:pt>
              <c:pt idx="15">
                <c:v>0.253</c:v>
              </c:pt>
              <c:pt idx="16">
                <c:v>0.28599999999999998</c:v>
              </c:pt>
              <c:pt idx="17">
                <c:v>0.253</c:v>
              </c:pt>
              <c:pt idx="18">
                <c:v>0.23499999999999999</c:v>
              </c:pt>
              <c:pt idx="19">
                <c:v>0.253</c:v>
              </c:pt>
              <c:pt idx="20">
                <c:v>0.26400000000000001</c:v>
              </c:pt>
              <c:pt idx="21">
                <c:v>0.24199999999999999</c:v>
              </c:pt>
              <c:pt idx="22">
                <c:v>0.26900000000000002</c:v>
              </c:pt>
              <c:pt idx="23">
                <c:v>0.20399999999999999</c:v>
              </c:pt>
              <c:pt idx="24">
                <c:v>0.23499999999999999</c:v>
              </c:pt>
              <c:pt idx="25">
                <c:v>0.30399999999999999</c:v>
              </c:pt>
              <c:pt idx="26">
                <c:v>0.29699999999999999</c:v>
              </c:pt>
              <c:pt idx="27">
                <c:v>0.28499999999999998</c:v>
              </c:pt>
              <c:pt idx="28">
                <c:v>0.32400000000000001</c:v>
              </c:pt>
              <c:pt idx="29">
                <c:v>0.308</c:v>
              </c:pt>
              <c:pt idx="30">
                <c:v>0.27</c:v>
              </c:pt>
              <c:pt idx="31">
                <c:v>0.311</c:v>
              </c:pt>
              <c:pt idx="32">
                <c:v>0.27900000000000003</c:v>
              </c:pt>
              <c:pt idx="33">
                <c:v>0.32200000000000001</c:v>
              </c:pt>
              <c:pt idx="34">
                <c:v>0.34899999999999998</c:v>
              </c:pt>
              <c:pt idx="35">
                <c:v>0.35699999999999998</c:v>
              </c:pt>
              <c:pt idx="36">
                <c:v>0.38100000000000001</c:v>
              </c:pt>
              <c:pt idx="37">
                <c:v>0.30099999999999999</c:v>
              </c:pt>
              <c:pt idx="38">
                <c:v>0.313</c:v>
              </c:pt>
              <c:pt idx="39">
                <c:v>0.32800000000000001</c:v>
              </c:pt>
              <c:pt idx="40">
                <c:v>0.34100000000000003</c:v>
              </c:pt>
              <c:pt idx="41">
                <c:v>0.37</c:v>
              </c:pt>
              <c:pt idx="42">
                <c:v>0.35599999999999998</c:v>
              </c:pt>
              <c:pt idx="43">
                <c:v>0.34699999999999998</c:v>
              </c:pt>
              <c:pt idx="44">
                <c:v>0.34200000000000003</c:v>
              </c:pt>
              <c:pt idx="45">
                <c:v>0.32100000000000001</c:v>
              </c:pt>
              <c:pt idx="46">
                <c:v>0.34699999999999998</c:v>
              </c:pt>
              <c:pt idx="47">
                <c:v>0.41299999999999998</c:v>
              </c:pt>
              <c:pt idx="48">
                <c:v>0.35</c:v>
              </c:pt>
              <c:pt idx="49">
                <c:v>0.40500000000000003</c:v>
              </c:pt>
              <c:pt idx="50">
                <c:v>0.432</c:v>
              </c:pt>
              <c:pt idx="51">
                <c:v>0.49199999999999999</c:v>
              </c:pt>
              <c:pt idx="52">
                <c:v>0.46500000000000002</c:v>
              </c:pt>
              <c:pt idx="53">
                <c:v>0.42199999999999999</c:v>
              </c:pt>
              <c:pt idx="54">
                <c:v>0.41099999999999998</c:v>
              </c:pt>
              <c:pt idx="55">
                <c:v>0.46500000000000002</c:v>
              </c:pt>
              <c:pt idx="56">
                <c:v>0.47</c:v>
              </c:pt>
              <c:pt idx="57">
                <c:v>0.47199999999999998</c:v>
              </c:pt>
              <c:pt idx="58">
                <c:v>0.44900000000000001</c:v>
              </c:pt>
              <c:pt idx="59">
                <c:v>0.45200000000000001</c:v>
              </c:pt>
              <c:pt idx="60">
                <c:v>0.42799999999999999</c:v>
              </c:pt>
              <c:pt idx="61">
                <c:v>0.39200000000000002</c:v>
              </c:pt>
              <c:pt idx="62">
                <c:v>0.34</c:v>
              </c:pt>
              <c:pt idx="63">
                <c:v>0.35499999999999998</c:v>
              </c:pt>
              <c:pt idx="64">
                <c:v>0.34</c:v>
              </c:pt>
              <c:pt idx="65">
                <c:v>0.36199999999999999</c:v>
              </c:pt>
              <c:pt idx="66">
                <c:v>0.35199999999999998</c:v>
              </c:pt>
              <c:pt idx="67">
                <c:v>0.36599999999999999</c:v>
              </c:pt>
              <c:pt idx="68">
                <c:v>0.36699999999999999</c:v>
              </c:pt>
              <c:pt idx="69">
                <c:v>0.36299999999999999</c:v>
              </c:pt>
              <c:pt idx="70">
                <c:v>0.36</c:v>
              </c:pt>
              <c:pt idx="71">
                <c:v>0.34</c:v>
              </c:pt>
              <c:pt idx="72">
                <c:v>0.32100000000000001</c:v>
              </c:pt>
              <c:pt idx="73">
                <c:v>0.34499999999999997</c:v>
              </c:pt>
              <c:pt idx="74">
                <c:v>0.33600000000000002</c:v>
              </c:pt>
              <c:pt idx="75">
                <c:v>0.35699999999999998</c:v>
              </c:pt>
              <c:pt idx="76">
                <c:v>0.34799999999999998</c:v>
              </c:pt>
              <c:pt idx="77">
                <c:v>0.39</c:v>
              </c:pt>
              <c:pt idx="78">
                <c:v>0.34599999999999997</c:v>
              </c:pt>
              <c:pt idx="79">
                <c:v>0.377</c:v>
              </c:pt>
              <c:pt idx="80">
                <c:v>0.375</c:v>
              </c:pt>
              <c:pt idx="81">
                <c:v>0.318</c:v>
              </c:pt>
              <c:pt idx="82">
                <c:v>0.33900000000000002</c:v>
              </c:pt>
              <c:pt idx="83">
                <c:v>0.312</c:v>
              </c:pt>
              <c:pt idx="84">
                <c:v>0.308</c:v>
              </c:pt>
              <c:pt idx="85">
                <c:v>0.29299999999999998</c:v>
              </c:pt>
              <c:pt idx="86">
                <c:v>0.26400000000000001</c:v>
              </c:pt>
              <c:pt idx="87">
                <c:v>0.25900000000000001</c:v>
              </c:pt>
              <c:pt idx="88">
                <c:v>0.23699999999999999</c:v>
              </c:pt>
              <c:pt idx="89">
                <c:v>0.21099999999999999</c:v>
              </c:pt>
              <c:pt idx="90">
                <c:v>0.252</c:v>
              </c:pt>
              <c:pt idx="91">
                <c:v>0.27200000000000002</c:v>
              </c:pt>
              <c:pt idx="92">
                <c:v>0.25700000000000001</c:v>
              </c:pt>
              <c:pt idx="93">
                <c:v>0.30599999999999999</c:v>
              </c:pt>
              <c:pt idx="94">
                <c:v>0.30299999999999999</c:v>
              </c:pt>
              <c:pt idx="95">
                <c:v>0.33</c:v>
              </c:pt>
              <c:pt idx="96">
                <c:v>0.33</c:v>
              </c:pt>
              <c:pt idx="97">
                <c:v>0.32700000000000001</c:v>
              </c:pt>
              <c:pt idx="98">
                <c:v>0.27500000000000002</c:v>
              </c:pt>
              <c:pt idx="99">
                <c:v>0.30199999999999999</c:v>
              </c:pt>
              <c:pt idx="100">
                <c:v>0.28100000000000003</c:v>
              </c:pt>
              <c:pt idx="101">
                <c:v>0.23599999999999999</c:v>
              </c:pt>
              <c:pt idx="102">
                <c:v>0.24399999999999999</c:v>
              </c:pt>
              <c:pt idx="103">
                <c:v>0.17599999999999999</c:v>
              </c:pt>
              <c:pt idx="104">
                <c:v>0.20100000000000001</c:v>
              </c:pt>
              <c:pt idx="105">
                <c:v>0.183</c:v>
              </c:pt>
              <c:pt idx="106">
                <c:v>0.17899999999999999</c:v>
              </c:pt>
              <c:pt idx="107">
                <c:v>0.245</c:v>
              </c:pt>
              <c:pt idx="108">
                <c:v>0.188</c:v>
              </c:pt>
              <c:pt idx="109">
                <c:v>0.25</c:v>
              </c:pt>
              <c:pt idx="110">
                <c:v>0.23400000000000001</c:v>
              </c:pt>
              <c:pt idx="111">
                <c:v>0.19800000000000001</c:v>
              </c:pt>
              <c:pt idx="112">
                <c:v>0.15</c:v>
              </c:pt>
              <c:pt idx="113">
                <c:v>0.155</c:v>
              </c:pt>
              <c:pt idx="114">
                <c:v>0.182</c:v>
              </c:pt>
              <c:pt idx="115">
                <c:v>0.16</c:v>
              </c:pt>
              <c:pt idx="116">
                <c:v>0.17</c:v>
              </c:pt>
              <c:pt idx="117">
                <c:v>0.2</c:v>
              </c:pt>
              <c:pt idx="118">
                <c:v>0.219</c:v>
              </c:pt>
              <c:pt idx="119">
                <c:v>0.20699999999999999</c:v>
              </c:pt>
              <c:pt idx="120">
                <c:v>0.19700000000000001</c:v>
              </c:pt>
              <c:pt idx="121">
                <c:v>0.22</c:v>
              </c:pt>
              <c:pt idx="122">
                <c:v>0.184</c:v>
              </c:pt>
              <c:pt idx="123">
                <c:v>0.155</c:v>
              </c:pt>
              <c:pt idx="124">
                <c:v>0.157</c:v>
              </c:pt>
              <c:pt idx="125">
                <c:v>0.218</c:v>
              </c:pt>
              <c:pt idx="126">
                <c:v>0.17599999999999999</c:v>
              </c:pt>
              <c:pt idx="127">
                <c:v>0.247</c:v>
              </c:pt>
              <c:pt idx="128">
                <c:v>0.17799999999999999</c:v>
              </c:pt>
              <c:pt idx="129">
                <c:v>0.17399999999999999</c:v>
              </c:pt>
              <c:pt idx="130">
                <c:v>0.152</c:v>
              </c:pt>
              <c:pt idx="131">
                <c:v>0.17599999999999999</c:v>
              </c:pt>
              <c:pt idx="132">
                <c:v>0.16500000000000001</c:v>
              </c:pt>
              <c:pt idx="133">
                <c:v>0.18099999999999999</c:v>
              </c:pt>
              <c:pt idx="134">
                <c:v>0.17799999999999999</c:v>
              </c:pt>
              <c:pt idx="135">
                <c:v>0.17499999999999999</c:v>
              </c:pt>
              <c:pt idx="136">
                <c:v>0.16200000000000001</c:v>
              </c:pt>
              <c:pt idx="137">
                <c:v>0.16700000000000001</c:v>
              </c:pt>
              <c:pt idx="138">
                <c:v>0.125</c:v>
              </c:pt>
              <c:pt idx="139">
                <c:v>0.182</c:v>
              </c:pt>
              <c:pt idx="140">
                <c:v>0.15</c:v>
              </c:pt>
              <c:pt idx="141">
                <c:v>0.19700000000000001</c:v>
              </c:pt>
              <c:pt idx="142">
                <c:v>0.155</c:v>
              </c:pt>
              <c:pt idx="143">
                <c:v>0.14000000000000001</c:v>
              </c:pt>
              <c:pt idx="144">
                <c:v>0.13100000000000001</c:v>
              </c:pt>
              <c:pt idx="145">
                <c:v>0.17</c:v>
              </c:pt>
              <c:pt idx="146">
                <c:v>0.161</c:v>
              </c:pt>
              <c:pt idx="147">
                <c:v>0.184</c:v>
              </c:pt>
              <c:pt idx="148">
                <c:v>0.183</c:v>
              </c:pt>
              <c:pt idx="149">
                <c:v>0.17100000000000001</c:v>
              </c:pt>
              <c:pt idx="150">
                <c:v>0.127</c:v>
              </c:pt>
              <c:pt idx="151">
                <c:v>0.17</c:v>
              </c:pt>
              <c:pt idx="152">
                <c:v>0.108</c:v>
              </c:pt>
              <c:pt idx="153">
                <c:v>0.14199999999999999</c:v>
              </c:pt>
              <c:pt idx="154">
                <c:v>0.11600000000000001</c:v>
              </c:pt>
              <c:pt idx="155">
                <c:v>6.5000000000000002E-2</c:v>
              </c:pt>
              <c:pt idx="156">
                <c:v>0.05</c:v>
              </c:pt>
              <c:pt idx="157">
                <c:v>4.4999999999999998E-2</c:v>
              </c:pt>
              <c:pt idx="158">
                <c:v>9.9000000000000005E-2</c:v>
              </c:pt>
              <c:pt idx="159">
                <c:v>3.9E-2</c:v>
              </c:pt>
              <c:pt idx="160">
                <c:v>6.9000000000000006E-2</c:v>
              </c:pt>
              <c:pt idx="161">
                <c:v>4.4999999999999998E-2</c:v>
              </c:pt>
              <c:pt idx="162">
                <c:v>1E-3</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1E-3</c:v>
              </c:pt>
              <c:pt idx="278">
                <c:v>0</c:v>
              </c:pt>
              <c:pt idx="279">
                <c:v>1.4999999999999999E-2</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5.8999999999999997E-2</c:v>
              </c:pt>
              <c:pt idx="356">
                <c:v>8.4000000000000005E-2</c:v>
              </c:pt>
              <c:pt idx="357">
                <c:v>0.14899999999999999</c:v>
              </c:pt>
              <c:pt idx="358">
                <c:v>0.214</c:v>
              </c:pt>
              <c:pt idx="359">
                <c:v>0.36</c:v>
              </c:pt>
              <c:pt idx="360">
                <c:v>0.53400000000000003</c:v>
              </c:pt>
              <c:pt idx="361">
                <c:v>0.64700000000000002</c:v>
              </c:pt>
              <c:pt idx="362">
                <c:v>0.76800000000000002</c:v>
              </c:pt>
              <c:pt idx="363">
                <c:v>1.004</c:v>
              </c:pt>
              <c:pt idx="364">
                <c:v>1.341</c:v>
              </c:pt>
              <c:pt idx="365">
                <c:v>1.6879999999999999</c:v>
              </c:pt>
              <c:pt idx="366">
                <c:v>1.921</c:v>
              </c:pt>
              <c:pt idx="367">
                <c:v>2.0760000000000001</c:v>
              </c:pt>
              <c:pt idx="368">
                <c:v>2.2549999999999999</c:v>
              </c:pt>
              <c:pt idx="369">
                <c:v>2.371</c:v>
              </c:pt>
              <c:pt idx="370">
                <c:v>2.6659999999999999</c:v>
              </c:pt>
              <c:pt idx="371">
                <c:v>2.9740000000000002</c:v>
              </c:pt>
              <c:pt idx="372">
                <c:v>3.3759999999999999</c:v>
              </c:pt>
              <c:pt idx="373">
                <c:v>3.694</c:v>
              </c:pt>
              <c:pt idx="374">
                <c:v>3.5529999999999999</c:v>
              </c:pt>
              <c:pt idx="375">
                <c:v>3.6030000000000002</c:v>
              </c:pt>
              <c:pt idx="376">
                <c:v>4.2290000000000001</c:v>
              </c:pt>
              <c:pt idx="377">
                <c:v>5.7210000000000001</c:v>
              </c:pt>
              <c:pt idx="378">
                <c:v>7.282</c:v>
              </c:pt>
              <c:pt idx="379">
                <c:v>7.4349999999999996</c:v>
              </c:pt>
              <c:pt idx="380">
                <c:v>7.1150000000000002</c:v>
              </c:pt>
              <c:pt idx="381">
                <c:v>7.1660000000000004</c:v>
              </c:pt>
              <c:pt idx="382">
                <c:v>7.4850000000000003</c:v>
              </c:pt>
              <c:pt idx="383">
                <c:v>7.915</c:v>
              </c:pt>
              <c:pt idx="384">
                <c:v>7.9210000000000003</c:v>
              </c:pt>
              <c:pt idx="385">
                <c:v>7.98</c:v>
              </c:pt>
              <c:pt idx="386">
                <c:v>8.23</c:v>
              </c:pt>
              <c:pt idx="387">
                <c:v>9.0299999999999994</c:v>
              </c:pt>
              <c:pt idx="388">
                <c:v>9.91</c:v>
              </c:pt>
              <c:pt idx="389">
                <c:v>10.46</c:v>
              </c:pt>
              <c:pt idx="390">
                <c:v>11.21</c:v>
              </c:pt>
              <c:pt idx="391">
                <c:v>12.74</c:v>
              </c:pt>
              <c:pt idx="392">
                <c:v>14.66</c:v>
              </c:pt>
              <c:pt idx="393">
                <c:v>15.66</c:v>
              </c:pt>
              <c:pt idx="394">
                <c:v>15.16</c:v>
              </c:pt>
              <c:pt idx="395">
                <c:v>17.79</c:v>
              </c:pt>
              <c:pt idx="396">
                <c:v>18.52</c:v>
              </c:pt>
              <c:pt idx="397">
                <c:v>20.04</c:v>
              </c:pt>
              <c:pt idx="398">
                <c:v>19.64</c:v>
              </c:pt>
              <c:pt idx="399">
                <c:v>19.32</c:v>
              </c:pt>
              <c:pt idx="400">
                <c:v>20.43</c:v>
              </c:pt>
              <c:pt idx="401">
                <c:v>19.989999999999998</c:v>
              </c:pt>
              <c:pt idx="402">
                <c:v>22.01</c:v>
              </c:pt>
              <c:pt idx="403">
                <c:v>24.04</c:v>
              </c:pt>
              <c:pt idx="404">
                <c:v>22.93</c:v>
              </c:pt>
              <c:pt idx="405">
                <c:v>19.75</c:v>
              </c:pt>
              <c:pt idx="406">
                <c:v>19.649999999999999</c:v>
              </c:pt>
              <c:pt idx="407">
                <c:v>18.399999999999999</c:v>
              </c:pt>
              <c:pt idx="408">
                <c:v>18.12</c:v>
              </c:pt>
              <c:pt idx="409">
                <c:v>17.579999999999998</c:v>
              </c:pt>
              <c:pt idx="410">
                <c:v>17.45</c:v>
              </c:pt>
              <c:pt idx="411">
                <c:v>18.670000000000002</c:v>
              </c:pt>
              <c:pt idx="412">
                <c:v>20.43</c:v>
              </c:pt>
              <c:pt idx="413">
                <c:v>22.66</c:v>
              </c:pt>
              <c:pt idx="414">
                <c:v>24.26</c:v>
              </c:pt>
              <c:pt idx="415">
                <c:v>23.57</c:v>
              </c:pt>
              <c:pt idx="416">
                <c:v>23.4</c:v>
              </c:pt>
              <c:pt idx="417">
                <c:v>22.88</c:v>
              </c:pt>
              <c:pt idx="418">
                <c:v>23.57</c:v>
              </c:pt>
              <c:pt idx="419">
                <c:v>24.49</c:v>
              </c:pt>
              <c:pt idx="420">
                <c:v>25.26</c:v>
              </c:pt>
              <c:pt idx="421">
                <c:v>28.08</c:v>
              </c:pt>
              <c:pt idx="422">
                <c:v>28.74</c:v>
              </c:pt>
              <c:pt idx="423">
                <c:v>23.54</c:v>
              </c:pt>
              <c:pt idx="424">
                <c:v>23.06</c:v>
              </c:pt>
              <c:pt idx="425">
                <c:v>25.03</c:v>
              </c:pt>
              <c:pt idx="426">
                <c:v>26.82</c:v>
              </c:pt>
              <c:pt idx="427">
                <c:v>29.59</c:v>
              </c:pt>
              <c:pt idx="428">
                <c:v>30.66</c:v>
              </c:pt>
              <c:pt idx="429">
                <c:v>30.97</c:v>
              </c:pt>
              <c:pt idx="430">
                <c:v>29.53</c:v>
              </c:pt>
              <c:pt idx="431">
                <c:v>28.94</c:v>
              </c:pt>
              <c:pt idx="432">
                <c:v>28.68</c:v>
              </c:pt>
              <c:pt idx="433">
                <c:v>27.73</c:v>
              </c:pt>
              <c:pt idx="434">
                <c:v>28.32</c:v>
              </c:pt>
              <c:pt idx="435">
                <c:v>31.37</c:v>
              </c:pt>
              <c:pt idx="436">
                <c:v>31.11</c:v>
              </c:pt>
              <c:pt idx="437">
                <c:v>27.32</c:v>
              </c:pt>
              <c:pt idx="438">
                <c:v>27.25</c:v>
              </c:pt>
              <c:pt idx="439">
                <c:v>28.14</c:v>
              </c:pt>
              <c:pt idx="440">
                <c:v>27.81</c:v>
              </c:pt>
              <c:pt idx="441">
                <c:v>30.14</c:v>
              </c:pt>
              <c:pt idx="442">
                <c:v>32.65</c:v>
              </c:pt>
              <c:pt idx="443">
                <c:v>37.56</c:v>
              </c:pt>
              <c:pt idx="444">
                <c:v>41.33</c:v>
              </c:pt>
              <c:pt idx="445">
                <c:v>38.47</c:v>
              </c:pt>
              <c:pt idx="446">
                <c:v>34.86</c:v>
              </c:pt>
              <c:pt idx="447">
                <c:v>38.590000000000003</c:v>
              </c:pt>
              <c:pt idx="448">
                <c:v>35.65</c:v>
              </c:pt>
              <c:pt idx="449">
                <c:v>35.69</c:v>
              </c:pt>
              <c:pt idx="450">
                <c:v>36.71</c:v>
              </c:pt>
              <c:pt idx="451">
                <c:v>35.97</c:v>
              </c:pt>
              <c:pt idx="452">
                <c:v>33.94</c:v>
              </c:pt>
              <c:pt idx="453">
                <c:v>33.200000000000003</c:v>
              </c:pt>
              <c:pt idx="454">
                <c:v>33.64</c:v>
              </c:pt>
              <c:pt idx="455">
                <c:v>30.56</c:v>
              </c:pt>
              <c:pt idx="456">
                <c:v>30.29</c:v>
              </c:pt>
              <c:pt idx="457">
                <c:v>29.64</c:v>
              </c:pt>
              <c:pt idx="458">
                <c:v>26.04</c:v>
              </c:pt>
              <c:pt idx="459">
                <c:v>24.16</c:v>
              </c:pt>
              <c:pt idx="460">
                <c:v>24.41</c:v>
              </c:pt>
              <c:pt idx="461">
                <c:v>22.58</c:v>
              </c:pt>
              <c:pt idx="462">
                <c:v>20.95</c:v>
              </c:pt>
              <c:pt idx="463">
                <c:v>20.3</c:v>
              </c:pt>
              <c:pt idx="464">
                <c:v>22.73</c:v>
              </c:pt>
              <c:pt idx="465">
                <c:v>21.42</c:v>
              </c:pt>
              <c:pt idx="466">
                <c:v>22.81</c:v>
              </c:pt>
              <c:pt idx="467">
                <c:v>21.02</c:v>
              </c:pt>
              <c:pt idx="468">
                <c:v>19.63</c:v>
              </c:pt>
              <c:pt idx="469">
                <c:v>18.850000000000001</c:v>
              </c:pt>
              <c:pt idx="470">
                <c:v>20.99</c:v>
              </c:pt>
              <c:pt idx="471">
                <c:v>24.38</c:v>
              </c:pt>
              <c:pt idx="472">
                <c:v>25.33</c:v>
              </c:pt>
              <c:pt idx="473">
                <c:v>27.04</c:v>
              </c:pt>
              <c:pt idx="474">
                <c:v>27.01</c:v>
              </c:pt>
              <c:pt idx="475">
                <c:v>26.76</c:v>
              </c:pt>
              <c:pt idx="476">
                <c:v>26.66</c:v>
              </c:pt>
              <c:pt idx="477">
                <c:v>30.94</c:v>
              </c:pt>
              <c:pt idx="478">
                <c:v>30.93</c:v>
              </c:pt>
              <c:pt idx="479">
                <c:v>29.22</c:v>
              </c:pt>
              <c:pt idx="480">
                <c:v>29.51</c:v>
              </c:pt>
              <c:pt idx="481">
                <c:v>33.64</c:v>
              </c:pt>
              <c:pt idx="482">
                <c:v>33.729999999999997</c:v>
              </c:pt>
              <c:pt idx="483">
                <c:v>34.340000000000003</c:v>
              </c:pt>
              <c:pt idx="484">
                <c:v>37.32</c:v>
              </c:pt>
              <c:pt idx="485">
                <c:v>37.630000000000003</c:v>
              </c:pt>
              <c:pt idx="486">
                <c:v>42.28</c:v>
              </c:pt>
              <c:pt idx="487">
                <c:v>52.75</c:v>
              </c:pt>
              <c:pt idx="488">
                <c:v>55.89</c:v>
              </c:pt>
              <c:pt idx="489">
                <c:v>55.2</c:v>
              </c:pt>
              <c:pt idx="490">
                <c:v>61.4</c:v>
              </c:pt>
              <c:pt idx="491">
                <c:v>67.98</c:v>
              </c:pt>
              <c:pt idx="492">
                <c:v>69.52</c:v>
              </c:pt>
              <c:pt idx="493">
                <c:v>75.11</c:v>
              </c:pt>
              <c:pt idx="494">
                <c:v>79.040000000000006</c:v>
              </c:pt>
              <c:pt idx="495">
                <c:v>83.7</c:v>
              </c:pt>
              <c:pt idx="496">
                <c:v>93.6</c:v>
              </c:pt>
              <c:pt idx="497">
                <c:v>101.2</c:v>
              </c:pt>
              <c:pt idx="498">
                <c:v>103.8</c:v>
              </c:pt>
              <c:pt idx="499">
                <c:v>112</c:v>
              </c:pt>
              <c:pt idx="500">
                <c:v>108</c:v>
              </c:pt>
              <c:pt idx="501">
                <c:v>122.6</c:v>
              </c:pt>
              <c:pt idx="502">
                <c:v>134</c:v>
              </c:pt>
              <c:pt idx="503">
                <c:v>139.80000000000001</c:v>
              </c:pt>
              <c:pt idx="504">
                <c:v>144.4</c:v>
              </c:pt>
              <c:pt idx="505">
                <c:v>154.80000000000001</c:v>
              </c:pt>
              <c:pt idx="506">
                <c:v>162.5</c:v>
              </c:pt>
              <c:pt idx="507">
                <c:v>164.5</c:v>
              </c:pt>
              <c:pt idx="508">
                <c:v>161.80000000000001</c:v>
              </c:pt>
              <c:pt idx="509">
                <c:v>148.69999999999999</c:v>
              </c:pt>
              <c:pt idx="510">
                <c:v>149.9</c:v>
              </c:pt>
              <c:pt idx="511">
                <c:v>157.6</c:v>
              </c:pt>
              <c:pt idx="512">
                <c:v>160.80000000000001</c:v>
              </c:pt>
              <c:pt idx="513">
                <c:v>159.4</c:v>
              </c:pt>
              <c:pt idx="514">
                <c:v>163.19999999999999</c:v>
              </c:pt>
              <c:pt idx="515">
                <c:v>189.3</c:v>
              </c:pt>
              <c:pt idx="516">
                <c:v>188.8</c:v>
              </c:pt>
              <c:pt idx="517">
                <c:v>186.6</c:v>
              </c:pt>
              <c:pt idx="518">
                <c:v>208.9</c:v>
              </c:pt>
              <c:pt idx="519">
                <c:v>209.8</c:v>
              </c:pt>
              <c:pt idx="520">
                <c:v>197.6</c:v>
              </c:pt>
              <c:pt idx="521">
                <c:v>202.6</c:v>
              </c:pt>
              <c:pt idx="522">
                <c:v>201.5</c:v>
              </c:pt>
              <c:pt idx="523">
                <c:v>203.2</c:v>
              </c:pt>
              <c:pt idx="524">
                <c:v>188.2</c:v>
              </c:pt>
              <c:pt idx="525">
                <c:v>183.1</c:v>
              </c:pt>
              <c:pt idx="526">
                <c:v>182.6</c:v>
              </c:pt>
              <c:pt idx="527">
                <c:v>184.9</c:v>
              </c:pt>
              <c:pt idx="528">
                <c:v>168.8</c:v>
              </c:pt>
              <c:pt idx="529">
                <c:v>165.7</c:v>
              </c:pt>
              <c:pt idx="530">
                <c:v>162.1</c:v>
              </c:pt>
              <c:pt idx="531">
                <c:v>152.9</c:v>
              </c:pt>
              <c:pt idx="532">
                <c:v>140.69999999999999</c:v>
              </c:pt>
              <c:pt idx="533">
                <c:v>136.80000000000001</c:v>
              </c:pt>
              <c:pt idx="534">
                <c:v>124.9</c:v>
              </c:pt>
              <c:pt idx="535">
                <c:v>117.8</c:v>
              </c:pt>
              <c:pt idx="536">
                <c:v>123.4</c:v>
              </c:pt>
              <c:pt idx="537">
                <c:v>119.7</c:v>
              </c:pt>
              <c:pt idx="538">
                <c:v>130.5</c:v>
              </c:pt>
              <c:pt idx="539">
                <c:v>130.4</c:v>
              </c:pt>
              <c:pt idx="540">
                <c:v>141.1</c:v>
              </c:pt>
              <c:pt idx="541">
                <c:v>143.5</c:v>
              </c:pt>
              <c:pt idx="542">
                <c:v>173.4</c:v>
              </c:pt>
              <c:pt idx="543">
                <c:v>193.5</c:v>
              </c:pt>
              <c:pt idx="544">
                <c:v>194.6</c:v>
              </c:pt>
              <c:pt idx="545">
                <c:v>186.2</c:v>
              </c:pt>
              <c:pt idx="546">
                <c:v>164.3</c:v>
              </c:pt>
              <c:pt idx="547">
                <c:v>146.4</c:v>
              </c:pt>
              <c:pt idx="548">
                <c:v>140.19999999999999</c:v>
              </c:pt>
              <c:pt idx="549">
                <c:v>117.7</c:v>
              </c:pt>
              <c:pt idx="550">
                <c:v>100.7</c:v>
              </c:pt>
              <c:pt idx="551">
                <c:v>104.2</c:v>
              </c:pt>
              <c:pt idx="552">
                <c:v>111.6</c:v>
              </c:pt>
              <c:pt idx="553">
                <c:v>101.8</c:v>
              </c:pt>
              <c:pt idx="554">
                <c:v>85.9</c:v>
              </c:pt>
              <c:pt idx="555">
                <c:v>83.2</c:v>
              </c:pt>
              <c:pt idx="556">
                <c:v>82.2</c:v>
              </c:pt>
              <c:pt idx="557">
                <c:v>82.3</c:v>
              </c:pt>
              <c:pt idx="558">
                <c:v>78.62</c:v>
              </c:pt>
              <c:pt idx="559">
                <c:v>68</c:v>
              </c:pt>
              <c:pt idx="560">
                <c:v>61.38</c:v>
              </c:pt>
              <c:pt idx="561">
                <c:v>64.7</c:v>
              </c:pt>
              <c:pt idx="562">
                <c:v>71.33</c:v>
              </c:pt>
              <c:pt idx="563">
                <c:v>73.55</c:v>
              </c:pt>
              <c:pt idx="564">
                <c:v>75.19</c:v>
              </c:pt>
              <c:pt idx="565">
                <c:v>76.83</c:v>
              </c:pt>
              <c:pt idx="566">
                <c:v>76.56</c:v>
              </c:pt>
              <c:pt idx="567">
                <c:v>78.53</c:v>
              </c:pt>
              <c:pt idx="568">
                <c:v>84.3</c:v>
              </c:pt>
              <c:pt idx="569">
                <c:v>84.9</c:v>
              </c:pt>
              <c:pt idx="570">
                <c:v>84.4</c:v>
              </c:pt>
              <c:pt idx="571">
                <c:v>79.819999999999993</c:v>
              </c:pt>
              <c:pt idx="572">
                <c:v>76.16</c:v>
              </c:pt>
              <c:pt idx="573">
                <c:v>79.16</c:v>
              </c:pt>
              <c:pt idx="574">
                <c:v>82.6</c:v>
              </c:pt>
              <c:pt idx="575">
                <c:v>91.4</c:v>
              </c:pt>
              <c:pt idx="576">
                <c:v>98.2</c:v>
              </c:pt>
              <c:pt idx="577">
                <c:v>104.3</c:v>
              </c:pt>
              <c:pt idx="578">
                <c:v>111.1</c:v>
              </c:pt>
              <c:pt idx="579">
                <c:v>121.7</c:v>
              </c:pt>
              <c:pt idx="580">
                <c:v>124</c:v>
              </c:pt>
              <c:pt idx="581">
                <c:v>125.6</c:v>
              </c:pt>
              <c:pt idx="582">
                <c:v>134.6</c:v>
              </c:pt>
              <c:pt idx="583">
                <c:v>141.9</c:v>
              </c:pt>
              <c:pt idx="584">
                <c:v>137.1</c:v>
              </c:pt>
              <c:pt idx="585">
                <c:v>154.5</c:v>
              </c:pt>
              <c:pt idx="586">
                <c:v>174.6</c:v>
              </c:pt>
              <c:pt idx="587">
                <c:v>183.6</c:v>
              </c:pt>
              <c:pt idx="588">
                <c:v>190.1</c:v>
              </c:pt>
              <c:pt idx="589">
                <c:v>196.5</c:v>
              </c:pt>
              <c:pt idx="590">
                <c:v>205.4</c:v>
              </c:pt>
              <c:pt idx="591">
                <c:v>211.9</c:v>
              </c:pt>
              <c:pt idx="592">
                <c:v>215.3</c:v>
              </c:pt>
              <c:pt idx="593">
                <c:v>220.3</c:v>
              </c:pt>
              <c:pt idx="594">
                <c:v>223.5</c:v>
              </c:pt>
              <c:pt idx="595">
                <c:v>221.5</c:v>
              </c:pt>
              <c:pt idx="596">
                <c:v>221.1</c:v>
              </c:pt>
              <c:pt idx="597">
                <c:v>224.7</c:v>
              </c:pt>
              <c:pt idx="598">
                <c:v>223.8</c:v>
              </c:pt>
              <c:pt idx="599">
                <c:v>218.7</c:v>
              </c:pt>
              <c:pt idx="600">
                <c:v>214.5</c:v>
              </c:pt>
              <c:pt idx="601">
                <c:v>214.7</c:v>
              </c:pt>
              <c:pt idx="602">
                <c:v>216.5</c:v>
              </c:pt>
              <c:pt idx="603">
                <c:v>222.1</c:v>
              </c:pt>
              <c:pt idx="604">
                <c:v>220.1</c:v>
              </c:pt>
              <c:pt idx="605">
                <c:v>216.1</c:v>
              </c:pt>
              <c:pt idx="606">
                <c:v>216.8</c:v>
              </c:pt>
              <c:pt idx="607">
                <c:v>218.1</c:v>
              </c:pt>
              <c:pt idx="608">
                <c:v>218.3</c:v>
              </c:pt>
              <c:pt idx="609">
                <c:v>211.4</c:v>
              </c:pt>
              <c:pt idx="610">
                <c:v>220.3</c:v>
              </c:pt>
              <c:pt idx="611">
                <c:v>220.6</c:v>
              </c:pt>
              <c:pt idx="612">
                <c:v>213.6</c:v>
              </c:pt>
              <c:pt idx="613">
                <c:v>212.8</c:v>
              </c:pt>
              <c:pt idx="614">
                <c:v>212.1</c:v>
              </c:pt>
              <c:pt idx="615">
                <c:v>221.5</c:v>
              </c:pt>
              <c:pt idx="616">
                <c:v>243</c:v>
              </c:pt>
              <c:pt idx="617">
                <c:v>253.5</c:v>
              </c:pt>
              <c:pt idx="618">
                <c:v>258.2</c:v>
              </c:pt>
              <c:pt idx="619">
                <c:v>259.89999999999998</c:v>
              </c:pt>
              <c:pt idx="620">
                <c:v>259.2</c:v>
              </c:pt>
              <c:pt idx="621">
                <c:v>254.7</c:v>
              </c:pt>
              <c:pt idx="622">
                <c:v>254</c:v>
              </c:pt>
              <c:pt idx="623">
                <c:v>256.10000000000002</c:v>
              </c:pt>
              <c:pt idx="624">
                <c:v>254.1</c:v>
              </c:pt>
              <c:pt idx="625">
                <c:v>249.2</c:v>
              </c:pt>
              <c:pt idx="626">
                <c:v>247</c:v>
              </c:pt>
              <c:pt idx="627">
                <c:v>245.4</c:v>
              </c:pt>
              <c:pt idx="628">
                <c:v>243.1</c:v>
              </c:pt>
              <c:pt idx="629">
                <c:v>243.7</c:v>
              </c:pt>
              <c:pt idx="630">
                <c:v>250.2</c:v>
              </c:pt>
              <c:pt idx="631">
                <c:v>268.7</c:v>
              </c:pt>
              <c:pt idx="632">
                <c:v>280.39999999999998</c:v>
              </c:pt>
              <c:pt idx="633">
                <c:v>296.5</c:v>
              </c:pt>
              <c:pt idx="634">
                <c:v>300.39999999999998</c:v>
              </c:pt>
              <c:pt idx="635">
                <c:v>299.2</c:v>
              </c:pt>
              <c:pt idx="636">
                <c:v>296.10000000000002</c:v>
              </c:pt>
              <c:pt idx="637">
                <c:v>284.5</c:v>
              </c:pt>
              <c:pt idx="638">
                <c:v>290.7</c:v>
              </c:pt>
              <c:pt idx="639">
                <c:v>302.7</c:v>
              </c:pt>
              <c:pt idx="640">
                <c:v>314.7</c:v>
              </c:pt>
              <c:pt idx="641">
                <c:v>320.3</c:v>
              </c:pt>
              <c:pt idx="642">
                <c:v>327</c:v>
              </c:pt>
              <c:pt idx="643">
                <c:v>336.6</c:v>
              </c:pt>
              <c:pt idx="644">
                <c:v>343.3</c:v>
              </c:pt>
              <c:pt idx="645">
                <c:v>345.8</c:v>
              </c:pt>
              <c:pt idx="646">
                <c:v>358.4</c:v>
              </c:pt>
              <c:pt idx="647">
                <c:v>363.1</c:v>
              </c:pt>
              <c:pt idx="648">
                <c:v>366.9</c:v>
              </c:pt>
              <c:pt idx="649">
                <c:v>373</c:v>
              </c:pt>
              <c:pt idx="650">
                <c:v>377.6</c:v>
              </c:pt>
              <c:pt idx="651">
                <c:v>379.5</c:v>
              </c:pt>
              <c:pt idx="652">
                <c:v>386.3</c:v>
              </c:pt>
              <c:pt idx="653">
                <c:v>396.8</c:v>
              </c:pt>
              <c:pt idx="654">
                <c:v>413.2</c:v>
              </c:pt>
              <c:pt idx="655">
                <c:v>428.1</c:v>
              </c:pt>
              <c:pt idx="656">
                <c:v>443.3</c:v>
              </c:pt>
              <c:pt idx="657">
                <c:v>459.5</c:v>
              </c:pt>
              <c:pt idx="658">
                <c:v>474.1</c:v>
              </c:pt>
              <c:pt idx="659">
                <c:v>479.1</c:v>
              </c:pt>
              <c:pt idx="660">
                <c:v>484.2</c:v>
              </c:pt>
              <c:pt idx="661">
                <c:v>500.4</c:v>
              </c:pt>
              <c:pt idx="662">
                <c:v>518.6</c:v>
              </c:pt>
              <c:pt idx="663">
                <c:v>507.5</c:v>
              </c:pt>
              <c:pt idx="664">
                <c:v>523.6</c:v>
              </c:pt>
              <c:pt idx="665">
                <c:v>557.29999999999995</c:v>
              </c:pt>
              <c:pt idx="666">
                <c:v>571.20000000000005</c:v>
              </c:pt>
              <c:pt idx="667">
                <c:v>568.6</c:v>
              </c:pt>
              <c:pt idx="668">
                <c:v>570.1</c:v>
              </c:pt>
              <c:pt idx="669">
                <c:v>561.70000000000005</c:v>
              </c:pt>
              <c:pt idx="670">
                <c:v>534</c:v>
              </c:pt>
              <c:pt idx="671">
                <c:v>509.7</c:v>
              </c:pt>
              <c:pt idx="672">
                <c:v>489.7</c:v>
              </c:pt>
              <c:pt idx="673">
                <c:v>452.4</c:v>
              </c:pt>
              <c:pt idx="674">
                <c:v>416.7</c:v>
              </c:pt>
              <c:pt idx="675">
                <c:v>402.7</c:v>
              </c:pt>
              <c:pt idx="676">
                <c:v>404</c:v>
              </c:pt>
              <c:pt idx="677">
                <c:v>423.8</c:v>
              </c:pt>
              <c:pt idx="678">
                <c:v>388.8</c:v>
              </c:pt>
              <c:pt idx="679">
                <c:v>353.9</c:v>
              </c:pt>
              <c:pt idx="680">
                <c:v>363.9</c:v>
              </c:pt>
              <c:pt idx="681">
                <c:v>378.8</c:v>
              </c:pt>
              <c:pt idx="682">
                <c:v>377.1</c:v>
              </c:pt>
              <c:pt idx="683">
                <c:v>380.5</c:v>
              </c:pt>
              <c:pt idx="684">
                <c:v>390.9</c:v>
              </c:pt>
              <c:pt idx="685">
                <c:v>400.3</c:v>
              </c:pt>
              <c:pt idx="686">
                <c:v>402.9</c:v>
              </c:pt>
              <c:pt idx="687">
                <c:v>402.3</c:v>
              </c:pt>
              <c:pt idx="688">
                <c:v>406.7</c:v>
              </c:pt>
              <c:pt idx="689">
                <c:v>413.8</c:v>
              </c:pt>
              <c:pt idx="690">
                <c:v>411.9</c:v>
              </c:pt>
              <c:pt idx="691">
                <c:v>396.9</c:v>
              </c:pt>
              <c:pt idx="692">
                <c:v>397.6</c:v>
              </c:pt>
              <c:pt idx="693">
                <c:v>391</c:v>
              </c:pt>
              <c:pt idx="694">
                <c:v>406.3</c:v>
              </c:pt>
              <c:pt idx="695">
                <c:v>428.6</c:v>
              </c:pt>
              <c:pt idx="696">
                <c:v>446.9</c:v>
              </c:pt>
              <c:pt idx="697">
                <c:v>463.4</c:v>
              </c:pt>
              <c:pt idx="698">
                <c:v>475</c:v>
              </c:pt>
              <c:pt idx="699">
                <c:v>512</c:v>
              </c:pt>
              <c:pt idx="700">
                <c:v>541.5</c:v>
              </c:pt>
              <c:pt idx="701">
                <c:v>535.70000000000005</c:v>
              </c:pt>
              <c:pt idx="702">
                <c:v>530.6</c:v>
              </c:pt>
              <c:pt idx="703">
                <c:v>555.20000000000005</c:v>
              </c:pt>
              <c:pt idx="704">
                <c:v>633.79999999999995</c:v>
              </c:pt>
              <c:pt idx="705">
                <c:v>621</c:v>
              </c:pt>
              <c:pt idx="706">
                <c:v>586</c:v>
              </c:pt>
              <c:pt idx="707">
                <c:v>567.70000000000005</c:v>
              </c:pt>
              <c:pt idx="708">
                <c:v>516</c:v>
              </c:pt>
              <c:pt idx="709">
                <c:v>475.6</c:v>
              </c:pt>
              <c:pt idx="710">
                <c:v>476.8</c:v>
              </c:pt>
              <c:pt idx="711">
                <c:v>447.2</c:v>
              </c:pt>
              <c:pt idx="712">
                <c:v>536.6</c:v>
              </c:pt>
              <c:pt idx="713">
                <c:v>609</c:v>
              </c:pt>
              <c:pt idx="714">
                <c:v>607.29999999999995</c:v>
              </c:pt>
              <c:pt idx="715">
                <c:v>589.70000000000005</c:v>
              </c:pt>
              <c:pt idx="716">
                <c:v>550.79999999999995</c:v>
              </c:pt>
              <c:pt idx="717">
                <c:v>499.2</c:v>
              </c:pt>
              <c:pt idx="718">
                <c:v>425.6</c:v>
              </c:pt>
              <c:pt idx="719">
                <c:v>365.8</c:v>
              </c:pt>
              <c:pt idx="720">
                <c:v>344</c:v>
              </c:pt>
              <c:pt idx="721">
                <c:v>351.6</c:v>
              </c:pt>
              <c:pt idx="722">
                <c:v>382.9</c:v>
              </c:pt>
              <c:pt idx="723">
                <c:v>409.4</c:v>
              </c:pt>
              <c:pt idx="724">
                <c:v>405.6</c:v>
              </c:pt>
              <c:pt idx="725">
                <c:v>430.3</c:v>
              </c:pt>
              <c:pt idx="726">
                <c:v>450.7</c:v>
              </c:pt>
              <c:pt idx="727">
                <c:v>483.8</c:v>
              </c:pt>
              <c:pt idx="728">
                <c:v>472.8</c:v>
              </c:pt>
              <c:pt idx="729">
                <c:v>377.2</c:v>
              </c:pt>
              <c:pt idx="730">
                <c:v>332</c:v>
              </c:pt>
              <c:pt idx="731">
                <c:v>339.8</c:v>
              </c:pt>
              <c:pt idx="732">
                <c:v>332.5</c:v>
              </c:pt>
              <c:pt idx="733">
                <c:v>303.3</c:v>
              </c:pt>
              <c:pt idx="734">
                <c:v>262.3</c:v>
              </c:pt>
              <c:pt idx="735">
                <c:v>255.6</c:v>
              </c:pt>
              <c:pt idx="736">
                <c:v>279.5</c:v>
              </c:pt>
              <c:pt idx="737">
                <c:v>295.60000000000002</c:v>
              </c:pt>
              <c:pt idx="738">
                <c:v>273.39999999999998</c:v>
              </c:pt>
              <c:pt idx="739">
                <c:v>282.7</c:v>
              </c:pt>
              <c:pt idx="740">
                <c:v>290.7</c:v>
              </c:pt>
              <c:pt idx="741">
                <c:v>292</c:v>
              </c:pt>
              <c:pt idx="742">
                <c:v>318.10000000000002</c:v>
              </c:pt>
              <c:pt idx="743">
                <c:v>297.39999999999998</c:v>
              </c:pt>
              <c:pt idx="744">
                <c:v>257.2</c:v>
              </c:pt>
              <c:pt idx="745">
                <c:v>274.89999999999998</c:v>
              </c:pt>
              <c:pt idx="746">
                <c:v>309.5</c:v>
              </c:pt>
              <c:pt idx="747">
                <c:v>304.7</c:v>
              </c:pt>
              <c:pt idx="748">
                <c:v>306.39999999999998</c:v>
              </c:pt>
              <c:pt idx="749">
                <c:v>303.3</c:v>
              </c:pt>
              <c:pt idx="750">
                <c:v>274.2</c:v>
              </c:pt>
              <c:pt idx="751">
                <c:v>243.3</c:v>
              </c:pt>
              <c:pt idx="752">
                <c:v>211.5</c:v>
              </c:pt>
              <c:pt idx="753">
                <c:v>187.5</c:v>
              </c:pt>
              <c:pt idx="754">
                <c:v>183.4</c:v>
              </c:pt>
              <c:pt idx="755">
                <c:v>187.9</c:v>
              </c:pt>
              <c:pt idx="756">
                <c:v>180.4</c:v>
              </c:pt>
              <c:pt idx="757">
                <c:v>163.4</c:v>
              </c:pt>
              <c:pt idx="758">
                <c:v>154.69999999999999</c:v>
              </c:pt>
              <c:pt idx="759">
                <c:v>144.80000000000001</c:v>
              </c:pt>
              <c:pt idx="760">
                <c:v>139.30000000000001</c:v>
              </c:pt>
              <c:pt idx="761">
                <c:v>137.4</c:v>
              </c:pt>
              <c:pt idx="762">
                <c:v>137.1</c:v>
              </c:pt>
              <c:pt idx="763">
                <c:v>133.80000000000001</c:v>
              </c:pt>
              <c:pt idx="764">
                <c:v>140.5</c:v>
              </c:pt>
              <c:pt idx="765">
                <c:v>152</c:v>
              </c:pt>
              <c:pt idx="766">
                <c:v>160.30000000000001</c:v>
              </c:pt>
              <c:pt idx="767">
                <c:v>176.2</c:v>
              </c:pt>
              <c:pt idx="768">
                <c:v>192.1</c:v>
              </c:pt>
              <c:pt idx="769">
                <c:v>199.3</c:v>
              </c:pt>
              <c:pt idx="770">
                <c:v>195.9</c:v>
              </c:pt>
              <c:pt idx="771">
                <c:v>185.6</c:v>
              </c:pt>
              <c:pt idx="772">
                <c:v>174.3</c:v>
              </c:pt>
              <c:pt idx="773">
                <c:v>163.69999999999999</c:v>
              </c:pt>
              <c:pt idx="774">
                <c:v>152.69999999999999</c:v>
              </c:pt>
              <c:pt idx="775">
                <c:v>148.30000000000001</c:v>
              </c:pt>
              <c:pt idx="776">
                <c:v>148.30000000000001</c:v>
              </c:pt>
              <c:pt idx="777">
                <c:v>151.19999999999999</c:v>
              </c:pt>
              <c:pt idx="778">
                <c:v>154.9</c:v>
              </c:pt>
              <c:pt idx="779">
                <c:v>166.5</c:v>
              </c:pt>
              <c:pt idx="780">
                <c:v>177.8</c:v>
              </c:pt>
              <c:pt idx="781">
                <c:v>181</c:v>
              </c:pt>
              <c:pt idx="782">
                <c:v>182.4</c:v>
              </c:pt>
              <c:pt idx="783">
                <c:v>164.8</c:v>
              </c:pt>
              <c:pt idx="784">
                <c:v>140.80000000000001</c:v>
              </c:pt>
              <c:pt idx="785">
                <c:v>134.1</c:v>
              </c:pt>
              <c:pt idx="786">
                <c:v>147</c:v>
              </c:pt>
              <c:pt idx="787">
                <c:v>169.2</c:v>
              </c:pt>
              <c:pt idx="788">
                <c:v>184.7</c:v>
              </c:pt>
              <c:pt idx="789">
                <c:v>192</c:v>
              </c:pt>
              <c:pt idx="790">
                <c:v>196.5</c:v>
              </c:pt>
              <c:pt idx="791">
                <c:v>224.3</c:v>
              </c:pt>
              <c:pt idx="792">
                <c:v>259.39999999999998</c:v>
              </c:pt>
              <c:pt idx="793">
                <c:v>276.60000000000002</c:v>
              </c:pt>
              <c:pt idx="794">
                <c:v>261.7</c:v>
              </c:pt>
              <c:pt idx="795">
                <c:v>259.8</c:v>
              </c:pt>
              <c:pt idx="796">
                <c:v>273.2</c:v>
              </c:pt>
              <c:pt idx="797">
                <c:v>277.39999999999998</c:v>
              </c:pt>
              <c:pt idx="798">
                <c:v>286.3</c:v>
              </c:pt>
              <c:pt idx="799">
                <c:v>299.39999999999998</c:v>
              </c:pt>
              <c:pt idx="800">
                <c:v>307.39999999999998</c:v>
              </c:pt>
              <c:pt idx="801">
                <c:v>308.3</c:v>
              </c:pt>
              <c:pt idx="802">
                <c:v>300.60000000000002</c:v>
              </c:pt>
              <c:pt idx="803">
                <c:v>303.5</c:v>
              </c:pt>
              <c:pt idx="804">
                <c:v>327.5</c:v>
              </c:pt>
              <c:pt idx="805">
                <c:v>354.2</c:v>
              </c:pt>
              <c:pt idx="806">
                <c:v>382</c:v>
              </c:pt>
              <c:pt idx="807">
                <c:v>400.5</c:v>
              </c:pt>
              <c:pt idx="808">
                <c:v>407.8</c:v>
              </c:pt>
              <c:pt idx="809">
                <c:v>448.7</c:v>
              </c:pt>
              <c:pt idx="810">
                <c:v>463.1</c:v>
              </c:pt>
              <c:pt idx="811">
                <c:v>443</c:v>
              </c:pt>
              <c:pt idx="812">
                <c:v>405.6</c:v>
              </c:pt>
              <c:pt idx="813">
                <c:v>392.7</c:v>
              </c:pt>
              <c:pt idx="814">
                <c:v>377</c:v>
              </c:pt>
              <c:pt idx="815">
                <c:v>370</c:v>
              </c:pt>
              <c:pt idx="816">
                <c:v>377.5</c:v>
              </c:pt>
              <c:pt idx="817">
                <c:v>387.9</c:v>
              </c:pt>
              <c:pt idx="818">
                <c:v>372.6</c:v>
              </c:pt>
              <c:pt idx="819">
                <c:v>351.5</c:v>
              </c:pt>
              <c:pt idx="820">
                <c:v>330.7</c:v>
              </c:pt>
              <c:pt idx="821">
                <c:v>321.3</c:v>
              </c:pt>
              <c:pt idx="822">
                <c:v>315.60000000000002</c:v>
              </c:pt>
              <c:pt idx="823">
                <c:v>307.5</c:v>
              </c:pt>
              <c:pt idx="824">
                <c:v>314</c:v>
              </c:pt>
              <c:pt idx="825">
                <c:v>317.2</c:v>
              </c:pt>
              <c:pt idx="826">
                <c:v>310.2</c:v>
              </c:pt>
              <c:pt idx="827">
                <c:v>293.5</c:v>
              </c:pt>
              <c:pt idx="828">
                <c:v>285.3</c:v>
              </c:pt>
              <c:pt idx="829">
                <c:v>284.5</c:v>
              </c:pt>
              <c:pt idx="830">
                <c:v>269</c:v>
              </c:pt>
              <c:pt idx="831">
                <c:v>267.7</c:v>
              </c:pt>
              <c:pt idx="832">
                <c:v>304.89999999999998</c:v>
              </c:pt>
              <c:pt idx="833">
                <c:v>350.9</c:v>
              </c:pt>
              <c:pt idx="834">
                <c:v>382.5</c:v>
              </c:pt>
              <c:pt idx="835">
                <c:v>414</c:v>
              </c:pt>
              <c:pt idx="836">
                <c:v>429.2</c:v>
              </c:pt>
              <c:pt idx="837">
                <c:v>393.4</c:v>
              </c:pt>
              <c:pt idx="838">
                <c:v>443</c:v>
              </c:pt>
              <c:pt idx="839">
                <c:v>514.6</c:v>
              </c:pt>
              <c:pt idx="840">
                <c:v>509.7</c:v>
              </c:pt>
              <c:pt idx="841">
                <c:v>509.8</c:v>
              </c:pt>
              <c:pt idx="842">
                <c:v>522.29999999999995</c:v>
              </c:pt>
              <c:pt idx="843">
                <c:v>507.6</c:v>
              </c:pt>
              <c:pt idx="844">
                <c:v>505</c:v>
              </c:pt>
              <c:pt idx="845">
                <c:v>483.2</c:v>
              </c:pt>
              <c:pt idx="846">
                <c:v>463.5</c:v>
              </c:pt>
              <c:pt idx="847">
                <c:v>421.2</c:v>
              </c:pt>
              <c:pt idx="848">
                <c:v>373.6</c:v>
              </c:pt>
              <c:pt idx="849">
                <c:v>350.8</c:v>
              </c:pt>
              <c:pt idx="850">
                <c:v>361.7</c:v>
              </c:pt>
              <c:pt idx="851">
                <c:v>354.4</c:v>
              </c:pt>
              <c:pt idx="852">
                <c:v>308.10000000000002</c:v>
              </c:pt>
              <c:pt idx="853">
                <c:v>265.8</c:v>
              </c:pt>
              <c:pt idx="854">
                <c:v>225</c:v>
              </c:pt>
              <c:pt idx="855">
                <c:v>231</c:v>
              </c:pt>
              <c:pt idx="856">
                <c:v>232.9</c:v>
              </c:pt>
              <c:pt idx="857">
                <c:v>235.6</c:v>
              </c:pt>
              <c:pt idx="858">
                <c:v>254.8</c:v>
              </c:pt>
              <c:pt idx="859">
                <c:v>246.6</c:v>
              </c:pt>
              <c:pt idx="860">
                <c:v>210.1</c:v>
              </c:pt>
              <c:pt idx="861">
                <c:v>211.5</c:v>
              </c:pt>
              <c:pt idx="862">
                <c:v>203.8</c:v>
              </c:pt>
              <c:pt idx="863">
                <c:v>220.8</c:v>
              </c:pt>
              <c:pt idx="864">
                <c:v>241.2</c:v>
              </c:pt>
              <c:pt idx="865">
                <c:v>247.8</c:v>
              </c:pt>
              <c:pt idx="866">
                <c:v>240.2</c:v>
              </c:pt>
              <c:pt idx="867">
                <c:v>226.9</c:v>
              </c:pt>
              <c:pt idx="868">
                <c:v>218.6</c:v>
              </c:pt>
              <c:pt idx="869">
                <c:v>261</c:v>
              </c:pt>
              <c:pt idx="870">
                <c:v>271.89999999999998</c:v>
              </c:pt>
              <c:pt idx="871">
                <c:v>263.8</c:v>
              </c:pt>
              <c:pt idx="872">
                <c:v>262.8</c:v>
              </c:pt>
              <c:pt idx="873">
                <c:v>244.5</c:v>
              </c:pt>
              <c:pt idx="874">
                <c:v>253.2</c:v>
              </c:pt>
              <c:pt idx="875">
                <c:v>288.2</c:v>
              </c:pt>
              <c:pt idx="876">
                <c:v>272.2</c:v>
              </c:pt>
              <c:pt idx="877">
                <c:v>250.1</c:v>
              </c:pt>
              <c:pt idx="878">
                <c:v>230.3</c:v>
              </c:pt>
              <c:pt idx="879">
                <c:v>236.4</c:v>
              </c:pt>
              <c:pt idx="880">
                <c:v>266.10000000000002</c:v>
              </c:pt>
              <c:pt idx="881">
                <c:v>281.5</c:v>
              </c:pt>
              <c:pt idx="882">
                <c:v>273.8</c:v>
              </c:pt>
              <c:pt idx="883">
                <c:v>251.9</c:v>
              </c:pt>
              <c:pt idx="884">
                <c:v>234.5</c:v>
              </c:pt>
              <c:pt idx="885">
                <c:v>235.9</c:v>
              </c:pt>
              <c:pt idx="886">
                <c:v>216.3</c:v>
              </c:pt>
              <c:pt idx="887">
                <c:v>189.9</c:v>
              </c:pt>
              <c:pt idx="888">
                <c:v>186.9</c:v>
              </c:pt>
              <c:pt idx="889">
                <c:v>191.7</c:v>
              </c:pt>
              <c:pt idx="890">
                <c:v>197.5</c:v>
              </c:pt>
              <c:pt idx="891">
                <c:v>186.1</c:v>
              </c:pt>
              <c:pt idx="892">
                <c:v>169.6</c:v>
              </c:pt>
              <c:pt idx="893">
                <c:v>156.69999999999999</c:v>
              </c:pt>
              <c:pt idx="894">
                <c:v>162.9</c:v>
              </c:pt>
              <c:pt idx="895">
                <c:v>177</c:v>
              </c:pt>
              <c:pt idx="896">
                <c:v>186.2</c:v>
              </c:pt>
              <c:pt idx="897">
                <c:v>196.3</c:v>
              </c:pt>
              <c:pt idx="898">
                <c:v>190</c:v>
              </c:pt>
              <c:pt idx="899">
                <c:v>169.5</c:v>
              </c:pt>
              <c:pt idx="900">
                <c:v>131.9</c:v>
              </c:pt>
              <c:pt idx="901">
                <c:v>92.9</c:v>
              </c:pt>
              <c:pt idx="902">
                <c:v>81.8</c:v>
              </c:pt>
              <c:pt idx="903">
                <c:v>90</c:v>
              </c:pt>
              <c:pt idx="904">
                <c:v>103.6</c:v>
              </c:pt>
              <c:pt idx="905">
                <c:v>105.3</c:v>
              </c:pt>
              <c:pt idx="906">
                <c:v>100.7</c:v>
              </c:pt>
              <c:pt idx="907">
                <c:v>100.8</c:v>
              </c:pt>
              <c:pt idx="908">
                <c:v>102.9</c:v>
              </c:pt>
              <c:pt idx="909">
                <c:v>98.2</c:v>
              </c:pt>
              <c:pt idx="910">
                <c:v>95.7</c:v>
              </c:pt>
              <c:pt idx="911">
                <c:v>97</c:v>
              </c:pt>
              <c:pt idx="912">
                <c:v>104.9</c:v>
              </c:pt>
              <c:pt idx="913">
                <c:v>115.2</c:v>
              </c:pt>
              <c:pt idx="914">
                <c:v>125.3</c:v>
              </c:pt>
              <c:pt idx="915">
                <c:v>132.5</c:v>
              </c:pt>
              <c:pt idx="916">
                <c:v>135.80000000000001</c:v>
              </c:pt>
              <c:pt idx="917">
                <c:v>135.5</c:v>
              </c:pt>
              <c:pt idx="918">
                <c:v>129.80000000000001</c:v>
              </c:pt>
              <c:pt idx="919">
                <c:v>116.9</c:v>
              </c:pt>
              <c:pt idx="920">
                <c:v>111.3</c:v>
              </c:pt>
              <c:pt idx="921">
                <c:v>109.9</c:v>
              </c:pt>
              <c:pt idx="922">
                <c:v>104.7</c:v>
              </c:pt>
              <c:pt idx="923">
                <c:v>101.4</c:v>
              </c:pt>
              <c:pt idx="924">
                <c:v>101.8</c:v>
              </c:pt>
              <c:pt idx="925">
                <c:v>105.8</c:v>
              </c:pt>
              <c:pt idx="926">
                <c:v>108.3</c:v>
              </c:pt>
              <c:pt idx="927">
                <c:v>111.6</c:v>
              </c:pt>
              <c:pt idx="928">
                <c:v>112</c:v>
              </c:pt>
              <c:pt idx="929">
                <c:v>102.4</c:v>
              </c:pt>
              <c:pt idx="930">
                <c:v>88.6</c:v>
              </c:pt>
              <c:pt idx="931">
                <c:v>75.91</c:v>
              </c:pt>
              <c:pt idx="932">
                <c:v>67.400000000000006</c:v>
              </c:pt>
              <c:pt idx="933">
                <c:v>64.08</c:v>
              </c:pt>
              <c:pt idx="934">
                <c:v>63.91</c:v>
              </c:pt>
              <c:pt idx="935">
                <c:v>65.34</c:v>
              </c:pt>
              <c:pt idx="936">
                <c:v>66.55</c:v>
              </c:pt>
              <c:pt idx="937">
                <c:v>67.28</c:v>
              </c:pt>
              <c:pt idx="938">
                <c:v>67.14</c:v>
              </c:pt>
              <c:pt idx="939">
                <c:v>67.53</c:v>
              </c:pt>
              <c:pt idx="940">
                <c:v>69.11</c:v>
              </c:pt>
              <c:pt idx="941">
                <c:v>70.290000000000006</c:v>
              </c:pt>
              <c:pt idx="942">
                <c:v>69.349999999999994</c:v>
              </c:pt>
              <c:pt idx="943">
                <c:v>70.040000000000006</c:v>
              </c:pt>
              <c:pt idx="944">
                <c:v>72.38</c:v>
              </c:pt>
              <c:pt idx="945">
                <c:v>76.209999999999994</c:v>
              </c:pt>
              <c:pt idx="946">
                <c:v>77.92</c:v>
              </c:pt>
              <c:pt idx="947">
                <c:v>77.98</c:v>
              </c:pt>
              <c:pt idx="948">
                <c:v>78.7</c:v>
              </c:pt>
              <c:pt idx="949">
                <c:v>79.930000000000007</c:v>
              </c:pt>
              <c:pt idx="950">
                <c:v>81.8</c:v>
              </c:pt>
              <c:pt idx="951">
                <c:v>85.8</c:v>
              </c:pt>
              <c:pt idx="952">
                <c:v>92</c:v>
              </c:pt>
              <c:pt idx="953">
                <c:v>98.7</c:v>
              </c:pt>
              <c:pt idx="954">
                <c:v>105.2</c:v>
              </c:pt>
              <c:pt idx="955">
                <c:v>111.9</c:v>
              </c:pt>
              <c:pt idx="956">
                <c:v>119.7</c:v>
              </c:pt>
              <c:pt idx="957">
                <c:v>131.1</c:v>
              </c:pt>
              <c:pt idx="958">
                <c:v>144.19999999999999</c:v>
              </c:pt>
              <c:pt idx="959">
                <c:v>154.6</c:v>
              </c:pt>
              <c:pt idx="960">
                <c:v>155.69999999999999</c:v>
              </c:pt>
              <c:pt idx="961">
                <c:v>146.4</c:v>
              </c:pt>
              <c:pt idx="962">
                <c:v>133.9</c:v>
              </c:pt>
              <c:pt idx="963">
                <c:v>128.80000000000001</c:v>
              </c:pt>
              <c:pt idx="964">
                <c:v>126.8</c:v>
              </c:pt>
              <c:pt idx="965">
                <c:v>123.4</c:v>
              </c:pt>
              <c:pt idx="966">
                <c:v>118.1</c:v>
              </c:pt>
              <c:pt idx="967">
                <c:v>108.6</c:v>
              </c:pt>
              <c:pt idx="968">
                <c:v>97.3</c:v>
              </c:pt>
              <c:pt idx="969">
                <c:v>88.4</c:v>
              </c:pt>
              <c:pt idx="970">
                <c:v>84.9</c:v>
              </c:pt>
              <c:pt idx="971">
                <c:v>84.1</c:v>
              </c:pt>
              <c:pt idx="972">
                <c:v>84.9</c:v>
              </c:pt>
              <c:pt idx="973">
                <c:v>86</c:v>
              </c:pt>
              <c:pt idx="974">
                <c:v>86.6</c:v>
              </c:pt>
              <c:pt idx="975">
                <c:v>89</c:v>
              </c:pt>
              <c:pt idx="976">
                <c:v>90</c:v>
              </c:pt>
              <c:pt idx="977">
                <c:v>88.4</c:v>
              </c:pt>
              <c:pt idx="978">
                <c:v>82.8</c:v>
              </c:pt>
              <c:pt idx="979">
                <c:v>82.1</c:v>
              </c:pt>
              <c:pt idx="980">
                <c:v>86.5</c:v>
              </c:pt>
              <c:pt idx="981">
                <c:v>94.7</c:v>
              </c:pt>
              <c:pt idx="982">
                <c:v>108.2</c:v>
              </c:pt>
              <c:pt idx="983">
                <c:v>123.3</c:v>
              </c:pt>
              <c:pt idx="984">
                <c:v>132.80000000000001</c:v>
              </c:pt>
              <c:pt idx="985">
                <c:v>138.4</c:v>
              </c:pt>
              <c:pt idx="986">
                <c:v>151.80000000000001</c:v>
              </c:pt>
              <c:pt idx="987">
                <c:v>174.7</c:v>
              </c:pt>
              <c:pt idx="988">
                <c:v>192.5</c:v>
              </c:pt>
              <c:pt idx="989">
                <c:v>201.2</c:v>
              </c:pt>
              <c:pt idx="990">
                <c:v>195.4</c:v>
              </c:pt>
              <c:pt idx="991">
                <c:v>188.5</c:v>
              </c:pt>
              <c:pt idx="992">
                <c:v>182.5</c:v>
              </c:pt>
              <c:pt idx="993">
                <c:v>177.7</c:v>
              </c:pt>
              <c:pt idx="994">
                <c:v>176</c:v>
              </c:pt>
              <c:pt idx="995">
                <c:v>177</c:v>
              </c:pt>
              <c:pt idx="996">
                <c:v>183.2</c:v>
              </c:pt>
              <c:pt idx="997">
                <c:v>192.4</c:v>
              </c:pt>
              <c:pt idx="998">
                <c:v>193.9</c:v>
              </c:pt>
              <c:pt idx="999">
                <c:v>195</c:v>
              </c:pt>
              <c:pt idx="1000">
                <c:v>201</c:v>
              </c:pt>
              <c:pt idx="1001">
                <c:v>204.2</c:v>
              </c:pt>
              <c:pt idx="1002">
                <c:v>199.7</c:v>
              </c:pt>
              <c:pt idx="1003">
                <c:v>188.5</c:v>
              </c:pt>
              <c:pt idx="1004">
                <c:v>175.6</c:v>
              </c:pt>
              <c:pt idx="1005">
                <c:v>160.4</c:v>
              </c:pt>
              <c:pt idx="1006">
                <c:v>147.30000000000001</c:v>
              </c:pt>
              <c:pt idx="1007">
                <c:v>138.9</c:v>
              </c:pt>
              <c:pt idx="1008">
                <c:v>125</c:v>
              </c:pt>
              <c:pt idx="1009">
                <c:v>110.3</c:v>
              </c:pt>
              <c:pt idx="1010">
                <c:v>98</c:v>
              </c:pt>
              <c:pt idx="1011">
                <c:v>86.3</c:v>
              </c:pt>
              <c:pt idx="1012">
                <c:v>77.13</c:v>
              </c:pt>
              <c:pt idx="1013">
                <c:v>72.08</c:v>
              </c:pt>
              <c:pt idx="1014">
                <c:v>67.680000000000007</c:v>
              </c:pt>
              <c:pt idx="1015">
                <c:v>63.55</c:v>
              </c:pt>
              <c:pt idx="1016">
                <c:v>59.05</c:v>
              </c:pt>
              <c:pt idx="1017">
                <c:v>55.72</c:v>
              </c:pt>
              <c:pt idx="1018">
                <c:v>52.93</c:v>
              </c:pt>
              <c:pt idx="1019">
                <c:v>49.38</c:v>
              </c:pt>
              <c:pt idx="1020">
                <c:v>46.74</c:v>
              </c:pt>
              <c:pt idx="1021">
                <c:v>46.22</c:v>
              </c:pt>
              <c:pt idx="1022">
                <c:v>46.13</c:v>
              </c:pt>
              <c:pt idx="1023">
                <c:v>45.65</c:v>
              </c:pt>
              <c:pt idx="1024">
                <c:v>45.29</c:v>
              </c:pt>
              <c:pt idx="1025">
                <c:v>45.89</c:v>
              </c:pt>
              <c:pt idx="1026">
                <c:v>51.34</c:v>
              </c:pt>
              <c:pt idx="1027">
                <c:v>61.23</c:v>
              </c:pt>
              <c:pt idx="1028">
                <c:v>73.05</c:v>
              </c:pt>
              <c:pt idx="1029">
                <c:v>84.5</c:v>
              </c:pt>
              <c:pt idx="1030">
                <c:v>97</c:v>
              </c:pt>
              <c:pt idx="1031">
                <c:v>113.1</c:v>
              </c:pt>
              <c:pt idx="1032">
                <c:v>131.69999999999999</c:v>
              </c:pt>
              <c:pt idx="1033">
                <c:v>153.30000000000001</c:v>
              </c:pt>
              <c:pt idx="1034">
                <c:v>175.8</c:v>
              </c:pt>
              <c:pt idx="1035">
                <c:v>195.5</c:v>
              </c:pt>
              <c:pt idx="1036">
                <c:v>213.2</c:v>
              </c:pt>
              <c:pt idx="1037">
                <c:v>223.6</c:v>
              </c:pt>
              <c:pt idx="1038">
                <c:v>226.1</c:v>
              </c:pt>
              <c:pt idx="1039">
                <c:v>221.8</c:v>
              </c:pt>
              <c:pt idx="1040">
                <c:v>206.4</c:v>
              </c:pt>
              <c:pt idx="1041">
                <c:v>173.1</c:v>
              </c:pt>
              <c:pt idx="1042">
                <c:v>147.80000000000001</c:v>
              </c:pt>
              <c:pt idx="1043">
                <c:v>130.6</c:v>
              </c:pt>
              <c:pt idx="1044">
                <c:v>113.5</c:v>
              </c:pt>
              <c:pt idx="1045">
                <c:v>95.2</c:v>
              </c:pt>
              <c:pt idx="1046">
                <c:v>80.599999999999994</c:v>
              </c:pt>
              <c:pt idx="1047">
                <c:v>68.290000000000006</c:v>
              </c:pt>
              <c:pt idx="1048">
                <c:v>55.91</c:v>
              </c:pt>
              <c:pt idx="1049">
                <c:v>50.13</c:v>
              </c:pt>
              <c:pt idx="1050">
                <c:v>55.99</c:v>
              </c:pt>
              <c:pt idx="1051">
                <c:v>67.11</c:v>
              </c:pt>
              <c:pt idx="1052">
                <c:v>79.760000000000005</c:v>
              </c:pt>
              <c:pt idx="1053">
                <c:v>95.6</c:v>
              </c:pt>
              <c:pt idx="1054">
                <c:v>113.6</c:v>
              </c:pt>
              <c:pt idx="1055">
                <c:v>132.80000000000001</c:v>
              </c:pt>
              <c:pt idx="1056">
                <c:v>154.5</c:v>
              </c:pt>
              <c:pt idx="1057">
                <c:v>174.5</c:v>
              </c:pt>
              <c:pt idx="1058">
                <c:v>188.5</c:v>
              </c:pt>
              <c:pt idx="1059">
                <c:v>196.6</c:v>
              </c:pt>
              <c:pt idx="1060">
                <c:v>202.4</c:v>
              </c:pt>
              <c:pt idx="1061">
                <c:v>205.9</c:v>
              </c:pt>
              <c:pt idx="1062">
                <c:v>204.1</c:v>
              </c:pt>
              <c:pt idx="1063">
                <c:v>198.5</c:v>
              </c:pt>
              <c:pt idx="1064">
                <c:v>192.7</c:v>
              </c:pt>
              <c:pt idx="1065">
                <c:v>187.4</c:v>
              </c:pt>
              <c:pt idx="1066">
                <c:v>182.7</c:v>
              </c:pt>
              <c:pt idx="1067">
                <c:v>174.9</c:v>
              </c:pt>
              <c:pt idx="1068">
                <c:v>163.19999999999999</c:v>
              </c:pt>
              <c:pt idx="1069">
                <c:v>148.30000000000001</c:v>
              </c:pt>
              <c:pt idx="1070">
                <c:v>132.4</c:v>
              </c:pt>
              <c:pt idx="1071">
                <c:v>119.7</c:v>
              </c:pt>
              <c:pt idx="1072">
                <c:v>109.1</c:v>
              </c:pt>
              <c:pt idx="1073">
                <c:v>98.6</c:v>
              </c:pt>
              <c:pt idx="1074">
                <c:v>89.9</c:v>
              </c:pt>
              <c:pt idx="1075">
                <c:v>82.5</c:v>
              </c:pt>
              <c:pt idx="1076">
                <c:v>74.349999999999994</c:v>
              </c:pt>
              <c:pt idx="1077">
                <c:v>65.64</c:v>
              </c:pt>
              <c:pt idx="1078">
                <c:v>55.43</c:v>
              </c:pt>
              <c:pt idx="1079">
                <c:v>47.33</c:v>
              </c:pt>
              <c:pt idx="1080">
                <c:v>40.75</c:v>
              </c:pt>
              <c:pt idx="1081">
                <c:v>37.01</c:v>
              </c:pt>
              <c:pt idx="1082">
                <c:v>36.5</c:v>
              </c:pt>
              <c:pt idx="1083">
                <c:v>38.46</c:v>
              </c:pt>
              <c:pt idx="1084">
                <c:v>40.5</c:v>
              </c:pt>
              <c:pt idx="1085">
                <c:v>42.29</c:v>
              </c:pt>
              <c:pt idx="1086">
                <c:v>45.82</c:v>
              </c:pt>
              <c:pt idx="1087">
                <c:v>49</c:v>
              </c:pt>
              <c:pt idx="1088">
                <c:v>51.97</c:v>
              </c:pt>
              <c:pt idx="1089">
                <c:v>56.69</c:v>
              </c:pt>
              <c:pt idx="1090">
                <c:v>63.7</c:v>
              </c:pt>
              <c:pt idx="1091">
                <c:v>70.2</c:v>
              </c:pt>
              <c:pt idx="1092">
                <c:v>75.08</c:v>
              </c:pt>
              <c:pt idx="1093">
                <c:v>77.88</c:v>
              </c:pt>
              <c:pt idx="1094">
                <c:v>78.7</c:v>
              </c:pt>
              <c:pt idx="1095">
                <c:v>76.89</c:v>
              </c:pt>
              <c:pt idx="1096">
                <c:v>73</c:v>
              </c:pt>
              <c:pt idx="1097">
                <c:v>73.709999999999994</c:v>
              </c:pt>
              <c:pt idx="1098">
                <c:v>81.099999999999994</c:v>
              </c:pt>
              <c:pt idx="1099">
                <c:v>85.3</c:v>
              </c:pt>
              <c:pt idx="1100">
                <c:v>86.1</c:v>
              </c:pt>
              <c:pt idx="1101">
                <c:v>87.4</c:v>
              </c:pt>
              <c:pt idx="1102">
                <c:v>87.1</c:v>
              </c:pt>
              <c:pt idx="1103">
                <c:v>86.5</c:v>
              </c:pt>
              <c:pt idx="1104">
                <c:v>86.1</c:v>
              </c:pt>
              <c:pt idx="1105">
                <c:v>85.7</c:v>
              </c:pt>
              <c:pt idx="1106">
                <c:v>85.5</c:v>
              </c:pt>
              <c:pt idx="1107">
                <c:v>84.7</c:v>
              </c:pt>
              <c:pt idx="1108">
                <c:v>83.1</c:v>
              </c:pt>
              <c:pt idx="1109">
                <c:v>81.8</c:v>
              </c:pt>
              <c:pt idx="1110">
                <c:v>81.599999999999994</c:v>
              </c:pt>
              <c:pt idx="1111">
                <c:v>82.3</c:v>
              </c:pt>
              <c:pt idx="1112">
                <c:v>83</c:v>
              </c:pt>
              <c:pt idx="1113">
                <c:v>82.7</c:v>
              </c:pt>
              <c:pt idx="1114">
                <c:v>81.900000000000006</c:v>
              </c:pt>
              <c:pt idx="1115">
                <c:v>81.2</c:v>
              </c:pt>
              <c:pt idx="1116">
                <c:v>80.7</c:v>
              </c:pt>
              <c:pt idx="1117">
                <c:v>80.099999999999994</c:v>
              </c:pt>
              <c:pt idx="1118">
                <c:v>79.2</c:v>
              </c:pt>
              <c:pt idx="1119">
                <c:v>77.92</c:v>
              </c:pt>
              <c:pt idx="1120">
                <c:v>76.069999999999993</c:v>
              </c:pt>
              <c:pt idx="1121">
                <c:v>73.91</c:v>
              </c:pt>
              <c:pt idx="1122">
                <c:v>71.44</c:v>
              </c:pt>
              <c:pt idx="1123">
                <c:v>68.58</c:v>
              </c:pt>
              <c:pt idx="1124">
                <c:v>66.36</c:v>
              </c:pt>
              <c:pt idx="1125">
                <c:v>64.42</c:v>
              </c:pt>
              <c:pt idx="1126">
                <c:v>63.46</c:v>
              </c:pt>
              <c:pt idx="1127">
                <c:v>62.66</c:v>
              </c:pt>
              <c:pt idx="1128">
                <c:v>61.47</c:v>
              </c:pt>
              <c:pt idx="1129">
                <c:v>60.42</c:v>
              </c:pt>
              <c:pt idx="1130">
                <c:v>59.7</c:v>
              </c:pt>
              <c:pt idx="1131">
                <c:v>58.79</c:v>
              </c:pt>
              <c:pt idx="1132">
                <c:v>57.3</c:v>
              </c:pt>
              <c:pt idx="1133">
                <c:v>56.29</c:v>
              </c:pt>
              <c:pt idx="1134">
                <c:v>55.45</c:v>
              </c:pt>
              <c:pt idx="1135">
                <c:v>54.02</c:v>
              </c:pt>
              <c:pt idx="1136">
                <c:v>52.29</c:v>
              </c:pt>
              <c:pt idx="1137">
                <c:v>51.14</c:v>
              </c:pt>
              <c:pt idx="1138">
                <c:v>49.76</c:v>
              </c:pt>
              <c:pt idx="1139">
                <c:v>47.79</c:v>
              </c:pt>
              <c:pt idx="1140">
                <c:v>45.4</c:v>
              </c:pt>
              <c:pt idx="1141">
                <c:v>43.29</c:v>
              </c:pt>
              <c:pt idx="1142">
                <c:v>41.21</c:v>
              </c:pt>
              <c:pt idx="1143">
                <c:v>39.11</c:v>
              </c:pt>
              <c:pt idx="1144">
                <c:v>37.659999999999997</c:v>
              </c:pt>
              <c:pt idx="1145">
                <c:v>36.29</c:v>
              </c:pt>
              <c:pt idx="1146">
                <c:v>34.79</c:v>
              </c:pt>
              <c:pt idx="1147">
                <c:v>33.17</c:v>
              </c:pt>
              <c:pt idx="1148">
                <c:v>31.84</c:v>
              </c:pt>
              <c:pt idx="1149">
                <c:v>30.9</c:v>
              </c:pt>
              <c:pt idx="1150">
                <c:v>30.42</c:v>
              </c:pt>
              <c:pt idx="1151">
                <c:v>30.55</c:v>
              </c:pt>
              <c:pt idx="1152">
                <c:v>31.06</c:v>
              </c:pt>
              <c:pt idx="1153">
                <c:v>31.54</c:v>
              </c:pt>
              <c:pt idx="1154">
                <c:v>31.43</c:v>
              </c:pt>
              <c:pt idx="1155">
                <c:v>30.04</c:v>
              </c:pt>
              <c:pt idx="1156">
                <c:v>27.63</c:v>
              </c:pt>
              <c:pt idx="1157">
                <c:v>25.78</c:v>
              </c:pt>
              <c:pt idx="1158">
                <c:v>24.81</c:v>
              </c:pt>
              <c:pt idx="1159">
                <c:v>22.13</c:v>
              </c:pt>
              <c:pt idx="1160">
                <c:v>16.989999999999998</c:v>
              </c:pt>
              <c:pt idx="1161">
                <c:v>12.54</c:v>
              </c:pt>
              <c:pt idx="1162">
                <c:v>10.029999999999999</c:v>
              </c:pt>
              <c:pt idx="1163">
                <c:v>8.2799999999999994</c:v>
              </c:pt>
              <c:pt idx="1164">
                <c:v>6.9139999999999997</c:v>
              </c:pt>
              <c:pt idx="1165">
                <c:v>5.8559999999999999</c:v>
              </c:pt>
              <c:pt idx="1166">
                <c:v>4.8659999999999997</c:v>
              </c:pt>
              <c:pt idx="1167">
                <c:v>4.0890000000000004</c:v>
              </c:pt>
              <c:pt idx="1168">
                <c:v>3.3969999999999998</c:v>
              </c:pt>
              <c:pt idx="1169">
                <c:v>2.8420000000000001</c:v>
              </c:pt>
              <c:pt idx="1170">
                <c:v>2.4300000000000002</c:v>
              </c:pt>
              <c:pt idx="1171">
                <c:v>2.0329999999999999</c:v>
              </c:pt>
              <c:pt idx="1172">
                <c:v>1.7130000000000001</c:v>
              </c:pt>
              <c:pt idx="1173">
                <c:v>1.4630000000000001</c:v>
              </c:pt>
              <c:pt idx="1174">
                <c:v>1.2390000000000001</c:v>
              </c:pt>
              <c:pt idx="1175">
                <c:v>1.0449999999999999</c:v>
              </c:pt>
              <c:pt idx="1176">
                <c:v>0.83699999999999997</c:v>
              </c:pt>
              <c:pt idx="1177">
                <c:v>0.69899999999999995</c:v>
              </c:pt>
              <c:pt idx="1178">
                <c:v>0.55100000000000005</c:v>
              </c:pt>
              <c:pt idx="1179">
                <c:v>0.436</c:v>
              </c:pt>
              <c:pt idx="1180">
                <c:v>0.316</c:v>
              </c:pt>
              <c:pt idx="1181">
                <c:v>0.25600000000000001</c:v>
              </c:pt>
              <c:pt idx="1182">
                <c:v>0.11799999999999999</c:v>
              </c:pt>
              <c:pt idx="1183">
                <c:v>4.5999999999999999E-2</c:v>
              </c:pt>
              <c:pt idx="1184">
                <c:v>1.0999999999999999E-2</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2.3360748666666686</c:v>
              </c:pt>
            </c:numLit>
          </c:val>
          <c:smooth val="0"/>
          <c:extLst>
            <c:ext xmlns:c16="http://schemas.microsoft.com/office/drawing/2014/chart" uri="{C3380CC4-5D6E-409C-BE32-E72D297353CC}">
              <c16:uniqueId val="{00000003-E3D2-4F3F-B450-EC8B6FCDC9BF}"/>
            </c:ext>
          </c:extLst>
        </c:ser>
        <c:ser>
          <c:idx val="4"/>
          <c:order val="4"/>
          <c:tx>
            <c:v>2.268927917 IS15 WMS POA Upward(W/mÂ²)</c:v>
          </c:tx>
          <c:spPr>
            <a:ln w="28575" cap="rnd">
              <a:solidFill>
                <a:schemeClr val="accent5"/>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2E-3</c:v>
              </c:pt>
              <c:pt idx="5">
                <c:v>1.7000000000000001E-2</c:v>
              </c:pt>
              <c:pt idx="6">
                <c:v>0.02</c:v>
              </c:pt>
              <c:pt idx="7">
                <c:v>4.2999999999999997E-2</c:v>
              </c:pt>
              <c:pt idx="8">
                <c:v>6.5000000000000002E-2</c:v>
              </c:pt>
              <c:pt idx="9">
                <c:v>0.105</c:v>
              </c:pt>
              <c:pt idx="10">
                <c:v>0.191</c:v>
              </c:pt>
              <c:pt idx="11">
                <c:v>0.18099999999999999</c:v>
              </c:pt>
              <c:pt idx="12">
                <c:v>0.17499999999999999</c:v>
              </c:pt>
              <c:pt idx="13">
                <c:v>0.23499999999999999</c:v>
              </c:pt>
              <c:pt idx="14">
                <c:v>0.24399999999999999</c:v>
              </c:pt>
              <c:pt idx="15">
                <c:v>0.27900000000000003</c:v>
              </c:pt>
              <c:pt idx="16">
                <c:v>0.19400000000000001</c:v>
              </c:pt>
              <c:pt idx="17">
                <c:v>0.24099999999999999</c:v>
              </c:pt>
              <c:pt idx="18">
                <c:v>0.20699999999999999</c:v>
              </c:pt>
              <c:pt idx="19">
                <c:v>0.27</c:v>
              </c:pt>
              <c:pt idx="20">
                <c:v>0.33900000000000002</c:v>
              </c:pt>
              <c:pt idx="21">
                <c:v>0.254</c:v>
              </c:pt>
              <c:pt idx="22">
                <c:v>0.28199999999999997</c:v>
              </c:pt>
              <c:pt idx="23">
                <c:v>0.27400000000000002</c:v>
              </c:pt>
              <c:pt idx="24">
                <c:v>0.25600000000000001</c:v>
              </c:pt>
              <c:pt idx="25">
                <c:v>0.22500000000000001</c:v>
              </c:pt>
              <c:pt idx="26">
                <c:v>0.29499999999999998</c:v>
              </c:pt>
              <c:pt idx="27">
                <c:v>0.30599999999999999</c:v>
              </c:pt>
              <c:pt idx="28">
                <c:v>0.308</c:v>
              </c:pt>
              <c:pt idx="29">
                <c:v>0.38300000000000001</c:v>
              </c:pt>
              <c:pt idx="30">
                <c:v>0.38400000000000001</c:v>
              </c:pt>
              <c:pt idx="31">
                <c:v>0.34799999999999998</c:v>
              </c:pt>
              <c:pt idx="32">
                <c:v>0.34899999999999998</c:v>
              </c:pt>
              <c:pt idx="33">
                <c:v>0.32600000000000001</c:v>
              </c:pt>
              <c:pt idx="34">
                <c:v>0.37</c:v>
              </c:pt>
              <c:pt idx="35">
                <c:v>0.31</c:v>
              </c:pt>
              <c:pt idx="36">
                <c:v>0.28100000000000003</c:v>
              </c:pt>
              <c:pt idx="37">
                <c:v>0.29899999999999999</c:v>
              </c:pt>
              <c:pt idx="38">
                <c:v>0.318</c:v>
              </c:pt>
              <c:pt idx="39">
                <c:v>0.318</c:v>
              </c:pt>
              <c:pt idx="40">
                <c:v>0.33800000000000002</c:v>
              </c:pt>
              <c:pt idx="41">
                <c:v>0.308</c:v>
              </c:pt>
              <c:pt idx="42">
                <c:v>0.372</c:v>
              </c:pt>
              <c:pt idx="43">
                <c:v>0.32800000000000001</c:v>
              </c:pt>
              <c:pt idx="44">
                <c:v>0.35</c:v>
              </c:pt>
              <c:pt idx="45">
                <c:v>0.40899999999999997</c:v>
              </c:pt>
              <c:pt idx="46">
                <c:v>0.39</c:v>
              </c:pt>
              <c:pt idx="47">
                <c:v>0.36899999999999999</c:v>
              </c:pt>
              <c:pt idx="48">
                <c:v>0.39</c:v>
              </c:pt>
              <c:pt idx="49">
                <c:v>0.40300000000000002</c:v>
              </c:pt>
              <c:pt idx="50">
                <c:v>0.372</c:v>
              </c:pt>
              <c:pt idx="51">
                <c:v>0.315</c:v>
              </c:pt>
              <c:pt idx="52">
                <c:v>0.32400000000000001</c:v>
              </c:pt>
              <c:pt idx="53">
                <c:v>0.27</c:v>
              </c:pt>
              <c:pt idx="54">
                <c:v>0.29099999999999998</c:v>
              </c:pt>
              <c:pt idx="55">
                <c:v>0.3</c:v>
              </c:pt>
              <c:pt idx="56">
                <c:v>0.25700000000000001</c:v>
              </c:pt>
              <c:pt idx="57">
                <c:v>0.21299999999999999</c:v>
              </c:pt>
              <c:pt idx="58">
                <c:v>0.32100000000000001</c:v>
              </c:pt>
              <c:pt idx="59">
                <c:v>0.317</c:v>
              </c:pt>
              <c:pt idx="60">
                <c:v>0.27800000000000002</c:v>
              </c:pt>
              <c:pt idx="61">
                <c:v>0.35199999999999998</c:v>
              </c:pt>
              <c:pt idx="62">
                <c:v>0.30499999999999999</c:v>
              </c:pt>
              <c:pt idx="63">
                <c:v>0.27100000000000002</c:v>
              </c:pt>
              <c:pt idx="64">
                <c:v>0.30199999999999999</c:v>
              </c:pt>
              <c:pt idx="65">
                <c:v>0.27500000000000002</c:v>
              </c:pt>
              <c:pt idx="66">
                <c:v>0.26400000000000001</c:v>
              </c:pt>
              <c:pt idx="67">
                <c:v>0.31</c:v>
              </c:pt>
              <c:pt idx="68">
                <c:v>0.27400000000000002</c:v>
              </c:pt>
              <c:pt idx="69">
                <c:v>0.32800000000000001</c:v>
              </c:pt>
              <c:pt idx="70">
                <c:v>0.32400000000000001</c:v>
              </c:pt>
              <c:pt idx="71">
                <c:v>0.26400000000000001</c:v>
              </c:pt>
              <c:pt idx="72">
                <c:v>0.32</c:v>
              </c:pt>
              <c:pt idx="73">
                <c:v>0.252</c:v>
              </c:pt>
              <c:pt idx="74">
                <c:v>0.29499999999999998</c:v>
              </c:pt>
              <c:pt idx="75">
                <c:v>0.27500000000000002</c:v>
              </c:pt>
              <c:pt idx="76">
                <c:v>0.251</c:v>
              </c:pt>
              <c:pt idx="77">
                <c:v>0.26800000000000002</c:v>
              </c:pt>
              <c:pt idx="78">
                <c:v>0.308</c:v>
              </c:pt>
              <c:pt idx="79">
                <c:v>0.28100000000000003</c:v>
              </c:pt>
              <c:pt idx="80">
                <c:v>0.29799999999999999</c:v>
              </c:pt>
              <c:pt idx="81">
                <c:v>0.28299999999999997</c:v>
              </c:pt>
              <c:pt idx="82">
                <c:v>0.33600000000000002</c:v>
              </c:pt>
              <c:pt idx="83">
                <c:v>0.34699999999999998</c:v>
              </c:pt>
              <c:pt idx="84">
                <c:v>0.37</c:v>
              </c:pt>
              <c:pt idx="85">
                <c:v>0.30499999999999999</c:v>
              </c:pt>
              <c:pt idx="86">
                <c:v>0.32</c:v>
              </c:pt>
              <c:pt idx="87">
                <c:v>0.25900000000000001</c:v>
              </c:pt>
              <c:pt idx="88">
                <c:v>0.26200000000000001</c:v>
              </c:pt>
              <c:pt idx="89">
                <c:v>0.248</c:v>
              </c:pt>
              <c:pt idx="90">
                <c:v>0.27700000000000002</c:v>
              </c:pt>
              <c:pt idx="91">
                <c:v>0.29099999999999998</c:v>
              </c:pt>
              <c:pt idx="92">
                <c:v>0.311</c:v>
              </c:pt>
              <c:pt idx="93">
                <c:v>0.30199999999999999</c:v>
              </c:pt>
              <c:pt idx="94">
                <c:v>0.26800000000000002</c:v>
              </c:pt>
              <c:pt idx="95">
                <c:v>0.28499999999999998</c:v>
              </c:pt>
              <c:pt idx="96">
                <c:v>0.222</c:v>
              </c:pt>
              <c:pt idx="97">
                <c:v>0.24199999999999999</c:v>
              </c:pt>
              <c:pt idx="98">
                <c:v>0.26800000000000002</c:v>
              </c:pt>
              <c:pt idx="99">
                <c:v>0.25900000000000001</c:v>
              </c:pt>
              <c:pt idx="100">
                <c:v>0.23699999999999999</c:v>
              </c:pt>
              <c:pt idx="101">
                <c:v>0.23400000000000001</c:v>
              </c:pt>
              <c:pt idx="102">
                <c:v>0.24399999999999999</c:v>
              </c:pt>
              <c:pt idx="103">
                <c:v>0.28399999999999997</c:v>
              </c:pt>
              <c:pt idx="104">
                <c:v>0.27500000000000002</c:v>
              </c:pt>
              <c:pt idx="105">
                <c:v>0.252</c:v>
              </c:pt>
              <c:pt idx="106">
                <c:v>0.26</c:v>
              </c:pt>
              <c:pt idx="107">
                <c:v>0.3</c:v>
              </c:pt>
              <c:pt idx="108">
                <c:v>0.26800000000000002</c:v>
              </c:pt>
              <c:pt idx="109">
                <c:v>0.24099999999999999</c:v>
              </c:pt>
              <c:pt idx="110">
                <c:v>0.25700000000000001</c:v>
              </c:pt>
              <c:pt idx="111">
                <c:v>0.20300000000000001</c:v>
              </c:pt>
              <c:pt idx="112">
                <c:v>0.23100000000000001</c:v>
              </c:pt>
              <c:pt idx="113">
                <c:v>0.23599999999999999</c:v>
              </c:pt>
              <c:pt idx="114">
                <c:v>0.23699999999999999</c:v>
              </c:pt>
              <c:pt idx="115">
                <c:v>0.13700000000000001</c:v>
              </c:pt>
              <c:pt idx="116">
                <c:v>0.155</c:v>
              </c:pt>
              <c:pt idx="117">
                <c:v>0.186</c:v>
              </c:pt>
              <c:pt idx="118">
                <c:v>0.13</c:v>
              </c:pt>
              <c:pt idx="119">
                <c:v>0.113</c:v>
              </c:pt>
              <c:pt idx="120">
                <c:v>0.1</c:v>
              </c:pt>
              <c:pt idx="121">
                <c:v>0.11899999999999999</c:v>
              </c:pt>
              <c:pt idx="122">
                <c:v>0.105</c:v>
              </c:pt>
              <c:pt idx="123">
                <c:v>7.4999999999999997E-2</c:v>
              </c:pt>
              <c:pt idx="124">
                <c:v>0.128</c:v>
              </c:pt>
              <c:pt idx="125">
                <c:v>9.8000000000000004E-2</c:v>
              </c:pt>
              <c:pt idx="126">
                <c:v>0.105</c:v>
              </c:pt>
              <c:pt idx="127">
                <c:v>7.0999999999999994E-2</c:v>
              </c:pt>
              <c:pt idx="128">
                <c:v>9.6000000000000002E-2</c:v>
              </c:pt>
              <c:pt idx="129">
                <c:v>7.4999999999999997E-2</c:v>
              </c:pt>
              <c:pt idx="130">
                <c:v>2.4E-2</c:v>
              </c:pt>
              <c:pt idx="131">
                <c:v>6.0999999999999999E-2</c:v>
              </c:pt>
              <c:pt idx="132">
                <c:v>7.8E-2</c:v>
              </c:pt>
              <c:pt idx="133">
                <c:v>6.2E-2</c:v>
              </c:pt>
              <c:pt idx="134">
                <c:v>5.0999999999999997E-2</c:v>
              </c:pt>
              <c:pt idx="135">
                <c:v>7.8E-2</c:v>
              </c:pt>
              <c:pt idx="136">
                <c:v>7.3999999999999996E-2</c:v>
              </c:pt>
              <c:pt idx="137">
                <c:v>0.111</c:v>
              </c:pt>
              <c:pt idx="138">
                <c:v>0.11899999999999999</c:v>
              </c:pt>
              <c:pt idx="139">
                <c:v>8.5999999999999993E-2</c:v>
              </c:pt>
              <c:pt idx="140">
                <c:v>8.7999999999999995E-2</c:v>
              </c:pt>
              <c:pt idx="141">
                <c:v>7.4999999999999997E-2</c:v>
              </c:pt>
              <c:pt idx="142">
                <c:v>5.7000000000000002E-2</c:v>
              </c:pt>
              <c:pt idx="143">
                <c:v>4.1000000000000002E-2</c:v>
              </c:pt>
              <c:pt idx="144">
                <c:v>7.9000000000000001E-2</c:v>
              </c:pt>
              <c:pt idx="145">
                <c:v>0.114</c:v>
              </c:pt>
              <c:pt idx="146">
                <c:v>6.9000000000000006E-2</c:v>
              </c:pt>
              <c:pt idx="147">
                <c:v>5.3999999999999999E-2</c:v>
              </c:pt>
              <c:pt idx="148">
                <c:v>5.6000000000000001E-2</c:v>
              </c:pt>
              <c:pt idx="149">
                <c:v>4.4999999999999998E-2</c:v>
              </c:pt>
              <c:pt idx="150">
                <c:v>6.2E-2</c:v>
              </c:pt>
              <c:pt idx="151">
                <c:v>7.3999999999999996E-2</c:v>
              </c:pt>
              <c:pt idx="152">
                <c:v>3.5000000000000003E-2</c:v>
              </c:pt>
              <c:pt idx="153">
                <c:v>6.2E-2</c:v>
              </c:pt>
              <c:pt idx="154">
                <c:v>1.9E-2</c:v>
              </c:pt>
              <c:pt idx="155">
                <c:v>5.5E-2</c:v>
              </c:pt>
              <c:pt idx="156">
                <c:v>1.2999999999999999E-2</c:v>
              </c:pt>
              <c:pt idx="157">
                <c:v>1.7999999999999999E-2</c:v>
              </c:pt>
              <c:pt idx="158">
                <c:v>1.2E-2</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8.0000000000000002E-3</c:v>
              </c:pt>
              <c:pt idx="198">
                <c:v>0</c:v>
              </c:pt>
              <c:pt idx="199">
                <c:v>2.5999999999999999E-2</c:v>
              </c:pt>
              <c:pt idx="200">
                <c:v>2.5999999999999999E-2</c:v>
              </c:pt>
              <c:pt idx="201">
                <c:v>1.4999999999999999E-2</c:v>
              </c:pt>
              <c:pt idx="202">
                <c:v>4.1000000000000002E-2</c:v>
              </c:pt>
              <c:pt idx="203">
                <c:v>1.4E-2</c:v>
              </c:pt>
              <c:pt idx="204">
                <c:v>1.0999999999999999E-2</c:v>
              </c:pt>
              <c:pt idx="205">
                <c:v>4.0000000000000001E-3</c:v>
              </c:pt>
              <c:pt idx="206">
                <c:v>7.0000000000000001E-3</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0.01</c:v>
              </c:pt>
              <c:pt idx="236">
                <c:v>1.0999999999999999E-2</c:v>
              </c:pt>
              <c:pt idx="237">
                <c:v>3.5999999999999997E-2</c:v>
              </c:pt>
              <c:pt idx="238">
                <c:v>3.6999999999999998E-2</c:v>
              </c:pt>
              <c:pt idx="239">
                <c:v>1.2E-2</c:v>
              </c:pt>
              <c:pt idx="240">
                <c:v>8.9999999999999993E-3</c:v>
              </c:pt>
              <c:pt idx="241">
                <c:v>1.7999999999999999E-2</c:v>
              </c:pt>
              <c:pt idx="242">
                <c:v>1.4999999999999999E-2</c:v>
              </c:pt>
              <c:pt idx="243">
                <c:v>3.0000000000000001E-3</c:v>
              </c:pt>
              <c:pt idx="244">
                <c:v>2.1999999999999999E-2</c:v>
              </c:pt>
              <c:pt idx="245">
                <c:v>1.2E-2</c:v>
              </c:pt>
              <c:pt idx="246">
                <c:v>4.9000000000000002E-2</c:v>
              </c:pt>
              <c:pt idx="247">
                <c:v>2.1000000000000001E-2</c:v>
              </c:pt>
              <c:pt idx="248">
                <c:v>3.0000000000000001E-3</c:v>
              </c:pt>
              <c:pt idx="249">
                <c:v>4.7E-2</c:v>
              </c:pt>
              <c:pt idx="250">
                <c:v>8.0000000000000002E-3</c:v>
              </c:pt>
              <c:pt idx="251">
                <c:v>4.0000000000000001E-3</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8.9999999999999993E-3</c:v>
              </c:pt>
              <c:pt idx="354">
                <c:v>0</c:v>
              </c:pt>
              <c:pt idx="355">
                <c:v>2.1000000000000001E-2</c:v>
              </c:pt>
              <c:pt idx="356">
                <c:v>0.111</c:v>
              </c:pt>
              <c:pt idx="357">
                <c:v>0.19500000000000001</c:v>
              </c:pt>
              <c:pt idx="358">
                <c:v>0.24399999999999999</c:v>
              </c:pt>
              <c:pt idx="359">
                <c:v>0.41799999999999998</c:v>
              </c:pt>
              <c:pt idx="360">
                <c:v>0.51600000000000001</c:v>
              </c:pt>
              <c:pt idx="361">
                <c:v>0.77800000000000002</c:v>
              </c:pt>
              <c:pt idx="362">
                <c:v>0.99199999999999999</c:v>
              </c:pt>
              <c:pt idx="363">
                <c:v>1.1970000000000001</c:v>
              </c:pt>
              <c:pt idx="364">
                <c:v>1.512</c:v>
              </c:pt>
              <c:pt idx="365">
                <c:v>1.895</c:v>
              </c:pt>
              <c:pt idx="366">
                <c:v>2.1760000000000002</c:v>
              </c:pt>
              <c:pt idx="367">
                <c:v>2.3359999999999999</c:v>
              </c:pt>
              <c:pt idx="368">
                <c:v>2.3679999999999999</c:v>
              </c:pt>
              <c:pt idx="369">
                <c:v>2.6819999999999999</c:v>
              </c:pt>
              <c:pt idx="370">
                <c:v>2.7069999999999999</c:v>
              </c:pt>
              <c:pt idx="371">
                <c:v>2.7090000000000001</c:v>
              </c:pt>
              <c:pt idx="372">
                <c:v>3.0609999999999999</c:v>
              </c:pt>
              <c:pt idx="373">
                <c:v>3.512</c:v>
              </c:pt>
              <c:pt idx="374">
                <c:v>3.718</c:v>
              </c:pt>
              <c:pt idx="375">
                <c:v>3.67</c:v>
              </c:pt>
              <c:pt idx="376">
                <c:v>4.09</c:v>
              </c:pt>
              <c:pt idx="377">
                <c:v>5.0869999999999997</c:v>
              </c:pt>
              <c:pt idx="378">
                <c:v>5.7290000000000001</c:v>
              </c:pt>
              <c:pt idx="379">
                <c:v>6.0650000000000004</c:v>
              </c:pt>
              <c:pt idx="380">
                <c:v>6.734</c:v>
              </c:pt>
              <c:pt idx="381">
                <c:v>7.109</c:v>
              </c:pt>
              <c:pt idx="382">
                <c:v>7.484</c:v>
              </c:pt>
              <c:pt idx="383">
                <c:v>7.6660000000000004</c:v>
              </c:pt>
              <c:pt idx="384">
                <c:v>7.8849999999999998</c:v>
              </c:pt>
              <c:pt idx="385">
                <c:v>8.5299999999999994</c:v>
              </c:pt>
              <c:pt idx="386">
                <c:v>9.16</c:v>
              </c:pt>
              <c:pt idx="387">
                <c:v>9.74</c:v>
              </c:pt>
              <c:pt idx="388">
                <c:v>9.39</c:v>
              </c:pt>
              <c:pt idx="389">
                <c:v>9.57</c:v>
              </c:pt>
              <c:pt idx="390">
                <c:v>9.75</c:v>
              </c:pt>
              <c:pt idx="391">
                <c:v>10.58</c:v>
              </c:pt>
              <c:pt idx="392">
                <c:v>11.4</c:v>
              </c:pt>
              <c:pt idx="393">
                <c:v>12.12</c:v>
              </c:pt>
              <c:pt idx="394">
                <c:v>13.67</c:v>
              </c:pt>
              <c:pt idx="395">
                <c:v>14.76</c:v>
              </c:pt>
              <c:pt idx="396">
                <c:v>15.03</c:v>
              </c:pt>
              <c:pt idx="397">
                <c:v>16.84</c:v>
              </c:pt>
              <c:pt idx="398">
                <c:v>17.95</c:v>
              </c:pt>
              <c:pt idx="399">
                <c:v>18.61</c:v>
              </c:pt>
              <c:pt idx="400">
                <c:v>19.66</c:v>
              </c:pt>
              <c:pt idx="401">
                <c:v>20.57</c:v>
              </c:pt>
              <c:pt idx="402">
                <c:v>20.079999999999998</c:v>
              </c:pt>
              <c:pt idx="403">
                <c:v>21.9</c:v>
              </c:pt>
              <c:pt idx="404">
                <c:v>23.64</c:v>
              </c:pt>
              <c:pt idx="405">
                <c:v>22.74</c:v>
              </c:pt>
              <c:pt idx="406">
                <c:v>22.01</c:v>
              </c:pt>
              <c:pt idx="407">
                <c:v>20.28</c:v>
              </c:pt>
              <c:pt idx="408">
                <c:v>18.98</c:v>
              </c:pt>
              <c:pt idx="409">
                <c:v>18.98</c:v>
              </c:pt>
              <c:pt idx="410">
                <c:v>18.21</c:v>
              </c:pt>
              <c:pt idx="411">
                <c:v>16.82</c:v>
              </c:pt>
              <c:pt idx="412">
                <c:v>15.53</c:v>
              </c:pt>
              <c:pt idx="413">
                <c:v>15.55</c:v>
              </c:pt>
              <c:pt idx="414">
                <c:v>16.62</c:v>
              </c:pt>
              <c:pt idx="415">
                <c:v>17.7</c:v>
              </c:pt>
              <c:pt idx="416">
                <c:v>18.86</c:v>
              </c:pt>
              <c:pt idx="417">
                <c:v>20.04</c:v>
              </c:pt>
              <c:pt idx="418">
                <c:v>20.13</c:v>
              </c:pt>
              <c:pt idx="419">
                <c:v>20.12</c:v>
              </c:pt>
              <c:pt idx="420">
                <c:v>19.82</c:v>
              </c:pt>
              <c:pt idx="421">
                <c:v>19.690000000000001</c:v>
              </c:pt>
              <c:pt idx="422">
                <c:v>19.21</c:v>
              </c:pt>
              <c:pt idx="423">
                <c:v>19.170000000000002</c:v>
              </c:pt>
              <c:pt idx="424">
                <c:v>19.16</c:v>
              </c:pt>
              <c:pt idx="425">
                <c:v>18.13</c:v>
              </c:pt>
              <c:pt idx="426">
                <c:v>16.61</c:v>
              </c:pt>
              <c:pt idx="427">
                <c:v>16.39</c:v>
              </c:pt>
              <c:pt idx="428">
                <c:v>16.89</c:v>
              </c:pt>
              <c:pt idx="429">
                <c:v>16.170000000000002</c:v>
              </c:pt>
              <c:pt idx="430">
                <c:v>15.57</c:v>
              </c:pt>
              <c:pt idx="431">
                <c:v>16.899999999999999</c:v>
              </c:pt>
              <c:pt idx="432">
                <c:v>18.04</c:v>
              </c:pt>
              <c:pt idx="433">
                <c:v>21.7</c:v>
              </c:pt>
              <c:pt idx="434">
                <c:v>24.24</c:v>
              </c:pt>
              <c:pt idx="435">
                <c:v>22.95</c:v>
              </c:pt>
              <c:pt idx="436">
                <c:v>20.64</c:v>
              </c:pt>
              <c:pt idx="437">
                <c:v>21.15</c:v>
              </c:pt>
              <c:pt idx="438">
                <c:v>22.82</c:v>
              </c:pt>
              <c:pt idx="439">
                <c:v>23.19</c:v>
              </c:pt>
              <c:pt idx="440">
                <c:v>24.81</c:v>
              </c:pt>
              <c:pt idx="441">
                <c:v>27.06</c:v>
              </c:pt>
              <c:pt idx="442">
                <c:v>28.08</c:v>
              </c:pt>
              <c:pt idx="443">
                <c:v>27.01</c:v>
              </c:pt>
              <c:pt idx="444">
                <c:v>30.3</c:v>
              </c:pt>
              <c:pt idx="445">
                <c:v>29.59</c:v>
              </c:pt>
              <c:pt idx="446">
                <c:v>31.15</c:v>
              </c:pt>
              <c:pt idx="447">
                <c:v>29.33</c:v>
              </c:pt>
              <c:pt idx="448">
                <c:v>29.79</c:v>
              </c:pt>
              <c:pt idx="449">
                <c:v>29.17</c:v>
              </c:pt>
              <c:pt idx="450">
                <c:v>26.37</c:v>
              </c:pt>
              <c:pt idx="451">
                <c:v>25.03</c:v>
              </c:pt>
              <c:pt idx="452">
                <c:v>23.87</c:v>
              </c:pt>
              <c:pt idx="453">
                <c:v>22.64</c:v>
              </c:pt>
              <c:pt idx="454">
                <c:v>25.09</c:v>
              </c:pt>
              <c:pt idx="455">
                <c:v>26.4</c:v>
              </c:pt>
              <c:pt idx="456">
                <c:v>26.73</c:v>
              </c:pt>
              <c:pt idx="457">
                <c:v>22.75</c:v>
              </c:pt>
              <c:pt idx="458">
                <c:v>19.989999999999998</c:v>
              </c:pt>
              <c:pt idx="459">
                <c:v>21.42</c:v>
              </c:pt>
              <c:pt idx="460">
                <c:v>22.95</c:v>
              </c:pt>
              <c:pt idx="461">
                <c:v>22.53</c:v>
              </c:pt>
              <c:pt idx="462">
                <c:v>28.52</c:v>
              </c:pt>
              <c:pt idx="463">
                <c:v>28.78</c:v>
              </c:pt>
              <c:pt idx="464">
                <c:v>26.48</c:v>
              </c:pt>
              <c:pt idx="465">
                <c:v>25.61</c:v>
              </c:pt>
              <c:pt idx="466">
                <c:v>24.68</c:v>
              </c:pt>
              <c:pt idx="467">
                <c:v>23.41</c:v>
              </c:pt>
              <c:pt idx="468">
                <c:v>21.26</c:v>
              </c:pt>
              <c:pt idx="469">
                <c:v>20.83</c:v>
              </c:pt>
              <c:pt idx="470">
                <c:v>22.47</c:v>
              </c:pt>
              <c:pt idx="471">
                <c:v>21.79</c:v>
              </c:pt>
              <c:pt idx="472">
                <c:v>24.79</c:v>
              </c:pt>
              <c:pt idx="473">
                <c:v>28.76</c:v>
              </c:pt>
              <c:pt idx="474">
                <c:v>30.33</c:v>
              </c:pt>
              <c:pt idx="475">
                <c:v>32.33</c:v>
              </c:pt>
              <c:pt idx="476">
                <c:v>33.159999999999997</c:v>
              </c:pt>
              <c:pt idx="477">
                <c:v>30.12</c:v>
              </c:pt>
              <c:pt idx="478">
                <c:v>29.11</c:v>
              </c:pt>
              <c:pt idx="479">
                <c:v>31.16</c:v>
              </c:pt>
              <c:pt idx="480">
                <c:v>30.12</c:v>
              </c:pt>
              <c:pt idx="481">
                <c:v>34.74</c:v>
              </c:pt>
              <c:pt idx="482">
                <c:v>38.71</c:v>
              </c:pt>
              <c:pt idx="483">
                <c:v>39.520000000000003</c:v>
              </c:pt>
              <c:pt idx="484">
                <c:v>50.11</c:v>
              </c:pt>
              <c:pt idx="485">
                <c:v>52.98</c:v>
              </c:pt>
              <c:pt idx="486">
                <c:v>51.93</c:v>
              </c:pt>
              <c:pt idx="487">
                <c:v>54.19</c:v>
              </c:pt>
              <c:pt idx="488">
                <c:v>57.87</c:v>
              </c:pt>
              <c:pt idx="489">
                <c:v>62.91</c:v>
              </c:pt>
              <c:pt idx="490">
                <c:v>60.93</c:v>
              </c:pt>
              <c:pt idx="491">
                <c:v>63.84</c:v>
              </c:pt>
              <c:pt idx="492">
                <c:v>70.14</c:v>
              </c:pt>
              <c:pt idx="493">
                <c:v>74.540000000000006</c:v>
              </c:pt>
              <c:pt idx="494">
                <c:v>76.38</c:v>
              </c:pt>
              <c:pt idx="495">
                <c:v>75.37</c:v>
              </c:pt>
              <c:pt idx="496">
                <c:v>73.75</c:v>
              </c:pt>
              <c:pt idx="497">
                <c:v>70.849999999999994</c:v>
              </c:pt>
              <c:pt idx="498">
                <c:v>65.38</c:v>
              </c:pt>
              <c:pt idx="499">
                <c:v>71.41</c:v>
              </c:pt>
              <c:pt idx="500">
                <c:v>74.69</c:v>
              </c:pt>
              <c:pt idx="501">
                <c:v>77.48</c:v>
              </c:pt>
              <c:pt idx="502">
                <c:v>90.3</c:v>
              </c:pt>
              <c:pt idx="503">
                <c:v>102.9</c:v>
              </c:pt>
              <c:pt idx="504">
                <c:v>100.7</c:v>
              </c:pt>
              <c:pt idx="505">
                <c:v>98.7</c:v>
              </c:pt>
              <c:pt idx="506">
                <c:v>115.4</c:v>
              </c:pt>
              <c:pt idx="507">
                <c:v>129.19999999999999</c:v>
              </c:pt>
              <c:pt idx="508">
                <c:v>128.80000000000001</c:v>
              </c:pt>
              <c:pt idx="509">
                <c:v>129.5</c:v>
              </c:pt>
              <c:pt idx="510">
                <c:v>127.3</c:v>
              </c:pt>
              <c:pt idx="511">
                <c:v>132.1</c:v>
              </c:pt>
              <c:pt idx="512">
                <c:v>132.5</c:v>
              </c:pt>
              <c:pt idx="513">
                <c:v>141.19999999999999</c:v>
              </c:pt>
              <c:pt idx="514">
                <c:v>146.9</c:v>
              </c:pt>
              <c:pt idx="515">
                <c:v>136.69999999999999</c:v>
              </c:pt>
              <c:pt idx="516">
                <c:v>142.1</c:v>
              </c:pt>
              <c:pt idx="517">
                <c:v>161.19999999999999</c:v>
              </c:pt>
              <c:pt idx="518">
                <c:v>171.3</c:v>
              </c:pt>
              <c:pt idx="519">
                <c:v>183.5</c:v>
              </c:pt>
              <c:pt idx="520">
                <c:v>202.5</c:v>
              </c:pt>
              <c:pt idx="521">
                <c:v>210</c:v>
              </c:pt>
              <c:pt idx="522">
                <c:v>217.5</c:v>
              </c:pt>
              <c:pt idx="523">
                <c:v>218.9</c:v>
              </c:pt>
              <c:pt idx="524">
                <c:v>226.7</c:v>
              </c:pt>
              <c:pt idx="525">
                <c:v>206.2</c:v>
              </c:pt>
              <c:pt idx="526">
                <c:v>191.9</c:v>
              </c:pt>
              <c:pt idx="527">
                <c:v>194.8</c:v>
              </c:pt>
              <c:pt idx="528">
                <c:v>188</c:v>
              </c:pt>
              <c:pt idx="529">
                <c:v>182.5</c:v>
              </c:pt>
              <c:pt idx="530">
                <c:v>164.6</c:v>
              </c:pt>
              <c:pt idx="531">
                <c:v>141</c:v>
              </c:pt>
              <c:pt idx="532">
                <c:v>103.7</c:v>
              </c:pt>
              <c:pt idx="533">
                <c:v>87.4</c:v>
              </c:pt>
              <c:pt idx="534">
                <c:v>86.4</c:v>
              </c:pt>
              <c:pt idx="535">
                <c:v>94.2</c:v>
              </c:pt>
              <c:pt idx="536">
                <c:v>98.1</c:v>
              </c:pt>
              <c:pt idx="537">
                <c:v>110.5</c:v>
              </c:pt>
              <c:pt idx="538">
                <c:v>137.9</c:v>
              </c:pt>
              <c:pt idx="539">
                <c:v>170.7</c:v>
              </c:pt>
              <c:pt idx="540">
                <c:v>189.5</c:v>
              </c:pt>
              <c:pt idx="541">
                <c:v>197.3</c:v>
              </c:pt>
              <c:pt idx="542">
                <c:v>192.1</c:v>
              </c:pt>
              <c:pt idx="543">
                <c:v>183.3</c:v>
              </c:pt>
              <c:pt idx="544">
                <c:v>174.1</c:v>
              </c:pt>
              <c:pt idx="545">
                <c:v>155.19999999999999</c:v>
              </c:pt>
              <c:pt idx="546">
                <c:v>152.1</c:v>
              </c:pt>
              <c:pt idx="547">
                <c:v>177.8</c:v>
              </c:pt>
              <c:pt idx="548">
                <c:v>167</c:v>
              </c:pt>
              <c:pt idx="549">
                <c:v>131.80000000000001</c:v>
              </c:pt>
              <c:pt idx="550">
                <c:v>113.5</c:v>
              </c:pt>
              <c:pt idx="551">
                <c:v>110.2</c:v>
              </c:pt>
              <c:pt idx="552">
                <c:v>105</c:v>
              </c:pt>
              <c:pt idx="553">
                <c:v>105.6</c:v>
              </c:pt>
              <c:pt idx="554">
                <c:v>97.8</c:v>
              </c:pt>
              <c:pt idx="555">
                <c:v>85.3</c:v>
              </c:pt>
              <c:pt idx="556">
                <c:v>78.39</c:v>
              </c:pt>
              <c:pt idx="557">
                <c:v>84.8</c:v>
              </c:pt>
              <c:pt idx="558">
                <c:v>89.5</c:v>
              </c:pt>
              <c:pt idx="559">
                <c:v>84.4</c:v>
              </c:pt>
              <c:pt idx="560">
                <c:v>78.17</c:v>
              </c:pt>
              <c:pt idx="561">
                <c:v>74.73</c:v>
              </c:pt>
              <c:pt idx="562">
                <c:v>73.28</c:v>
              </c:pt>
              <c:pt idx="563">
                <c:v>77.040000000000006</c:v>
              </c:pt>
              <c:pt idx="564">
                <c:v>81.8</c:v>
              </c:pt>
              <c:pt idx="565">
                <c:v>85.9</c:v>
              </c:pt>
              <c:pt idx="566">
                <c:v>86.9</c:v>
              </c:pt>
              <c:pt idx="567">
                <c:v>80.400000000000006</c:v>
              </c:pt>
              <c:pt idx="568">
                <c:v>86.6</c:v>
              </c:pt>
              <c:pt idx="569">
                <c:v>89.8</c:v>
              </c:pt>
              <c:pt idx="570">
                <c:v>92.4</c:v>
              </c:pt>
              <c:pt idx="571">
                <c:v>97.4</c:v>
              </c:pt>
              <c:pt idx="572">
                <c:v>105</c:v>
              </c:pt>
              <c:pt idx="573">
                <c:v>111.6</c:v>
              </c:pt>
              <c:pt idx="574">
                <c:v>113.4</c:v>
              </c:pt>
              <c:pt idx="575">
                <c:v>119.8</c:v>
              </c:pt>
              <c:pt idx="576">
                <c:v>116.3</c:v>
              </c:pt>
              <c:pt idx="577">
                <c:v>112.6</c:v>
              </c:pt>
              <c:pt idx="578">
                <c:v>109</c:v>
              </c:pt>
              <c:pt idx="579">
                <c:v>102.7</c:v>
              </c:pt>
              <c:pt idx="580">
                <c:v>103.8</c:v>
              </c:pt>
              <c:pt idx="581">
                <c:v>125.2</c:v>
              </c:pt>
              <c:pt idx="582">
                <c:v>134.19999999999999</c:v>
              </c:pt>
              <c:pt idx="583">
                <c:v>141.9</c:v>
              </c:pt>
              <c:pt idx="584">
                <c:v>146.80000000000001</c:v>
              </c:pt>
              <c:pt idx="585">
                <c:v>152.1</c:v>
              </c:pt>
              <c:pt idx="586">
                <c:v>161.69999999999999</c:v>
              </c:pt>
              <c:pt idx="587">
                <c:v>171.2</c:v>
              </c:pt>
              <c:pt idx="588">
                <c:v>183.7</c:v>
              </c:pt>
              <c:pt idx="589">
                <c:v>196.3</c:v>
              </c:pt>
              <c:pt idx="590">
                <c:v>209.1</c:v>
              </c:pt>
              <c:pt idx="591">
                <c:v>220.2</c:v>
              </c:pt>
              <c:pt idx="592">
                <c:v>231.1</c:v>
              </c:pt>
              <c:pt idx="593">
                <c:v>249.2</c:v>
              </c:pt>
              <c:pt idx="594">
                <c:v>264.39999999999998</c:v>
              </c:pt>
              <c:pt idx="595">
                <c:v>276.8</c:v>
              </c:pt>
              <c:pt idx="596">
                <c:v>284.8</c:v>
              </c:pt>
              <c:pt idx="597">
                <c:v>283.3</c:v>
              </c:pt>
              <c:pt idx="598">
                <c:v>284.7</c:v>
              </c:pt>
              <c:pt idx="599">
                <c:v>282.7</c:v>
              </c:pt>
              <c:pt idx="600">
                <c:v>292.7</c:v>
              </c:pt>
              <c:pt idx="601">
                <c:v>303.2</c:v>
              </c:pt>
              <c:pt idx="602">
                <c:v>307.89999999999998</c:v>
              </c:pt>
              <c:pt idx="603">
                <c:v>302.3</c:v>
              </c:pt>
              <c:pt idx="604">
                <c:v>283.7</c:v>
              </c:pt>
              <c:pt idx="605">
                <c:v>278.2</c:v>
              </c:pt>
              <c:pt idx="606">
                <c:v>284.5</c:v>
              </c:pt>
              <c:pt idx="607">
                <c:v>283.5</c:v>
              </c:pt>
              <c:pt idx="608">
                <c:v>276.39999999999998</c:v>
              </c:pt>
              <c:pt idx="609">
                <c:v>282.60000000000002</c:v>
              </c:pt>
              <c:pt idx="610">
                <c:v>289.89999999999998</c:v>
              </c:pt>
              <c:pt idx="611">
                <c:v>295.2</c:v>
              </c:pt>
              <c:pt idx="612">
                <c:v>294.60000000000002</c:v>
              </c:pt>
              <c:pt idx="613">
                <c:v>288.89999999999998</c:v>
              </c:pt>
              <c:pt idx="614">
                <c:v>288.7</c:v>
              </c:pt>
              <c:pt idx="615">
                <c:v>280.39999999999998</c:v>
              </c:pt>
              <c:pt idx="616">
                <c:v>271.3</c:v>
              </c:pt>
              <c:pt idx="617">
                <c:v>280.2</c:v>
              </c:pt>
              <c:pt idx="618">
                <c:v>294.10000000000002</c:v>
              </c:pt>
              <c:pt idx="619">
                <c:v>296.3</c:v>
              </c:pt>
              <c:pt idx="620">
                <c:v>299.2</c:v>
              </c:pt>
              <c:pt idx="621">
                <c:v>294.7</c:v>
              </c:pt>
              <c:pt idx="622">
                <c:v>293.8</c:v>
              </c:pt>
              <c:pt idx="623">
                <c:v>289</c:v>
              </c:pt>
              <c:pt idx="624">
                <c:v>282.7</c:v>
              </c:pt>
              <c:pt idx="625">
                <c:v>278.39999999999998</c:v>
              </c:pt>
              <c:pt idx="626">
                <c:v>263.10000000000002</c:v>
              </c:pt>
              <c:pt idx="627">
                <c:v>248.2</c:v>
              </c:pt>
              <c:pt idx="628">
                <c:v>246.7</c:v>
              </c:pt>
              <c:pt idx="629">
                <c:v>245.8</c:v>
              </c:pt>
              <c:pt idx="630">
                <c:v>247.5</c:v>
              </c:pt>
              <c:pt idx="631">
                <c:v>246.9</c:v>
              </c:pt>
              <c:pt idx="632">
                <c:v>244.4</c:v>
              </c:pt>
              <c:pt idx="633">
                <c:v>246.8</c:v>
              </c:pt>
              <c:pt idx="634">
                <c:v>250.8</c:v>
              </c:pt>
              <c:pt idx="635">
                <c:v>253.7</c:v>
              </c:pt>
              <c:pt idx="636">
                <c:v>252.1</c:v>
              </c:pt>
              <c:pt idx="637">
                <c:v>248.2</c:v>
              </c:pt>
              <c:pt idx="638">
                <c:v>247.8</c:v>
              </c:pt>
              <c:pt idx="639">
                <c:v>261</c:v>
              </c:pt>
              <c:pt idx="640">
                <c:v>272.39999999999998</c:v>
              </c:pt>
              <c:pt idx="641">
                <c:v>279.8</c:v>
              </c:pt>
              <c:pt idx="642">
                <c:v>284.10000000000002</c:v>
              </c:pt>
              <c:pt idx="643">
                <c:v>290.7</c:v>
              </c:pt>
              <c:pt idx="644">
                <c:v>279.2</c:v>
              </c:pt>
              <c:pt idx="645">
                <c:v>279.8</c:v>
              </c:pt>
              <c:pt idx="646">
                <c:v>311.60000000000002</c:v>
              </c:pt>
              <c:pt idx="647">
                <c:v>322</c:v>
              </c:pt>
              <c:pt idx="648">
                <c:v>328.9</c:v>
              </c:pt>
              <c:pt idx="649">
                <c:v>338.4</c:v>
              </c:pt>
              <c:pt idx="650">
                <c:v>350.2</c:v>
              </c:pt>
              <c:pt idx="651">
                <c:v>359.2</c:v>
              </c:pt>
              <c:pt idx="652">
                <c:v>365.7</c:v>
              </c:pt>
              <c:pt idx="653">
                <c:v>367.9</c:v>
              </c:pt>
              <c:pt idx="654">
                <c:v>367.8</c:v>
              </c:pt>
              <c:pt idx="655">
                <c:v>368.7</c:v>
              </c:pt>
              <c:pt idx="656">
                <c:v>377</c:v>
              </c:pt>
              <c:pt idx="657">
                <c:v>394.3</c:v>
              </c:pt>
              <c:pt idx="658">
                <c:v>413.8</c:v>
              </c:pt>
              <c:pt idx="659">
                <c:v>435.9</c:v>
              </c:pt>
              <c:pt idx="660">
                <c:v>452.8</c:v>
              </c:pt>
              <c:pt idx="661">
                <c:v>462.7</c:v>
              </c:pt>
              <c:pt idx="662">
                <c:v>480.8</c:v>
              </c:pt>
              <c:pt idx="663">
                <c:v>485.9</c:v>
              </c:pt>
              <c:pt idx="664">
                <c:v>504.5</c:v>
              </c:pt>
              <c:pt idx="665">
                <c:v>515.1</c:v>
              </c:pt>
              <c:pt idx="666">
                <c:v>518.4</c:v>
              </c:pt>
              <c:pt idx="667">
                <c:v>518</c:v>
              </c:pt>
              <c:pt idx="668">
                <c:v>495.5</c:v>
              </c:pt>
              <c:pt idx="669">
                <c:v>465.7</c:v>
              </c:pt>
              <c:pt idx="670">
                <c:v>437.4</c:v>
              </c:pt>
              <c:pt idx="671">
                <c:v>403</c:v>
              </c:pt>
              <c:pt idx="672">
                <c:v>352.2</c:v>
              </c:pt>
              <c:pt idx="673">
                <c:v>326.2</c:v>
              </c:pt>
              <c:pt idx="674">
                <c:v>335.9</c:v>
              </c:pt>
              <c:pt idx="675">
                <c:v>341.4</c:v>
              </c:pt>
              <c:pt idx="676">
                <c:v>342</c:v>
              </c:pt>
              <c:pt idx="677">
                <c:v>334.1</c:v>
              </c:pt>
              <c:pt idx="678">
                <c:v>336.8</c:v>
              </c:pt>
              <c:pt idx="679">
                <c:v>337.9</c:v>
              </c:pt>
              <c:pt idx="680">
                <c:v>332.5</c:v>
              </c:pt>
              <c:pt idx="681">
                <c:v>325.60000000000002</c:v>
              </c:pt>
              <c:pt idx="682">
                <c:v>316.8</c:v>
              </c:pt>
              <c:pt idx="683">
                <c:v>318.10000000000002</c:v>
              </c:pt>
              <c:pt idx="684">
                <c:v>332.2</c:v>
              </c:pt>
              <c:pt idx="685">
                <c:v>346.4</c:v>
              </c:pt>
              <c:pt idx="686">
                <c:v>345.5</c:v>
              </c:pt>
              <c:pt idx="687">
                <c:v>336.2</c:v>
              </c:pt>
              <c:pt idx="688">
                <c:v>340.1</c:v>
              </c:pt>
              <c:pt idx="689">
                <c:v>363.8</c:v>
              </c:pt>
              <c:pt idx="690">
                <c:v>379.5</c:v>
              </c:pt>
              <c:pt idx="691">
                <c:v>386.6</c:v>
              </c:pt>
              <c:pt idx="692">
                <c:v>395.1</c:v>
              </c:pt>
              <c:pt idx="693">
                <c:v>402.1</c:v>
              </c:pt>
              <c:pt idx="694">
                <c:v>404</c:v>
              </c:pt>
              <c:pt idx="695">
                <c:v>403.9</c:v>
              </c:pt>
              <c:pt idx="696">
                <c:v>399.7</c:v>
              </c:pt>
              <c:pt idx="697">
                <c:v>404.2</c:v>
              </c:pt>
              <c:pt idx="698">
                <c:v>428.7</c:v>
              </c:pt>
              <c:pt idx="699">
                <c:v>425</c:v>
              </c:pt>
              <c:pt idx="700">
                <c:v>451.4</c:v>
              </c:pt>
              <c:pt idx="701">
                <c:v>506</c:v>
              </c:pt>
              <c:pt idx="702">
                <c:v>565.9</c:v>
              </c:pt>
              <c:pt idx="703">
                <c:v>577.20000000000005</c:v>
              </c:pt>
              <c:pt idx="704">
                <c:v>588.4</c:v>
              </c:pt>
              <c:pt idx="705">
                <c:v>574.29999999999995</c:v>
              </c:pt>
              <c:pt idx="706">
                <c:v>566.5</c:v>
              </c:pt>
              <c:pt idx="707">
                <c:v>602.6</c:v>
              </c:pt>
              <c:pt idx="708">
                <c:v>533.6</c:v>
              </c:pt>
              <c:pt idx="709">
                <c:v>513.20000000000005</c:v>
              </c:pt>
              <c:pt idx="710">
                <c:v>495.1</c:v>
              </c:pt>
              <c:pt idx="711">
                <c:v>494.2</c:v>
              </c:pt>
              <c:pt idx="712">
                <c:v>490.3</c:v>
              </c:pt>
              <c:pt idx="713">
                <c:v>458.2</c:v>
              </c:pt>
              <c:pt idx="714">
                <c:v>452.6</c:v>
              </c:pt>
              <c:pt idx="715">
                <c:v>450.8</c:v>
              </c:pt>
              <c:pt idx="716">
                <c:v>459.4</c:v>
              </c:pt>
              <c:pt idx="717">
                <c:v>420.3</c:v>
              </c:pt>
              <c:pt idx="718">
                <c:v>339.2</c:v>
              </c:pt>
              <c:pt idx="719">
                <c:v>341.8</c:v>
              </c:pt>
              <c:pt idx="720">
                <c:v>401.9</c:v>
              </c:pt>
              <c:pt idx="721">
                <c:v>436</c:v>
              </c:pt>
              <c:pt idx="722">
                <c:v>454.4</c:v>
              </c:pt>
              <c:pt idx="723">
                <c:v>447.7</c:v>
              </c:pt>
              <c:pt idx="724">
                <c:v>404.3</c:v>
              </c:pt>
              <c:pt idx="725">
                <c:v>325.3</c:v>
              </c:pt>
              <c:pt idx="726">
                <c:v>288.10000000000002</c:v>
              </c:pt>
              <c:pt idx="727">
                <c:v>298.10000000000002</c:v>
              </c:pt>
              <c:pt idx="728">
                <c:v>345.8</c:v>
              </c:pt>
              <c:pt idx="729">
                <c:v>403.6</c:v>
              </c:pt>
              <c:pt idx="730">
                <c:v>396.7</c:v>
              </c:pt>
              <c:pt idx="731">
                <c:v>329.2</c:v>
              </c:pt>
              <c:pt idx="732">
                <c:v>314.2</c:v>
              </c:pt>
              <c:pt idx="733">
                <c:v>340.9</c:v>
              </c:pt>
              <c:pt idx="734">
                <c:v>336.2</c:v>
              </c:pt>
              <c:pt idx="735">
                <c:v>315.2</c:v>
              </c:pt>
              <c:pt idx="736">
                <c:v>297.3</c:v>
              </c:pt>
              <c:pt idx="737">
                <c:v>291.5</c:v>
              </c:pt>
              <c:pt idx="738">
                <c:v>281.8</c:v>
              </c:pt>
              <c:pt idx="739">
                <c:v>245.7</c:v>
              </c:pt>
              <c:pt idx="740">
                <c:v>222.5</c:v>
              </c:pt>
              <c:pt idx="741">
                <c:v>241.5</c:v>
              </c:pt>
              <c:pt idx="742">
                <c:v>291.60000000000002</c:v>
              </c:pt>
              <c:pt idx="743">
                <c:v>289.8</c:v>
              </c:pt>
              <c:pt idx="744">
                <c:v>274.7</c:v>
              </c:pt>
              <c:pt idx="745">
                <c:v>289.10000000000002</c:v>
              </c:pt>
              <c:pt idx="746">
                <c:v>290.10000000000002</c:v>
              </c:pt>
              <c:pt idx="747">
                <c:v>275.7</c:v>
              </c:pt>
              <c:pt idx="748">
                <c:v>273.3</c:v>
              </c:pt>
              <c:pt idx="749">
                <c:v>267.3</c:v>
              </c:pt>
              <c:pt idx="750">
                <c:v>261</c:v>
              </c:pt>
              <c:pt idx="751">
                <c:v>232.8</c:v>
              </c:pt>
              <c:pt idx="752">
                <c:v>190.3</c:v>
              </c:pt>
              <c:pt idx="753">
                <c:v>169.3</c:v>
              </c:pt>
              <c:pt idx="754">
                <c:v>163.9</c:v>
              </c:pt>
              <c:pt idx="755">
                <c:v>166.7</c:v>
              </c:pt>
              <c:pt idx="756">
                <c:v>164.1</c:v>
              </c:pt>
              <c:pt idx="757">
                <c:v>161.5</c:v>
              </c:pt>
              <c:pt idx="758">
                <c:v>159.5</c:v>
              </c:pt>
              <c:pt idx="759">
                <c:v>163.5</c:v>
              </c:pt>
              <c:pt idx="760">
                <c:v>160.4</c:v>
              </c:pt>
              <c:pt idx="761">
                <c:v>161.5</c:v>
              </c:pt>
              <c:pt idx="762">
                <c:v>184.2</c:v>
              </c:pt>
              <c:pt idx="763">
                <c:v>217.4</c:v>
              </c:pt>
              <c:pt idx="764">
                <c:v>234.3</c:v>
              </c:pt>
              <c:pt idx="765">
                <c:v>232.8</c:v>
              </c:pt>
              <c:pt idx="766">
                <c:v>223.4</c:v>
              </c:pt>
              <c:pt idx="767">
                <c:v>201.8</c:v>
              </c:pt>
              <c:pt idx="768">
                <c:v>175.5</c:v>
              </c:pt>
              <c:pt idx="769">
                <c:v>160.19999999999999</c:v>
              </c:pt>
              <c:pt idx="770">
                <c:v>157.80000000000001</c:v>
              </c:pt>
              <c:pt idx="771">
                <c:v>151.30000000000001</c:v>
              </c:pt>
              <c:pt idx="772">
                <c:v>142.69999999999999</c:v>
              </c:pt>
              <c:pt idx="773">
                <c:v>142</c:v>
              </c:pt>
              <c:pt idx="774">
                <c:v>135.9</c:v>
              </c:pt>
              <c:pt idx="775">
                <c:v>133.69999999999999</c:v>
              </c:pt>
              <c:pt idx="776">
                <c:v>125.7</c:v>
              </c:pt>
              <c:pt idx="777">
                <c:v>126.2</c:v>
              </c:pt>
              <c:pt idx="778">
                <c:v>131.80000000000001</c:v>
              </c:pt>
              <c:pt idx="779">
                <c:v>123.3</c:v>
              </c:pt>
              <c:pt idx="780">
                <c:v>128</c:v>
              </c:pt>
              <c:pt idx="781">
                <c:v>149.30000000000001</c:v>
              </c:pt>
              <c:pt idx="782">
                <c:v>172</c:v>
              </c:pt>
              <c:pt idx="783">
                <c:v>186.9</c:v>
              </c:pt>
              <c:pt idx="784">
                <c:v>187.2</c:v>
              </c:pt>
              <c:pt idx="785">
                <c:v>193.2</c:v>
              </c:pt>
              <c:pt idx="786">
                <c:v>208.3</c:v>
              </c:pt>
              <c:pt idx="787">
                <c:v>217.1</c:v>
              </c:pt>
              <c:pt idx="788">
                <c:v>211.3</c:v>
              </c:pt>
              <c:pt idx="789">
                <c:v>199</c:v>
              </c:pt>
              <c:pt idx="790">
                <c:v>196.3</c:v>
              </c:pt>
              <c:pt idx="791">
                <c:v>203.6</c:v>
              </c:pt>
              <c:pt idx="792">
                <c:v>217.6</c:v>
              </c:pt>
              <c:pt idx="793">
                <c:v>225.9</c:v>
              </c:pt>
              <c:pt idx="794">
                <c:v>228</c:v>
              </c:pt>
              <c:pt idx="795">
                <c:v>242.6</c:v>
              </c:pt>
              <c:pt idx="796">
                <c:v>253.7</c:v>
              </c:pt>
              <c:pt idx="797">
                <c:v>265.2</c:v>
              </c:pt>
              <c:pt idx="798">
                <c:v>280.5</c:v>
              </c:pt>
              <c:pt idx="799">
                <c:v>301.89999999999998</c:v>
              </c:pt>
              <c:pt idx="800">
                <c:v>324.7</c:v>
              </c:pt>
              <c:pt idx="801">
                <c:v>337.2</c:v>
              </c:pt>
              <c:pt idx="802">
                <c:v>372.2</c:v>
              </c:pt>
              <c:pt idx="803">
                <c:v>409.5</c:v>
              </c:pt>
              <c:pt idx="804">
                <c:v>443.9</c:v>
              </c:pt>
              <c:pt idx="805">
                <c:v>451.7</c:v>
              </c:pt>
              <c:pt idx="806">
                <c:v>412.2</c:v>
              </c:pt>
              <c:pt idx="807">
                <c:v>420.8</c:v>
              </c:pt>
              <c:pt idx="808">
                <c:v>375</c:v>
              </c:pt>
              <c:pt idx="809">
                <c:v>318.89999999999998</c:v>
              </c:pt>
              <c:pt idx="810">
                <c:v>350.2</c:v>
              </c:pt>
              <c:pt idx="811">
                <c:v>388</c:v>
              </c:pt>
              <c:pt idx="812">
                <c:v>387</c:v>
              </c:pt>
              <c:pt idx="813">
                <c:v>362.4</c:v>
              </c:pt>
              <c:pt idx="814">
                <c:v>321</c:v>
              </c:pt>
              <c:pt idx="815">
                <c:v>304</c:v>
              </c:pt>
              <c:pt idx="816">
                <c:v>303.39999999999998</c:v>
              </c:pt>
              <c:pt idx="817">
                <c:v>306.8</c:v>
              </c:pt>
              <c:pt idx="818">
                <c:v>307.89999999999998</c:v>
              </c:pt>
              <c:pt idx="819">
                <c:v>303.89999999999998</c:v>
              </c:pt>
              <c:pt idx="820">
                <c:v>295</c:v>
              </c:pt>
              <c:pt idx="821">
                <c:v>279.5</c:v>
              </c:pt>
              <c:pt idx="822">
                <c:v>273.10000000000002</c:v>
              </c:pt>
              <c:pt idx="823">
                <c:v>263.7</c:v>
              </c:pt>
              <c:pt idx="824">
                <c:v>234.9</c:v>
              </c:pt>
              <c:pt idx="825">
                <c:v>224.8</c:v>
              </c:pt>
              <c:pt idx="826">
                <c:v>251.7</c:v>
              </c:pt>
              <c:pt idx="827">
                <c:v>268.60000000000002</c:v>
              </c:pt>
              <c:pt idx="828">
                <c:v>265.2</c:v>
              </c:pt>
              <c:pt idx="829">
                <c:v>267</c:v>
              </c:pt>
              <c:pt idx="830">
                <c:v>273.5</c:v>
              </c:pt>
              <c:pt idx="831">
                <c:v>258.8</c:v>
              </c:pt>
              <c:pt idx="832">
                <c:v>281.10000000000002</c:v>
              </c:pt>
              <c:pt idx="833">
                <c:v>309.2</c:v>
              </c:pt>
              <c:pt idx="834">
                <c:v>326</c:v>
              </c:pt>
              <c:pt idx="835">
                <c:v>351.5</c:v>
              </c:pt>
              <c:pt idx="836">
                <c:v>371.4</c:v>
              </c:pt>
              <c:pt idx="837">
                <c:v>383.9</c:v>
              </c:pt>
              <c:pt idx="838">
                <c:v>389.5</c:v>
              </c:pt>
              <c:pt idx="839">
                <c:v>399.6</c:v>
              </c:pt>
              <c:pt idx="840">
                <c:v>411.2</c:v>
              </c:pt>
              <c:pt idx="841">
                <c:v>417.2</c:v>
              </c:pt>
              <c:pt idx="842">
                <c:v>419.2</c:v>
              </c:pt>
              <c:pt idx="843">
                <c:v>422.3</c:v>
              </c:pt>
              <c:pt idx="844">
                <c:v>376.7</c:v>
              </c:pt>
              <c:pt idx="845">
                <c:v>371.3</c:v>
              </c:pt>
              <c:pt idx="846">
                <c:v>370.8</c:v>
              </c:pt>
              <c:pt idx="847">
                <c:v>344.3</c:v>
              </c:pt>
              <c:pt idx="848">
                <c:v>310.7</c:v>
              </c:pt>
              <c:pt idx="849">
                <c:v>306.60000000000002</c:v>
              </c:pt>
              <c:pt idx="850">
                <c:v>316.8</c:v>
              </c:pt>
              <c:pt idx="851">
                <c:v>298.5</c:v>
              </c:pt>
              <c:pt idx="852">
                <c:v>279</c:v>
              </c:pt>
              <c:pt idx="853">
                <c:v>254.4</c:v>
              </c:pt>
              <c:pt idx="854">
                <c:v>226.3</c:v>
              </c:pt>
              <c:pt idx="855">
                <c:v>252.7</c:v>
              </c:pt>
              <c:pt idx="856">
                <c:v>273.10000000000002</c:v>
              </c:pt>
              <c:pt idx="857">
                <c:v>289.39999999999998</c:v>
              </c:pt>
              <c:pt idx="858">
                <c:v>289.7</c:v>
              </c:pt>
              <c:pt idx="859">
                <c:v>256</c:v>
              </c:pt>
              <c:pt idx="860">
                <c:v>252.8</c:v>
              </c:pt>
              <c:pt idx="861">
                <c:v>237.1</c:v>
              </c:pt>
              <c:pt idx="862">
                <c:v>256.39999999999998</c:v>
              </c:pt>
              <c:pt idx="863">
                <c:v>318.5</c:v>
              </c:pt>
              <c:pt idx="864">
                <c:v>334.8</c:v>
              </c:pt>
              <c:pt idx="865">
                <c:v>308.8</c:v>
              </c:pt>
              <c:pt idx="866">
                <c:v>268.3</c:v>
              </c:pt>
              <c:pt idx="867">
                <c:v>222.2</c:v>
              </c:pt>
              <c:pt idx="868">
                <c:v>198</c:v>
              </c:pt>
              <c:pt idx="869">
                <c:v>206.2</c:v>
              </c:pt>
              <c:pt idx="870">
                <c:v>200.8</c:v>
              </c:pt>
              <c:pt idx="871">
                <c:v>183.5</c:v>
              </c:pt>
              <c:pt idx="872">
                <c:v>168.5</c:v>
              </c:pt>
              <c:pt idx="873">
                <c:v>178.2</c:v>
              </c:pt>
              <c:pt idx="874">
                <c:v>203.1</c:v>
              </c:pt>
              <c:pt idx="875">
                <c:v>232.6</c:v>
              </c:pt>
              <c:pt idx="876">
                <c:v>240.2</c:v>
              </c:pt>
              <c:pt idx="877">
                <c:v>233.9</c:v>
              </c:pt>
              <c:pt idx="878">
                <c:v>226.7</c:v>
              </c:pt>
              <c:pt idx="879">
                <c:v>218.1</c:v>
              </c:pt>
              <c:pt idx="880">
                <c:v>211.9</c:v>
              </c:pt>
              <c:pt idx="881">
                <c:v>208.8</c:v>
              </c:pt>
              <c:pt idx="882">
                <c:v>259.5</c:v>
              </c:pt>
              <c:pt idx="883">
                <c:v>293.2</c:v>
              </c:pt>
              <c:pt idx="884">
                <c:v>270</c:v>
              </c:pt>
              <c:pt idx="885">
                <c:v>233.3</c:v>
              </c:pt>
              <c:pt idx="886">
                <c:v>191.7</c:v>
              </c:pt>
              <c:pt idx="887">
                <c:v>162.69999999999999</c:v>
              </c:pt>
              <c:pt idx="888">
                <c:v>149.5</c:v>
              </c:pt>
              <c:pt idx="889">
                <c:v>142.1</c:v>
              </c:pt>
              <c:pt idx="890">
                <c:v>143.30000000000001</c:v>
              </c:pt>
              <c:pt idx="891">
                <c:v>185.3</c:v>
              </c:pt>
              <c:pt idx="892">
                <c:v>218</c:v>
              </c:pt>
              <c:pt idx="893">
                <c:v>187.1</c:v>
              </c:pt>
              <c:pt idx="894">
                <c:v>147.4</c:v>
              </c:pt>
              <c:pt idx="895">
                <c:v>115.9</c:v>
              </c:pt>
              <c:pt idx="896">
                <c:v>92.9</c:v>
              </c:pt>
              <c:pt idx="897">
                <c:v>92.4</c:v>
              </c:pt>
              <c:pt idx="898">
                <c:v>101.8</c:v>
              </c:pt>
              <c:pt idx="899">
                <c:v>109.1</c:v>
              </c:pt>
              <c:pt idx="900">
                <c:v>108.2</c:v>
              </c:pt>
              <c:pt idx="901">
                <c:v>100</c:v>
              </c:pt>
              <c:pt idx="902">
                <c:v>92.2</c:v>
              </c:pt>
              <c:pt idx="903">
                <c:v>83.3</c:v>
              </c:pt>
              <c:pt idx="904">
                <c:v>73.03</c:v>
              </c:pt>
              <c:pt idx="905">
                <c:v>74.22</c:v>
              </c:pt>
              <c:pt idx="906">
                <c:v>94</c:v>
              </c:pt>
              <c:pt idx="907">
                <c:v>109.7</c:v>
              </c:pt>
              <c:pt idx="908">
                <c:v>122.9</c:v>
              </c:pt>
              <c:pt idx="909">
                <c:v>136.5</c:v>
              </c:pt>
              <c:pt idx="910">
                <c:v>147.30000000000001</c:v>
              </c:pt>
              <c:pt idx="911">
                <c:v>152.30000000000001</c:v>
              </c:pt>
              <c:pt idx="912">
                <c:v>150.30000000000001</c:v>
              </c:pt>
              <c:pt idx="913">
                <c:v>141.4</c:v>
              </c:pt>
              <c:pt idx="914">
                <c:v>133</c:v>
              </c:pt>
              <c:pt idx="915">
                <c:v>128.69999999999999</c:v>
              </c:pt>
              <c:pt idx="916">
                <c:v>127.2</c:v>
              </c:pt>
              <c:pt idx="917">
                <c:v>129.69999999999999</c:v>
              </c:pt>
              <c:pt idx="918">
                <c:v>126.4</c:v>
              </c:pt>
              <c:pt idx="919">
                <c:v>120.9</c:v>
              </c:pt>
              <c:pt idx="920">
                <c:v>122.3</c:v>
              </c:pt>
              <c:pt idx="921">
                <c:v>128.4</c:v>
              </c:pt>
              <c:pt idx="922">
                <c:v>136.30000000000001</c:v>
              </c:pt>
              <c:pt idx="923">
                <c:v>144.4</c:v>
              </c:pt>
              <c:pt idx="924">
                <c:v>149.5</c:v>
              </c:pt>
              <c:pt idx="925">
                <c:v>148.69999999999999</c:v>
              </c:pt>
              <c:pt idx="926">
                <c:v>144.4</c:v>
              </c:pt>
              <c:pt idx="927">
                <c:v>136.69999999999999</c:v>
              </c:pt>
              <c:pt idx="928">
                <c:v>131.30000000000001</c:v>
              </c:pt>
              <c:pt idx="929">
                <c:v>127.2</c:v>
              </c:pt>
              <c:pt idx="930">
                <c:v>118.9</c:v>
              </c:pt>
              <c:pt idx="931">
                <c:v>110.5</c:v>
              </c:pt>
              <c:pt idx="932">
                <c:v>105.8</c:v>
              </c:pt>
              <c:pt idx="933">
                <c:v>106.1</c:v>
              </c:pt>
              <c:pt idx="934">
                <c:v>109.2</c:v>
              </c:pt>
              <c:pt idx="935">
                <c:v>114.2</c:v>
              </c:pt>
              <c:pt idx="936">
                <c:v>119.4</c:v>
              </c:pt>
              <c:pt idx="937">
                <c:v>122.6</c:v>
              </c:pt>
              <c:pt idx="938">
                <c:v>121.8</c:v>
              </c:pt>
              <c:pt idx="939">
                <c:v>116.4</c:v>
              </c:pt>
              <c:pt idx="940">
                <c:v>111</c:v>
              </c:pt>
              <c:pt idx="941">
                <c:v>106.7</c:v>
              </c:pt>
              <c:pt idx="942">
                <c:v>104.8</c:v>
              </c:pt>
              <c:pt idx="943">
                <c:v>108.1</c:v>
              </c:pt>
              <c:pt idx="944">
                <c:v>111.9</c:v>
              </c:pt>
              <c:pt idx="945">
                <c:v>113.2</c:v>
              </c:pt>
              <c:pt idx="946">
                <c:v>112.6</c:v>
              </c:pt>
              <c:pt idx="947">
                <c:v>112</c:v>
              </c:pt>
              <c:pt idx="948">
                <c:v>113.1</c:v>
              </c:pt>
              <c:pt idx="949">
                <c:v>117.7</c:v>
              </c:pt>
              <c:pt idx="950">
                <c:v>125.9</c:v>
              </c:pt>
              <c:pt idx="951">
                <c:v>135.1</c:v>
              </c:pt>
              <c:pt idx="952">
                <c:v>144.1</c:v>
              </c:pt>
              <c:pt idx="953">
                <c:v>151.9</c:v>
              </c:pt>
              <c:pt idx="954">
                <c:v>158.19999999999999</c:v>
              </c:pt>
              <c:pt idx="955">
                <c:v>161.80000000000001</c:v>
              </c:pt>
              <c:pt idx="956">
                <c:v>158.80000000000001</c:v>
              </c:pt>
              <c:pt idx="957">
                <c:v>147.6</c:v>
              </c:pt>
              <c:pt idx="958">
                <c:v>135.30000000000001</c:v>
              </c:pt>
              <c:pt idx="959">
                <c:v>126.9</c:v>
              </c:pt>
              <c:pt idx="960">
                <c:v>120.1</c:v>
              </c:pt>
              <c:pt idx="961">
                <c:v>114.6</c:v>
              </c:pt>
              <c:pt idx="962">
                <c:v>108.1</c:v>
              </c:pt>
              <c:pt idx="963">
                <c:v>101.1</c:v>
              </c:pt>
              <c:pt idx="964">
                <c:v>93.5</c:v>
              </c:pt>
              <c:pt idx="965">
                <c:v>86.5</c:v>
              </c:pt>
              <c:pt idx="966">
                <c:v>81.5</c:v>
              </c:pt>
              <c:pt idx="967">
                <c:v>79.010000000000005</c:v>
              </c:pt>
              <c:pt idx="968">
                <c:v>75.94</c:v>
              </c:pt>
              <c:pt idx="969">
                <c:v>71.48</c:v>
              </c:pt>
              <c:pt idx="970">
                <c:v>68.11</c:v>
              </c:pt>
              <c:pt idx="971">
                <c:v>68.62</c:v>
              </c:pt>
              <c:pt idx="972">
                <c:v>74.3</c:v>
              </c:pt>
              <c:pt idx="973">
                <c:v>80.599999999999994</c:v>
              </c:pt>
              <c:pt idx="974">
                <c:v>80.599999999999994</c:v>
              </c:pt>
              <c:pt idx="975">
                <c:v>79.36</c:v>
              </c:pt>
              <c:pt idx="976">
                <c:v>79.14</c:v>
              </c:pt>
              <c:pt idx="977">
                <c:v>80.400000000000006</c:v>
              </c:pt>
              <c:pt idx="978">
                <c:v>82.8</c:v>
              </c:pt>
              <c:pt idx="979">
                <c:v>88.1</c:v>
              </c:pt>
              <c:pt idx="980">
                <c:v>103.5</c:v>
              </c:pt>
              <c:pt idx="981">
                <c:v>125.4</c:v>
              </c:pt>
              <c:pt idx="982">
                <c:v>158.9</c:v>
              </c:pt>
              <c:pt idx="983">
                <c:v>193.6</c:v>
              </c:pt>
              <c:pt idx="984">
                <c:v>192.2</c:v>
              </c:pt>
              <c:pt idx="985">
                <c:v>186.1</c:v>
              </c:pt>
              <c:pt idx="986">
                <c:v>179</c:v>
              </c:pt>
              <c:pt idx="987">
                <c:v>174.1</c:v>
              </c:pt>
              <c:pt idx="988">
                <c:v>175.6</c:v>
              </c:pt>
              <c:pt idx="989">
                <c:v>187.4</c:v>
              </c:pt>
              <c:pt idx="990">
                <c:v>196.2</c:v>
              </c:pt>
              <c:pt idx="991">
                <c:v>203.7</c:v>
              </c:pt>
              <c:pt idx="992">
                <c:v>205.7</c:v>
              </c:pt>
              <c:pt idx="993">
                <c:v>205.7</c:v>
              </c:pt>
              <c:pt idx="994">
                <c:v>205.9</c:v>
              </c:pt>
              <c:pt idx="995">
                <c:v>210.1</c:v>
              </c:pt>
              <c:pt idx="996">
                <c:v>214</c:v>
              </c:pt>
              <c:pt idx="997">
                <c:v>214.8</c:v>
              </c:pt>
              <c:pt idx="998">
                <c:v>209.1</c:v>
              </c:pt>
              <c:pt idx="999">
                <c:v>196.4</c:v>
              </c:pt>
              <c:pt idx="1000">
                <c:v>178.7</c:v>
              </c:pt>
              <c:pt idx="1001">
                <c:v>163.4</c:v>
              </c:pt>
              <c:pt idx="1002">
                <c:v>145.5</c:v>
              </c:pt>
              <c:pt idx="1003">
                <c:v>127.1</c:v>
              </c:pt>
              <c:pt idx="1004">
                <c:v>109.5</c:v>
              </c:pt>
              <c:pt idx="1005">
                <c:v>92.1</c:v>
              </c:pt>
              <c:pt idx="1006">
                <c:v>80.3</c:v>
              </c:pt>
              <c:pt idx="1007">
                <c:v>72.53</c:v>
              </c:pt>
              <c:pt idx="1008">
                <c:v>67.14</c:v>
              </c:pt>
              <c:pt idx="1009">
                <c:v>61.86</c:v>
              </c:pt>
              <c:pt idx="1010">
                <c:v>53.88</c:v>
              </c:pt>
              <c:pt idx="1011">
                <c:v>45</c:v>
              </c:pt>
              <c:pt idx="1012">
                <c:v>38.36</c:v>
              </c:pt>
              <c:pt idx="1013">
                <c:v>38.4</c:v>
              </c:pt>
              <c:pt idx="1014">
                <c:v>39.36</c:v>
              </c:pt>
              <c:pt idx="1015">
                <c:v>37.340000000000003</c:v>
              </c:pt>
              <c:pt idx="1016">
                <c:v>34.82</c:v>
              </c:pt>
              <c:pt idx="1017">
                <c:v>32.99</c:v>
              </c:pt>
              <c:pt idx="1018">
                <c:v>31.62</c:v>
              </c:pt>
              <c:pt idx="1019">
                <c:v>32.01</c:v>
              </c:pt>
              <c:pt idx="1020">
                <c:v>35.5</c:v>
              </c:pt>
              <c:pt idx="1021">
                <c:v>40.64</c:v>
              </c:pt>
              <c:pt idx="1022">
                <c:v>47.25</c:v>
              </c:pt>
              <c:pt idx="1023">
                <c:v>57.06</c:v>
              </c:pt>
              <c:pt idx="1024">
                <c:v>71.760000000000005</c:v>
              </c:pt>
              <c:pt idx="1025">
                <c:v>88.8</c:v>
              </c:pt>
              <c:pt idx="1026">
                <c:v>104.1</c:v>
              </c:pt>
              <c:pt idx="1027">
                <c:v>119.6</c:v>
              </c:pt>
              <c:pt idx="1028">
                <c:v>137.19999999999999</c:v>
              </c:pt>
              <c:pt idx="1029">
                <c:v>155.19999999999999</c:v>
              </c:pt>
              <c:pt idx="1030">
                <c:v>172.1</c:v>
              </c:pt>
              <c:pt idx="1031">
                <c:v>189.8</c:v>
              </c:pt>
              <c:pt idx="1032">
                <c:v>210</c:v>
              </c:pt>
              <c:pt idx="1033">
                <c:v>227.3</c:v>
              </c:pt>
              <c:pt idx="1034">
                <c:v>238.5</c:v>
              </c:pt>
              <c:pt idx="1035">
                <c:v>244.3</c:v>
              </c:pt>
              <c:pt idx="1036">
                <c:v>248</c:v>
              </c:pt>
              <c:pt idx="1037">
                <c:v>261.39999999999998</c:v>
              </c:pt>
              <c:pt idx="1038">
                <c:v>292.39999999999998</c:v>
              </c:pt>
              <c:pt idx="1039">
                <c:v>259.39999999999998</c:v>
              </c:pt>
              <c:pt idx="1040">
                <c:v>238.5</c:v>
              </c:pt>
              <c:pt idx="1041">
                <c:v>202.8</c:v>
              </c:pt>
              <c:pt idx="1042">
                <c:v>171.8</c:v>
              </c:pt>
              <c:pt idx="1043">
                <c:v>143.6</c:v>
              </c:pt>
              <c:pt idx="1044">
                <c:v>115.6</c:v>
              </c:pt>
              <c:pt idx="1045">
                <c:v>93.8</c:v>
              </c:pt>
              <c:pt idx="1046">
                <c:v>86</c:v>
              </c:pt>
              <c:pt idx="1047">
                <c:v>96.7</c:v>
              </c:pt>
              <c:pt idx="1048">
                <c:v>115.9</c:v>
              </c:pt>
              <c:pt idx="1049">
                <c:v>129.5</c:v>
              </c:pt>
              <c:pt idx="1050">
                <c:v>151.69999999999999</c:v>
              </c:pt>
              <c:pt idx="1051">
                <c:v>164.8</c:v>
              </c:pt>
              <c:pt idx="1052">
                <c:v>164.6</c:v>
              </c:pt>
              <c:pt idx="1053">
                <c:v>164.9</c:v>
              </c:pt>
              <c:pt idx="1054">
                <c:v>167.1</c:v>
              </c:pt>
              <c:pt idx="1055">
                <c:v>170.2</c:v>
              </c:pt>
              <c:pt idx="1056">
                <c:v>173.8</c:v>
              </c:pt>
              <c:pt idx="1057">
                <c:v>176.7</c:v>
              </c:pt>
              <c:pt idx="1058">
                <c:v>178.7</c:v>
              </c:pt>
              <c:pt idx="1059">
                <c:v>180.2</c:v>
              </c:pt>
              <c:pt idx="1060">
                <c:v>181.7</c:v>
              </c:pt>
              <c:pt idx="1061">
                <c:v>184.1</c:v>
              </c:pt>
              <c:pt idx="1062">
                <c:v>185.2</c:v>
              </c:pt>
              <c:pt idx="1063">
                <c:v>182.3</c:v>
              </c:pt>
              <c:pt idx="1064">
                <c:v>172.2</c:v>
              </c:pt>
              <c:pt idx="1065">
                <c:v>153.69999999999999</c:v>
              </c:pt>
              <c:pt idx="1066">
                <c:v>133.6</c:v>
              </c:pt>
              <c:pt idx="1067">
                <c:v>121.6</c:v>
              </c:pt>
              <c:pt idx="1068">
                <c:v>111.9</c:v>
              </c:pt>
              <c:pt idx="1069">
                <c:v>102</c:v>
              </c:pt>
              <c:pt idx="1070">
                <c:v>104.6</c:v>
              </c:pt>
              <c:pt idx="1071">
                <c:v>108.5</c:v>
              </c:pt>
              <c:pt idx="1072">
                <c:v>107.3</c:v>
              </c:pt>
              <c:pt idx="1073">
                <c:v>100.2</c:v>
              </c:pt>
              <c:pt idx="1074">
                <c:v>88.1</c:v>
              </c:pt>
              <c:pt idx="1075">
                <c:v>76.400000000000006</c:v>
              </c:pt>
              <c:pt idx="1076">
                <c:v>70.58</c:v>
              </c:pt>
              <c:pt idx="1077">
                <c:v>64.63</c:v>
              </c:pt>
              <c:pt idx="1078">
                <c:v>57.96</c:v>
              </c:pt>
              <c:pt idx="1079">
                <c:v>50.75</c:v>
              </c:pt>
              <c:pt idx="1080">
                <c:v>46.91</c:v>
              </c:pt>
              <c:pt idx="1081">
                <c:v>45.95</c:v>
              </c:pt>
              <c:pt idx="1082">
                <c:v>46.77</c:v>
              </c:pt>
              <c:pt idx="1083">
                <c:v>47.94</c:v>
              </c:pt>
              <c:pt idx="1084">
                <c:v>49.29</c:v>
              </c:pt>
              <c:pt idx="1085">
                <c:v>50.96</c:v>
              </c:pt>
              <c:pt idx="1086">
                <c:v>53.95</c:v>
              </c:pt>
              <c:pt idx="1087">
                <c:v>58.32</c:v>
              </c:pt>
              <c:pt idx="1088">
                <c:v>63.26</c:v>
              </c:pt>
              <c:pt idx="1089">
                <c:v>67.91</c:v>
              </c:pt>
              <c:pt idx="1090">
                <c:v>72.06</c:v>
              </c:pt>
              <c:pt idx="1091">
                <c:v>75.760000000000005</c:v>
              </c:pt>
              <c:pt idx="1092">
                <c:v>79.400000000000006</c:v>
              </c:pt>
              <c:pt idx="1093">
                <c:v>82.7</c:v>
              </c:pt>
              <c:pt idx="1094">
                <c:v>85.5</c:v>
              </c:pt>
              <c:pt idx="1095">
                <c:v>88.1</c:v>
              </c:pt>
              <c:pt idx="1096">
                <c:v>90.5</c:v>
              </c:pt>
              <c:pt idx="1097">
                <c:v>91.8</c:v>
              </c:pt>
              <c:pt idx="1098">
                <c:v>91.7</c:v>
              </c:pt>
              <c:pt idx="1099">
                <c:v>90.7</c:v>
              </c:pt>
              <c:pt idx="1100">
                <c:v>89.7</c:v>
              </c:pt>
              <c:pt idx="1101">
                <c:v>88.7</c:v>
              </c:pt>
              <c:pt idx="1102">
                <c:v>87.4</c:v>
              </c:pt>
              <c:pt idx="1103">
                <c:v>85.9</c:v>
              </c:pt>
              <c:pt idx="1104">
                <c:v>84.6</c:v>
              </c:pt>
              <c:pt idx="1105">
                <c:v>83.6</c:v>
              </c:pt>
              <c:pt idx="1106">
                <c:v>82.6</c:v>
              </c:pt>
              <c:pt idx="1107">
                <c:v>82.6</c:v>
              </c:pt>
              <c:pt idx="1108">
                <c:v>83.4</c:v>
              </c:pt>
              <c:pt idx="1109">
                <c:v>83.6</c:v>
              </c:pt>
              <c:pt idx="1110">
                <c:v>82.2</c:v>
              </c:pt>
              <c:pt idx="1111">
                <c:v>80.099999999999994</c:v>
              </c:pt>
              <c:pt idx="1112">
                <c:v>78.38</c:v>
              </c:pt>
              <c:pt idx="1113">
                <c:v>76.53</c:v>
              </c:pt>
              <c:pt idx="1114">
                <c:v>74.33</c:v>
              </c:pt>
              <c:pt idx="1115">
                <c:v>71.680000000000007</c:v>
              </c:pt>
              <c:pt idx="1116">
                <c:v>69.53</c:v>
              </c:pt>
              <c:pt idx="1117">
                <c:v>67.45</c:v>
              </c:pt>
              <c:pt idx="1118">
                <c:v>65.66</c:v>
              </c:pt>
              <c:pt idx="1119">
                <c:v>64.260000000000005</c:v>
              </c:pt>
              <c:pt idx="1120">
                <c:v>63.13</c:v>
              </c:pt>
              <c:pt idx="1121">
                <c:v>62.23</c:v>
              </c:pt>
              <c:pt idx="1122">
                <c:v>61.24</c:v>
              </c:pt>
              <c:pt idx="1123">
                <c:v>60.49</c:v>
              </c:pt>
              <c:pt idx="1124">
                <c:v>59.86</c:v>
              </c:pt>
              <c:pt idx="1125">
                <c:v>59.22</c:v>
              </c:pt>
              <c:pt idx="1126">
                <c:v>58.67</c:v>
              </c:pt>
              <c:pt idx="1127">
                <c:v>58.42</c:v>
              </c:pt>
              <c:pt idx="1128">
                <c:v>58.56</c:v>
              </c:pt>
              <c:pt idx="1129">
                <c:v>58.96</c:v>
              </c:pt>
              <c:pt idx="1130">
                <c:v>59.29</c:v>
              </c:pt>
              <c:pt idx="1131">
                <c:v>59.49</c:v>
              </c:pt>
              <c:pt idx="1132">
                <c:v>59.2</c:v>
              </c:pt>
              <c:pt idx="1133">
                <c:v>58.5</c:v>
              </c:pt>
              <c:pt idx="1134">
                <c:v>57.45</c:v>
              </c:pt>
              <c:pt idx="1135">
                <c:v>56.52</c:v>
              </c:pt>
              <c:pt idx="1136">
                <c:v>55.49</c:v>
              </c:pt>
              <c:pt idx="1137">
                <c:v>54.86</c:v>
              </c:pt>
              <c:pt idx="1138">
                <c:v>54.05</c:v>
              </c:pt>
              <c:pt idx="1139">
                <c:v>53.11</c:v>
              </c:pt>
              <c:pt idx="1140">
                <c:v>51.73</c:v>
              </c:pt>
              <c:pt idx="1141">
                <c:v>49.15</c:v>
              </c:pt>
              <c:pt idx="1142">
                <c:v>45.78</c:v>
              </c:pt>
              <c:pt idx="1143">
                <c:v>42.45</c:v>
              </c:pt>
              <c:pt idx="1144">
                <c:v>39.869999999999997</c:v>
              </c:pt>
              <c:pt idx="1145">
                <c:v>37.67</c:v>
              </c:pt>
              <c:pt idx="1146">
                <c:v>35.659999999999997</c:v>
              </c:pt>
              <c:pt idx="1147">
                <c:v>33.89</c:v>
              </c:pt>
              <c:pt idx="1148">
                <c:v>32.54</c:v>
              </c:pt>
              <c:pt idx="1149">
                <c:v>31.75</c:v>
              </c:pt>
              <c:pt idx="1150">
                <c:v>31.51</c:v>
              </c:pt>
              <c:pt idx="1151">
                <c:v>31.78</c:v>
              </c:pt>
              <c:pt idx="1152">
                <c:v>32.659999999999997</c:v>
              </c:pt>
              <c:pt idx="1153">
                <c:v>33.299999999999997</c:v>
              </c:pt>
              <c:pt idx="1154">
                <c:v>33.24</c:v>
              </c:pt>
              <c:pt idx="1155">
                <c:v>31.76</c:v>
              </c:pt>
              <c:pt idx="1156">
                <c:v>28.63</c:v>
              </c:pt>
              <c:pt idx="1157">
                <c:v>25.41</c:v>
              </c:pt>
              <c:pt idx="1158">
                <c:v>23.31</c:v>
              </c:pt>
              <c:pt idx="1159">
                <c:v>20.78</c:v>
              </c:pt>
              <c:pt idx="1160">
                <c:v>16.48</c:v>
              </c:pt>
              <c:pt idx="1161">
                <c:v>12.45</c:v>
              </c:pt>
              <c:pt idx="1162">
                <c:v>9.8699999999999992</c:v>
              </c:pt>
              <c:pt idx="1163">
                <c:v>8.26</c:v>
              </c:pt>
              <c:pt idx="1164">
                <c:v>6.9429999999999996</c:v>
              </c:pt>
              <c:pt idx="1165">
                <c:v>5.9169999999999998</c:v>
              </c:pt>
              <c:pt idx="1166">
                <c:v>4.9870000000000001</c:v>
              </c:pt>
              <c:pt idx="1167">
                <c:v>4.2480000000000002</c:v>
              </c:pt>
              <c:pt idx="1168">
                <c:v>3.6040000000000001</c:v>
              </c:pt>
              <c:pt idx="1169">
                <c:v>3.0209999999999999</c:v>
              </c:pt>
              <c:pt idx="1170">
                <c:v>2.6549999999999998</c:v>
              </c:pt>
              <c:pt idx="1171">
                <c:v>2.35</c:v>
              </c:pt>
              <c:pt idx="1172">
                <c:v>2.0009999999999999</c:v>
              </c:pt>
              <c:pt idx="1173">
                <c:v>1.7</c:v>
              </c:pt>
              <c:pt idx="1174">
                <c:v>1.5089999999999999</c:v>
              </c:pt>
              <c:pt idx="1175">
                <c:v>1.2450000000000001</c:v>
              </c:pt>
              <c:pt idx="1176">
                <c:v>1.034</c:v>
              </c:pt>
              <c:pt idx="1177">
                <c:v>0.95099999999999996</c:v>
              </c:pt>
              <c:pt idx="1178">
                <c:v>0.755</c:v>
              </c:pt>
              <c:pt idx="1179">
                <c:v>0.59599999999999997</c:v>
              </c:pt>
              <c:pt idx="1180">
                <c:v>0.49399999999999999</c:v>
              </c:pt>
              <c:pt idx="1181">
                <c:v>0.373</c:v>
              </c:pt>
              <c:pt idx="1182">
                <c:v>0.26200000000000001</c:v>
              </c:pt>
              <c:pt idx="1183">
                <c:v>0.2</c:v>
              </c:pt>
              <c:pt idx="1184">
                <c:v>0.14799999999999999</c:v>
              </c:pt>
              <c:pt idx="1185">
                <c:v>0.10299999999999999</c:v>
              </c:pt>
              <c:pt idx="1186">
                <c:v>3.3000000000000002E-2</c:v>
              </c:pt>
              <c:pt idx="1187">
                <c:v>1.6E-2</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2.268927916666668</c:v>
              </c:pt>
            </c:numLit>
          </c:val>
          <c:smooth val="0"/>
          <c:extLst>
            <c:ext xmlns:c16="http://schemas.microsoft.com/office/drawing/2014/chart" uri="{C3380CC4-5D6E-409C-BE32-E72D297353CC}">
              <c16:uniqueId val="{00000004-E3D2-4F3F-B450-EC8B6FCDC9BF}"/>
            </c:ext>
          </c:extLst>
        </c:ser>
        <c:ser>
          <c:idx val="5"/>
          <c:order val="5"/>
          <c:tx>
            <c:v>2.207928167 IS19 WMS POA Upward(W/mÂ²)</c:v>
          </c:tx>
          <c:spPr>
            <a:ln w="28575" cap="rnd">
              <a:solidFill>
                <a:schemeClr val="accent6"/>
              </a:solidFill>
              <a:round/>
            </a:ln>
            <a:effectLst/>
          </c:spPr>
          <c:marker>
            <c:symbol val="none"/>
          </c:marker>
          <c:cat>
            <c:strLit>
              <c:ptCount val="1663"/>
              <c:pt idx="0">
                <c:v>Time</c:v>
              </c:pt>
              <c:pt idx="1">
                <c:v>45858</c:v>
              </c:pt>
              <c:pt idx="2">
                <c:v>45858.00069</c:v>
              </c:pt>
              <c:pt idx="3">
                <c:v>45858.00139</c:v>
              </c:pt>
              <c:pt idx="4">
                <c:v>45858.00208</c:v>
              </c:pt>
              <c:pt idx="5">
                <c:v>45858.00278</c:v>
              </c:pt>
              <c:pt idx="6">
                <c:v>45858.00347</c:v>
              </c:pt>
              <c:pt idx="7">
                <c:v>45858.00417</c:v>
              </c:pt>
              <c:pt idx="8">
                <c:v>45858.00486</c:v>
              </c:pt>
              <c:pt idx="9">
                <c:v>45858.00556</c:v>
              </c:pt>
              <c:pt idx="10">
                <c:v>45858.00625</c:v>
              </c:pt>
              <c:pt idx="11">
                <c:v>45858.00694</c:v>
              </c:pt>
              <c:pt idx="12">
                <c:v>45858.00764</c:v>
              </c:pt>
              <c:pt idx="13">
                <c:v>45858.00833</c:v>
              </c:pt>
              <c:pt idx="14">
                <c:v>45858.00903</c:v>
              </c:pt>
              <c:pt idx="15">
                <c:v>45858.00972</c:v>
              </c:pt>
              <c:pt idx="16">
                <c:v>45858.01042</c:v>
              </c:pt>
              <c:pt idx="17">
                <c:v>45858.01111</c:v>
              </c:pt>
              <c:pt idx="18">
                <c:v>45858.01181</c:v>
              </c:pt>
              <c:pt idx="19">
                <c:v>45858.0125</c:v>
              </c:pt>
              <c:pt idx="20">
                <c:v>45858.01319</c:v>
              </c:pt>
              <c:pt idx="21">
                <c:v>45858.01389</c:v>
              </c:pt>
              <c:pt idx="22">
                <c:v>45858.01458</c:v>
              </c:pt>
              <c:pt idx="23">
                <c:v>45858.01528</c:v>
              </c:pt>
              <c:pt idx="24">
                <c:v>45858.01597</c:v>
              </c:pt>
              <c:pt idx="25">
                <c:v>45858.01667</c:v>
              </c:pt>
              <c:pt idx="26">
                <c:v>45858.01736</c:v>
              </c:pt>
              <c:pt idx="27">
                <c:v>45858.01806</c:v>
              </c:pt>
              <c:pt idx="28">
                <c:v>45858.01875</c:v>
              </c:pt>
              <c:pt idx="29">
                <c:v>45858.01944</c:v>
              </c:pt>
              <c:pt idx="30">
                <c:v>45858.02014</c:v>
              </c:pt>
              <c:pt idx="31">
                <c:v>45858.02083</c:v>
              </c:pt>
              <c:pt idx="32">
                <c:v>45858.02153</c:v>
              </c:pt>
              <c:pt idx="33">
                <c:v>45858.02222</c:v>
              </c:pt>
              <c:pt idx="34">
                <c:v>45858.02292</c:v>
              </c:pt>
              <c:pt idx="35">
                <c:v>45858.02361</c:v>
              </c:pt>
              <c:pt idx="36">
                <c:v>45858.02431</c:v>
              </c:pt>
              <c:pt idx="37">
                <c:v>45858.025</c:v>
              </c:pt>
              <c:pt idx="38">
                <c:v>45858.02569</c:v>
              </c:pt>
              <c:pt idx="39">
                <c:v>45858.02639</c:v>
              </c:pt>
              <c:pt idx="40">
                <c:v>45858.02708</c:v>
              </c:pt>
              <c:pt idx="41">
                <c:v>45858.02778</c:v>
              </c:pt>
              <c:pt idx="42">
                <c:v>45858.02847</c:v>
              </c:pt>
              <c:pt idx="43">
                <c:v>45858.02917</c:v>
              </c:pt>
              <c:pt idx="44">
                <c:v>45858.02986</c:v>
              </c:pt>
              <c:pt idx="45">
                <c:v>45858.03056</c:v>
              </c:pt>
              <c:pt idx="46">
                <c:v>45858.03125</c:v>
              </c:pt>
              <c:pt idx="47">
                <c:v>45858.03194</c:v>
              </c:pt>
              <c:pt idx="48">
                <c:v>45858.03264</c:v>
              </c:pt>
              <c:pt idx="49">
                <c:v>45858.03333</c:v>
              </c:pt>
              <c:pt idx="50">
                <c:v>45858.03403</c:v>
              </c:pt>
              <c:pt idx="51">
                <c:v>45858.03472</c:v>
              </c:pt>
              <c:pt idx="52">
                <c:v>45858.03542</c:v>
              </c:pt>
              <c:pt idx="53">
                <c:v>45858.03611</c:v>
              </c:pt>
              <c:pt idx="54">
                <c:v>45858.03681</c:v>
              </c:pt>
              <c:pt idx="55">
                <c:v>45858.0375</c:v>
              </c:pt>
              <c:pt idx="56">
                <c:v>45858.03819</c:v>
              </c:pt>
              <c:pt idx="57">
                <c:v>45858.03889</c:v>
              </c:pt>
              <c:pt idx="58">
                <c:v>45858.03958</c:v>
              </c:pt>
              <c:pt idx="59">
                <c:v>45858.04028</c:v>
              </c:pt>
              <c:pt idx="60">
                <c:v>45858.04097</c:v>
              </c:pt>
              <c:pt idx="61">
                <c:v>45858.04167</c:v>
              </c:pt>
              <c:pt idx="62">
                <c:v>45858.04236</c:v>
              </c:pt>
              <c:pt idx="63">
                <c:v>45858.04306</c:v>
              </c:pt>
              <c:pt idx="64">
                <c:v>45858.04375</c:v>
              </c:pt>
              <c:pt idx="65">
                <c:v>45858.04444</c:v>
              </c:pt>
              <c:pt idx="66">
                <c:v>45858.04514</c:v>
              </c:pt>
              <c:pt idx="67">
                <c:v>45858.04583</c:v>
              </c:pt>
              <c:pt idx="68">
                <c:v>45858.04653</c:v>
              </c:pt>
              <c:pt idx="69">
                <c:v>45858.04722</c:v>
              </c:pt>
              <c:pt idx="70">
                <c:v>45858.04792</c:v>
              </c:pt>
              <c:pt idx="71">
                <c:v>45858.04861</c:v>
              </c:pt>
              <c:pt idx="72">
                <c:v>45858.04931</c:v>
              </c:pt>
              <c:pt idx="73">
                <c:v>45858.05</c:v>
              </c:pt>
              <c:pt idx="74">
                <c:v>45858.05069</c:v>
              </c:pt>
              <c:pt idx="75">
                <c:v>45858.05139</c:v>
              </c:pt>
              <c:pt idx="76">
                <c:v>45858.05208</c:v>
              </c:pt>
              <c:pt idx="77">
                <c:v>45858.05278</c:v>
              </c:pt>
              <c:pt idx="78">
                <c:v>45858.05347</c:v>
              </c:pt>
              <c:pt idx="79">
                <c:v>45858.05417</c:v>
              </c:pt>
              <c:pt idx="80">
                <c:v>45858.05486</c:v>
              </c:pt>
              <c:pt idx="81">
                <c:v>45858.05556</c:v>
              </c:pt>
              <c:pt idx="82">
                <c:v>45858.05625</c:v>
              </c:pt>
              <c:pt idx="83">
                <c:v>45858.05694</c:v>
              </c:pt>
              <c:pt idx="84">
                <c:v>45858.05764</c:v>
              </c:pt>
              <c:pt idx="85">
                <c:v>45858.05833</c:v>
              </c:pt>
              <c:pt idx="86">
                <c:v>45858.05903</c:v>
              </c:pt>
              <c:pt idx="87">
                <c:v>45858.05972</c:v>
              </c:pt>
              <c:pt idx="88">
                <c:v>45858.06042</c:v>
              </c:pt>
              <c:pt idx="89">
                <c:v>45858.06111</c:v>
              </c:pt>
              <c:pt idx="90">
                <c:v>45858.06181</c:v>
              </c:pt>
              <c:pt idx="91">
                <c:v>45858.0625</c:v>
              </c:pt>
              <c:pt idx="92">
                <c:v>45858.06319</c:v>
              </c:pt>
              <c:pt idx="93">
                <c:v>45858.06389</c:v>
              </c:pt>
              <c:pt idx="94">
                <c:v>45858.06458</c:v>
              </c:pt>
              <c:pt idx="95">
                <c:v>45858.06528</c:v>
              </c:pt>
              <c:pt idx="96">
                <c:v>45858.06597</c:v>
              </c:pt>
              <c:pt idx="97">
                <c:v>45858.06667</c:v>
              </c:pt>
              <c:pt idx="98">
                <c:v>45858.06736</c:v>
              </c:pt>
              <c:pt idx="99">
                <c:v>45858.06806</c:v>
              </c:pt>
              <c:pt idx="100">
                <c:v>45858.06875</c:v>
              </c:pt>
              <c:pt idx="101">
                <c:v>45858.06944</c:v>
              </c:pt>
              <c:pt idx="102">
                <c:v>45858.07014</c:v>
              </c:pt>
              <c:pt idx="103">
                <c:v>45858.07083</c:v>
              </c:pt>
              <c:pt idx="104">
                <c:v>45858.07153</c:v>
              </c:pt>
              <c:pt idx="105">
                <c:v>45858.07222</c:v>
              </c:pt>
              <c:pt idx="106">
                <c:v>45858.07292</c:v>
              </c:pt>
              <c:pt idx="107">
                <c:v>45858.07361</c:v>
              </c:pt>
              <c:pt idx="108">
                <c:v>45858.07431</c:v>
              </c:pt>
              <c:pt idx="109">
                <c:v>45858.075</c:v>
              </c:pt>
              <c:pt idx="110">
                <c:v>45858.07569</c:v>
              </c:pt>
              <c:pt idx="111">
                <c:v>45858.07639</c:v>
              </c:pt>
              <c:pt idx="112">
                <c:v>45858.07708</c:v>
              </c:pt>
              <c:pt idx="113">
                <c:v>45858.07778</c:v>
              </c:pt>
              <c:pt idx="114">
                <c:v>45858.07847</c:v>
              </c:pt>
              <c:pt idx="115">
                <c:v>45858.07917</c:v>
              </c:pt>
              <c:pt idx="116">
                <c:v>45858.07986</c:v>
              </c:pt>
              <c:pt idx="117">
                <c:v>45858.08056</c:v>
              </c:pt>
              <c:pt idx="118">
                <c:v>45858.08125</c:v>
              </c:pt>
              <c:pt idx="119">
                <c:v>45858.08194</c:v>
              </c:pt>
              <c:pt idx="120">
                <c:v>45858.08264</c:v>
              </c:pt>
              <c:pt idx="121">
                <c:v>45858.08333</c:v>
              </c:pt>
              <c:pt idx="122">
                <c:v>45858.08403</c:v>
              </c:pt>
              <c:pt idx="123">
                <c:v>45858.08472</c:v>
              </c:pt>
              <c:pt idx="124">
                <c:v>45858.08542</c:v>
              </c:pt>
              <c:pt idx="125">
                <c:v>45858.08611</c:v>
              </c:pt>
              <c:pt idx="126">
                <c:v>45858.08681</c:v>
              </c:pt>
              <c:pt idx="127">
                <c:v>45858.0875</c:v>
              </c:pt>
              <c:pt idx="128">
                <c:v>45858.08819</c:v>
              </c:pt>
              <c:pt idx="129">
                <c:v>45858.08889</c:v>
              </c:pt>
              <c:pt idx="130">
                <c:v>45858.08958</c:v>
              </c:pt>
              <c:pt idx="131">
                <c:v>45858.09028</c:v>
              </c:pt>
              <c:pt idx="132">
                <c:v>45858.09097</c:v>
              </c:pt>
              <c:pt idx="133">
                <c:v>45858.09167</c:v>
              </c:pt>
              <c:pt idx="134">
                <c:v>45858.09236</c:v>
              </c:pt>
              <c:pt idx="135">
                <c:v>45858.09306</c:v>
              </c:pt>
              <c:pt idx="136">
                <c:v>45858.09375</c:v>
              </c:pt>
              <c:pt idx="137">
                <c:v>45858.09444</c:v>
              </c:pt>
              <c:pt idx="138">
                <c:v>45858.09514</c:v>
              </c:pt>
              <c:pt idx="139">
                <c:v>45858.09583</c:v>
              </c:pt>
              <c:pt idx="140">
                <c:v>45858.09653</c:v>
              </c:pt>
              <c:pt idx="141">
                <c:v>45858.09722</c:v>
              </c:pt>
              <c:pt idx="142">
                <c:v>45858.09792</c:v>
              </c:pt>
              <c:pt idx="143">
                <c:v>45858.09861</c:v>
              </c:pt>
              <c:pt idx="144">
                <c:v>45858.09931</c:v>
              </c:pt>
              <c:pt idx="145">
                <c:v>45858.1</c:v>
              </c:pt>
              <c:pt idx="146">
                <c:v>45858.10069</c:v>
              </c:pt>
              <c:pt idx="147">
                <c:v>45858.10139</c:v>
              </c:pt>
              <c:pt idx="148">
                <c:v>45858.10208</c:v>
              </c:pt>
              <c:pt idx="149">
                <c:v>45858.10278</c:v>
              </c:pt>
              <c:pt idx="150">
                <c:v>45858.10347</c:v>
              </c:pt>
              <c:pt idx="151">
                <c:v>45858.10417</c:v>
              </c:pt>
              <c:pt idx="152">
                <c:v>45858.10486</c:v>
              </c:pt>
              <c:pt idx="153">
                <c:v>45858.10556</c:v>
              </c:pt>
              <c:pt idx="154">
                <c:v>45858.10625</c:v>
              </c:pt>
              <c:pt idx="155">
                <c:v>45858.10694</c:v>
              </c:pt>
              <c:pt idx="156">
                <c:v>45858.10764</c:v>
              </c:pt>
              <c:pt idx="157">
                <c:v>45858.10833</c:v>
              </c:pt>
              <c:pt idx="158">
                <c:v>45858.10903</c:v>
              </c:pt>
              <c:pt idx="159">
                <c:v>45858.10972</c:v>
              </c:pt>
              <c:pt idx="160">
                <c:v>45858.11042</c:v>
              </c:pt>
              <c:pt idx="161">
                <c:v>45858.11111</c:v>
              </c:pt>
              <c:pt idx="162">
                <c:v>45858.11181</c:v>
              </c:pt>
              <c:pt idx="163">
                <c:v>45858.1125</c:v>
              </c:pt>
              <c:pt idx="164">
                <c:v>45858.11319</c:v>
              </c:pt>
              <c:pt idx="165">
                <c:v>45858.11389</c:v>
              </c:pt>
              <c:pt idx="166">
                <c:v>45858.11458</c:v>
              </c:pt>
              <c:pt idx="167">
                <c:v>45858.11528</c:v>
              </c:pt>
              <c:pt idx="168">
                <c:v>45858.11597</c:v>
              </c:pt>
              <c:pt idx="169">
                <c:v>45858.11667</c:v>
              </c:pt>
              <c:pt idx="170">
                <c:v>45858.11736</c:v>
              </c:pt>
              <c:pt idx="171">
                <c:v>45858.11806</c:v>
              </c:pt>
              <c:pt idx="172">
                <c:v>45858.11875</c:v>
              </c:pt>
              <c:pt idx="173">
                <c:v>45858.11944</c:v>
              </c:pt>
              <c:pt idx="174">
                <c:v>45858.12014</c:v>
              </c:pt>
              <c:pt idx="175">
                <c:v>45858.12083</c:v>
              </c:pt>
              <c:pt idx="176">
                <c:v>45858.12153</c:v>
              </c:pt>
              <c:pt idx="177">
                <c:v>45858.12222</c:v>
              </c:pt>
              <c:pt idx="178">
                <c:v>45858.12292</c:v>
              </c:pt>
              <c:pt idx="179">
                <c:v>45858.12361</c:v>
              </c:pt>
              <c:pt idx="180">
                <c:v>45858.12431</c:v>
              </c:pt>
              <c:pt idx="181">
                <c:v>45858.125</c:v>
              </c:pt>
              <c:pt idx="182">
                <c:v>45858.12569</c:v>
              </c:pt>
              <c:pt idx="183">
                <c:v>45858.12639</c:v>
              </c:pt>
              <c:pt idx="184">
                <c:v>45858.12708</c:v>
              </c:pt>
              <c:pt idx="185">
                <c:v>45858.12778</c:v>
              </c:pt>
              <c:pt idx="186">
                <c:v>45858.12847</c:v>
              </c:pt>
              <c:pt idx="187">
                <c:v>45858.12917</c:v>
              </c:pt>
              <c:pt idx="188">
                <c:v>45858.12986</c:v>
              </c:pt>
              <c:pt idx="189">
                <c:v>45858.13056</c:v>
              </c:pt>
              <c:pt idx="190">
                <c:v>45858.13125</c:v>
              </c:pt>
              <c:pt idx="191">
                <c:v>45858.13194</c:v>
              </c:pt>
              <c:pt idx="192">
                <c:v>45858.13264</c:v>
              </c:pt>
              <c:pt idx="193">
                <c:v>45858.13333</c:v>
              </c:pt>
              <c:pt idx="194">
                <c:v>45858.13403</c:v>
              </c:pt>
              <c:pt idx="195">
                <c:v>45858.13472</c:v>
              </c:pt>
              <c:pt idx="196">
                <c:v>45858.13542</c:v>
              </c:pt>
              <c:pt idx="197">
                <c:v>45858.13611</c:v>
              </c:pt>
              <c:pt idx="198">
                <c:v>45858.13681</c:v>
              </c:pt>
              <c:pt idx="199">
                <c:v>45858.1375</c:v>
              </c:pt>
              <c:pt idx="200">
                <c:v>45858.13819</c:v>
              </c:pt>
              <c:pt idx="201">
                <c:v>45858.13889</c:v>
              </c:pt>
              <c:pt idx="202">
                <c:v>45858.13958</c:v>
              </c:pt>
              <c:pt idx="203">
                <c:v>45858.14028</c:v>
              </c:pt>
              <c:pt idx="204">
                <c:v>45858.14097</c:v>
              </c:pt>
              <c:pt idx="205">
                <c:v>45858.14167</c:v>
              </c:pt>
              <c:pt idx="206">
                <c:v>45858.14236</c:v>
              </c:pt>
              <c:pt idx="207">
                <c:v>45858.14306</c:v>
              </c:pt>
              <c:pt idx="208">
                <c:v>45858.14375</c:v>
              </c:pt>
              <c:pt idx="209">
                <c:v>45858.14444</c:v>
              </c:pt>
              <c:pt idx="210">
                <c:v>45858.14514</c:v>
              </c:pt>
              <c:pt idx="211">
                <c:v>45858.14583</c:v>
              </c:pt>
              <c:pt idx="212">
                <c:v>45858.14653</c:v>
              </c:pt>
              <c:pt idx="213">
                <c:v>45858.14722</c:v>
              </c:pt>
              <c:pt idx="214">
                <c:v>45858.14792</c:v>
              </c:pt>
              <c:pt idx="215">
                <c:v>45858.14861</c:v>
              </c:pt>
              <c:pt idx="216">
                <c:v>45858.14931</c:v>
              </c:pt>
              <c:pt idx="217">
                <c:v>45858.15</c:v>
              </c:pt>
              <c:pt idx="218">
                <c:v>45858.15069</c:v>
              </c:pt>
              <c:pt idx="219">
                <c:v>45858.15139</c:v>
              </c:pt>
              <c:pt idx="220">
                <c:v>45858.15208</c:v>
              </c:pt>
              <c:pt idx="221">
                <c:v>45858.15278</c:v>
              </c:pt>
              <c:pt idx="222">
                <c:v>45858.15347</c:v>
              </c:pt>
              <c:pt idx="223">
                <c:v>45858.15417</c:v>
              </c:pt>
              <c:pt idx="224">
                <c:v>45858.15486</c:v>
              </c:pt>
              <c:pt idx="225">
                <c:v>45858.15556</c:v>
              </c:pt>
              <c:pt idx="226">
                <c:v>45858.15625</c:v>
              </c:pt>
              <c:pt idx="227">
                <c:v>45858.15694</c:v>
              </c:pt>
              <c:pt idx="228">
                <c:v>45858.15764</c:v>
              </c:pt>
              <c:pt idx="229">
                <c:v>45858.15833</c:v>
              </c:pt>
              <c:pt idx="230">
                <c:v>45858.15903</c:v>
              </c:pt>
              <c:pt idx="231">
                <c:v>45858.15972</c:v>
              </c:pt>
              <c:pt idx="232">
                <c:v>45858.16042</c:v>
              </c:pt>
              <c:pt idx="233">
                <c:v>45858.16111</c:v>
              </c:pt>
              <c:pt idx="234">
                <c:v>45858.16181</c:v>
              </c:pt>
              <c:pt idx="235">
                <c:v>45858.1625</c:v>
              </c:pt>
              <c:pt idx="236">
                <c:v>45858.16319</c:v>
              </c:pt>
              <c:pt idx="237">
                <c:v>45858.16389</c:v>
              </c:pt>
              <c:pt idx="238">
                <c:v>45858.16458</c:v>
              </c:pt>
              <c:pt idx="239">
                <c:v>45858.16528</c:v>
              </c:pt>
              <c:pt idx="240">
                <c:v>45858.16597</c:v>
              </c:pt>
              <c:pt idx="241">
                <c:v>45858.16667</c:v>
              </c:pt>
              <c:pt idx="242">
                <c:v>45858.16736</c:v>
              </c:pt>
              <c:pt idx="243">
                <c:v>45858.16806</c:v>
              </c:pt>
              <c:pt idx="244">
                <c:v>45858.16875</c:v>
              </c:pt>
              <c:pt idx="245">
                <c:v>45858.16944</c:v>
              </c:pt>
              <c:pt idx="246">
                <c:v>45858.17014</c:v>
              </c:pt>
              <c:pt idx="247">
                <c:v>45858.17083</c:v>
              </c:pt>
              <c:pt idx="248">
                <c:v>45858.17153</c:v>
              </c:pt>
              <c:pt idx="249">
                <c:v>45858.17222</c:v>
              </c:pt>
              <c:pt idx="250">
                <c:v>45858.17292</c:v>
              </c:pt>
              <c:pt idx="251">
                <c:v>45858.17361</c:v>
              </c:pt>
              <c:pt idx="252">
                <c:v>45858.17431</c:v>
              </c:pt>
              <c:pt idx="253">
                <c:v>45858.175</c:v>
              </c:pt>
              <c:pt idx="254">
                <c:v>45858.17569</c:v>
              </c:pt>
              <c:pt idx="255">
                <c:v>45858.17639</c:v>
              </c:pt>
              <c:pt idx="256">
                <c:v>45858.17708</c:v>
              </c:pt>
              <c:pt idx="257">
                <c:v>45858.17778</c:v>
              </c:pt>
              <c:pt idx="258">
                <c:v>45858.17847</c:v>
              </c:pt>
              <c:pt idx="259">
                <c:v>45858.17917</c:v>
              </c:pt>
              <c:pt idx="260">
                <c:v>45858.17986</c:v>
              </c:pt>
              <c:pt idx="261">
                <c:v>45858.18056</c:v>
              </c:pt>
              <c:pt idx="262">
                <c:v>45858.18125</c:v>
              </c:pt>
              <c:pt idx="263">
                <c:v>45858.18194</c:v>
              </c:pt>
              <c:pt idx="264">
                <c:v>45858.18264</c:v>
              </c:pt>
              <c:pt idx="265">
                <c:v>45858.18333</c:v>
              </c:pt>
              <c:pt idx="266">
                <c:v>45858.18403</c:v>
              </c:pt>
              <c:pt idx="267">
                <c:v>45858.18472</c:v>
              </c:pt>
              <c:pt idx="268">
                <c:v>45858.18542</c:v>
              </c:pt>
              <c:pt idx="269">
                <c:v>45858.18611</c:v>
              </c:pt>
              <c:pt idx="270">
                <c:v>45858.18681</c:v>
              </c:pt>
              <c:pt idx="271">
                <c:v>45858.1875</c:v>
              </c:pt>
              <c:pt idx="272">
                <c:v>45858.18819</c:v>
              </c:pt>
              <c:pt idx="273">
                <c:v>45858.18889</c:v>
              </c:pt>
              <c:pt idx="274">
                <c:v>45858.18958</c:v>
              </c:pt>
              <c:pt idx="275">
                <c:v>45858.19028</c:v>
              </c:pt>
              <c:pt idx="276">
                <c:v>45858.19097</c:v>
              </c:pt>
              <c:pt idx="277">
                <c:v>45858.19167</c:v>
              </c:pt>
              <c:pt idx="278">
                <c:v>45858.19236</c:v>
              </c:pt>
              <c:pt idx="279">
                <c:v>45858.19306</c:v>
              </c:pt>
              <c:pt idx="280">
                <c:v>45858.19375</c:v>
              </c:pt>
              <c:pt idx="281">
                <c:v>45858.19444</c:v>
              </c:pt>
              <c:pt idx="282">
                <c:v>45858.19514</c:v>
              </c:pt>
              <c:pt idx="283">
                <c:v>45858.19583</c:v>
              </c:pt>
              <c:pt idx="284">
                <c:v>45858.19653</c:v>
              </c:pt>
              <c:pt idx="285">
                <c:v>45858.19722</c:v>
              </c:pt>
              <c:pt idx="286">
                <c:v>45858.19792</c:v>
              </c:pt>
              <c:pt idx="287">
                <c:v>45858.19861</c:v>
              </c:pt>
              <c:pt idx="288">
                <c:v>45858.19931</c:v>
              </c:pt>
              <c:pt idx="289">
                <c:v>45858.2</c:v>
              </c:pt>
              <c:pt idx="290">
                <c:v>45858.20069</c:v>
              </c:pt>
              <c:pt idx="291">
                <c:v>45858.20139</c:v>
              </c:pt>
              <c:pt idx="292">
                <c:v>45858.20208</c:v>
              </c:pt>
              <c:pt idx="293">
                <c:v>45858.20278</c:v>
              </c:pt>
              <c:pt idx="294">
                <c:v>45858.20347</c:v>
              </c:pt>
              <c:pt idx="295">
                <c:v>45858.20417</c:v>
              </c:pt>
              <c:pt idx="296">
                <c:v>45858.20486</c:v>
              </c:pt>
              <c:pt idx="297">
                <c:v>45858.20556</c:v>
              </c:pt>
              <c:pt idx="298">
                <c:v>45858.20625</c:v>
              </c:pt>
              <c:pt idx="299">
                <c:v>45858.20694</c:v>
              </c:pt>
              <c:pt idx="300">
                <c:v>45858.20764</c:v>
              </c:pt>
              <c:pt idx="301">
                <c:v>45858.20833</c:v>
              </c:pt>
              <c:pt idx="302">
                <c:v>45858.20903</c:v>
              </c:pt>
              <c:pt idx="303">
                <c:v>45858.20972</c:v>
              </c:pt>
              <c:pt idx="304">
                <c:v>45858.21042</c:v>
              </c:pt>
              <c:pt idx="305">
                <c:v>45858.21111</c:v>
              </c:pt>
              <c:pt idx="306">
                <c:v>45858.21181</c:v>
              </c:pt>
              <c:pt idx="307">
                <c:v>45858.2125</c:v>
              </c:pt>
              <c:pt idx="308">
                <c:v>45858.21319</c:v>
              </c:pt>
              <c:pt idx="309">
                <c:v>45858.21389</c:v>
              </c:pt>
              <c:pt idx="310">
                <c:v>45858.21458</c:v>
              </c:pt>
              <c:pt idx="311">
                <c:v>45858.21528</c:v>
              </c:pt>
              <c:pt idx="312">
                <c:v>45858.21597</c:v>
              </c:pt>
              <c:pt idx="313">
                <c:v>45858.21667</c:v>
              </c:pt>
              <c:pt idx="314">
                <c:v>45858.21736</c:v>
              </c:pt>
              <c:pt idx="315">
                <c:v>45858.21806</c:v>
              </c:pt>
              <c:pt idx="316">
                <c:v>45858.21875</c:v>
              </c:pt>
              <c:pt idx="317">
                <c:v>45858.21944</c:v>
              </c:pt>
              <c:pt idx="318">
                <c:v>45858.22014</c:v>
              </c:pt>
              <c:pt idx="319">
                <c:v>45858.22083</c:v>
              </c:pt>
              <c:pt idx="320">
                <c:v>45858.22153</c:v>
              </c:pt>
              <c:pt idx="321">
                <c:v>45858.22222</c:v>
              </c:pt>
              <c:pt idx="322">
                <c:v>45858.22292</c:v>
              </c:pt>
              <c:pt idx="323">
                <c:v>45858.22361</c:v>
              </c:pt>
              <c:pt idx="324">
                <c:v>45858.22431</c:v>
              </c:pt>
              <c:pt idx="325">
                <c:v>45858.225</c:v>
              </c:pt>
              <c:pt idx="326">
                <c:v>45858.22569</c:v>
              </c:pt>
              <c:pt idx="327">
                <c:v>45858.22639</c:v>
              </c:pt>
              <c:pt idx="328">
                <c:v>45858.22708</c:v>
              </c:pt>
              <c:pt idx="329">
                <c:v>45858.22778</c:v>
              </c:pt>
              <c:pt idx="330">
                <c:v>45858.22847</c:v>
              </c:pt>
              <c:pt idx="331">
                <c:v>45858.22917</c:v>
              </c:pt>
              <c:pt idx="332">
                <c:v>45858.22986</c:v>
              </c:pt>
              <c:pt idx="333">
                <c:v>45858.23056</c:v>
              </c:pt>
              <c:pt idx="334">
                <c:v>45858.23125</c:v>
              </c:pt>
              <c:pt idx="335">
                <c:v>45858.23194</c:v>
              </c:pt>
              <c:pt idx="336">
                <c:v>45858.23264</c:v>
              </c:pt>
              <c:pt idx="337">
                <c:v>45858.23333</c:v>
              </c:pt>
              <c:pt idx="338">
                <c:v>45858.23403</c:v>
              </c:pt>
              <c:pt idx="339">
                <c:v>45858.23472</c:v>
              </c:pt>
              <c:pt idx="340">
                <c:v>45858.23542</c:v>
              </c:pt>
              <c:pt idx="341">
                <c:v>45858.23611</c:v>
              </c:pt>
              <c:pt idx="342">
                <c:v>45858.23681</c:v>
              </c:pt>
              <c:pt idx="343">
                <c:v>45858.2375</c:v>
              </c:pt>
              <c:pt idx="344">
                <c:v>45858.23819</c:v>
              </c:pt>
              <c:pt idx="345">
                <c:v>45858.23889</c:v>
              </c:pt>
              <c:pt idx="346">
                <c:v>45858.23958</c:v>
              </c:pt>
              <c:pt idx="347">
                <c:v>45858.24028</c:v>
              </c:pt>
              <c:pt idx="348">
                <c:v>45858.24097</c:v>
              </c:pt>
              <c:pt idx="349">
                <c:v>45858.24167</c:v>
              </c:pt>
              <c:pt idx="350">
                <c:v>45858.24236</c:v>
              </c:pt>
              <c:pt idx="351">
                <c:v>45858.24306</c:v>
              </c:pt>
              <c:pt idx="352">
                <c:v>45858.24375</c:v>
              </c:pt>
              <c:pt idx="353">
                <c:v>45858.24444</c:v>
              </c:pt>
              <c:pt idx="354">
                <c:v>45858.24514</c:v>
              </c:pt>
              <c:pt idx="355">
                <c:v>45858.24583</c:v>
              </c:pt>
              <c:pt idx="356">
                <c:v>45858.24653</c:v>
              </c:pt>
              <c:pt idx="357">
                <c:v>45858.24722</c:v>
              </c:pt>
              <c:pt idx="358">
                <c:v>45858.24792</c:v>
              </c:pt>
              <c:pt idx="359">
                <c:v>45858.24861</c:v>
              </c:pt>
              <c:pt idx="360">
                <c:v>45858.24931</c:v>
              </c:pt>
              <c:pt idx="361">
                <c:v>45858.25</c:v>
              </c:pt>
              <c:pt idx="362">
                <c:v>45858.25069</c:v>
              </c:pt>
              <c:pt idx="363">
                <c:v>45858.25139</c:v>
              </c:pt>
              <c:pt idx="364">
                <c:v>45858.25208</c:v>
              </c:pt>
              <c:pt idx="365">
                <c:v>45858.25278</c:v>
              </c:pt>
              <c:pt idx="366">
                <c:v>45858.25347</c:v>
              </c:pt>
              <c:pt idx="367">
                <c:v>45858.25417</c:v>
              </c:pt>
              <c:pt idx="368">
                <c:v>45858.25486</c:v>
              </c:pt>
              <c:pt idx="369">
                <c:v>45858.25556</c:v>
              </c:pt>
              <c:pt idx="370">
                <c:v>45858.25625</c:v>
              </c:pt>
              <c:pt idx="371">
                <c:v>45858.25694</c:v>
              </c:pt>
              <c:pt idx="372">
                <c:v>45858.25764</c:v>
              </c:pt>
              <c:pt idx="373">
                <c:v>45858.25833</c:v>
              </c:pt>
              <c:pt idx="374">
                <c:v>45858.25903</c:v>
              </c:pt>
              <c:pt idx="375">
                <c:v>45858.25972</c:v>
              </c:pt>
              <c:pt idx="376">
                <c:v>45858.26042</c:v>
              </c:pt>
              <c:pt idx="377">
                <c:v>45858.26111</c:v>
              </c:pt>
              <c:pt idx="378">
                <c:v>45858.26181</c:v>
              </c:pt>
              <c:pt idx="379">
                <c:v>45858.2625</c:v>
              </c:pt>
              <c:pt idx="380">
                <c:v>45858.26319</c:v>
              </c:pt>
              <c:pt idx="381">
                <c:v>45858.26389</c:v>
              </c:pt>
              <c:pt idx="382">
                <c:v>45858.26458</c:v>
              </c:pt>
              <c:pt idx="383">
                <c:v>45858.26528</c:v>
              </c:pt>
              <c:pt idx="384">
                <c:v>45858.26597</c:v>
              </c:pt>
              <c:pt idx="385">
                <c:v>45858.26667</c:v>
              </c:pt>
              <c:pt idx="386">
                <c:v>45858.26736</c:v>
              </c:pt>
              <c:pt idx="387">
                <c:v>45858.26806</c:v>
              </c:pt>
              <c:pt idx="388">
                <c:v>45858.26875</c:v>
              </c:pt>
              <c:pt idx="389">
                <c:v>45858.26944</c:v>
              </c:pt>
              <c:pt idx="390">
                <c:v>45858.27014</c:v>
              </c:pt>
              <c:pt idx="391">
                <c:v>45858.27083</c:v>
              </c:pt>
              <c:pt idx="392">
                <c:v>45858.27153</c:v>
              </c:pt>
              <c:pt idx="393">
                <c:v>45858.27222</c:v>
              </c:pt>
              <c:pt idx="394">
                <c:v>45858.27292</c:v>
              </c:pt>
              <c:pt idx="395">
                <c:v>45858.27361</c:v>
              </c:pt>
              <c:pt idx="396">
                <c:v>45858.27431</c:v>
              </c:pt>
              <c:pt idx="397">
                <c:v>45858.275</c:v>
              </c:pt>
              <c:pt idx="398">
                <c:v>45858.27569</c:v>
              </c:pt>
              <c:pt idx="399">
                <c:v>45858.27639</c:v>
              </c:pt>
              <c:pt idx="400">
                <c:v>45858.27708</c:v>
              </c:pt>
              <c:pt idx="401">
                <c:v>45858.27778</c:v>
              </c:pt>
              <c:pt idx="402">
                <c:v>45858.27847</c:v>
              </c:pt>
              <c:pt idx="403">
                <c:v>45858.27917</c:v>
              </c:pt>
              <c:pt idx="404">
                <c:v>45858.27986</c:v>
              </c:pt>
              <c:pt idx="405">
                <c:v>45858.28056</c:v>
              </c:pt>
              <c:pt idx="406">
                <c:v>45858.28125</c:v>
              </c:pt>
              <c:pt idx="407">
                <c:v>45858.28194</c:v>
              </c:pt>
              <c:pt idx="408">
                <c:v>45858.28264</c:v>
              </c:pt>
              <c:pt idx="409">
                <c:v>45858.28333</c:v>
              </c:pt>
              <c:pt idx="410">
                <c:v>45858.28403</c:v>
              </c:pt>
              <c:pt idx="411">
                <c:v>45858.28472</c:v>
              </c:pt>
              <c:pt idx="412">
                <c:v>45858.28542</c:v>
              </c:pt>
              <c:pt idx="413">
                <c:v>45858.28611</c:v>
              </c:pt>
              <c:pt idx="414">
                <c:v>45858.28681</c:v>
              </c:pt>
              <c:pt idx="415">
                <c:v>45858.2875</c:v>
              </c:pt>
              <c:pt idx="416">
                <c:v>45858.28819</c:v>
              </c:pt>
              <c:pt idx="417">
                <c:v>45858.28889</c:v>
              </c:pt>
              <c:pt idx="418">
                <c:v>45858.28958</c:v>
              </c:pt>
              <c:pt idx="419">
                <c:v>45858.29028</c:v>
              </c:pt>
              <c:pt idx="420">
                <c:v>45858.29097</c:v>
              </c:pt>
              <c:pt idx="421">
                <c:v>45858.29167</c:v>
              </c:pt>
              <c:pt idx="422">
                <c:v>45858.29236</c:v>
              </c:pt>
              <c:pt idx="423">
                <c:v>45858.29306</c:v>
              </c:pt>
              <c:pt idx="424">
                <c:v>45858.29375</c:v>
              </c:pt>
              <c:pt idx="425">
                <c:v>45858.29444</c:v>
              </c:pt>
              <c:pt idx="426">
                <c:v>45858.29514</c:v>
              </c:pt>
              <c:pt idx="427">
                <c:v>45858.29583</c:v>
              </c:pt>
              <c:pt idx="428">
                <c:v>45858.29653</c:v>
              </c:pt>
              <c:pt idx="429">
                <c:v>45858.29722</c:v>
              </c:pt>
              <c:pt idx="430">
                <c:v>45858.29792</c:v>
              </c:pt>
              <c:pt idx="431">
                <c:v>45858.29861</c:v>
              </c:pt>
              <c:pt idx="432">
                <c:v>45858.29931</c:v>
              </c:pt>
              <c:pt idx="433">
                <c:v>45858.3</c:v>
              </c:pt>
              <c:pt idx="434">
                <c:v>45858.30069</c:v>
              </c:pt>
              <c:pt idx="435">
                <c:v>45858.30139</c:v>
              </c:pt>
              <c:pt idx="436">
                <c:v>45858.30208</c:v>
              </c:pt>
              <c:pt idx="437">
                <c:v>45858.30278</c:v>
              </c:pt>
              <c:pt idx="438">
                <c:v>45858.30347</c:v>
              </c:pt>
              <c:pt idx="439">
                <c:v>45858.30417</c:v>
              </c:pt>
              <c:pt idx="440">
                <c:v>45858.30486</c:v>
              </c:pt>
              <c:pt idx="441">
                <c:v>45858.30556</c:v>
              </c:pt>
              <c:pt idx="442">
                <c:v>45858.30625</c:v>
              </c:pt>
              <c:pt idx="443">
                <c:v>45858.30694</c:v>
              </c:pt>
              <c:pt idx="444">
                <c:v>45858.30764</c:v>
              </c:pt>
              <c:pt idx="445">
                <c:v>45858.30833</c:v>
              </c:pt>
              <c:pt idx="446">
                <c:v>45858.30903</c:v>
              </c:pt>
              <c:pt idx="447">
                <c:v>45858.30972</c:v>
              </c:pt>
              <c:pt idx="448">
                <c:v>45858.31042</c:v>
              </c:pt>
              <c:pt idx="449">
                <c:v>45858.31111</c:v>
              </c:pt>
              <c:pt idx="450">
                <c:v>45858.31181</c:v>
              </c:pt>
              <c:pt idx="451">
                <c:v>45858.3125</c:v>
              </c:pt>
              <c:pt idx="452">
                <c:v>45858.31319</c:v>
              </c:pt>
              <c:pt idx="453">
                <c:v>45858.31389</c:v>
              </c:pt>
              <c:pt idx="454">
                <c:v>45858.31458</c:v>
              </c:pt>
              <c:pt idx="455">
                <c:v>45858.31528</c:v>
              </c:pt>
              <c:pt idx="456">
                <c:v>45858.31597</c:v>
              </c:pt>
              <c:pt idx="457">
                <c:v>45858.31667</c:v>
              </c:pt>
              <c:pt idx="458">
                <c:v>45858.31736</c:v>
              </c:pt>
              <c:pt idx="459">
                <c:v>45858.31806</c:v>
              </c:pt>
              <c:pt idx="460">
                <c:v>45858.31875</c:v>
              </c:pt>
              <c:pt idx="461">
                <c:v>45858.31944</c:v>
              </c:pt>
              <c:pt idx="462">
                <c:v>45858.32014</c:v>
              </c:pt>
              <c:pt idx="463">
                <c:v>45858.32083</c:v>
              </c:pt>
              <c:pt idx="464">
                <c:v>45858.32153</c:v>
              </c:pt>
              <c:pt idx="465">
                <c:v>45858.32222</c:v>
              </c:pt>
              <c:pt idx="466">
                <c:v>45858.32292</c:v>
              </c:pt>
              <c:pt idx="467">
                <c:v>45858.32361</c:v>
              </c:pt>
              <c:pt idx="468">
                <c:v>45858.32431</c:v>
              </c:pt>
              <c:pt idx="469">
                <c:v>45858.325</c:v>
              </c:pt>
              <c:pt idx="470">
                <c:v>45858.32569</c:v>
              </c:pt>
              <c:pt idx="471">
                <c:v>45858.32639</c:v>
              </c:pt>
              <c:pt idx="472">
                <c:v>45858.32708</c:v>
              </c:pt>
              <c:pt idx="473">
                <c:v>45858.32778</c:v>
              </c:pt>
              <c:pt idx="474">
                <c:v>45858.32847</c:v>
              </c:pt>
              <c:pt idx="475">
                <c:v>45858.32917</c:v>
              </c:pt>
              <c:pt idx="476">
                <c:v>45858.32986</c:v>
              </c:pt>
              <c:pt idx="477">
                <c:v>45858.33056</c:v>
              </c:pt>
              <c:pt idx="478">
                <c:v>45858.33125</c:v>
              </c:pt>
              <c:pt idx="479">
                <c:v>45858.33194</c:v>
              </c:pt>
              <c:pt idx="480">
                <c:v>45858.33264</c:v>
              </c:pt>
              <c:pt idx="481">
                <c:v>45858.33333</c:v>
              </c:pt>
              <c:pt idx="482">
                <c:v>45858.33403</c:v>
              </c:pt>
              <c:pt idx="483">
                <c:v>45858.33472</c:v>
              </c:pt>
              <c:pt idx="484">
                <c:v>45858.33542</c:v>
              </c:pt>
              <c:pt idx="485">
                <c:v>45858.33611</c:v>
              </c:pt>
              <c:pt idx="486">
                <c:v>45858.33681</c:v>
              </c:pt>
              <c:pt idx="487">
                <c:v>45858.3375</c:v>
              </c:pt>
              <c:pt idx="488">
                <c:v>45858.33819</c:v>
              </c:pt>
              <c:pt idx="489">
                <c:v>45858.33889</c:v>
              </c:pt>
              <c:pt idx="490">
                <c:v>45858.33958</c:v>
              </c:pt>
              <c:pt idx="491">
                <c:v>45858.34028</c:v>
              </c:pt>
              <c:pt idx="492">
                <c:v>45858.34097</c:v>
              </c:pt>
              <c:pt idx="493">
                <c:v>45858.34167</c:v>
              </c:pt>
              <c:pt idx="494">
                <c:v>45858.34236</c:v>
              </c:pt>
              <c:pt idx="495">
                <c:v>45858.34306</c:v>
              </c:pt>
              <c:pt idx="496">
                <c:v>45858.34375</c:v>
              </c:pt>
              <c:pt idx="497">
                <c:v>45858.34444</c:v>
              </c:pt>
              <c:pt idx="498">
                <c:v>45858.34514</c:v>
              </c:pt>
              <c:pt idx="499">
                <c:v>45858.34583</c:v>
              </c:pt>
              <c:pt idx="500">
                <c:v>45858.34653</c:v>
              </c:pt>
              <c:pt idx="501">
                <c:v>45858.34722</c:v>
              </c:pt>
              <c:pt idx="502">
                <c:v>45858.34792</c:v>
              </c:pt>
              <c:pt idx="503">
                <c:v>45858.34861</c:v>
              </c:pt>
              <c:pt idx="504">
                <c:v>45858.34931</c:v>
              </c:pt>
              <c:pt idx="505">
                <c:v>45858.35</c:v>
              </c:pt>
              <c:pt idx="506">
                <c:v>45858.35069</c:v>
              </c:pt>
              <c:pt idx="507">
                <c:v>45858.35139</c:v>
              </c:pt>
              <c:pt idx="508">
                <c:v>45858.35208</c:v>
              </c:pt>
              <c:pt idx="509">
                <c:v>45858.35278</c:v>
              </c:pt>
              <c:pt idx="510">
                <c:v>45858.35347</c:v>
              </c:pt>
              <c:pt idx="511">
                <c:v>45858.35417</c:v>
              </c:pt>
              <c:pt idx="512">
                <c:v>45858.35486</c:v>
              </c:pt>
              <c:pt idx="513">
                <c:v>45858.35556</c:v>
              </c:pt>
              <c:pt idx="514">
                <c:v>45858.35625</c:v>
              </c:pt>
              <c:pt idx="515">
                <c:v>45858.35694</c:v>
              </c:pt>
              <c:pt idx="516">
                <c:v>45858.35764</c:v>
              </c:pt>
              <c:pt idx="517">
                <c:v>45858.35833</c:v>
              </c:pt>
              <c:pt idx="518">
                <c:v>45858.35903</c:v>
              </c:pt>
              <c:pt idx="519">
                <c:v>45858.35972</c:v>
              </c:pt>
              <c:pt idx="520">
                <c:v>45858.36042</c:v>
              </c:pt>
              <c:pt idx="521">
                <c:v>45858.36111</c:v>
              </c:pt>
              <c:pt idx="522">
                <c:v>45858.36181</c:v>
              </c:pt>
              <c:pt idx="523">
                <c:v>45858.3625</c:v>
              </c:pt>
              <c:pt idx="524">
                <c:v>45858.36319</c:v>
              </c:pt>
              <c:pt idx="525">
                <c:v>45858.36389</c:v>
              </c:pt>
              <c:pt idx="526">
                <c:v>45858.36458</c:v>
              </c:pt>
              <c:pt idx="527">
                <c:v>45858.36528</c:v>
              </c:pt>
              <c:pt idx="528">
                <c:v>45858.36597</c:v>
              </c:pt>
              <c:pt idx="529">
                <c:v>45858.36667</c:v>
              </c:pt>
              <c:pt idx="530">
                <c:v>45858.36736</c:v>
              </c:pt>
              <c:pt idx="531">
                <c:v>45858.36806</c:v>
              </c:pt>
              <c:pt idx="532">
                <c:v>45858.36875</c:v>
              </c:pt>
              <c:pt idx="533">
                <c:v>45858.36944</c:v>
              </c:pt>
              <c:pt idx="534">
                <c:v>45858.37014</c:v>
              </c:pt>
              <c:pt idx="535">
                <c:v>45858.37083</c:v>
              </c:pt>
              <c:pt idx="536">
                <c:v>45858.37153</c:v>
              </c:pt>
              <c:pt idx="537">
                <c:v>45858.37222</c:v>
              </c:pt>
              <c:pt idx="538">
                <c:v>45858.37292</c:v>
              </c:pt>
              <c:pt idx="539">
                <c:v>45858.37361</c:v>
              </c:pt>
              <c:pt idx="540">
                <c:v>45858.37431</c:v>
              </c:pt>
              <c:pt idx="541">
                <c:v>45858.375</c:v>
              </c:pt>
              <c:pt idx="542">
                <c:v>45858.37569</c:v>
              </c:pt>
              <c:pt idx="543">
                <c:v>45858.37639</c:v>
              </c:pt>
              <c:pt idx="544">
                <c:v>45858.37708</c:v>
              </c:pt>
              <c:pt idx="545">
                <c:v>45858.37778</c:v>
              </c:pt>
              <c:pt idx="546">
                <c:v>45858.37847</c:v>
              </c:pt>
              <c:pt idx="547">
                <c:v>45858.37917</c:v>
              </c:pt>
              <c:pt idx="548">
                <c:v>45858.37986</c:v>
              </c:pt>
              <c:pt idx="549">
                <c:v>45858.38056</c:v>
              </c:pt>
              <c:pt idx="550">
                <c:v>45858.38125</c:v>
              </c:pt>
              <c:pt idx="551">
                <c:v>45858.38194</c:v>
              </c:pt>
              <c:pt idx="552">
                <c:v>45858.38264</c:v>
              </c:pt>
              <c:pt idx="553">
                <c:v>45858.38333</c:v>
              </c:pt>
              <c:pt idx="554">
                <c:v>45858.38403</c:v>
              </c:pt>
              <c:pt idx="555">
                <c:v>45858.38472</c:v>
              </c:pt>
              <c:pt idx="556">
                <c:v>45858.38542</c:v>
              </c:pt>
              <c:pt idx="557">
                <c:v>45858.38611</c:v>
              </c:pt>
              <c:pt idx="558">
                <c:v>45858.38681</c:v>
              </c:pt>
              <c:pt idx="559">
                <c:v>45858.3875</c:v>
              </c:pt>
              <c:pt idx="560">
                <c:v>45858.38819</c:v>
              </c:pt>
              <c:pt idx="561">
                <c:v>45858.38889</c:v>
              </c:pt>
              <c:pt idx="562">
                <c:v>45858.38958</c:v>
              </c:pt>
              <c:pt idx="563">
                <c:v>45858.39028</c:v>
              </c:pt>
              <c:pt idx="564">
                <c:v>45858.39097</c:v>
              </c:pt>
              <c:pt idx="565">
                <c:v>45858.39167</c:v>
              </c:pt>
              <c:pt idx="566">
                <c:v>45858.39236</c:v>
              </c:pt>
              <c:pt idx="567">
                <c:v>45858.39306</c:v>
              </c:pt>
              <c:pt idx="568">
                <c:v>45858.39375</c:v>
              </c:pt>
              <c:pt idx="569">
                <c:v>45858.39444</c:v>
              </c:pt>
              <c:pt idx="570">
                <c:v>45858.39514</c:v>
              </c:pt>
              <c:pt idx="571">
                <c:v>45858.39583</c:v>
              </c:pt>
              <c:pt idx="572">
                <c:v>45858.39653</c:v>
              </c:pt>
              <c:pt idx="573">
                <c:v>45858.39722</c:v>
              </c:pt>
              <c:pt idx="574">
                <c:v>45858.39792</c:v>
              </c:pt>
              <c:pt idx="575">
                <c:v>45858.39861</c:v>
              </c:pt>
              <c:pt idx="576">
                <c:v>45858.39931</c:v>
              </c:pt>
              <c:pt idx="577">
                <c:v>45858.4</c:v>
              </c:pt>
              <c:pt idx="578">
                <c:v>45858.40069</c:v>
              </c:pt>
              <c:pt idx="579">
                <c:v>45858.40139</c:v>
              </c:pt>
              <c:pt idx="580">
                <c:v>45858.40208</c:v>
              </c:pt>
              <c:pt idx="581">
                <c:v>45858.40278</c:v>
              </c:pt>
              <c:pt idx="582">
                <c:v>45858.40347</c:v>
              </c:pt>
              <c:pt idx="583">
                <c:v>45858.40417</c:v>
              </c:pt>
              <c:pt idx="584">
                <c:v>45858.40486</c:v>
              </c:pt>
              <c:pt idx="585">
                <c:v>45858.40556</c:v>
              </c:pt>
              <c:pt idx="586">
                <c:v>45858.40625</c:v>
              </c:pt>
              <c:pt idx="587">
                <c:v>45858.40694</c:v>
              </c:pt>
              <c:pt idx="588">
                <c:v>45858.40764</c:v>
              </c:pt>
              <c:pt idx="589">
                <c:v>45858.40833</c:v>
              </c:pt>
              <c:pt idx="590">
                <c:v>45858.40903</c:v>
              </c:pt>
              <c:pt idx="591">
                <c:v>45858.40972</c:v>
              </c:pt>
              <c:pt idx="592">
                <c:v>45858.41042</c:v>
              </c:pt>
              <c:pt idx="593">
                <c:v>45858.41111</c:v>
              </c:pt>
              <c:pt idx="594">
                <c:v>45858.41181</c:v>
              </c:pt>
              <c:pt idx="595">
                <c:v>45858.4125</c:v>
              </c:pt>
              <c:pt idx="596">
                <c:v>45858.41319</c:v>
              </c:pt>
              <c:pt idx="597">
                <c:v>45858.41389</c:v>
              </c:pt>
              <c:pt idx="598">
                <c:v>45858.41458</c:v>
              </c:pt>
              <c:pt idx="599">
                <c:v>45858.41528</c:v>
              </c:pt>
              <c:pt idx="600">
                <c:v>45858.41597</c:v>
              </c:pt>
              <c:pt idx="601">
                <c:v>45858.41667</c:v>
              </c:pt>
              <c:pt idx="602">
                <c:v>45858.41736</c:v>
              </c:pt>
              <c:pt idx="603">
                <c:v>45858.41806</c:v>
              </c:pt>
              <c:pt idx="604">
                <c:v>45858.41875</c:v>
              </c:pt>
              <c:pt idx="605">
                <c:v>45858.41944</c:v>
              </c:pt>
              <c:pt idx="606">
                <c:v>45858.42014</c:v>
              </c:pt>
              <c:pt idx="607">
                <c:v>45858.42083</c:v>
              </c:pt>
              <c:pt idx="608">
                <c:v>45858.42153</c:v>
              </c:pt>
              <c:pt idx="609">
                <c:v>45858.42222</c:v>
              </c:pt>
              <c:pt idx="610">
                <c:v>45858.42292</c:v>
              </c:pt>
              <c:pt idx="611">
                <c:v>45858.42361</c:v>
              </c:pt>
              <c:pt idx="612">
                <c:v>45858.42431</c:v>
              </c:pt>
              <c:pt idx="613">
                <c:v>45858.425</c:v>
              </c:pt>
              <c:pt idx="614">
                <c:v>45858.42569</c:v>
              </c:pt>
              <c:pt idx="615">
                <c:v>45858.42639</c:v>
              </c:pt>
              <c:pt idx="616">
                <c:v>45858.42708</c:v>
              </c:pt>
              <c:pt idx="617">
                <c:v>45858.42778</c:v>
              </c:pt>
              <c:pt idx="618">
                <c:v>45858.42847</c:v>
              </c:pt>
              <c:pt idx="619">
                <c:v>45858.42917</c:v>
              </c:pt>
              <c:pt idx="620">
                <c:v>45858.42986</c:v>
              </c:pt>
              <c:pt idx="621">
                <c:v>45858.43056</c:v>
              </c:pt>
              <c:pt idx="622">
                <c:v>45858.43125</c:v>
              </c:pt>
              <c:pt idx="623">
                <c:v>45858.43194</c:v>
              </c:pt>
              <c:pt idx="624">
                <c:v>45858.43264</c:v>
              </c:pt>
              <c:pt idx="625">
                <c:v>45858.43333</c:v>
              </c:pt>
              <c:pt idx="626">
                <c:v>45858.43403</c:v>
              </c:pt>
              <c:pt idx="627">
                <c:v>45858.43472</c:v>
              </c:pt>
              <c:pt idx="628">
                <c:v>45858.43542</c:v>
              </c:pt>
              <c:pt idx="629">
                <c:v>45858.43611</c:v>
              </c:pt>
              <c:pt idx="630">
                <c:v>45858.43681</c:v>
              </c:pt>
              <c:pt idx="631">
                <c:v>45858.4375</c:v>
              </c:pt>
              <c:pt idx="632">
                <c:v>45858.43819</c:v>
              </c:pt>
              <c:pt idx="633">
                <c:v>45858.43889</c:v>
              </c:pt>
              <c:pt idx="634">
                <c:v>45858.43958</c:v>
              </c:pt>
              <c:pt idx="635">
                <c:v>45858.44028</c:v>
              </c:pt>
              <c:pt idx="636">
                <c:v>45858.44097</c:v>
              </c:pt>
              <c:pt idx="637">
                <c:v>45858.44167</c:v>
              </c:pt>
              <c:pt idx="638">
                <c:v>45858.44236</c:v>
              </c:pt>
              <c:pt idx="639">
                <c:v>45858.44306</c:v>
              </c:pt>
              <c:pt idx="640">
                <c:v>45858.44375</c:v>
              </c:pt>
              <c:pt idx="641">
                <c:v>45858.44444</c:v>
              </c:pt>
              <c:pt idx="642">
                <c:v>45858.44514</c:v>
              </c:pt>
              <c:pt idx="643">
                <c:v>45858.44583</c:v>
              </c:pt>
              <c:pt idx="644">
                <c:v>45858.44653</c:v>
              </c:pt>
              <c:pt idx="645">
                <c:v>45858.44722</c:v>
              </c:pt>
              <c:pt idx="646">
                <c:v>45858.44792</c:v>
              </c:pt>
              <c:pt idx="647">
                <c:v>45858.44861</c:v>
              </c:pt>
              <c:pt idx="648">
                <c:v>45858.44931</c:v>
              </c:pt>
              <c:pt idx="649">
                <c:v>45858.45</c:v>
              </c:pt>
              <c:pt idx="650">
                <c:v>45858.45069</c:v>
              </c:pt>
              <c:pt idx="651">
                <c:v>45858.45139</c:v>
              </c:pt>
              <c:pt idx="652">
                <c:v>45858.45208</c:v>
              </c:pt>
              <c:pt idx="653">
                <c:v>45858.45278</c:v>
              </c:pt>
              <c:pt idx="654">
                <c:v>45858.45347</c:v>
              </c:pt>
              <c:pt idx="655">
                <c:v>45858.45417</c:v>
              </c:pt>
              <c:pt idx="656">
                <c:v>45858.45486</c:v>
              </c:pt>
              <c:pt idx="657">
                <c:v>45858.45556</c:v>
              </c:pt>
              <c:pt idx="658">
                <c:v>45858.45625</c:v>
              </c:pt>
              <c:pt idx="659">
                <c:v>45858.45694</c:v>
              </c:pt>
              <c:pt idx="660">
                <c:v>45858.45764</c:v>
              </c:pt>
              <c:pt idx="661">
                <c:v>45858.45833</c:v>
              </c:pt>
              <c:pt idx="662">
                <c:v>45858.45903</c:v>
              </c:pt>
              <c:pt idx="663">
                <c:v>45858.45972</c:v>
              </c:pt>
              <c:pt idx="664">
                <c:v>45858.46042</c:v>
              </c:pt>
              <c:pt idx="665">
                <c:v>45858.46111</c:v>
              </c:pt>
              <c:pt idx="666">
                <c:v>45858.46181</c:v>
              </c:pt>
              <c:pt idx="667">
                <c:v>45858.4625</c:v>
              </c:pt>
              <c:pt idx="668">
                <c:v>45858.46319</c:v>
              </c:pt>
              <c:pt idx="669">
                <c:v>45858.46389</c:v>
              </c:pt>
              <c:pt idx="670">
                <c:v>45858.46458</c:v>
              </c:pt>
              <c:pt idx="671">
                <c:v>45858.46528</c:v>
              </c:pt>
              <c:pt idx="672">
                <c:v>45858.46597</c:v>
              </c:pt>
              <c:pt idx="673">
                <c:v>45858.46667</c:v>
              </c:pt>
              <c:pt idx="674">
                <c:v>45858.46736</c:v>
              </c:pt>
              <c:pt idx="675">
                <c:v>45858.46806</c:v>
              </c:pt>
              <c:pt idx="676">
                <c:v>45858.46875</c:v>
              </c:pt>
              <c:pt idx="677">
                <c:v>45858.46944</c:v>
              </c:pt>
              <c:pt idx="678">
                <c:v>45858.47014</c:v>
              </c:pt>
              <c:pt idx="679">
                <c:v>45858.47083</c:v>
              </c:pt>
              <c:pt idx="680">
                <c:v>45858.47153</c:v>
              </c:pt>
              <c:pt idx="681">
                <c:v>45858.47222</c:v>
              </c:pt>
              <c:pt idx="682">
                <c:v>45858.47292</c:v>
              </c:pt>
              <c:pt idx="683">
                <c:v>45858.47361</c:v>
              </c:pt>
              <c:pt idx="684">
                <c:v>45858.47431</c:v>
              </c:pt>
              <c:pt idx="685">
                <c:v>45858.475</c:v>
              </c:pt>
              <c:pt idx="686">
                <c:v>45858.47569</c:v>
              </c:pt>
              <c:pt idx="687">
                <c:v>45858.47639</c:v>
              </c:pt>
              <c:pt idx="688">
                <c:v>45858.47708</c:v>
              </c:pt>
              <c:pt idx="689">
                <c:v>45858.47778</c:v>
              </c:pt>
              <c:pt idx="690">
                <c:v>45858.47847</c:v>
              </c:pt>
              <c:pt idx="691">
                <c:v>45858.47917</c:v>
              </c:pt>
              <c:pt idx="692">
                <c:v>45858.47986</c:v>
              </c:pt>
              <c:pt idx="693">
                <c:v>45858.48056</c:v>
              </c:pt>
              <c:pt idx="694">
                <c:v>45858.48125</c:v>
              </c:pt>
              <c:pt idx="695">
                <c:v>45858.48194</c:v>
              </c:pt>
              <c:pt idx="696">
                <c:v>45858.48264</c:v>
              </c:pt>
              <c:pt idx="697">
                <c:v>45858.48333</c:v>
              </c:pt>
              <c:pt idx="698">
                <c:v>45858.48403</c:v>
              </c:pt>
              <c:pt idx="699">
                <c:v>45858.48472</c:v>
              </c:pt>
              <c:pt idx="700">
                <c:v>45858.48542</c:v>
              </c:pt>
              <c:pt idx="701">
                <c:v>45858.48611</c:v>
              </c:pt>
              <c:pt idx="702">
                <c:v>45858.48681</c:v>
              </c:pt>
              <c:pt idx="703">
                <c:v>45858.4875</c:v>
              </c:pt>
              <c:pt idx="704">
                <c:v>45858.48819</c:v>
              </c:pt>
              <c:pt idx="705">
                <c:v>45858.48889</c:v>
              </c:pt>
              <c:pt idx="706">
                <c:v>45858.48958</c:v>
              </c:pt>
              <c:pt idx="707">
                <c:v>45858.49028</c:v>
              </c:pt>
              <c:pt idx="708">
                <c:v>45858.49097</c:v>
              </c:pt>
              <c:pt idx="709">
                <c:v>45858.49167</c:v>
              </c:pt>
              <c:pt idx="710">
                <c:v>45858.49236</c:v>
              </c:pt>
              <c:pt idx="711">
                <c:v>45858.49306</c:v>
              </c:pt>
              <c:pt idx="712">
                <c:v>45858.49375</c:v>
              </c:pt>
              <c:pt idx="713">
                <c:v>45858.49444</c:v>
              </c:pt>
              <c:pt idx="714">
                <c:v>45858.49514</c:v>
              </c:pt>
              <c:pt idx="715">
                <c:v>45858.49583</c:v>
              </c:pt>
              <c:pt idx="716">
                <c:v>45858.49653</c:v>
              </c:pt>
              <c:pt idx="717">
                <c:v>45858.49722</c:v>
              </c:pt>
              <c:pt idx="718">
                <c:v>45858.49792</c:v>
              </c:pt>
              <c:pt idx="719">
                <c:v>45858.49861</c:v>
              </c:pt>
              <c:pt idx="720">
                <c:v>45858.49931</c:v>
              </c:pt>
              <c:pt idx="721">
                <c:v>45858.5</c:v>
              </c:pt>
              <c:pt idx="722">
                <c:v>45858.50069</c:v>
              </c:pt>
              <c:pt idx="723">
                <c:v>45858.50139</c:v>
              </c:pt>
              <c:pt idx="724">
                <c:v>45858.50208</c:v>
              </c:pt>
              <c:pt idx="725">
                <c:v>45858.50278</c:v>
              </c:pt>
              <c:pt idx="726">
                <c:v>45858.50347</c:v>
              </c:pt>
              <c:pt idx="727">
                <c:v>45858.50417</c:v>
              </c:pt>
              <c:pt idx="728">
                <c:v>45858.50486</c:v>
              </c:pt>
              <c:pt idx="729">
                <c:v>45858.50556</c:v>
              </c:pt>
              <c:pt idx="730">
                <c:v>45858.50625</c:v>
              </c:pt>
              <c:pt idx="731">
                <c:v>45858.50694</c:v>
              </c:pt>
              <c:pt idx="732">
                <c:v>45858.50764</c:v>
              </c:pt>
              <c:pt idx="733">
                <c:v>45858.50833</c:v>
              </c:pt>
              <c:pt idx="734">
                <c:v>45858.50903</c:v>
              </c:pt>
              <c:pt idx="735">
                <c:v>45858.50972</c:v>
              </c:pt>
              <c:pt idx="736">
                <c:v>45858.51042</c:v>
              </c:pt>
              <c:pt idx="737">
                <c:v>45858.51111</c:v>
              </c:pt>
              <c:pt idx="738">
                <c:v>45858.51181</c:v>
              </c:pt>
              <c:pt idx="739">
                <c:v>45858.5125</c:v>
              </c:pt>
              <c:pt idx="740">
                <c:v>45858.51319</c:v>
              </c:pt>
              <c:pt idx="741">
                <c:v>45858.51389</c:v>
              </c:pt>
              <c:pt idx="742">
                <c:v>45858.51458</c:v>
              </c:pt>
              <c:pt idx="743">
                <c:v>45858.51528</c:v>
              </c:pt>
              <c:pt idx="744">
                <c:v>45858.51597</c:v>
              </c:pt>
              <c:pt idx="745">
                <c:v>45858.51667</c:v>
              </c:pt>
              <c:pt idx="746">
                <c:v>45858.51736</c:v>
              </c:pt>
              <c:pt idx="747">
                <c:v>45858.51806</c:v>
              </c:pt>
              <c:pt idx="748">
                <c:v>45858.51875</c:v>
              </c:pt>
              <c:pt idx="749">
                <c:v>45858.51944</c:v>
              </c:pt>
              <c:pt idx="750">
                <c:v>45858.52014</c:v>
              </c:pt>
              <c:pt idx="751">
                <c:v>45858.52083</c:v>
              </c:pt>
              <c:pt idx="752">
                <c:v>45858.52153</c:v>
              </c:pt>
              <c:pt idx="753">
                <c:v>45858.52222</c:v>
              </c:pt>
              <c:pt idx="754">
                <c:v>45858.52292</c:v>
              </c:pt>
              <c:pt idx="755">
                <c:v>45858.52361</c:v>
              </c:pt>
              <c:pt idx="756">
                <c:v>45858.52431</c:v>
              </c:pt>
              <c:pt idx="757">
                <c:v>45858.525</c:v>
              </c:pt>
              <c:pt idx="758">
                <c:v>45858.52569</c:v>
              </c:pt>
              <c:pt idx="759">
                <c:v>45858.52639</c:v>
              </c:pt>
              <c:pt idx="760">
                <c:v>45858.52708</c:v>
              </c:pt>
              <c:pt idx="761">
                <c:v>45858.52778</c:v>
              </c:pt>
              <c:pt idx="762">
                <c:v>45858.52847</c:v>
              </c:pt>
              <c:pt idx="763">
                <c:v>45858.52917</c:v>
              </c:pt>
              <c:pt idx="764">
                <c:v>45858.52986</c:v>
              </c:pt>
              <c:pt idx="765">
                <c:v>45858.53056</c:v>
              </c:pt>
              <c:pt idx="766">
                <c:v>45858.53125</c:v>
              </c:pt>
              <c:pt idx="767">
                <c:v>45858.53194</c:v>
              </c:pt>
              <c:pt idx="768">
                <c:v>45858.53264</c:v>
              </c:pt>
              <c:pt idx="769">
                <c:v>45858.53333</c:v>
              </c:pt>
              <c:pt idx="770">
                <c:v>45858.53403</c:v>
              </c:pt>
              <c:pt idx="771">
                <c:v>45858.53472</c:v>
              </c:pt>
              <c:pt idx="772">
                <c:v>45858.53542</c:v>
              </c:pt>
              <c:pt idx="773">
                <c:v>45858.53611</c:v>
              </c:pt>
              <c:pt idx="774">
                <c:v>45858.53681</c:v>
              </c:pt>
              <c:pt idx="775">
                <c:v>45858.5375</c:v>
              </c:pt>
              <c:pt idx="776">
                <c:v>45858.53819</c:v>
              </c:pt>
              <c:pt idx="777">
                <c:v>45858.53889</c:v>
              </c:pt>
              <c:pt idx="778">
                <c:v>45858.53958</c:v>
              </c:pt>
              <c:pt idx="779">
                <c:v>45858.54028</c:v>
              </c:pt>
              <c:pt idx="780">
                <c:v>45858.54097</c:v>
              </c:pt>
              <c:pt idx="781">
                <c:v>45858.54167</c:v>
              </c:pt>
              <c:pt idx="782">
                <c:v>45858.54236</c:v>
              </c:pt>
              <c:pt idx="783">
                <c:v>45858.54306</c:v>
              </c:pt>
              <c:pt idx="784">
                <c:v>45858.54375</c:v>
              </c:pt>
              <c:pt idx="785">
                <c:v>45858.54444</c:v>
              </c:pt>
              <c:pt idx="786">
                <c:v>45858.54514</c:v>
              </c:pt>
              <c:pt idx="787">
                <c:v>45858.54583</c:v>
              </c:pt>
              <c:pt idx="788">
                <c:v>45858.54653</c:v>
              </c:pt>
              <c:pt idx="789">
                <c:v>45858.54722</c:v>
              </c:pt>
              <c:pt idx="790">
                <c:v>45858.54792</c:v>
              </c:pt>
              <c:pt idx="791">
                <c:v>45858.54861</c:v>
              </c:pt>
              <c:pt idx="792">
                <c:v>45858.54931</c:v>
              </c:pt>
              <c:pt idx="793">
                <c:v>45858.55</c:v>
              </c:pt>
              <c:pt idx="794">
                <c:v>45858.55069</c:v>
              </c:pt>
              <c:pt idx="795">
                <c:v>45858.55139</c:v>
              </c:pt>
              <c:pt idx="796">
                <c:v>45858.55208</c:v>
              </c:pt>
              <c:pt idx="797">
                <c:v>45858.55278</c:v>
              </c:pt>
              <c:pt idx="798">
                <c:v>45858.55347</c:v>
              </c:pt>
              <c:pt idx="799">
                <c:v>45858.55417</c:v>
              </c:pt>
              <c:pt idx="800">
                <c:v>45858.55486</c:v>
              </c:pt>
              <c:pt idx="801">
                <c:v>45858.55556</c:v>
              </c:pt>
              <c:pt idx="802">
                <c:v>45858.55625</c:v>
              </c:pt>
              <c:pt idx="803">
                <c:v>45858.55694</c:v>
              </c:pt>
              <c:pt idx="804">
                <c:v>45858.55764</c:v>
              </c:pt>
              <c:pt idx="805">
                <c:v>45858.55833</c:v>
              </c:pt>
              <c:pt idx="806">
                <c:v>45858.55903</c:v>
              </c:pt>
              <c:pt idx="807">
                <c:v>45858.55972</c:v>
              </c:pt>
              <c:pt idx="808">
                <c:v>45858.56042</c:v>
              </c:pt>
              <c:pt idx="809">
                <c:v>45858.56111</c:v>
              </c:pt>
              <c:pt idx="810">
                <c:v>45858.56181</c:v>
              </c:pt>
              <c:pt idx="811">
                <c:v>45858.5625</c:v>
              </c:pt>
              <c:pt idx="812">
                <c:v>45858.56319</c:v>
              </c:pt>
              <c:pt idx="813">
                <c:v>45858.56389</c:v>
              </c:pt>
              <c:pt idx="814">
                <c:v>45858.56458</c:v>
              </c:pt>
              <c:pt idx="815">
                <c:v>45858.56528</c:v>
              </c:pt>
              <c:pt idx="816">
                <c:v>45858.56597</c:v>
              </c:pt>
              <c:pt idx="817">
                <c:v>45858.56667</c:v>
              </c:pt>
              <c:pt idx="818">
                <c:v>45858.56736</c:v>
              </c:pt>
              <c:pt idx="819">
                <c:v>45858.56806</c:v>
              </c:pt>
              <c:pt idx="820">
                <c:v>45858.56875</c:v>
              </c:pt>
              <c:pt idx="821">
                <c:v>45858.56944</c:v>
              </c:pt>
              <c:pt idx="822">
                <c:v>45858.57014</c:v>
              </c:pt>
              <c:pt idx="823">
                <c:v>45858.57083</c:v>
              </c:pt>
              <c:pt idx="824">
                <c:v>45858.57153</c:v>
              </c:pt>
              <c:pt idx="825">
                <c:v>45858.57222</c:v>
              </c:pt>
              <c:pt idx="826">
                <c:v>45858.57292</c:v>
              </c:pt>
              <c:pt idx="827">
                <c:v>45858.57361</c:v>
              </c:pt>
              <c:pt idx="828">
                <c:v>45858.57431</c:v>
              </c:pt>
              <c:pt idx="829">
                <c:v>45858.575</c:v>
              </c:pt>
              <c:pt idx="830">
                <c:v>45858.57569</c:v>
              </c:pt>
              <c:pt idx="831">
                <c:v>45858.57639</c:v>
              </c:pt>
              <c:pt idx="832">
                <c:v>45858.57708</c:v>
              </c:pt>
              <c:pt idx="833">
                <c:v>45858.57778</c:v>
              </c:pt>
              <c:pt idx="834">
                <c:v>45858.57847</c:v>
              </c:pt>
              <c:pt idx="835">
                <c:v>45858.57917</c:v>
              </c:pt>
              <c:pt idx="836">
                <c:v>45858.57986</c:v>
              </c:pt>
              <c:pt idx="837">
                <c:v>45858.58056</c:v>
              </c:pt>
              <c:pt idx="838">
                <c:v>45858.58125</c:v>
              </c:pt>
              <c:pt idx="839">
                <c:v>45858.58194</c:v>
              </c:pt>
              <c:pt idx="840">
                <c:v>45858.58264</c:v>
              </c:pt>
              <c:pt idx="841">
                <c:v>45858.58333</c:v>
              </c:pt>
              <c:pt idx="842">
                <c:v>45858.58403</c:v>
              </c:pt>
              <c:pt idx="843">
                <c:v>45858.58472</c:v>
              </c:pt>
              <c:pt idx="844">
                <c:v>45858.58542</c:v>
              </c:pt>
              <c:pt idx="845">
                <c:v>45858.58611</c:v>
              </c:pt>
              <c:pt idx="846">
                <c:v>45858.58681</c:v>
              </c:pt>
              <c:pt idx="847">
                <c:v>45858.5875</c:v>
              </c:pt>
              <c:pt idx="848">
                <c:v>45858.58819</c:v>
              </c:pt>
              <c:pt idx="849">
                <c:v>45858.58889</c:v>
              </c:pt>
              <c:pt idx="850">
                <c:v>45858.58958</c:v>
              </c:pt>
              <c:pt idx="851">
                <c:v>45858.59028</c:v>
              </c:pt>
              <c:pt idx="852">
                <c:v>45858.59097</c:v>
              </c:pt>
              <c:pt idx="853">
                <c:v>45858.59167</c:v>
              </c:pt>
              <c:pt idx="854">
                <c:v>45858.59236</c:v>
              </c:pt>
              <c:pt idx="855">
                <c:v>45858.59306</c:v>
              </c:pt>
              <c:pt idx="856">
                <c:v>45858.59375</c:v>
              </c:pt>
              <c:pt idx="857">
                <c:v>45858.59444</c:v>
              </c:pt>
              <c:pt idx="858">
                <c:v>45858.59514</c:v>
              </c:pt>
              <c:pt idx="859">
                <c:v>45858.59583</c:v>
              </c:pt>
              <c:pt idx="860">
                <c:v>45858.59653</c:v>
              </c:pt>
              <c:pt idx="861">
                <c:v>45858.59722</c:v>
              </c:pt>
              <c:pt idx="862">
                <c:v>45858.59792</c:v>
              </c:pt>
              <c:pt idx="863">
                <c:v>45858.59861</c:v>
              </c:pt>
              <c:pt idx="864">
                <c:v>45858.59931</c:v>
              </c:pt>
              <c:pt idx="865">
                <c:v>45858.6</c:v>
              </c:pt>
              <c:pt idx="866">
                <c:v>45858.60069</c:v>
              </c:pt>
              <c:pt idx="867">
                <c:v>45858.60139</c:v>
              </c:pt>
              <c:pt idx="868">
                <c:v>45858.60208</c:v>
              </c:pt>
              <c:pt idx="869">
                <c:v>45858.60278</c:v>
              </c:pt>
              <c:pt idx="870">
                <c:v>45858.60347</c:v>
              </c:pt>
              <c:pt idx="871">
                <c:v>45858.60417</c:v>
              </c:pt>
              <c:pt idx="872">
                <c:v>45858.60486</c:v>
              </c:pt>
              <c:pt idx="873">
                <c:v>45858.60556</c:v>
              </c:pt>
              <c:pt idx="874">
                <c:v>45858.60625</c:v>
              </c:pt>
              <c:pt idx="875">
                <c:v>45858.60694</c:v>
              </c:pt>
              <c:pt idx="876">
                <c:v>45858.60764</c:v>
              </c:pt>
              <c:pt idx="877">
                <c:v>45858.60833</c:v>
              </c:pt>
              <c:pt idx="878">
                <c:v>45858.60903</c:v>
              </c:pt>
              <c:pt idx="879">
                <c:v>45858.60972</c:v>
              </c:pt>
              <c:pt idx="880">
                <c:v>45858.61042</c:v>
              </c:pt>
              <c:pt idx="881">
                <c:v>45858.61111</c:v>
              </c:pt>
              <c:pt idx="882">
                <c:v>45858.61181</c:v>
              </c:pt>
              <c:pt idx="883">
                <c:v>45858.6125</c:v>
              </c:pt>
              <c:pt idx="884">
                <c:v>45858.61319</c:v>
              </c:pt>
              <c:pt idx="885">
                <c:v>45858.61389</c:v>
              </c:pt>
              <c:pt idx="886">
                <c:v>45858.61458</c:v>
              </c:pt>
              <c:pt idx="887">
                <c:v>45858.61528</c:v>
              </c:pt>
              <c:pt idx="888">
                <c:v>45858.61597</c:v>
              </c:pt>
              <c:pt idx="889">
                <c:v>45858.61667</c:v>
              </c:pt>
              <c:pt idx="890">
                <c:v>45858.61736</c:v>
              </c:pt>
              <c:pt idx="891">
                <c:v>45858.61806</c:v>
              </c:pt>
              <c:pt idx="892">
                <c:v>45858.61875</c:v>
              </c:pt>
              <c:pt idx="893">
                <c:v>45858.61944</c:v>
              </c:pt>
              <c:pt idx="894">
                <c:v>45858.62014</c:v>
              </c:pt>
              <c:pt idx="895">
                <c:v>45858.62083</c:v>
              </c:pt>
              <c:pt idx="896">
                <c:v>45858.62153</c:v>
              </c:pt>
              <c:pt idx="897">
                <c:v>45858.62222</c:v>
              </c:pt>
              <c:pt idx="898">
                <c:v>45858.62292</c:v>
              </c:pt>
              <c:pt idx="899">
                <c:v>45858.62361</c:v>
              </c:pt>
              <c:pt idx="900">
                <c:v>45858.62431</c:v>
              </c:pt>
              <c:pt idx="901">
                <c:v>45858.625</c:v>
              </c:pt>
              <c:pt idx="902">
                <c:v>45858.62569</c:v>
              </c:pt>
              <c:pt idx="903">
                <c:v>45858.62639</c:v>
              </c:pt>
              <c:pt idx="904">
                <c:v>45858.62708</c:v>
              </c:pt>
              <c:pt idx="905">
                <c:v>45858.62778</c:v>
              </c:pt>
              <c:pt idx="906">
                <c:v>45858.62847</c:v>
              </c:pt>
              <c:pt idx="907">
                <c:v>45858.62917</c:v>
              </c:pt>
              <c:pt idx="908">
                <c:v>45858.62986</c:v>
              </c:pt>
              <c:pt idx="909">
                <c:v>45858.63056</c:v>
              </c:pt>
              <c:pt idx="910">
                <c:v>45858.63125</c:v>
              </c:pt>
              <c:pt idx="911">
                <c:v>45858.63194</c:v>
              </c:pt>
              <c:pt idx="912">
                <c:v>45858.63264</c:v>
              </c:pt>
              <c:pt idx="913">
                <c:v>45858.63333</c:v>
              </c:pt>
              <c:pt idx="914">
                <c:v>45858.63403</c:v>
              </c:pt>
              <c:pt idx="915">
                <c:v>45858.63472</c:v>
              </c:pt>
              <c:pt idx="916">
                <c:v>45858.63542</c:v>
              </c:pt>
              <c:pt idx="917">
                <c:v>45858.63611</c:v>
              </c:pt>
              <c:pt idx="918">
                <c:v>45858.63681</c:v>
              </c:pt>
              <c:pt idx="919">
                <c:v>45858.6375</c:v>
              </c:pt>
              <c:pt idx="920">
                <c:v>45858.63819</c:v>
              </c:pt>
              <c:pt idx="921">
                <c:v>45858.63889</c:v>
              </c:pt>
              <c:pt idx="922">
                <c:v>45858.63958</c:v>
              </c:pt>
              <c:pt idx="923">
                <c:v>45858.64028</c:v>
              </c:pt>
              <c:pt idx="924">
                <c:v>45858.64097</c:v>
              </c:pt>
              <c:pt idx="925">
                <c:v>45858.64167</c:v>
              </c:pt>
              <c:pt idx="926">
                <c:v>45858.64236</c:v>
              </c:pt>
              <c:pt idx="927">
                <c:v>45858.64306</c:v>
              </c:pt>
              <c:pt idx="928">
                <c:v>45858.64375</c:v>
              </c:pt>
              <c:pt idx="929">
                <c:v>45858.64444</c:v>
              </c:pt>
              <c:pt idx="930">
                <c:v>45858.64514</c:v>
              </c:pt>
              <c:pt idx="931">
                <c:v>45858.64583</c:v>
              </c:pt>
              <c:pt idx="932">
                <c:v>45858.64653</c:v>
              </c:pt>
              <c:pt idx="933">
                <c:v>45858.64722</c:v>
              </c:pt>
              <c:pt idx="934">
                <c:v>45858.64792</c:v>
              </c:pt>
              <c:pt idx="935">
                <c:v>45858.64861</c:v>
              </c:pt>
              <c:pt idx="936">
                <c:v>45858.64931</c:v>
              </c:pt>
              <c:pt idx="937">
                <c:v>45858.65</c:v>
              </c:pt>
              <c:pt idx="938">
                <c:v>45858.65069</c:v>
              </c:pt>
              <c:pt idx="939">
                <c:v>45858.65139</c:v>
              </c:pt>
              <c:pt idx="940">
                <c:v>45858.65208</c:v>
              </c:pt>
              <c:pt idx="941">
                <c:v>45858.65278</c:v>
              </c:pt>
              <c:pt idx="942">
                <c:v>45858.65347</c:v>
              </c:pt>
              <c:pt idx="943">
                <c:v>45858.65417</c:v>
              </c:pt>
              <c:pt idx="944">
                <c:v>45858.65486</c:v>
              </c:pt>
              <c:pt idx="945">
                <c:v>45858.65556</c:v>
              </c:pt>
              <c:pt idx="946">
                <c:v>45858.65625</c:v>
              </c:pt>
              <c:pt idx="947">
                <c:v>45858.65694</c:v>
              </c:pt>
              <c:pt idx="948">
                <c:v>45858.65764</c:v>
              </c:pt>
              <c:pt idx="949">
                <c:v>45858.65833</c:v>
              </c:pt>
              <c:pt idx="950">
                <c:v>45858.65903</c:v>
              </c:pt>
              <c:pt idx="951">
                <c:v>45858.65972</c:v>
              </c:pt>
              <c:pt idx="952">
                <c:v>45858.66042</c:v>
              </c:pt>
              <c:pt idx="953">
                <c:v>45858.66111</c:v>
              </c:pt>
              <c:pt idx="954">
                <c:v>45858.66181</c:v>
              </c:pt>
              <c:pt idx="955">
                <c:v>45858.6625</c:v>
              </c:pt>
              <c:pt idx="956">
                <c:v>45858.66319</c:v>
              </c:pt>
              <c:pt idx="957">
                <c:v>45858.66389</c:v>
              </c:pt>
              <c:pt idx="958">
                <c:v>45858.66458</c:v>
              </c:pt>
              <c:pt idx="959">
                <c:v>45858.66528</c:v>
              </c:pt>
              <c:pt idx="960">
                <c:v>45858.66597</c:v>
              </c:pt>
              <c:pt idx="961">
                <c:v>45858.66667</c:v>
              </c:pt>
              <c:pt idx="962">
                <c:v>45858.66736</c:v>
              </c:pt>
              <c:pt idx="963">
                <c:v>45858.66806</c:v>
              </c:pt>
              <c:pt idx="964">
                <c:v>45858.66875</c:v>
              </c:pt>
              <c:pt idx="965">
                <c:v>45858.66944</c:v>
              </c:pt>
              <c:pt idx="966">
                <c:v>45858.67014</c:v>
              </c:pt>
              <c:pt idx="967">
                <c:v>45858.67083</c:v>
              </c:pt>
              <c:pt idx="968">
                <c:v>45858.67153</c:v>
              </c:pt>
              <c:pt idx="969">
                <c:v>45858.67222</c:v>
              </c:pt>
              <c:pt idx="970">
                <c:v>45858.67292</c:v>
              </c:pt>
              <c:pt idx="971">
                <c:v>45858.67361</c:v>
              </c:pt>
              <c:pt idx="972">
                <c:v>45858.67431</c:v>
              </c:pt>
              <c:pt idx="973">
                <c:v>45858.675</c:v>
              </c:pt>
              <c:pt idx="974">
                <c:v>45858.67569</c:v>
              </c:pt>
              <c:pt idx="975">
                <c:v>45858.67639</c:v>
              </c:pt>
              <c:pt idx="976">
                <c:v>45858.67708</c:v>
              </c:pt>
              <c:pt idx="977">
                <c:v>45858.67778</c:v>
              </c:pt>
              <c:pt idx="978">
                <c:v>45858.67847</c:v>
              </c:pt>
              <c:pt idx="979">
                <c:v>45858.67917</c:v>
              </c:pt>
              <c:pt idx="980">
                <c:v>45858.67986</c:v>
              </c:pt>
              <c:pt idx="981">
                <c:v>45858.68056</c:v>
              </c:pt>
              <c:pt idx="982">
                <c:v>45858.68125</c:v>
              </c:pt>
              <c:pt idx="983">
                <c:v>45858.68194</c:v>
              </c:pt>
              <c:pt idx="984">
                <c:v>45858.68264</c:v>
              </c:pt>
              <c:pt idx="985">
                <c:v>45858.68333</c:v>
              </c:pt>
              <c:pt idx="986">
                <c:v>45858.68403</c:v>
              </c:pt>
              <c:pt idx="987">
                <c:v>45858.68472</c:v>
              </c:pt>
              <c:pt idx="988">
                <c:v>45858.68542</c:v>
              </c:pt>
              <c:pt idx="989">
                <c:v>45858.68611</c:v>
              </c:pt>
              <c:pt idx="990">
                <c:v>45858.68681</c:v>
              </c:pt>
              <c:pt idx="991">
                <c:v>45858.6875</c:v>
              </c:pt>
              <c:pt idx="992">
                <c:v>45858.68819</c:v>
              </c:pt>
              <c:pt idx="993">
                <c:v>45858.68889</c:v>
              </c:pt>
              <c:pt idx="994">
                <c:v>45858.68958</c:v>
              </c:pt>
              <c:pt idx="995">
                <c:v>45858.69028</c:v>
              </c:pt>
              <c:pt idx="996">
                <c:v>45858.69097</c:v>
              </c:pt>
              <c:pt idx="997">
                <c:v>45858.69167</c:v>
              </c:pt>
              <c:pt idx="998">
                <c:v>45858.69236</c:v>
              </c:pt>
              <c:pt idx="999">
                <c:v>45858.69306</c:v>
              </c:pt>
              <c:pt idx="1000">
                <c:v>45858.69375</c:v>
              </c:pt>
              <c:pt idx="1001">
                <c:v>45858.69444</c:v>
              </c:pt>
              <c:pt idx="1002">
                <c:v>45858.69514</c:v>
              </c:pt>
              <c:pt idx="1003">
                <c:v>45858.69583</c:v>
              </c:pt>
              <c:pt idx="1004">
                <c:v>45858.69653</c:v>
              </c:pt>
              <c:pt idx="1005">
                <c:v>45858.69722</c:v>
              </c:pt>
              <c:pt idx="1006">
                <c:v>45858.69792</c:v>
              </c:pt>
              <c:pt idx="1007">
                <c:v>45858.69861</c:v>
              </c:pt>
              <c:pt idx="1008">
                <c:v>45858.69931</c:v>
              </c:pt>
              <c:pt idx="1009">
                <c:v>45858.7</c:v>
              </c:pt>
              <c:pt idx="1010">
                <c:v>45858.70069</c:v>
              </c:pt>
              <c:pt idx="1011">
                <c:v>45858.70139</c:v>
              </c:pt>
              <c:pt idx="1012">
                <c:v>45858.70208</c:v>
              </c:pt>
              <c:pt idx="1013">
                <c:v>45858.70278</c:v>
              </c:pt>
              <c:pt idx="1014">
                <c:v>45858.70347</c:v>
              </c:pt>
              <c:pt idx="1015">
                <c:v>45858.70417</c:v>
              </c:pt>
              <c:pt idx="1016">
                <c:v>45858.70486</c:v>
              </c:pt>
              <c:pt idx="1017">
                <c:v>45858.70556</c:v>
              </c:pt>
              <c:pt idx="1018">
                <c:v>45858.70625</c:v>
              </c:pt>
              <c:pt idx="1019">
                <c:v>45858.70694</c:v>
              </c:pt>
              <c:pt idx="1020">
                <c:v>45858.70764</c:v>
              </c:pt>
              <c:pt idx="1021">
                <c:v>45858.70833</c:v>
              </c:pt>
              <c:pt idx="1022">
                <c:v>45858.70903</c:v>
              </c:pt>
              <c:pt idx="1023">
                <c:v>45858.70972</c:v>
              </c:pt>
              <c:pt idx="1024">
                <c:v>45858.71042</c:v>
              </c:pt>
              <c:pt idx="1025">
                <c:v>45858.71111</c:v>
              </c:pt>
              <c:pt idx="1026">
                <c:v>45858.71181</c:v>
              </c:pt>
              <c:pt idx="1027">
                <c:v>45858.7125</c:v>
              </c:pt>
              <c:pt idx="1028">
                <c:v>45858.71319</c:v>
              </c:pt>
              <c:pt idx="1029">
                <c:v>45858.71389</c:v>
              </c:pt>
              <c:pt idx="1030">
                <c:v>45858.71458</c:v>
              </c:pt>
              <c:pt idx="1031">
                <c:v>45858.71528</c:v>
              </c:pt>
              <c:pt idx="1032">
                <c:v>45858.71597</c:v>
              </c:pt>
              <c:pt idx="1033">
                <c:v>45858.71667</c:v>
              </c:pt>
              <c:pt idx="1034">
                <c:v>45858.71736</c:v>
              </c:pt>
              <c:pt idx="1035">
                <c:v>45858.71806</c:v>
              </c:pt>
              <c:pt idx="1036">
                <c:v>45858.71875</c:v>
              </c:pt>
              <c:pt idx="1037">
                <c:v>45858.71944</c:v>
              </c:pt>
              <c:pt idx="1038">
                <c:v>45858.72014</c:v>
              </c:pt>
              <c:pt idx="1039">
                <c:v>45858.72083</c:v>
              </c:pt>
              <c:pt idx="1040">
                <c:v>45858.72153</c:v>
              </c:pt>
              <c:pt idx="1041">
                <c:v>45858.72222</c:v>
              </c:pt>
              <c:pt idx="1042">
                <c:v>45858.72292</c:v>
              </c:pt>
              <c:pt idx="1043">
                <c:v>45858.72361</c:v>
              </c:pt>
              <c:pt idx="1044">
                <c:v>45858.72431</c:v>
              </c:pt>
              <c:pt idx="1045">
                <c:v>45858.725</c:v>
              </c:pt>
              <c:pt idx="1046">
                <c:v>45858.72569</c:v>
              </c:pt>
              <c:pt idx="1047">
                <c:v>45858.72639</c:v>
              </c:pt>
              <c:pt idx="1048">
                <c:v>45858.72708</c:v>
              </c:pt>
              <c:pt idx="1049">
                <c:v>45858.72778</c:v>
              </c:pt>
              <c:pt idx="1050">
                <c:v>45858.72847</c:v>
              </c:pt>
              <c:pt idx="1051">
                <c:v>45858.72917</c:v>
              </c:pt>
              <c:pt idx="1052">
                <c:v>45858.72986</c:v>
              </c:pt>
              <c:pt idx="1053">
                <c:v>45858.73056</c:v>
              </c:pt>
              <c:pt idx="1054">
                <c:v>45858.73125</c:v>
              </c:pt>
              <c:pt idx="1055">
                <c:v>45858.73194</c:v>
              </c:pt>
              <c:pt idx="1056">
                <c:v>45858.73264</c:v>
              </c:pt>
              <c:pt idx="1057">
                <c:v>45858.73333</c:v>
              </c:pt>
              <c:pt idx="1058">
                <c:v>45858.73403</c:v>
              </c:pt>
              <c:pt idx="1059">
                <c:v>45858.73472</c:v>
              </c:pt>
              <c:pt idx="1060">
                <c:v>45858.73542</c:v>
              </c:pt>
              <c:pt idx="1061">
                <c:v>45858.73611</c:v>
              </c:pt>
              <c:pt idx="1062">
                <c:v>45858.73681</c:v>
              </c:pt>
              <c:pt idx="1063">
                <c:v>45858.7375</c:v>
              </c:pt>
              <c:pt idx="1064">
                <c:v>45858.73819</c:v>
              </c:pt>
              <c:pt idx="1065">
                <c:v>45858.73889</c:v>
              </c:pt>
              <c:pt idx="1066">
                <c:v>45858.73958</c:v>
              </c:pt>
              <c:pt idx="1067">
                <c:v>45858.74028</c:v>
              </c:pt>
              <c:pt idx="1068">
                <c:v>45858.74097</c:v>
              </c:pt>
              <c:pt idx="1069">
                <c:v>45858.74167</c:v>
              </c:pt>
              <c:pt idx="1070">
                <c:v>45858.74236</c:v>
              </c:pt>
              <c:pt idx="1071">
                <c:v>45858.74306</c:v>
              </c:pt>
              <c:pt idx="1072">
                <c:v>45858.74375</c:v>
              </c:pt>
              <c:pt idx="1073">
                <c:v>45858.74444</c:v>
              </c:pt>
              <c:pt idx="1074">
                <c:v>45858.74514</c:v>
              </c:pt>
              <c:pt idx="1075">
                <c:v>45858.74583</c:v>
              </c:pt>
              <c:pt idx="1076">
                <c:v>45858.74653</c:v>
              </c:pt>
              <c:pt idx="1077">
                <c:v>45858.74722</c:v>
              </c:pt>
              <c:pt idx="1078">
                <c:v>45858.74792</c:v>
              </c:pt>
              <c:pt idx="1079">
                <c:v>45858.74861</c:v>
              </c:pt>
              <c:pt idx="1080">
                <c:v>45858.74931</c:v>
              </c:pt>
              <c:pt idx="1081">
                <c:v>45858.75</c:v>
              </c:pt>
              <c:pt idx="1082">
                <c:v>45858.75069</c:v>
              </c:pt>
              <c:pt idx="1083">
                <c:v>45858.75139</c:v>
              </c:pt>
              <c:pt idx="1084">
                <c:v>45858.75208</c:v>
              </c:pt>
              <c:pt idx="1085">
                <c:v>45858.75278</c:v>
              </c:pt>
              <c:pt idx="1086">
                <c:v>45858.75347</c:v>
              </c:pt>
              <c:pt idx="1087">
                <c:v>45858.75417</c:v>
              </c:pt>
              <c:pt idx="1088">
                <c:v>45858.75486</c:v>
              </c:pt>
              <c:pt idx="1089">
                <c:v>45858.75556</c:v>
              </c:pt>
              <c:pt idx="1090">
                <c:v>45858.75625</c:v>
              </c:pt>
              <c:pt idx="1091">
                <c:v>45858.75694</c:v>
              </c:pt>
              <c:pt idx="1092">
                <c:v>45858.75764</c:v>
              </c:pt>
              <c:pt idx="1093">
                <c:v>45858.75833</c:v>
              </c:pt>
              <c:pt idx="1094">
                <c:v>45858.75903</c:v>
              </c:pt>
              <c:pt idx="1095">
                <c:v>45858.75972</c:v>
              </c:pt>
              <c:pt idx="1096">
                <c:v>45858.76042</c:v>
              </c:pt>
              <c:pt idx="1097">
                <c:v>45858.76111</c:v>
              </c:pt>
              <c:pt idx="1098">
                <c:v>45858.76181</c:v>
              </c:pt>
              <c:pt idx="1099">
                <c:v>45858.7625</c:v>
              </c:pt>
              <c:pt idx="1100">
                <c:v>45858.76319</c:v>
              </c:pt>
              <c:pt idx="1101">
                <c:v>45858.76389</c:v>
              </c:pt>
              <c:pt idx="1102">
                <c:v>45858.76458</c:v>
              </c:pt>
              <c:pt idx="1103">
                <c:v>45858.76528</c:v>
              </c:pt>
              <c:pt idx="1104">
                <c:v>45858.76597</c:v>
              </c:pt>
              <c:pt idx="1105">
                <c:v>45858.76667</c:v>
              </c:pt>
              <c:pt idx="1106">
                <c:v>45858.76736</c:v>
              </c:pt>
              <c:pt idx="1107">
                <c:v>45858.76806</c:v>
              </c:pt>
              <c:pt idx="1108">
                <c:v>45858.76875</c:v>
              </c:pt>
              <c:pt idx="1109">
                <c:v>45858.76944</c:v>
              </c:pt>
              <c:pt idx="1110">
                <c:v>45858.77014</c:v>
              </c:pt>
              <c:pt idx="1111">
                <c:v>45858.77083</c:v>
              </c:pt>
              <c:pt idx="1112">
                <c:v>45858.77153</c:v>
              </c:pt>
              <c:pt idx="1113">
                <c:v>45858.77222</c:v>
              </c:pt>
              <c:pt idx="1114">
                <c:v>45858.77292</c:v>
              </c:pt>
              <c:pt idx="1115">
                <c:v>45858.77361</c:v>
              </c:pt>
              <c:pt idx="1116">
                <c:v>45858.77431</c:v>
              </c:pt>
              <c:pt idx="1117">
                <c:v>45858.775</c:v>
              </c:pt>
              <c:pt idx="1118">
                <c:v>45858.77569</c:v>
              </c:pt>
              <c:pt idx="1119">
                <c:v>45858.77639</c:v>
              </c:pt>
              <c:pt idx="1120">
                <c:v>45858.77708</c:v>
              </c:pt>
              <c:pt idx="1121">
                <c:v>45858.77778</c:v>
              </c:pt>
              <c:pt idx="1122">
                <c:v>45858.77847</c:v>
              </c:pt>
              <c:pt idx="1123">
                <c:v>45858.77917</c:v>
              </c:pt>
              <c:pt idx="1124">
                <c:v>45858.77986</c:v>
              </c:pt>
              <c:pt idx="1125">
                <c:v>45858.78056</c:v>
              </c:pt>
              <c:pt idx="1126">
                <c:v>45858.78125</c:v>
              </c:pt>
              <c:pt idx="1127">
                <c:v>45858.78194</c:v>
              </c:pt>
              <c:pt idx="1128">
                <c:v>45858.78264</c:v>
              </c:pt>
              <c:pt idx="1129">
                <c:v>45858.78333</c:v>
              </c:pt>
              <c:pt idx="1130">
                <c:v>45858.78403</c:v>
              </c:pt>
              <c:pt idx="1131">
                <c:v>45858.78472</c:v>
              </c:pt>
              <c:pt idx="1132">
                <c:v>45858.78542</c:v>
              </c:pt>
              <c:pt idx="1133">
                <c:v>45858.78611</c:v>
              </c:pt>
              <c:pt idx="1134">
                <c:v>45858.78681</c:v>
              </c:pt>
              <c:pt idx="1135">
                <c:v>45858.7875</c:v>
              </c:pt>
              <c:pt idx="1136">
                <c:v>45858.78819</c:v>
              </c:pt>
              <c:pt idx="1137">
                <c:v>45858.78889</c:v>
              </c:pt>
              <c:pt idx="1138">
                <c:v>45858.78958</c:v>
              </c:pt>
              <c:pt idx="1139">
                <c:v>45858.79028</c:v>
              </c:pt>
              <c:pt idx="1140">
                <c:v>45858.79097</c:v>
              </c:pt>
              <c:pt idx="1141">
                <c:v>45858.79167</c:v>
              </c:pt>
              <c:pt idx="1142">
                <c:v>45858.79236</c:v>
              </c:pt>
              <c:pt idx="1143">
                <c:v>45858.79306</c:v>
              </c:pt>
              <c:pt idx="1144">
                <c:v>45858.79375</c:v>
              </c:pt>
              <c:pt idx="1145">
                <c:v>45858.79444</c:v>
              </c:pt>
              <c:pt idx="1146">
                <c:v>45858.79514</c:v>
              </c:pt>
              <c:pt idx="1147">
                <c:v>45858.79583</c:v>
              </c:pt>
              <c:pt idx="1148">
                <c:v>45858.79653</c:v>
              </c:pt>
              <c:pt idx="1149">
                <c:v>45858.79722</c:v>
              </c:pt>
              <c:pt idx="1150">
                <c:v>45858.79792</c:v>
              </c:pt>
              <c:pt idx="1151">
                <c:v>45858.79861</c:v>
              </c:pt>
              <c:pt idx="1152">
                <c:v>45858.79931</c:v>
              </c:pt>
              <c:pt idx="1153">
                <c:v>45858.8</c:v>
              </c:pt>
              <c:pt idx="1154">
                <c:v>45858.80069</c:v>
              </c:pt>
              <c:pt idx="1155">
                <c:v>45858.80139</c:v>
              </c:pt>
              <c:pt idx="1156">
                <c:v>45858.80208</c:v>
              </c:pt>
              <c:pt idx="1157">
                <c:v>45858.80278</c:v>
              </c:pt>
              <c:pt idx="1158">
                <c:v>45858.80347</c:v>
              </c:pt>
              <c:pt idx="1159">
                <c:v>45858.80417</c:v>
              </c:pt>
              <c:pt idx="1160">
                <c:v>45858.80486</c:v>
              </c:pt>
              <c:pt idx="1161">
                <c:v>45858.80556</c:v>
              </c:pt>
              <c:pt idx="1162">
                <c:v>45858.80625</c:v>
              </c:pt>
              <c:pt idx="1163">
                <c:v>45858.80694</c:v>
              </c:pt>
              <c:pt idx="1164">
                <c:v>45858.80764</c:v>
              </c:pt>
              <c:pt idx="1165">
                <c:v>45858.80833</c:v>
              </c:pt>
              <c:pt idx="1166">
                <c:v>45858.80903</c:v>
              </c:pt>
              <c:pt idx="1167">
                <c:v>45858.80972</c:v>
              </c:pt>
              <c:pt idx="1168">
                <c:v>45858.81042</c:v>
              </c:pt>
              <c:pt idx="1169">
                <c:v>45858.81111</c:v>
              </c:pt>
              <c:pt idx="1170">
                <c:v>45858.81181</c:v>
              </c:pt>
              <c:pt idx="1171">
                <c:v>45858.8125</c:v>
              </c:pt>
              <c:pt idx="1172">
                <c:v>45858.81319</c:v>
              </c:pt>
              <c:pt idx="1173">
                <c:v>45858.81389</c:v>
              </c:pt>
              <c:pt idx="1174">
                <c:v>45858.81458</c:v>
              </c:pt>
              <c:pt idx="1175">
                <c:v>45858.81528</c:v>
              </c:pt>
              <c:pt idx="1176">
                <c:v>45858.81597</c:v>
              </c:pt>
              <c:pt idx="1177">
                <c:v>45858.81667</c:v>
              </c:pt>
              <c:pt idx="1178">
                <c:v>45858.81736</c:v>
              </c:pt>
              <c:pt idx="1179">
                <c:v>45858.81806</c:v>
              </c:pt>
              <c:pt idx="1180">
                <c:v>45858.81875</c:v>
              </c:pt>
              <c:pt idx="1181">
                <c:v>45858.81944</c:v>
              </c:pt>
              <c:pt idx="1182">
                <c:v>45858.82014</c:v>
              </c:pt>
              <c:pt idx="1183">
                <c:v>45858.82083</c:v>
              </c:pt>
              <c:pt idx="1184">
                <c:v>45858.82153</c:v>
              </c:pt>
              <c:pt idx="1185">
                <c:v>45858.82222</c:v>
              </c:pt>
              <c:pt idx="1186">
                <c:v>45858.82292</c:v>
              </c:pt>
              <c:pt idx="1187">
                <c:v>45858.82361</c:v>
              </c:pt>
              <c:pt idx="1188">
                <c:v>45858.82431</c:v>
              </c:pt>
              <c:pt idx="1189">
                <c:v>45858.825</c:v>
              </c:pt>
              <c:pt idx="1190">
                <c:v>45858.82569</c:v>
              </c:pt>
              <c:pt idx="1191">
                <c:v>45858.82639</c:v>
              </c:pt>
              <c:pt idx="1192">
                <c:v>45858.82708</c:v>
              </c:pt>
              <c:pt idx="1193">
                <c:v>45858.82778</c:v>
              </c:pt>
              <c:pt idx="1194">
                <c:v>45858.82847</c:v>
              </c:pt>
              <c:pt idx="1195">
                <c:v>45858.82917</c:v>
              </c:pt>
              <c:pt idx="1196">
                <c:v>45858.82986</c:v>
              </c:pt>
              <c:pt idx="1197">
                <c:v>45858.83056</c:v>
              </c:pt>
              <c:pt idx="1198">
                <c:v>45858.83125</c:v>
              </c:pt>
              <c:pt idx="1199">
                <c:v>45858.83194</c:v>
              </c:pt>
              <c:pt idx="1200">
                <c:v>45858.83264</c:v>
              </c:pt>
              <c:pt idx="1201">
                <c:v>45858.83333</c:v>
              </c:pt>
              <c:pt idx="1202">
                <c:v>45858.83403</c:v>
              </c:pt>
              <c:pt idx="1203">
                <c:v>45858.83472</c:v>
              </c:pt>
              <c:pt idx="1204">
                <c:v>45858.83542</c:v>
              </c:pt>
              <c:pt idx="1205">
                <c:v>45858.83611</c:v>
              </c:pt>
              <c:pt idx="1206">
                <c:v>45858.83681</c:v>
              </c:pt>
              <c:pt idx="1207">
                <c:v>45858.8375</c:v>
              </c:pt>
              <c:pt idx="1208">
                <c:v>45858.83819</c:v>
              </c:pt>
              <c:pt idx="1209">
                <c:v>45858.83889</c:v>
              </c:pt>
              <c:pt idx="1210">
                <c:v>45858.83958</c:v>
              </c:pt>
              <c:pt idx="1211">
                <c:v>45858.84028</c:v>
              </c:pt>
              <c:pt idx="1212">
                <c:v>45858.84097</c:v>
              </c:pt>
              <c:pt idx="1213">
                <c:v>45858.84167</c:v>
              </c:pt>
              <c:pt idx="1214">
                <c:v>45858.84236</c:v>
              </c:pt>
              <c:pt idx="1215">
                <c:v>45858.84306</c:v>
              </c:pt>
              <c:pt idx="1216">
                <c:v>45858.84375</c:v>
              </c:pt>
              <c:pt idx="1217">
                <c:v>45858.84444</c:v>
              </c:pt>
              <c:pt idx="1218">
                <c:v>45858.84514</c:v>
              </c:pt>
              <c:pt idx="1219">
                <c:v>45858.84583</c:v>
              </c:pt>
              <c:pt idx="1220">
                <c:v>45858.84653</c:v>
              </c:pt>
              <c:pt idx="1221">
                <c:v>45858.84722</c:v>
              </c:pt>
              <c:pt idx="1222">
                <c:v>45858.84792</c:v>
              </c:pt>
              <c:pt idx="1223">
                <c:v>45858.84861</c:v>
              </c:pt>
              <c:pt idx="1224">
                <c:v>45858.84931</c:v>
              </c:pt>
              <c:pt idx="1225">
                <c:v>45858.85</c:v>
              </c:pt>
              <c:pt idx="1226">
                <c:v>45858.85069</c:v>
              </c:pt>
              <c:pt idx="1227">
                <c:v>45858.85139</c:v>
              </c:pt>
              <c:pt idx="1228">
                <c:v>45858.85208</c:v>
              </c:pt>
              <c:pt idx="1229">
                <c:v>45858.85278</c:v>
              </c:pt>
              <c:pt idx="1230">
                <c:v>45858.85347</c:v>
              </c:pt>
              <c:pt idx="1231">
                <c:v>45858.85417</c:v>
              </c:pt>
              <c:pt idx="1232">
                <c:v>45858.85486</c:v>
              </c:pt>
              <c:pt idx="1233">
                <c:v>45858.85556</c:v>
              </c:pt>
              <c:pt idx="1234">
                <c:v>45858.85625</c:v>
              </c:pt>
              <c:pt idx="1235">
                <c:v>45858.85694</c:v>
              </c:pt>
              <c:pt idx="1236">
                <c:v>45858.85764</c:v>
              </c:pt>
              <c:pt idx="1237">
                <c:v>45858.85833</c:v>
              </c:pt>
              <c:pt idx="1238">
                <c:v>45858.85903</c:v>
              </c:pt>
              <c:pt idx="1239">
                <c:v>45858.85972</c:v>
              </c:pt>
              <c:pt idx="1240">
                <c:v>45858.86042</c:v>
              </c:pt>
              <c:pt idx="1241">
                <c:v>45858.86111</c:v>
              </c:pt>
              <c:pt idx="1242">
                <c:v>45858.86181</c:v>
              </c:pt>
              <c:pt idx="1243">
                <c:v>45858.8625</c:v>
              </c:pt>
              <c:pt idx="1244">
                <c:v>45858.86319</c:v>
              </c:pt>
              <c:pt idx="1245">
                <c:v>45858.86389</c:v>
              </c:pt>
              <c:pt idx="1246">
                <c:v>45858.86458</c:v>
              </c:pt>
              <c:pt idx="1247">
                <c:v>45858.86528</c:v>
              </c:pt>
              <c:pt idx="1248">
                <c:v>45858.86597</c:v>
              </c:pt>
              <c:pt idx="1249">
                <c:v>45858.86667</c:v>
              </c:pt>
              <c:pt idx="1250">
                <c:v>45858.86736</c:v>
              </c:pt>
              <c:pt idx="1251">
                <c:v>45858.86806</c:v>
              </c:pt>
              <c:pt idx="1252">
                <c:v>45858.86875</c:v>
              </c:pt>
              <c:pt idx="1253">
                <c:v>45858.86944</c:v>
              </c:pt>
              <c:pt idx="1254">
                <c:v>45858.87014</c:v>
              </c:pt>
              <c:pt idx="1255">
                <c:v>45858.87083</c:v>
              </c:pt>
              <c:pt idx="1256">
                <c:v>45858.87153</c:v>
              </c:pt>
              <c:pt idx="1257">
                <c:v>45858.87222</c:v>
              </c:pt>
              <c:pt idx="1258">
                <c:v>45858.87292</c:v>
              </c:pt>
              <c:pt idx="1259">
                <c:v>45858.87361</c:v>
              </c:pt>
              <c:pt idx="1260">
                <c:v>45858.87431</c:v>
              </c:pt>
              <c:pt idx="1261">
                <c:v>45858.875</c:v>
              </c:pt>
              <c:pt idx="1262">
                <c:v>45858.87569</c:v>
              </c:pt>
              <c:pt idx="1263">
                <c:v>45858.87639</c:v>
              </c:pt>
              <c:pt idx="1264">
                <c:v>45858.87708</c:v>
              </c:pt>
              <c:pt idx="1265">
                <c:v>45858.87778</c:v>
              </c:pt>
              <c:pt idx="1266">
                <c:v>45858.87847</c:v>
              </c:pt>
              <c:pt idx="1267">
                <c:v>45858.87917</c:v>
              </c:pt>
              <c:pt idx="1268">
                <c:v>45858.87986</c:v>
              </c:pt>
              <c:pt idx="1269">
                <c:v>45858.88056</c:v>
              </c:pt>
              <c:pt idx="1270">
                <c:v>45858.88125</c:v>
              </c:pt>
              <c:pt idx="1271">
                <c:v>45858.88194</c:v>
              </c:pt>
              <c:pt idx="1272">
                <c:v>45858.88264</c:v>
              </c:pt>
              <c:pt idx="1273">
                <c:v>45858.88333</c:v>
              </c:pt>
              <c:pt idx="1274">
                <c:v>45858.88403</c:v>
              </c:pt>
              <c:pt idx="1275">
                <c:v>45858.88472</c:v>
              </c:pt>
              <c:pt idx="1276">
                <c:v>45858.88542</c:v>
              </c:pt>
              <c:pt idx="1277">
                <c:v>45858.88611</c:v>
              </c:pt>
              <c:pt idx="1278">
                <c:v>45858.88681</c:v>
              </c:pt>
              <c:pt idx="1279">
                <c:v>45858.8875</c:v>
              </c:pt>
              <c:pt idx="1280">
                <c:v>45858.88819</c:v>
              </c:pt>
              <c:pt idx="1281">
                <c:v>45858.88889</c:v>
              </c:pt>
              <c:pt idx="1282">
                <c:v>45858.88958</c:v>
              </c:pt>
              <c:pt idx="1283">
                <c:v>45858.89028</c:v>
              </c:pt>
              <c:pt idx="1284">
                <c:v>45858.89097</c:v>
              </c:pt>
              <c:pt idx="1285">
                <c:v>45858.89167</c:v>
              </c:pt>
              <c:pt idx="1286">
                <c:v>45858.89236</c:v>
              </c:pt>
              <c:pt idx="1287">
                <c:v>45858.89306</c:v>
              </c:pt>
              <c:pt idx="1288">
                <c:v>45858.89375</c:v>
              </c:pt>
              <c:pt idx="1289">
                <c:v>45858.89444</c:v>
              </c:pt>
              <c:pt idx="1290">
                <c:v>45858.89514</c:v>
              </c:pt>
              <c:pt idx="1291">
                <c:v>45858.89583</c:v>
              </c:pt>
              <c:pt idx="1292">
                <c:v>45858.89653</c:v>
              </c:pt>
              <c:pt idx="1293">
                <c:v>45858.89722</c:v>
              </c:pt>
              <c:pt idx="1294">
                <c:v>45858.89792</c:v>
              </c:pt>
              <c:pt idx="1295">
                <c:v>45858.89861</c:v>
              </c:pt>
              <c:pt idx="1296">
                <c:v>45858.89931</c:v>
              </c:pt>
              <c:pt idx="1297">
                <c:v>45858.9</c:v>
              </c:pt>
              <c:pt idx="1298">
                <c:v>45858.90069</c:v>
              </c:pt>
              <c:pt idx="1299">
                <c:v>45858.90139</c:v>
              </c:pt>
              <c:pt idx="1300">
                <c:v>45858.90208</c:v>
              </c:pt>
              <c:pt idx="1301">
                <c:v>45858.90278</c:v>
              </c:pt>
              <c:pt idx="1302">
                <c:v>45858.90347</c:v>
              </c:pt>
              <c:pt idx="1303">
                <c:v>45858.90417</c:v>
              </c:pt>
              <c:pt idx="1304">
                <c:v>45858.90486</c:v>
              </c:pt>
              <c:pt idx="1305">
                <c:v>45858.90556</c:v>
              </c:pt>
              <c:pt idx="1306">
                <c:v>45858.90625</c:v>
              </c:pt>
              <c:pt idx="1307">
                <c:v>45858.90694</c:v>
              </c:pt>
              <c:pt idx="1308">
                <c:v>45858.90764</c:v>
              </c:pt>
              <c:pt idx="1309">
                <c:v>45858.90833</c:v>
              </c:pt>
              <c:pt idx="1310">
                <c:v>45858.90903</c:v>
              </c:pt>
              <c:pt idx="1311">
                <c:v>45858.90972</c:v>
              </c:pt>
              <c:pt idx="1312">
                <c:v>45858.91042</c:v>
              </c:pt>
              <c:pt idx="1313">
                <c:v>45858.91111</c:v>
              </c:pt>
              <c:pt idx="1314">
                <c:v>45858.91181</c:v>
              </c:pt>
              <c:pt idx="1315">
                <c:v>45858.9125</c:v>
              </c:pt>
              <c:pt idx="1316">
                <c:v>45858.91319</c:v>
              </c:pt>
              <c:pt idx="1317">
                <c:v>45858.91389</c:v>
              </c:pt>
              <c:pt idx="1318">
                <c:v>45858.91458</c:v>
              </c:pt>
              <c:pt idx="1319">
                <c:v>45858.91528</c:v>
              </c:pt>
              <c:pt idx="1320">
                <c:v>45858.91597</c:v>
              </c:pt>
              <c:pt idx="1321">
                <c:v>45858.91667</c:v>
              </c:pt>
              <c:pt idx="1322">
                <c:v>45858.91736</c:v>
              </c:pt>
              <c:pt idx="1323">
                <c:v>45858.91806</c:v>
              </c:pt>
              <c:pt idx="1324">
                <c:v>45858.91875</c:v>
              </c:pt>
              <c:pt idx="1325">
                <c:v>45858.91944</c:v>
              </c:pt>
              <c:pt idx="1326">
                <c:v>45858.92014</c:v>
              </c:pt>
              <c:pt idx="1327">
                <c:v>45858.92083</c:v>
              </c:pt>
              <c:pt idx="1328">
                <c:v>45858.92153</c:v>
              </c:pt>
              <c:pt idx="1329">
                <c:v>45858.92222</c:v>
              </c:pt>
              <c:pt idx="1330">
                <c:v>45858.92292</c:v>
              </c:pt>
              <c:pt idx="1331">
                <c:v>45858.92361</c:v>
              </c:pt>
              <c:pt idx="1332">
                <c:v>45858.92431</c:v>
              </c:pt>
              <c:pt idx="1333">
                <c:v>45858.925</c:v>
              </c:pt>
              <c:pt idx="1334">
                <c:v>45858.92569</c:v>
              </c:pt>
              <c:pt idx="1335">
                <c:v>45858.92639</c:v>
              </c:pt>
              <c:pt idx="1336">
                <c:v>45858.92708</c:v>
              </c:pt>
              <c:pt idx="1337">
                <c:v>45858.92778</c:v>
              </c:pt>
              <c:pt idx="1338">
                <c:v>45858.92847</c:v>
              </c:pt>
              <c:pt idx="1339">
                <c:v>45858.92917</c:v>
              </c:pt>
              <c:pt idx="1340">
                <c:v>45858.92986</c:v>
              </c:pt>
              <c:pt idx="1341">
                <c:v>45858.93056</c:v>
              </c:pt>
              <c:pt idx="1342">
                <c:v>45858.93125</c:v>
              </c:pt>
              <c:pt idx="1343">
                <c:v>45858.93194</c:v>
              </c:pt>
              <c:pt idx="1344">
                <c:v>45858.93264</c:v>
              </c:pt>
              <c:pt idx="1345">
                <c:v>45858.93333</c:v>
              </c:pt>
              <c:pt idx="1346">
                <c:v>45858.93403</c:v>
              </c:pt>
              <c:pt idx="1347">
                <c:v>45858.93472</c:v>
              </c:pt>
              <c:pt idx="1348">
                <c:v>45858.93542</c:v>
              </c:pt>
              <c:pt idx="1349">
                <c:v>45858.93611</c:v>
              </c:pt>
              <c:pt idx="1350">
                <c:v>45858.93681</c:v>
              </c:pt>
              <c:pt idx="1351">
                <c:v>45858.9375</c:v>
              </c:pt>
              <c:pt idx="1352">
                <c:v>45858.93819</c:v>
              </c:pt>
              <c:pt idx="1353">
                <c:v>45858.93889</c:v>
              </c:pt>
              <c:pt idx="1354">
                <c:v>45858.93958</c:v>
              </c:pt>
              <c:pt idx="1355">
                <c:v>45858.94028</c:v>
              </c:pt>
              <c:pt idx="1356">
                <c:v>45858.94097</c:v>
              </c:pt>
              <c:pt idx="1357">
                <c:v>45858.94167</c:v>
              </c:pt>
              <c:pt idx="1358">
                <c:v>45858.94236</c:v>
              </c:pt>
              <c:pt idx="1359">
                <c:v>45858.94306</c:v>
              </c:pt>
              <c:pt idx="1360">
                <c:v>45858.94375</c:v>
              </c:pt>
              <c:pt idx="1361">
                <c:v>45858.94444</c:v>
              </c:pt>
              <c:pt idx="1362">
                <c:v>45858.94514</c:v>
              </c:pt>
              <c:pt idx="1363">
                <c:v>45858.94583</c:v>
              </c:pt>
              <c:pt idx="1364">
                <c:v>45858.94653</c:v>
              </c:pt>
              <c:pt idx="1365">
                <c:v>45858.94722</c:v>
              </c:pt>
              <c:pt idx="1366">
                <c:v>45858.94792</c:v>
              </c:pt>
              <c:pt idx="1367">
                <c:v>45858.94861</c:v>
              </c:pt>
              <c:pt idx="1368">
                <c:v>45858.94931</c:v>
              </c:pt>
              <c:pt idx="1369">
                <c:v>45858.95</c:v>
              </c:pt>
              <c:pt idx="1370">
                <c:v>45858.95069</c:v>
              </c:pt>
              <c:pt idx="1371">
                <c:v>45858.95139</c:v>
              </c:pt>
              <c:pt idx="1372">
                <c:v>45858.95208</c:v>
              </c:pt>
              <c:pt idx="1373">
                <c:v>45858.95278</c:v>
              </c:pt>
              <c:pt idx="1374">
                <c:v>45858.95347</c:v>
              </c:pt>
              <c:pt idx="1375">
                <c:v>45858.95417</c:v>
              </c:pt>
              <c:pt idx="1376">
                <c:v>45858.95486</c:v>
              </c:pt>
              <c:pt idx="1377">
                <c:v>45858.95556</c:v>
              </c:pt>
              <c:pt idx="1378">
                <c:v>45858.95625</c:v>
              </c:pt>
              <c:pt idx="1379">
                <c:v>45858.95694</c:v>
              </c:pt>
              <c:pt idx="1380">
                <c:v>45858.95764</c:v>
              </c:pt>
              <c:pt idx="1381">
                <c:v>45858.95833</c:v>
              </c:pt>
              <c:pt idx="1382">
                <c:v>45858.95903</c:v>
              </c:pt>
              <c:pt idx="1383">
                <c:v>45858.95972</c:v>
              </c:pt>
              <c:pt idx="1384">
                <c:v>45858.96042</c:v>
              </c:pt>
              <c:pt idx="1385">
                <c:v>45858.96111</c:v>
              </c:pt>
              <c:pt idx="1386">
                <c:v>45858.96181</c:v>
              </c:pt>
              <c:pt idx="1387">
                <c:v>45858.9625</c:v>
              </c:pt>
              <c:pt idx="1388">
                <c:v>45858.96319</c:v>
              </c:pt>
              <c:pt idx="1389">
                <c:v>45858.96389</c:v>
              </c:pt>
              <c:pt idx="1390">
                <c:v>45858.96458</c:v>
              </c:pt>
              <c:pt idx="1391">
                <c:v>45858.96528</c:v>
              </c:pt>
              <c:pt idx="1392">
                <c:v>45858.96597</c:v>
              </c:pt>
              <c:pt idx="1393">
                <c:v>45858.96667</c:v>
              </c:pt>
              <c:pt idx="1394">
                <c:v>45858.96736</c:v>
              </c:pt>
              <c:pt idx="1395">
                <c:v>45858.96806</c:v>
              </c:pt>
              <c:pt idx="1396">
                <c:v>45858.96875</c:v>
              </c:pt>
              <c:pt idx="1397">
                <c:v>45858.96944</c:v>
              </c:pt>
              <c:pt idx="1398">
                <c:v>45858.97014</c:v>
              </c:pt>
              <c:pt idx="1399">
                <c:v>45858.97083</c:v>
              </c:pt>
              <c:pt idx="1400">
                <c:v>45858.97153</c:v>
              </c:pt>
              <c:pt idx="1401">
                <c:v>45858.97222</c:v>
              </c:pt>
              <c:pt idx="1402">
                <c:v>45858.97292</c:v>
              </c:pt>
              <c:pt idx="1403">
                <c:v>45858.97361</c:v>
              </c:pt>
              <c:pt idx="1404">
                <c:v>45858.97431</c:v>
              </c:pt>
              <c:pt idx="1405">
                <c:v>45858.975</c:v>
              </c:pt>
              <c:pt idx="1406">
                <c:v>45858.97569</c:v>
              </c:pt>
              <c:pt idx="1407">
                <c:v>45858.97639</c:v>
              </c:pt>
              <c:pt idx="1408">
                <c:v>45858.97708</c:v>
              </c:pt>
              <c:pt idx="1409">
                <c:v>45858.97778</c:v>
              </c:pt>
              <c:pt idx="1410">
                <c:v>45858.97847</c:v>
              </c:pt>
              <c:pt idx="1411">
                <c:v>45858.97917</c:v>
              </c:pt>
              <c:pt idx="1412">
                <c:v>45858.97986</c:v>
              </c:pt>
              <c:pt idx="1413">
                <c:v>45858.98056</c:v>
              </c:pt>
              <c:pt idx="1414">
                <c:v>45858.98125</c:v>
              </c:pt>
              <c:pt idx="1415">
                <c:v>45858.98194</c:v>
              </c:pt>
              <c:pt idx="1416">
                <c:v>45858.98264</c:v>
              </c:pt>
              <c:pt idx="1417">
                <c:v>45858.98333</c:v>
              </c:pt>
              <c:pt idx="1418">
                <c:v>45858.98403</c:v>
              </c:pt>
              <c:pt idx="1419">
                <c:v>45858.98472</c:v>
              </c:pt>
              <c:pt idx="1420">
                <c:v>45858.98542</c:v>
              </c:pt>
              <c:pt idx="1421">
                <c:v>45858.98611</c:v>
              </c:pt>
              <c:pt idx="1422">
                <c:v>45858.98681</c:v>
              </c:pt>
              <c:pt idx="1423">
                <c:v>45858.9875</c:v>
              </c:pt>
              <c:pt idx="1424">
                <c:v>45858.98819</c:v>
              </c:pt>
              <c:pt idx="1425">
                <c:v>45858.98889</c:v>
              </c:pt>
              <c:pt idx="1426">
                <c:v>45858.98958</c:v>
              </c:pt>
              <c:pt idx="1427">
                <c:v>45858.99028</c:v>
              </c:pt>
              <c:pt idx="1428">
                <c:v>45858.99097</c:v>
              </c:pt>
              <c:pt idx="1429">
                <c:v>45858.99167</c:v>
              </c:pt>
              <c:pt idx="1430">
                <c:v>45858.99236</c:v>
              </c:pt>
              <c:pt idx="1431">
                <c:v>45858.99306</c:v>
              </c:pt>
              <c:pt idx="1432">
                <c:v>45858.99375</c:v>
              </c:pt>
              <c:pt idx="1433">
                <c:v>45858.99444</c:v>
              </c:pt>
              <c:pt idx="1434">
                <c:v>45858.99514</c:v>
              </c:pt>
              <c:pt idx="1435">
                <c:v>45858.99583</c:v>
              </c:pt>
              <c:pt idx="1436">
                <c:v>45858.99653</c:v>
              </c:pt>
              <c:pt idx="1437">
                <c:v>45858.99722</c:v>
              </c:pt>
              <c:pt idx="1438">
                <c:v>45858.99792</c:v>
              </c:pt>
              <c:pt idx="1439">
                <c:v>45858.99861</c:v>
              </c:pt>
              <c:pt idx="1440">
                <c:v>45858.99931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5.5E-2</c:v>
              </c:pt>
              <c:pt idx="2">
                <c:v>3.9E-2</c:v>
              </c:pt>
              <c:pt idx="3">
                <c:v>0.03</c:v>
              </c:pt>
              <c:pt idx="4">
                <c:v>2.4E-2</c:v>
              </c:pt>
              <c:pt idx="5">
                <c:v>2E-3</c:v>
              </c:pt>
              <c:pt idx="6">
                <c:v>2E-3</c:v>
              </c:pt>
              <c:pt idx="7">
                <c:v>8.0000000000000002E-3</c:v>
              </c:pt>
              <c:pt idx="8">
                <c:v>4.3999999999999997E-2</c:v>
              </c:pt>
              <c:pt idx="9">
                <c:v>7.0000000000000007E-2</c:v>
              </c:pt>
              <c:pt idx="10">
                <c:v>9.4E-2</c:v>
              </c:pt>
              <c:pt idx="11">
                <c:v>0.125</c:v>
              </c:pt>
              <c:pt idx="12">
                <c:v>0.16400000000000001</c:v>
              </c:pt>
              <c:pt idx="13">
                <c:v>0.2</c:v>
              </c:pt>
              <c:pt idx="14">
                <c:v>0.21</c:v>
              </c:pt>
              <c:pt idx="15">
                <c:v>0.20499999999999999</c:v>
              </c:pt>
              <c:pt idx="16">
                <c:v>0.20200000000000001</c:v>
              </c:pt>
              <c:pt idx="17">
                <c:v>0.17699999999999999</c:v>
              </c:pt>
              <c:pt idx="18">
                <c:v>0.20799999999999999</c:v>
              </c:pt>
              <c:pt idx="19">
                <c:v>0.23400000000000001</c:v>
              </c:pt>
              <c:pt idx="20">
                <c:v>0.253</c:v>
              </c:pt>
              <c:pt idx="21">
                <c:v>0.251</c:v>
              </c:pt>
              <c:pt idx="22">
                <c:v>0.255</c:v>
              </c:pt>
              <c:pt idx="23">
                <c:v>0.23200000000000001</c:v>
              </c:pt>
              <c:pt idx="24">
                <c:v>0.22500000000000001</c:v>
              </c:pt>
              <c:pt idx="25">
                <c:v>0.2</c:v>
              </c:pt>
              <c:pt idx="26">
                <c:v>0.21099999999999999</c:v>
              </c:pt>
              <c:pt idx="27">
                <c:v>0.214</c:v>
              </c:pt>
              <c:pt idx="28">
                <c:v>0.217</c:v>
              </c:pt>
              <c:pt idx="29">
                <c:v>0.20699999999999999</c:v>
              </c:pt>
              <c:pt idx="30">
                <c:v>0.20399999999999999</c:v>
              </c:pt>
              <c:pt idx="31">
                <c:v>0.188</c:v>
              </c:pt>
              <c:pt idx="32">
                <c:v>0.192</c:v>
              </c:pt>
              <c:pt idx="33">
                <c:v>0.20499999999999999</c:v>
              </c:pt>
              <c:pt idx="34">
                <c:v>0.219</c:v>
              </c:pt>
              <c:pt idx="35">
                <c:v>0.20599999999999999</c:v>
              </c:pt>
              <c:pt idx="36">
                <c:v>0.19700000000000001</c:v>
              </c:pt>
              <c:pt idx="37">
                <c:v>0.19500000000000001</c:v>
              </c:pt>
              <c:pt idx="38">
                <c:v>0.17100000000000001</c:v>
              </c:pt>
              <c:pt idx="39">
                <c:v>0.182</c:v>
              </c:pt>
              <c:pt idx="40">
                <c:v>0.19</c:v>
              </c:pt>
              <c:pt idx="41">
                <c:v>0.189</c:v>
              </c:pt>
              <c:pt idx="42">
                <c:v>0.189</c:v>
              </c:pt>
              <c:pt idx="43">
                <c:v>0.20499999999999999</c:v>
              </c:pt>
              <c:pt idx="44">
                <c:v>0.19600000000000001</c:v>
              </c:pt>
              <c:pt idx="45">
                <c:v>0.192</c:v>
              </c:pt>
              <c:pt idx="46">
                <c:v>0.23599999999999999</c:v>
              </c:pt>
              <c:pt idx="47">
                <c:v>0.245</c:v>
              </c:pt>
              <c:pt idx="48">
                <c:v>0.24</c:v>
              </c:pt>
              <c:pt idx="49">
                <c:v>0.26700000000000002</c:v>
              </c:pt>
              <c:pt idx="50">
                <c:v>0.28399999999999997</c:v>
              </c:pt>
              <c:pt idx="51">
                <c:v>0.28699999999999998</c:v>
              </c:pt>
              <c:pt idx="52">
                <c:v>0.28399999999999997</c:v>
              </c:pt>
              <c:pt idx="53">
                <c:v>0.28899999999999998</c:v>
              </c:pt>
              <c:pt idx="54">
                <c:v>0.26800000000000002</c:v>
              </c:pt>
              <c:pt idx="55">
                <c:v>0.248</c:v>
              </c:pt>
              <c:pt idx="56">
                <c:v>0.23899999999999999</c:v>
              </c:pt>
              <c:pt idx="57">
                <c:v>0.22</c:v>
              </c:pt>
              <c:pt idx="58">
                <c:v>0.24299999999999999</c:v>
              </c:pt>
              <c:pt idx="59">
                <c:v>0.28599999999999998</c:v>
              </c:pt>
              <c:pt idx="60">
                <c:v>0.308</c:v>
              </c:pt>
              <c:pt idx="61">
                <c:v>0.30499999999999999</c:v>
              </c:pt>
              <c:pt idx="62">
                <c:v>0.3</c:v>
              </c:pt>
              <c:pt idx="63">
                <c:v>0.314</c:v>
              </c:pt>
              <c:pt idx="64">
                <c:v>0.33600000000000002</c:v>
              </c:pt>
              <c:pt idx="65">
                <c:v>0.31900000000000001</c:v>
              </c:pt>
              <c:pt idx="66">
                <c:v>0.317</c:v>
              </c:pt>
              <c:pt idx="67">
                <c:v>0.312</c:v>
              </c:pt>
              <c:pt idx="68">
                <c:v>0.313</c:v>
              </c:pt>
              <c:pt idx="69">
                <c:v>0.27900000000000003</c:v>
              </c:pt>
              <c:pt idx="70">
                <c:v>0.25</c:v>
              </c:pt>
              <c:pt idx="71">
                <c:v>0.24099999999999999</c:v>
              </c:pt>
              <c:pt idx="72">
                <c:v>0.217</c:v>
              </c:pt>
              <c:pt idx="73">
                <c:v>0.20399999999999999</c:v>
              </c:pt>
              <c:pt idx="74">
                <c:v>0.182</c:v>
              </c:pt>
              <c:pt idx="75">
                <c:v>0.16700000000000001</c:v>
              </c:pt>
              <c:pt idx="76">
                <c:v>0.161</c:v>
              </c:pt>
              <c:pt idx="77">
                <c:v>0.18</c:v>
              </c:pt>
              <c:pt idx="78">
                <c:v>0.20200000000000001</c:v>
              </c:pt>
              <c:pt idx="79">
                <c:v>0.23499999999999999</c:v>
              </c:pt>
              <c:pt idx="80">
                <c:v>0.23599999999999999</c:v>
              </c:pt>
              <c:pt idx="81">
                <c:v>0.23300000000000001</c:v>
              </c:pt>
              <c:pt idx="82">
                <c:v>0.222</c:v>
              </c:pt>
              <c:pt idx="83">
                <c:v>0.19800000000000001</c:v>
              </c:pt>
              <c:pt idx="84">
                <c:v>0.17299999999999999</c:v>
              </c:pt>
              <c:pt idx="85">
                <c:v>0.14899999999999999</c:v>
              </c:pt>
              <c:pt idx="86">
                <c:v>0.152</c:v>
              </c:pt>
              <c:pt idx="87">
                <c:v>0.128</c:v>
              </c:pt>
              <c:pt idx="88">
                <c:v>9.0999999999999998E-2</c:v>
              </c:pt>
              <c:pt idx="89">
                <c:v>6.4000000000000001E-2</c:v>
              </c:pt>
              <c:pt idx="90">
                <c:v>9.0999999999999998E-2</c:v>
              </c:pt>
              <c:pt idx="91">
                <c:v>9.8000000000000004E-2</c:v>
              </c:pt>
              <c:pt idx="92">
                <c:v>0.10199999999999999</c:v>
              </c:pt>
              <c:pt idx="93">
                <c:v>0.11</c:v>
              </c:pt>
              <c:pt idx="94">
                <c:v>0.11700000000000001</c:v>
              </c:pt>
              <c:pt idx="95">
                <c:v>0.1</c:v>
              </c:pt>
              <c:pt idx="96">
                <c:v>8.1000000000000003E-2</c:v>
              </c:pt>
              <c:pt idx="97">
                <c:v>8.3000000000000004E-2</c:v>
              </c:pt>
              <c:pt idx="98">
                <c:v>7.8E-2</c:v>
              </c:pt>
              <c:pt idx="99">
                <c:v>8.8999999999999996E-2</c:v>
              </c:pt>
              <c:pt idx="100">
                <c:v>8.4000000000000005E-2</c:v>
              </c:pt>
              <c:pt idx="101">
                <c:v>0.10299999999999999</c:v>
              </c:pt>
              <c:pt idx="102">
                <c:v>0.111</c:v>
              </c:pt>
              <c:pt idx="103">
                <c:v>0.105</c:v>
              </c:pt>
              <c:pt idx="104">
                <c:v>0.10199999999999999</c:v>
              </c:pt>
              <c:pt idx="105">
                <c:v>0.115</c:v>
              </c:pt>
              <c:pt idx="106">
                <c:v>0.114</c:v>
              </c:pt>
              <c:pt idx="107">
                <c:v>0.11</c:v>
              </c:pt>
              <c:pt idx="108">
                <c:v>9.4E-2</c:v>
              </c:pt>
              <c:pt idx="109">
                <c:v>0.09</c:v>
              </c:pt>
              <c:pt idx="110">
                <c:v>0.09</c:v>
              </c:pt>
              <c:pt idx="111">
                <c:v>8.4000000000000005E-2</c:v>
              </c:pt>
              <c:pt idx="112">
                <c:v>7.6999999999999999E-2</c:v>
              </c:pt>
              <c:pt idx="113">
                <c:v>7.4999999999999997E-2</c:v>
              </c:pt>
              <c:pt idx="114">
                <c:v>5.1999999999999998E-2</c:v>
              </c:pt>
              <c:pt idx="115">
                <c:v>3.6999999999999998E-2</c:v>
              </c:pt>
              <c:pt idx="116">
                <c:v>2.5999999999999999E-2</c:v>
              </c:pt>
              <c:pt idx="117">
                <c:v>2.5000000000000001E-2</c:v>
              </c:pt>
              <c:pt idx="118">
                <c:v>4.2999999999999997E-2</c:v>
              </c:pt>
              <c:pt idx="119">
                <c:v>4.9000000000000002E-2</c:v>
              </c:pt>
              <c:pt idx="120">
                <c:v>3.5999999999999997E-2</c:v>
              </c:pt>
              <c:pt idx="121">
                <c:v>2.8000000000000001E-2</c:v>
              </c:pt>
              <c:pt idx="122">
                <c:v>2.8000000000000001E-2</c:v>
              </c:pt>
              <c:pt idx="123">
                <c:v>2.5999999999999999E-2</c:v>
              </c:pt>
              <c:pt idx="124">
                <c:v>2.4E-2</c:v>
              </c:pt>
              <c:pt idx="125">
                <c:v>2.8000000000000001E-2</c:v>
              </c:pt>
              <c:pt idx="126">
                <c:v>3.4000000000000002E-2</c:v>
              </c:pt>
              <c:pt idx="127">
                <c:v>1.9E-2</c:v>
              </c:pt>
              <c:pt idx="128">
                <c:v>2.3E-2</c:v>
              </c:pt>
              <c:pt idx="129">
                <c:v>3.7999999999999999E-2</c:v>
              </c:pt>
              <c:pt idx="130">
                <c:v>3.6999999999999998E-2</c:v>
              </c:pt>
              <c:pt idx="131">
                <c:v>4.5999999999999999E-2</c:v>
              </c:pt>
              <c:pt idx="132">
                <c:v>3.1E-2</c:v>
              </c:pt>
              <c:pt idx="133">
                <c:v>0.03</c:v>
              </c:pt>
              <c:pt idx="134">
                <c:v>2.8000000000000001E-2</c:v>
              </c:pt>
              <c:pt idx="135">
                <c:v>2.5999999999999999E-2</c:v>
              </c:pt>
              <c:pt idx="136">
                <c:v>2.5999999999999999E-2</c:v>
              </c:pt>
              <c:pt idx="137">
                <c:v>0.03</c:v>
              </c:pt>
              <c:pt idx="138">
                <c:v>0.03</c:v>
              </c:pt>
              <c:pt idx="139">
                <c:v>3.1E-2</c:v>
              </c:pt>
              <c:pt idx="140">
                <c:v>2.5999999999999999E-2</c:v>
              </c:pt>
              <c:pt idx="141">
                <c:v>1.2999999999999999E-2</c:v>
              </c:pt>
              <c:pt idx="142">
                <c:v>1.7999999999999999E-2</c:v>
              </c:pt>
              <c:pt idx="143">
                <c:v>3.0000000000000001E-3</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5.0000000000000001E-3</c:v>
              </c:pt>
              <c:pt idx="358">
                <c:v>7.1999999999999995E-2</c:v>
              </c:pt>
              <c:pt idx="359">
                <c:v>0.152</c:v>
              </c:pt>
              <c:pt idx="360">
                <c:v>0.26700000000000002</c:v>
              </c:pt>
              <c:pt idx="361">
                <c:v>0.36</c:v>
              </c:pt>
              <c:pt idx="362">
                <c:v>0.51100000000000001</c:v>
              </c:pt>
              <c:pt idx="363">
                <c:v>0.64400000000000002</c:v>
              </c:pt>
              <c:pt idx="364">
                <c:v>0.76200000000000001</c:v>
              </c:pt>
              <c:pt idx="365">
                <c:v>0.88800000000000001</c:v>
              </c:pt>
              <c:pt idx="366">
                <c:v>1.0740000000000001</c:v>
              </c:pt>
              <c:pt idx="367">
                <c:v>1.35</c:v>
              </c:pt>
              <c:pt idx="368">
                <c:v>1.645</c:v>
              </c:pt>
              <c:pt idx="369">
                <c:v>1.9039999999999999</c:v>
              </c:pt>
              <c:pt idx="370">
                <c:v>2.2040000000000002</c:v>
              </c:pt>
              <c:pt idx="371">
                <c:v>2.4140000000000001</c:v>
              </c:pt>
              <c:pt idx="372">
                <c:v>2.7189999999999999</c:v>
              </c:pt>
              <c:pt idx="373">
                <c:v>3.58</c:v>
              </c:pt>
              <c:pt idx="374">
                <c:v>4.1500000000000004</c:v>
              </c:pt>
              <c:pt idx="375">
                <c:v>4.4470000000000001</c:v>
              </c:pt>
              <c:pt idx="376">
                <c:v>4.34</c:v>
              </c:pt>
              <c:pt idx="377">
                <c:v>4.0620000000000003</c:v>
              </c:pt>
              <c:pt idx="378">
                <c:v>4.125</c:v>
              </c:pt>
              <c:pt idx="379">
                <c:v>4.5999999999999996</c:v>
              </c:pt>
              <c:pt idx="380">
                <c:v>4.9450000000000003</c:v>
              </c:pt>
              <c:pt idx="381">
                <c:v>5.4320000000000004</c:v>
              </c:pt>
              <c:pt idx="382">
                <c:v>5.8630000000000004</c:v>
              </c:pt>
              <c:pt idx="383">
                <c:v>6.1159999999999997</c:v>
              </c:pt>
              <c:pt idx="384">
                <c:v>6.75</c:v>
              </c:pt>
              <c:pt idx="385">
                <c:v>7.3940000000000001</c:v>
              </c:pt>
              <c:pt idx="386">
                <c:v>7.585</c:v>
              </c:pt>
              <c:pt idx="387">
                <c:v>7.8319999999999999</c:v>
              </c:pt>
              <c:pt idx="388">
                <c:v>7.6529999999999996</c:v>
              </c:pt>
              <c:pt idx="389">
                <c:v>8.6199999999999992</c:v>
              </c:pt>
              <c:pt idx="390">
                <c:v>9.89</c:v>
              </c:pt>
              <c:pt idx="391">
                <c:v>10.96</c:v>
              </c:pt>
              <c:pt idx="392">
                <c:v>11.43</c:v>
              </c:pt>
              <c:pt idx="393">
                <c:v>11.74</c:v>
              </c:pt>
              <c:pt idx="394">
                <c:v>12.7</c:v>
              </c:pt>
              <c:pt idx="395">
                <c:v>12.24</c:v>
              </c:pt>
              <c:pt idx="396">
                <c:v>12.26</c:v>
              </c:pt>
              <c:pt idx="397">
                <c:v>13.91</c:v>
              </c:pt>
              <c:pt idx="398">
                <c:v>15.01</c:v>
              </c:pt>
              <c:pt idx="399">
                <c:v>16.09</c:v>
              </c:pt>
              <c:pt idx="400">
                <c:v>15.86</c:v>
              </c:pt>
              <c:pt idx="401">
                <c:v>15.54</c:v>
              </c:pt>
              <c:pt idx="402">
                <c:v>15.47</c:v>
              </c:pt>
              <c:pt idx="403">
                <c:v>15.13</c:v>
              </c:pt>
              <c:pt idx="404">
                <c:v>14.08</c:v>
              </c:pt>
              <c:pt idx="405">
                <c:v>14.29</c:v>
              </c:pt>
              <c:pt idx="406">
                <c:v>15.98</c:v>
              </c:pt>
              <c:pt idx="407">
                <c:v>17.649999999999999</c:v>
              </c:pt>
              <c:pt idx="408">
                <c:v>22.5</c:v>
              </c:pt>
              <c:pt idx="409">
                <c:v>25.34</c:v>
              </c:pt>
              <c:pt idx="410">
                <c:v>30.52</c:v>
              </c:pt>
              <c:pt idx="411">
                <c:v>29.41</c:v>
              </c:pt>
              <c:pt idx="412">
                <c:v>29.81</c:v>
              </c:pt>
              <c:pt idx="413">
                <c:v>29.08</c:v>
              </c:pt>
              <c:pt idx="414">
                <c:v>26.67</c:v>
              </c:pt>
              <c:pt idx="415">
                <c:v>25.46</c:v>
              </c:pt>
              <c:pt idx="416">
                <c:v>23.91</c:v>
              </c:pt>
              <c:pt idx="417">
                <c:v>24.6</c:v>
              </c:pt>
              <c:pt idx="418">
                <c:v>26.15</c:v>
              </c:pt>
              <c:pt idx="419">
                <c:v>25.11</c:v>
              </c:pt>
              <c:pt idx="420">
                <c:v>25.79</c:v>
              </c:pt>
              <c:pt idx="421">
                <c:v>25.7</c:v>
              </c:pt>
              <c:pt idx="422">
                <c:v>23.7</c:v>
              </c:pt>
              <c:pt idx="423">
                <c:v>23.01</c:v>
              </c:pt>
              <c:pt idx="424">
                <c:v>21.49</c:v>
              </c:pt>
              <c:pt idx="425">
                <c:v>21.31</c:v>
              </c:pt>
              <c:pt idx="426">
                <c:v>21.18</c:v>
              </c:pt>
              <c:pt idx="427">
                <c:v>22.83</c:v>
              </c:pt>
              <c:pt idx="428">
                <c:v>22.17</c:v>
              </c:pt>
              <c:pt idx="429">
                <c:v>21.72</c:v>
              </c:pt>
              <c:pt idx="430">
                <c:v>20.68</c:v>
              </c:pt>
              <c:pt idx="431">
                <c:v>20.77</c:v>
              </c:pt>
              <c:pt idx="432">
                <c:v>22.67</c:v>
              </c:pt>
              <c:pt idx="433">
                <c:v>24</c:v>
              </c:pt>
              <c:pt idx="434">
                <c:v>22.05</c:v>
              </c:pt>
              <c:pt idx="435">
                <c:v>21.84</c:v>
              </c:pt>
              <c:pt idx="436">
                <c:v>21.21</c:v>
              </c:pt>
              <c:pt idx="437">
                <c:v>21.94</c:v>
              </c:pt>
              <c:pt idx="438">
                <c:v>22.31</c:v>
              </c:pt>
              <c:pt idx="439">
                <c:v>23.18</c:v>
              </c:pt>
              <c:pt idx="440">
                <c:v>25.59</c:v>
              </c:pt>
              <c:pt idx="441">
                <c:v>28.79</c:v>
              </c:pt>
              <c:pt idx="442">
                <c:v>31.19</c:v>
              </c:pt>
              <c:pt idx="443">
                <c:v>31.11</c:v>
              </c:pt>
              <c:pt idx="444">
                <c:v>30.66</c:v>
              </c:pt>
              <c:pt idx="445">
                <c:v>32.6</c:v>
              </c:pt>
              <c:pt idx="446">
                <c:v>36.299999999999997</c:v>
              </c:pt>
              <c:pt idx="447">
                <c:v>35</c:v>
              </c:pt>
              <c:pt idx="448">
                <c:v>35.83</c:v>
              </c:pt>
              <c:pt idx="449">
                <c:v>33.22</c:v>
              </c:pt>
              <c:pt idx="450">
                <c:v>33.61</c:v>
              </c:pt>
              <c:pt idx="451">
                <c:v>30.32</c:v>
              </c:pt>
              <c:pt idx="452">
                <c:v>27.42</c:v>
              </c:pt>
              <c:pt idx="453">
                <c:v>26.83</c:v>
              </c:pt>
              <c:pt idx="454">
                <c:v>26.93</c:v>
              </c:pt>
              <c:pt idx="455">
                <c:v>26.76</c:v>
              </c:pt>
              <c:pt idx="456">
                <c:v>27.26</c:v>
              </c:pt>
              <c:pt idx="457">
                <c:v>26.97</c:v>
              </c:pt>
              <c:pt idx="458">
                <c:v>27.82</c:v>
              </c:pt>
              <c:pt idx="459">
                <c:v>24</c:v>
              </c:pt>
              <c:pt idx="460">
                <c:v>23.46</c:v>
              </c:pt>
              <c:pt idx="461">
                <c:v>21.31</c:v>
              </c:pt>
              <c:pt idx="462">
                <c:v>20.36</c:v>
              </c:pt>
              <c:pt idx="463">
                <c:v>18.73</c:v>
              </c:pt>
              <c:pt idx="464">
                <c:v>20.3</c:v>
              </c:pt>
              <c:pt idx="465">
                <c:v>22.34</c:v>
              </c:pt>
              <c:pt idx="466">
                <c:v>23.27</c:v>
              </c:pt>
              <c:pt idx="467">
                <c:v>23.58</c:v>
              </c:pt>
              <c:pt idx="468">
                <c:v>26.07</c:v>
              </c:pt>
              <c:pt idx="469">
                <c:v>30.24</c:v>
              </c:pt>
              <c:pt idx="470">
                <c:v>31.6</c:v>
              </c:pt>
              <c:pt idx="471">
                <c:v>33.17</c:v>
              </c:pt>
              <c:pt idx="472">
                <c:v>35.03</c:v>
              </c:pt>
              <c:pt idx="473">
                <c:v>34.39</c:v>
              </c:pt>
              <c:pt idx="474">
                <c:v>31.56</c:v>
              </c:pt>
              <c:pt idx="475">
                <c:v>29.77</c:v>
              </c:pt>
              <c:pt idx="476">
                <c:v>30.8</c:v>
              </c:pt>
              <c:pt idx="477">
                <c:v>32.22</c:v>
              </c:pt>
              <c:pt idx="478">
                <c:v>32.9</c:v>
              </c:pt>
              <c:pt idx="479">
                <c:v>33.78</c:v>
              </c:pt>
              <c:pt idx="480">
                <c:v>35.549999999999997</c:v>
              </c:pt>
              <c:pt idx="481">
                <c:v>36.5</c:v>
              </c:pt>
              <c:pt idx="482">
                <c:v>34.28</c:v>
              </c:pt>
              <c:pt idx="483">
                <c:v>32.85</c:v>
              </c:pt>
              <c:pt idx="484">
                <c:v>33.21</c:v>
              </c:pt>
              <c:pt idx="485">
                <c:v>35.04</c:v>
              </c:pt>
              <c:pt idx="486">
                <c:v>34.83</c:v>
              </c:pt>
              <c:pt idx="487">
                <c:v>38.880000000000003</c:v>
              </c:pt>
              <c:pt idx="488">
                <c:v>46.99</c:v>
              </c:pt>
              <c:pt idx="489">
                <c:v>53.34</c:v>
              </c:pt>
              <c:pt idx="490">
                <c:v>57.29</c:v>
              </c:pt>
              <c:pt idx="491">
                <c:v>68.319999999999993</c:v>
              </c:pt>
              <c:pt idx="492">
                <c:v>76.39</c:v>
              </c:pt>
              <c:pt idx="493">
                <c:v>77.8</c:v>
              </c:pt>
              <c:pt idx="494">
                <c:v>76.5</c:v>
              </c:pt>
              <c:pt idx="495">
                <c:v>75.69</c:v>
              </c:pt>
              <c:pt idx="496">
                <c:v>75.73</c:v>
              </c:pt>
              <c:pt idx="497">
                <c:v>71.55</c:v>
              </c:pt>
              <c:pt idx="498">
                <c:v>75.81</c:v>
              </c:pt>
              <c:pt idx="499">
                <c:v>75.45</c:v>
              </c:pt>
              <c:pt idx="500">
                <c:v>69.709999999999994</c:v>
              </c:pt>
              <c:pt idx="501">
                <c:v>70.44</c:v>
              </c:pt>
              <c:pt idx="502">
                <c:v>74.83</c:v>
              </c:pt>
              <c:pt idx="503">
                <c:v>97.5</c:v>
              </c:pt>
              <c:pt idx="504">
                <c:v>112.5</c:v>
              </c:pt>
              <c:pt idx="505">
                <c:v>114.5</c:v>
              </c:pt>
              <c:pt idx="506">
                <c:v>121.2</c:v>
              </c:pt>
              <c:pt idx="507">
                <c:v>124</c:v>
              </c:pt>
              <c:pt idx="508">
                <c:v>119.3</c:v>
              </c:pt>
              <c:pt idx="509">
                <c:v>120.7</c:v>
              </c:pt>
              <c:pt idx="510">
                <c:v>132.80000000000001</c:v>
              </c:pt>
              <c:pt idx="511">
                <c:v>130.6</c:v>
              </c:pt>
              <c:pt idx="512">
                <c:v>122.5</c:v>
              </c:pt>
              <c:pt idx="513">
                <c:v>133.69999999999999</c:v>
              </c:pt>
              <c:pt idx="514">
                <c:v>151.69999999999999</c:v>
              </c:pt>
              <c:pt idx="515">
                <c:v>146.80000000000001</c:v>
              </c:pt>
              <c:pt idx="516">
                <c:v>146.5</c:v>
              </c:pt>
              <c:pt idx="517">
                <c:v>146</c:v>
              </c:pt>
              <c:pt idx="518">
                <c:v>158</c:v>
              </c:pt>
              <c:pt idx="519">
                <c:v>166.9</c:v>
              </c:pt>
              <c:pt idx="520">
                <c:v>169.7</c:v>
              </c:pt>
              <c:pt idx="521">
                <c:v>184.2</c:v>
              </c:pt>
              <c:pt idx="522">
                <c:v>192.8</c:v>
              </c:pt>
              <c:pt idx="523">
                <c:v>179.3</c:v>
              </c:pt>
              <c:pt idx="524">
                <c:v>201.1</c:v>
              </c:pt>
              <c:pt idx="525">
                <c:v>221.4</c:v>
              </c:pt>
              <c:pt idx="526">
                <c:v>221.5</c:v>
              </c:pt>
              <c:pt idx="527">
                <c:v>238.3</c:v>
              </c:pt>
              <c:pt idx="528">
                <c:v>243.1</c:v>
              </c:pt>
              <c:pt idx="529">
                <c:v>224.6</c:v>
              </c:pt>
              <c:pt idx="530">
                <c:v>214.5</c:v>
              </c:pt>
              <c:pt idx="531">
                <c:v>192.3</c:v>
              </c:pt>
              <c:pt idx="532">
                <c:v>204.4</c:v>
              </c:pt>
              <c:pt idx="533">
                <c:v>196.4</c:v>
              </c:pt>
              <c:pt idx="534">
                <c:v>172.5</c:v>
              </c:pt>
              <c:pt idx="535">
                <c:v>165</c:v>
              </c:pt>
              <c:pt idx="536">
                <c:v>169</c:v>
              </c:pt>
              <c:pt idx="537">
                <c:v>177.7</c:v>
              </c:pt>
              <c:pt idx="538">
                <c:v>193.9</c:v>
              </c:pt>
              <c:pt idx="539">
                <c:v>198.3</c:v>
              </c:pt>
              <c:pt idx="540">
                <c:v>198.2</c:v>
              </c:pt>
              <c:pt idx="541">
                <c:v>182.5</c:v>
              </c:pt>
              <c:pt idx="542">
                <c:v>206.1</c:v>
              </c:pt>
              <c:pt idx="543">
                <c:v>175.3</c:v>
              </c:pt>
              <c:pt idx="544">
                <c:v>165.6</c:v>
              </c:pt>
              <c:pt idx="545">
                <c:v>188.5</c:v>
              </c:pt>
              <c:pt idx="546">
                <c:v>198.9</c:v>
              </c:pt>
              <c:pt idx="547">
                <c:v>185.8</c:v>
              </c:pt>
              <c:pt idx="548">
                <c:v>188.8</c:v>
              </c:pt>
              <c:pt idx="549">
                <c:v>171</c:v>
              </c:pt>
              <c:pt idx="550">
                <c:v>136.5</c:v>
              </c:pt>
              <c:pt idx="551">
                <c:v>119.7</c:v>
              </c:pt>
              <c:pt idx="552">
                <c:v>106.1</c:v>
              </c:pt>
              <c:pt idx="553">
                <c:v>106.8</c:v>
              </c:pt>
              <c:pt idx="554">
                <c:v>104.4</c:v>
              </c:pt>
              <c:pt idx="555">
                <c:v>111.7</c:v>
              </c:pt>
              <c:pt idx="556">
                <c:v>119.7</c:v>
              </c:pt>
              <c:pt idx="557">
                <c:v>110.9</c:v>
              </c:pt>
              <c:pt idx="558">
                <c:v>98.3</c:v>
              </c:pt>
              <c:pt idx="559">
                <c:v>97.7</c:v>
              </c:pt>
              <c:pt idx="560">
                <c:v>92</c:v>
              </c:pt>
              <c:pt idx="561">
                <c:v>88.4</c:v>
              </c:pt>
              <c:pt idx="562">
                <c:v>84.7</c:v>
              </c:pt>
              <c:pt idx="563">
                <c:v>80.900000000000006</c:v>
              </c:pt>
              <c:pt idx="564">
                <c:v>79.569999999999993</c:v>
              </c:pt>
              <c:pt idx="565">
                <c:v>87.8</c:v>
              </c:pt>
              <c:pt idx="566">
                <c:v>92.1</c:v>
              </c:pt>
              <c:pt idx="567">
                <c:v>91.8</c:v>
              </c:pt>
              <c:pt idx="568">
                <c:v>91.1</c:v>
              </c:pt>
              <c:pt idx="569">
                <c:v>89.2</c:v>
              </c:pt>
              <c:pt idx="570">
                <c:v>84</c:v>
              </c:pt>
              <c:pt idx="571">
                <c:v>78.260000000000005</c:v>
              </c:pt>
              <c:pt idx="572">
                <c:v>82.3</c:v>
              </c:pt>
              <c:pt idx="573">
                <c:v>89.6</c:v>
              </c:pt>
              <c:pt idx="574">
                <c:v>93.5</c:v>
              </c:pt>
              <c:pt idx="575">
                <c:v>95.8</c:v>
              </c:pt>
              <c:pt idx="576">
                <c:v>93.4</c:v>
              </c:pt>
              <c:pt idx="577">
                <c:v>96.8</c:v>
              </c:pt>
              <c:pt idx="578">
                <c:v>103.6</c:v>
              </c:pt>
              <c:pt idx="579">
                <c:v>107.1</c:v>
              </c:pt>
              <c:pt idx="580">
                <c:v>107.1</c:v>
              </c:pt>
              <c:pt idx="581">
                <c:v>103.5</c:v>
              </c:pt>
              <c:pt idx="582">
                <c:v>108.3</c:v>
              </c:pt>
              <c:pt idx="583">
                <c:v>104.5</c:v>
              </c:pt>
              <c:pt idx="584">
                <c:v>108.2</c:v>
              </c:pt>
              <c:pt idx="585">
                <c:v>118.6</c:v>
              </c:pt>
              <c:pt idx="586">
                <c:v>123.2</c:v>
              </c:pt>
              <c:pt idx="587">
                <c:v>138.5</c:v>
              </c:pt>
              <c:pt idx="588">
                <c:v>156.6</c:v>
              </c:pt>
              <c:pt idx="589">
                <c:v>171.1</c:v>
              </c:pt>
              <c:pt idx="590">
                <c:v>177.8</c:v>
              </c:pt>
              <c:pt idx="591">
                <c:v>182.3</c:v>
              </c:pt>
              <c:pt idx="592">
                <c:v>185.5</c:v>
              </c:pt>
              <c:pt idx="593">
                <c:v>187</c:v>
              </c:pt>
              <c:pt idx="594">
                <c:v>189.3</c:v>
              </c:pt>
              <c:pt idx="595">
                <c:v>191.6</c:v>
              </c:pt>
              <c:pt idx="596">
                <c:v>192.4</c:v>
              </c:pt>
              <c:pt idx="597">
                <c:v>197.9</c:v>
              </c:pt>
              <c:pt idx="598">
                <c:v>201.8</c:v>
              </c:pt>
              <c:pt idx="599">
                <c:v>199.3</c:v>
              </c:pt>
              <c:pt idx="600">
                <c:v>201.9</c:v>
              </c:pt>
              <c:pt idx="601">
                <c:v>216.5</c:v>
              </c:pt>
              <c:pt idx="602">
                <c:v>224.2</c:v>
              </c:pt>
              <c:pt idx="603">
                <c:v>234.8</c:v>
              </c:pt>
              <c:pt idx="604">
                <c:v>243.8</c:v>
              </c:pt>
              <c:pt idx="605">
                <c:v>258.10000000000002</c:v>
              </c:pt>
              <c:pt idx="606">
                <c:v>266.7</c:v>
              </c:pt>
              <c:pt idx="607">
                <c:v>272.8</c:v>
              </c:pt>
              <c:pt idx="608">
                <c:v>273.60000000000002</c:v>
              </c:pt>
              <c:pt idx="609">
                <c:v>290.5</c:v>
              </c:pt>
              <c:pt idx="610">
                <c:v>292.3</c:v>
              </c:pt>
              <c:pt idx="611">
                <c:v>298.89999999999998</c:v>
              </c:pt>
              <c:pt idx="612">
                <c:v>314.2</c:v>
              </c:pt>
              <c:pt idx="613">
                <c:v>310.8</c:v>
              </c:pt>
              <c:pt idx="614">
                <c:v>303.60000000000002</c:v>
              </c:pt>
              <c:pt idx="615">
                <c:v>302.8</c:v>
              </c:pt>
              <c:pt idx="616">
                <c:v>302.2</c:v>
              </c:pt>
              <c:pt idx="617">
                <c:v>294.5</c:v>
              </c:pt>
              <c:pt idx="618">
                <c:v>289.10000000000002</c:v>
              </c:pt>
              <c:pt idx="619">
                <c:v>290.5</c:v>
              </c:pt>
              <c:pt idx="620">
                <c:v>301.5</c:v>
              </c:pt>
              <c:pt idx="621">
                <c:v>284.2</c:v>
              </c:pt>
              <c:pt idx="622">
                <c:v>282.39999999999998</c:v>
              </c:pt>
              <c:pt idx="623">
                <c:v>282.60000000000002</c:v>
              </c:pt>
              <c:pt idx="624">
                <c:v>276.3</c:v>
              </c:pt>
              <c:pt idx="625">
                <c:v>272.3</c:v>
              </c:pt>
              <c:pt idx="626">
                <c:v>266.3</c:v>
              </c:pt>
              <c:pt idx="627">
                <c:v>258.10000000000002</c:v>
              </c:pt>
              <c:pt idx="628">
                <c:v>247.4</c:v>
              </c:pt>
              <c:pt idx="629">
                <c:v>239.4</c:v>
              </c:pt>
              <c:pt idx="630">
                <c:v>232.4</c:v>
              </c:pt>
              <c:pt idx="631">
                <c:v>233.5</c:v>
              </c:pt>
              <c:pt idx="632">
                <c:v>241.2</c:v>
              </c:pt>
              <c:pt idx="633">
                <c:v>246.1</c:v>
              </c:pt>
              <c:pt idx="634">
                <c:v>256.39999999999998</c:v>
              </c:pt>
              <c:pt idx="635">
                <c:v>257.89999999999998</c:v>
              </c:pt>
              <c:pt idx="636">
                <c:v>258.39999999999998</c:v>
              </c:pt>
              <c:pt idx="637">
                <c:v>260.2</c:v>
              </c:pt>
              <c:pt idx="638">
                <c:v>260.5</c:v>
              </c:pt>
              <c:pt idx="639">
                <c:v>262.7</c:v>
              </c:pt>
              <c:pt idx="640">
                <c:v>270.89999999999998</c:v>
              </c:pt>
              <c:pt idx="641">
                <c:v>286.8</c:v>
              </c:pt>
              <c:pt idx="642">
                <c:v>298.60000000000002</c:v>
              </c:pt>
              <c:pt idx="643">
                <c:v>313.60000000000002</c:v>
              </c:pt>
              <c:pt idx="644">
                <c:v>320.7</c:v>
              </c:pt>
              <c:pt idx="645">
                <c:v>316.89999999999998</c:v>
              </c:pt>
              <c:pt idx="646">
                <c:v>312.7</c:v>
              </c:pt>
              <c:pt idx="647">
                <c:v>317.7</c:v>
              </c:pt>
              <c:pt idx="648">
                <c:v>324.5</c:v>
              </c:pt>
              <c:pt idx="649">
                <c:v>332.3</c:v>
              </c:pt>
              <c:pt idx="650">
                <c:v>340.4</c:v>
              </c:pt>
              <c:pt idx="651">
                <c:v>348.3</c:v>
              </c:pt>
              <c:pt idx="652">
                <c:v>364.8</c:v>
              </c:pt>
              <c:pt idx="653">
                <c:v>379.9</c:v>
              </c:pt>
              <c:pt idx="654">
                <c:v>389.7</c:v>
              </c:pt>
              <c:pt idx="655">
                <c:v>390.6</c:v>
              </c:pt>
              <c:pt idx="656">
                <c:v>389.8</c:v>
              </c:pt>
              <c:pt idx="657">
                <c:v>395</c:v>
              </c:pt>
              <c:pt idx="658">
                <c:v>405</c:v>
              </c:pt>
              <c:pt idx="659">
                <c:v>413.8</c:v>
              </c:pt>
              <c:pt idx="660">
                <c:v>421.1</c:v>
              </c:pt>
              <c:pt idx="661">
                <c:v>428.4</c:v>
              </c:pt>
              <c:pt idx="662">
                <c:v>428.8</c:v>
              </c:pt>
              <c:pt idx="663">
                <c:v>422.2</c:v>
              </c:pt>
              <c:pt idx="664">
                <c:v>433.2</c:v>
              </c:pt>
              <c:pt idx="665">
                <c:v>456.4</c:v>
              </c:pt>
              <c:pt idx="666">
                <c:v>469.6</c:v>
              </c:pt>
              <c:pt idx="667">
                <c:v>484.5</c:v>
              </c:pt>
              <c:pt idx="668">
                <c:v>484.9</c:v>
              </c:pt>
              <c:pt idx="669">
                <c:v>471.3</c:v>
              </c:pt>
              <c:pt idx="670">
                <c:v>484</c:v>
              </c:pt>
              <c:pt idx="671">
                <c:v>446.6</c:v>
              </c:pt>
              <c:pt idx="672">
                <c:v>418.8</c:v>
              </c:pt>
              <c:pt idx="673">
                <c:v>392.7</c:v>
              </c:pt>
              <c:pt idx="674">
                <c:v>355.5</c:v>
              </c:pt>
              <c:pt idx="675">
                <c:v>366.6</c:v>
              </c:pt>
              <c:pt idx="676">
                <c:v>363</c:v>
              </c:pt>
              <c:pt idx="677">
                <c:v>372.9</c:v>
              </c:pt>
              <c:pt idx="678">
                <c:v>359.7</c:v>
              </c:pt>
              <c:pt idx="679">
                <c:v>348.9</c:v>
              </c:pt>
              <c:pt idx="680">
                <c:v>372.1</c:v>
              </c:pt>
              <c:pt idx="681">
                <c:v>373.1</c:v>
              </c:pt>
              <c:pt idx="682">
                <c:v>420.2</c:v>
              </c:pt>
              <c:pt idx="683">
                <c:v>423.2</c:v>
              </c:pt>
              <c:pt idx="684">
                <c:v>436.2</c:v>
              </c:pt>
              <c:pt idx="685">
                <c:v>419.6</c:v>
              </c:pt>
              <c:pt idx="686">
                <c:v>398.3</c:v>
              </c:pt>
              <c:pt idx="687">
                <c:v>426.4</c:v>
              </c:pt>
              <c:pt idx="688">
                <c:v>435.9</c:v>
              </c:pt>
              <c:pt idx="689">
                <c:v>432.1</c:v>
              </c:pt>
              <c:pt idx="690">
                <c:v>428.2</c:v>
              </c:pt>
              <c:pt idx="691">
                <c:v>401.4</c:v>
              </c:pt>
              <c:pt idx="692">
                <c:v>383.4</c:v>
              </c:pt>
              <c:pt idx="693">
                <c:v>399.1</c:v>
              </c:pt>
              <c:pt idx="694">
                <c:v>424</c:v>
              </c:pt>
              <c:pt idx="695">
                <c:v>411.7</c:v>
              </c:pt>
              <c:pt idx="696">
                <c:v>414.3</c:v>
              </c:pt>
              <c:pt idx="697">
                <c:v>426.4</c:v>
              </c:pt>
              <c:pt idx="698">
                <c:v>442.2</c:v>
              </c:pt>
              <c:pt idx="699">
                <c:v>455.6</c:v>
              </c:pt>
              <c:pt idx="700">
                <c:v>459.5</c:v>
              </c:pt>
              <c:pt idx="701">
                <c:v>464.1</c:v>
              </c:pt>
              <c:pt idx="702">
                <c:v>466.5</c:v>
              </c:pt>
              <c:pt idx="703">
                <c:v>498.8</c:v>
              </c:pt>
              <c:pt idx="704">
                <c:v>539.29999999999995</c:v>
              </c:pt>
              <c:pt idx="705">
                <c:v>655.5</c:v>
              </c:pt>
              <c:pt idx="706">
                <c:v>647.20000000000005</c:v>
              </c:pt>
              <c:pt idx="707">
                <c:v>517</c:v>
              </c:pt>
              <c:pt idx="708">
                <c:v>535.29999999999995</c:v>
              </c:pt>
              <c:pt idx="709">
                <c:v>524.29999999999995</c:v>
              </c:pt>
              <c:pt idx="710">
                <c:v>487.8</c:v>
              </c:pt>
              <c:pt idx="711">
                <c:v>477.7</c:v>
              </c:pt>
              <c:pt idx="712">
                <c:v>507.8</c:v>
              </c:pt>
              <c:pt idx="713">
                <c:v>497.9</c:v>
              </c:pt>
              <c:pt idx="714">
                <c:v>435.4</c:v>
              </c:pt>
              <c:pt idx="715">
                <c:v>440.9</c:v>
              </c:pt>
              <c:pt idx="716">
                <c:v>438.5</c:v>
              </c:pt>
              <c:pt idx="717">
                <c:v>420.9</c:v>
              </c:pt>
              <c:pt idx="718">
                <c:v>425.4</c:v>
              </c:pt>
              <c:pt idx="719">
                <c:v>471.8</c:v>
              </c:pt>
              <c:pt idx="720">
                <c:v>485.2</c:v>
              </c:pt>
              <c:pt idx="721">
                <c:v>464.5</c:v>
              </c:pt>
              <c:pt idx="722">
                <c:v>417.8</c:v>
              </c:pt>
              <c:pt idx="723">
                <c:v>406.3</c:v>
              </c:pt>
              <c:pt idx="724">
                <c:v>392.4</c:v>
              </c:pt>
              <c:pt idx="725">
                <c:v>389.4</c:v>
              </c:pt>
              <c:pt idx="726">
                <c:v>373.7</c:v>
              </c:pt>
              <c:pt idx="727">
                <c:v>364.2</c:v>
              </c:pt>
              <c:pt idx="728">
                <c:v>403.1</c:v>
              </c:pt>
              <c:pt idx="729">
                <c:v>426.2</c:v>
              </c:pt>
              <c:pt idx="730">
                <c:v>363.4</c:v>
              </c:pt>
              <c:pt idx="731">
                <c:v>292.60000000000002</c:v>
              </c:pt>
              <c:pt idx="732">
                <c:v>259.3</c:v>
              </c:pt>
              <c:pt idx="733">
                <c:v>260.8</c:v>
              </c:pt>
              <c:pt idx="734">
                <c:v>278.10000000000002</c:v>
              </c:pt>
              <c:pt idx="735">
                <c:v>326.8</c:v>
              </c:pt>
              <c:pt idx="736">
                <c:v>368</c:v>
              </c:pt>
              <c:pt idx="737">
                <c:v>361</c:v>
              </c:pt>
              <c:pt idx="738">
                <c:v>370.5</c:v>
              </c:pt>
              <c:pt idx="739">
                <c:v>376</c:v>
              </c:pt>
              <c:pt idx="740">
                <c:v>364.9</c:v>
              </c:pt>
              <c:pt idx="741">
                <c:v>345</c:v>
              </c:pt>
              <c:pt idx="742">
                <c:v>310.5</c:v>
              </c:pt>
              <c:pt idx="743">
                <c:v>276.3</c:v>
              </c:pt>
              <c:pt idx="744">
                <c:v>254.3</c:v>
              </c:pt>
              <c:pt idx="745">
                <c:v>232.4</c:v>
              </c:pt>
              <c:pt idx="746">
                <c:v>212.4</c:v>
              </c:pt>
              <c:pt idx="747">
                <c:v>198.1</c:v>
              </c:pt>
              <c:pt idx="748">
                <c:v>195.9</c:v>
              </c:pt>
              <c:pt idx="749">
                <c:v>193.3</c:v>
              </c:pt>
              <c:pt idx="750">
                <c:v>177.2</c:v>
              </c:pt>
              <c:pt idx="751">
                <c:v>146.19999999999999</c:v>
              </c:pt>
              <c:pt idx="752">
                <c:v>138.4</c:v>
              </c:pt>
              <c:pt idx="753">
                <c:v>162.69999999999999</c:v>
              </c:pt>
              <c:pt idx="754">
                <c:v>189.9</c:v>
              </c:pt>
              <c:pt idx="755">
                <c:v>219.7</c:v>
              </c:pt>
              <c:pt idx="756">
                <c:v>232.3</c:v>
              </c:pt>
              <c:pt idx="757">
                <c:v>220.6</c:v>
              </c:pt>
              <c:pt idx="758">
                <c:v>201</c:v>
              </c:pt>
              <c:pt idx="759">
                <c:v>180.9</c:v>
              </c:pt>
              <c:pt idx="760">
                <c:v>174.6</c:v>
              </c:pt>
              <c:pt idx="761">
                <c:v>187.4</c:v>
              </c:pt>
              <c:pt idx="762">
                <c:v>204.8</c:v>
              </c:pt>
              <c:pt idx="763">
                <c:v>220.9</c:v>
              </c:pt>
              <c:pt idx="764">
                <c:v>226.2</c:v>
              </c:pt>
              <c:pt idx="765">
                <c:v>204.3</c:v>
              </c:pt>
              <c:pt idx="766">
                <c:v>163.69999999999999</c:v>
              </c:pt>
              <c:pt idx="767">
                <c:v>133.69999999999999</c:v>
              </c:pt>
              <c:pt idx="768">
                <c:v>116.7</c:v>
              </c:pt>
              <c:pt idx="769">
                <c:v>108.4</c:v>
              </c:pt>
              <c:pt idx="770">
                <c:v>106.9</c:v>
              </c:pt>
              <c:pt idx="771">
                <c:v>106</c:v>
              </c:pt>
              <c:pt idx="772">
                <c:v>118.6</c:v>
              </c:pt>
              <c:pt idx="773">
                <c:v>144.9</c:v>
              </c:pt>
              <c:pt idx="774">
                <c:v>166.5</c:v>
              </c:pt>
              <c:pt idx="775">
                <c:v>176.5</c:v>
              </c:pt>
              <c:pt idx="776">
                <c:v>185.3</c:v>
              </c:pt>
              <c:pt idx="777">
                <c:v>192.7</c:v>
              </c:pt>
              <c:pt idx="778">
                <c:v>200.2</c:v>
              </c:pt>
              <c:pt idx="779">
                <c:v>203.3</c:v>
              </c:pt>
              <c:pt idx="780">
                <c:v>206.6</c:v>
              </c:pt>
              <c:pt idx="781">
                <c:v>216.7</c:v>
              </c:pt>
              <c:pt idx="782">
                <c:v>223.8</c:v>
              </c:pt>
              <c:pt idx="783">
                <c:v>214.4</c:v>
              </c:pt>
              <c:pt idx="784">
                <c:v>190.3</c:v>
              </c:pt>
              <c:pt idx="785">
                <c:v>173.1</c:v>
              </c:pt>
              <c:pt idx="786">
                <c:v>169.2</c:v>
              </c:pt>
              <c:pt idx="787">
                <c:v>166.2</c:v>
              </c:pt>
              <c:pt idx="788">
                <c:v>162.80000000000001</c:v>
              </c:pt>
              <c:pt idx="789">
                <c:v>162.69999999999999</c:v>
              </c:pt>
              <c:pt idx="790">
                <c:v>159.69999999999999</c:v>
              </c:pt>
              <c:pt idx="791">
                <c:v>153.80000000000001</c:v>
              </c:pt>
              <c:pt idx="792">
                <c:v>156.5</c:v>
              </c:pt>
              <c:pt idx="793">
                <c:v>184.5</c:v>
              </c:pt>
              <c:pt idx="794">
                <c:v>206.5</c:v>
              </c:pt>
              <c:pt idx="795">
                <c:v>203.5</c:v>
              </c:pt>
              <c:pt idx="796">
                <c:v>192.4</c:v>
              </c:pt>
              <c:pt idx="797">
                <c:v>181.9</c:v>
              </c:pt>
              <c:pt idx="798">
                <c:v>178.1</c:v>
              </c:pt>
              <c:pt idx="799">
                <c:v>176.3</c:v>
              </c:pt>
              <c:pt idx="800">
                <c:v>185.4</c:v>
              </c:pt>
              <c:pt idx="801">
                <c:v>199.5</c:v>
              </c:pt>
              <c:pt idx="802">
                <c:v>190</c:v>
              </c:pt>
              <c:pt idx="803">
                <c:v>185.8</c:v>
              </c:pt>
              <c:pt idx="804">
                <c:v>195.9</c:v>
              </c:pt>
              <c:pt idx="805">
                <c:v>220.8</c:v>
              </c:pt>
              <c:pt idx="806">
                <c:v>234</c:v>
              </c:pt>
              <c:pt idx="807">
                <c:v>211.5</c:v>
              </c:pt>
              <c:pt idx="808">
                <c:v>226.3</c:v>
              </c:pt>
              <c:pt idx="809">
                <c:v>292.5</c:v>
              </c:pt>
              <c:pt idx="810">
                <c:v>340.8</c:v>
              </c:pt>
              <c:pt idx="811">
                <c:v>379.9</c:v>
              </c:pt>
              <c:pt idx="812">
                <c:v>407.1</c:v>
              </c:pt>
              <c:pt idx="813">
                <c:v>412.3</c:v>
              </c:pt>
              <c:pt idx="814">
                <c:v>408.9</c:v>
              </c:pt>
              <c:pt idx="815">
                <c:v>397.7</c:v>
              </c:pt>
              <c:pt idx="816">
                <c:v>367.6</c:v>
              </c:pt>
              <c:pt idx="817">
                <c:v>328</c:v>
              </c:pt>
              <c:pt idx="818">
                <c:v>295.3</c:v>
              </c:pt>
              <c:pt idx="819">
                <c:v>277</c:v>
              </c:pt>
              <c:pt idx="820">
                <c:v>243.9</c:v>
              </c:pt>
              <c:pt idx="821">
                <c:v>216.5</c:v>
              </c:pt>
              <c:pt idx="822">
                <c:v>221.9</c:v>
              </c:pt>
              <c:pt idx="823">
                <c:v>225.8</c:v>
              </c:pt>
              <c:pt idx="824">
                <c:v>235.2</c:v>
              </c:pt>
              <c:pt idx="825">
                <c:v>244.1</c:v>
              </c:pt>
              <c:pt idx="826">
                <c:v>226.6</c:v>
              </c:pt>
              <c:pt idx="827">
                <c:v>206.2</c:v>
              </c:pt>
              <c:pt idx="828">
                <c:v>182.2</c:v>
              </c:pt>
              <c:pt idx="829">
                <c:v>148.80000000000001</c:v>
              </c:pt>
              <c:pt idx="830">
                <c:v>167.9</c:v>
              </c:pt>
              <c:pt idx="831">
                <c:v>191.4</c:v>
              </c:pt>
              <c:pt idx="832">
                <c:v>209.2</c:v>
              </c:pt>
              <c:pt idx="833">
                <c:v>222.3</c:v>
              </c:pt>
              <c:pt idx="834">
                <c:v>230.1</c:v>
              </c:pt>
              <c:pt idx="835">
                <c:v>237</c:v>
              </c:pt>
              <c:pt idx="836">
                <c:v>242.2</c:v>
              </c:pt>
              <c:pt idx="837">
                <c:v>249.1</c:v>
              </c:pt>
              <c:pt idx="838">
                <c:v>253</c:v>
              </c:pt>
              <c:pt idx="839">
                <c:v>249</c:v>
              </c:pt>
              <c:pt idx="840">
                <c:v>245.7</c:v>
              </c:pt>
              <c:pt idx="841">
                <c:v>249.4</c:v>
              </c:pt>
              <c:pt idx="842">
                <c:v>261</c:v>
              </c:pt>
              <c:pt idx="843">
                <c:v>277.10000000000002</c:v>
              </c:pt>
              <c:pt idx="844">
                <c:v>290.3</c:v>
              </c:pt>
              <c:pt idx="845">
                <c:v>323.39999999999998</c:v>
              </c:pt>
              <c:pt idx="846">
                <c:v>330.8</c:v>
              </c:pt>
              <c:pt idx="847">
                <c:v>334.6</c:v>
              </c:pt>
              <c:pt idx="848">
                <c:v>320</c:v>
              </c:pt>
              <c:pt idx="849">
                <c:v>285.5</c:v>
              </c:pt>
              <c:pt idx="850">
                <c:v>247.9</c:v>
              </c:pt>
              <c:pt idx="851">
                <c:v>203.7</c:v>
              </c:pt>
              <c:pt idx="852">
                <c:v>202.6</c:v>
              </c:pt>
              <c:pt idx="853">
                <c:v>231</c:v>
              </c:pt>
              <c:pt idx="854">
                <c:v>225.9</c:v>
              </c:pt>
              <c:pt idx="855">
                <c:v>210.4</c:v>
              </c:pt>
              <c:pt idx="856">
                <c:v>187.7</c:v>
              </c:pt>
              <c:pt idx="857">
                <c:v>157</c:v>
              </c:pt>
              <c:pt idx="858">
                <c:v>124.5</c:v>
              </c:pt>
              <c:pt idx="859">
                <c:v>128.1</c:v>
              </c:pt>
              <c:pt idx="860">
                <c:v>160</c:v>
              </c:pt>
              <c:pt idx="861">
                <c:v>182.9</c:v>
              </c:pt>
              <c:pt idx="862">
                <c:v>195.8</c:v>
              </c:pt>
              <c:pt idx="863">
                <c:v>181.4</c:v>
              </c:pt>
              <c:pt idx="864">
                <c:v>165.6</c:v>
              </c:pt>
              <c:pt idx="865">
                <c:v>156.30000000000001</c:v>
              </c:pt>
              <c:pt idx="866">
                <c:v>155.6</c:v>
              </c:pt>
              <c:pt idx="867">
                <c:v>161.80000000000001</c:v>
              </c:pt>
              <c:pt idx="868">
                <c:v>182.9</c:v>
              </c:pt>
              <c:pt idx="869">
                <c:v>204.8</c:v>
              </c:pt>
              <c:pt idx="870">
                <c:v>214.7</c:v>
              </c:pt>
              <c:pt idx="871">
                <c:v>229.7</c:v>
              </c:pt>
              <c:pt idx="872">
                <c:v>235.5</c:v>
              </c:pt>
              <c:pt idx="873">
                <c:v>245.1</c:v>
              </c:pt>
              <c:pt idx="874">
                <c:v>241.4</c:v>
              </c:pt>
              <c:pt idx="875">
                <c:v>265</c:v>
              </c:pt>
              <c:pt idx="876">
                <c:v>272.10000000000002</c:v>
              </c:pt>
              <c:pt idx="877">
                <c:v>260.89999999999998</c:v>
              </c:pt>
              <c:pt idx="878">
                <c:v>268.89999999999998</c:v>
              </c:pt>
              <c:pt idx="879">
                <c:v>281.8</c:v>
              </c:pt>
              <c:pt idx="880">
                <c:v>284.2</c:v>
              </c:pt>
              <c:pt idx="881">
                <c:v>285.8</c:v>
              </c:pt>
              <c:pt idx="882">
                <c:v>264</c:v>
              </c:pt>
              <c:pt idx="883">
                <c:v>246.4</c:v>
              </c:pt>
              <c:pt idx="884">
                <c:v>238</c:v>
              </c:pt>
              <c:pt idx="885">
                <c:v>237</c:v>
              </c:pt>
              <c:pt idx="886">
                <c:v>209</c:v>
              </c:pt>
              <c:pt idx="887">
                <c:v>182.3</c:v>
              </c:pt>
              <c:pt idx="888">
                <c:v>152.19999999999999</c:v>
              </c:pt>
              <c:pt idx="889">
                <c:v>128.69999999999999</c:v>
              </c:pt>
              <c:pt idx="890">
                <c:v>129.1</c:v>
              </c:pt>
              <c:pt idx="891">
                <c:v>138.6</c:v>
              </c:pt>
              <c:pt idx="892">
                <c:v>149.80000000000001</c:v>
              </c:pt>
              <c:pt idx="893">
                <c:v>164</c:v>
              </c:pt>
              <c:pt idx="894">
                <c:v>161.4</c:v>
              </c:pt>
              <c:pt idx="895">
                <c:v>141.69999999999999</c:v>
              </c:pt>
              <c:pt idx="896">
                <c:v>125.8</c:v>
              </c:pt>
              <c:pt idx="897">
                <c:v>109.1</c:v>
              </c:pt>
              <c:pt idx="898">
                <c:v>90.1</c:v>
              </c:pt>
              <c:pt idx="899">
                <c:v>98.1</c:v>
              </c:pt>
              <c:pt idx="900">
                <c:v>118.4</c:v>
              </c:pt>
              <c:pt idx="901">
                <c:v>125.4</c:v>
              </c:pt>
              <c:pt idx="902">
                <c:v>113.3</c:v>
              </c:pt>
              <c:pt idx="903">
                <c:v>104.4</c:v>
              </c:pt>
              <c:pt idx="904">
                <c:v>107.8</c:v>
              </c:pt>
              <c:pt idx="905">
                <c:v>114.7</c:v>
              </c:pt>
              <c:pt idx="906">
                <c:v>122.5</c:v>
              </c:pt>
              <c:pt idx="907">
                <c:v>125.9</c:v>
              </c:pt>
              <c:pt idx="908">
                <c:v>127.4</c:v>
              </c:pt>
              <c:pt idx="909">
                <c:v>131.5</c:v>
              </c:pt>
              <c:pt idx="910">
                <c:v>137.80000000000001</c:v>
              </c:pt>
              <c:pt idx="911">
                <c:v>139.1</c:v>
              </c:pt>
              <c:pt idx="912">
                <c:v>136</c:v>
              </c:pt>
              <c:pt idx="913">
                <c:v>132.80000000000001</c:v>
              </c:pt>
              <c:pt idx="914">
                <c:v>136.1</c:v>
              </c:pt>
              <c:pt idx="915">
                <c:v>133.5</c:v>
              </c:pt>
              <c:pt idx="916">
                <c:v>124.9</c:v>
              </c:pt>
              <c:pt idx="917">
                <c:v>115.1</c:v>
              </c:pt>
              <c:pt idx="918">
                <c:v>105.2</c:v>
              </c:pt>
              <c:pt idx="919">
                <c:v>94.2</c:v>
              </c:pt>
              <c:pt idx="920">
                <c:v>83.9</c:v>
              </c:pt>
              <c:pt idx="921">
                <c:v>74.540000000000006</c:v>
              </c:pt>
              <c:pt idx="922">
                <c:v>78.8</c:v>
              </c:pt>
              <c:pt idx="923">
                <c:v>82.7</c:v>
              </c:pt>
              <c:pt idx="924">
                <c:v>82.9</c:v>
              </c:pt>
              <c:pt idx="925">
                <c:v>78.44</c:v>
              </c:pt>
              <c:pt idx="926">
                <c:v>69.849999999999994</c:v>
              </c:pt>
              <c:pt idx="927">
                <c:v>58.23</c:v>
              </c:pt>
              <c:pt idx="928">
                <c:v>50.71</c:v>
              </c:pt>
              <c:pt idx="929">
                <c:v>48.63</c:v>
              </c:pt>
              <c:pt idx="930">
                <c:v>51.66</c:v>
              </c:pt>
              <c:pt idx="931">
                <c:v>56.69</c:v>
              </c:pt>
              <c:pt idx="932">
                <c:v>56.06</c:v>
              </c:pt>
              <c:pt idx="933">
                <c:v>52.77</c:v>
              </c:pt>
              <c:pt idx="934">
                <c:v>55.4</c:v>
              </c:pt>
              <c:pt idx="935">
                <c:v>61.01</c:v>
              </c:pt>
              <c:pt idx="936">
                <c:v>66.34</c:v>
              </c:pt>
              <c:pt idx="937">
                <c:v>69.349999999999994</c:v>
              </c:pt>
              <c:pt idx="938">
                <c:v>69.34</c:v>
              </c:pt>
              <c:pt idx="939">
                <c:v>70.75</c:v>
              </c:pt>
              <c:pt idx="940">
                <c:v>74.31</c:v>
              </c:pt>
              <c:pt idx="941">
                <c:v>79.069999999999993</c:v>
              </c:pt>
              <c:pt idx="942">
                <c:v>84.3</c:v>
              </c:pt>
              <c:pt idx="943">
                <c:v>90.7</c:v>
              </c:pt>
              <c:pt idx="944">
                <c:v>95.9</c:v>
              </c:pt>
              <c:pt idx="945">
                <c:v>101.2</c:v>
              </c:pt>
              <c:pt idx="946">
                <c:v>108.7</c:v>
              </c:pt>
              <c:pt idx="947">
                <c:v>116.2</c:v>
              </c:pt>
              <c:pt idx="948">
                <c:v>122.5</c:v>
              </c:pt>
              <c:pt idx="949">
                <c:v>129.80000000000001</c:v>
              </c:pt>
              <c:pt idx="950">
                <c:v>140.30000000000001</c:v>
              </c:pt>
              <c:pt idx="951">
                <c:v>155</c:v>
              </c:pt>
              <c:pt idx="952">
                <c:v>169.3</c:v>
              </c:pt>
              <c:pt idx="953">
                <c:v>180.2</c:v>
              </c:pt>
              <c:pt idx="954">
                <c:v>186.2</c:v>
              </c:pt>
              <c:pt idx="955">
                <c:v>185</c:v>
              </c:pt>
              <c:pt idx="956">
                <c:v>175.4</c:v>
              </c:pt>
              <c:pt idx="957">
                <c:v>152.19999999999999</c:v>
              </c:pt>
              <c:pt idx="958">
                <c:v>125.6</c:v>
              </c:pt>
              <c:pt idx="959">
                <c:v>101.8</c:v>
              </c:pt>
              <c:pt idx="960">
                <c:v>85.3</c:v>
              </c:pt>
              <c:pt idx="961">
                <c:v>80.900000000000006</c:v>
              </c:pt>
              <c:pt idx="962">
                <c:v>80.7</c:v>
              </c:pt>
              <c:pt idx="963">
                <c:v>81.099999999999994</c:v>
              </c:pt>
              <c:pt idx="964">
                <c:v>82.4</c:v>
              </c:pt>
              <c:pt idx="965">
                <c:v>86.6</c:v>
              </c:pt>
              <c:pt idx="966">
                <c:v>95.5</c:v>
              </c:pt>
              <c:pt idx="967">
                <c:v>106.9</c:v>
              </c:pt>
              <c:pt idx="968">
                <c:v>123.6</c:v>
              </c:pt>
              <c:pt idx="969">
                <c:v>137.69999999999999</c:v>
              </c:pt>
              <c:pt idx="970">
                <c:v>139.1</c:v>
              </c:pt>
              <c:pt idx="971">
                <c:v>138.1</c:v>
              </c:pt>
              <c:pt idx="972">
                <c:v>138.6</c:v>
              </c:pt>
              <c:pt idx="973">
                <c:v>139.9</c:v>
              </c:pt>
              <c:pt idx="974">
                <c:v>147.69999999999999</c:v>
              </c:pt>
              <c:pt idx="975">
                <c:v>160.6</c:v>
              </c:pt>
              <c:pt idx="976">
                <c:v>146</c:v>
              </c:pt>
              <c:pt idx="977">
                <c:v>130.80000000000001</c:v>
              </c:pt>
              <c:pt idx="978">
                <c:v>129.9</c:v>
              </c:pt>
              <c:pt idx="979">
                <c:v>137.9</c:v>
              </c:pt>
              <c:pt idx="980">
                <c:v>158.9</c:v>
              </c:pt>
              <c:pt idx="981">
                <c:v>176.6</c:v>
              </c:pt>
              <c:pt idx="982">
                <c:v>192.4</c:v>
              </c:pt>
              <c:pt idx="983">
                <c:v>204.4</c:v>
              </c:pt>
              <c:pt idx="984">
                <c:v>205.8</c:v>
              </c:pt>
              <c:pt idx="985">
                <c:v>195.1</c:v>
              </c:pt>
              <c:pt idx="986">
                <c:v>177.9</c:v>
              </c:pt>
              <c:pt idx="987">
                <c:v>167.3</c:v>
              </c:pt>
              <c:pt idx="988">
                <c:v>161.5</c:v>
              </c:pt>
              <c:pt idx="989">
                <c:v>160.9</c:v>
              </c:pt>
              <c:pt idx="990">
                <c:v>167.6</c:v>
              </c:pt>
              <c:pt idx="991">
                <c:v>175</c:v>
              </c:pt>
              <c:pt idx="992">
                <c:v>181.1</c:v>
              </c:pt>
              <c:pt idx="993">
                <c:v>183.8</c:v>
              </c:pt>
              <c:pt idx="994">
                <c:v>184.8</c:v>
              </c:pt>
              <c:pt idx="995">
                <c:v>188.5</c:v>
              </c:pt>
              <c:pt idx="996">
                <c:v>193.1</c:v>
              </c:pt>
              <c:pt idx="997">
                <c:v>194.8</c:v>
              </c:pt>
              <c:pt idx="998">
                <c:v>194.6</c:v>
              </c:pt>
              <c:pt idx="999">
                <c:v>193.5</c:v>
              </c:pt>
              <c:pt idx="1000">
                <c:v>192.8</c:v>
              </c:pt>
              <c:pt idx="1001">
                <c:v>188.3</c:v>
              </c:pt>
              <c:pt idx="1002">
                <c:v>181.9</c:v>
              </c:pt>
              <c:pt idx="1003">
                <c:v>172.1</c:v>
              </c:pt>
              <c:pt idx="1004">
                <c:v>158</c:v>
              </c:pt>
              <c:pt idx="1005">
                <c:v>140.6</c:v>
              </c:pt>
              <c:pt idx="1006">
                <c:v>121.5</c:v>
              </c:pt>
              <c:pt idx="1007">
                <c:v>104.2</c:v>
              </c:pt>
              <c:pt idx="1008">
                <c:v>89.9</c:v>
              </c:pt>
              <c:pt idx="1009">
                <c:v>78.790000000000006</c:v>
              </c:pt>
              <c:pt idx="1010">
                <c:v>70.290000000000006</c:v>
              </c:pt>
              <c:pt idx="1011">
                <c:v>65.64</c:v>
              </c:pt>
              <c:pt idx="1012">
                <c:v>62.7</c:v>
              </c:pt>
              <c:pt idx="1013">
                <c:v>59.61</c:v>
              </c:pt>
              <c:pt idx="1014">
                <c:v>56.99</c:v>
              </c:pt>
              <c:pt idx="1015">
                <c:v>54.91</c:v>
              </c:pt>
              <c:pt idx="1016">
                <c:v>52.47</c:v>
              </c:pt>
              <c:pt idx="1017">
                <c:v>48.61</c:v>
              </c:pt>
              <c:pt idx="1018">
                <c:v>42.83</c:v>
              </c:pt>
              <c:pt idx="1019">
                <c:v>37.840000000000003</c:v>
              </c:pt>
              <c:pt idx="1020">
                <c:v>38.299999999999997</c:v>
              </c:pt>
              <c:pt idx="1021">
                <c:v>45.77</c:v>
              </c:pt>
              <c:pt idx="1022">
                <c:v>55.63</c:v>
              </c:pt>
              <c:pt idx="1023">
                <c:v>64.77</c:v>
              </c:pt>
              <c:pt idx="1024">
                <c:v>72.67</c:v>
              </c:pt>
              <c:pt idx="1025">
                <c:v>80.8</c:v>
              </c:pt>
              <c:pt idx="1026">
                <c:v>91</c:v>
              </c:pt>
              <c:pt idx="1027">
                <c:v>106.6</c:v>
              </c:pt>
              <c:pt idx="1028">
                <c:v>128.5</c:v>
              </c:pt>
              <c:pt idx="1029">
                <c:v>158.80000000000001</c:v>
              </c:pt>
              <c:pt idx="1030">
                <c:v>196.5</c:v>
              </c:pt>
              <c:pt idx="1031">
                <c:v>239</c:v>
              </c:pt>
              <c:pt idx="1032">
                <c:v>288.2</c:v>
              </c:pt>
              <c:pt idx="1033">
                <c:v>344.2</c:v>
              </c:pt>
              <c:pt idx="1034">
                <c:v>427.8</c:v>
              </c:pt>
              <c:pt idx="1035">
                <c:v>436</c:v>
              </c:pt>
              <c:pt idx="1036">
                <c:v>394.3</c:v>
              </c:pt>
              <c:pt idx="1037">
                <c:v>385.6</c:v>
              </c:pt>
              <c:pt idx="1038">
                <c:v>324.10000000000002</c:v>
              </c:pt>
              <c:pt idx="1039">
                <c:v>229</c:v>
              </c:pt>
              <c:pt idx="1040">
                <c:v>130.5</c:v>
              </c:pt>
              <c:pt idx="1041">
                <c:v>107.2</c:v>
              </c:pt>
              <c:pt idx="1042">
                <c:v>93.3</c:v>
              </c:pt>
              <c:pt idx="1043">
                <c:v>81.7</c:v>
              </c:pt>
              <c:pt idx="1044">
                <c:v>77.290000000000006</c:v>
              </c:pt>
              <c:pt idx="1045">
                <c:v>79.66</c:v>
              </c:pt>
              <c:pt idx="1046">
                <c:v>83.8</c:v>
              </c:pt>
              <c:pt idx="1047">
                <c:v>87.2</c:v>
              </c:pt>
              <c:pt idx="1048">
                <c:v>92.9</c:v>
              </c:pt>
              <c:pt idx="1049">
                <c:v>102.7</c:v>
              </c:pt>
              <c:pt idx="1050">
                <c:v>118.6</c:v>
              </c:pt>
              <c:pt idx="1051">
                <c:v>135.9</c:v>
              </c:pt>
              <c:pt idx="1052">
                <c:v>158.6</c:v>
              </c:pt>
              <c:pt idx="1053">
                <c:v>178</c:v>
              </c:pt>
              <c:pt idx="1054">
                <c:v>189.7</c:v>
              </c:pt>
              <c:pt idx="1055">
                <c:v>196.1</c:v>
              </c:pt>
              <c:pt idx="1056">
                <c:v>201.2</c:v>
              </c:pt>
              <c:pt idx="1057">
                <c:v>202.8</c:v>
              </c:pt>
              <c:pt idx="1058">
                <c:v>204.8</c:v>
              </c:pt>
              <c:pt idx="1059">
                <c:v>236.2</c:v>
              </c:pt>
              <c:pt idx="1060">
                <c:v>206.1</c:v>
              </c:pt>
              <c:pt idx="1061">
                <c:v>209.1</c:v>
              </c:pt>
              <c:pt idx="1062">
                <c:v>213.6</c:v>
              </c:pt>
              <c:pt idx="1063">
                <c:v>214.9</c:v>
              </c:pt>
              <c:pt idx="1064">
                <c:v>202</c:v>
              </c:pt>
              <c:pt idx="1065">
                <c:v>180.7</c:v>
              </c:pt>
              <c:pt idx="1066">
                <c:v>164.8</c:v>
              </c:pt>
              <c:pt idx="1067">
                <c:v>152.80000000000001</c:v>
              </c:pt>
              <c:pt idx="1068">
                <c:v>145.6</c:v>
              </c:pt>
              <c:pt idx="1069">
                <c:v>139.5</c:v>
              </c:pt>
              <c:pt idx="1070">
                <c:v>125</c:v>
              </c:pt>
              <c:pt idx="1071">
                <c:v>107.5</c:v>
              </c:pt>
              <c:pt idx="1072">
                <c:v>83.8</c:v>
              </c:pt>
              <c:pt idx="1073">
                <c:v>65.52</c:v>
              </c:pt>
              <c:pt idx="1074">
                <c:v>57.74</c:v>
              </c:pt>
              <c:pt idx="1075">
                <c:v>52.99</c:v>
              </c:pt>
              <c:pt idx="1076">
                <c:v>45.35</c:v>
              </c:pt>
              <c:pt idx="1077">
                <c:v>36.729999999999997</c:v>
              </c:pt>
              <c:pt idx="1078">
                <c:v>31.55</c:v>
              </c:pt>
              <c:pt idx="1079">
                <c:v>29.88</c:v>
              </c:pt>
              <c:pt idx="1080">
                <c:v>30.65</c:v>
              </c:pt>
              <c:pt idx="1081">
                <c:v>32.39</c:v>
              </c:pt>
              <c:pt idx="1082">
                <c:v>34.340000000000003</c:v>
              </c:pt>
              <c:pt idx="1083">
                <c:v>36.01</c:v>
              </c:pt>
              <c:pt idx="1084">
                <c:v>37.700000000000003</c:v>
              </c:pt>
              <c:pt idx="1085">
                <c:v>39.979999999999997</c:v>
              </c:pt>
              <c:pt idx="1086">
                <c:v>43.62</c:v>
              </c:pt>
              <c:pt idx="1087">
                <c:v>48.52</c:v>
              </c:pt>
              <c:pt idx="1088">
                <c:v>53.88</c:v>
              </c:pt>
              <c:pt idx="1089">
                <c:v>58.91</c:v>
              </c:pt>
              <c:pt idx="1090">
                <c:v>63.59</c:v>
              </c:pt>
              <c:pt idx="1091">
                <c:v>66.7</c:v>
              </c:pt>
              <c:pt idx="1092">
                <c:v>69.62</c:v>
              </c:pt>
              <c:pt idx="1093">
                <c:v>73.48</c:v>
              </c:pt>
              <c:pt idx="1094">
                <c:v>77.03</c:v>
              </c:pt>
              <c:pt idx="1095">
                <c:v>80</c:v>
              </c:pt>
              <c:pt idx="1096">
                <c:v>83.1</c:v>
              </c:pt>
              <c:pt idx="1097">
                <c:v>86.9</c:v>
              </c:pt>
              <c:pt idx="1098">
                <c:v>90.6</c:v>
              </c:pt>
              <c:pt idx="1099">
                <c:v>93.1</c:v>
              </c:pt>
              <c:pt idx="1100">
                <c:v>93.6</c:v>
              </c:pt>
              <c:pt idx="1101">
                <c:v>92.9</c:v>
              </c:pt>
              <c:pt idx="1102">
                <c:v>91.9</c:v>
              </c:pt>
              <c:pt idx="1103">
                <c:v>91.2</c:v>
              </c:pt>
              <c:pt idx="1104">
                <c:v>91.1</c:v>
              </c:pt>
              <c:pt idx="1105">
                <c:v>91.2</c:v>
              </c:pt>
              <c:pt idx="1106">
                <c:v>90.6</c:v>
              </c:pt>
              <c:pt idx="1107">
                <c:v>89.6</c:v>
              </c:pt>
              <c:pt idx="1108">
                <c:v>88.9</c:v>
              </c:pt>
              <c:pt idx="1109">
                <c:v>89.2</c:v>
              </c:pt>
              <c:pt idx="1110">
                <c:v>89.6</c:v>
              </c:pt>
              <c:pt idx="1111">
                <c:v>89.5</c:v>
              </c:pt>
              <c:pt idx="1112">
                <c:v>88.9</c:v>
              </c:pt>
              <c:pt idx="1113">
                <c:v>87.9</c:v>
              </c:pt>
              <c:pt idx="1114">
                <c:v>86.8</c:v>
              </c:pt>
              <c:pt idx="1115">
                <c:v>86.1</c:v>
              </c:pt>
              <c:pt idx="1116">
                <c:v>86</c:v>
              </c:pt>
              <c:pt idx="1117">
                <c:v>85.8</c:v>
              </c:pt>
              <c:pt idx="1118">
                <c:v>84.3</c:v>
              </c:pt>
              <c:pt idx="1119">
                <c:v>81.599999999999994</c:v>
              </c:pt>
              <c:pt idx="1120">
                <c:v>78</c:v>
              </c:pt>
              <c:pt idx="1121">
                <c:v>74.87</c:v>
              </c:pt>
              <c:pt idx="1122">
                <c:v>72.69</c:v>
              </c:pt>
              <c:pt idx="1123">
                <c:v>70.25</c:v>
              </c:pt>
              <c:pt idx="1124">
                <c:v>68.52</c:v>
              </c:pt>
              <c:pt idx="1125">
                <c:v>67.540000000000006</c:v>
              </c:pt>
              <c:pt idx="1126">
                <c:v>66.89</c:v>
              </c:pt>
              <c:pt idx="1127">
                <c:v>66.040000000000006</c:v>
              </c:pt>
              <c:pt idx="1128">
                <c:v>65.510000000000005</c:v>
              </c:pt>
              <c:pt idx="1129">
                <c:v>65.19</c:v>
              </c:pt>
              <c:pt idx="1130">
                <c:v>64.489999999999995</c:v>
              </c:pt>
              <c:pt idx="1131">
                <c:v>63.18</c:v>
              </c:pt>
              <c:pt idx="1132">
                <c:v>62.95</c:v>
              </c:pt>
              <c:pt idx="1133">
                <c:v>62.79</c:v>
              </c:pt>
              <c:pt idx="1134">
                <c:v>61.63</c:v>
              </c:pt>
              <c:pt idx="1135">
                <c:v>60.76</c:v>
              </c:pt>
              <c:pt idx="1136">
                <c:v>60.42</c:v>
              </c:pt>
              <c:pt idx="1137">
                <c:v>59.68</c:v>
              </c:pt>
              <c:pt idx="1138">
                <c:v>57.84</c:v>
              </c:pt>
              <c:pt idx="1139">
                <c:v>54.55</c:v>
              </c:pt>
              <c:pt idx="1140">
                <c:v>51.09</c:v>
              </c:pt>
              <c:pt idx="1141">
                <c:v>48.07</c:v>
              </c:pt>
              <c:pt idx="1142">
                <c:v>46.49</c:v>
              </c:pt>
              <c:pt idx="1143">
                <c:v>45.92</c:v>
              </c:pt>
              <c:pt idx="1144">
                <c:v>45.07</c:v>
              </c:pt>
              <c:pt idx="1145">
                <c:v>43.35</c:v>
              </c:pt>
              <c:pt idx="1146">
                <c:v>41.1</c:v>
              </c:pt>
              <c:pt idx="1147">
                <c:v>38.96</c:v>
              </c:pt>
              <c:pt idx="1148">
                <c:v>37.04</c:v>
              </c:pt>
              <c:pt idx="1149">
                <c:v>35.28</c:v>
              </c:pt>
              <c:pt idx="1150">
                <c:v>33.729999999999997</c:v>
              </c:pt>
              <c:pt idx="1151">
                <c:v>32.64</c:v>
              </c:pt>
              <c:pt idx="1152">
                <c:v>32.07</c:v>
              </c:pt>
              <c:pt idx="1153">
                <c:v>31.98</c:v>
              </c:pt>
              <c:pt idx="1154">
                <c:v>32.28</c:v>
              </c:pt>
              <c:pt idx="1155">
                <c:v>32.909999999999997</c:v>
              </c:pt>
              <c:pt idx="1156">
                <c:v>32.76</c:v>
              </c:pt>
              <c:pt idx="1157">
                <c:v>30.55</c:v>
              </c:pt>
              <c:pt idx="1158">
                <c:v>26.38</c:v>
              </c:pt>
              <c:pt idx="1159">
                <c:v>21.87</c:v>
              </c:pt>
              <c:pt idx="1160">
                <c:v>18.79</c:v>
              </c:pt>
              <c:pt idx="1161">
                <c:v>16.86</c:v>
              </c:pt>
              <c:pt idx="1162">
                <c:v>14.6</c:v>
              </c:pt>
              <c:pt idx="1163">
                <c:v>11.66</c:v>
              </c:pt>
              <c:pt idx="1164">
                <c:v>9.11</c:v>
              </c:pt>
              <c:pt idx="1165">
                <c:v>7.5389999999999997</c:v>
              </c:pt>
              <c:pt idx="1166">
                <c:v>6.468</c:v>
              </c:pt>
              <c:pt idx="1167">
                <c:v>5.5659999999999998</c:v>
              </c:pt>
              <c:pt idx="1168">
                <c:v>4.7949999999999999</c:v>
              </c:pt>
              <c:pt idx="1169">
                <c:v>4.1130000000000004</c:v>
              </c:pt>
              <c:pt idx="1170">
                <c:v>3.5049999999999999</c:v>
              </c:pt>
              <c:pt idx="1171">
                <c:v>2.976</c:v>
              </c:pt>
              <c:pt idx="1172">
                <c:v>2.5259999999999998</c:v>
              </c:pt>
              <c:pt idx="1173">
                <c:v>2.1520000000000001</c:v>
              </c:pt>
              <c:pt idx="1174">
                <c:v>1.833</c:v>
              </c:pt>
              <c:pt idx="1175">
                <c:v>1.5409999999999999</c:v>
              </c:pt>
              <c:pt idx="1176">
                <c:v>1.266</c:v>
              </c:pt>
              <c:pt idx="1177">
                <c:v>1.0169999999999999</c:v>
              </c:pt>
              <c:pt idx="1178">
                <c:v>0.82599999999999996</c:v>
              </c:pt>
              <c:pt idx="1179">
                <c:v>0.68400000000000005</c:v>
              </c:pt>
              <c:pt idx="1180">
                <c:v>0.56299999999999994</c:v>
              </c:pt>
              <c:pt idx="1181">
                <c:v>0.443</c:v>
              </c:pt>
              <c:pt idx="1182">
                <c:v>0.33</c:v>
              </c:pt>
              <c:pt idx="1183">
                <c:v>0.22900000000000001</c:v>
              </c:pt>
              <c:pt idx="1184">
                <c:v>0.13100000000000001</c:v>
              </c:pt>
              <c:pt idx="1185">
                <c:v>3.5999999999999997E-2</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2.2079281666666684</c:v>
              </c:pt>
            </c:numLit>
          </c:val>
          <c:smooth val="0"/>
          <c:extLst>
            <c:ext xmlns:c16="http://schemas.microsoft.com/office/drawing/2014/chart" uri="{C3380CC4-5D6E-409C-BE32-E72D297353CC}">
              <c16:uniqueId val="{00000005-E3D2-4F3F-B450-EC8B6FCDC9BF}"/>
            </c:ext>
          </c:extLst>
        </c:ser>
        <c:dLbls>
          <c:showLegendKey val="0"/>
          <c:showVal val="0"/>
          <c:showCatName val="0"/>
          <c:showSerName val="0"/>
          <c:showPercent val="0"/>
          <c:showBubbleSize val="0"/>
        </c:dLbls>
        <c:smooth val="0"/>
        <c:axId val="375110032"/>
        <c:axId val="2046208287"/>
      </c:lineChart>
      <c:catAx>
        <c:axId val="37511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6208287"/>
        <c:crosses val="autoZero"/>
        <c:auto val="1"/>
        <c:lblAlgn val="ctr"/>
        <c:lblOffset val="100"/>
        <c:noMultiLvlLbl val="0"/>
      </c:catAx>
      <c:valAx>
        <c:axId val="20462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10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IS2 WMS POA Downword(W/mÂ²)</c:v>
          </c:tx>
          <c:spPr>
            <a:ln w="28575" cap="rnd">
              <a:solidFill>
                <a:schemeClr val="accent1"/>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0.17199999999999999</c:v>
              </c:pt>
              <c:pt idx="2">
                <c:v>0.11600000000000001</c:v>
              </c:pt>
              <c:pt idx="3">
                <c:v>0.13200000000000001</c:v>
              </c:pt>
              <c:pt idx="4">
                <c:v>0.14499999999999999</c:v>
              </c:pt>
              <c:pt idx="5">
                <c:v>0.14899999999999999</c:v>
              </c:pt>
              <c:pt idx="6">
                <c:v>0.128</c:v>
              </c:pt>
              <c:pt idx="7">
                <c:v>8.6999999999999994E-2</c:v>
              </c:pt>
              <c:pt idx="8">
                <c:v>0.106</c:v>
              </c:pt>
              <c:pt idx="9">
                <c:v>0.115</c:v>
              </c:pt>
              <c:pt idx="10">
                <c:v>0.106</c:v>
              </c:pt>
              <c:pt idx="11">
                <c:v>0.10199999999999999</c:v>
              </c:pt>
              <c:pt idx="12">
                <c:v>0.11899999999999999</c:v>
              </c:pt>
              <c:pt idx="13">
                <c:v>8.4000000000000005E-2</c:v>
              </c:pt>
              <c:pt idx="14">
                <c:v>0.107</c:v>
              </c:pt>
              <c:pt idx="15">
                <c:v>9.2999999999999999E-2</c:v>
              </c:pt>
              <c:pt idx="16">
                <c:v>0.15</c:v>
              </c:pt>
              <c:pt idx="17">
                <c:v>0.13400000000000001</c:v>
              </c:pt>
              <c:pt idx="18">
                <c:v>0.13300000000000001</c:v>
              </c:pt>
              <c:pt idx="19">
                <c:v>0.17899999999999999</c:v>
              </c:pt>
              <c:pt idx="20">
                <c:v>0.10299999999999999</c:v>
              </c:pt>
              <c:pt idx="21">
                <c:v>0.13</c:v>
              </c:pt>
              <c:pt idx="22">
                <c:v>0.16900000000000001</c:v>
              </c:pt>
              <c:pt idx="23">
                <c:v>0.14799999999999999</c:v>
              </c:pt>
              <c:pt idx="24">
                <c:v>0.13300000000000001</c:v>
              </c:pt>
              <c:pt idx="25">
                <c:v>9.6000000000000002E-2</c:v>
              </c:pt>
              <c:pt idx="26">
                <c:v>0.112</c:v>
              </c:pt>
              <c:pt idx="27">
                <c:v>0.125</c:v>
              </c:pt>
              <c:pt idx="28">
                <c:v>0.16300000000000001</c:v>
              </c:pt>
              <c:pt idx="29">
                <c:v>9.7000000000000003E-2</c:v>
              </c:pt>
              <c:pt idx="30">
                <c:v>9.4E-2</c:v>
              </c:pt>
              <c:pt idx="31">
                <c:v>0.17100000000000001</c:v>
              </c:pt>
              <c:pt idx="32">
                <c:v>0.16500000000000001</c:v>
              </c:pt>
              <c:pt idx="33">
                <c:v>0.14899999999999999</c:v>
              </c:pt>
              <c:pt idx="34">
                <c:v>0.11600000000000001</c:v>
              </c:pt>
              <c:pt idx="35">
                <c:v>0.14099999999999999</c:v>
              </c:pt>
              <c:pt idx="36">
                <c:v>0.115</c:v>
              </c:pt>
              <c:pt idx="37">
                <c:v>0.14699999999999999</c:v>
              </c:pt>
              <c:pt idx="38">
                <c:v>0.13700000000000001</c:v>
              </c:pt>
              <c:pt idx="39">
                <c:v>0.155</c:v>
              </c:pt>
              <c:pt idx="40">
                <c:v>0.16600000000000001</c:v>
              </c:pt>
              <c:pt idx="41">
                <c:v>0.17</c:v>
              </c:pt>
              <c:pt idx="42">
                <c:v>0.161</c:v>
              </c:pt>
              <c:pt idx="43">
                <c:v>0.12</c:v>
              </c:pt>
              <c:pt idx="44">
                <c:v>0.14599999999999999</c:v>
              </c:pt>
              <c:pt idx="45">
                <c:v>0.153</c:v>
              </c:pt>
              <c:pt idx="46">
                <c:v>0.14399999999999999</c:v>
              </c:pt>
              <c:pt idx="47">
                <c:v>0.182</c:v>
              </c:pt>
              <c:pt idx="48">
                <c:v>0.155</c:v>
              </c:pt>
              <c:pt idx="49">
                <c:v>0.17799999999999999</c:v>
              </c:pt>
              <c:pt idx="50">
                <c:v>0.16400000000000001</c:v>
              </c:pt>
              <c:pt idx="51">
                <c:v>0.16300000000000001</c:v>
              </c:pt>
              <c:pt idx="52">
                <c:v>0.14599999999999999</c:v>
              </c:pt>
              <c:pt idx="53">
                <c:v>0.17499999999999999</c:v>
              </c:pt>
              <c:pt idx="54">
                <c:v>0.16</c:v>
              </c:pt>
              <c:pt idx="55">
                <c:v>0.161</c:v>
              </c:pt>
              <c:pt idx="56">
                <c:v>0.13500000000000001</c:v>
              </c:pt>
              <c:pt idx="57">
                <c:v>0.153</c:v>
              </c:pt>
              <c:pt idx="58">
                <c:v>0.189</c:v>
              </c:pt>
              <c:pt idx="59">
                <c:v>0.19900000000000001</c:v>
              </c:pt>
              <c:pt idx="60">
                <c:v>0.23899999999999999</c:v>
              </c:pt>
              <c:pt idx="61">
                <c:v>0.248</c:v>
              </c:pt>
              <c:pt idx="62">
                <c:v>0.218</c:v>
              </c:pt>
              <c:pt idx="63">
                <c:v>0.23100000000000001</c:v>
              </c:pt>
              <c:pt idx="64">
                <c:v>0.22900000000000001</c:v>
              </c:pt>
              <c:pt idx="65">
                <c:v>0.23100000000000001</c:v>
              </c:pt>
              <c:pt idx="66">
                <c:v>0.16500000000000001</c:v>
              </c:pt>
              <c:pt idx="67">
                <c:v>0.188</c:v>
              </c:pt>
              <c:pt idx="68">
                <c:v>0.152</c:v>
              </c:pt>
              <c:pt idx="69">
                <c:v>0.127</c:v>
              </c:pt>
              <c:pt idx="70">
                <c:v>0.157</c:v>
              </c:pt>
              <c:pt idx="71">
                <c:v>0.183</c:v>
              </c:pt>
              <c:pt idx="72">
                <c:v>0.157</c:v>
              </c:pt>
              <c:pt idx="73">
                <c:v>0.128</c:v>
              </c:pt>
              <c:pt idx="74">
                <c:v>0.14099999999999999</c:v>
              </c:pt>
              <c:pt idx="75">
                <c:v>0.13500000000000001</c:v>
              </c:pt>
              <c:pt idx="76">
                <c:v>0.16400000000000001</c:v>
              </c:pt>
              <c:pt idx="77">
                <c:v>0.14499999999999999</c:v>
              </c:pt>
              <c:pt idx="78">
                <c:v>0.121</c:v>
              </c:pt>
              <c:pt idx="79">
                <c:v>9.2999999999999999E-2</c:v>
              </c:pt>
              <c:pt idx="80">
                <c:v>0.1</c:v>
              </c:pt>
              <c:pt idx="81">
                <c:v>0.13300000000000001</c:v>
              </c:pt>
              <c:pt idx="82">
                <c:v>0.126</c:v>
              </c:pt>
              <c:pt idx="83">
                <c:v>0.125</c:v>
              </c:pt>
              <c:pt idx="84">
                <c:v>0.187</c:v>
              </c:pt>
              <c:pt idx="85">
                <c:v>0.13400000000000001</c:v>
              </c:pt>
              <c:pt idx="86">
                <c:v>0.13200000000000001</c:v>
              </c:pt>
              <c:pt idx="87">
                <c:v>7.6999999999999999E-2</c:v>
              </c:pt>
              <c:pt idx="88">
                <c:v>0.154</c:v>
              </c:pt>
              <c:pt idx="89">
                <c:v>0.13600000000000001</c:v>
              </c:pt>
              <c:pt idx="90">
                <c:v>0.16600000000000001</c:v>
              </c:pt>
              <c:pt idx="91">
                <c:v>0.115</c:v>
              </c:pt>
              <c:pt idx="92">
                <c:v>0.16800000000000001</c:v>
              </c:pt>
              <c:pt idx="93">
                <c:v>0.11899999999999999</c:v>
              </c:pt>
              <c:pt idx="94">
                <c:v>0.14599999999999999</c:v>
              </c:pt>
              <c:pt idx="95">
                <c:v>0.17599999999999999</c:v>
              </c:pt>
              <c:pt idx="96">
                <c:v>0.15</c:v>
              </c:pt>
              <c:pt idx="97">
                <c:v>0.152</c:v>
              </c:pt>
              <c:pt idx="98">
                <c:v>0.14899999999999999</c:v>
              </c:pt>
              <c:pt idx="99">
                <c:v>0.14199999999999999</c:v>
              </c:pt>
              <c:pt idx="100">
                <c:v>0.13700000000000001</c:v>
              </c:pt>
              <c:pt idx="101">
                <c:v>0.13</c:v>
              </c:pt>
              <c:pt idx="102">
                <c:v>0.1</c:v>
              </c:pt>
              <c:pt idx="103">
                <c:v>0.13700000000000001</c:v>
              </c:pt>
              <c:pt idx="104">
                <c:v>0.14199999999999999</c:v>
              </c:pt>
              <c:pt idx="105">
                <c:v>0.108</c:v>
              </c:pt>
              <c:pt idx="106">
                <c:v>0.16200000000000001</c:v>
              </c:pt>
              <c:pt idx="107">
                <c:v>0.15</c:v>
              </c:pt>
              <c:pt idx="108">
                <c:v>0.128</c:v>
              </c:pt>
              <c:pt idx="109">
                <c:v>0.16400000000000001</c:v>
              </c:pt>
              <c:pt idx="110">
                <c:v>0.186</c:v>
              </c:pt>
              <c:pt idx="111">
                <c:v>0.14000000000000001</c:v>
              </c:pt>
              <c:pt idx="112">
                <c:v>0.20599999999999999</c:v>
              </c:pt>
              <c:pt idx="113">
                <c:v>0.152</c:v>
              </c:pt>
              <c:pt idx="114">
                <c:v>0.127</c:v>
              </c:pt>
              <c:pt idx="115">
                <c:v>0.16400000000000001</c:v>
              </c:pt>
              <c:pt idx="116">
                <c:v>0.13600000000000001</c:v>
              </c:pt>
              <c:pt idx="117">
                <c:v>0.14899999999999999</c:v>
              </c:pt>
              <c:pt idx="118">
                <c:v>0.13700000000000001</c:v>
              </c:pt>
              <c:pt idx="119">
                <c:v>0.16800000000000001</c:v>
              </c:pt>
              <c:pt idx="120">
                <c:v>0.17</c:v>
              </c:pt>
              <c:pt idx="121">
                <c:v>0.16800000000000001</c:v>
              </c:pt>
              <c:pt idx="122">
                <c:v>0.156</c:v>
              </c:pt>
              <c:pt idx="123">
                <c:v>0.17699999999999999</c:v>
              </c:pt>
              <c:pt idx="124">
                <c:v>0.11600000000000001</c:v>
              </c:pt>
              <c:pt idx="125">
                <c:v>0.129</c:v>
              </c:pt>
              <c:pt idx="126">
                <c:v>0.157</c:v>
              </c:pt>
              <c:pt idx="127">
                <c:v>0.115</c:v>
              </c:pt>
              <c:pt idx="128">
                <c:v>0.16500000000000001</c:v>
              </c:pt>
              <c:pt idx="129">
                <c:v>0.11</c:v>
              </c:pt>
              <c:pt idx="130">
                <c:v>0.14000000000000001</c:v>
              </c:pt>
              <c:pt idx="131">
                <c:v>0.13500000000000001</c:v>
              </c:pt>
              <c:pt idx="132">
                <c:v>0.13700000000000001</c:v>
              </c:pt>
              <c:pt idx="133">
                <c:v>0.14499999999999999</c:v>
              </c:pt>
              <c:pt idx="134">
                <c:v>0.151</c:v>
              </c:pt>
              <c:pt idx="135">
                <c:v>0.14299999999999999</c:v>
              </c:pt>
              <c:pt idx="136">
                <c:v>0.125</c:v>
              </c:pt>
              <c:pt idx="137">
                <c:v>7.9000000000000001E-2</c:v>
              </c:pt>
              <c:pt idx="138">
                <c:v>0.13700000000000001</c:v>
              </c:pt>
              <c:pt idx="139">
                <c:v>0.157</c:v>
              </c:pt>
              <c:pt idx="140">
                <c:v>0.14399999999999999</c:v>
              </c:pt>
              <c:pt idx="141">
                <c:v>0.126</c:v>
              </c:pt>
              <c:pt idx="142">
                <c:v>0.14399999999999999</c:v>
              </c:pt>
              <c:pt idx="143">
                <c:v>8.3000000000000004E-2</c:v>
              </c:pt>
              <c:pt idx="144">
                <c:v>0.13300000000000001</c:v>
              </c:pt>
              <c:pt idx="145">
                <c:v>0.10100000000000001</c:v>
              </c:pt>
              <c:pt idx="146">
                <c:v>0.105</c:v>
              </c:pt>
              <c:pt idx="147">
                <c:v>0.152</c:v>
              </c:pt>
              <c:pt idx="148">
                <c:v>0.108</c:v>
              </c:pt>
              <c:pt idx="149">
                <c:v>0.129</c:v>
              </c:pt>
              <c:pt idx="150">
                <c:v>0.13</c:v>
              </c:pt>
              <c:pt idx="151">
                <c:v>0.13600000000000001</c:v>
              </c:pt>
              <c:pt idx="152">
                <c:v>0.124</c:v>
              </c:pt>
              <c:pt idx="153">
                <c:v>0.107</c:v>
              </c:pt>
              <c:pt idx="154">
                <c:v>9.6000000000000002E-2</c:v>
              </c:pt>
              <c:pt idx="155">
                <c:v>0.127</c:v>
              </c:pt>
              <c:pt idx="156">
                <c:v>0.122</c:v>
              </c:pt>
              <c:pt idx="157">
                <c:v>8.5000000000000006E-2</c:v>
              </c:pt>
              <c:pt idx="158">
                <c:v>0.10299999999999999</c:v>
              </c:pt>
              <c:pt idx="159">
                <c:v>0.13900000000000001</c:v>
              </c:pt>
              <c:pt idx="160">
                <c:v>7.8E-2</c:v>
              </c:pt>
              <c:pt idx="161">
                <c:v>0.107</c:v>
              </c:pt>
              <c:pt idx="162">
                <c:v>6.8000000000000005E-2</c:v>
              </c:pt>
              <c:pt idx="163">
                <c:v>0.11700000000000001</c:v>
              </c:pt>
              <c:pt idx="164">
                <c:v>0.108</c:v>
              </c:pt>
              <c:pt idx="165">
                <c:v>9.4E-2</c:v>
              </c:pt>
              <c:pt idx="166">
                <c:v>8.6999999999999994E-2</c:v>
              </c:pt>
              <c:pt idx="167">
                <c:v>6.6000000000000003E-2</c:v>
              </c:pt>
              <c:pt idx="168">
                <c:v>7.8E-2</c:v>
              </c:pt>
              <c:pt idx="169">
                <c:v>0.125</c:v>
              </c:pt>
              <c:pt idx="170">
                <c:v>7.0999999999999994E-2</c:v>
              </c:pt>
              <c:pt idx="171">
                <c:v>0.109</c:v>
              </c:pt>
              <c:pt idx="172">
                <c:v>2.3E-2</c:v>
              </c:pt>
              <c:pt idx="173">
                <c:v>9.8000000000000004E-2</c:v>
              </c:pt>
              <c:pt idx="174">
                <c:v>4.1000000000000002E-2</c:v>
              </c:pt>
              <c:pt idx="175">
                <c:v>0.03</c:v>
              </c:pt>
              <c:pt idx="176">
                <c:v>6.9000000000000006E-2</c:v>
              </c:pt>
              <c:pt idx="177">
                <c:v>3.1E-2</c:v>
              </c:pt>
              <c:pt idx="178">
                <c:v>3.9E-2</c:v>
              </c:pt>
              <c:pt idx="179">
                <c:v>5.8999999999999997E-2</c:v>
              </c:pt>
              <c:pt idx="180">
                <c:v>2.7E-2</c:v>
              </c:pt>
              <c:pt idx="181">
                <c:v>5.6000000000000001E-2</c:v>
              </c:pt>
              <c:pt idx="182">
                <c:v>8.7999999999999995E-2</c:v>
              </c:pt>
              <c:pt idx="183">
                <c:v>5.8000000000000003E-2</c:v>
              </c:pt>
              <c:pt idx="184">
                <c:v>3.5000000000000003E-2</c:v>
              </c:pt>
              <c:pt idx="185">
                <c:v>3.3000000000000002E-2</c:v>
              </c:pt>
              <c:pt idx="186">
                <c:v>1.2E-2</c:v>
              </c:pt>
              <c:pt idx="187">
                <c:v>4.1000000000000002E-2</c:v>
              </c:pt>
              <c:pt idx="188">
                <c:v>3.6999999999999998E-2</c:v>
              </c:pt>
              <c:pt idx="189">
                <c:v>7.9000000000000001E-2</c:v>
              </c:pt>
              <c:pt idx="190">
                <c:v>6.9000000000000006E-2</c:v>
              </c:pt>
              <c:pt idx="191">
                <c:v>7.1999999999999995E-2</c:v>
              </c:pt>
              <c:pt idx="192">
                <c:v>5.7000000000000002E-2</c:v>
              </c:pt>
              <c:pt idx="193">
                <c:v>0.06</c:v>
              </c:pt>
              <c:pt idx="194">
                <c:v>4.5999999999999999E-2</c:v>
              </c:pt>
              <c:pt idx="195">
                <c:v>7.4999999999999997E-2</c:v>
              </c:pt>
              <c:pt idx="196">
                <c:v>8.5000000000000006E-2</c:v>
              </c:pt>
              <c:pt idx="197">
                <c:v>3.7999999999999999E-2</c:v>
              </c:pt>
              <c:pt idx="198">
                <c:v>0.08</c:v>
              </c:pt>
              <c:pt idx="199">
                <c:v>6.9000000000000006E-2</c:v>
              </c:pt>
              <c:pt idx="200">
                <c:v>8.2000000000000003E-2</c:v>
              </c:pt>
              <c:pt idx="201">
                <c:v>7.2999999999999995E-2</c:v>
              </c:pt>
              <c:pt idx="202">
                <c:v>8.7999999999999995E-2</c:v>
              </c:pt>
              <c:pt idx="203">
                <c:v>4.3999999999999997E-2</c:v>
              </c:pt>
              <c:pt idx="204">
                <c:v>7.0999999999999994E-2</c:v>
              </c:pt>
              <c:pt idx="205">
                <c:v>0.04</c:v>
              </c:pt>
              <c:pt idx="206">
                <c:v>7.3999999999999996E-2</c:v>
              </c:pt>
              <c:pt idx="207">
                <c:v>5.7000000000000002E-2</c:v>
              </c:pt>
              <c:pt idx="208">
                <c:v>4.2000000000000003E-2</c:v>
              </c:pt>
              <c:pt idx="209">
                <c:v>4.5999999999999999E-2</c:v>
              </c:pt>
              <c:pt idx="210">
                <c:v>8.3000000000000004E-2</c:v>
              </c:pt>
              <c:pt idx="211">
                <c:v>5.3999999999999999E-2</c:v>
              </c:pt>
              <c:pt idx="212">
                <c:v>7.8E-2</c:v>
              </c:pt>
              <c:pt idx="213">
                <c:v>5.8000000000000003E-2</c:v>
              </c:pt>
              <c:pt idx="214">
                <c:v>5.2999999999999999E-2</c:v>
              </c:pt>
              <c:pt idx="215">
                <c:v>5.8999999999999997E-2</c:v>
              </c:pt>
              <c:pt idx="216">
                <c:v>5.3999999999999999E-2</c:v>
              </c:pt>
              <c:pt idx="217">
                <c:v>4.1000000000000002E-2</c:v>
              </c:pt>
              <c:pt idx="218">
                <c:v>6.7000000000000004E-2</c:v>
              </c:pt>
              <c:pt idx="219">
                <c:v>0.06</c:v>
              </c:pt>
              <c:pt idx="220">
                <c:v>5.0999999999999997E-2</c:v>
              </c:pt>
              <c:pt idx="221">
                <c:v>0.12</c:v>
              </c:pt>
              <c:pt idx="222">
                <c:v>0.105</c:v>
              </c:pt>
              <c:pt idx="223">
                <c:v>5.1999999999999998E-2</c:v>
              </c:pt>
              <c:pt idx="224">
                <c:v>8.1000000000000003E-2</c:v>
              </c:pt>
              <c:pt idx="225">
                <c:v>3.5999999999999997E-2</c:v>
              </c:pt>
              <c:pt idx="226">
                <c:v>8.5000000000000006E-2</c:v>
              </c:pt>
              <c:pt idx="227">
                <c:v>5.5E-2</c:v>
              </c:pt>
              <c:pt idx="228">
                <c:v>8.4000000000000005E-2</c:v>
              </c:pt>
              <c:pt idx="229">
                <c:v>6.6000000000000003E-2</c:v>
              </c:pt>
              <c:pt idx="230">
                <c:v>0.08</c:v>
              </c:pt>
              <c:pt idx="231">
                <c:v>9.6000000000000002E-2</c:v>
              </c:pt>
              <c:pt idx="232">
                <c:v>8.8999999999999996E-2</c:v>
              </c:pt>
              <c:pt idx="233">
                <c:v>8.4000000000000005E-2</c:v>
              </c:pt>
              <c:pt idx="234">
                <c:v>7.0999999999999994E-2</c:v>
              </c:pt>
              <c:pt idx="235">
                <c:v>7.1999999999999995E-2</c:v>
              </c:pt>
              <c:pt idx="236">
                <c:v>9.1999999999999998E-2</c:v>
              </c:pt>
              <c:pt idx="237">
                <c:v>8.3000000000000004E-2</c:v>
              </c:pt>
              <c:pt idx="238">
                <c:v>0.107</c:v>
              </c:pt>
              <c:pt idx="239">
                <c:v>8.8999999999999996E-2</c:v>
              </c:pt>
              <c:pt idx="240">
                <c:v>9.5000000000000001E-2</c:v>
              </c:pt>
              <c:pt idx="241">
                <c:v>7.0999999999999994E-2</c:v>
              </c:pt>
              <c:pt idx="242">
                <c:v>6.2E-2</c:v>
              </c:pt>
              <c:pt idx="243">
                <c:v>4.2999999999999997E-2</c:v>
              </c:pt>
              <c:pt idx="244">
                <c:v>7.5999999999999998E-2</c:v>
              </c:pt>
              <c:pt idx="245">
                <c:v>5.7000000000000002E-2</c:v>
              </c:pt>
              <c:pt idx="246">
                <c:v>7.1999999999999995E-2</c:v>
              </c:pt>
              <c:pt idx="247">
                <c:v>5.0999999999999997E-2</c:v>
              </c:pt>
              <c:pt idx="248">
                <c:v>5.3999999999999999E-2</c:v>
              </c:pt>
              <c:pt idx="249">
                <c:v>0.04</c:v>
              </c:pt>
              <c:pt idx="250">
                <c:v>7.9000000000000001E-2</c:v>
              </c:pt>
              <c:pt idx="251">
                <c:v>7.6999999999999999E-2</c:v>
              </c:pt>
              <c:pt idx="252">
                <c:v>0.106</c:v>
              </c:pt>
              <c:pt idx="253">
                <c:v>8.2000000000000003E-2</c:v>
              </c:pt>
              <c:pt idx="254">
                <c:v>7.4999999999999997E-2</c:v>
              </c:pt>
              <c:pt idx="255">
                <c:v>6.5000000000000002E-2</c:v>
              </c:pt>
              <c:pt idx="256">
                <c:v>6.8000000000000005E-2</c:v>
              </c:pt>
              <c:pt idx="257">
                <c:v>7.9000000000000001E-2</c:v>
              </c:pt>
              <c:pt idx="258">
                <c:v>0.05</c:v>
              </c:pt>
              <c:pt idx="259">
                <c:v>7.8E-2</c:v>
              </c:pt>
              <c:pt idx="260">
                <c:v>9.7000000000000003E-2</c:v>
              </c:pt>
              <c:pt idx="261">
                <c:v>0.10199999999999999</c:v>
              </c:pt>
              <c:pt idx="262">
                <c:v>8.2000000000000003E-2</c:v>
              </c:pt>
              <c:pt idx="263">
                <c:v>9.4E-2</c:v>
              </c:pt>
              <c:pt idx="264">
                <c:v>9.5000000000000001E-2</c:v>
              </c:pt>
              <c:pt idx="265">
                <c:v>9.9000000000000005E-2</c:v>
              </c:pt>
              <c:pt idx="266">
                <c:v>9.6000000000000002E-2</c:v>
              </c:pt>
              <c:pt idx="267">
                <c:v>8.1000000000000003E-2</c:v>
              </c:pt>
              <c:pt idx="268">
                <c:v>8.1000000000000003E-2</c:v>
              </c:pt>
              <c:pt idx="269">
                <c:v>0.13900000000000001</c:v>
              </c:pt>
              <c:pt idx="270">
                <c:v>8.5000000000000006E-2</c:v>
              </c:pt>
              <c:pt idx="271">
                <c:v>9.8000000000000004E-2</c:v>
              </c:pt>
              <c:pt idx="272">
                <c:v>9.0999999999999998E-2</c:v>
              </c:pt>
              <c:pt idx="273">
                <c:v>0.05</c:v>
              </c:pt>
              <c:pt idx="274">
                <c:v>8.5999999999999993E-2</c:v>
              </c:pt>
              <c:pt idx="275">
                <c:v>0.115</c:v>
              </c:pt>
              <c:pt idx="276">
                <c:v>0.14000000000000001</c:v>
              </c:pt>
              <c:pt idx="277">
                <c:v>0.13500000000000001</c:v>
              </c:pt>
              <c:pt idx="278">
                <c:v>8.1000000000000003E-2</c:v>
              </c:pt>
              <c:pt idx="279">
                <c:v>0.112</c:v>
              </c:pt>
              <c:pt idx="280">
                <c:v>0.107</c:v>
              </c:pt>
              <c:pt idx="281">
                <c:v>0.112</c:v>
              </c:pt>
              <c:pt idx="282">
                <c:v>7.2999999999999995E-2</c:v>
              </c:pt>
              <c:pt idx="283">
                <c:v>0.11</c:v>
              </c:pt>
              <c:pt idx="284">
                <c:v>0.107</c:v>
              </c:pt>
              <c:pt idx="285">
                <c:v>0.13600000000000001</c:v>
              </c:pt>
              <c:pt idx="286">
                <c:v>9.4E-2</c:v>
              </c:pt>
              <c:pt idx="287">
                <c:v>0.14399999999999999</c:v>
              </c:pt>
              <c:pt idx="288">
                <c:v>0.105</c:v>
              </c:pt>
              <c:pt idx="289">
                <c:v>0.114</c:v>
              </c:pt>
              <c:pt idx="290">
                <c:v>0.13300000000000001</c:v>
              </c:pt>
              <c:pt idx="291">
                <c:v>0.113</c:v>
              </c:pt>
              <c:pt idx="292">
                <c:v>9.1999999999999998E-2</c:v>
              </c:pt>
              <c:pt idx="293">
                <c:v>0.159</c:v>
              </c:pt>
              <c:pt idx="294">
                <c:v>0.105</c:v>
              </c:pt>
              <c:pt idx="295">
                <c:v>0.107</c:v>
              </c:pt>
              <c:pt idx="296">
                <c:v>0.11600000000000001</c:v>
              </c:pt>
              <c:pt idx="297">
                <c:v>9.7000000000000003E-2</c:v>
              </c:pt>
              <c:pt idx="298">
                <c:v>0.10199999999999999</c:v>
              </c:pt>
              <c:pt idx="299">
                <c:v>8.5000000000000006E-2</c:v>
              </c:pt>
              <c:pt idx="300">
                <c:v>0.127</c:v>
              </c:pt>
              <c:pt idx="301">
                <c:v>9.2999999999999999E-2</c:v>
              </c:pt>
              <c:pt idx="302">
                <c:v>8.7999999999999995E-2</c:v>
              </c:pt>
              <c:pt idx="303">
                <c:v>9.9000000000000005E-2</c:v>
              </c:pt>
              <c:pt idx="304">
                <c:v>7.6999999999999999E-2</c:v>
              </c:pt>
              <c:pt idx="305">
                <c:v>0.14199999999999999</c:v>
              </c:pt>
              <c:pt idx="306">
                <c:v>0.106</c:v>
              </c:pt>
              <c:pt idx="307">
                <c:v>8.5999999999999993E-2</c:v>
              </c:pt>
              <c:pt idx="308">
                <c:v>5.6000000000000001E-2</c:v>
              </c:pt>
              <c:pt idx="309">
                <c:v>7.1999999999999995E-2</c:v>
              </c:pt>
              <c:pt idx="310">
                <c:v>5.5E-2</c:v>
              </c:pt>
              <c:pt idx="311">
                <c:v>3.6999999999999998E-2</c:v>
              </c:pt>
              <c:pt idx="312">
                <c:v>4.3999999999999997E-2</c:v>
              </c:pt>
              <c:pt idx="313">
                <c:v>7.1999999999999995E-2</c:v>
              </c:pt>
              <c:pt idx="314">
                <c:v>6.0999999999999999E-2</c:v>
              </c:pt>
              <c:pt idx="315">
                <c:v>2.3E-2</c:v>
              </c:pt>
              <c:pt idx="316">
                <c:v>1.0999999999999999E-2</c:v>
              </c:pt>
              <c:pt idx="317">
                <c:v>2E-3</c:v>
              </c:pt>
              <c:pt idx="318">
                <c:v>1.7999999999999999E-2</c:v>
              </c:pt>
              <c:pt idx="319">
                <c:v>1.7000000000000001E-2</c:v>
              </c:pt>
              <c:pt idx="320">
                <c:v>4.7E-2</c:v>
              </c:pt>
              <c:pt idx="321">
                <c:v>2.5999999999999999E-2</c:v>
              </c:pt>
              <c:pt idx="322">
                <c:v>3.7999999999999999E-2</c:v>
              </c:pt>
              <c:pt idx="323">
                <c:v>5.0000000000000001E-3</c:v>
              </c:pt>
              <c:pt idx="324">
                <c:v>8.9999999999999993E-3</c:v>
              </c:pt>
              <c:pt idx="325">
                <c:v>1.7999999999999999E-2</c:v>
              </c:pt>
              <c:pt idx="326">
                <c:v>5.0000000000000001E-3</c:v>
              </c:pt>
              <c:pt idx="327">
                <c:v>8.0000000000000002E-3</c:v>
              </c:pt>
              <c:pt idx="328">
                <c:v>0.01</c:v>
              </c:pt>
              <c:pt idx="329">
                <c:v>1.7999999999999999E-2</c:v>
              </c:pt>
              <c:pt idx="330">
                <c:v>1E-3</c:v>
              </c:pt>
              <c:pt idx="331">
                <c:v>7.0000000000000001E-3</c:v>
              </c:pt>
              <c:pt idx="332">
                <c:v>1.4E-2</c:v>
              </c:pt>
              <c:pt idx="333">
                <c:v>6.0000000000000001E-3</c:v>
              </c:pt>
              <c:pt idx="334">
                <c:v>0</c:v>
              </c:pt>
              <c:pt idx="335">
                <c:v>1.0999999999999999E-2</c:v>
              </c:pt>
              <c:pt idx="336">
                <c:v>2E-3</c:v>
              </c:pt>
              <c:pt idx="337">
                <c:v>2.1000000000000001E-2</c:v>
              </c:pt>
              <c:pt idx="338">
                <c:v>0.01</c:v>
              </c:pt>
              <c:pt idx="339">
                <c:v>0</c:v>
              </c:pt>
              <c:pt idx="340">
                <c:v>2.1000000000000001E-2</c:v>
              </c:pt>
              <c:pt idx="341">
                <c:v>0.01</c:v>
              </c:pt>
              <c:pt idx="342">
                <c:v>1E-3</c:v>
              </c:pt>
              <c:pt idx="343">
                <c:v>2.9000000000000001E-2</c:v>
              </c:pt>
              <c:pt idx="344">
                <c:v>8.9999999999999993E-3</c:v>
              </c:pt>
              <c:pt idx="345">
                <c:v>4.7E-2</c:v>
              </c:pt>
              <c:pt idx="346">
                <c:v>0.01</c:v>
              </c:pt>
              <c:pt idx="347">
                <c:v>4.5999999999999999E-2</c:v>
              </c:pt>
              <c:pt idx="348">
                <c:v>2.1999999999999999E-2</c:v>
              </c:pt>
              <c:pt idx="349">
                <c:v>8.0000000000000002E-3</c:v>
              </c:pt>
              <c:pt idx="350">
                <c:v>1.2999999999999999E-2</c:v>
              </c:pt>
              <c:pt idx="351">
                <c:v>2.8000000000000001E-2</c:v>
              </c:pt>
              <c:pt idx="352">
                <c:v>2.5000000000000001E-2</c:v>
              </c:pt>
              <c:pt idx="353">
                <c:v>2.9000000000000001E-2</c:v>
              </c:pt>
              <c:pt idx="354">
                <c:v>1.4999999999999999E-2</c:v>
              </c:pt>
              <c:pt idx="355">
                <c:v>0.05</c:v>
              </c:pt>
              <c:pt idx="356">
                <c:v>4.8000000000000001E-2</c:v>
              </c:pt>
              <c:pt idx="357">
                <c:v>3.4000000000000002E-2</c:v>
              </c:pt>
              <c:pt idx="358">
                <c:v>5.6000000000000001E-2</c:v>
              </c:pt>
              <c:pt idx="359">
                <c:v>4.9000000000000002E-2</c:v>
              </c:pt>
              <c:pt idx="360">
                <c:v>6.0999999999999999E-2</c:v>
              </c:pt>
              <c:pt idx="361">
                <c:v>6.3E-2</c:v>
              </c:pt>
              <c:pt idx="362">
                <c:v>5.8999999999999997E-2</c:v>
              </c:pt>
              <c:pt idx="363">
                <c:v>0.04</c:v>
              </c:pt>
              <c:pt idx="364">
                <c:v>7.9000000000000001E-2</c:v>
              </c:pt>
              <c:pt idx="365">
                <c:v>0.105</c:v>
              </c:pt>
              <c:pt idx="366">
                <c:v>8.2000000000000003E-2</c:v>
              </c:pt>
              <c:pt idx="367">
                <c:v>0.13100000000000001</c:v>
              </c:pt>
              <c:pt idx="368">
                <c:v>0.129</c:v>
              </c:pt>
              <c:pt idx="369">
                <c:v>6.8000000000000005E-2</c:v>
              </c:pt>
              <c:pt idx="370">
                <c:v>0.13600000000000001</c:v>
              </c:pt>
              <c:pt idx="371">
                <c:v>0.191</c:v>
              </c:pt>
              <c:pt idx="372">
                <c:v>0.224</c:v>
              </c:pt>
              <c:pt idx="373">
                <c:v>0.20699999999999999</c:v>
              </c:pt>
              <c:pt idx="374">
                <c:v>0.185</c:v>
              </c:pt>
              <c:pt idx="375">
                <c:v>0.255</c:v>
              </c:pt>
              <c:pt idx="376">
                <c:v>0.25</c:v>
              </c:pt>
              <c:pt idx="377">
                <c:v>0.311</c:v>
              </c:pt>
              <c:pt idx="378">
                <c:v>0.28699999999999998</c:v>
              </c:pt>
              <c:pt idx="379">
                <c:v>0.32500000000000001</c:v>
              </c:pt>
              <c:pt idx="380">
                <c:v>0.33900000000000002</c:v>
              </c:pt>
              <c:pt idx="381">
                <c:v>0.36299999999999999</c:v>
              </c:pt>
              <c:pt idx="382">
                <c:v>0.39</c:v>
              </c:pt>
              <c:pt idx="383">
                <c:v>0.46100000000000002</c:v>
              </c:pt>
              <c:pt idx="384">
                <c:v>0.59899999999999998</c:v>
              </c:pt>
              <c:pt idx="385">
                <c:v>0.72499999999999998</c:v>
              </c:pt>
              <c:pt idx="386">
                <c:v>0.82699999999999996</c:v>
              </c:pt>
              <c:pt idx="387">
                <c:v>0.87</c:v>
              </c:pt>
              <c:pt idx="388">
                <c:v>0.871</c:v>
              </c:pt>
              <c:pt idx="389">
                <c:v>0.89700000000000002</c:v>
              </c:pt>
              <c:pt idx="390">
                <c:v>0.92500000000000004</c:v>
              </c:pt>
              <c:pt idx="391">
                <c:v>0.89600000000000002</c:v>
              </c:pt>
              <c:pt idx="392">
                <c:v>0.97499999999999998</c:v>
              </c:pt>
              <c:pt idx="393">
                <c:v>1.054</c:v>
              </c:pt>
              <c:pt idx="394">
                <c:v>1.234</c:v>
              </c:pt>
              <c:pt idx="395">
                <c:v>1.3620000000000001</c:v>
              </c:pt>
              <c:pt idx="396">
                <c:v>1.4510000000000001</c:v>
              </c:pt>
              <c:pt idx="397">
                <c:v>1.54</c:v>
              </c:pt>
              <c:pt idx="398">
                <c:v>1.6879999999999999</c:v>
              </c:pt>
              <c:pt idx="399">
                <c:v>1.8540000000000001</c:v>
              </c:pt>
              <c:pt idx="400">
                <c:v>1.6890000000000001</c:v>
              </c:pt>
              <c:pt idx="401">
                <c:v>1.8380000000000001</c:v>
              </c:pt>
              <c:pt idx="402">
                <c:v>1.827</c:v>
              </c:pt>
              <c:pt idx="403">
                <c:v>1.734</c:v>
              </c:pt>
              <c:pt idx="404">
                <c:v>1.5960000000000001</c:v>
              </c:pt>
              <c:pt idx="405">
                <c:v>1.44</c:v>
              </c:pt>
              <c:pt idx="406">
                <c:v>1.444</c:v>
              </c:pt>
              <c:pt idx="407">
                <c:v>1.403</c:v>
              </c:pt>
              <c:pt idx="408">
                <c:v>1.4359999999999999</c:v>
              </c:pt>
              <c:pt idx="409">
                <c:v>1.5089999999999999</c:v>
              </c:pt>
              <c:pt idx="410">
                <c:v>1.452</c:v>
              </c:pt>
              <c:pt idx="411">
                <c:v>1.38</c:v>
              </c:pt>
              <c:pt idx="412">
                <c:v>1.2350000000000001</c:v>
              </c:pt>
              <c:pt idx="413">
                <c:v>1.2490000000000001</c:v>
              </c:pt>
              <c:pt idx="414">
                <c:v>1.2669999999999999</c:v>
              </c:pt>
              <c:pt idx="415">
                <c:v>1.3240000000000001</c:v>
              </c:pt>
              <c:pt idx="416">
                <c:v>1.47</c:v>
              </c:pt>
              <c:pt idx="417">
                <c:v>1.536</c:v>
              </c:pt>
              <c:pt idx="418">
                <c:v>1.571</c:v>
              </c:pt>
              <c:pt idx="419">
                <c:v>1.5469999999999999</c:v>
              </c:pt>
              <c:pt idx="420">
                <c:v>1.4419999999999999</c:v>
              </c:pt>
              <c:pt idx="421">
                <c:v>1.472</c:v>
              </c:pt>
              <c:pt idx="422">
                <c:v>1.47</c:v>
              </c:pt>
              <c:pt idx="423">
                <c:v>1.4630000000000001</c:v>
              </c:pt>
              <c:pt idx="424">
                <c:v>1.446</c:v>
              </c:pt>
              <c:pt idx="425">
                <c:v>1.448</c:v>
              </c:pt>
              <c:pt idx="426">
                <c:v>1.5109999999999999</c:v>
              </c:pt>
              <c:pt idx="427">
                <c:v>1.548</c:v>
              </c:pt>
              <c:pt idx="428">
                <c:v>1.5529999999999999</c:v>
              </c:pt>
              <c:pt idx="429">
                <c:v>1.53</c:v>
              </c:pt>
              <c:pt idx="430">
                <c:v>1.6279999999999999</c:v>
              </c:pt>
              <c:pt idx="431">
                <c:v>1.768</c:v>
              </c:pt>
              <c:pt idx="432">
                <c:v>2.0750000000000002</c:v>
              </c:pt>
              <c:pt idx="433">
                <c:v>2.1970000000000001</c:v>
              </c:pt>
              <c:pt idx="434">
                <c:v>2.2069999999999999</c:v>
              </c:pt>
              <c:pt idx="435">
                <c:v>2.1960000000000002</c:v>
              </c:pt>
              <c:pt idx="436">
                <c:v>2.0449999999999999</c:v>
              </c:pt>
              <c:pt idx="437">
                <c:v>2.141</c:v>
              </c:pt>
              <c:pt idx="438">
                <c:v>2.2130000000000001</c:v>
              </c:pt>
              <c:pt idx="439">
                <c:v>2.2989999999999999</c:v>
              </c:pt>
              <c:pt idx="440">
                <c:v>2.391</c:v>
              </c:pt>
              <c:pt idx="441">
                <c:v>2.3719999999999999</c:v>
              </c:pt>
              <c:pt idx="442">
                <c:v>2.4060000000000001</c:v>
              </c:pt>
              <c:pt idx="443">
                <c:v>2.1560000000000001</c:v>
              </c:pt>
              <c:pt idx="444">
                <c:v>1.972</c:v>
              </c:pt>
              <c:pt idx="445">
                <c:v>1.9419999999999999</c:v>
              </c:pt>
              <c:pt idx="446">
                <c:v>1.998</c:v>
              </c:pt>
              <c:pt idx="447">
                <c:v>2.13</c:v>
              </c:pt>
              <c:pt idx="448">
                <c:v>2.246</c:v>
              </c:pt>
              <c:pt idx="449">
                <c:v>2.331</c:v>
              </c:pt>
              <c:pt idx="450">
                <c:v>2.5070000000000001</c:v>
              </c:pt>
              <c:pt idx="451">
                <c:v>2.6949999999999998</c:v>
              </c:pt>
              <c:pt idx="452">
                <c:v>2.9790000000000001</c:v>
              </c:pt>
              <c:pt idx="453">
                <c:v>3.4039999999999999</c:v>
              </c:pt>
              <c:pt idx="454">
                <c:v>3.1840000000000002</c:v>
              </c:pt>
              <c:pt idx="455">
                <c:v>3.302</c:v>
              </c:pt>
              <c:pt idx="456">
                <c:v>3.09</c:v>
              </c:pt>
              <c:pt idx="457">
                <c:v>2.7810000000000001</c:v>
              </c:pt>
              <c:pt idx="458">
                <c:v>2.4350000000000001</c:v>
              </c:pt>
              <c:pt idx="459">
                <c:v>2.3159999999999998</c:v>
              </c:pt>
              <c:pt idx="460">
                <c:v>2.0099999999999998</c:v>
              </c:pt>
              <c:pt idx="461">
                <c:v>1.8520000000000001</c:v>
              </c:pt>
              <c:pt idx="462">
                <c:v>1.847</c:v>
              </c:pt>
              <c:pt idx="463">
                <c:v>1.8</c:v>
              </c:pt>
              <c:pt idx="464">
                <c:v>1.867</c:v>
              </c:pt>
              <c:pt idx="465">
                <c:v>1.798</c:v>
              </c:pt>
              <c:pt idx="466">
                <c:v>1.524</c:v>
              </c:pt>
              <c:pt idx="467">
                <c:v>1.44</c:v>
              </c:pt>
              <c:pt idx="468">
                <c:v>1.3120000000000001</c:v>
              </c:pt>
              <c:pt idx="469">
                <c:v>1.35</c:v>
              </c:pt>
              <c:pt idx="470">
                <c:v>1.284</c:v>
              </c:pt>
              <c:pt idx="471">
                <c:v>1.486</c:v>
              </c:pt>
              <c:pt idx="472">
                <c:v>1.5089999999999999</c:v>
              </c:pt>
              <c:pt idx="473">
                <c:v>1.492</c:v>
              </c:pt>
              <c:pt idx="474">
                <c:v>1.5309999999999999</c:v>
              </c:pt>
              <c:pt idx="475">
                <c:v>1.496</c:v>
              </c:pt>
              <c:pt idx="476">
                <c:v>1.56</c:v>
              </c:pt>
              <c:pt idx="477">
                <c:v>1.476</c:v>
              </c:pt>
              <c:pt idx="478">
                <c:v>1.3580000000000001</c:v>
              </c:pt>
              <c:pt idx="479">
                <c:v>1.4750000000000001</c:v>
              </c:pt>
              <c:pt idx="480">
                <c:v>1.4379999999999999</c:v>
              </c:pt>
              <c:pt idx="481">
                <c:v>1.466</c:v>
              </c:pt>
              <c:pt idx="482">
                <c:v>1.6339999999999999</c:v>
              </c:pt>
              <c:pt idx="483">
                <c:v>1.744</c:v>
              </c:pt>
              <c:pt idx="484">
                <c:v>1.869</c:v>
              </c:pt>
              <c:pt idx="485">
                <c:v>2.0030000000000001</c:v>
              </c:pt>
              <c:pt idx="486">
                <c:v>2.0870000000000002</c:v>
              </c:pt>
              <c:pt idx="487">
                <c:v>2.27</c:v>
              </c:pt>
              <c:pt idx="488">
                <c:v>2.4460000000000002</c:v>
              </c:pt>
              <c:pt idx="489">
                <c:v>2.5409999999999999</c:v>
              </c:pt>
              <c:pt idx="490">
                <c:v>2.8639999999999999</c:v>
              </c:pt>
              <c:pt idx="491">
                <c:v>3.2</c:v>
              </c:pt>
              <c:pt idx="492">
                <c:v>3.1789999999999998</c:v>
              </c:pt>
              <c:pt idx="493">
                <c:v>3.6659999999999999</c:v>
              </c:pt>
              <c:pt idx="494">
                <c:v>3.9220000000000002</c:v>
              </c:pt>
              <c:pt idx="495">
                <c:v>4.1500000000000004</c:v>
              </c:pt>
              <c:pt idx="496">
                <c:v>4.2869999999999999</c:v>
              </c:pt>
              <c:pt idx="497">
                <c:v>4.4870000000000001</c:v>
              </c:pt>
              <c:pt idx="498">
                <c:v>5.1150000000000002</c:v>
              </c:pt>
              <c:pt idx="499">
                <c:v>5.4029999999999996</c:v>
              </c:pt>
              <c:pt idx="500">
                <c:v>6.1619999999999999</c:v>
              </c:pt>
              <c:pt idx="501">
                <c:v>7.4249999999999998</c:v>
              </c:pt>
              <c:pt idx="502">
                <c:v>8.52</c:v>
              </c:pt>
              <c:pt idx="503">
                <c:v>9.3800000000000008</c:v>
              </c:pt>
              <c:pt idx="504">
                <c:v>10.65</c:v>
              </c:pt>
              <c:pt idx="505">
                <c:v>11.24</c:v>
              </c:pt>
              <c:pt idx="506">
                <c:v>11.91</c:v>
              </c:pt>
              <c:pt idx="507">
                <c:v>11.24</c:v>
              </c:pt>
              <c:pt idx="508">
                <c:v>11.04</c:v>
              </c:pt>
              <c:pt idx="509">
                <c:v>11.23</c:v>
              </c:pt>
              <c:pt idx="510">
                <c:v>11.77</c:v>
              </c:pt>
              <c:pt idx="511">
                <c:v>12.17</c:v>
              </c:pt>
              <c:pt idx="512">
                <c:v>11.43</c:v>
              </c:pt>
              <c:pt idx="513">
                <c:v>10.56</c:v>
              </c:pt>
              <c:pt idx="514">
                <c:v>11.46</c:v>
              </c:pt>
              <c:pt idx="515">
                <c:v>11.41</c:v>
              </c:pt>
              <c:pt idx="516">
                <c:v>10.83</c:v>
              </c:pt>
              <c:pt idx="517">
                <c:v>10.84</c:v>
              </c:pt>
              <c:pt idx="518">
                <c:v>11.37</c:v>
              </c:pt>
              <c:pt idx="519">
                <c:v>12.48</c:v>
              </c:pt>
              <c:pt idx="520">
                <c:v>13.93</c:v>
              </c:pt>
              <c:pt idx="521">
                <c:v>14.26</c:v>
              </c:pt>
              <c:pt idx="522">
                <c:v>13.89</c:v>
              </c:pt>
              <c:pt idx="523">
                <c:v>14.16</c:v>
              </c:pt>
              <c:pt idx="524">
                <c:v>14.01</c:v>
              </c:pt>
              <c:pt idx="525">
                <c:v>13.74</c:v>
              </c:pt>
              <c:pt idx="526">
                <c:v>13.73</c:v>
              </c:pt>
              <c:pt idx="527">
                <c:v>13.73</c:v>
              </c:pt>
              <c:pt idx="528">
                <c:v>13.78</c:v>
              </c:pt>
              <c:pt idx="529">
                <c:v>13.86</c:v>
              </c:pt>
              <c:pt idx="530">
                <c:v>13.83</c:v>
              </c:pt>
              <c:pt idx="531">
                <c:v>13.49</c:v>
              </c:pt>
              <c:pt idx="532">
                <c:v>13.88</c:v>
              </c:pt>
              <c:pt idx="533">
                <c:v>13.27</c:v>
              </c:pt>
              <c:pt idx="534">
                <c:v>13.09</c:v>
              </c:pt>
              <c:pt idx="535">
                <c:v>13.44</c:v>
              </c:pt>
              <c:pt idx="536">
                <c:v>12.64</c:v>
              </c:pt>
              <c:pt idx="537">
                <c:v>11.47</c:v>
              </c:pt>
              <c:pt idx="538">
                <c:v>11.75</c:v>
              </c:pt>
              <c:pt idx="539">
                <c:v>12.4</c:v>
              </c:pt>
              <c:pt idx="540">
                <c:v>13.22</c:v>
              </c:pt>
              <c:pt idx="541">
                <c:v>13.3</c:v>
              </c:pt>
              <c:pt idx="542">
                <c:v>13.3</c:v>
              </c:pt>
              <c:pt idx="543">
                <c:v>12.22</c:v>
              </c:pt>
              <c:pt idx="544">
                <c:v>11.29</c:v>
              </c:pt>
              <c:pt idx="545">
                <c:v>11.41</c:v>
              </c:pt>
              <c:pt idx="546">
                <c:v>11.13</c:v>
              </c:pt>
              <c:pt idx="547">
                <c:v>11.63</c:v>
              </c:pt>
              <c:pt idx="548">
                <c:v>11.51</c:v>
              </c:pt>
              <c:pt idx="549">
                <c:v>11.27</c:v>
              </c:pt>
              <c:pt idx="550">
                <c:v>10.85</c:v>
              </c:pt>
              <c:pt idx="551">
                <c:v>9.6999999999999993</c:v>
              </c:pt>
              <c:pt idx="552">
                <c:v>8.2200000000000006</c:v>
              </c:pt>
              <c:pt idx="553">
                <c:v>6.9640000000000004</c:v>
              </c:pt>
              <c:pt idx="554">
                <c:v>6.1539999999999999</c:v>
              </c:pt>
              <c:pt idx="555">
                <c:v>6.4740000000000002</c:v>
              </c:pt>
              <c:pt idx="556">
                <c:v>6.3330000000000002</c:v>
              </c:pt>
              <c:pt idx="557">
                <c:v>5.6849999999999996</c:v>
              </c:pt>
              <c:pt idx="558">
                <c:v>5.8140000000000001</c:v>
              </c:pt>
              <c:pt idx="559">
                <c:v>5.7539999999999996</c:v>
              </c:pt>
              <c:pt idx="560">
                <c:v>4.8470000000000004</c:v>
              </c:pt>
              <c:pt idx="561">
                <c:v>3.794</c:v>
              </c:pt>
              <c:pt idx="562">
                <c:v>3.266</c:v>
              </c:pt>
              <c:pt idx="563">
                <c:v>3.1789999999999998</c:v>
              </c:pt>
              <c:pt idx="564">
                <c:v>3.0859999999999999</c:v>
              </c:pt>
              <c:pt idx="565">
                <c:v>2.8029999999999999</c:v>
              </c:pt>
              <c:pt idx="566">
                <c:v>2.3620000000000001</c:v>
              </c:pt>
              <c:pt idx="567">
                <c:v>2.3929999999999998</c:v>
              </c:pt>
              <c:pt idx="568">
                <c:v>2.9369999999999998</c:v>
              </c:pt>
              <c:pt idx="569">
                <c:v>3.2989999999999999</c:v>
              </c:pt>
              <c:pt idx="570">
                <c:v>3.8420000000000001</c:v>
              </c:pt>
              <c:pt idx="571">
                <c:v>4.2949999999999999</c:v>
              </c:pt>
              <c:pt idx="572">
                <c:v>4.8570000000000002</c:v>
              </c:pt>
              <c:pt idx="573">
                <c:v>5.3390000000000004</c:v>
              </c:pt>
              <c:pt idx="574">
                <c:v>5.8620000000000001</c:v>
              </c:pt>
              <c:pt idx="575">
                <c:v>6.1609999999999996</c:v>
              </c:pt>
              <c:pt idx="576">
                <c:v>6.0540000000000003</c:v>
              </c:pt>
              <c:pt idx="577">
                <c:v>6.149</c:v>
              </c:pt>
              <c:pt idx="578">
                <c:v>6.0739999999999998</c:v>
              </c:pt>
              <c:pt idx="579">
                <c:v>6.6189999999999998</c:v>
              </c:pt>
              <c:pt idx="580">
                <c:v>6.8520000000000003</c:v>
              </c:pt>
              <c:pt idx="581">
                <c:v>7.49</c:v>
              </c:pt>
              <c:pt idx="582">
                <c:v>7.4720000000000004</c:v>
              </c:pt>
              <c:pt idx="583">
                <c:v>8.06</c:v>
              </c:pt>
              <c:pt idx="584">
                <c:v>9.11</c:v>
              </c:pt>
              <c:pt idx="585">
                <c:v>9.2200000000000006</c:v>
              </c:pt>
              <c:pt idx="586">
                <c:v>9.6</c:v>
              </c:pt>
              <c:pt idx="587">
                <c:v>9.94</c:v>
              </c:pt>
              <c:pt idx="588">
                <c:v>10.99</c:v>
              </c:pt>
              <c:pt idx="589">
                <c:v>10.99</c:v>
              </c:pt>
              <c:pt idx="590">
                <c:v>11.45</c:v>
              </c:pt>
              <c:pt idx="591">
                <c:v>11.55</c:v>
              </c:pt>
              <c:pt idx="592">
                <c:v>12.09</c:v>
              </c:pt>
              <c:pt idx="593">
                <c:v>12.46</c:v>
              </c:pt>
              <c:pt idx="594">
                <c:v>12.63</c:v>
              </c:pt>
              <c:pt idx="595">
                <c:v>13.09</c:v>
              </c:pt>
              <c:pt idx="596">
                <c:v>13.51</c:v>
              </c:pt>
              <c:pt idx="597">
                <c:v>13.48</c:v>
              </c:pt>
              <c:pt idx="598">
                <c:v>13.84</c:v>
              </c:pt>
              <c:pt idx="599">
                <c:v>13.83</c:v>
              </c:pt>
              <c:pt idx="600">
                <c:v>13.81</c:v>
              </c:pt>
              <c:pt idx="601">
                <c:v>13.85</c:v>
              </c:pt>
              <c:pt idx="602">
                <c:v>14.11</c:v>
              </c:pt>
              <c:pt idx="603">
                <c:v>14.32</c:v>
              </c:pt>
              <c:pt idx="604">
                <c:v>14.89</c:v>
              </c:pt>
              <c:pt idx="605">
                <c:v>15.03</c:v>
              </c:pt>
              <c:pt idx="606">
                <c:v>15.18</c:v>
              </c:pt>
              <c:pt idx="607">
                <c:v>14.98</c:v>
              </c:pt>
              <c:pt idx="608">
                <c:v>15.13</c:v>
              </c:pt>
              <c:pt idx="609">
                <c:v>14.89</c:v>
              </c:pt>
              <c:pt idx="610">
                <c:v>15.07</c:v>
              </c:pt>
              <c:pt idx="611">
                <c:v>15.28</c:v>
              </c:pt>
              <c:pt idx="612">
                <c:v>15.43</c:v>
              </c:pt>
              <c:pt idx="613">
                <c:v>15.73</c:v>
              </c:pt>
              <c:pt idx="614">
                <c:v>15.93</c:v>
              </c:pt>
              <c:pt idx="615">
                <c:v>16.5</c:v>
              </c:pt>
              <c:pt idx="616">
                <c:v>17.14</c:v>
              </c:pt>
              <c:pt idx="617">
                <c:v>17.62</c:v>
              </c:pt>
              <c:pt idx="618">
                <c:v>18.52</c:v>
              </c:pt>
              <c:pt idx="619">
                <c:v>18.98</c:v>
              </c:pt>
              <c:pt idx="620">
                <c:v>19.5</c:v>
              </c:pt>
              <c:pt idx="621">
                <c:v>20.260000000000002</c:v>
              </c:pt>
              <c:pt idx="622">
                <c:v>20.87</c:v>
              </c:pt>
              <c:pt idx="623">
                <c:v>21.01</c:v>
              </c:pt>
              <c:pt idx="624">
                <c:v>20.75</c:v>
              </c:pt>
              <c:pt idx="625">
                <c:v>20.77</c:v>
              </c:pt>
              <c:pt idx="626">
                <c:v>21.39</c:v>
              </c:pt>
              <c:pt idx="627">
                <c:v>21.38</c:v>
              </c:pt>
              <c:pt idx="628">
                <c:v>21.73</c:v>
              </c:pt>
              <c:pt idx="629">
                <c:v>21.52</c:v>
              </c:pt>
              <c:pt idx="630">
                <c:v>20.79</c:v>
              </c:pt>
              <c:pt idx="631">
                <c:v>20.309999999999999</c:v>
              </c:pt>
              <c:pt idx="632">
                <c:v>19.559999999999999</c:v>
              </c:pt>
              <c:pt idx="633">
                <c:v>19.29</c:v>
              </c:pt>
              <c:pt idx="634">
                <c:v>19.28</c:v>
              </c:pt>
              <c:pt idx="635">
                <c:v>19.239999999999998</c:v>
              </c:pt>
              <c:pt idx="636">
                <c:v>19.78</c:v>
              </c:pt>
              <c:pt idx="637">
                <c:v>19.97</c:v>
              </c:pt>
              <c:pt idx="638">
                <c:v>19.91</c:v>
              </c:pt>
              <c:pt idx="639">
                <c:v>19.54</c:v>
              </c:pt>
              <c:pt idx="640">
                <c:v>19.5</c:v>
              </c:pt>
              <c:pt idx="641">
                <c:v>19.579999999999998</c:v>
              </c:pt>
              <c:pt idx="642">
                <c:v>19.82</c:v>
              </c:pt>
              <c:pt idx="643">
                <c:v>20.28</c:v>
              </c:pt>
              <c:pt idx="644">
                <c:v>20.71</c:v>
              </c:pt>
              <c:pt idx="645">
                <c:v>20.63</c:v>
              </c:pt>
              <c:pt idx="646">
                <c:v>20.66</c:v>
              </c:pt>
              <c:pt idx="647">
                <c:v>20.56</c:v>
              </c:pt>
              <c:pt idx="648">
                <c:v>20.67</c:v>
              </c:pt>
              <c:pt idx="649">
                <c:v>20.89</c:v>
              </c:pt>
              <c:pt idx="650">
                <c:v>21.31</c:v>
              </c:pt>
              <c:pt idx="651">
                <c:v>21.88</c:v>
              </c:pt>
              <c:pt idx="652">
                <c:v>22.24</c:v>
              </c:pt>
              <c:pt idx="653">
                <c:v>22.48</c:v>
              </c:pt>
              <c:pt idx="654">
                <c:v>22.74</c:v>
              </c:pt>
              <c:pt idx="655">
                <c:v>23.56</c:v>
              </c:pt>
              <c:pt idx="656">
                <c:v>24.73</c:v>
              </c:pt>
              <c:pt idx="657">
                <c:v>26.31</c:v>
              </c:pt>
              <c:pt idx="658">
                <c:v>27.79</c:v>
              </c:pt>
              <c:pt idx="659">
                <c:v>29.48</c:v>
              </c:pt>
              <c:pt idx="660">
                <c:v>31.34</c:v>
              </c:pt>
              <c:pt idx="661">
                <c:v>32.82</c:v>
              </c:pt>
              <c:pt idx="662">
                <c:v>34.11</c:v>
              </c:pt>
              <c:pt idx="663">
                <c:v>34.93</c:v>
              </c:pt>
              <c:pt idx="664">
                <c:v>34.99</c:v>
              </c:pt>
              <c:pt idx="665">
                <c:v>35.57</c:v>
              </c:pt>
              <c:pt idx="666">
                <c:v>35.64</c:v>
              </c:pt>
              <c:pt idx="667">
                <c:v>34.99</c:v>
              </c:pt>
              <c:pt idx="668">
                <c:v>34.24</c:v>
              </c:pt>
              <c:pt idx="669">
                <c:v>33.549999999999997</c:v>
              </c:pt>
              <c:pt idx="670">
                <c:v>32.57</c:v>
              </c:pt>
              <c:pt idx="671">
                <c:v>33.22</c:v>
              </c:pt>
              <c:pt idx="672">
                <c:v>36.229999999999997</c:v>
              </c:pt>
              <c:pt idx="673">
                <c:v>34.090000000000003</c:v>
              </c:pt>
              <c:pt idx="674">
                <c:v>31</c:v>
              </c:pt>
              <c:pt idx="675">
                <c:v>28.97</c:v>
              </c:pt>
              <c:pt idx="676">
                <c:v>26.64</c:v>
              </c:pt>
              <c:pt idx="677">
                <c:v>25.25</c:v>
              </c:pt>
              <c:pt idx="678">
                <c:v>24.08</c:v>
              </c:pt>
              <c:pt idx="679">
                <c:v>24.71</c:v>
              </c:pt>
              <c:pt idx="680">
                <c:v>24.61</c:v>
              </c:pt>
              <c:pt idx="681">
                <c:v>23.8</c:v>
              </c:pt>
              <c:pt idx="682">
                <c:v>23.83</c:v>
              </c:pt>
              <c:pt idx="683">
                <c:v>24.13</c:v>
              </c:pt>
              <c:pt idx="684">
                <c:v>23.72</c:v>
              </c:pt>
              <c:pt idx="685">
                <c:v>22.75</c:v>
              </c:pt>
              <c:pt idx="686">
                <c:v>21.72</c:v>
              </c:pt>
              <c:pt idx="687">
                <c:v>21.74</c:v>
              </c:pt>
              <c:pt idx="688">
                <c:v>21.37</c:v>
              </c:pt>
              <c:pt idx="689">
                <c:v>20.309999999999999</c:v>
              </c:pt>
              <c:pt idx="690">
                <c:v>20.27</c:v>
              </c:pt>
              <c:pt idx="691">
                <c:v>21</c:v>
              </c:pt>
              <c:pt idx="692">
                <c:v>21.77</c:v>
              </c:pt>
              <c:pt idx="693">
                <c:v>22.09</c:v>
              </c:pt>
              <c:pt idx="694">
                <c:v>22.22</c:v>
              </c:pt>
              <c:pt idx="695">
                <c:v>22.51</c:v>
              </c:pt>
              <c:pt idx="696">
                <c:v>23.29</c:v>
              </c:pt>
              <c:pt idx="697">
                <c:v>23.24</c:v>
              </c:pt>
              <c:pt idx="698">
                <c:v>23.33</c:v>
              </c:pt>
              <c:pt idx="699">
                <c:v>24.58</c:v>
              </c:pt>
              <c:pt idx="700">
                <c:v>25.22</c:v>
              </c:pt>
              <c:pt idx="701">
                <c:v>24.64</c:v>
              </c:pt>
              <c:pt idx="702">
                <c:v>24.3</c:v>
              </c:pt>
              <c:pt idx="703">
                <c:v>26.26</c:v>
              </c:pt>
              <c:pt idx="704">
                <c:v>27.41</c:v>
              </c:pt>
              <c:pt idx="705">
                <c:v>27.21</c:v>
              </c:pt>
              <c:pt idx="706">
                <c:v>29.27</c:v>
              </c:pt>
              <c:pt idx="707">
                <c:v>31.63</c:v>
              </c:pt>
              <c:pt idx="708">
                <c:v>34.21</c:v>
              </c:pt>
              <c:pt idx="709">
                <c:v>35</c:v>
              </c:pt>
              <c:pt idx="710">
                <c:v>35.479999999999997</c:v>
              </c:pt>
              <c:pt idx="711">
                <c:v>34.93</c:v>
              </c:pt>
              <c:pt idx="712">
                <c:v>32.86</c:v>
              </c:pt>
              <c:pt idx="713">
                <c:v>32.369999999999997</c:v>
              </c:pt>
              <c:pt idx="714">
                <c:v>32.36</c:v>
              </c:pt>
              <c:pt idx="715">
                <c:v>31.16</c:v>
              </c:pt>
              <c:pt idx="716">
                <c:v>27.52</c:v>
              </c:pt>
              <c:pt idx="717">
                <c:v>25</c:v>
              </c:pt>
              <c:pt idx="718">
                <c:v>24.3</c:v>
              </c:pt>
              <c:pt idx="719">
                <c:v>23.65</c:v>
              </c:pt>
              <c:pt idx="720">
                <c:v>24.22</c:v>
              </c:pt>
              <c:pt idx="721">
                <c:v>25.92</c:v>
              </c:pt>
              <c:pt idx="722">
                <c:v>25.94</c:v>
              </c:pt>
              <c:pt idx="723">
                <c:v>24.53</c:v>
              </c:pt>
              <c:pt idx="724">
                <c:v>22.04</c:v>
              </c:pt>
              <c:pt idx="725">
                <c:v>19.93</c:v>
              </c:pt>
              <c:pt idx="726">
                <c:v>19.239999999999998</c:v>
              </c:pt>
              <c:pt idx="727">
                <c:v>19.21</c:v>
              </c:pt>
              <c:pt idx="728">
                <c:v>19.12</c:v>
              </c:pt>
              <c:pt idx="729">
                <c:v>18.829999999999998</c:v>
              </c:pt>
              <c:pt idx="730">
                <c:v>18.93</c:v>
              </c:pt>
              <c:pt idx="731">
                <c:v>17.899999999999999</c:v>
              </c:pt>
              <c:pt idx="732">
                <c:v>18.170000000000002</c:v>
              </c:pt>
              <c:pt idx="733">
                <c:v>19.309999999999999</c:v>
              </c:pt>
              <c:pt idx="734">
                <c:v>20.59</c:v>
              </c:pt>
              <c:pt idx="735">
                <c:v>20.97</c:v>
              </c:pt>
              <c:pt idx="736">
                <c:v>21.48</c:v>
              </c:pt>
              <c:pt idx="737">
                <c:v>21.37</c:v>
              </c:pt>
              <c:pt idx="738">
                <c:v>18.649999999999999</c:v>
              </c:pt>
              <c:pt idx="739">
                <c:v>16.55</c:v>
              </c:pt>
              <c:pt idx="740">
                <c:v>16.61</c:v>
              </c:pt>
              <c:pt idx="741">
                <c:v>17.45</c:v>
              </c:pt>
              <c:pt idx="742">
                <c:v>18.309999999999999</c:v>
              </c:pt>
              <c:pt idx="743">
                <c:v>18.420000000000002</c:v>
              </c:pt>
              <c:pt idx="744">
                <c:v>17.87</c:v>
              </c:pt>
              <c:pt idx="745">
                <c:v>17.79</c:v>
              </c:pt>
              <c:pt idx="746">
                <c:v>18.079999999999998</c:v>
              </c:pt>
              <c:pt idx="747">
                <c:v>18.510000000000002</c:v>
              </c:pt>
              <c:pt idx="748">
                <c:v>19.53</c:v>
              </c:pt>
              <c:pt idx="749">
                <c:v>21.78</c:v>
              </c:pt>
              <c:pt idx="750">
                <c:v>23.73</c:v>
              </c:pt>
              <c:pt idx="751">
                <c:v>22.71</c:v>
              </c:pt>
              <c:pt idx="752">
                <c:v>20.46</c:v>
              </c:pt>
              <c:pt idx="753">
                <c:v>19.010000000000002</c:v>
              </c:pt>
              <c:pt idx="754">
                <c:v>18.12</c:v>
              </c:pt>
              <c:pt idx="755">
                <c:v>16.29</c:v>
              </c:pt>
              <c:pt idx="756">
                <c:v>13.91</c:v>
              </c:pt>
              <c:pt idx="757">
                <c:v>11.85</c:v>
              </c:pt>
              <c:pt idx="758">
                <c:v>10.85</c:v>
              </c:pt>
              <c:pt idx="759">
                <c:v>11.24</c:v>
              </c:pt>
              <c:pt idx="760">
                <c:v>11.64</c:v>
              </c:pt>
              <c:pt idx="761">
                <c:v>11.79</c:v>
              </c:pt>
              <c:pt idx="762">
                <c:v>11.48</c:v>
              </c:pt>
              <c:pt idx="763">
                <c:v>10.83</c:v>
              </c:pt>
              <c:pt idx="764">
                <c:v>10.65</c:v>
              </c:pt>
              <c:pt idx="765">
                <c:v>10.51</c:v>
              </c:pt>
              <c:pt idx="766">
                <c:v>10.18</c:v>
              </c:pt>
              <c:pt idx="767">
                <c:v>9.81</c:v>
              </c:pt>
              <c:pt idx="768">
                <c:v>9.74</c:v>
              </c:pt>
              <c:pt idx="769">
                <c:v>9.86</c:v>
              </c:pt>
              <c:pt idx="770">
                <c:v>9.66</c:v>
              </c:pt>
              <c:pt idx="771">
                <c:v>9.27</c:v>
              </c:pt>
              <c:pt idx="772">
                <c:v>9.2899999999999991</c:v>
              </c:pt>
              <c:pt idx="773">
                <c:v>9.4499999999999993</c:v>
              </c:pt>
              <c:pt idx="774">
                <c:v>9.68</c:v>
              </c:pt>
              <c:pt idx="775">
                <c:v>9.3800000000000008</c:v>
              </c:pt>
              <c:pt idx="776">
                <c:v>8.86</c:v>
              </c:pt>
              <c:pt idx="777">
                <c:v>8.66</c:v>
              </c:pt>
              <c:pt idx="778">
                <c:v>8.75</c:v>
              </c:pt>
              <c:pt idx="779">
                <c:v>8.68</c:v>
              </c:pt>
              <c:pt idx="780">
                <c:v>8.4600000000000009</c:v>
              </c:pt>
              <c:pt idx="781">
                <c:v>8.33</c:v>
              </c:pt>
              <c:pt idx="782">
                <c:v>8.59</c:v>
              </c:pt>
              <c:pt idx="783">
                <c:v>9.24</c:v>
              </c:pt>
              <c:pt idx="784">
                <c:v>10.029999999999999</c:v>
              </c:pt>
              <c:pt idx="785">
                <c:v>10.89</c:v>
              </c:pt>
              <c:pt idx="786">
                <c:v>11.71</c:v>
              </c:pt>
              <c:pt idx="787">
                <c:v>12.53</c:v>
              </c:pt>
              <c:pt idx="788">
                <c:v>13.17</c:v>
              </c:pt>
              <c:pt idx="789">
                <c:v>13.41</c:v>
              </c:pt>
              <c:pt idx="790">
                <c:v>13.53</c:v>
              </c:pt>
              <c:pt idx="791">
                <c:v>13.58</c:v>
              </c:pt>
              <c:pt idx="792">
                <c:v>13.62</c:v>
              </c:pt>
              <c:pt idx="793">
                <c:v>14.47</c:v>
              </c:pt>
              <c:pt idx="794">
                <c:v>14.96</c:v>
              </c:pt>
              <c:pt idx="795">
                <c:v>15.38</c:v>
              </c:pt>
              <c:pt idx="796">
                <c:v>16.61</c:v>
              </c:pt>
              <c:pt idx="797">
                <c:v>18.420000000000002</c:v>
              </c:pt>
              <c:pt idx="798">
                <c:v>20.170000000000002</c:v>
              </c:pt>
              <c:pt idx="799">
                <c:v>21.55</c:v>
              </c:pt>
              <c:pt idx="800">
                <c:v>22.54</c:v>
              </c:pt>
              <c:pt idx="801">
                <c:v>23.05</c:v>
              </c:pt>
              <c:pt idx="802">
                <c:v>23.64</c:v>
              </c:pt>
              <c:pt idx="803">
                <c:v>24.9</c:v>
              </c:pt>
              <c:pt idx="804">
                <c:v>26.47</c:v>
              </c:pt>
              <c:pt idx="805">
                <c:v>27.69</c:v>
              </c:pt>
              <c:pt idx="806">
                <c:v>28.11</c:v>
              </c:pt>
              <c:pt idx="807">
                <c:v>28.75</c:v>
              </c:pt>
              <c:pt idx="808">
                <c:v>29.78</c:v>
              </c:pt>
              <c:pt idx="809">
                <c:v>31.09</c:v>
              </c:pt>
              <c:pt idx="810">
                <c:v>32.11</c:v>
              </c:pt>
              <c:pt idx="811">
                <c:v>32.67</c:v>
              </c:pt>
              <c:pt idx="812">
                <c:v>32.630000000000003</c:v>
              </c:pt>
              <c:pt idx="813">
                <c:v>33.130000000000003</c:v>
              </c:pt>
              <c:pt idx="814">
                <c:v>33.380000000000003</c:v>
              </c:pt>
              <c:pt idx="815">
                <c:v>32.65</c:v>
              </c:pt>
              <c:pt idx="816">
                <c:v>31.47</c:v>
              </c:pt>
              <c:pt idx="817">
                <c:v>30.88</c:v>
              </c:pt>
              <c:pt idx="818">
                <c:v>30.49</c:v>
              </c:pt>
              <c:pt idx="819">
                <c:v>27.46</c:v>
              </c:pt>
              <c:pt idx="820">
                <c:v>25.71</c:v>
              </c:pt>
              <c:pt idx="821">
                <c:v>26.93</c:v>
              </c:pt>
              <c:pt idx="822">
                <c:v>27.05</c:v>
              </c:pt>
              <c:pt idx="823">
                <c:v>26.02</c:v>
              </c:pt>
              <c:pt idx="824">
                <c:v>24.64</c:v>
              </c:pt>
              <c:pt idx="825">
                <c:v>23.11</c:v>
              </c:pt>
              <c:pt idx="826">
                <c:v>22.27</c:v>
              </c:pt>
              <c:pt idx="827">
                <c:v>23.05</c:v>
              </c:pt>
              <c:pt idx="828">
                <c:v>24.53</c:v>
              </c:pt>
              <c:pt idx="829">
                <c:v>25.72</c:v>
              </c:pt>
              <c:pt idx="830">
                <c:v>25.82</c:v>
              </c:pt>
              <c:pt idx="831">
                <c:v>24.77</c:v>
              </c:pt>
              <c:pt idx="832">
                <c:v>24.19</c:v>
              </c:pt>
              <c:pt idx="833">
                <c:v>26.16</c:v>
              </c:pt>
              <c:pt idx="834">
                <c:v>27.18</c:v>
              </c:pt>
              <c:pt idx="835">
                <c:v>28.12</c:v>
              </c:pt>
              <c:pt idx="836">
                <c:v>28.53</c:v>
              </c:pt>
              <c:pt idx="837">
                <c:v>29.83</c:v>
              </c:pt>
              <c:pt idx="838">
                <c:v>29.67</c:v>
              </c:pt>
              <c:pt idx="839">
                <c:v>29.14</c:v>
              </c:pt>
              <c:pt idx="840">
                <c:v>30.42</c:v>
              </c:pt>
              <c:pt idx="841">
                <c:v>30.14</c:v>
              </c:pt>
              <c:pt idx="842">
                <c:v>32.17</c:v>
              </c:pt>
              <c:pt idx="843">
                <c:v>32.06</c:v>
              </c:pt>
              <c:pt idx="844">
                <c:v>28.12</c:v>
              </c:pt>
              <c:pt idx="845">
                <c:v>24.56</c:v>
              </c:pt>
              <c:pt idx="846">
                <c:v>22.58</c:v>
              </c:pt>
              <c:pt idx="847">
                <c:v>22.82</c:v>
              </c:pt>
              <c:pt idx="848">
                <c:v>23.21</c:v>
              </c:pt>
              <c:pt idx="849">
                <c:v>22.85</c:v>
              </c:pt>
              <c:pt idx="850">
                <c:v>22.42</c:v>
              </c:pt>
              <c:pt idx="851">
                <c:v>22.42</c:v>
              </c:pt>
              <c:pt idx="852">
                <c:v>22.54</c:v>
              </c:pt>
              <c:pt idx="853">
                <c:v>22.79</c:v>
              </c:pt>
              <c:pt idx="854">
                <c:v>22.72</c:v>
              </c:pt>
              <c:pt idx="855">
                <c:v>21.04</c:v>
              </c:pt>
              <c:pt idx="856">
                <c:v>18.14</c:v>
              </c:pt>
              <c:pt idx="857">
                <c:v>15.8</c:v>
              </c:pt>
              <c:pt idx="858">
                <c:v>15.77</c:v>
              </c:pt>
              <c:pt idx="859">
                <c:v>15.99</c:v>
              </c:pt>
              <c:pt idx="860">
                <c:v>15.43</c:v>
              </c:pt>
              <c:pt idx="861">
                <c:v>14.7</c:v>
              </c:pt>
              <c:pt idx="862">
                <c:v>14.77</c:v>
              </c:pt>
              <c:pt idx="863">
                <c:v>14.43</c:v>
              </c:pt>
              <c:pt idx="864">
                <c:v>14.44</c:v>
              </c:pt>
              <c:pt idx="865">
                <c:v>13.38</c:v>
              </c:pt>
              <c:pt idx="866">
                <c:v>12.28</c:v>
              </c:pt>
              <c:pt idx="867">
                <c:v>12.78</c:v>
              </c:pt>
              <c:pt idx="868">
                <c:v>13.44</c:v>
              </c:pt>
              <c:pt idx="869">
                <c:v>14.81</c:v>
              </c:pt>
              <c:pt idx="870">
                <c:v>16.239999999999998</c:v>
              </c:pt>
              <c:pt idx="871">
                <c:v>15.94</c:v>
              </c:pt>
              <c:pt idx="872">
                <c:v>15.46</c:v>
              </c:pt>
              <c:pt idx="873">
                <c:v>15.14</c:v>
              </c:pt>
              <c:pt idx="874">
                <c:v>15.62</c:v>
              </c:pt>
              <c:pt idx="875">
                <c:v>17.309999999999999</c:v>
              </c:pt>
              <c:pt idx="876">
                <c:v>19.64</c:v>
              </c:pt>
              <c:pt idx="877">
                <c:v>20.69</c:v>
              </c:pt>
              <c:pt idx="878">
                <c:v>22.42</c:v>
              </c:pt>
              <c:pt idx="879">
                <c:v>22.15</c:v>
              </c:pt>
              <c:pt idx="880">
                <c:v>23.31</c:v>
              </c:pt>
              <c:pt idx="881">
                <c:v>25.49</c:v>
              </c:pt>
              <c:pt idx="882">
                <c:v>26.8</c:v>
              </c:pt>
              <c:pt idx="883">
                <c:v>25.25</c:v>
              </c:pt>
              <c:pt idx="884">
                <c:v>21.84</c:v>
              </c:pt>
              <c:pt idx="885">
                <c:v>20.34</c:v>
              </c:pt>
              <c:pt idx="886">
                <c:v>20.68</c:v>
              </c:pt>
              <c:pt idx="887">
                <c:v>20.82</c:v>
              </c:pt>
              <c:pt idx="888">
                <c:v>20.92</c:v>
              </c:pt>
              <c:pt idx="889">
                <c:v>19.77</c:v>
              </c:pt>
              <c:pt idx="890">
                <c:v>17.760000000000002</c:v>
              </c:pt>
              <c:pt idx="891">
                <c:v>16.47</c:v>
              </c:pt>
              <c:pt idx="892">
                <c:v>15.7</c:v>
              </c:pt>
              <c:pt idx="893">
                <c:v>14.54</c:v>
              </c:pt>
              <c:pt idx="894">
                <c:v>15.77</c:v>
              </c:pt>
              <c:pt idx="895">
                <c:v>17.09</c:v>
              </c:pt>
              <c:pt idx="896">
                <c:v>16.12</c:v>
              </c:pt>
              <c:pt idx="897">
                <c:v>13.73</c:v>
              </c:pt>
              <c:pt idx="898">
                <c:v>12.46</c:v>
              </c:pt>
              <c:pt idx="899">
                <c:v>12.48</c:v>
              </c:pt>
              <c:pt idx="900">
                <c:v>12.27</c:v>
              </c:pt>
              <c:pt idx="901">
                <c:v>11.27</c:v>
              </c:pt>
              <c:pt idx="902">
                <c:v>11.52</c:v>
              </c:pt>
              <c:pt idx="903">
                <c:v>14.55</c:v>
              </c:pt>
              <c:pt idx="904">
                <c:v>16.12</c:v>
              </c:pt>
              <c:pt idx="905">
                <c:v>15.31</c:v>
              </c:pt>
              <c:pt idx="906">
                <c:v>12.08</c:v>
              </c:pt>
              <c:pt idx="907">
                <c:v>8.4700000000000006</c:v>
              </c:pt>
              <c:pt idx="908">
                <c:v>6.5880000000000001</c:v>
              </c:pt>
              <c:pt idx="909">
                <c:v>6.0410000000000004</c:v>
              </c:pt>
              <c:pt idx="910">
                <c:v>6.2279999999999998</c:v>
              </c:pt>
              <c:pt idx="911">
                <c:v>6.6310000000000002</c:v>
              </c:pt>
              <c:pt idx="912">
                <c:v>6.7880000000000003</c:v>
              </c:pt>
              <c:pt idx="913">
                <c:v>6.5860000000000003</c:v>
              </c:pt>
              <c:pt idx="914">
                <c:v>6.02</c:v>
              </c:pt>
              <c:pt idx="915">
                <c:v>5.3419999999999996</c:v>
              </c:pt>
              <c:pt idx="916">
                <c:v>4.9219999999999997</c:v>
              </c:pt>
              <c:pt idx="917">
                <c:v>5.3140000000000001</c:v>
              </c:pt>
              <c:pt idx="918">
                <c:v>6.1609999999999996</c:v>
              </c:pt>
              <c:pt idx="919">
                <c:v>6.7770000000000001</c:v>
              </c:pt>
              <c:pt idx="920">
                <c:v>7.46</c:v>
              </c:pt>
              <c:pt idx="921">
                <c:v>8.06</c:v>
              </c:pt>
              <c:pt idx="922">
                <c:v>8.3000000000000007</c:v>
              </c:pt>
              <c:pt idx="923">
                <c:v>8.2100000000000009</c:v>
              </c:pt>
              <c:pt idx="924">
                <c:v>7.8879999999999999</c:v>
              </c:pt>
              <c:pt idx="925">
                <c:v>7.6710000000000003</c:v>
              </c:pt>
              <c:pt idx="926">
                <c:v>7.4989999999999997</c:v>
              </c:pt>
              <c:pt idx="927">
                <c:v>7.4939999999999998</c:v>
              </c:pt>
              <c:pt idx="928">
                <c:v>7.7130000000000001</c:v>
              </c:pt>
              <c:pt idx="929">
                <c:v>7.9359999999999999</c:v>
              </c:pt>
              <c:pt idx="930">
                <c:v>8.08</c:v>
              </c:pt>
              <c:pt idx="931">
                <c:v>8.2899999999999991</c:v>
              </c:pt>
              <c:pt idx="932">
                <c:v>8.32</c:v>
              </c:pt>
              <c:pt idx="933">
                <c:v>8.18</c:v>
              </c:pt>
              <c:pt idx="934">
                <c:v>7.9039999999999999</c:v>
              </c:pt>
              <c:pt idx="935">
                <c:v>7.3789999999999996</c:v>
              </c:pt>
              <c:pt idx="936">
                <c:v>6.6150000000000002</c:v>
              </c:pt>
              <c:pt idx="937">
                <c:v>5.9640000000000004</c:v>
              </c:pt>
              <c:pt idx="938">
                <c:v>5.508</c:v>
              </c:pt>
              <c:pt idx="939">
                <c:v>5.1059999999999999</c:v>
              </c:pt>
              <c:pt idx="940">
                <c:v>4.9059999999999997</c:v>
              </c:pt>
              <c:pt idx="941">
                <c:v>4.734</c:v>
              </c:pt>
              <c:pt idx="942">
                <c:v>4.6349999999999998</c:v>
              </c:pt>
              <c:pt idx="943">
                <c:v>4.4930000000000003</c:v>
              </c:pt>
              <c:pt idx="944">
                <c:v>4.4589999999999996</c:v>
              </c:pt>
              <c:pt idx="945">
                <c:v>4.3410000000000002</c:v>
              </c:pt>
              <c:pt idx="946">
                <c:v>4.3280000000000003</c:v>
              </c:pt>
              <c:pt idx="947">
                <c:v>4.2430000000000003</c:v>
              </c:pt>
              <c:pt idx="948">
                <c:v>4.1909999999999998</c:v>
              </c:pt>
              <c:pt idx="949">
                <c:v>4.1529999999999996</c:v>
              </c:pt>
              <c:pt idx="950">
                <c:v>4.2549999999999999</c:v>
              </c:pt>
              <c:pt idx="951">
                <c:v>4.4340000000000002</c:v>
              </c:pt>
              <c:pt idx="952">
                <c:v>4.6779999999999999</c:v>
              </c:pt>
              <c:pt idx="953">
                <c:v>4.8029999999999999</c:v>
              </c:pt>
              <c:pt idx="954">
                <c:v>4.8449999999999998</c:v>
              </c:pt>
              <c:pt idx="955">
                <c:v>5.0460000000000003</c:v>
              </c:pt>
              <c:pt idx="956">
                <c:v>5.266</c:v>
              </c:pt>
              <c:pt idx="957">
                <c:v>5.4939999999999998</c:v>
              </c:pt>
              <c:pt idx="958">
                <c:v>5.7210000000000001</c:v>
              </c:pt>
              <c:pt idx="959">
                <c:v>6.0309999999999997</c:v>
              </c:pt>
              <c:pt idx="960">
                <c:v>6.5330000000000004</c:v>
              </c:pt>
              <c:pt idx="961">
                <c:v>7.1769999999999996</c:v>
              </c:pt>
              <c:pt idx="962">
                <c:v>7.99</c:v>
              </c:pt>
              <c:pt idx="963">
                <c:v>8.9</c:v>
              </c:pt>
              <c:pt idx="964">
                <c:v>10.050000000000001</c:v>
              </c:pt>
              <c:pt idx="965">
                <c:v>10.91</c:v>
              </c:pt>
              <c:pt idx="966">
                <c:v>11.47</c:v>
              </c:pt>
              <c:pt idx="967">
                <c:v>11.94</c:v>
              </c:pt>
              <c:pt idx="968">
                <c:v>12.1</c:v>
              </c:pt>
              <c:pt idx="969">
                <c:v>12.17</c:v>
              </c:pt>
              <c:pt idx="970">
                <c:v>12.39</c:v>
              </c:pt>
              <c:pt idx="971">
                <c:v>12.08</c:v>
              </c:pt>
              <c:pt idx="972">
                <c:v>11.31</c:v>
              </c:pt>
              <c:pt idx="973">
                <c:v>10.34</c:v>
              </c:pt>
              <c:pt idx="974">
                <c:v>9.19</c:v>
              </c:pt>
              <c:pt idx="975">
                <c:v>8.2899999999999991</c:v>
              </c:pt>
              <c:pt idx="976">
                <c:v>7.5439999999999996</c:v>
              </c:pt>
              <c:pt idx="977">
                <c:v>7.0350000000000001</c:v>
              </c:pt>
              <c:pt idx="978">
                <c:v>6.7519999999999998</c:v>
              </c:pt>
              <c:pt idx="979">
                <c:v>6.5220000000000002</c:v>
              </c:pt>
              <c:pt idx="980">
                <c:v>6.1959999999999997</c:v>
              </c:pt>
              <c:pt idx="981">
                <c:v>6.0439999999999996</c:v>
              </c:pt>
              <c:pt idx="982">
                <c:v>5.867</c:v>
              </c:pt>
              <c:pt idx="983">
                <c:v>5.8</c:v>
              </c:pt>
              <c:pt idx="984">
                <c:v>5.5010000000000003</c:v>
              </c:pt>
              <c:pt idx="985">
                <c:v>5.4960000000000004</c:v>
              </c:pt>
              <c:pt idx="986">
                <c:v>5.7080000000000002</c:v>
              </c:pt>
              <c:pt idx="987">
                <c:v>6.13</c:v>
              </c:pt>
              <c:pt idx="988">
                <c:v>6.7539999999999996</c:v>
              </c:pt>
              <c:pt idx="989">
                <c:v>7.4710000000000001</c:v>
              </c:pt>
              <c:pt idx="990">
                <c:v>7.8470000000000004</c:v>
              </c:pt>
              <c:pt idx="991">
                <c:v>8.18</c:v>
              </c:pt>
              <c:pt idx="992">
                <c:v>9.1</c:v>
              </c:pt>
              <c:pt idx="993">
                <c:v>10.6</c:v>
              </c:pt>
              <c:pt idx="994">
                <c:v>13.12</c:v>
              </c:pt>
              <c:pt idx="995">
                <c:v>13.89</c:v>
              </c:pt>
              <c:pt idx="996">
                <c:v>14.54</c:v>
              </c:pt>
              <c:pt idx="997">
                <c:v>14.53</c:v>
              </c:pt>
              <c:pt idx="998">
                <c:v>14.21</c:v>
              </c:pt>
              <c:pt idx="999">
                <c:v>13.87</c:v>
              </c:pt>
              <c:pt idx="1000">
                <c:v>13.9</c:v>
              </c:pt>
              <c:pt idx="1001">
                <c:v>14.26</c:v>
              </c:pt>
              <c:pt idx="1002">
                <c:v>14.73</c:v>
              </c:pt>
              <c:pt idx="1003">
                <c:v>15.18</c:v>
              </c:pt>
              <c:pt idx="1004">
                <c:v>15.68</c:v>
              </c:pt>
              <c:pt idx="1005">
                <c:v>16.010000000000002</c:v>
              </c:pt>
              <c:pt idx="1006">
                <c:v>15.94</c:v>
              </c:pt>
              <c:pt idx="1007">
                <c:v>15.63</c:v>
              </c:pt>
              <c:pt idx="1008">
                <c:v>15</c:v>
              </c:pt>
              <c:pt idx="1009">
                <c:v>14.09</c:v>
              </c:pt>
              <c:pt idx="1010">
                <c:v>12.96</c:v>
              </c:pt>
              <c:pt idx="1011">
                <c:v>11.99</c:v>
              </c:pt>
              <c:pt idx="1012">
                <c:v>11.07</c:v>
              </c:pt>
              <c:pt idx="1013">
                <c:v>10.220000000000001</c:v>
              </c:pt>
              <c:pt idx="1014">
                <c:v>9.3800000000000008</c:v>
              </c:pt>
              <c:pt idx="1015">
                <c:v>8.4600000000000009</c:v>
              </c:pt>
              <c:pt idx="1016">
                <c:v>7.54</c:v>
              </c:pt>
              <c:pt idx="1017">
                <c:v>6.6360000000000001</c:v>
              </c:pt>
              <c:pt idx="1018">
                <c:v>5.6820000000000004</c:v>
              </c:pt>
              <c:pt idx="1019">
                <c:v>4.8449999999999998</c:v>
              </c:pt>
              <c:pt idx="1020">
                <c:v>4.1790000000000003</c:v>
              </c:pt>
              <c:pt idx="1021">
                <c:v>3.879</c:v>
              </c:pt>
              <c:pt idx="1022">
                <c:v>3.8079999999999998</c:v>
              </c:pt>
              <c:pt idx="1023">
                <c:v>3.6139999999999999</c:v>
              </c:pt>
              <c:pt idx="1024">
                <c:v>3.22</c:v>
              </c:pt>
              <c:pt idx="1025">
                <c:v>2.77</c:v>
              </c:pt>
              <c:pt idx="1026">
                <c:v>2.4510000000000001</c:v>
              </c:pt>
              <c:pt idx="1027">
                <c:v>2.4420000000000002</c:v>
              </c:pt>
              <c:pt idx="1028">
                <c:v>2.4449999999999998</c:v>
              </c:pt>
              <c:pt idx="1029">
                <c:v>2.42</c:v>
              </c:pt>
              <c:pt idx="1030">
                <c:v>2.3340000000000001</c:v>
              </c:pt>
              <c:pt idx="1031">
                <c:v>2.2559999999999998</c:v>
              </c:pt>
              <c:pt idx="1032">
                <c:v>2.3410000000000002</c:v>
              </c:pt>
              <c:pt idx="1033">
                <c:v>2.532</c:v>
              </c:pt>
              <c:pt idx="1034">
                <c:v>3.0270000000000001</c:v>
              </c:pt>
              <c:pt idx="1035">
                <c:v>3.7330000000000001</c:v>
              </c:pt>
              <c:pt idx="1036">
                <c:v>4.7370000000000001</c:v>
              </c:pt>
              <c:pt idx="1037">
                <c:v>5.8330000000000002</c:v>
              </c:pt>
              <c:pt idx="1038">
                <c:v>6.8479999999999999</c:v>
              </c:pt>
              <c:pt idx="1039">
                <c:v>7.8769999999999998</c:v>
              </c:pt>
              <c:pt idx="1040">
                <c:v>9.06</c:v>
              </c:pt>
              <c:pt idx="1041">
                <c:v>10.28</c:v>
              </c:pt>
              <c:pt idx="1042">
                <c:v>11.6</c:v>
              </c:pt>
              <c:pt idx="1043">
                <c:v>12.8</c:v>
              </c:pt>
              <c:pt idx="1044">
                <c:v>13.4</c:v>
              </c:pt>
              <c:pt idx="1045">
                <c:v>13.36</c:v>
              </c:pt>
              <c:pt idx="1046">
                <c:v>13.54</c:v>
              </c:pt>
              <c:pt idx="1047">
                <c:v>12.14</c:v>
              </c:pt>
              <c:pt idx="1048">
                <c:v>11.37</c:v>
              </c:pt>
              <c:pt idx="1049">
                <c:v>11.76</c:v>
              </c:pt>
              <c:pt idx="1050">
                <c:v>9.83</c:v>
              </c:pt>
              <c:pt idx="1051">
                <c:v>8.73</c:v>
              </c:pt>
              <c:pt idx="1052">
                <c:v>7.26</c:v>
              </c:pt>
              <c:pt idx="1053">
                <c:v>5.7240000000000002</c:v>
              </c:pt>
              <c:pt idx="1054">
                <c:v>4.4740000000000002</c:v>
              </c:pt>
              <c:pt idx="1055">
                <c:v>3.6379999999999999</c:v>
              </c:pt>
              <c:pt idx="1056">
                <c:v>3.4729999999999999</c:v>
              </c:pt>
              <c:pt idx="1057">
                <c:v>3.871</c:v>
              </c:pt>
              <c:pt idx="1058">
                <c:v>4.7619999999999996</c:v>
              </c:pt>
              <c:pt idx="1059">
                <c:v>6.0620000000000003</c:v>
              </c:pt>
              <c:pt idx="1060">
                <c:v>7.2830000000000004</c:v>
              </c:pt>
              <c:pt idx="1061">
                <c:v>8.48</c:v>
              </c:pt>
              <c:pt idx="1062">
                <c:v>9.5399999999999991</c:v>
              </c:pt>
              <c:pt idx="1063">
                <c:v>10.42</c:v>
              </c:pt>
              <c:pt idx="1064">
                <c:v>11.49</c:v>
              </c:pt>
              <c:pt idx="1065">
                <c:v>12.93</c:v>
              </c:pt>
              <c:pt idx="1066">
                <c:v>14.41</c:v>
              </c:pt>
              <c:pt idx="1067">
                <c:v>15.39</c:v>
              </c:pt>
              <c:pt idx="1068">
                <c:v>15.85</c:v>
              </c:pt>
              <c:pt idx="1069">
                <c:v>15.87</c:v>
              </c:pt>
              <c:pt idx="1070">
                <c:v>15.57</c:v>
              </c:pt>
              <c:pt idx="1071">
                <c:v>14.94</c:v>
              </c:pt>
              <c:pt idx="1072">
                <c:v>13.95</c:v>
              </c:pt>
              <c:pt idx="1073">
                <c:v>12.77</c:v>
              </c:pt>
              <c:pt idx="1074">
                <c:v>11.59</c:v>
              </c:pt>
              <c:pt idx="1075">
                <c:v>10.64</c:v>
              </c:pt>
              <c:pt idx="1076">
                <c:v>9.91</c:v>
              </c:pt>
              <c:pt idx="1077">
                <c:v>9.41</c:v>
              </c:pt>
              <c:pt idx="1078">
                <c:v>8.86</c:v>
              </c:pt>
              <c:pt idx="1079">
                <c:v>8.3800000000000008</c:v>
              </c:pt>
              <c:pt idx="1080">
                <c:v>7.7690000000000001</c:v>
              </c:pt>
              <c:pt idx="1081">
                <c:v>7.258</c:v>
              </c:pt>
              <c:pt idx="1082">
                <c:v>6.742</c:v>
              </c:pt>
              <c:pt idx="1083">
                <c:v>6.1180000000000003</c:v>
              </c:pt>
              <c:pt idx="1084">
                <c:v>5.3280000000000003</c:v>
              </c:pt>
              <c:pt idx="1085">
                <c:v>4.367</c:v>
              </c:pt>
              <c:pt idx="1086">
                <c:v>3.63</c:v>
              </c:pt>
              <c:pt idx="1087">
                <c:v>3.323</c:v>
              </c:pt>
              <c:pt idx="1088">
                <c:v>3.4729999999999999</c:v>
              </c:pt>
              <c:pt idx="1089">
                <c:v>3.778</c:v>
              </c:pt>
              <c:pt idx="1090">
                <c:v>4.0709999999999997</c:v>
              </c:pt>
              <c:pt idx="1091">
                <c:v>4.1459999999999999</c:v>
              </c:pt>
              <c:pt idx="1092">
                <c:v>4.125</c:v>
              </c:pt>
              <c:pt idx="1093">
                <c:v>3.911</c:v>
              </c:pt>
              <c:pt idx="1094">
                <c:v>3.7869999999999999</c:v>
              </c:pt>
              <c:pt idx="1095">
                <c:v>3.9169999999999998</c:v>
              </c:pt>
              <c:pt idx="1096">
                <c:v>4.3049999999999997</c:v>
              </c:pt>
              <c:pt idx="1097">
                <c:v>4.6859999999999999</c:v>
              </c:pt>
              <c:pt idx="1098">
                <c:v>5.0220000000000002</c:v>
              </c:pt>
              <c:pt idx="1099">
                <c:v>5.2770000000000001</c:v>
              </c:pt>
              <c:pt idx="1100">
                <c:v>5.35</c:v>
              </c:pt>
              <c:pt idx="1101">
                <c:v>5.1710000000000003</c:v>
              </c:pt>
              <c:pt idx="1102">
                <c:v>4.7779999999999996</c:v>
              </c:pt>
              <c:pt idx="1103">
                <c:v>4.5229999999999997</c:v>
              </c:pt>
              <c:pt idx="1104">
                <c:v>4.5780000000000003</c:v>
              </c:pt>
              <c:pt idx="1105">
                <c:v>4.9160000000000004</c:v>
              </c:pt>
              <c:pt idx="1106">
                <c:v>5.0990000000000002</c:v>
              </c:pt>
              <c:pt idx="1107">
                <c:v>5.101</c:v>
              </c:pt>
              <c:pt idx="1108">
                <c:v>5.07</c:v>
              </c:pt>
              <c:pt idx="1109">
                <c:v>5.008</c:v>
              </c:pt>
              <c:pt idx="1110">
                <c:v>4.95</c:v>
              </c:pt>
              <c:pt idx="1111">
                <c:v>4.8259999999999996</c:v>
              </c:pt>
              <c:pt idx="1112">
                <c:v>4.8049999999999997</c:v>
              </c:pt>
              <c:pt idx="1113">
                <c:v>4.7160000000000002</c:v>
              </c:pt>
              <c:pt idx="1114">
                <c:v>4.7649999999999997</c:v>
              </c:pt>
              <c:pt idx="1115">
                <c:v>4.7880000000000003</c:v>
              </c:pt>
              <c:pt idx="1116">
                <c:v>4.9000000000000004</c:v>
              </c:pt>
              <c:pt idx="1117">
                <c:v>4.9610000000000003</c:v>
              </c:pt>
              <c:pt idx="1118">
                <c:v>5.0590000000000002</c:v>
              </c:pt>
              <c:pt idx="1119">
                <c:v>5.0640000000000001</c:v>
              </c:pt>
              <c:pt idx="1120">
                <c:v>5.1559999999999997</c:v>
              </c:pt>
              <c:pt idx="1121">
                <c:v>5.2560000000000002</c:v>
              </c:pt>
              <c:pt idx="1122">
                <c:v>5.2380000000000004</c:v>
              </c:pt>
              <c:pt idx="1123">
                <c:v>5.1989999999999998</c:v>
              </c:pt>
              <c:pt idx="1124">
                <c:v>5.0810000000000004</c:v>
              </c:pt>
              <c:pt idx="1125">
                <c:v>4.9790000000000001</c:v>
              </c:pt>
              <c:pt idx="1126">
                <c:v>4.78</c:v>
              </c:pt>
              <c:pt idx="1127">
                <c:v>4.5069999999999997</c:v>
              </c:pt>
              <c:pt idx="1128">
                <c:v>4.3109999999999999</c:v>
              </c:pt>
              <c:pt idx="1129">
                <c:v>4.0949999999999998</c:v>
              </c:pt>
              <c:pt idx="1130">
                <c:v>3.98</c:v>
              </c:pt>
              <c:pt idx="1131">
                <c:v>3.8029999999999999</c:v>
              </c:pt>
              <c:pt idx="1132">
                <c:v>3.6970000000000001</c:v>
              </c:pt>
              <c:pt idx="1133">
                <c:v>3.5630000000000002</c:v>
              </c:pt>
              <c:pt idx="1134">
                <c:v>3.5059999999999998</c:v>
              </c:pt>
              <c:pt idx="1135">
                <c:v>3.4089999999999998</c:v>
              </c:pt>
              <c:pt idx="1136">
                <c:v>3.3759999999999999</c:v>
              </c:pt>
              <c:pt idx="1137">
                <c:v>3.3170000000000002</c:v>
              </c:pt>
              <c:pt idx="1138">
                <c:v>3.3420000000000001</c:v>
              </c:pt>
              <c:pt idx="1139">
                <c:v>3.3140000000000001</c:v>
              </c:pt>
              <c:pt idx="1140">
                <c:v>3.258</c:v>
              </c:pt>
              <c:pt idx="1141">
                <c:v>3.2170000000000001</c:v>
              </c:pt>
              <c:pt idx="1142">
                <c:v>3.1819999999999999</c:v>
              </c:pt>
              <c:pt idx="1143">
                <c:v>3.1219999999999999</c:v>
              </c:pt>
              <c:pt idx="1144">
                <c:v>3.0209999999999999</c:v>
              </c:pt>
              <c:pt idx="1145">
                <c:v>2.9569999999999999</c:v>
              </c:pt>
              <c:pt idx="1146">
                <c:v>2.8359999999999999</c:v>
              </c:pt>
              <c:pt idx="1147">
                <c:v>2.7509999999999999</c:v>
              </c:pt>
              <c:pt idx="1148">
                <c:v>2.6040000000000001</c:v>
              </c:pt>
              <c:pt idx="1149">
                <c:v>2.544</c:v>
              </c:pt>
              <c:pt idx="1150">
                <c:v>2.5150000000000001</c:v>
              </c:pt>
              <c:pt idx="1151">
                <c:v>2.524</c:v>
              </c:pt>
              <c:pt idx="1152">
                <c:v>2.4990000000000001</c:v>
              </c:pt>
              <c:pt idx="1153">
                <c:v>2.4300000000000002</c:v>
              </c:pt>
              <c:pt idx="1154">
                <c:v>2.4860000000000002</c:v>
              </c:pt>
              <c:pt idx="1155">
                <c:v>2.6179999999999999</c:v>
              </c:pt>
              <c:pt idx="1156">
                <c:v>2.7730000000000001</c:v>
              </c:pt>
              <c:pt idx="1157">
                <c:v>2.823</c:v>
              </c:pt>
              <c:pt idx="1158">
                <c:v>2.6309999999999998</c:v>
              </c:pt>
              <c:pt idx="1159">
                <c:v>2.3210000000000002</c:v>
              </c:pt>
              <c:pt idx="1160">
                <c:v>2.1970000000000001</c:v>
              </c:pt>
              <c:pt idx="1161">
                <c:v>2.101</c:v>
              </c:pt>
              <c:pt idx="1162">
                <c:v>1.8160000000000001</c:v>
              </c:pt>
              <c:pt idx="1163">
                <c:v>1.36</c:v>
              </c:pt>
              <c:pt idx="1164">
                <c:v>0.98699999999999999</c:v>
              </c:pt>
              <c:pt idx="1165">
                <c:v>0.68400000000000005</c:v>
              </c:pt>
              <c:pt idx="1166">
                <c:v>0.46200000000000002</c:v>
              </c:pt>
              <c:pt idx="1167">
                <c:v>0.32800000000000001</c:v>
              </c:pt>
              <c:pt idx="1168">
                <c:v>0.224</c:v>
              </c:pt>
              <c:pt idx="1169">
                <c:v>5.5E-2</c:v>
              </c:pt>
              <c:pt idx="1170">
                <c:v>7.0000000000000001E-3</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1E-3</c:v>
              </c:pt>
              <c:pt idx="1244">
                <c:v>0</c:v>
              </c:pt>
              <c:pt idx="1245">
                <c:v>0</c:v>
              </c:pt>
              <c:pt idx="1246">
                <c:v>0</c:v>
              </c:pt>
              <c:pt idx="1247">
                <c:v>3.0000000000000001E-3</c:v>
              </c:pt>
              <c:pt idx="1248">
                <c:v>0</c:v>
              </c:pt>
              <c:pt idx="1249">
                <c:v>2E-3</c:v>
              </c:pt>
              <c:pt idx="1250">
                <c:v>0</c:v>
              </c:pt>
              <c:pt idx="1251">
                <c:v>0</c:v>
              </c:pt>
              <c:pt idx="1252">
                <c:v>0</c:v>
              </c:pt>
              <c:pt idx="1253">
                <c:v>3.0000000000000001E-3</c:v>
              </c:pt>
              <c:pt idx="1254">
                <c:v>0</c:v>
              </c:pt>
              <c:pt idx="1255">
                <c:v>3.0000000000000001E-3</c:v>
              </c:pt>
              <c:pt idx="1256">
                <c:v>0</c:v>
              </c:pt>
              <c:pt idx="1257">
                <c:v>2E-3</c:v>
              </c:pt>
              <c:pt idx="1258">
                <c:v>0</c:v>
              </c:pt>
              <c:pt idx="1259">
                <c:v>0</c:v>
              </c:pt>
              <c:pt idx="1260">
                <c:v>0</c:v>
              </c:pt>
              <c:pt idx="1261">
                <c:v>0</c:v>
              </c:pt>
              <c:pt idx="1262">
                <c:v>0</c:v>
              </c:pt>
              <c:pt idx="1263">
                <c:v>3.0000000000000001E-3</c:v>
              </c:pt>
              <c:pt idx="1264">
                <c:v>0</c:v>
              </c:pt>
              <c:pt idx="1265">
                <c:v>0</c:v>
              </c:pt>
              <c:pt idx="1266">
                <c:v>1.2999999999999999E-2</c:v>
              </c:pt>
              <c:pt idx="1267">
                <c:v>0</c:v>
              </c:pt>
              <c:pt idx="1268">
                <c:v>2E-3</c:v>
              </c:pt>
              <c:pt idx="1269">
                <c:v>2.5000000000000001E-2</c:v>
              </c:pt>
              <c:pt idx="1270">
                <c:v>1.2999999999999999E-2</c:v>
              </c:pt>
              <c:pt idx="1271">
                <c:v>2.8000000000000001E-2</c:v>
              </c:pt>
              <c:pt idx="1272">
                <c:v>3.4000000000000002E-2</c:v>
              </c:pt>
              <c:pt idx="1273">
                <c:v>2.9000000000000001E-2</c:v>
              </c:pt>
              <c:pt idx="1274">
                <c:v>3.4000000000000002E-2</c:v>
              </c:pt>
              <c:pt idx="1275">
                <c:v>8.9999999999999993E-3</c:v>
              </c:pt>
              <c:pt idx="1276">
                <c:v>1.7000000000000001E-2</c:v>
              </c:pt>
              <c:pt idx="1277">
                <c:v>4.8000000000000001E-2</c:v>
              </c:pt>
              <c:pt idx="1278">
                <c:v>3.3000000000000002E-2</c:v>
              </c:pt>
              <c:pt idx="1279">
                <c:v>6.6000000000000003E-2</c:v>
              </c:pt>
              <c:pt idx="1280">
                <c:v>4.8000000000000001E-2</c:v>
              </c:pt>
              <c:pt idx="1281">
                <c:v>6.4000000000000001E-2</c:v>
              </c:pt>
              <c:pt idx="1282">
                <c:v>2.9000000000000001E-2</c:v>
              </c:pt>
              <c:pt idx="1283">
                <c:v>9.7000000000000003E-2</c:v>
              </c:pt>
              <c:pt idx="1284">
                <c:v>5.6000000000000001E-2</c:v>
              </c:pt>
              <c:pt idx="1285">
                <c:v>8.4000000000000005E-2</c:v>
              </c:pt>
              <c:pt idx="1286">
                <c:v>6.0999999999999999E-2</c:v>
              </c:pt>
              <c:pt idx="1287">
                <c:v>5.7000000000000002E-2</c:v>
              </c:pt>
              <c:pt idx="1288">
                <c:v>0.09</c:v>
              </c:pt>
              <c:pt idx="1289">
                <c:v>0.112</c:v>
              </c:pt>
              <c:pt idx="1290">
                <c:v>5.8999999999999997E-2</c:v>
              </c:pt>
              <c:pt idx="1291">
                <c:v>7.1999999999999995E-2</c:v>
              </c:pt>
              <c:pt idx="1292">
                <c:v>0.10199999999999999</c:v>
              </c:pt>
              <c:pt idx="1293">
                <c:v>6.6000000000000003E-2</c:v>
              </c:pt>
              <c:pt idx="1294">
                <c:v>8.5000000000000006E-2</c:v>
              </c:pt>
              <c:pt idx="1295">
                <c:v>7.3999999999999996E-2</c:v>
              </c:pt>
              <c:pt idx="1296">
                <c:v>0.127</c:v>
              </c:pt>
              <c:pt idx="1297">
                <c:v>0.113</c:v>
              </c:pt>
              <c:pt idx="1298">
                <c:v>0.108</c:v>
              </c:pt>
              <c:pt idx="1299">
                <c:v>0.124</c:v>
              </c:pt>
              <c:pt idx="1300">
                <c:v>9.7000000000000003E-2</c:v>
              </c:pt>
              <c:pt idx="1301">
                <c:v>7.8E-2</c:v>
              </c:pt>
              <c:pt idx="1302">
                <c:v>8.3000000000000004E-2</c:v>
              </c:pt>
              <c:pt idx="1303">
                <c:v>5.8999999999999997E-2</c:v>
              </c:pt>
              <c:pt idx="1304">
                <c:v>0.127</c:v>
              </c:pt>
              <c:pt idx="1305">
                <c:v>9.8000000000000004E-2</c:v>
              </c:pt>
              <c:pt idx="1306">
                <c:v>0.14399999999999999</c:v>
              </c:pt>
              <c:pt idx="1307">
                <c:v>0.13700000000000001</c:v>
              </c:pt>
              <c:pt idx="1308">
                <c:v>9.5000000000000001E-2</c:v>
              </c:pt>
              <c:pt idx="1309">
                <c:v>0.13</c:v>
              </c:pt>
              <c:pt idx="1310">
                <c:v>0.13100000000000001</c:v>
              </c:pt>
              <c:pt idx="1311">
                <c:v>0.155</c:v>
              </c:pt>
              <c:pt idx="1312">
                <c:v>0.122</c:v>
              </c:pt>
              <c:pt idx="1313">
                <c:v>0.14000000000000001</c:v>
              </c:pt>
              <c:pt idx="1314">
                <c:v>0.16400000000000001</c:v>
              </c:pt>
              <c:pt idx="1315">
                <c:v>0.129</c:v>
              </c:pt>
              <c:pt idx="1316">
                <c:v>0.128</c:v>
              </c:pt>
              <c:pt idx="1317">
                <c:v>0.13400000000000001</c:v>
              </c:pt>
              <c:pt idx="1318">
                <c:v>0.126</c:v>
              </c:pt>
              <c:pt idx="1319">
                <c:v>0.127</c:v>
              </c:pt>
              <c:pt idx="1320">
                <c:v>0.108</c:v>
              </c:pt>
              <c:pt idx="1321">
                <c:v>0.115</c:v>
              </c:pt>
              <c:pt idx="1322">
                <c:v>0.125</c:v>
              </c:pt>
              <c:pt idx="1323">
                <c:v>7.3999999999999996E-2</c:v>
              </c:pt>
              <c:pt idx="1324">
                <c:v>0.109</c:v>
              </c:pt>
              <c:pt idx="1325">
                <c:v>0.13</c:v>
              </c:pt>
              <c:pt idx="1326">
                <c:v>0.105</c:v>
              </c:pt>
              <c:pt idx="1327">
                <c:v>5.8000000000000003E-2</c:v>
              </c:pt>
              <c:pt idx="1328">
                <c:v>6.4000000000000001E-2</c:v>
              </c:pt>
              <c:pt idx="1329">
                <c:v>5.7000000000000002E-2</c:v>
              </c:pt>
              <c:pt idx="1330">
                <c:v>5.8000000000000003E-2</c:v>
              </c:pt>
              <c:pt idx="1331">
                <c:v>3.7999999999999999E-2</c:v>
              </c:pt>
              <c:pt idx="1332">
                <c:v>5.0999999999999997E-2</c:v>
              </c:pt>
              <c:pt idx="1333">
                <c:v>2.1000000000000001E-2</c:v>
              </c:pt>
              <c:pt idx="1334">
                <c:v>6.0999999999999999E-2</c:v>
              </c:pt>
              <c:pt idx="1335">
                <c:v>2.9000000000000001E-2</c:v>
              </c:pt>
              <c:pt idx="1336">
                <c:v>0</c:v>
              </c:pt>
              <c:pt idx="1337">
                <c:v>1.4E-2</c:v>
              </c:pt>
              <c:pt idx="1338">
                <c:v>0.01</c:v>
              </c:pt>
              <c:pt idx="1339">
                <c:v>1.4E-2</c:v>
              </c:pt>
              <c:pt idx="1340">
                <c:v>1.4E-2</c:v>
              </c:pt>
              <c:pt idx="1341">
                <c:v>2.7E-2</c:v>
              </c:pt>
              <c:pt idx="1342">
                <c:v>1.6E-2</c:v>
              </c:pt>
              <c:pt idx="1343">
                <c:v>1.7999999999999999E-2</c:v>
              </c:pt>
              <c:pt idx="1344">
                <c:v>2.3E-2</c:v>
              </c:pt>
              <c:pt idx="1345">
                <c:v>1.0999999999999999E-2</c:v>
              </c:pt>
              <c:pt idx="1346">
                <c:v>5.0000000000000001E-3</c:v>
              </c:pt>
              <c:pt idx="1347">
                <c:v>0.03</c:v>
              </c:pt>
              <c:pt idx="1348">
                <c:v>8.9999999999999993E-3</c:v>
              </c:pt>
              <c:pt idx="1349">
                <c:v>1.7999999999999999E-2</c:v>
              </c:pt>
              <c:pt idx="1350">
                <c:v>8.0000000000000002E-3</c:v>
              </c:pt>
              <c:pt idx="1351">
                <c:v>4.0000000000000001E-3</c:v>
              </c:pt>
              <c:pt idx="1352">
                <c:v>2.4E-2</c:v>
              </c:pt>
              <c:pt idx="1353">
                <c:v>1.4999999999999999E-2</c:v>
              </c:pt>
              <c:pt idx="1354">
                <c:v>2E-3</c:v>
              </c:pt>
              <c:pt idx="1355">
                <c:v>2.4E-2</c:v>
              </c:pt>
              <c:pt idx="1356">
                <c:v>7.0000000000000001E-3</c:v>
              </c:pt>
              <c:pt idx="1357">
                <c:v>1.6E-2</c:v>
              </c:pt>
              <c:pt idx="1358">
                <c:v>8.9999999999999993E-3</c:v>
              </c:pt>
              <c:pt idx="1359">
                <c:v>0</c:v>
              </c:pt>
              <c:pt idx="1360">
                <c:v>2.3E-2</c:v>
              </c:pt>
              <c:pt idx="1361">
                <c:v>1.0999999999999999E-2</c:v>
              </c:pt>
              <c:pt idx="1362">
                <c:v>2.9000000000000001E-2</c:v>
              </c:pt>
              <c:pt idx="1363">
                <c:v>0.02</c:v>
              </c:pt>
              <c:pt idx="1364">
                <c:v>1.4E-2</c:v>
              </c:pt>
              <c:pt idx="1365">
                <c:v>8.0000000000000002E-3</c:v>
              </c:pt>
              <c:pt idx="1366">
                <c:v>1.2999999999999999E-2</c:v>
              </c:pt>
              <c:pt idx="1367">
                <c:v>7.0000000000000001E-3</c:v>
              </c:pt>
              <c:pt idx="1368">
                <c:v>1.7000000000000001E-2</c:v>
              </c:pt>
              <c:pt idx="1369">
                <c:v>3.0000000000000001E-3</c:v>
              </c:pt>
              <c:pt idx="1370">
                <c:v>2E-3</c:v>
              </c:pt>
              <c:pt idx="1371">
                <c:v>2.5000000000000001E-2</c:v>
              </c:pt>
              <c:pt idx="1372">
                <c:v>6.5000000000000002E-2</c:v>
              </c:pt>
              <c:pt idx="1373">
                <c:v>4.2999999999999997E-2</c:v>
              </c:pt>
              <c:pt idx="1374">
                <c:v>4.4999999999999998E-2</c:v>
              </c:pt>
              <c:pt idx="1375">
                <c:v>5.2999999999999999E-2</c:v>
              </c:pt>
              <c:pt idx="1376">
                <c:v>4.1000000000000002E-2</c:v>
              </c:pt>
              <c:pt idx="1377">
                <c:v>7.0999999999999994E-2</c:v>
              </c:pt>
              <c:pt idx="1378">
                <c:v>3.9E-2</c:v>
              </c:pt>
              <c:pt idx="1379">
                <c:v>3.9E-2</c:v>
              </c:pt>
              <c:pt idx="1380">
                <c:v>4.9000000000000002E-2</c:v>
              </c:pt>
              <c:pt idx="1381">
                <c:v>1.7000000000000001E-2</c:v>
              </c:pt>
              <c:pt idx="1382">
                <c:v>8.0000000000000002E-3</c:v>
              </c:pt>
              <c:pt idx="1383">
                <c:v>2.4E-2</c:v>
              </c:pt>
              <c:pt idx="1384">
                <c:v>1.4E-2</c:v>
              </c:pt>
              <c:pt idx="1385">
                <c:v>2.1999999999999999E-2</c:v>
              </c:pt>
              <c:pt idx="1386">
                <c:v>6.0000000000000001E-3</c:v>
              </c:pt>
              <c:pt idx="1387">
                <c:v>0</c:v>
              </c:pt>
              <c:pt idx="1388">
                <c:v>7.0000000000000001E-3</c:v>
              </c:pt>
              <c:pt idx="1389">
                <c:v>8.0000000000000002E-3</c:v>
              </c:pt>
              <c:pt idx="1390">
                <c:v>6.0000000000000001E-3</c:v>
              </c:pt>
              <c:pt idx="1391">
                <c:v>0</c:v>
              </c:pt>
              <c:pt idx="1392">
                <c:v>1.9E-2</c:v>
              </c:pt>
              <c:pt idx="1393">
                <c:v>1.6E-2</c:v>
              </c:pt>
              <c:pt idx="1394">
                <c:v>2.1999999999999999E-2</c:v>
              </c:pt>
              <c:pt idx="1395">
                <c:v>7.0000000000000001E-3</c:v>
              </c:pt>
              <c:pt idx="1396">
                <c:v>1.4999999999999999E-2</c:v>
              </c:pt>
              <c:pt idx="1397">
                <c:v>0.03</c:v>
              </c:pt>
              <c:pt idx="1398">
                <c:v>0</c:v>
              </c:pt>
              <c:pt idx="1399">
                <c:v>0</c:v>
              </c:pt>
              <c:pt idx="1400">
                <c:v>0</c:v>
              </c:pt>
              <c:pt idx="1401">
                <c:v>0</c:v>
              </c:pt>
              <c:pt idx="1402">
                <c:v>0</c:v>
              </c:pt>
              <c:pt idx="1403">
                <c:v>0</c:v>
              </c:pt>
              <c:pt idx="1404">
                <c:v>0</c:v>
              </c:pt>
              <c:pt idx="1405">
                <c:v>0</c:v>
              </c:pt>
              <c:pt idx="1406">
                <c:v>0</c:v>
              </c:pt>
              <c:pt idx="1407">
                <c:v>0</c:v>
              </c:pt>
              <c:pt idx="1408">
                <c:v>0</c:v>
              </c:pt>
              <c:pt idx="1409">
                <c:v>1.4E-2</c:v>
              </c:pt>
              <c:pt idx="1410">
                <c:v>6.0000000000000001E-3</c:v>
              </c:pt>
              <c:pt idx="1411">
                <c:v>0</c:v>
              </c:pt>
              <c:pt idx="1412">
                <c:v>3.0000000000000001E-3</c:v>
              </c:pt>
              <c:pt idx="1413">
                <c:v>1.7000000000000001E-2</c:v>
              </c:pt>
              <c:pt idx="1414">
                <c:v>0</c:v>
              </c:pt>
              <c:pt idx="1415">
                <c:v>1.2E-2</c:v>
              </c:pt>
              <c:pt idx="1416">
                <c:v>0</c:v>
              </c:pt>
              <c:pt idx="1417">
                <c:v>1.2E-2</c:v>
              </c:pt>
              <c:pt idx="1418">
                <c:v>4.0000000000000001E-3</c:v>
              </c:pt>
              <c:pt idx="1419">
                <c:v>0</c:v>
              </c:pt>
              <c:pt idx="1420">
                <c:v>0</c:v>
              </c:pt>
              <c:pt idx="1421">
                <c:v>0</c:v>
              </c:pt>
              <c:pt idx="1422">
                <c:v>2E-3</c:v>
              </c:pt>
              <c:pt idx="1423">
                <c:v>3.0000000000000001E-3</c:v>
              </c:pt>
              <c:pt idx="1424">
                <c:v>0</c:v>
              </c:pt>
              <c:pt idx="1425">
                <c:v>0</c:v>
              </c:pt>
              <c:pt idx="1426">
                <c:v>0</c:v>
              </c:pt>
              <c:pt idx="1427">
                <c:v>0</c:v>
              </c:pt>
              <c:pt idx="1428">
                <c:v>1E-3</c:v>
              </c:pt>
              <c:pt idx="1429">
                <c:v>0</c:v>
              </c:pt>
              <c:pt idx="1430">
                <c:v>4.0000000000000001E-3</c:v>
              </c:pt>
              <c:pt idx="1431">
                <c:v>0</c:v>
              </c:pt>
              <c:pt idx="1432">
                <c:v>6.0000000000000001E-3</c:v>
              </c:pt>
              <c:pt idx="1433">
                <c:v>1E-3</c:v>
              </c:pt>
              <c:pt idx="1434">
                <c:v>1E-3</c:v>
              </c:pt>
              <c:pt idx="1435">
                <c:v>0</c:v>
              </c:pt>
              <c:pt idx="1436">
                <c:v>2.1000000000000001E-2</c:v>
              </c:pt>
              <c:pt idx="1437">
                <c:v>8.0000000000000002E-3</c:v>
              </c:pt>
              <c:pt idx="1438">
                <c:v>3.5000000000000003E-2</c:v>
              </c:pt>
              <c:pt idx="1439">
                <c:v>0.04</c:v>
              </c:pt>
              <c:pt idx="1440">
                <c:v>4.2000000000000003E-2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0-6259-46DD-8E42-052732076705}"/>
            </c:ext>
          </c:extLst>
        </c:ser>
        <c:ser>
          <c:idx val="1"/>
          <c:order val="1"/>
          <c:tx>
            <c:v>IS4 WMS POA Downword(W/mÂ²)</c:v>
          </c:tx>
          <c:spPr>
            <a:ln w="28575" cap="rnd">
              <a:solidFill>
                <a:schemeClr val="accent2"/>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0.13500000000000001</c:v>
              </c:pt>
              <c:pt idx="2">
                <c:v>0.13400000000000001</c:v>
              </c:pt>
              <c:pt idx="3">
                <c:v>0.16</c:v>
              </c:pt>
              <c:pt idx="4">
                <c:v>0.13600000000000001</c:v>
              </c:pt>
              <c:pt idx="5">
                <c:v>0.15</c:v>
              </c:pt>
              <c:pt idx="6">
                <c:v>0.115</c:v>
              </c:pt>
              <c:pt idx="7">
                <c:v>0.13400000000000001</c:v>
              </c:pt>
              <c:pt idx="8">
                <c:v>0.16</c:v>
              </c:pt>
              <c:pt idx="9">
                <c:v>0.159</c:v>
              </c:pt>
              <c:pt idx="10">
                <c:v>0.14199999999999999</c:v>
              </c:pt>
              <c:pt idx="11">
                <c:v>0.11799999999999999</c:v>
              </c:pt>
              <c:pt idx="12">
                <c:v>0.10299999999999999</c:v>
              </c:pt>
              <c:pt idx="13">
                <c:v>0.17299999999999999</c:v>
              </c:pt>
              <c:pt idx="14">
                <c:v>0.11899999999999999</c:v>
              </c:pt>
              <c:pt idx="15">
                <c:v>0.127</c:v>
              </c:pt>
              <c:pt idx="16">
                <c:v>0.10100000000000001</c:v>
              </c:pt>
              <c:pt idx="17">
                <c:v>0.128</c:v>
              </c:pt>
              <c:pt idx="18">
                <c:v>0.11600000000000001</c:v>
              </c:pt>
              <c:pt idx="19">
                <c:v>0.113</c:v>
              </c:pt>
              <c:pt idx="20">
                <c:v>0.11799999999999999</c:v>
              </c:pt>
              <c:pt idx="21">
                <c:v>0.152</c:v>
              </c:pt>
              <c:pt idx="22">
                <c:v>0.14699999999999999</c:v>
              </c:pt>
              <c:pt idx="23">
                <c:v>0.158</c:v>
              </c:pt>
              <c:pt idx="24">
                <c:v>0.14499999999999999</c:v>
              </c:pt>
              <c:pt idx="25">
                <c:v>0.14099999999999999</c:v>
              </c:pt>
              <c:pt idx="26">
                <c:v>0.14499999999999999</c:v>
              </c:pt>
              <c:pt idx="27">
                <c:v>0.128</c:v>
              </c:pt>
              <c:pt idx="28">
                <c:v>0.14000000000000001</c:v>
              </c:pt>
              <c:pt idx="29">
                <c:v>0.115</c:v>
              </c:pt>
              <c:pt idx="30">
                <c:v>0.115</c:v>
              </c:pt>
              <c:pt idx="31">
                <c:v>0.11899999999999999</c:v>
              </c:pt>
              <c:pt idx="32">
                <c:v>0.123</c:v>
              </c:pt>
              <c:pt idx="33">
                <c:v>0.155</c:v>
              </c:pt>
              <c:pt idx="34">
                <c:v>0.13600000000000001</c:v>
              </c:pt>
              <c:pt idx="35">
                <c:v>0.14299999999999999</c:v>
              </c:pt>
              <c:pt idx="36">
                <c:v>0.14799999999999999</c:v>
              </c:pt>
              <c:pt idx="37">
                <c:v>0.152</c:v>
              </c:pt>
              <c:pt idx="38">
                <c:v>0.20300000000000001</c:v>
              </c:pt>
              <c:pt idx="39">
                <c:v>0.214</c:v>
              </c:pt>
              <c:pt idx="40">
                <c:v>0.16900000000000001</c:v>
              </c:pt>
              <c:pt idx="41">
                <c:v>0.15</c:v>
              </c:pt>
              <c:pt idx="42">
                <c:v>0.17699999999999999</c:v>
              </c:pt>
              <c:pt idx="43">
                <c:v>0.182</c:v>
              </c:pt>
              <c:pt idx="44">
                <c:v>0.19600000000000001</c:v>
              </c:pt>
              <c:pt idx="45">
                <c:v>0.23</c:v>
              </c:pt>
              <c:pt idx="46">
                <c:v>0.151</c:v>
              </c:pt>
              <c:pt idx="47">
                <c:v>0.17</c:v>
              </c:pt>
              <c:pt idx="48">
                <c:v>0.16</c:v>
              </c:pt>
              <c:pt idx="49">
                <c:v>0.129</c:v>
              </c:pt>
              <c:pt idx="50">
                <c:v>0.153</c:v>
              </c:pt>
              <c:pt idx="51">
                <c:v>0.156</c:v>
              </c:pt>
              <c:pt idx="52">
                <c:v>0.161</c:v>
              </c:pt>
              <c:pt idx="53">
                <c:v>0.17199999999999999</c:v>
              </c:pt>
              <c:pt idx="54">
                <c:v>0.13500000000000001</c:v>
              </c:pt>
              <c:pt idx="55">
                <c:v>0.19600000000000001</c:v>
              </c:pt>
              <c:pt idx="56">
                <c:v>0.224</c:v>
              </c:pt>
              <c:pt idx="57">
                <c:v>0.186</c:v>
              </c:pt>
              <c:pt idx="58">
                <c:v>0.21299999999999999</c:v>
              </c:pt>
              <c:pt idx="59">
                <c:v>0.217</c:v>
              </c:pt>
              <c:pt idx="60">
                <c:v>0.19900000000000001</c:v>
              </c:pt>
              <c:pt idx="61">
                <c:v>0.128</c:v>
              </c:pt>
              <c:pt idx="62">
                <c:v>0.17</c:v>
              </c:pt>
              <c:pt idx="63">
                <c:v>0.113</c:v>
              </c:pt>
              <c:pt idx="64">
                <c:v>0.14799999999999999</c:v>
              </c:pt>
              <c:pt idx="65">
                <c:v>0.11799999999999999</c:v>
              </c:pt>
              <c:pt idx="66">
                <c:v>7.0000000000000007E-2</c:v>
              </c:pt>
              <c:pt idx="67">
                <c:v>6.7000000000000004E-2</c:v>
              </c:pt>
              <c:pt idx="68">
                <c:v>5.2999999999999999E-2</c:v>
              </c:pt>
              <c:pt idx="69">
                <c:v>0.105</c:v>
              </c:pt>
              <c:pt idx="70">
                <c:v>8.5000000000000006E-2</c:v>
              </c:pt>
              <c:pt idx="71">
                <c:v>6.3E-2</c:v>
              </c:pt>
              <c:pt idx="72">
                <c:v>6.7000000000000004E-2</c:v>
              </c:pt>
              <c:pt idx="73">
                <c:v>9.6000000000000002E-2</c:v>
              </c:pt>
              <c:pt idx="74">
                <c:v>9.1999999999999998E-2</c:v>
              </c:pt>
              <c:pt idx="75">
                <c:v>0.115</c:v>
              </c:pt>
              <c:pt idx="76">
                <c:v>0.106</c:v>
              </c:pt>
              <c:pt idx="77">
                <c:v>0.14599999999999999</c:v>
              </c:pt>
              <c:pt idx="78">
                <c:v>0.10100000000000001</c:v>
              </c:pt>
              <c:pt idx="79">
                <c:v>0.13600000000000001</c:v>
              </c:pt>
              <c:pt idx="80">
                <c:v>0.13200000000000001</c:v>
              </c:pt>
              <c:pt idx="81">
                <c:v>0.16300000000000001</c:v>
              </c:pt>
              <c:pt idx="82">
                <c:v>0.105</c:v>
              </c:pt>
              <c:pt idx="83">
                <c:v>0.112</c:v>
              </c:pt>
              <c:pt idx="84">
                <c:v>0.112</c:v>
              </c:pt>
              <c:pt idx="85">
                <c:v>0.105</c:v>
              </c:pt>
              <c:pt idx="86">
                <c:v>0.11799999999999999</c:v>
              </c:pt>
              <c:pt idx="87">
                <c:v>0.10100000000000001</c:v>
              </c:pt>
              <c:pt idx="88">
                <c:v>0.111</c:v>
              </c:pt>
              <c:pt idx="89">
                <c:v>0.1</c:v>
              </c:pt>
              <c:pt idx="90">
                <c:v>7.4999999999999997E-2</c:v>
              </c:pt>
              <c:pt idx="91">
                <c:v>0.10299999999999999</c:v>
              </c:pt>
              <c:pt idx="92">
                <c:v>0.12</c:v>
              </c:pt>
              <c:pt idx="93">
                <c:v>5.1999999999999998E-2</c:v>
              </c:pt>
              <c:pt idx="94">
                <c:v>8.4000000000000005E-2</c:v>
              </c:pt>
              <c:pt idx="95">
                <c:v>0.1</c:v>
              </c:pt>
              <c:pt idx="96">
                <c:v>0.125</c:v>
              </c:pt>
              <c:pt idx="97">
                <c:v>0.108</c:v>
              </c:pt>
              <c:pt idx="98">
                <c:v>0.11799999999999999</c:v>
              </c:pt>
              <c:pt idx="99">
                <c:v>0.11899999999999999</c:v>
              </c:pt>
              <c:pt idx="100">
                <c:v>7.6999999999999999E-2</c:v>
              </c:pt>
              <c:pt idx="101">
                <c:v>0.14799999999999999</c:v>
              </c:pt>
              <c:pt idx="102">
                <c:v>0.15</c:v>
              </c:pt>
              <c:pt idx="103">
                <c:v>0.158</c:v>
              </c:pt>
              <c:pt idx="104">
                <c:v>0.111</c:v>
              </c:pt>
              <c:pt idx="105">
                <c:v>7.2999999999999995E-2</c:v>
              </c:pt>
              <c:pt idx="106">
                <c:v>0.10199999999999999</c:v>
              </c:pt>
              <c:pt idx="107">
                <c:v>0.13900000000000001</c:v>
              </c:pt>
              <c:pt idx="108">
                <c:v>7.0999999999999994E-2</c:v>
              </c:pt>
              <c:pt idx="109">
                <c:v>0.109</c:v>
              </c:pt>
              <c:pt idx="110">
                <c:v>6.8000000000000005E-2</c:v>
              </c:pt>
              <c:pt idx="111">
                <c:v>8.5999999999999993E-2</c:v>
              </c:pt>
              <c:pt idx="112">
                <c:v>9.6000000000000002E-2</c:v>
              </c:pt>
              <c:pt idx="113">
                <c:v>4.8000000000000001E-2</c:v>
              </c:pt>
              <c:pt idx="114">
                <c:v>4.1000000000000002E-2</c:v>
              </c:pt>
              <c:pt idx="115">
                <c:v>0.04</c:v>
              </c:pt>
              <c:pt idx="116">
                <c:v>7.0999999999999994E-2</c:v>
              </c:pt>
              <c:pt idx="117">
                <c:v>5.8000000000000003E-2</c:v>
              </c:pt>
              <c:pt idx="118">
                <c:v>7.9000000000000001E-2</c:v>
              </c:pt>
              <c:pt idx="119">
                <c:v>4.1000000000000002E-2</c:v>
              </c:pt>
              <c:pt idx="120">
                <c:v>7.0999999999999994E-2</c:v>
              </c:pt>
              <c:pt idx="121">
                <c:v>6.2E-2</c:v>
              </c:pt>
              <c:pt idx="122">
                <c:v>6.0999999999999999E-2</c:v>
              </c:pt>
              <c:pt idx="123">
                <c:v>4.9000000000000002E-2</c:v>
              </c:pt>
              <c:pt idx="124">
                <c:v>9.8000000000000004E-2</c:v>
              </c:pt>
              <c:pt idx="125">
                <c:v>5.1999999999999998E-2</c:v>
              </c:pt>
              <c:pt idx="126">
                <c:v>5.5E-2</c:v>
              </c:pt>
              <c:pt idx="127">
                <c:v>6.3E-2</c:v>
              </c:pt>
              <c:pt idx="128">
                <c:v>4.8000000000000001E-2</c:v>
              </c:pt>
              <c:pt idx="129">
                <c:v>4.1000000000000002E-2</c:v>
              </c:pt>
              <c:pt idx="130">
                <c:v>4.1000000000000002E-2</c:v>
              </c:pt>
              <c:pt idx="131">
                <c:v>5.7000000000000002E-2</c:v>
              </c:pt>
              <c:pt idx="132">
                <c:v>6.4000000000000001E-2</c:v>
              </c:pt>
              <c:pt idx="133">
                <c:v>1E-3</c:v>
              </c:pt>
              <c:pt idx="134">
                <c:v>2.5000000000000001E-2</c:v>
              </c:pt>
              <c:pt idx="135">
                <c:v>3.1E-2</c:v>
              </c:pt>
              <c:pt idx="136">
                <c:v>2.1999999999999999E-2</c:v>
              </c:pt>
              <c:pt idx="137">
                <c:v>3.2000000000000001E-2</c:v>
              </c:pt>
              <c:pt idx="138">
                <c:v>1.2999999999999999E-2</c:v>
              </c:pt>
              <c:pt idx="139">
                <c:v>2.1999999999999999E-2</c:v>
              </c:pt>
              <c:pt idx="140">
                <c:v>1.7999999999999999E-2</c:v>
              </c:pt>
              <c:pt idx="141">
                <c:v>1.4999999999999999E-2</c:v>
              </c:pt>
              <c:pt idx="142">
                <c:v>2.5999999999999999E-2</c:v>
              </c:pt>
              <c:pt idx="143">
                <c:v>4.5999999999999999E-2</c:v>
              </c:pt>
              <c:pt idx="144">
                <c:v>3.3000000000000002E-2</c:v>
              </c:pt>
              <c:pt idx="145">
                <c:v>4.1000000000000002E-2</c:v>
              </c:pt>
              <c:pt idx="146">
                <c:v>3.9E-2</c:v>
              </c:pt>
              <c:pt idx="147">
                <c:v>2.5999999999999999E-2</c:v>
              </c:pt>
              <c:pt idx="148">
                <c:v>3.7999999999999999E-2</c:v>
              </c:pt>
              <c:pt idx="149">
                <c:v>0.02</c:v>
              </c:pt>
              <c:pt idx="150">
                <c:v>4.4999999999999998E-2</c:v>
              </c:pt>
              <c:pt idx="151">
                <c:v>5.2999999999999999E-2</c:v>
              </c:pt>
              <c:pt idx="152">
                <c:v>0.04</c:v>
              </c:pt>
              <c:pt idx="153">
                <c:v>2.5999999999999999E-2</c:v>
              </c:pt>
              <c:pt idx="154">
                <c:v>3.9E-2</c:v>
              </c:pt>
              <c:pt idx="155">
                <c:v>2.3E-2</c:v>
              </c:pt>
              <c:pt idx="156">
                <c:v>3.4000000000000002E-2</c:v>
              </c:pt>
              <c:pt idx="157">
                <c:v>3.6999999999999998E-2</c:v>
              </c:pt>
              <c:pt idx="158">
                <c:v>2.4E-2</c:v>
              </c:pt>
              <c:pt idx="159">
                <c:v>2.8000000000000001E-2</c:v>
              </c:pt>
              <c:pt idx="160">
                <c:v>6.2E-2</c:v>
              </c:pt>
              <c:pt idx="161">
                <c:v>3.7999999999999999E-2</c:v>
              </c:pt>
              <c:pt idx="162">
                <c:v>4.1000000000000002E-2</c:v>
              </c:pt>
              <c:pt idx="163">
                <c:v>0.05</c:v>
              </c:pt>
              <c:pt idx="164">
                <c:v>1.7999999999999999E-2</c:v>
              </c:pt>
              <c:pt idx="165">
                <c:v>4.9000000000000002E-2</c:v>
              </c:pt>
              <c:pt idx="166">
                <c:v>3.3000000000000002E-2</c:v>
              </c:pt>
              <c:pt idx="167">
                <c:v>2.7E-2</c:v>
              </c:pt>
              <c:pt idx="168">
                <c:v>2.8000000000000001E-2</c:v>
              </c:pt>
              <c:pt idx="169">
                <c:v>4.2000000000000003E-2</c:v>
              </c:pt>
              <c:pt idx="170">
                <c:v>4.2000000000000003E-2</c:v>
              </c:pt>
              <c:pt idx="171">
                <c:v>0.03</c:v>
              </c:pt>
              <c:pt idx="172">
                <c:v>4.7E-2</c:v>
              </c:pt>
              <c:pt idx="173">
                <c:v>7.3999999999999996E-2</c:v>
              </c:pt>
              <c:pt idx="174">
                <c:v>1.9E-2</c:v>
              </c:pt>
              <c:pt idx="175">
                <c:v>2.1000000000000001E-2</c:v>
              </c:pt>
              <c:pt idx="176">
                <c:v>0.05</c:v>
              </c:pt>
              <c:pt idx="177">
                <c:v>4.0000000000000001E-3</c:v>
              </c:pt>
              <c:pt idx="178">
                <c:v>1.7999999999999999E-2</c:v>
              </c:pt>
              <c:pt idx="179">
                <c:v>0</c:v>
              </c:pt>
              <c:pt idx="180">
                <c:v>2.8000000000000001E-2</c:v>
              </c:pt>
              <c:pt idx="181">
                <c:v>0.01</c:v>
              </c:pt>
              <c:pt idx="182">
                <c:v>2E-3</c:v>
              </c:pt>
              <c:pt idx="183">
                <c:v>3.1E-2</c:v>
              </c:pt>
              <c:pt idx="184">
                <c:v>3.2000000000000001E-2</c:v>
              </c:pt>
              <c:pt idx="185">
                <c:v>5.0000000000000001E-3</c:v>
              </c:pt>
              <c:pt idx="186">
                <c:v>1.2999999999999999E-2</c:v>
              </c:pt>
              <c:pt idx="187">
                <c:v>1.4999999999999999E-2</c:v>
              </c:pt>
              <c:pt idx="188">
                <c:v>4.9000000000000002E-2</c:v>
              </c:pt>
              <c:pt idx="189">
                <c:v>4.7E-2</c:v>
              </c:pt>
              <c:pt idx="190">
                <c:v>2.1999999999999999E-2</c:v>
              </c:pt>
              <c:pt idx="191">
                <c:v>3.2000000000000001E-2</c:v>
              </c:pt>
              <c:pt idx="192">
                <c:v>2.5000000000000001E-2</c:v>
              </c:pt>
              <c:pt idx="193">
                <c:v>0.06</c:v>
              </c:pt>
              <c:pt idx="194">
                <c:v>4.2999999999999997E-2</c:v>
              </c:pt>
              <c:pt idx="195">
                <c:v>3.6999999999999998E-2</c:v>
              </c:pt>
              <c:pt idx="196">
                <c:v>2.4E-2</c:v>
              </c:pt>
              <c:pt idx="197">
                <c:v>7.0000000000000001E-3</c:v>
              </c:pt>
              <c:pt idx="198">
                <c:v>2.3E-2</c:v>
              </c:pt>
              <c:pt idx="199">
                <c:v>1.9E-2</c:v>
              </c:pt>
              <c:pt idx="200">
                <c:v>0.02</c:v>
              </c:pt>
              <c:pt idx="201">
                <c:v>1.7000000000000001E-2</c:v>
              </c:pt>
              <c:pt idx="202">
                <c:v>5.5E-2</c:v>
              </c:pt>
              <c:pt idx="203">
                <c:v>2.7E-2</c:v>
              </c:pt>
              <c:pt idx="204">
                <c:v>1.2E-2</c:v>
              </c:pt>
              <c:pt idx="205">
                <c:v>0.02</c:v>
              </c:pt>
              <c:pt idx="206">
                <c:v>1.0999999999999999E-2</c:v>
              </c:pt>
              <c:pt idx="207">
                <c:v>7.0000000000000001E-3</c:v>
              </c:pt>
              <c:pt idx="208">
                <c:v>2.1999999999999999E-2</c:v>
              </c:pt>
              <c:pt idx="209">
                <c:v>2.1999999999999999E-2</c:v>
              </c:pt>
              <c:pt idx="210">
                <c:v>4.9000000000000002E-2</c:v>
              </c:pt>
              <c:pt idx="211">
                <c:v>5.8000000000000003E-2</c:v>
              </c:pt>
              <c:pt idx="212">
                <c:v>0.06</c:v>
              </c:pt>
              <c:pt idx="213">
                <c:v>0.05</c:v>
              </c:pt>
              <c:pt idx="214">
                <c:v>0.11700000000000001</c:v>
              </c:pt>
              <c:pt idx="215">
                <c:v>5.2999999999999999E-2</c:v>
              </c:pt>
              <c:pt idx="216">
                <c:v>9.7000000000000003E-2</c:v>
              </c:pt>
              <c:pt idx="217">
                <c:v>5.8999999999999997E-2</c:v>
              </c:pt>
              <c:pt idx="218">
                <c:v>0.14199999999999999</c:v>
              </c:pt>
              <c:pt idx="219">
                <c:v>0.14599999999999999</c:v>
              </c:pt>
              <c:pt idx="220">
                <c:v>6.2E-2</c:v>
              </c:pt>
              <c:pt idx="221">
                <c:v>7.4999999999999997E-2</c:v>
              </c:pt>
              <c:pt idx="222">
                <c:v>0.111</c:v>
              </c:pt>
              <c:pt idx="223">
                <c:v>6.0999999999999999E-2</c:v>
              </c:pt>
              <c:pt idx="224">
                <c:v>8.7999999999999995E-2</c:v>
              </c:pt>
              <c:pt idx="225">
                <c:v>6.2E-2</c:v>
              </c:pt>
              <c:pt idx="226">
                <c:v>5.6000000000000001E-2</c:v>
              </c:pt>
              <c:pt idx="227">
                <c:v>3.5000000000000003E-2</c:v>
              </c:pt>
              <c:pt idx="228">
                <c:v>0.10199999999999999</c:v>
              </c:pt>
              <c:pt idx="229">
                <c:v>5.2999999999999999E-2</c:v>
              </c:pt>
              <c:pt idx="230">
                <c:v>9.1999999999999998E-2</c:v>
              </c:pt>
              <c:pt idx="231">
                <c:v>6.6000000000000003E-2</c:v>
              </c:pt>
              <c:pt idx="232">
                <c:v>5.8000000000000003E-2</c:v>
              </c:pt>
              <c:pt idx="233">
                <c:v>4.2999999999999997E-2</c:v>
              </c:pt>
              <c:pt idx="234">
                <c:v>4.5999999999999999E-2</c:v>
              </c:pt>
              <c:pt idx="235">
                <c:v>5.8000000000000003E-2</c:v>
              </c:pt>
              <c:pt idx="236">
                <c:v>5.5E-2</c:v>
              </c:pt>
              <c:pt idx="237">
                <c:v>4.2999999999999997E-2</c:v>
              </c:pt>
              <c:pt idx="238">
                <c:v>2.4E-2</c:v>
              </c:pt>
              <c:pt idx="239">
                <c:v>5.7000000000000002E-2</c:v>
              </c:pt>
              <c:pt idx="240">
                <c:v>4.1000000000000002E-2</c:v>
              </c:pt>
              <c:pt idx="241">
                <c:v>4.8000000000000001E-2</c:v>
              </c:pt>
              <c:pt idx="242">
                <c:v>7.1999999999999995E-2</c:v>
              </c:pt>
              <c:pt idx="243">
                <c:v>5.8999999999999997E-2</c:v>
              </c:pt>
              <c:pt idx="244">
                <c:v>0.05</c:v>
              </c:pt>
              <c:pt idx="245">
                <c:v>4.8000000000000001E-2</c:v>
              </c:pt>
              <c:pt idx="246">
                <c:v>4.1000000000000002E-2</c:v>
              </c:pt>
              <c:pt idx="247">
                <c:v>1.4E-2</c:v>
              </c:pt>
              <c:pt idx="248">
                <c:v>6.5000000000000002E-2</c:v>
              </c:pt>
              <c:pt idx="249">
                <c:v>6.7000000000000004E-2</c:v>
              </c:pt>
              <c:pt idx="250">
                <c:v>4.9000000000000002E-2</c:v>
              </c:pt>
              <c:pt idx="251">
                <c:v>5.3999999999999999E-2</c:v>
              </c:pt>
              <c:pt idx="252">
                <c:v>9.2999999999999999E-2</c:v>
              </c:pt>
              <c:pt idx="253">
                <c:v>7.4999999999999997E-2</c:v>
              </c:pt>
              <c:pt idx="254">
                <c:v>5.3999999999999999E-2</c:v>
              </c:pt>
              <c:pt idx="255">
                <c:v>6.4000000000000001E-2</c:v>
              </c:pt>
              <c:pt idx="256">
                <c:v>7.0999999999999994E-2</c:v>
              </c:pt>
              <c:pt idx="257">
                <c:v>5.0999999999999997E-2</c:v>
              </c:pt>
              <c:pt idx="258">
                <c:v>8.2000000000000003E-2</c:v>
              </c:pt>
              <c:pt idx="259">
                <c:v>6.9000000000000006E-2</c:v>
              </c:pt>
              <c:pt idx="260">
                <c:v>3.7999999999999999E-2</c:v>
              </c:pt>
              <c:pt idx="261">
                <c:v>4.4999999999999998E-2</c:v>
              </c:pt>
              <c:pt idx="262">
                <c:v>4.1000000000000002E-2</c:v>
              </c:pt>
              <c:pt idx="263">
                <c:v>6.5000000000000002E-2</c:v>
              </c:pt>
              <c:pt idx="264">
                <c:v>0.108</c:v>
              </c:pt>
              <c:pt idx="265">
                <c:v>9.4E-2</c:v>
              </c:pt>
              <c:pt idx="266">
                <c:v>6.8000000000000005E-2</c:v>
              </c:pt>
              <c:pt idx="267">
                <c:v>4.5999999999999999E-2</c:v>
              </c:pt>
              <c:pt idx="268">
                <c:v>7.2999999999999995E-2</c:v>
              </c:pt>
              <c:pt idx="269">
                <c:v>5.5E-2</c:v>
              </c:pt>
              <c:pt idx="270">
                <c:v>7.3999999999999996E-2</c:v>
              </c:pt>
              <c:pt idx="271">
                <c:v>5.3999999999999999E-2</c:v>
              </c:pt>
              <c:pt idx="272">
                <c:v>8.3000000000000004E-2</c:v>
              </c:pt>
              <c:pt idx="273">
                <c:v>7.0000000000000007E-2</c:v>
              </c:pt>
              <c:pt idx="274">
                <c:v>8.2000000000000003E-2</c:v>
              </c:pt>
              <c:pt idx="275">
                <c:v>8.8999999999999996E-2</c:v>
              </c:pt>
              <c:pt idx="276">
                <c:v>9.5000000000000001E-2</c:v>
              </c:pt>
              <c:pt idx="277">
                <c:v>8.7999999999999995E-2</c:v>
              </c:pt>
              <c:pt idx="278">
                <c:v>0.11</c:v>
              </c:pt>
              <c:pt idx="279">
                <c:v>8.3000000000000004E-2</c:v>
              </c:pt>
              <c:pt idx="280">
                <c:v>0.10299999999999999</c:v>
              </c:pt>
              <c:pt idx="281">
                <c:v>6.2E-2</c:v>
              </c:pt>
              <c:pt idx="282">
                <c:v>5.3999999999999999E-2</c:v>
              </c:pt>
              <c:pt idx="283">
                <c:v>8.7999999999999995E-2</c:v>
              </c:pt>
              <c:pt idx="284">
                <c:v>6.6000000000000003E-2</c:v>
              </c:pt>
              <c:pt idx="285">
                <c:v>4.5999999999999999E-2</c:v>
              </c:pt>
              <c:pt idx="286">
                <c:v>4.8000000000000001E-2</c:v>
              </c:pt>
              <c:pt idx="287">
                <c:v>4.5999999999999999E-2</c:v>
              </c:pt>
              <c:pt idx="288">
                <c:v>9.2999999999999999E-2</c:v>
              </c:pt>
              <c:pt idx="289">
                <c:v>7.3999999999999996E-2</c:v>
              </c:pt>
              <c:pt idx="290">
                <c:v>4.1000000000000002E-2</c:v>
              </c:pt>
              <c:pt idx="291">
                <c:v>5.6000000000000001E-2</c:v>
              </c:pt>
              <c:pt idx="292">
                <c:v>7.0999999999999994E-2</c:v>
              </c:pt>
              <c:pt idx="293">
                <c:v>7.3999999999999996E-2</c:v>
              </c:pt>
              <c:pt idx="294">
                <c:v>5.1999999999999998E-2</c:v>
              </c:pt>
              <c:pt idx="295">
                <c:v>7.5999999999999998E-2</c:v>
              </c:pt>
              <c:pt idx="296">
                <c:v>4.5999999999999999E-2</c:v>
              </c:pt>
              <c:pt idx="297">
                <c:v>5.0999999999999997E-2</c:v>
              </c:pt>
              <c:pt idx="298">
                <c:v>6.7000000000000004E-2</c:v>
              </c:pt>
              <c:pt idx="299">
                <c:v>7.2999999999999995E-2</c:v>
              </c:pt>
              <c:pt idx="300">
                <c:v>3.9E-2</c:v>
              </c:pt>
              <c:pt idx="301">
                <c:v>0.02</c:v>
              </c:pt>
              <c:pt idx="302">
                <c:v>4.1000000000000002E-2</c:v>
              </c:pt>
              <c:pt idx="303">
                <c:v>3.5999999999999997E-2</c:v>
              </c:pt>
              <c:pt idx="304">
                <c:v>4.1000000000000002E-2</c:v>
              </c:pt>
              <c:pt idx="305">
                <c:v>4.7E-2</c:v>
              </c:pt>
              <c:pt idx="306">
                <c:v>0.04</c:v>
              </c:pt>
              <c:pt idx="307">
                <c:v>4.5999999999999999E-2</c:v>
              </c:pt>
              <c:pt idx="308">
                <c:v>3.5999999999999997E-2</c:v>
              </c:pt>
              <c:pt idx="309">
                <c:v>6.0999999999999999E-2</c:v>
              </c:pt>
              <c:pt idx="310">
                <c:v>2.1000000000000001E-2</c:v>
              </c:pt>
              <c:pt idx="311">
                <c:v>5.8000000000000003E-2</c:v>
              </c:pt>
              <c:pt idx="312">
                <c:v>5.8999999999999997E-2</c:v>
              </c:pt>
              <c:pt idx="313">
                <c:v>0.03</c:v>
              </c:pt>
              <c:pt idx="314">
                <c:v>4.3999999999999997E-2</c:v>
              </c:pt>
              <c:pt idx="315">
                <c:v>8.9999999999999993E-3</c:v>
              </c:pt>
              <c:pt idx="316">
                <c:v>1.4999999999999999E-2</c:v>
              </c:pt>
              <c:pt idx="317">
                <c:v>1.6E-2</c:v>
              </c:pt>
              <c:pt idx="318">
                <c:v>6.0000000000000001E-3</c:v>
              </c:pt>
              <c:pt idx="319">
                <c:v>6.0000000000000001E-3</c:v>
              </c:pt>
              <c:pt idx="320">
                <c:v>0</c:v>
              </c:pt>
              <c:pt idx="321">
                <c:v>4.0000000000000001E-3</c:v>
              </c:pt>
              <c:pt idx="322">
                <c:v>1.4999999999999999E-2</c:v>
              </c:pt>
              <c:pt idx="323">
                <c:v>0</c:v>
              </c:pt>
              <c:pt idx="324">
                <c:v>0</c:v>
              </c:pt>
              <c:pt idx="325">
                <c:v>0</c:v>
              </c:pt>
              <c:pt idx="326">
                <c:v>0</c:v>
              </c:pt>
              <c:pt idx="327">
                <c:v>0</c:v>
              </c:pt>
              <c:pt idx="328">
                <c:v>0</c:v>
              </c:pt>
              <c:pt idx="329">
                <c:v>0</c:v>
              </c:pt>
              <c:pt idx="330">
                <c:v>0</c:v>
              </c:pt>
              <c:pt idx="331">
                <c:v>1E-3</c:v>
              </c:pt>
              <c:pt idx="332">
                <c:v>1.4999999999999999E-2</c:v>
              </c:pt>
              <c:pt idx="333">
                <c:v>0</c:v>
              </c:pt>
              <c:pt idx="334">
                <c:v>2E-3</c:v>
              </c:pt>
              <c:pt idx="335">
                <c:v>6.0000000000000001E-3</c:v>
              </c:pt>
              <c:pt idx="336">
                <c:v>2E-3</c:v>
              </c:pt>
              <c:pt idx="337">
                <c:v>0</c:v>
              </c:pt>
              <c:pt idx="338">
                <c:v>1.2E-2</c:v>
              </c:pt>
              <c:pt idx="339">
                <c:v>0</c:v>
              </c:pt>
              <c:pt idx="340">
                <c:v>5.0000000000000001E-3</c:v>
              </c:pt>
              <c:pt idx="341">
                <c:v>4.0000000000000001E-3</c:v>
              </c:pt>
              <c:pt idx="342">
                <c:v>1E-3</c:v>
              </c:pt>
              <c:pt idx="343">
                <c:v>1.2999999999999999E-2</c:v>
              </c:pt>
              <c:pt idx="344">
                <c:v>1E-3</c:v>
              </c:pt>
              <c:pt idx="345">
                <c:v>5.0000000000000001E-3</c:v>
              </c:pt>
              <c:pt idx="346">
                <c:v>0</c:v>
              </c:pt>
              <c:pt idx="347">
                <c:v>5.0000000000000001E-3</c:v>
              </c:pt>
              <c:pt idx="348">
                <c:v>3.0000000000000001E-3</c:v>
              </c:pt>
              <c:pt idx="349">
                <c:v>0</c:v>
              </c:pt>
              <c:pt idx="350">
                <c:v>5.0000000000000001E-3</c:v>
              </c:pt>
              <c:pt idx="351">
                <c:v>0.02</c:v>
              </c:pt>
              <c:pt idx="352">
                <c:v>0</c:v>
              </c:pt>
              <c:pt idx="353">
                <c:v>1.7000000000000001E-2</c:v>
              </c:pt>
              <c:pt idx="354">
                <c:v>3.0000000000000001E-3</c:v>
              </c:pt>
              <c:pt idx="355">
                <c:v>1.2999999999999999E-2</c:v>
              </c:pt>
              <c:pt idx="356">
                <c:v>6.0000000000000001E-3</c:v>
              </c:pt>
              <c:pt idx="357">
                <c:v>1.2999999999999999E-2</c:v>
              </c:pt>
              <c:pt idx="358">
                <c:v>2.5999999999999999E-2</c:v>
              </c:pt>
              <c:pt idx="359">
                <c:v>1.6E-2</c:v>
              </c:pt>
              <c:pt idx="360">
                <c:v>1.7000000000000001E-2</c:v>
              </c:pt>
              <c:pt idx="361">
                <c:v>5.0000000000000001E-3</c:v>
              </c:pt>
              <c:pt idx="362">
                <c:v>5.3999999999999999E-2</c:v>
              </c:pt>
              <c:pt idx="363">
                <c:v>3.1E-2</c:v>
              </c:pt>
              <c:pt idx="364">
                <c:v>2.8000000000000001E-2</c:v>
              </c:pt>
              <c:pt idx="365">
                <c:v>4.9000000000000002E-2</c:v>
              </c:pt>
              <c:pt idx="366">
                <c:v>7.2999999999999995E-2</c:v>
              </c:pt>
              <c:pt idx="367">
                <c:v>0.06</c:v>
              </c:pt>
              <c:pt idx="368">
                <c:v>0.11</c:v>
              </c:pt>
              <c:pt idx="369">
                <c:v>0.13100000000000001</c:v>
              </c:pt>
              <c:pt idx="370">
                <c:v>0.156</c:v>
              </c:pt>
              <c:pt idx="371">
                <c:v>0.16</c:v>
              </c:pt>
              <c:pt idx="372">
                <c:v>0.18099999999999999</c:v>
              </c:pt>
              <c:pt idx="373">
                <c:v>0.17</c:v>
              </c:pt>
              <c:pt idx="374">
                <c:v>0.17899999999999999</c:v>
              </c:pt>
              <c:pt idx="375">
                <c:v>0.23400000000000001</c:v>
              </c:pt>
              <c:pt idx="376">
                <c:v>0.25800000000000001</c:v>
              </c:pt>
              <c:pt idx="377">
                <c:v>0.28499999999999998</c:v>
              </c:pt>
              <c:pt idx="378">
                <c:v>0.34499999999999997</c:v>
              </c:pt>
              <c:pt idx="379">
                <c:v>0.46400000000000002</c:v>
              </c:pt>
              <c:pt idx="380">
                <c:v>0.495</c:v>
              </c:pt>
              <c:pt idx="381">
                <c:v>0.501</c:v>
              </c:pt>
              <c:pt idx="382">
                <c:v>0.45</c:v>
              </c:pt>
              <c:pt idx="383">
                <c:v>0.51100000000000001</c:v>
              </c:pt>
              <c:pt idx="384">
                <c:v>0.53700000000000003</c:v>
              </c:pt>
              <c:pt idx="385">
                <c:v>0.67800000000000005</c:v>
              </c:pt>
              <c:pt idx="386">
                <c:v>0.78200000000000003</c:v>
              </c:pt>
              <c:pt idx="387">
                <c:v>0.871</c:v>
              </c:pt>
              <c:pt idx="388">
                <c:v>0.94299999999999995</c:v>
              </c:pt>
              <c:pt idx="389">
                <c:v>0.92300000000000004</c:v>
              </c:pt>
              <c:pt idx="390">
                <c:v>0.95499999999999996</c:v>
              </c:pt>
              <c:pt idx="391">
                <c:v>0.96499999999999997</c:v>
              </c:pt>
              <c:pt idx="392">
                <c:v>1.129</c:v>
              </c:pt>
              <c:pt idx="393">
                <c:v>1.2230000000000001</c:v>
              </c:pt>
              <c:pt idx="394">
                <c:v>1.272</c:v>
              </c:pt>
              <c:pt idx="395">
                <c:v>1.357</c:v>
              </c:pt>
              <c:pt idx="396">
                <c:v>1.5549999999999999</c:v>
              </c:pt>
              <c:pt idx="397">
                <c:v>1.766</c:v>
              </c:pt>
              <c:pt idx="398">
                <c:v>1.877</c:v>
              </c:pt>
              <c:pt idx="399">
                <c:v>1.6779999999999999</c:v>
              </c:pt>
              <c:pt idx="400">
                <c:v>1.6890000000000001</c:v>
              </c:pt>
              <c:pt idx="401">
                <c:v>1.6659999999999999</c:v>
              </c:pt>
              <c:pt idx="402">
                <c:v>1.639</c:v>
              </c:pt>
              <c:pt idx="403">
                <c:v>1.671</c:v>
              </c:pt>
              <c:pt idx="404">
                <c:v>1.56</c:v>
              </c:pt>
              <c:pt idx="405">
                <c:v>1.5</c:v>
              </c:pt>
              <c:pt idx="406">
                <c:v>1.5920000000000001</c:v>
              </c:pt>
              <c:pt idx="407">
                <c:v>1.6910000000000001</c:v>
              </c:pt>
              <c:pt idx="408">
                <c:v>1.6719999999999999</c:v>
              </c:pt>
              <c:pt idx="409">
                <c:v>1.589</c:v>
              </c:pt>
              <c:pt idx="410">
                <c:v>1.4670000000000001</c:v>
              </c:pt>
              <c:pt idx="411">
                <c:v>1.4510000000000001</c:v>
              </c:pt>
              <c:pt idx="412">
                <c:v>1.421</c:v>
              </c:pt>
              <c:pt idx="413">
                <c:v>1.454</c:v>
              </c:pt>
              <c:pt idx="414">
                <c:v>1.508</c:v>
              </c:pt>
              <c:pt idx="415">
                <c:v>1.5740000000000001</c:v>
              </c:pt>
              <c:pt idx="416">
                <c:v>1.623</c:v>
              </c:pt>
              <c:pt idx="417">
                <c:v>1.6140000000000001</c:v>
              </c:pt>
              <c:pt idx="418">
                <c:v>1.8009999999999999</c:v>
              </c:pt>
              <c:pt idx="419">
                <c:v>1.7749999999999999</c:v>
              </c:pt>
              <c:pt idx="420">
                <c:v>1.6890000000000001</c:v>
              </c:pt>
              <c:pt idx="421">
                <c:v>1.5960000000000001</c:v>
              </c:pt>
              <c:pt idx="422">
                <c:v>1.5589999999999999</c:v>
              </c:pt>
              <c:pt idx="423">
                <c:v>1.571</c:v>
              </c:pt>
              <c:pt idx="424">
                <c:v>1.5189999999999999</c:v>
              </c:pt>
              <c:pt idx="425">
                <c:v>1.494</c:v>
              </c:pt>
              <c:pt idx="426">
                <c:v>1.474</c:v>
              </c:pt>
              <c:pt idx="427">
                <c:v>1.4610000000000001</c:v>
              </c:pt>
              <c:pt idx="428">
                <c:v>1.494</c:v>
              </c:pt>
              <c:pt idx="429">
                <c:v>1.665</c:v>
              </c:pt>
              <c:pt idx="430">
                <c:v>1.962</c:v>
              </c:pt>
              <c:pt idx="431">
                <c:v>2.032</c:v>
              </c:pt>
              <c:pt idx="432">
                <c:v>1.9850000000000001</c:v>
              </c:pt>
              <c:pt idx="433">
                <c:v>1.8959999999999999</c:v>
              </c:pt>
              <c:pt idx="434">
                <c:v>1.74</c:v>
              </c:pt>
              <c:pt idx="435">
                <c:v>1.643</c:v>
              </c:pt>
              <c:pt idx="436">
                <c:v>1.6930000000000001</c:v>
              </c:pt>
              <c:pt idx="437">
                <c:v>1.7649999999999999</c:v>
              </c:pt>
              <c:pt idx="438">
                <c:v>1.7789999999999999</c:v>
              </c:pt>
              <c:pt idx="439">
                <c:v>1.861</c:v>
              </c:pt>
              <c:pt idx="440">
                <c:v>1.931</c:v>
              </c:pt>
              <c:pt idx="441">
                <c:v>2.125</c:v>
              </c:pt>
              <c:pt idx="442">
                <c:v>2.4089999999999998</c:v>
              </c:pt>
              <c:pt idx="443">
                <c:v>2.4660000000000002</c:v>
              </c:pt>
              <c:pt idx="444">
                <c:v>2.3660000000000001</c:v>
              </c:pt>
              <c:pt idx="445">
                <c:v>2.4980000000000002</c:v>
              </c:pt>
              <c:pt idx="446">
                <c:v>2.6080000000000001</c:v>
              </c:pt>
              <c:pt idx="447">
                <c:v>2.802</c:v>
              </c:pt>
              <c:pt idx="448">
                <c:v>2.9649999999999999</c:v>
              </c:pt>
              <c:pt idx="449">
                <c:v>3.0960000000000001</c:v>
              </c:pt>
              <c:pt idx="450">
                <c:v>3.3450000000000002</c:v>
              </c:pt>
              <c:pt idx="451">
                <c:v>2.9820000000000002</c:v>
              </c:pt>
              <c:pt idx="452">
                <c:v>2.9209999999999998</c:v>
              </c:pt>
              <c:pt idx="453">
                <c:v>2.81</c:v>
              </c:pt>
              <c:pt idx="454">
                <c:v>2.758</c:v>
              </c:pt>
              <c:pt idx="455">
                <c:v>2.7480000000000002</c:v>
              </c:pt>
              <c:pt idx="456">
                <c:v>2.476</c:v>
              </c:pt>
              <c:pt idx="457">
                <c:v>2.35</c:v>
              </c:pt>
              <c:pt idx="458">
                <c:v>2.3359999999999999</c:v>
              </c:pt>
              <c:pt idx="459">
                <c:v>2.2519999999999998</c:v>
              </c:pt>
              <c:pt idx="460">
                <c:v>2.0699999999999998</c:v>
              </c:pt>
              <c:pt idx="461">
                <c:v>1.901</c:v>
              </c:pt>
              <c:pt idx="462">
                <c:v>1.597</c:v>
              </c:pt>
              <c:pt idx="463">
                <c:v>1.4530000000000001</c:v>
              </c:pt>
              <c:pt idx="464">
                <c:v>1.381</c:v>
              </c:pt>
              <c:pt idx="465">
                <c:v>1.262</c:v>
              </c:pt>
              <c:pt idx="466">
                <c:v>1.254</c:v>
              </c:pt>
              <c:pt idx="467">
                <c:v>1.36</c:v>
              </c:pt>
              <c:pt idx="468">
                <c:v>1.395</c:v>
              </c:pt>
              <c:pt idx="469">
                <c:v>1.502</c:v>
              </c:pt>
              <c:pt idx="470">
                <c:v>1.679</c:v>
              </c:pt>
              <c:pt idx="471">
                <c:v>1.8280000000000001</c:v>
              </c:pt>
              <c:pt idx="472">
                <c:v>2.0259999999999998</c:v>
              </c:pt>
              <c:pt idx="473">
                <c:v>2.1139999999999999</c:v>
              </c:pt>
              <c:pt idx="474">
                <c:v>2.3159999999999998</c:v>
              </c:pt>
              <c:pt idx="475">
                <c:v>2.3690000000000002</c:v>
              </c:pt>
              <c:pt idx="476">
                <c:v>2.181</c:v>
              </c:pt>
              <c:pt idx="477">
                <c:v>2.2909999999999999</c:v>
              </c:pt>
              <c:pt idx="478">
                <c:v>2.165</c:v>
              </c:pt>
              <c:pt idx="479">
                <c:v>1.9910000000000001</c:v>
              </c:pt>
              <c:pt idx="480">
                <c:v>1.8740000000000001</c:v>
              </c:pt>
              <c:pt idx="481">
                <c:v>1.8129999999999999</c:v>
              </c:pt>
              <c:pt idx="482">
                <c:v>1.833</c:v>
              </c:pt>
              <c:pt idx="483">
                <c:v>1.8720000000000001</c:v>
              </c:pt>
              <c:pt idx="484">
                <c:v>1.863</c:v>
              </c:pt>
              <c:pt idx="485">
                <c:v>1.9650000000000001</c:v>
              </c:pt>
              <c:pt idx="486">
                <c:v>2.0640000000000001</c:v>
              </c:pt>
              <c:pt idx="487">
                <c:v>2.6240000000000001</c:v>
              </c:pt>
              <c:pt idx="488">
                <c:v>3.0979999999999999</c:v>
              </c:pt>
              <c:pt idx="489">
                <c:v>3.0329999999999999</c:v>
              </c:pt>
              <c:pt idx="490">
                <c:v>2.8540000000000001</c:v>
              </c:pt>
              <c:pt idx="491">
                <c:v>3.4609999999999999</c:v>
              </c:pt>
              <c:pt idx="492">
                <c:v>4.0890000000000004</c:v>
              </c:pt>
              <c:pt idx="493">
                <c:v>4.298</c:v>
              </c:pt>
              <c:pt idx="494">
                <c:v>4.4459999999999997</c:v>
              </c:pt>
              <c:pt idx="495">
                <c:v>4.6909999999999998</c:v>
              </c:pt>
              <c:pt idx="496">
                <c:v>5.0369999999999999</c:v>
              </c:pt>
              <c:pt idx="497">
                <c:v>5.0960000000000001</c:v>
              </c:pt>
              <c:pt idx="498">
                <c:v>5.3170000000000002</c:v>
              </c:pt>
              <c:pt idx="499">
                <c:v>6.3040000000000003</c:v>
              </c:pt>
              <c:pt idx="500">
                <c:v>7.0339999999999998</c:v>
              </c:pt>
              <c:pt idx="501">
                <c:v>7.556</c:v>
              </c:pt>
              <c:pt idx="502">
                <c:v>8.36</c:v>
              </c:pt>
              <c:pt idx="503">
                <c:v>9.26</c:v>
              </c:pt>
              <c:pt idx="504">
                <c:v>9.76</c:v>
              </c:pt>
              <c:pt idx="505">
                <c:v>9.5500000000000007</c:v>
              </c:pt>
              <c:pt idx="506">
                <c:v>10.18</c:v>
              </c:pt>
              <c:pt idx="507">
                <c:v>10.68</c:v>
              </c:pt>
              <c:pt idx="508">
                <c:v>10.88</c:v>
              </c:pt>
              <c:pt idx="509">
                <c:v>10.92</c:v>
              </c:pt>
              <c:pt idx="510">
                <c:v>10.45</c:v>
              </c:pt>
              <c:pt idx="511">
                <c:v>9.7799999999999994</c:v>
              </c:pt>
              <c:pt idx="512">
                <c:v>10.130000000000001</c:v>
              </c:pt>
              <c:pt idx="513">
                <c:v>11.06</c:v>
              </c:pt>
              <c:pt idx="514">
                <c:v>9.7899999999999991</c:v>
              </c:pt>
              <c:pt idx="515">
                <c:v>8.92</c:v>
              </c:pt>
              <c:pt idx="516">
                <c:v>9.93</c:v>
              </c:pt>
              <c:pt idx="517">
                <c:v>11.3</c:v>
              </c:pt>
              <c:pt idx="518">
                <c:v>12.45</c:v>
              </c:pt>
              <c:pt idx="519">
                <c:v>12.82</c:v>
              </c:pt>
              <c:pt idx="520">
                <c:v>13.3</c:v>
              </c:pt>
              <c:pt idx="521">
                <c:v>14.39</c:v>
              </c:pt>
              <c:pt idx="522">
                <c:v>14.45</c:v>
              </c:pt>
              <c:pt idx="523">
                <c:v>14.89</c:v>
              </c:pt>
              <c:pt idx="524">
                <c:v>15.09</c:v>
              </c:pt>
              <c:pt idx="525">
                <c:v>15.07</c:v>
              </c:pt>
              <c:pt idx="526">
                <c:v>15.23</c:v>
              </c:pt>
              <c:pt idx="527">
                <c:v>15.18</c:v>
              </c:pt>
              <c:pt idx="528">
                <c:v>15.16</c:v>
              </c:pt>
              <c:pt idx="529">
                <c:v>15.64</c:v>
              </c:pt>
              <c:pt idx="530">
                <c:v>16.079999999999998</c:v>
              </c:pt>
              <c:pt idx="531">
                <c:v>15.76</c:v>
              </c:pt>
              <c:pt idx="532">
                <c:v>16.100000000000001</c:v>
              </c:pt>
              <c:pt idx="533">
                <c:v>15.72</c:v>
              </c:pt>
              <c:pt idx="534">
                <c:v>15.42</c:v>
              </c:pt>
              <c:pt idx="535">
                <c:v>14.54</c:v>
              </c:pt>
              <c:pt idx="536">
                <c:v>14.3</c:v>
              </c:pt>
              <c:pt idx="537">
                <c:v>14.14</c:v>
              </c:pt>
              <c:pt idx="538">
                <c:v>13.94</c:v>
              </c:pt>
              <c:pt idx="539">
                <c:v>13.76</c:v>
              </c:pt>
              <c:pt idx="540">
                <c:v>13.86</c:v>
              </c:pt>
              <c:pt idx="541">
                <c:v>13.55</c:v>
              </c:pt>
              <c:pt idx="542">
                <c:v>13.12</c:v>
              </c:pt>
              <c:pt idx="543">
                <c:v>12.32</c:v>
              </c:pt>
              <c:pt idx="544">
                <c:v>11.48</c:v>
              </c:pt>
              <c:pt idx="545">
                <c:v>13.48</c:v>
              </c:pt>
              <c:pt idx="546">
                <c:v>13.58</c:v>
              </c:pt>
              <c:pt idx="547">
                <c:v>14.29</c:v>
              </c:pt>
              <c:pt idx="548">
                <c:v>13.48</c:v>
              </c:pt>
              <c:pt idx="549">
                <c:v>12.1</c:v>
              </c:pt>
              <c:pt idx="550">
                <c:v>10.64</c:v>
              </c:pt>
              <c:pt idx="551">
                <c:v>9.07</c:v>
              </c:pt>
              <c:pt idx="552">
                <c:v>8.7899999999999991</c:v>
              </c:pt>
              <c:pt idx="553">
                <c:v>8.7899999999999991</c:v>
              </c:pt>
              <c:pt idx="554">
                <c:v>7.8529999999999998</c:v>
              </c:pt>
              <c:pt idx="555">
                <c:v>6.9580000000000002</c:v>
              </c:pt>
              <c:pt idx="556">
                <c:v>6.7839999999999998</c:v>
              </c:pt>
              <c:pt idx="557">
                <c:v>6.6459999999999999</c:v>
              </c:pt>
              <c:pt idx="558">
                <c:v>5.7439999999999998</c:v>
              </c:pt>
              <c:pt idx="559">
                <c:v>4.6050000000000004</c:v>
              </c:pt>
              <c:pt idx="560">
                <c:v>3.96</c:v>
              </c:pt>
              <c:pt idx="561">
                <c:v>3.7639999999999998</c:v>
              </c:pt>
              <c:pt idx="562">
                <c:v>3.5830000000000002</c:v>
              </c:pt>
              <c:pt idx="563">
                <c:v>3.177</c:v>
              </c:pt>
              <c:pt idx="564">
                <c:v>2.9159999999999999</c:v>
              </c:pt>
              <c:pt idx="565">
                <c:v>2.9009999999999998</c:v>
              </c:pt>
              <c:pt idx="566">
                <c:v>3.1240000000000001</c:v>
              </c:pt>
              <c:pt idx="567">
                <c:v>3.3250000000000002</c:v>
              </c:pt>
              <c:pt idx="568">
                <c:v>3.82</c:v>
              </c:pt>
              <c:pt idx="569">
                <c:v>4.4370000000000003</c:v>
              </c:pt>
              <c:pt idx="570">
                <c:v>5.1029999999999998</c:v>
              </c:pt>
              <c:pt idx="571">
                <c:v>5.391</c:v>
              </c:pt>
              <c:pt idx="572">
                <c:v>5.6479999999999997</c:v>
              </c:pt>
              <c:pt idx="573">
                <c:v>5.8570000000000002</c:v>
              </c:pt>
              <c:pt idx="574">
                <c:v>5.88</c:v>
              </c:pt>
              <c:pt idx="575">
                <c:v>6.1120000000000001</c:v>
              </c:pt>
              <c:pt idx="576">
                <c:v>6.4740000000000002</c:v>
              </c:pt>
              <c:pt idx="577">
                <c:v>6.9720000000000004</c:v>
              </c:pt>
              <c:pt idx="578">
                <c:v>7.2640000000000002</c:v>
              </c:pt>
              <c:pt idx="579">
                <c:v>7.8339999999999996</c:v>
              </c:pt>
              <c:pt idx="580">
                <c:v>7.5739999999999998</c:v>
              </c:pt>
              <c:pt idx="581">
                <c:v>7.9409999999999998</c:v>
              </c:pt>
              <c:pt idx="582">
                <c:v>8.6199999999999992</c:v>
              </c:pt>
              <c:pt idx="583">
                <c:v>8.8800000000000008</c:v>
              </c:pt>
              <c:pt idx="584">
                <c:v>9.2899999999999991</c:v>
              </c:pt>
              <c:pt idx="585">
                <c:v>10.1</c:v>
              </c:pt>
              <c:pt idx="586">
                <c:v>11.39</c:v>
              </c:pt>
              <c:pt idx="587">
                <c:v>12.12</c:v>
              </c:pt>
              <c:pt idx="588">
                <c:v>12.84</c:v>
              </c:pt>
              <c:pt idx="589">
                <c:v>13.21</c:v>
              </c:pt>
              <c:pt idx="590">
                <c:v>13.72</c:v>
              </c:pt>
              <c:pt idx="591">
                <c:v>14.07</c:v>
              </c:pt>
              <c:pt idx="592">
                <c:v>14.31</c:v>
              </c:pt>
              <c:pt idx="593">
                <c:v>14.93</c:v>
              </c:pt>
              <c:pt idx="594">
                <c:v>15.36</c:v>
              </c:pt>
              <c:pt idx="595">
                <c:v>15.52</c:v>
              </c:pt>
              <c:pt idx="596">
                <c:v>16.52</c:v>
              </c:pt>
              <c:pt idx="597">
                <c:v>17.16</c:v>
              </c:pt>
              <c:pt idx="598">
                <c:v>17.61</c:v>
              </c:pt>
              <c:pt idx="599">
                <c:v>17.98</c:v>
              </c:pt>
              <c:pt idx="600">
                <c:v>17.93</c:v>
              </c:pt>
              <c:pt idx="601">
                <c:v>17.91</c:v>
              </c:pt>
              <c:pt idx="602">
                <c:v>17.87</c:v>
              </c:pt>
              <c:pt idx="603">
                <c:v>17.8</c:v>
              </c:pt>
              <c:pt idx="604">
                <c:v>17.79</c:v>
              </c:pt>
              <c:pt idx="605">
                <c:v>17.53</c:v>
              </c:pt>
              <c:pt idx="606">
                <c:v>17.45</c:v>
              </c:pt>
              <c:pt idx="607">
                <c:v>17.329999999999998</c:v>
              </c:pt>
              <c:pt idx="608">
                <c:v>17.43</c:v>
              </c:pt>
              <c:pt idx="609">
                <c:v>17.78</c:v>
              </c:pt>
              <c:pt idx="610">
                <c:v>17.73</c:v>
              </c:pt>
              <c:pt idx="611">
                <c:v>17.41</c:v>
              </c:pt>
              <c:pt idx="612">
                <c:v>17.38</c:v>
              </c:pt>
              <c:pt idx="613">
                <c:v>16.98</c:v>
              </c:pt>
              <c:pt idx="614">
                <c:v>17.28</c:v>
              </c:pt>
              <c:pt idx="615">
                <c:v>18.22</c:v>
              </c:pt>
              <c:pt idx="616">
                <c:v>18.5</c:v>
              </c:pt>
              <c:pt idx="617">
                <c:v>18.829999999999998</c:v>
              </c:pt>
              <c:pt idx="618">
                <c:v>19.100000000000001</c:v>
              </c:pt>
              <c:pt idx="619">
                <c:v>19.64</c:v>
              </c:pt>
              <c:pt idx="620">
                <c:v>20.22</c:v>
              </c:pt>
              <c:pt idx="621">
                <c:v>20.6</c:v>
              </c:pt>
              <c:pt idx="622">
                <c:v>20.69</c:v>
              </c:pt>
              <c:pt idx="623">
                <c:v>20.77</c:v>
              </c:pt>
              <c:pt idx="624">
                <c:v>20.88</c:v>
              </c:pt>
              <c:pt idx="625">
                <c:v>21.91</c:v>
              </c:pt>
              <c:pt idx="626">
                <c:v>22.83</c:v>
              </c:pt>
              <c:pt idx="627">
                <c:v>22.62</c:v>
              </c:pt>
              <c:pt idx="628">
                <c:v>22.41</c:v>
              </c:pt>
              <c:pt idx="629">
                <c:v>22.03</c:v>
              </c:pt>
              <c:pt idx="630">
                <c:v>21.25</c:v>
              </c:pt>
              <c:pt idx="631">
                <c:v>20.28</c:v>
              </c:pt>
              <c:pt idx="632">
                <c:v>19.82</c:v>
              </c:pt>
              <c:pt idx="633">
                <c:v>19.39</c:v>
              </c:pt>
              <c:pt idx="634">
                <c:v>19.77</c:v>
              </c:pt>
              <c:pt idx="635">
                <c:v>20.100000000000001</c:v>
              </c:pt>
              <c:pt idx="636">
                <c:v>20.100000000000001</c:v>
              </c:pt>
              <c:pt idx="637">
                <c:v>20.13</c:v>
              </c:pt>
              <c:pt idx="638">
                <c:v>19.97</c:v>
              </c:pt>
              <c:pt idx="639">
                <c:v>19.87</c:v>
              </c:pt>
              <c:pt idx="640">
                <c:v>19.47</c:v>
              </c:pt>
              <c:pt idx="641">
                <c:v>19.45</c:v>
              </c:pt>
              <c:pt idx="642">
                <c:v>20.190000000000001</c:v>
              </c:pt>
              <c:pt idx="643">
                <c:v>20.56</c:v>
              </c:pt>
              <c:pt idx="644">
                <c:v>21</c:v>
              </c:pt>
              <c:pt idx="645">
                <c:v>21.07</c:v>
              </c:pt>
              <c:pt idx="646">
                <c:v>21.26</c:v>
              </c:pt>
              <c:pt idx="647">
                <c:v>21.5</c:v>
              </c:pt>
              <c:pt idx="648">
                <c:v>21.78</c:v>
              </c:pt>
              <c:pt idx="649">
                <c:v>22.19</c:v>
              </c:pt>
              <c:pt idx="650">
                <c:v>22.79</c:v>
              </c:pt>
              <c:pt idx="651">
                <c:v>23.61</c:v>
              </c:pt>
              <c:pt idx="652">
                <c:v>24.53</c:v>
              </c:pt>
              <c:pt idx="653">
                <c:v>25.42</c:v>
              </c:pt>
              <c:pt idx="654">
                <c:v>26.67</c:v>
              </c:pt>
              <c:pt idx="655">
                <c:v>28.27</c:v>
              </c:pt>
              <c:pt idx="656">
                <c:v>29.93</c:v>
              </c:pt>
              <c:pt idx="657">
                <c:v>31.43</c:v>
              </c:pt>
              <c:pt idx="658">
                <c:v>33.22</c:v>
              </c:pt>
              <c:pt idx="659">
                <c:v>35</c:v>
              </c:pt>
              <c:pt idx="660">
                <c:v>36.979999999999997</c:v>
              </c:pt>
              <c:pt idx="661">
                <c:v>37.549999999999997</c:v>
              </c:pt>
              <c:pt idx="662">
                <c:v>37.53</c:v>
              </c:pt>
              <c:pt idx="663">
                <c:v>38.5</c:v>
              </c:pt>
              <c:pt idx="664">
                <c:v>38.380000000000003</c:v>
              </c:pt>
              <c:pt idx="665">
                <c:v>36.229999999999997</c:v>
              </c:pt>
              <c:pt idx="666">
                <c:v>34.96</c:v>
              </c:pt>
              <c:pt idx="667">
                <c:v>33.729999999999997</c:v>
              </c:pt>
              <c:pt idx="668">
                <c:v>33.54</c:v>
              </c:pt>
              <c:pt idx="669">
                <c:v>35.61</c:v>
              </c:pt>
              <c:pt idx="670">
                <c:v>37.630000000000003</c:v>
              </c:pt>
              <c:pt idx="671">
                <c:v>37.18</c:v>
              </c:pt>
              <c:pt idx="672">
                <c:v>36.299999999999997</c:v>
              </c:pt>
              <c:pt idx="673">
                <c:v>34.99</c:v>
              </c:pt>
              <c:pt idx="674">
                <c:v>31.24</c:v>
              </c:pt>
              <c:pt idx="675">
                <c:v>27.64</c:v>
              </c:pt>
              <c:pt idx="676">
                <c:v>26.09</c:v>
              </c:pt>
              <c:pt idx="677">
                <c:v>25.14</c:v>
              </c:pt>
              <c:pt idx="678">
                <c:v>24.18</c:v>
              </c:pt>
              <c:pt idx="679">
                <c:v>24.4</c:v>
              </c:pt>
              <c:pt idx="680">
                <c:v>25.12</c:v>
              </c:pt>
              <c:pt idx="681">
                <c:v>25.2</c:v>
              </c:pt>
              <c:pt idx="682">
                <c:v>25.03</c:v>
              </c:pt>
              <c:pt idx="683">
                <c:v>23.8</c:v>
              </c:pt>
              <c:pt idx="684">
                <c:v>22.37</c:v>
              </c:pt>
              <c:pt idx="685">
                <c:v>22.15</c:v>
              </c:pt>
              <c:pt idx="686">
                <c:v>21.74</c:v>
              </c:pt>
              <c:pt idx="687">
                <c:v>21.06</c:v>
              </c:pt>
              <c:pt idx="688">
                <c:v>21.45</c:v>
              </c:pt>
              <c:pt idx="689">
                <c:v>22.66</c:v>
              </c:pt>
              <c:pt idx="690">
                <c:v>23.85</c:v>
              </c:pt>
              <c:pt idx="691">
                <c:v>24.3</c:v>
              </c:pt>
              <c:pt idx="692">
                <c:v>24.36</c:v>
              </c:pt>
              <c:pt idx="693">
                <c:v>24.34</c:v>
              </c:pt>
              <c:pt idx="694">
                <c:v>24.02</c:v>
              </c:pt>
              <c:pt idx="695">
                <c:v>23.62</c:v>
              </c:pt>
              <c:pt idx="696">
                <c:v>23.98</c:v>
              </c:pt>
              <c:pt idx="697">
                <c:v>24.88</c:v>
              </c:pt>
              <c:pt idx="698">
                <c:v>25.43</c:v>
              </c:pt>
              <c:pt idx="699">
                <c:v>26.48</c:v>
              </c:pt>
              <c:pt idx="700">
                <c:v>28.36</c:v>
              </c:pt>
              <c:pt idx="701">
                <c:v>30.69</c:v>
              </c:pt>
              <c:pt idx="702">
                <c:v>31.43</c:v>
              </c:pt>
              <c:pt idx="703">
                <c:v>32.229999999999997</c:v>
              </c:pt>
              <c:pt idx="704">
                <c:v>33.18</c:v>
              </c:pt>
              <c:pt idx="705">
                <c:v>35.200000000000003</c:v>
              </c:pt>
              <c:pt idx="706">
                <c:v>37.74</c:v>
              </c:pt>
              <c:pt idx="707">
                <c:v>39.21</c:v>
              </c:pt>
              <c:pt idx="708">
                <c:v>40.590000000000003</c:v>
              </c:pt>
              <c:pt idx="709">
                <c:v>40.729999999999997</c:v>
              </c:pt>
              <c:pt idx="710">
                <c:v>38.51</c:v>
              </c:pt>
              <c:pt idx="711">
                <c:v>37.26</c:v>
              </c:pt>
              <c:pt idx="712">
                <c:v>36.65</c:v>
              </c:pt>
              <c:pt idx="713">
                <c:v>32.72</c:v>
              </c:pt>
              <c:pt idx="714">
                <c:v>29.48</c:v>
              </c:pt>
              <c:pt idx="715">
                <c:v>29.62</c:v>
              </c:pt>
              <c:pt idx="716">
                <c:v>32.01</c:v>
              </c:pt>
              <c:pt idx="717">
                <c:v>32.520000000000003</c:v>
              </c:pt>
              <c:pt idx="718">
                <c:v>35.21</c:v>
              </c:pt>
              <c:pt idx="719">
                <c:v>38.61</c:v>
              </c:pt>
              <c:pt idx="720">
                <c:v>38.880000000000003</c:v>
              </c:pt>
              <c:pt idx="721">
                <c:v>36.32</c:v>
              </c:pt>
              <c:pt idx="722">
                <c:v>30.41</c:v>
              </c:pt>
              <c:pt idx="723">
                <c:v>26.65</c:v>
              </c:pt>
              <c:pt idx="724">
                <c:v>24.75</c:v>
              </c:pt>
              <c:pt idx="725">
                <c:v>23.93</c:v>
              </c:pt>
              <c:pt idx="726">
                <c:v>23.48</c:v>
              </c:pt>
              <c:pt idx="727">
                <c:v>23.4</c:v>
              </c:pt>
              <c:pt idx="728">
                <c:v>23.05</c:v>
              </c:pt>
              <c:pt idx="729">
                <c:v>21.9</c:v>
              </c:pt>
              <c:pt idx="730">
                <c:v>22.78</c:v>
              </c:pt>
              <c:pt idx="731">
                <c:v>25.42</c:v>
              </c:pt>
              <c:pt idx="732">
                <c:v>25.59</c:v>
              </c:pt>
              <c:pt idx="733">
                <c:v>25.42</c:v>
              </c:pt>
              <c:pt idx="734">
                <c:v>26.54</c:v>
              </c:pt>
              <c:pt idx="735">
                <c:v>25.23</c:v>
              </c:pt>
              <c:pt idx="736">
                <c:v>23</c:v>
              </c:pt>
              <c:pt idx="737">
                <c:v>22.38</c:v>
              </c:pt>
              <c:pt idx="738">
                <c:v>22.97</c:v>
              </c:pt>
              <c:pt idx="739">
                <c:v>23.19</c:v>
              </c:pt>
              <c:pt idx="740">
                <c:v>24.26</c:v>
              </c:pt>
              <c:pt idx="741">
                <c:v>22.64</c:v>
              </c:pt>
              <c:pt idx="742">
                <c:v>21.81</c:v>
              </c:pt>
              <c:pt idx="743">
                <c:v>20.79</c:v>
              </c:pt>
              <c:pt idx="744">
                <c:v>20.76</c:v>
              </c:pt>
              <c:pt idx="745">
                <c:v>21.7</c:v>
              </c:pt>
              <c:pt idx="746">
                <c:v>24.43</c:v>
              </c:pt>
              <c:pt idx="747">
                <c:v>27.8</c:v>
              </c:pt>
              <c:pt idx="748">
                <c:v>29.46</c:v>
              </c:pt>
              <c:pt idx="749">
                <c:v>28.73</c:v>
              </c:pt>
              <c:pt idx="750">
                <c:v>27.48</c:v>
              </c:pt>
              <c:pt idx="751">
                <c:v>25.81</c:v>
              </c:pt>
              <c:pt idx="752">
                <c:v>23.27</c:v>
              </c:pt>
              <c:pt idx="753">
                <c:v>20.350000000000001</c:v>
              </c:pt>
              <c:pt idx="754">
                <c:v>17.25</c:v>
              </c:pt>
              <c:pt idx="755">
                <c:v>15.38</c:v>
              </c:pt>
              <c:pt idx="756">
                <c:v>15.53</c:v>
              </c:pt>
              <c:pt idx="757">
                <c:v>15.37</c:v>
              </c:pt>
              <c:pt idx="758">
                <c:v>15.2</c:v>
              </c:pt>
              <c:pt idx="759">
                <c:v>14.88</c:v>
              </c:pt>
              <c:pt idx="760">
                <c:v>13.94</c:v>
              </c:pt>
              <c:pt idx="761">
                <c:v>13.12</c:v>
              </c:pt>
              <c:pt idx="762">
                <c:v>12.18</c:v>
              </c:pt>
              <c:pt idx="763">
                <c:v>11.77</c:v>
              </c:pt>
              <c:pt idx="764">
                <c:v>12.32</c:v>
              </c:pt>
              <c:pt idx="765">
                <c:v>13.05</c:v>
              </c:pt>
              <c:pt idx="766">
                <c:v>13.13</c:v>
              </c:pt>
              <c:pt idx="767">
                <c:v>11.89</c:v>
              </c:pt>
              <c:pt idx="768">
                <c:v>10.24</c:v>
              </c:pt>
              <c:pt idx="769">
                <c:v>9.9</c:v>
              </c:pt>
              <c:pt idx="770">
                <c:v>10.54</c:v>
              </c:pt>
              <c:pt idx="771">
                <c:v>11.49</c:v>
              </c:pt>
              <c:pt idx="772">
                <c:v>11.23</c:v>
              </c:pt>
              <c:pt idx="773">
                <c:v>10.6</c:v>
              </c:pt>
              <c:pt idx="774">
                <c:v>10.24</c:v>
              </c:pt>
              <c:pt idx="775">
                <c:v>9.8000000000000007</c:v>
              </c:pt>
              <c:pt idx="776">
                <c:v>9.42</c:v>
              </c:pt>
              <c:pt idx="777">
                <c:v>9.31</c:v>
              </c:pt>
              <c:pt idx="778">
                <c:v>9.77</c:v>
              </c:pt>
              <c:pt idx="779">
                <c:v>10.38</c:v>
              </c:pt>
              <c:pt idx="780">
                <c:v>10.91</c:v>
              </c:pt>
              <c:pt idx="781">
                <c:v>11.48</c:v>
              </c:pt>
              <c:pt idx="782">
                <c:v>12.23</c:v>
              </c:pt>
              <c:pt idx="783">
                <c:v>13.2</c:v>
              </c:pt>
              <c:pt idx="784">
                <c:v>14.23</c:v>
              </c:pt>
              <c:pt idx="785">
                <c:v>15.37</c:v>
              </c:pt>
              <c:pt idx="786">
                <c:v>16.260000000000002</c:v>
              </c:pt>
              <c:pt idx="787">
                <c:v>17.21</c:v>
              </c:pt>
              <c:pt idx="788">
                <c:v>17.95</c:v>
              </c:pt>
              <c:pt idx="789">
                <c:v>18.5</c:v>
              </c:pt>
              <c:pt idx="790">
                <c:v>18.91</c:v>
              </c:pt>
              <c:pt idx="791">
                <c:v>18.27</c:v>
              </c:pt>
              <c:pt idx="792">
                <c:v>18.05</c:v>
              </c:pt>
              <c:pt idx="793">
                <c:v>18.75</c:v>
              </c:pt>
              <c:pt idx="794">
                <c:v>19.690000000000001</c:v>
              </c:pt>
              <c:pt idx="795">
                <c:v>20.6</c:v>
              </c:pt>
              <c:pt idx="796">
                <c:v>21.82</c:v>
              </c:pt>
              <c:pt idx="797">
                <c:v>22.8</c:v>
              </c:pt>
              <c:pt idx="798">
                <c:v>23.08</c:v>
              </c:pt>
              <c:pt idx="799">
                <c:v>23.3</c:v>
              </c:pt>
              <c:pt idx="800">
                <c:v>23.79</c:v>
              </c:pt>
              <c:pt idx="801">
                <c:v>24.24</c:v>
              </c:pt>
              <c:pt idx="802">
                <c:v>24.63</c:v>
              </c:pt>
              <c:pt idx="803">
                <c:v>25.18</c:v>
              </c:pt>
              <c:pt idx="804">
                <c:v>26.33</c:v>
              </c:pt>
              <c:pt idx="805">
                <c:v>27.75</c:v>
              </c:pt>
              <c:pt idx="806">
                <c:v>28.95</c:v>
              </c:pt>
              <c:pt idx="807">
                <c:v>30.15</c:v>
              </c:pt>
              <c:pt idx="808">
                <c:v>31.38</c:v>
              </c:pt>
              <c:pt idx="809">
                <c:v>31.52</c:v>
              </c:pt>
              <c:pt idx="810">
                <c:v>33.020000000000003</c:v>
              </c:pt>
              <c:pt idx="811">
                <c:v>34.15</c:v>
              </c:pt>
              <c:pt idx="812">
                <c:v>34.299999999999997</c:v>
              </c:pt>
              <c:pt idx="813">
                <c:v>33.299999999999997</c:v>
              </c:pt>
              <c:pt idx="814">
                <c:v>31.79</c:v>
              </c:pt>
              <c:pt idx="815">
                <c:v>29.52</c:v>
              </c:pt>
              <c:pt idx="816">
                <c:v>26.16</c:v>
              </c:pt>
              <c:pt idx="817">
                <c:v>25.45</c:v>
              </c:pt>
              <c:pt idx="818">
                <c:v>25.93</c:v>
              </c:pt>
              <c:pt idx="819">
                <c:v>25.45</c:v>
              </c:pt>
              <c:pt idx="820">
                <c:v>24.02</c:v>
              </c:pt>
              <c:pt idx="821">
                <c:v>23.66</c:v>
              </c:pt>
              <c:pt idx="822">
                <c:v>23.74</c:v>
              </c:pt>
              <c:pt idx="823">
                <c:v>23.56</c:v>
              </c:pt>
              <c:pt idx="824">
                <c:v>23.39</c:v>
              </c:pt>
              <c:pt idx="825">
                <c:v>23.63</c:v>
              </c:pt>
              <c:pt idx="826">
                <c:v>24</c:v>
              </c:pt>
              <c:pt idx="827">
                <c:v>24.27</c:v>
              </c:pt>
              <c:pt idx="828">
                <c:v>23.44</c:v>
              </c:pt>
              <c:pt idx="829">
                <c:v>23.83</c:v>
              </c:pt>
              <c:pt idx="830">
                <c:v>25</c:v>
              </c:pt>
              <c:pt idx="831">
                <c:v>26.03</c:v>
              </c:pt>
              <c:pt idx="832">
                <c:v>26.33</c:v>
              </c:pt>
              <c:pt idx="833">
                <c:v>26.59</c:v>
              </c:pt>
              <c:pt idx="834">
                <c:v>26.58</c:v>
              </c:pt>
              <c:pt idx="835">
                <c:v>26.64</c:v>
              </c:pt>
              <c:pt idx="836">
                <c:v>26.41</c:v>
              </c:pt>
              <c:pt idx="837">
                <c:v>25.76</c:v>
              </c:pt>
              <c:pt idx="838">
                <c:v>27.31</c:v>
              </c:pt>
              <c:pt idx="839">
                <c:v>32.5</c:v>
              </c:pt>
              <c:pt idx="840">
                <c:v>34.53</c:v>
              </c:pt>
              <c:pt idx="841">
                <c:v>30.86</c:v>
              </c:pt>
              <c:pt idx="842">
                <c:v>27.86</c:v>
              </c:pt>
              <c:pt idx="843">
                <c:v>28.72</c:v>
              </c:pt>
              <c:pt idx="844">
                <c:v>30.57</c:v>
              </c:pt>
              <c:pt idx="845">
                <c:v>29.58</c:v>
              </c:pt>
              <c:pt idx="846">
                <c:v>26.78</c:v>
              </c:pt>
              <c:pt idx="847">
                <c:v>25.7</c:v>
              </c:pt>
              <c:pt idx="848">
                <c:v>26.17</c:v>
              </c:pt>
              <c:pt idx="849">
                <c:v>27.02</c:v>
              </c:pt>
              <c:pt idx="850">
                <c:v>27.12</c:v>
              </c:pt>
              <c:pt idx="851">
                <c:v>26.66</c:v>
              </c:pt>
              <c:pt idx="852">
                <c:v>25.72</c:v>
              </c:pt>
              <c:pt idx="853">
                <c:v>23.65</c:v>
              </c:pt>
              <c:pt idx="854">
                <c:v>22.18</c:v>
              </c:pt>
              <c:pt idx="855">
                <c:v>22.33</c:v>
              </c:pt>
              <c:pt idx="856">
                <c:v>20.9</c:v>
              </c:pt>
              <c:pt idx="857">
                <c:v>17.89</c:v>
              </c:pt>
              <c:pt idx="858">
                <c:v>17.329999999999998</c:v>
              </c:pt>
              <c:pt idx="859">
                <c:v>18.48</c:v>
              </c:pt>
              <c:pt idx="860">
                <c:v>19.850000000000001</c:v>
              </c:pt>
              <c:pt idx="861">
                <c:v>20.46</c:v>
              </c:pt>
              <c:pt idx="862">
                <c:v>18.98</c:v>
              </c:pt>
              <c:pt idx="863">
                <c:v>16.510000000000002</c:v>
              </c:pt>
              <c:pt idx="864">
                <c:v>17.16</c:v>
              </c:pt>
              <c:pt idx="865">
                <c:v>19.95</c:v>
              </c:pt>
              <c:pt idx="866">
                <c:v>21.99</c:v>
              </c:pt>
              <c:pt idx="867">
                <c:v>23.38</c:v>
              </c:pt>
              <c:pt idx="868">
                <c:v>24</c:v>
              </c:pt>
              <c:pt idx="869">
                <c:v>22.59</c:v>
              </c:pt>
              <c:pt idx="870">
                <c:v>21.45</c:v>
              </c:pt>
              <c:pt idx="871">
                <c:v>21.83</c:v>
              </c:pt>
              <c:pt idx="872">
                <c:v>23.6</c:v>
              </c:pt>
              <c:pt idx="873">
                <c:v>26.03</c:v>
              </c:pt>
              <c:pt idx="874">
                <c:v>29.64</c:v>
              </c:pt>
              <c:pt idx="875">
                <c:v>31.32</c:v>
              </c:pt>
              <c:pt idx="876">
                <c:v>33.08</c:v>
              </c:pt>
              <c:pt idx="877">
                <c:v>33.17</c:v>
              </c:pt>
              <c:pt idx="878">
                <c:v>30.67</c:v>
              </c:pt>
              <c:pt idx="879">
                <c:v>29.54</c:v>
              </c:pt>
              <c:pt idx="880">
                <c:v>28.92</c:v>
              </c:pt>
              <c:pt idx="881">
                <c:v>25.07</c:v>
              </c:pt>
              <c:pt idx="882">
                <c:v>21.31</c:v>
              </c:pt>
              <c:pt idx="883">
                <c:v>21.75</c:v>
              </c:pt>
              <c:pt idx="884">
                <c:v>23.13</c:v>
              </c:pt>
              <c:pt idx="885">
                <c:v>23.81</c:v>
              </c:pt>
              <c:pt idx="886">
                <c:v>23.84</c:v>
              </c:pt>
              <c:pt idx="887">
                <c:v>24.04</c:v>
              </c:pt>
              <c:pt idx="888">
                <c:v>26.03</c:v>
              </c:pt>
              <c:pt idx="889">
                <c:v>28.45</c:v>
              </c:pt>
              <c:pt idx="890">
                <c:v>28.44</c:v>
              </c:pt>
              <c:pt idx="891">
                <c:v>27.44</c:v>
              </c:pt>
              <c:pt idx="892">
                <c:v>26.64</c:v>
              </c:pt>
              <c:pt idx="893">
                <c:v>24.74</c:v>
              </c:pt>
              <c:pt idx="894">
                <c:v>22.16</c:v>
              </c:pt>
              <c:pt idx="895">
                <c:v>19.54</c:v>
              </c:pt>
              <c:pt idx="896">
                <c:v>18.52</c:v>
              </c:pt>
              <c:pt idx="897">
                <c:v>19.02</c:v>
              </c:pt>
              <c:pt idx="898">
                <c:v>19.64</c:v>
              </c:pt>
              <c:pt idx="899">
                <c:v>20.37</c:v>
              </c:pt>
              <c:pt idx="900">
                <c:v>22.87</c:v>
              </c:pt>
              <c:pt idx="901">
                <c:v>25.31</c:v>
              </c:pt>
              <c:pt idx="902">
                <c:v>25.98</c:v>
              </c:pt>
              <c:pt idx="903">
                <c:v>22.96</c:v>
              </c:pt>
              <c:pt idx="904">
                <c:v>18.850000000000001</c:v>
              </c:pt>
              <c:pt idx="905">
                <c:v>15.71</c:v>
              </c:pt>
              <c:pt idx="906">
                <c:v>13.09</c:v>
              </c:pt>
              <c:pt idx="907">
                <c:v>11.67</c:v>
              </c:pt>
              <c:pt idx="908">
                <c:v>11</c:v>
              </c:pt>
              <c:pt idx="909">
                <c:v>10.55</c:v>
              </c:pt>
              <c:pt idx="910">
                <c:v>9.61</c:v>
              </c:pt>
              <c:pt idx="911">
                <c:v>8.77</c:v>
              </c:pt>
              <c:pt idx="912">
                <c:v>7.7679999999999998</c:v>
              </c:pt>
              <c:pt idx="913">
                <c:v>7.03</c:v>
              </c:pt>
              <c:pt idx="914">
                <c:v>7.0869999999999997</c:v>
              </c:pt>
              <c:pt idx="915">
                <c:v>7.5410000000000004</c:v>
              </c:pt>
              <c:pt idx="916">
                <c:v>8.19</c:v>
              </c:pt>
              <c:pt idx="917">
                <c:v>8.93</c:v>
              </c:pt>
              <c:pt idx="918">
                <c:v>9.77</c:v>
              </c:pt>
              <c:pt idx="919">
                <c:v>10.24</c:v>
              </c:pt>
              <c:pt idx="920">
                <c:v>10.25</c:v>
              </c:pt>
              <c:pt idx="921">
                <c:v>10.27</c:v>
              </c:pt>
              <c:pt idx="922">
                <c:v>10.37</c:v>
              </c:pt>
              <c:pt idx="923">
                <c:v>10.42</c:v>
              </c:pt>
              <c:pt idx="924">
                <c:v>10.67</c:v>
              </c:pt>
              <c:pt idx="925">
                <c:v>10.82</c:v>
              </c:pt>
              <c:pt idx="926">
                <c:v>11.05</c:v>
              </c:pt>
              <c:pt idx="927">
                <c:v>11.32</c:v>
              </c:pt>
              <c:pt idx="928">
                <c:v>11.67</c:v>
              </c:pt>
              <c:pt idx="929">
                <c:v>11.86</c:v>
              </c:pt>
              <c:pt idx="930">
                <c:v>12.1</c:v>
              </c:pt>
              <c:pt idx="931">
                <c:v>12.24</c:v>
              </c:pt>
              <c:pt idx="932">
                <c:v>12.2</c:v>
              </c:pt>
              <c:pt idx="933">
                <c:v>12.06</c:v>
              </c:pt>
              <c:pt idx="934">
                <c:v>11.47</c:v>
              </c:pt>
              <c:pt idx="935">
                <c:v>10.62</c:v>
              </c:pt>
              <c:pt idx="936">
                <c:v>9.82</c:v>
              </c:pt>
              <c:pt idx="937">
                <c:v>9.2899999999999991</c:v>
              </c:pt>
              <c:pt idx="938">
                <c:v>8.98</c:v>
              </c:pt>
              <c:pt idx="939">
                <c:v>8.8800000000000008</c:v>
              </c:pt>
              <c:pt idx="940">
                <c:v>8.6999999999999993</c:v>
              </c:pt>
              <c:pt idx="941">
                <c:v>8.42</c:v>
              </c:pt>
              <c:pt idx="942">
                <c:v>8.08</c:v>
              </c:pt>
              <c:pt idx="943">
                <c:v>7.8410000000000002</c:v>
              </c:pt>
              <c:pt idx="944">
                <c:v>7.5880000000000001</c:v>
              </c:pt>
              <c:pt idx="945">
                <c:v>7.5129999999999999</c:v>
              </c:pt>
              <c:pt idx="946">
                <c:v>7.5350000000000001</c:v>
              </c:pt>
              <c:pt idx="947">
                <c:v>7.7119999999999997</c:v>
              </c:pt>
              <c:pt idx="948">
                <c:v>7.7629999999999999</c:v>
              </c:pt>
              <c:pt idx="949">
                <c:v>7.7569999999999997</c:v>
              </c:pt>
              <c:pt idx="950">
                <c:v>7.7140000000000004</c:v>
              </c:pt>
              <c:pt idx="951">
                <c:v>7.6829999999999998</c:v>
              </c:pt>
              <c:pt idx="952">
                <c:v>7.6890000000000001</c:v>
              </c:pt>
              <c:pt idx="953">
                <c:v>7.6449999999999996</c:v>
              </c:pt>
              <c:pt idx="954">
                <c:v>7.6890000000000001</c:v>
              </c:pt>
              <c:pt idx="955">
                <c:v>7.7880000000000003</c:v>
              </c:pt>
              <c:pt idx="956">
                <c:v>7.9329999999999998</c:v>
              </c:pt>
              <c:pt idx="957">
                <c:v>8.06</c:v>
              </c:pt>
              <c:pt idx="958">
                <c:v>8.3000000000000007</c:v>
              </c:pt>
              <c:pt idx="959">
                <c:v>8.56</c:v>
              </c:pt>
              <c:pt idx="960">
                <c:v>9.1</c:v>
              </c:pt>
              <c:pt idx="961">
                <c:v>9.82</c:v>
              </c:pt>
              <c:pt idx="962">
                <c:v>10.75</c:v>
              </c:pt>
              <c:pt idx="963">
                <c:v>11.66</c:v>
              </c:pt>
              <c:pt idx="964">
                <c:v>12.36</c:v>
              </c:pt>
              <c:pt idx="965">
                <c:v>12.82</c:v>
              </c:pt>
              <c:pt idx="966">
                <c:v>12.9</c:v>
              </c:pt>
              <c:pt idx="967">
                <c:v>13.08</c:v>
              </c:pt>
              <c:pt idx="968">
                <c:v>13.44</c:v>
              </c:pt>
              <c:pt idx="969">
                <c:v>13.93</c:v>
              </c:pt>
              <c:pt idx="970">
                <c:v>14.27</c:v>
              </c:pt>
              <c:pt idx="971">
                <c:v>13.83</c:v>
              </c:pt>
              <c:pt idx="972">
                <c:v>12.69</c:v>
              </c:pt>
              <c:pt idx="973">
                <c:v>11.29</c:v>
              </c:pt>
              <c:pt idx="974">
                <c:v>9.8800000000000008</c:v>
              </c:pt>
              <c:pt idx="975">
                <c:v>8.7200000000000006</c:v>
              </c:pt>
              <c:pt idx="976">
                <c:v>7.84</c:v>
              </c:pt>
              <c:pt idx="977">
                <c:v>7.2480000000000002</c:v>
              </c:pt>
              <c:pt idx="978">
                <c:v>6.8339999999999996</c:v>
              </c:pt>
              <c:pt idx="979">
                <c:v>6.6239999999999997</c:v>
              </c:pt>
              <c:pt idx="980">
                <c:v>6.4729999999999999</c:v>
              </c:pt>
              <c:pt idx="981">
                <c:v>6.3449999999999998</c:v>
              </c:pt>
              <c:pt idx="982">
                <c:v>6.2229999999999999</c:v>
              </c:pt>
              <c:pt idx="983">
                <c:v>5.9850000000000003</c:v>
              </c:pt>
              <c:pt idx="984">
                <c:v>5.8780000000000001</c:v>
              </c:pt>
              <c:pt idx="985">
                <c:v>5.7649999999999997</c:v>
              </c:pt>
              <c:pt idx="986">
                <c:v>5.7990000000000004</c:v>
              </c:pt>
              <c:pt idx="987">
                <c:v>5.9109999999999996</c:v>
              </c:pt>
              <c:pt idx="988">
                <c:v>6.1340000000000003</c:v>
              </c:pt>
              <c:pt idx="989">
                <c:v>6.532</c:v>
              </c:pt>
              <c:pt idx="990">
                <c:v>7.3659999999999997</c:v>
              </c:pt>
              <c:pt idx="991">
                <c:v>9.0299999999999994</c:v>
              </c:pt>
              <c:pt idx="992">
                <c:v>11.68</c:v>
              </c:pt>
              <c:pt idx="993">
                <c:v>13.89</c:v>
              </c:pt>
              <c:pt idx="994">
                <c:v>16.97</c:v>
              </c:pt>
              <c:pt idx="995">
                <c:v>18.3</c:v>
              </c:pt>
              <c:pt idx="996">
                <c:v>18.260000000000002</c:v>
              </c:pt>
              <c:pt idx="997">
                <c:v>18.170000000000002</c:v>
              </c:pt>
              <c:pt idx="998">
                <c:v>18.559999999999999</c:v>
              </c:pt>
              <c:pt idx="999">
                <c:v>19.04</c:v>
              </c:pt>
              <c:pt idx="1000">
                <c:v>19.55</c:v>
              </c:pt>
              <c:pt idx="1001">
                <c:v>19.739999999999998</c:v>
              </c:pt>
              <c:pt idx="1002">
                <c:v>23.02</c:v>
              </c:pt>
              <c:pt idx="1003">
                <c:v>19.920000000000002</c:v>
              </c:pt>
              <c:pt idx="1004">
                <c:v>20.39</c:v>
              </c:pt>
              <c:pt idx="1005">
                <c:v>19.989999999999998</c:v>
              </c:pt>
              <c:pt idx="1006">
                <c:v>18.87</c:v>
              </c:pt>
              <c:pt idx="1007">
                <c:v>17.52</c:v>
              </c:pt>
              <c:pt idx="1008">
                <c:v>16.03</c:v>
              </c:pt>
              <c:pt idx="1009">
                <c:v>14.51</c:v>
              </c:pt>
              <c:pt idx="1010">
                <c:v>13.13</c:v>
              </c:pt>
              <c:pt idx="1011">
                <c:v>11.78</c:v>
              </c:pt>
              <c:pt idx="1012">
                <c:v>10.34</c:v>
              </c:pt>
              <c:pt idx="1013">
                <c:v>9.25</c:v>
              </c:pt>
              <c:pt idx="1014">
                <c:v>8.25</c:v>
              </c:pt>
              <c:pt idx="1015">
                <c:v>7.13</c:v>
              </c:pt>
              <c:pt idx="1016">
                <c:v>6.1950000000000003</c:v>
              </c:pt>
              <c:pt idx="1017">
                <c:v>5.5659999999999998</c:v>
              </c:pt>
              <c:pt idx="1018">
                <c:v>5.0880000000000001</c:v>
              </c:pt>
              <c:pt idx="1019">
                <c:v>4.6379999999999999</c:v>
              </c:pt>
              <c:pt idx="1020">
                <c:v>4.2370000000000001</c:v>
              </c:pt>
              <c:pt idx="1021">
                <c:v>3.7309999999999999</c:v>
              </c:pt>
              <c:pt idx="1022">
                <c:v>3.1840000000000002</c:v>
              </c:pt>
              <c:pt idx="1023">
                <c:v>2.6909999999999998</c:v>
              </c:pt>
              <c:pt idx="1024">
                <c:v>2.2850000000000001</c:v>
              </c:pt>
              <c:pt idx="1025">
                <c:v>2.117</c:v>
              </c:pt>
              <c:pt idx="1026">
                <c:v>2.044</c:v>
              </c:pt>
              <c:pt idx="1027">
                <c:v>2.0830000000000002</c:v>
              </c:pt>
              <c:pt idx="1028">
                <c:v>2.1680000000000001</c:v>
              </c:pt>
              <c:pt idx="1029">
                <c:v>2.2309999999999999</c:v>
              </c:pt>
              <c:pt idx="1030">
                <c:v>2.3170000000000002</c:v>
              </c:pt>
              <c:pt idx="1031">
                <c:v>2.5430000000000001</c:v>
              </c:pt>
              <c:pt idx="1032">
                <c:v>2.9529999999999998</c:v>
              </c:pt>
              <c:pt idx="1033">
                <c:v>3.5030000000000001</c:v>
              </c:pt>
              <c:pt idx="1034">
                <c:v>4.351</c:v>
              </c:pt>
              <c:pt idx="1035">
                <c:v>5.375</c:v>
              </c:pt>
              <c:pt idx="1036">
                <c:v>6.3869999999999996</c:v>
              </c:pt>
              <c:pt idx="1037">
                <c:v>7.3310000000000004</c:v>
              </c:pt>
              <c:pt idx="1038">
                <c:v>8.36</c:v>
              </c:pt>
              <c:pt idx="1039">
                <c:v>9.41</c:v>
              </c:pt>
              <c:pt idx="1040">
                <c:v>10.47</c:v>
              </c:pt>
              <c:pt idx="1041">
                <c:v>11.92</c:v>
              </c:pt>
              <c:pt idx="1042">
                <c:v>13.66</c:v>
              </c:pt>
              <c:pt idx="1043">
                <c:v>15.6</c:v>
              </c:pt>
              <c:pt idx="1044">
                <c:v>17.02</c:v>
              </c:pt>
              <c:pt idx="1045">
                <c:v>17.260000000000002</c:v>
              </c:pt>
              <c:pt idx="1046">
                <c:v>21.99</c:v>
              </c:pt>
              <c:pt idx="1047">
                <c:v>23.74</c:v>
              </c:pt>
              <c:pt idx="1048">
                <c:v>19.95</c:v>
              </c:pt>
              <c:pt idx="1049">
                <c:v>14.6</c:v>
              </c:pt>
              <c:pt idx="1050">
                <c:v>12.93</c:v>
              </c:pt>
              <c:pt idx="1051">
                <c:v>12.73</c:v>
              </c:pt>
              <c:pt idx="1052">
                <c:v>14.23</c:v>
              </c:pt>
              <c:pt idx="1053">
                <c:v>6.7320000000000002</c:v>
              </c:pt>
              <c:pt idx="1054">
                <c:v>5.3449999999999998</c:v>
              </c:pt>
              <c:pt idx="1055">
                <c:v>5.2720000000000002</c:v>
              </c:pt>
              <c:pt idx="1056">
                <c:v>5.9359999999999999</c:v>
              </c:pt>
              <c:pt idx="1057">
                <c:v>7.0730000000000004</c:v>
              </c:pt>
              <c:pt idx="1058">
                <c:v>8.49</c:v>
              </c:pt>
              <c:pt idx="1059">
                <c:v>10.02</c:v>
              </c:pt>
              <c:pt idx="1060">
                <c:v>11.61</c:v>
              </c:pt>
              <c:pt idx="1061">
                <c:v>12.46</c:v>
              </c:pt>
              <c:pt idx="1062">
                <c:v>12.6</c:v>
              </c:pt>
              <c:pt idx="1063">
                <c:v>12.83</c:v>
              </c:pt>
              <c:pt idx="1064">
                <c:v>13.33</c:v>
              </c:pt>
              <c:pt idx="1065">
                <c:v>14.16</c:v>
              </c:pt>
              <c:pt idx="1066">
                <c:v>14.82</c:v>
              </c:pt>
              <c:pt idx="1067">
                <c:v>14.96</c:v>
              </c:pt>
              <c:pt idx="1068">
                <c:v>14.96</c:v>
              </c:pt>
              <c:pt idx="1069">
                <c:v>14.63</c:v>
              </c:pt>
              <c:pt idx="1070">
                <c:v>14.03</c:v>
              </c:pt>
              <c:pt idx="1071">
                <c:v>13.33</c:v>
              </c:pt>
              <c:pt idx="1072">
                <c:v>12.58</c:v>
              </c:pt>
              <c:pt idx="1073">
                <c:v>11.64</c:v>
              </c:pt>
              <c:pt idx="1074">
                <c:v>10.71</c:v>
              </c:pt>
              <c:pt idx="1075">
                <c:v>9.67</c:v>
              </c:pt>
              <c:pt idx="1076">
                <c:v>9.02</c:v>
              </c:pt>
              <c:pt idx="1077">
                <c:v>8.6300000000000008</c:v>
              </c:pt>
              <c:pt idx="1078">
                <c:v>8.31</c:v>
              </c:pt>
              <c:pt idx="1079">
                <c:v>8.08</c:v>
              </c:pt>
              <c:pt idx="1080">
                <c:v>7.7960000000000003</c:v>
              </c:pt>
              <c:pt idx="1081">
                <c:v>7.3780000000000001</c:v>
              </c:pt>
              <c:pt idx="1082">
                <c:v>6.8620000000000001</c:v>
              </c:pt>
              <c:pt idx="1083">
                <c:v>6.2590000000000003</c:v>
              </c:pt>
              <c:pt idx="1084">
                <c:v>5.8239999999999998</c:v>
              </c:pt>
              <c:pt idx="1085">
                <c:v>5.4130000000000003</c:v>
              </c:pt>
              <c:pt idx="1086">
                <c:v>5.14</c:v>
              </c:pt>
              <c:pt idx="1087">
                <c:v>5.0010000000000003</c:v>
              </c:pt>
              <c:pt idx="1088">
                <c:v>5.048</c:v>
              </c:pt>
              <c:pt idx="1089">
                <c:v>5.1109999999999998</c:v>
              </c:pt>
              <c:pt idx="1090">
                <c:v>5.0640000000000001</c:v>
              </c:pt>
              <c:pt idx="1091">
                <c:v>5.0650000000000004</c:v>
              </c:pt>
              <c:pt idx="1092">
                <c:v>5.1360000000000001</c:v>
              </c:pt>
              <c:pt idx="1093">
                <c:v>5.1539999999999999</c:v>
              </c:pt>
              <c:pt idx="1094">
                <c:v>5.1879999999999997</c:v>
              </c:pt>
              <c:pt idx="1095">
                <c:v>5.4320000000000004</c:v>
              </c:pt>
              <c:pt idx="1096">
                <c:v>5.6059999999999999</c:v>
              </c:pt>
              <c:pt idx="1097">
                <c:v>5.8630000000000004</c:v>
              </c:pt>
              <c:pt idx="1098">
                <c:v>6.17</c:v>
              </c:pt>
              <c:pt idx="1099">
                <c:v>6.3979999999999997</c:v>
              </c:pt>
              <c:pt idx="1100">
                <c:v>6.5170000000000003</c:v>
              </c:pt>
              <c:pt idx="1101">
                <c:v>6.4829999999999997</c:v>
              </c:pt>
              <c:pt idx="1102">
                <c:v>6.2619999999999996</c:v>
              </c:pt>
              <c:pt idx="1103">
                <c:v>6.1239999999999997</c:v>
              </c:pt>
              <c:pt idx="1104">
                <c:v>5.9619999999999997</c:v>
              </c:pt>
              <c:pt idx="1105">
                <c:v>5.806</c:v>
              </c:pt>
              <c:pt idx="1106">
                <c:v>5.7210000000000001</c:v>
              </c:pt>
              <c:pt idx="1107">
                <c:v>5.5979999999999999</c:v>
              </c:pt>
              <c:pt idx="1108">
                <c:v>5.5419999999999998</c:v>
              </c:pt>
              <c:pt idx="1109">
                <c:v>5.4889999999999999</c:v>
              </c:pt>
              <c:pt idx="1110">
                <c:v>5.4219999999999997</c:v>
              </c:pt>
              <c:pt idx="1111">
                <c:v>5.3659999999999997</c:v>
              </c:pt>
              <c:pt idx="1112">
                <c:v>5.234</c:v>
              </c:pt>
              <c:pt idx="1113">
                <c:v>5.1660000000000004</c:v>
              </c:pt>
              <c:pt idx="1114">
                <c:v>5.0640000000000001</c:v>
              </c:pt>
              <c:pt idx="1115">
                <c:v>5.0990000000000002</c:v>
              </c:pt>
              <c:pt idx="1116">
                <c:v>5.13</c:v>
              </c:pt>
              <c:pt idx="1117">
                <c:v>5.2030000000000003</c:v>
              </c:pt>
              <c:pt idx="1118">
                <c:v>5.2450000000000001</c:v>
              </c:pt>
              <c:pt idx="1119">
                <c:v>5.2350000000000003</c:v>
              </c:pt>
              <c:pt idx="1120">
                <c:v>5.3129999999999997</c:v>
              </c:pt>
              <c:pt idx="1121">
                <c:v>5.3220000000000001</c:v>
              </c:pt>
              <c:pt idx="1122">
                <c:v>5.2050000000000001</c:v>
              </c:pt>
              <c:pt idx="1123">
                <c:v>5.0030000000000001</c:v>
              </c:pt>
              <c:pt idx="1124">
                <c:v>4.79</c:v>
              </c:pt>
              <c:pt idx="1125">
                <c:v>4.6029999999999998</c:v>
              </c:pt>
              <c:pt idx="1126">
                <c:v>4.3970000000000002</c:v>
              </c:pt>
              <c:pt idx="1127">
                <c:v>4.1609999999999996</c:v>
              </c:pt>
              <c:pt idx="1128">
                <c:v>4.032</c:v>
              </c:pt>
              <c:pt idx="1129">
                <c:v>3.9119999999999999</c:v>
              </c:pt>
              <c:pt idx="1130">
                <c:v>3.8069999999999999</c:v>
              </c:pt>
              <c:pt idx="1131">
                <c:v>3.6789999999999998</c:v>
              </c:pt>
              <c:pt idx="1132">
                <c:v>3.597</c:v>
              </c:pt>
              <c:pt idx="1133">
                <c:v>3.536</c:v>
              </c:pt>
              <c:pt idx="1134">
                <c:v>3.4660000000000002</c:v>
              </c:pt>
              <c:pt idx="1135">
                <c:v>3.4319999999999999</c:v>
              </c:pt>
              <c:pt idx="1136">
                <c:v>3.4089999999999998</c:v>
              </c:pt>
              <c:pt idx="1137">
                <c:v>3.4249999999999998</c:v>
              </c:pt>
              <c:pt idx="1138">
                <c:v>3.4049999999999998</c:v>
              </c:pt>
              <c:pt idx="1139">
                <c:v>3.4390000000000001</c:v>
              </c:pt>
              <c:pt idx="1140">
                <c:v>3.4660000000000002</c:v>
              </c:pt>
              <c:pt idx="1141">
                <c:v>3.49</c:v>
              </c:pt>
              <c:pt idx="1142">
                <c:v>3.4689999999999999</c:v>
              </c:pt>
              <c:pt idx="1143">
                <c:v>3.4580000000000002</c:v>
              </c:pt>
              <c:pt idx="1144">
                <c:v>3.38</c:v>
              </c:pt>
              <c:pt idx="1145">
                <c:v>3.351</c:v>
              </c:pt>
              <c:pt idx="1146">
                <c:v>3.2890000000000001</c:v>
              </c:pt>
              <c:pt idx="1147">
                <c:v>3.1970000000000001</c:v>
              </c:pt>
              <c:pt idx="1148">
                <c:v>3.1150000000000002</c:v>
              </c:pt>
              <c:pt idx="1149">
                <c:v>2.9729999999999999</c:v>
              </c:pt>
              <c:pt idx="1150">
                <c:v>2.859</c:v>
              </c:pt>
              <c:pt idx="1151">
                <c:v>2.8050000000000002</c:v>
              </c:pt>
              <c:pt idx="1152">
                <c:v>2.7170000000000001</c:v>
              </c:pt>
              <c:pt idx="1153">
                <c:v>2.7789999999999999</c:v>
              </c:pt>
              <c:pt idx="1154">
                <c:v>2.7759999999999998</c:v>
              </c:pt>
              <c:pt idx="1155">
                <c:v>2.96</c:v>
              </c:pt>
              <c:pt idx="1156">
                <c:v>3.0659999999999998</c:v>
              </c:pt>
              <c:pt idx="1157">
                <c:v>2.9260000000000002</c:v>
              </c:pt>
              <c:pt idx="1158">
                <c:v>2.7010000000000001</c:v>
              </c:pt>
              <c:pt idx="1159">
                <c:v>2.4180000000000001</c:v>
              </c:pt>
              <c:pt idx="1160">
                <c:v>2.3260000000000001</c:v>
              </c:pt>
              <c:pt idx="1161">
                <c:v>2.234</c:v>
              </c:pt>
              <c:pt idx="1162">
                <c:v>1.903</c:v>
              </c:pt>
              <c:pt idx="1163">
                <c:v>1.3939999999999999</c:v>
              </c:pt>
              <c:pt idx="1164">
                <c:v>0.99</c:v>
              </c:pt>
              <c:pt idx="1165">
                <c:v>0.66600000000000004</c:v>
              </c:pt>
              <c:pt idx="1166">
                <c:v>0.51900000000000002</c:v>
              </c:pt>
              <c:pt idx="1167">
                <c:v>0.29399999999999998</c:v>
              </c:pt>
              <c:pt idx="1168">
                <c:v>0.14799999999999999</c:v>
              </c:pt>
              <c:pt idx="1169">
                <c:v>0.01</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2E-3</c:v>
              </c:pt>
              <c:pt idx="1226">
                <c:v>0</c:v>
              </c:pt>
              <c:pt idx="1227">
                <c:v>0</c:v>
              </c:pt>
              <c:pt idx="1228">
                <c:v>0</c:v>
              </c:pt>
              <c:pt idx="1229">
                <c:v>0</c:v>
              </c:pt>
              <c:pt idx="1230">
                <c:v>8.0000000000000002E-3</c:v>
              </c:pt>
              <c:pt idx="1231">
                <c:v>0</c:v>
              </c:pt>
              <c:pt idx="1232">
                <c:v>2E-3</c:v>
              </c:pt>
              <c:pt idx="1233">
                <c:v>1.7999999999999999E-2</c:v>
              </c:pt>
              <c:pt idx="1234">
                <c:v>2E-3</c:v>
              </c:pt>
              <c:pt idx="1235">
                <c:v>0</c:v>
              </c:pt>
              <c:pt idx="1236">
                <c:v>2.9000000000000001E-2</c:v>
              </c:pt>
              <c:pt idx="1237">
                <c:v>1.7000000000000001E-2</c:v>
              </c:pt>
              <c:pt idx="1238">
                <c:v>1.4999999999999999E-2</c:v>
              </c:pt>
              <c:pt idx="1239">
                <c:v>1.7999999999999999E-2</c:v>
              </c:pt>
              <c:pt idx="1240">
                <c:v>8.9999999999999993E-3</c:v>
              </c:pt>
              <c:pt idx="1241">
                <c:v>2.3E-2</c:v>
              </c:pt>
              <c:pt idx="1242">
                <c:v>2.1000000000000001E-2</c:v>
              </c:pt>
              <c:pt idx="1243">
                <c:v>1.0999999999999999E-2</c:v>
              </c:pt>
              <c:pt idx="1244">
                <c:v>0.01</c:v>
              </c:pt>
              <c:pt idx="1245">
                <c:v>1.4999999999999999E-2</c:v>
              </c:pt>
              <c:pt idx="1246">
                <c:v>5.0000000000000001E-3</c:v>
              </c:pt>
              <c:pt idx="1247">
                <c:v>8.9999999999999993E-3</c:v>
              </c:pt>
              <c:pt idx="1248">
                <c:v>1.6E-2</c:v>
              </c:pt>
              <c:pt idx="1249">
                <c:v>6.0000000000000001E-3</c:v>
              </c:pt>
              <c:pt idx="1250">
                <c:v>2E-3</c:v>
              </c:pt>
              <c:pt idx="1251">
                <c:v>5.0000000000000001E-3</c:v>
              </c:pt>
              <c:pt idx="1252">
                <c:v>0</c:v>
              </c:pt>
              <c:pt idx="1253">
                <c:v>6.0000000000000001E-3</c:v>
              </c:pt>
              <c:pt idx="1254">
                <c:v>2E-3</c:v>
              </c:pt>
              <c:pt idx="1255">
                <c:v>0</c:v>
              </c:pt>
              <c:pt idx="1256">
                <c:v>6.0000000000000001E-3</c:v>
              </c:pt>
              <c:pt idx="1257">
                <c:v>7.0000000000000001E-3</c:v>
              </c:pt>
              <c:pt idx="1258">
                <c:v>0</c:v>
              </c:pt>
              <c:pt idx="1259">
                <c:v>0</c:v>
              </c:pt>
              <c:pt idx="1260">
                <c:v>3.0000000000000001E-3</c:v>
              </c:pt>
              <c:pt idx="1261">
                <c:v>1.4E-2</c:v>
              </c:pt>
              <c:pt idx="1262">
                <c:v>2E-3</c:v>
              </c:pt>
              <c:pt idx="1263">
                <c:v>5.0000000000000001E-3</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6.0000000000000001E-3</c:v>
              </c:pt>
              <c:pt idx="1278">
                <c:v>1.6E-2</c:v>
              </c:pt>
              <c:pt idx="1279">
                <c:v>0</c:v>
              </c:pt>
              <c:pt idx="1280">
                <c:v>5.0000000000000001E-3</c:v>
              </c:pt>
              <c:pt idx="1281">
                <c:v>0</c:v>
              </c:pt>
              <c:pt idx="1282">
                <c:v>7.0000000000000001E-3</c:v>
              </c:pt>
              <c:pt idx="1283">
                <c:v>1.4E-2</c:v>
              </c:pt>
              <c:pt idx="1284">
                <c:v>1.0999999999999999E-2</c:v>
              </c:pt>
              <c:pt idx="1285">
                <c:v>2.5000000000000001E-2</c:v>
              </c:pt>
              <c:pt idx="1286">
                <c:v>1.4E-2</c:v>
              </c:pt>
              <c:pt idx="1287">
                <c:v>2.3E-2</c:v>
              </c:pt>
              <c:pt idx="1288">
                <c:v>1.9E-2</c:v>
              </c:pt>
              <c:pt idx="1289">
                <c:v>3.4000000000000002E-2</c:v>
              </c:pt>
              <c:pt idx="1290">
                <c:v>7.8E-2</c:v>
              </c:pt>
              <c:pt idx="1291">
                <c:v>5.2999999999999999E-2</c:v>
              </c:pt>
              <c:pt idx="1292">
                <c:v>3.3000000000000002E-2</c:v>
              </c:pt>
              <c:pt idx="1293">
                <c:v>2.5999999999999999E-2</c:v>
              </c:pt>
              <c:pt idx="1294">
                <c:v>9.6000000000000002E-2</c:v>
              </c:pt>
              <c:pt idx="1295">
                <c:v>5.1999999999999998E-2</c:v>
              </c:pt>
              <c:pt idx="1296">
                <c:v>0.05</c:v>
              </c:pt>
              <c:pt idx="1297">
                <c:v>5.2999999999999999E-2</c:v>
              </c:pt>
              <c:pt idx="1298">
                <c:v>3.5000000000000003E-2</c:v>
              </c:pt>
              <c:pt idx="1299">
                <c:v>0.06</c:v>
              </c:pt>
              <c:pt idx="1300">
                <c:v>4.9000000000000002E-2</c:v>
              </c:pt>
              <c:pt idx="1301">
                <c:v>0.03</c:v>
              </c:pt>
              <c:pt idx="1302">
                <c:v>2.3E-2</c:v>
              </c:pt>
              <c:pt idx="1303">
                <c:v>5.2999999999999999E-2</c:v>
              </c:pt>
              <c:pt idx="1304">
                <c:v>4.2000000000000003E-2</c:v>
              </c:pt>
              <c:pt idx="1305">
                <c:v>3.1E-2</c:v>
              </c:pt>
              <c:pt idx="1306">
                <c:v>7.3999999999999996E-2</c:v>
              </c:pt>
              <c:pt idx="1307">
                <c:v>5.1999999999999998E-2</c:v>
              </c:pt>
              <c:pt idx="1308">
                <c:v>6.4000000000000001E-2</c:v>
              </c:pt>
              <c:pt idx="1309">
                <c:v>6.2E-2</c:v>
              </c:pt>
              <c:pt idx="1310">
                <c:v>0.03</c:v>
              </c:pt>
              <c:pt idx="1311">
                <c:v>0.05</c:v>
              </c:pt>
              <c:pt idx="1312">
                <c:v>7.0999999999999994E-2</c:v>
              </c:pt>
              <c:pt idx="1313">
                <c:v>0.08</c:v>
              </c:pt>
              <c:pt idx="1314">
                <c:v>6.3E-2</c:v>
              </c:pt>
              <c:pt idx="1315">
                <c:v>7.1999999999999995E-2</c:v>
              </c:pt>
              <c:pt idx="1316">
                <c:v>9.4E-2</c:v>
              </c:pt>
              <c:pt idx="1317">
                <c:v>8.2000000000000003E-2</c:v>
              </c:pt>
              <c:pt idx="1318">
                <c:v>0.10299999999999999</c:v>
              </c:pt>
              <c:pt idx="1319">
                <c:v>8.8999999999999996E-2</c:v>
              </c:pt>
              <c:pt idx="1320">
                <c:v>9.2999999999999999E-2</c:v>
              </c:pt>
              <c:pt idx="1321">
                <c:v>7.8E-2</c:v>
              </c:pt>
              <c:pt idx="1322">
                <c:v>0.08</c:v>
              </c:pt>
              <c:pt idx="1323">
                <c:v>0.105</c:v>
              </c:pt>
              <c:pt idx="1324">
                <c:v>0.13400000000000001</c:v>
              </c:pt>
              <c:pt idx="1325">
                <c:v>0.14399999999999999</c:v>
              </c:pt>
              <c:pt idx="1326">
                <c:v>9.5000000000000001E-2</c:v>
              </c:pt>
              <c:pt idx="1327">
                <c:v>0.111</c:v>
              </c:pt>
              <c:pt idx="1328">
                <c:v>0.109</c:v>
              </c:pt>
              <c:pt idx="1329">
                <c:v>9.9000000000000005E-2</c:v>
              </c:pt>
              <c:pt idx="1330">
                <c:v>0.104</c:v>
              </c:pt>
              <c:pt idx="1331">
                <c:v>0.104</c:v>
              </c:pt>
              <c:pt idx="1332">
                <c:v>6.6000000000000003E-2</c:v>
              </c:pt>
              <c:pt idx="1333">
                <c:v>7.0000000000000007E-2</c:v>
              </c:pt>
              <c:pt idx="1334">
                <c:v>0.03</c:v>
              </c:pt>
              <c:pt idx="1335">
                <c:v>2.1999999999999999E-2</c:v>
              </c:pt>
              <c:pt idx="1336">
                <c:v>7.2999999999999995E-2</c:v>
              </c:pt>
              <c:pt idx="1337">
                <c:v>6.8000000000000005E-2</c:v>
              </c:pt>
              <c:pt idx="1338">
                <c:v>3.5999999999999997E-2</c:v>
              </c:pt>
              <c:pt idx="1339">
                <c:v>4.1000000000000002E-2</c:v>
              </c:pt>
              <c:pt idx="1340">
                <c:v>3.9E-2</c:v>
              </c:pt>
              <c:pt idx="1341">
                <c:v>5.5E-2</c:v>
              </c:pt>
              <c:pt idx="1342">
                <c:v>1.4999999999999999E-2</c:v>
              </c:pt>
              <c:pt idx="1343">
                <c:v>2.1000000000000001E-2</c:v>
              </c:pt>
              <c:pt idx="1344">
                <c:v>2.9000000000000001E-2</c:v>
              </c:pt>
              <c:pt idx="1345">
                <c:v>0.02</c:v>
              </c:pt>
              <c:pt idx="1346">
                <c:v>2.1000000000000001E-2</c:v>
              </c:pt>
              <c:pt idx="1347">
                <c:v>6.0999999999999999E-2</c:v>
              </c:pt>
              <c:pt idx="1348">
                <c:v>5.7000000000000002E-2</c:v>
              </c:pt>
              <c:pt idx="1349">
                <c:v>2.1000000000000001E-2</c:v>
              </c:pt>
              <c:pt idx="1350">
                <c:v>0.02</c:v>
              </c:pt>
              <c:pt idx="1351">
                <c:v>5.2999999999999999E-2</c:v>
              </c:pt>
              <c:pt idx="1352">
                <c:v>2.5000000000000001E-2</c:v>
              </c:pt>
              <c:pt idx="1353">
                <c:v>3.5999999999999997E-2</c:v>
              </c:pt>
              <c:pt idx="1354">
                <c:v>0.02</c:v>
              </c:pt>
              <c:pt idx="1355">
                <c:v>1.2E-2</c:v>
              </c:pt>
              <c:pt idx="1356">
                <c:v>3.4000000000000002E-2</c:v>
              </c:pt>
              <c:pt idx="1357">
                <c:v>0.05</c:v>
              </c:pt>
              <c:pt idx="1358">
                <c:v>2.3E-2</c:v>
              </c:pt>
              <c:pt idx="1359">
                <c:v>3.5000000000000003E-2</c:v>
              </c:pt>
              <c:pt idx="1360">
                <c:v>2.4E-2</c:v>
              </c:pt>
              <c:pt idx="1361">
                <c:v>2.7E-2</c:v>
              </c:pt>
              <c:pt idx="1362">
                <c:v>2.8000000000000001E-2</c:v>
              </c:pt>
              <c:pt idx="1363">
                <c:v>2.8000000000000001E-2</c:v>
              </c:pt>
              <c:pt idx="1364">
                <c:v>1.6E-2</c:v>
              </c:pt>
              <c:pt idx="1365">
                <c:v>5.6000000000000001E-2</c:v>
              </c:pt>
              <c:pt idx="1366">
                <c:v>0.03</c:v>
              </c:pt>
              <c:pt idx="1367">
                <c:v>1.9E-2</c:v>
              </c:pt>
              <c:pt idx="1368">
                <c:v>5.7000000000000002E-2</c:v>
              </c:pt>
              <c:pt idx="1369">
                <c:v>6.4000000000000001E-2</c:v>
              </c:pt>
              <c:pt idx="1370">
                <c:v>0.129</c:v>
              </c:pt>
              <c:pt idx="1371">
                <c:v>5.0999999999999997E-2</c:v>
              </c:pt>
              <c:pt idx="1372">
                <c:v>7.9000000000000001E-2</c:v>
              </c:pt>
              <c:pt idx="1373">
                <c:v>6.8000000000000005E-2</c:v>
              </c:pt>
              <c:pt idx="1374">
                <c:v>7.5999999999999998E-2</c:v>
              </c:pt>
              <c:pt idx="1375">
                <c:v>8.5999999999999993E-2</c:v>
              </c:pt>
              <c:pt idx="1376">
                <c:v>8.4000000000000005E-2</c:v>
              </c:pt>
              <c:pt idx="1377">
                <c:v>0.108</c:v>
              </c:pt>
              <c:pt idx="1378">
                <c:v>0.12</c:v>
              </c:pt>
              <c:pt idx="1379">
                <c:v>7.5999999999999998E-2</c:v>
              </c:pt>
              <c:pt idx="1380">
                <c:v>7.8E-2</c:v>
              </c:pt>
              <c:pt idx="1381">
                <c:v>6.7000000000000004E-2</c:v>
              </c:pt>
              <c:pt idx="1382">
                <c:v>9.4E-2</c:v>
              </c:pt>
              <c:pt idx="1383">
                <c:v>8.7999999999999995E-2</c:v>
              </c:pt>
              <c:pt idx="1384">
                <c:v>7.2999999999999995E-2</c:v>
              </c:pt>
              <c:pt idx="1385">
                <c:v>6.0999999999999999E-2</c:v>
              </c:pt>
              <c:pt idx="1386">
                <c:v>0.06</c:v>
              </c:pt>
              <c:pt idx="1387">
                <c:v>2.5000000000000001E-2</c:v>
              </c:pt>
              <c:pt idx="1388">
                <c:v>5.0999999999999997E-2</c:v>
              </c:pt>
              <c:pt idx="1389">
                <c:v>3.9E-2</c:v>
              </c:pt>
              <c:pt idx="1390">
                <c:v>1.7999999999999999E-2</c:v>
              </c:pt>
              <c:pt idx="1391">
                <c:v>1.0999999999999999E-2</c:v>
              </c:pt>
              <c:pt idx="1392">
                <c:v>0.01</c:v>
              </c:pt>
              <c:pt idx="1393">
                <c:v>2.5999999999999999E-2</c:v>
              </c:pt>
              <c:pt idx="1394">
                <c:v>1.0999999999999999E-2</c:v>
              </c:pt>
              <c:pt idx="1395">
                <c:v>2.7E-2</c:v>
              </c:pt>
              <c:pt idx="1396">
                <c:v>0</c:v>
              </c:pt>
              <c:pt idx="1397">
                <c:v>8.9999999999999993E-3</c:v>
              </c:pt>
              <c:pt idx="1398">
                <c:v>0</c:v>
              </c:pt>
              <c:pt idx="1399">
                <c:v>2.7E-2</c:v>
              </c:pt>
              <c:pt idx="1400">
                <c:v>2E-3</c:v>
              </c:pt>
              <c:pt idx="1401">
                <c:v>1.4999999999999999E-2</c:v>
              </c:pt>
              <c:pt idx="1402">
                <c:v>0</c:v>
              </c:pt>
              <c:pt idx="1403">
                <c:v>0</c:v>
              </c:pt>
              <c:pt idx="1404">
                <c:v>2E-3</c:v>
              </c:pt>
              <c:pt idx="1405">
                <c:v>0</c:v>
              </c:pt>
              <c:pt idx="1406">
                <c:v>3.0000000000000001E-3</c:v>
              </c:pt>
              <c:pt idx="1407">
                <c:v>0</c:v>
              </c:pt>
              <c:pt idx="1408">
                <c:v>0</c:v>
              </c:pt>
              <c:pt idx="1409">
                <c:v>0</c:v>
              </c:pt>
              <c:pt idx="1410">
                <c:v>7.0000000000000001E-3</c:v>
              </c:pt>
              <c:pt idx="1411">
                <c:v>7.0000000000000001E-3</c:v>
              </c:pt>
              <c:pt idx="1412">
                <c:v>0</c:v>
              </c:pt>
              <c:pt idx="1413">
                <c:v>0</c:v>
              </c:pt>
              <c:pt idx="1414">
                <c:v>0</c:v>
              </c:pt>
              <c:pt idx="1415">
                <c:v>2E-3</c:v>
              </c:pt>
              <c:pt idx="1416">
                <c:v>4.0000000000000001E-3</c:v>
              </c:pt>
              <c:pt idx="1417">
                <c:v>0</c:v>
              </c:pt>
              <c:pt idx="1418">
                <c:v>5.0000000000000001E-3</c:v>
              </c:pt>
              <c:pt idx="1419">
                <c:v>0</c:v>
              </c:pt>
              <c:pt idx="1420">
                <c:v>2E-3</c:v>
              </c:pt>
              <c:pt idx="1421">
                <c:v>7.0000000000000001E-3</c:v>
              </c:pt>
              <c:pt idx="1422">
                <c:v>1.4E-2</c:v>
              </c:pt>
              <c:pt idx="1423">
                <c:v>4.0000000000000001E-3</c:v>
              </c:pt>
              <c:pt idx="1424">
                <c:v>1E-3</c:v>
              </c:pt>
              <c:pt idx="1425">
                <c:v>0</c:v>
              </c:pt>
              <c:pt idx="1426">
                <c:v>4.0000000000000001E-3</c:v>
              </c:pt>
              <c:pt idx="1427">
                <c:v>6.0000000000000001E-3</c:v>
              </c:pt>
              <c:pt idx="1428">
                <c:v>4.0000000000000001E-3</c:v>
              </c:pt>
              <c:pt idx="1429">
                <c:v>1.2999999999999999E-2</c:v>
              </c:pt>
              <c:pt idx="1430">
                <c:v>0</c:v>
              </c:pt>
              <c:pt idx="1431">
                <c:v>5.0000000000000001E-3</c:v>
              </c:pt>
              <c:pt idx="1432">
                <c:v>8.9999999999999993E-3</c:v>
              </c:pt>
              <c:pt idx="1433">
                <c:v>6.0000000000000001E-3</c:v>
              </c:pt>
              <c:pt idx="1434">
                <c:v>2.3E-2</c:v>
              </c:pt>
              <c:pt idx="1435">
                <c:v>2.3E-2</c:v>
              </c:pt>
              <c:pt idx="1436">
                <c:v>3.7999999999999999E-2</c:v>
              </c:pt>
              <c:pt idx="1437">
                <c:v>2.1000000000000001E-2</c:v>
              </c:pt>
              <c:pt idx="1438">
                <c:v>5.3999999999999999E-2</c:v>
              </c:pt>
              <c:pt idx="1439">
                <c:v>4.2999999999999997E-2</c:v>
              </c:pt>
              <c:pt idx="1440">
                <c:v>6.8000000000000005E-2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1-6259-46DD-8E42-052732076705}"/>
            </c:ext>
          </c:extLst>
        </c:ser>
        <c:ser>
          <c:idx val="2"/>
          <c:order val="2"/>
          <c:tx>
            <c:v>IS6 WMS POA Downword(W/mÂ²)</c:v>
          </c:tx>
          <c:spPr>
            <a:ln w="28575" cap="rnd">
              <a:solidFill>
                <a:schemeClr val="accent3"/>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0.125</c:v>
              </c:pt>
              <c:pt idx="2">
                <c:v>0.106</c:v>
              </c:pt>
              <c:pt idx="3">
                <c:v>0.113</c:v>
              </c:pt>
              <c:pt idx="4">
                <c:v>0.129</c:v>
              </c:pt>
              <c:pt idx="5">
                <c:v>0.11600000000000001</c:v>
              </c:pt>
              <c:pt idx="6">
                <c:v>9.4E-2</c:v>
              </c:pt>
              <c:pt idx="7">
                <c:v>5.7000000000000002E-2</c:v>
              </c:pt>
              <c:pt idx="8">
                <c:v>0.10100000000000001</c:v>
              </c:pt>
              <c:pt idx="9">
                <c:v>0.13300000000000001</c:v>
              </c:pt>
              <c:pt idx="10">
                <c:v>8.1000000000000003E-2</c:v>
              </c:pt>
              <c:pt idx="11">
                <c:v>0.115</c:v>
              </c:pt>
              <c:pt idx="12">
                <c:v>0.109</c:v>
              </c:pt>
              <c:pt idx="13">
                <c:v>6.9000000000000006E-2</c:v>
              </c:pt>
              <c:pt idx="14">
                <c:v>5.2999999999999999E-2</c:v>
              </c:pt>
              <c:pt idx="15">
                <c:v>0.13300000000000001</c:v>
              </c:pt>
              <c:pt idx="16">
                <c:v>0.10199999999999999</c:v>
              </c:pt>
              <c:pt idx="17">
                <c:v>0.109</c:v>
              </c:pt>
              <c:pt idx="18">
                <c:v>0.105</c:v>
              </c:pt>
              <c:pt idx="19">
                <c:v>4.2000000000000003E-2</c:v>
              </c:pt>
              <c:pt idx="20">
                <c:v>0.121</c:v>
              </c:pt>
              <c:pt idx="21">
                <c:v>0.104</c:v>
              </c:pt>
              <c:pt idx="22">
                <c:v>0.13200000000000001</c:v>
              </c:pt>
              <c:pt idx="23">
                <c:v>0.129</c:v>
              </c:pt>
              <c:pt idx="24">
                <c:v>0.13600000000000001</c:v>
              </c:pt>
              <c:pt idx="25">
                <c:v>7.1999999999999995E-2</c:v>
              </c:pt>
              <c:pt idx="26">
                <c:v>8.7999999999999995E-2</c:v>
              </c:pt>
              <c:pt idx="27">
                <c:v>9.2999999999999999E-2</c:v>
              </c:pt>
              <c:pt idx="28">
                <c:v>0.113</c:v>
              </c:pt>
              <c:pt idx="29">
                <c:v>6.4000000000000001E-2</c:v>
              </c:pt>
              <c:pt idx="30">
                <c:v>0.11799999999999999</c:v>
              </c:pt>
              <c:pt idx="31">
                <c:v>0.10199999999999999</c:v>
              </c:pt>
              <c:pt idx="32">
                <c:v>0.153</c:v>
              </c:pt>
              <c:pt idx="33">
                <c:v>0.105</c:v>
              </c:pt>
              <c:pt idx="34">
                <c:v>0.128</c:v>
              </c:pt>
              <c:pt idx="35">
                <c:v>0.14399999999999999</c:v>
              </c:pt>
              <c:pt idx="36">
                <c:v>0.12</c:v>
              </c:pt>
              <c:pt idx="37">
                <c:v>0.113</c:v>
              </c:pt>
              <c:pt idx="38">
                <c:v>0.08</c:v>
              </c:pt>
              <c:pt idx="39">
                <c:v>0.13200000000000001</c:v>
              </c:pt>
              <c:pt idx="40">
                <c:v>0.13600000000000001</c:v>
              </c:pt>
              <c:pt idx="41">
                <c:v>0.13700000000000001</c:v>
              </c:pt>
              <c:pt idx="42">
                <c:v>0.129</c:v>
              </c:pt>
              <c:pt idx="43">
                <c:v>0.16400000000000001</c:v>
              </c:pt>
              <c:pt idx="44">
                <c:v>0.17699999999999999</c:v>
              </c:pt>
              <c:pt idx="45">
                <c:v>0.157</c:v>
              </c:pt>
              <c:pt idx="46">
                <c:v>0.13600000000000001</c:v>
              </c:pt>
              <c:pt idx="47">
                <c:v>0.161</c:v>
              </c:pt>
              <c:pt idx="48">
                <c:v>0.126</c:v>
              </c:pt>
              <c:pt idx="49">
                <c:v>0.125</c:v>
              </c:pt>
              <c:pt idx="50">
                <c:v>9.7000000000000003E-2</c:v>
              </c:pt>
              <c:pt idx="51">
                <c:v>0.115</c:v>
              </c:pt>
              <c:pt idx="52">
                <c:v>0.18099999999999999</c:v>
              </c:pt>
              <c:pt idx="53">
                <c:v>0.185</c:v>
              </c:pt>
              <c:pt idx="54">
                <c:v>0.184</c:v>
              </c:pt>
              <c:pt idx="55">
                <c:v>0.307</c:v>
              </c:pt>
              <c:pt idx="56">
                <c:v>0.29399999999999998</c:v>
              </c:pt>
              <c:pt idx="57">
                <c:v>0.27300000000000002</c:v>
              </c:pt>
              <c:pt idx="58">
                <c:v>0.28399999999999997</c:v>
              </c:pt>
              <c:pt idx="59">
                <c:v>0.23200000000000001</c:v>
              </c:pt>
              <c:pt idx="60">
                <c:v>0.187</c:v>
              </c:pt>
              <c:pt idx="61">
                <c:v>0.22700000000000001</c:v>
              </c:pt>
              <c:pt idx="62">
                <c:v>0.20399999999999999</c:v>
              </c:pt>
              <c:pt idx="63">
                <c:v>0.20399999999999999</c:v>
              </c:pt>
              <c:pt idx="64">
                <c:v>0.218</c:v>
              </c:pt>
              <c:pt idx="65">
                <c:v>0.20799999999999999</c:v>
              </c:pt>
              <c:pt idx="66">
                <c:v>0.14899999999999999</c:v>
              </c:pt>
              <c:pt idx="67">
                <c:v>0.221</c:v>
              </c:pt>
              <c:pt idx="68">
                <c:v>0.151</c:v>
              </c:pt>
              <c:pt idx="69">
                <c:v>0.115</c:v>
              </c:pt>
              <c:pt idx="70">
                <c:v>0.14599999999999999</c:v>
              </c:pt>
              <c:pt idx="71">
                <c:v>0.121</c:v>
              </c:pt>
              <c:pt idx="72">
                <c:v>0.111</c:v>
              </c:pt>
              <c:pt idx="73">
                <c:v>0.17199999999999999</c:v>
              </c:pt>
              <c:pt idx="74">
                <c:v>0.14699999999999999</c:v>
              </c:pt>
              <c:pt idx="75">
                <c:v>0.157</c:v>
              </c:pt>
              <c:pt idx="76">
                <c:v>0.12</c:v>
              </c:pt>
              <c:pt idx="77">
                <c:v>0.1</c:v>
              </c:pt>
              <c:pt idx="78">
                <c:v>0.16900000000000001</c:v>
              </c:pt>
              <c:pt idx="79">
                <c:v>0.10299999999999999</c:v>
              </c:pt>
              <c:pt idx="80">
                <c:v>0.107</c:v>
              </c:pt>
              <c:pt idx="81">
                <c:v>0.13300000000000001</c:v>
              </c:pt>
              <c:pt idx="82">
                <c:v>0.14099999999999999</c:v>
              </c:pt>
              <c:pt idx="83">
                <c:v>0.129</c:v>
              </c:pt>
              <c:pt idx="84">
                <c:v>0.11899999999999999</c:v>
              </c:pt>
              <c:pt idx="85">
                <c:v>0.127</c:v>
              </c:pt>
              <c:pt idx="86">
                <c:v>0.122</c:v>
              </c:pt>
              <c:pt idx="87">
                <c:v>0.14099999999999999</c:v>
              </c:pt>
              <c:pt idx="88">
                <c:v>0.14799999999999999</c:v>
              </c:pt>
              <c:pt idx="89">
                <c:v>0.114</c:v>
              </c:pt>
              <c:pt idx="90">
                <c:v>0.16200000000000001</c:v>
              </c:pt>
              <c:pt idx="91">
                <c:v>0.187</c:v>
              </c:pt>
              <c:pt idx="92">
                <c:v>0.151</c:v>
              </c:pt>
              <c:pt idx="93">
                <c:v>0.13200000000000001</c:v>
              </c:pt>
              <c:pt idx="94">
                <c:v>0.11899999999999999</c:v>
              </c:pt>
              <c:pt idx="95">
                <c:v>0.127</c:v>
              </c:pt>
              <c:pt idx="96">
                <c:v>8.3000000000000004E-2</c:v>
              </c:pt>
              <c:pt idx="97">
                <c:v>0.13700000000000001</c:v>
              </c:pt>
              <c:pt idx="98">
                <c:v>0.112</c:v>
              </c:pt>
              <c:pt idx="99">
                <c:v>0.123</c:v>
              </c:pt>
              <c:pt idx="100">
                <c:v>0.09</c:v>
              </c:pt>
              <c:pt idx="101">
                <c:v>0.14399999999999999</c:v>
              </c:pt>
              <c:pt idx="102">
                <c:v>0.14799999999999999</c:v>
              </c:pt>
              <c:pt idx="103">
                <c:v>9.5000000000000001E-2</c:v>
              </c:pt>
              <c:pt idx="104">
                <c:v>0.14099999999999999</c:v>
              </c:pt>
              <c:pt idx="105">
                <c:v>0.104</c:v>
              </c:pt>
              <c:pt idx="106">
                <c:v>0.14799999999999999</c:v>
              </c:pt>
              <c:pt idx="107">
                <c:v>0.12</c:v>
              </c:pt>
              <c:pt idx="108">
                <c:v>8.2000000000000003E-2</c:v>
              </c:pt>
              <c:pt idx="109">
                <c:v>0.13100000000000001</c:v>
              </c:pt>
              <c:pt idx="110">
                <c:v>0.114</c:v>
              </c:pt>
              <c:pt idx="111">
                <c:v>0.13400000000000001</c:v>
              </c:pt>
              <c:pt idx="112">
                <c:v>0.126</c:v>
              </c:pt>
              <c:pt idx="113">
                <c:v>0.16300000000000001</c:v>
              </c:pt>
              <c:pt idx="114">
                <c:v>0.153</c:v>
              </c:pt>
              <c:pt idx="115">
                <c:v>0.13600000000000001</c:v>
              </c:pt>
              <c:pt idx="116">
                <c:v>0.121</c:v>
              </c:pt>
              <c:pt idx="117">
                <c:v>0.13200000000000001</c:v>
              </c:pt>
              <c:pt idx="118">
                <c:v>0.105</c:v>
              </c:pt>
              <c:pt idx="119">
                <c:v>0.123</c:v>
              </c:pt>
              <c:pt idx="120">
                <c:v>8.7999999999999995E-2</c:v>
              </c:pt>
              <c:pt idx="121">
                <c:v>0.10199999999999999</c:v>
              </c:pt>
              <c:pt idx="122">
                <c:v>9.8000000000000004E-2</c:v>
              </c:pt>
              <c:pt idx="123">
                <c:v>0.112</c:v>
              </c:pt>
              <c:pt idx="124">
                <c:v>0.11</c:v>
              </c:pt>
              <c:pt idx="125">
                <c:v>0.14499999999999999</c:v>
              </c:pt>
              <c:pt idx="126">
                <c:v>0.106</c:v>
              </c:pt>
              <c:pt idx="127">
                <c:v>0.122</c:v>
              </c:pt>
              <c:pt idx="128">
                <c:v>0.11899999999999999</c:v>
              </c:pt>
              <c:pt idx="129">
                <c:v>0.16500000000000001</c:v>
              </c:pt>
              <c:pt idx="130">
                <c:v>0.127</c:v>
              </c:pt>
              <c:pt idx="131">
                <c:v>0.14899999999999999</c:v>
              </c:pt>
              <c:pt idx="132">
                <c:v>0.13100000000000001</c:v>
              </c:pt>
              <c:pt idx="133">
                <c:v>0.121</c:v>
              </c:pt>
              <c:pt idx="134">
                <c:v>0.106</c:v>
              </c:pt>
              <c:pt idx="135">
                <c:v>0.121</c:v>
              </c:pt>
              <c:pt idx="136">
                <c:v>0.152</c:v>
              </c:pt>
              <c:pt idx="137">
                <c:v>8.8999999999999996E-2</c:v>
              </c:pt>
              <c:pt idx="138">
                <c:v>0.124</c:v>
              </c:pt>
              <c:pt idx="139">
                <c:v>0.13500000000000001</c:v>
              </c:pt>
              <c:pt idx="140">
                <c:v>0.106</c:v>
              </c:pt>
              <c:pt idx="141">
                <c:v>0.10199999999999999</c:v>
              </c:pt>
              <c:pt idx="142">
                <c:v>9.5000000000000001E-2</c:v>
              </c:pt>
              <c:pt idx="143">
                <c:v>0.14099999999999999</c:v>
              </c:pt>
              <c:pt idx="144">
                <c:v>0.109</c:v>
              </c:pt>
              <c:pt idx="145">
                <c:v>0.1</c:v>
              </c:pt>
              <c:pt idx="146">
                <c:v>9.6000000000000002E-2</c:v>
              </c:pt>
              <c:pt idx="147">
                <c:v>8.7999999999999995E-2</c:v>
              </c:pt>
              <c:pt idx="148">
                <c:v>7.9000000000000001E-2</c:v>
              </c:pt>
              <c:pt idx="149">
                <c:v>7.5999999999999998E-2</c:v>
              </c:pt>
              <c:pt idx="150">
                <c:v>0.112</c:v>
              </c:pt>
              <c:pt idx="151">
                <c:v>6.2E-2</c:v>
              </c:pt>
              <c:pt idx="152">
                <c:v>9.8000000000000004E-2</c:v>
              </c:pt>
              <c:pt idx="153">
                <c:v>9.8000000000000004E-2</c:v>
              </c:pt>
              <c:pt idx="154">
                <c:v>0.11700000000000001</c:v>
              </c:pt>
              <c:pt idx="155">
                <c:v>0.11799999999999999</c:v>
              </c:pt>
              <c:pt idx="156">
                <c:v>8.5000000000000006E-2</c:v>
              </c:pt>
              <c:pt idx="157">
                <c:v>9.0999999999999998E-2</c:v>
              </c:pt>
              <c:pt idx="158">
                <c:v>7.0999999999999994E-2</c:v>
              </c:pt>
              <c:pt idx="159">
                <c:v>8.5999999999999993E-2</c:v>
              </c:pt>
              <c:pt idx="160">
                <c:v>9.4E-2</c:v>
              </c:pt>
              <c:pt idx="161">
                <c:v>0.10199999999999999</c:v>
              </c:pt>
              <c:pt idx="162">
                <c:v>0.108</c:v>
              </c:pt>
              <c:pt idx="163">
                <c:v>0.09</c:v>
              </c:pt>
              <c:pt idx="164">
                <c:v>5.7000000000000002E-2</c:v>
              </c:pt>
              <c:pt idx="165">
                <c:v>0.08</c:v>
              </c:pt>
              <c:pt idx="166">
                <c:v>6.2E-2</c:v>
              </c:pt>
              <c:pt idx="167">
                <c:v>0.114</c:v>
              </c:pt>
              <c:pt idx="168">
                <c:v>3.2000000000000001E-2</c:v>
              </c:pt>
              <c:pt idx="169">
                <c:v>5.5E-2</c:v>
              </c:pt>
              <c:pt idx="170">
                <c:v>7.0999999999999994E-2</c:v>
              </c:pt>
              <c:pt idx="171">
                <c:v>4.3999999999999997E-2</c:v>
              </c:pt>
              <c:pt idx="172">
                <c:v>9.0999999999999998E-2</c:v>
              </c:pt>
              <c:pt idx="173">
                <c:v>3.3000000000000002E-2</c:v>
              </c:pt>
              <c:pt idx="174">
                <c:v>3.5000000000000003E-2</c:v>
              </c:pt>
              <c:pt idx="175">
                <c:v>3.9E-2</c:v>
              </c:pt>
              <c:pt idx="176">
                <c:v>6.4000000000000001E-2</c:v>
              </c:pt>
              <c:pt idx="177">
                <c:v>6.8000000000000005E-2</c:v>
              </c:pt>
              <c:pt idx="178">
                <c:v>0.03</c:v>
              </c:pt>
              <c:pt idx="179">
                <c:v>6.7000000000000004E-2</c:v>
              </c:pt>
              <c:pt idx="180">
                <c:v>6.4000000000000001E-2</c:v>
              </c:pt>
              <c:pt idx="181">
                <c:v>6.0999999999999999E-2</c:v>
              </c:pt>
              <c:pt idx="182">
                <c:v>6.6000000000000003E-2</c:v>
              </c:pt>
              <c:pt idx="183">
                <c:v>6.6000000000000003E-2</c:v>
              </c:pt>
              <c:pt idx="184">
                <c:v>6.0999999999999999E-2</c:v>
              </c:pt>
              <c:pt idx="185">
                <c:v>3.5000000000000003E-2</c:v>
              </c:pt>
              <c:pt idx="186">
                <c:v>5.7000000000000002E-2</c:v>
              </c:pt>
              <c:pt idx="187">
                <c:v>0.04</c:v>
              </c:pt>
              <c:pt idx="188">
                <c:v>4.2000000000000003E-2</c:v>
              </c:pt>
              <c:pt idx="189">
                <c:v>1.9E-2</c:v>
              </c:pt>
              <c:pt idx="190">
                <c:v>5.2999999999999999E-2</c:v>
              </c:pt>
              <c:pt idx="191">
                <c:v>3.3000000000000002E-2</c:v>
              </c:pt>
              <c:pt idx="192">
                <c:v>5.8999999999999997E-2</c:v>
              </c:pt>
              <c:pt idx="193">
                <c:v>6.6000000000000003E-2</c:v>
              </c:pt>
              <c:pt idx="194">
                <c:v>5.0999999999999997E-2</c:v>
              </c:pt>
              <c:pt idx="195">
                <c:v>6.2E-2</c:v>
              </c:pt>
              <c:pt idx="196">
                <c:v>4.2999999999999997E-2</c:v>
              </c:pt>
              <c:pt idx="197">
                <c:v>5.8000000000000003E-2</c:v>
              </c:pt>
              <c:pt idx="198">
                <c:v>5.8999999999999997E-2</c:v>
              </c:pt>
              <c:pt idx="199">
                <c:v>7.1999999999999995E-2</c:v>
              </c:pt>
              <c:pt idx="200">
                <c:v>7.0000000000000007E-2</c:v>
              </c:pt>
              <c:pt idx="201">
                <c:v>2.1000000000000001E-2</c:v>
              </c:pt>
              <c:pt idx="202">
                <c:v>6.9000000000000006E-2</c:v>
              </c:pt>
              <c:pt idx="203">
                <c:v>8.4000000000000005E-2</c:v>
              </c:pt>
              <c:pt idx="204">
                <c:v>7.2999999999999995E-2</c:v>
              </c:pt>
              <c:pt idx="205">
                <c:v>1.9E-2</c:v>
              </c:pt>
              <c:pt idx="206">
                <c:v>7.2999999999999995E-2</c:v>
              </c:pt>
              <c:pt idx="207">
                <c:v>5.8999999999999997E-2</c:v>
              </c:pt>
              <c:pt idx="208">
                <c:v>7.5999999999999998E-2</c:v>
              </c:pt>
              <c:pt idx="209">
                <c:v>7.0999999999999994E-2</c:v>
              </c:pt>
              <c:pt idx="210">
                <c:v>6.9000000000000006E-2</c:v>
              </c:pt>
              <c:pt idx="211">
                <c:v>5.8000000000000003E-2</c:v>
              </c:pt>
              <c:pt idx="212">
                <c:v>8.1000000000000003E-2</c:v>
              </c:pt>
              <c:pt idx="213">
                <c:v>6.2E-2</c:v>
              </c:pt>
              <c:pt idx="214">
                <c:v>9.4E-2</c:v>
              </c:pt>
              <c:pt idx="215">
                <c:v>6.8000000000000005E-2</c:v>
              </c:pt>
              <c:pt idx="216">
                <c:v>2.9000000000000001E-2</c:v>
              </c:pt>
              <c:pt idx="217">
                <c:v>2.7E-2</c:v>
              </c:pt>
              <c:pt idx="218">
                <c:v>7.3999999999999996E-2</c:v>
              </c:pt>
              <c:pt idx="219">
                <c:v>6.2E-2</c:v>
              </c:pt>
              <c:pt idx="220">
                <c:v>6.0999999999999999E-2</c:v>
              </c:pt>
              <c:pt idx="221">
                <c:v>5.3999999999999999E-2</c:v>
              </c:pt>
              <c:pt idx="222">
                <c:v>7.4999999999999997E-2</c:v>
              </c:pt>
              <c:pt idx="223">
                <c:v>8.5000000000000006E-2</c:v>
              </c:pt>
              <c:pt idx="224">
                <c:v>7.8E-2</c:v>
              </c:pt>
              <c:pt idx="225">
                <c:v>9.1999999999999998E-2</c:v>
              </c:pt>
              <c:pt idx="226">
                <c:v>6.3E-2</c:v>
              </c:pt>
              <c:pt idx="227">
                <c:v>7.2999999999999995E-2</c:v>
              </c:pt>
              <c:pt idx="228">
                <c:v>0.06</c:v>
              </c:pt>
              <c:pt idx="229">
                <c:v>6.0999999999999999E-2</c:v>
              </c:pt>
              <c:pt idx="230">
                <c:v>7.0000000000000007E-2</c:v>
              </c:pt>
              <c:pt idx="231">
                <c:v>4.4999999999999998E-2</c:v>
              </c:pt>
              <c:pt idx="232">
                <c:v>6.8000000000000005E-2</c:v>
              </c:pt>
              <c:pt idx="233">
                <c:v>5.3999999999999999E-2</c:v>
              </c:pt>
              <c:pt idx="234">
                <c:v>4.2999999999999997E-2</c:v>
              </c:pt>
              <c:pt idx="235">
                <c:v>4.2999999999999997E-2</c:v>
              </c:pt>
              <c:pt idx="236">
                <c:v>4.2000000000000003E-2</c:v>
              </c:pt>
              <c:pt idx="237">
                <c:v>4.3999999999999997E-2</c:v>
              </c:pt>
              <c:pt idx="238">
                <c:v>0.04</c:v>
              </c:pt>
              <c:pt idx="239">
                <c:v>8.5000000000000006E-2</c:v>
              </c:pt>
              <c:pt idx="240">
                <c:v>7.9000000000000001E-2</c:v>
              </c:pt>
              <c:pt idx="241">
                <c:v>7.6999999999999999E-2</c:v>
              </c:pt>
              <c:pt idx="242">
                <c:v>6.5000000000000002E-2</c:v>
              </c:pt>
              <c:pt idx="243">
                <c:v>0.08</c:v>
              </c:pt>
              <c:pt idx="244">
                <c:v>0.11799999999999999</c:v>
              </c:pt>
              <c:pt idx="245">
                <c:v>4.9000000000000002E-2</c:v>
              </c:pt>
              <c:pt idx="246">
                <c:v>8.7999999999999995E-2</c:v>
              </c:pt>
              <c:pt idx="247">
                <c:v>7.8E-2</c:v>
              </c:pt>
              <c:pt idx="248">
                <c:v>9.0999999999999998E-2</c:v>
              </c:pt>
              <c:pt idx="249">
                <c:v>8.5000000000000006E-2</c:v>
              </c:pt>
              <c:pt idx="250">
                <c:v>8.5999999999999993E-2</c:v>
              </c:pt>
              <c:pt idx="251">
                <c:v>6.8000000000000005E-2</c:v>
              </c:pt>
              <c:pt idx="252">
                <c:v>8.5999999999999993E-2</c:v>
              </c:pt>
              <c:pt idx="253">
                <c:v>7.5999999999999998E-2</c:v>
              </c:pt>
              <c:pt idx="254">
                <c:v>5.8999999999999997E-2</c:v>
              </c:pt>
              <c:pt idx="255">
                <c:v>7.9000000000000001E-2</c:v>
              </c:pt>
              <c:pt idx="256">
                <c:v>7.1999999999999995E-2</c:v>
              </c:pt>
              <c:pt idx="257">
                <c:v>4.5999999999999999E-2</c:v>
              </c:pt>
              <c:pt idx="258">
                <c:v>6.5000000000000002E-2</c:v>
              </c:pt>
              <c:pt idx="259">
                <c:v>6.9000000000000006E-2</c:v>
              </c:pt>
              <c:pt idx="260">
                <c:v>6.3E-2</c:v>
              </c:pt>
              <c:pt idx="261">
                <c:v>7.3999999999999996E-2</c:v>
              </c:pt>
              <c:pt idx="262">
                <c:v>8.5000000000000006E-2</c:v>
              </c:pt>
              <c:pt idx="263">
                <c:v>4.5999999999999999E-2</c:v>
              </c:pt>
              <c:pt idx="264">
                <c:v>0.112</c:v>
              </c:pt>
              <c:pt idx="265">
                <c:v>0.129</c:v>
              </c:pt>
              <c:pt idx="266">
                <c:v>9.0999999999999998E-2</c:v>
              </c:pt>
              <c:pt idx="267">
                <c:v>0.1</c:v>
              </c:pt>
              <c:pt idx="268">
                <c:v>9.6000000000000002E-2</c:v>
              </c:pt>
              <c:pt idx="269">
                <c:v>7.6999999999999999E-2</c:v>
              </c:pt>
              <c:pt idx="270">
                <c:v>8.8999999999999996E-2</c:v>
              </c:pt>
              <c:pt idx="271">
                <c:v>6.9000000000000006E-2</c:v>
              </c:pt>
              <c:pt idx="272">
                <c:v>7.0000000000000007E-2</c:v>
              </c:pt>
              <c:pt idx="273">
                <c:v>8.5999999999999993E-2</c:v>
              </c:pt>
              <c:pt idx="274">
                <c:v>0.10299999999999999</c:v>
              </c:pt>
              <c:pt idx="275">
                <c:v>8.7999999999999995E-2</c:v>
              </c:pt>
              <c:pt idx="276">
                <c:v>9.9000000000000005E-2</c:v>
              </c:pt>
              <c:pt idx="277">
                <c:v>9.1999999999999998E-2</c:v>
              </c:pt>
              <c:pt idx="278">
                <c:v>0.10299999999999999</c:v>
              </c:pt>
              <c:pt idx="279">
                <c:v>0.14599999999999999</c:v>
              </c:pt>
              <c:pt idx="280">
                <c:v>0.11799999999999999</c:v>
              </c:pt>
              <c:pt idx="281">
                <c:v>0.113</c:v>
              </c:pt>
              <c:pt idx="282">
                <c:v>0.14699999999999999</c:v>
              </c:pt>
              <c:pt idx="283">
                <c:v>0.105</c:v>
              </c:pt>
              <c:pt idx="284">
                <c:v>0.11</c:v>
              </c:pt>
              <c:pt idx="285">
                <c:v>8.6999999999999994E-2</c:v>
              </c:pt>
              <c:pt idx="286">
                <c:v>7.2999999999999995E-2</c:v>
              </c:pt>
              <c:pt idx="287">
                <c:v>5.2999999999999999E-2</c:v>
              </c:pt>
              <c:pt idx="288">
                <c:v>0.126</c:v>
              </c:pt>
              <c:pt idx="289">
                <c:v>0.10100000000000001</c:v>
              </c:pt>
              <c:pt idx="290">
                <c:v>0.106</c:v>
              </c:pt>
              <c:pt idx="291">
                <c:v>0.115</c:v>
              </c:pt>
              <c:pt idx="292">
                <c:v>9.7000000000000003E-2</c:v>
              </c:pt>
              <c:pt idx="293">
                <c:v>9.7000000000000003E-2</c:v>
              </c:pt>
              <c:pt idx="294">
                <c:v>6.8000000000000005E-2</c:v>
              </c:pt>
              <c:pt idx="295">
                <c:v>8.3000000000000004E-2</c:v>
              </c:pt>
              <c:pt idx="296">
                <c:v>0.105</c:v>
              </c:pt>
              <c:pt idx="297">
                <c:v>7.8E-2</c:v>
              </c:pt>
              <c:pt idx="298">
                <c:v>8.8999999999999996E-2</c:v>
              </c:pt>
              <c:pt idx="299">
                <c:v>6.7000000000000004E-2</c:v>
              </c:pt>
              <c:pt idx="300">
                <c:v>6.8000000000000005E-2</c:v>
              </c:pt>
              <c:pt idx="301">
                <c:v>9.8000000000000004E-2</c:v>
              </c:pt>
              <c:pt idx="302">
                <c:v>0.10299999999999999</c:v>
              </c:pt>
              <c:pt idx="303">
                <c:v>0.105</c:v>
              </c:pt>
              <c:pt idx="304">
                <c:v>0.105</c:v>
              </c:pt>
              <c:pt idx="305">
                <c:v>0.114</c:v>
              </c:pt>
              <c:pt idx="306">
                <c:v>6.0999999999999999E-2</c:v>
              </c:pt>
              <c:pt idx="307">
                <c:v>8.1000000000000003E-2</c:v>
              </c:pt>
              <c:pt idx="308">
                <c:v>0.09</c:v>
              </c:pt>
              <c:pt idx="309">
                <c:v>6.2E-2</c:v>
              </c:pt>
              <c:pt idx="310">
                <c:v>7.1999999999999995E-2</c:v>
              </c:pt>
              <c:pt idx="311">
                <c:v>5.8000000000000003E-2</c:v>
              </c:pt>
              <c:pt idx="312">
                <c:v>4.1000000000000002E-2</c:v>
              </c:pt>
              <c:pt idx="313">
                <c:v>1.4E-2</c:v>
              </c:pt>
              <c:pt idx="314">
                <c:v>8.1000000000000003E-2</c:v>
              </c:pt>
              <c:pt idx="315">
                <c:v>4.2999999999999997E-2</c:v>
              </c:pt>
              <c:pt idx="316">
                <c:v>4.4999999999999998E-2</c:v>
              </c:pt>
              <c:pt idx="317">
                <c:v>3.5999999999999997E-2</c:v>
              </c:pt>
              <c:pt idx="318">
                <c:v>2.7E-2</c:v>
              </c:pt>
              <c:pt idx="319">
                <c:v>8.0000000000000002E-3</c:v>
              </c:pt>
              <c:pt idx="320">
                <c:v>0.05</c:v>
              </c:pt>
              <c:pt idx="321">
                <c:v>3.2000000000000001E-2</c:v>
              </c:pt>
              <c:pt idx="322">
                <c:v>3.0000000000000001E-3</c:v>
              </c:pt>
              <c:pt idx="323">
                <c:v>1.4E-2</c:v>
              </c:pt>
              <c:pt idx="324">
                <c:v>2.5999999999999999E-2</c:v>
              </c:pt>
              <c:pt idx="325">
                <c:v>1.4999999999999999E-2</c:v>
              </c:pt>
              <c:pt idx="326">
                <c:v>1.2999999999999999E-2</c:v>
              </c:pt>
              <c:pt idx="327">
                <c:v>2E-3</c:v>
              </c:pt>
              <c:pt idx="328">
                <c:v>0.05</c:v>
              </c:pt>
              <c:pt idx="329">
                <c:v>1.6E-2</c:v>
              </c:pt>
              <c:pt idx="330">
                <c:v>1.4E-2</c:v>
              </c:pt>
              <c:pt idx="331">
                <c:v>1.0999999999999999E-2</c:v>
              </c:pt>
              <c:pt idx="332">
                <c:v>1.7000000000000001E-2</c:v>
              </c:pt>
              <c:pt idx="333">
                <c:v>1.4999999999999999E-2</c:v>
              </c:pt>
              <c:pt idx="334">
                <c:v>0.01</c:v>
              </c:pt>
              <c:pt idx="335">
                <c:v>2.9000000000000001E-2</c:v>
              </c:pt>
              <c:pt idx="336">
                <c:v>1.4999999999999999E-2</c:v>
              </c:pt>
              <c:pt idx="337">
                <c:v>1.4E-2</c:v>
              </c:pt>
              <c:pt idx="338">
                <c:v>0</c:v>
              </c:pt>
              <c:pt idx="339">
                <c:v>2.1999999999999999E-2</c:v>
              </c:pt>
              <c:pt idx="340">
                <c:v>1.2E-2</c:v>
              </c:pt>
              <c:pt idx="341">
                <c:v>2.8000000000000001E-2</c:v>
              </c:pt>
              <c:pt idx="342">
                <c:v>2.7E-2</c:v>
              </c:pt>
              <c:pt idx="343">
                <c:v>1E-3</c:v>
              </c:pt>
              <c:pt idx="344">
                <c:v>3.4000000000000002E-2</c:v>
              </c:pt>
              <c:pt idx="345">
                <c:v>5.0000000000000001E-3</c:v>
              </c:pt>
              <c:pt idx="346">
                <c:v>1.2999999999999999E-2</c:v>
              </c:pt>
              <c:pt idx="347">
                <c:v>1.9E-2</c:v>
              </c:pt>
              <c:pt idx="348">
                <c:v>1.4E-2</c:v>
              </c:pt>
              <c:pt idx="349">
                <c:v>8.9999999999999993E-3</c:v>
              </c:pt>
              <c:pt idx="350">
                <c:v>0.04</c:v>
              </c:pt>
              <c:pt idx="351">
                <c:v>2.5000000000000001E-2</c:v>
              </c:pt>
              <c:pt idx="352">
                <c:v>0.03</c:v>
              </c:pt>
              <c:pt idx="353">
                <c:v>1.0999999999999999E-2</c:v>
              </c:pt>
              <c:pt idx="354">
                <c:v>2.9000000000000001E-2</c:v>
              </c:pt>
              <c:pt idx="355">
                <c:v>1.2999999999999999E-2</c:v>
              </c:pt>
              <c:pt idx="356">
                <c:v>8.0000000000000002E-3</c:v>
              </c:pt>
              <c:pt idx="357">
                <c:v>2.3E-2</c:v>
              </c:pt>
              <c:pt idx="358">
                <c:v>0.02</c:v>
              </c:pt>
              <c:pt idx="359">
                <c:v>4.8000000000000001E-2</c:v>
              </c:pt>
              <c:pt idx="360">
                <c:v>3.3000000000000002E-2</c:v>
              </c:pt>
              <c:pt idx="361">
                <c:v>5.3999999999999999E-2</c:v>
              </c:pt>
              <c:pt idx="362">
                <c:v>0.05</c:v>
              </c:pt>
              <c:pt idx="363">
                <c:v>5.6000000000000001E-2</c:v>
              </c:pt>
              <c:pt idx="364">
                <c:v>7.0000000000000007E-2</c:v>
              </c:pt>
              <c:pt idx="365">
                <c:v>5.5E-2</c:v>
              </c:pt>
              <c:pt idx="366">
                <c:v>4.1000000000000002E-2</c:v>
              </c:pt>
              <c:pt idx="367">
                <c:v>0.109</c:v>
              </c:pt>
              <c:pt idx="368">
                <c:v>0.10100000000000001</c:v>
              </c:pt>
              <c:pt idx="369">
                <c:v>0.11600000000000001</c:v>
              </c:pt>
              <c:pt idx="370">
                <c:v>0.14499999999999999</c:v>
              </c:pt>
              <c:pt idx="371">
                <c:v>0.156</c:v>
              </c:pt>
              <c:pt idx="372">
                <c:v>0.185</c:v>
              </c:pt>
              <c:pt idx="373">
                <c:v>0.255</c:v>
              </c:pt>
              <c:pt idx="374">
                <c:v>0.29399999999999998</c:v>
              </c:pt>
              <c:pt idx="375">
                <c:v>0.316</c:v>
              </c:pt>
              <c:pt idx="376">
                <c:v>0.29399999999999998</c:v>
              </c:pt>
              <c:pt idx="377">
                <c:v>0.35299999999999998</c:v>
              </c:pt>
              <c:pt idx="378">
                <c:v>0.34899999999999998</c:v>
              </c:pt>
              <c:pt idx="379">
                <c:v>0.40200000000000002</c:v>
              </c:pt>
              <c:pt idx="380">
                <c:v>0.41</c:v>
              </c:pt>
              <c:pt idx="381">
                <c:v>0.43</c:v>
              </c:pt>
              <c:pt idx="382">
                <c:v>0.46300000000000002</c:v>
              </c:pt>
              <c:pt idx="383">
                <c:v>0.52</c:v>
              </c:pt>
              <c:pt idx="384">
                <c:v>0.63800000000000001</c:v>
              </c:pt>
              <c:pt idx="385">
                <c:v>0.75900000000000001</c:v>
              </c:pt>
              <c:pt idx="386">
                <c:v>0.875</c:v>
              </c:pt>
              <c:pt idx="387">
                <c:v>0.98799999999999999</c:v>
              </c:pt>
              <c:pt idx="388">
                <c:v>0.96399999999999997</c:v>
              </c:pt>
              <c:pt idx="389">
                <c:v>1.0129999999999999</c:v>
              </c:pt>
              <c:pt idx="390">
                <c:v>1.0649999999999999</c:v>
              </c:pt>
              <c:pt idx="391">
                <c:v>1.0449999999999999</c:v>
              </c:pt>
              <c:pt idx="392">
                <c:v>1.1020000000000001</c:v>
              </c:pt>
              <c:pt idx="393">
                <c:v>1.1970000000000001</c:v>
              </c:pt>
              <c:pt idx="394">
                <c:v>1.2889999999999999</c:v>
              </c:pt>
              <c:pt idx="395">
                <c:v>1.3180000000000001</c:v>
              </c:pt>
              <c:pt idx="396">
                <c:v>1.367</c:v>
              </c:pt>
              <c:pt idx="397">
                <c:v>1.3320000000000001</c:v>
              </c:pt>
              <c:pt idx="398">
                <c:v>1.323</c:v>
              </c:pt>
              <c:pt idx="399">
                <c:v>1.2989999999999999</c:v>
              </c:pt>
              <c:pt idx="400">
                <c:v>1.3320000000000001</c:v>
              </c:pt>
              <c:pt idx="401">
                <c:v>1.34</c:v>
              </c:pt>
              <c:pt idx="402">
                <c:v>1.351</c:v>
              </c:pt>
              <c:pt idx="403">
                <c:v>1.33</c:v>
              </c:pt>
              <c:pt idx="404">
                <c:v>1.222</c:v>
              </c:pt>
              <c:pt idx="405">
                <c:v>1.264</c:v>
              </c:pt>
              <c:pt idx="406">
                <c:v>1.34</c:v>
              </c:pt>
              <c:pt idx="407">
                <c:v>1.359</c:v>
              </c:pt>
              <c:pt idx="408">
                <c:v>1.4750000000000001</c:v>
              </c:pt>
              <c:pt idx="409">
                <c:v>1.6020000000000001</c:v>
              </c:pt>
              <c:pt idx="410">
                <c:v>1.6990000000000001</c:v>
              </c:pt>
              <c:pt idx="411">
                <c:v>1.7450000000000001</c:v>
              </c:pt>
              <c:pt idx="412">
                <c:v>1.7170000000000001</c:v>
              </c:pt>
              <c:pt idx="413">
                <c:v>1.5840000000000001</c:v>
              </c:pt>
              <c:pt idx="414">
                <c:v>1.4550000000000001</c:v>
              </c:pt>
              <c:pt idx="415">
                <c:v>1.381</c:v>
              </c:pt>
              <c:pt idx="416">
                <c:v>1.2410000000000001</c:v>
              </c:pt>
              <c:pt idx="417">
                <c:v>1.234</c:v>
              </c:pt>
              <c:pt idx="418">
                <c:v>1.2589999999999999</c:v>
              </c:pt>
              <c:pt idx="419">
                <c:v>1.2729999999999999</c:v>
              </c:pt>
              <c:pt idx="420">
                <c:v>1.333</c:v>
              </c:pt>
              <c:pt idx="421">
                <c:v>1.3280000000000001</c:v>
              </c:pt>
              <c:pt idx="422">
                <c:v>1.298</c:v>
              </c:pt>
              <c:pt idx="423">
                <c:v>1.224</c:v>
              </c:pt>
              <c:pt idx="424">
                <c:v>1.27</c:v>
              </c:pt>
              <c:pt idx="425">
                <c:v>1.27</c:v>
              </c:pt>
              <c:pt idx="426">
                <c:v>1.1919999999999999</c:v>
              </c:pt>
              <c:pt idx="427">
                <c:v>1.173</c:v>
              </c:pt>
              <c:pt idx="428">
                <c:v>1.1839999999999999</c:v>
              </c:pt>
              <c:pt idx="429">
                <c:v>1.2390000000000001</c:v>
              </c:pt>
              <c:pt idx="430">
                <c:v>1.238</c:v>
              </c:pt>
              <c:pt idx="431">
                <c:v>1.133</c:v>
              </c:pt>
              <c:pt idx="432">
                <c:v>1.0409999999999999</c:v>
              </c:pt>
              <c:pt idx="433">
                <c:v>0.96299999999999997</c:v>
              </c:pt>
              <c:pt idx="434">
                <c:v>0.93500000000000005</c:v>
              </c:pt>
              <c:pt idx="435">
                <c:v>0.92800000000000005</c:v>
              </c:pt>
              <c:pt idx="436">
                <c:v>0.95899999999999996</c:v>
              </c:pt>
              <c:pt idx="437">
                <c:v>0.98199999999999998</c:v>
              </c:pt>
              <c:pt idx="438">
                <c:v>1.1399999999999999</c:v>
              </c:pt>
              <c:pt idx="439">
                <c:v>1.36</c:v>
              </c:pt>
              <c:pt idx="440">
                <c:v>1.6890000000000001</c:v>
              </c:pt>
              <c:pt idx="441">
                <c:v>2.0950000000000002</c:v>
              </c:pt>
              <c:pt idx="442">
                <c:v>2.153</c:v>
              </c:pt>
              <c:pt idx="443">
                <c:v>2.347</c:v>
              </c:pt>
              <c:pt idx="444">
                <c:v>2.4870000000000001</c:v>
              </c:pt>
              <c:pt idx="445">
                <c:v>2.4809999999999999</c:v>
              </c:pt>
              <c:pt idx="446">
                <c:v>2.625</c:v>
              </c:pt>
              <c:pt idx="447">
                <c:v>2.7280000000000002</c:v>
              </c:pt>
              <c:pt idx="448">
                <c:v>2.76</c:v>
              </c:pt>
              <c:pt idx="449">
                <c:v>2.5299999999999998</c:v>
              </c:pt>
              <c:pt idx="450">
                <c:v>2.556</c:v>
              </c:pt>
              <c:pt idx="451">
                <c:v>3.004</c:v>
              </c:pt>
              <c:pt idx="452">
                <c:v>2.7</c:v>
              </c:pt>
              <c:pt idx="453">
                <c:v>2.3849999999999998</c:v>
              </c:pt>
              <c:pt idx="454">
                <c:v>2.391</c:v>
              </c:pt>
              <c:pt idx="455">
                <c:v>2.5390000000000001</c:v>
              </c:pt>
              <c:pt idx="456">
                <c:v>2.7549999999999999</c:v>
              </c:pt>
              <c:pt idx="457">
                <c:v>2.7719999999999998</c:v>
              </c:pt>
              <c:pt idx="458">
                <c:v>2.6219999999999999</c:v>
              </c:pt>
              <c:pt idx="459">
                <c:v>2.3769999999999998</c:v>
              </c:pt>
              <c:pt idx="460">
                <c:v>2.226</c:v>
              </c:pt>
              <c:pt idx="461">
                <c:v>1.877</c:v>
              </c:pt>
              <c:pt idx="462">
                <c:v>1.59</c:v>
              </c:pt>
              <c:pt idx="463">
                <c:v>1.522</c:v>
              </c:pt>
              <c:pt idx="464">
                <c:v>1.5089999999999999</c:v>
              </c:pt>
              <c:pt idx="465">
                <c:v>1.6719999999999999</c:v>
              </c:pt>
              <c:pt idx="466">
                <c:v>1.948</c:v>
              </c:pt>
              <c:pt idx="467">
                <c:v>2.0390000000000001</c:v>
              </c:pt>
              <c:pt idx="468">
                <c:v>2.0569999999999999</c:v>
              </c:pt>
              <c:pt idx="469">
                <c:v>2.1619999999999999</c:v>
              </c:pt>
              <c:pt idx="470">
                <c:v>2.2570000000000001</c:v>
              </c:pt>
              <c:pt idx="471">
                <c:v>2.2360000000000002</c:v>
              </c:pt>
              <c:pt idx="472">
                <c:v>2.3330000000000002</c:v>
              </c:pt>
              <c:pt idx="473">
                <c:v>2.4279999999999999</c:v>
              </c:pt>
              <c:pt idx="474">
                <c:v>2.589</c:v>
              </c:pt>
              <c:pt idx="475">
                <c:v>2.4209999999999998</c:v>
              </c:pt>
              <c:pt idx="476">
                <c:v>2.254</c:v>
              </c:pt>
              <c:pt idx="477">
                <c:v>2.173</c:v>
              </c:pt>
              <c:pt idx="478">
                <c:v>2.1909999999999998</c:v>
              </c:pt>
              <c:pt idx="479">
                <c:v>2.2549999999999999</c:v>
              </c:pt>
              <c:pt idx="480">
                <c:v>2.1160000000000001</c:v>
              </c:pt>
              <c:pt idx="481">
                <c:v>2.1880000000000002</c:v>
              </c:pt>
              <c:pt idx="482">
                <c:v>2.1219999999999999</c:v>
              </c:pt>
              <c:pt idx="483">
                <c:v>2.0369999999999999</c:v>
              </c:pt>
              <c:pt idx="484">
                <c:v>2.105</c:v>
              </c:pt>
              <c:pt idx="485">
                <c:v>2.2040000000000002</c:v>
              </c:pt>
              <c:pt idx="486">
                <c:v>2.448</c:v>
              </c:pt>
              <c:pt idx="487">
                <c:v>2.8660000000000001</c:v>
              </c:pt>
              <c:pt idx="488">
                <c:v>3.214</c:v>
              </c:pt>
              <c:pt idx="489">
                <c:v>3.4449999999999998</c:v>
              </c:pt>
              <c:pt idx="490">
                <c:v>3.7389999999999999</c:v>
              </c:pt>
              <c:pt idx="491">
                <c:v>3.8319999999999999</c:v>
              </c:pt>
              <c:pt idx="492">
                <c:v>3.9089999999999998</c:v>
              </c:pt>
              <c:pt idx="493">
                <c:v>3.9969999999999999</c:v>
              </c:pt>
              <c:pt idx="494">
                <c:v>4.141</c:v>
              </c:pt>
              <c:pt idx="495">
                <c:v>4.3570000000000002</c:v>
              </c:pt>
              <c:pt idx="496">
                <c:v>4.524</c:v>
              </c:pt>
              <c:pt idx="497">
                <c:v>4.59</c:v>
              </c:pt>
              <c:pt idx="498">
                <c:v>5.2590000000000003</c:v>
              </c:pt>
              <c:pt idx="499">
                <c:v>5.6289999999999996</c:v>
              </c:pt>
              <c:pt idx="500">
                <c:v>5.71</c:v>
              </c:pt>
              <c:pt idx="501">
                <c:v>5.94</c:v>
              </c:pt>
              <c:pt idx="502">
                <c:v>5.87</c:v>
              </c:pt>
              <c:pt idx="503">
                <c:v>6.3150000000000004</c:v>
              </c:pt>
              <c:pt idx="504">
                <c:v>6.7809999999999997</c:v>
              </c:pt>
              <c:pt idx="505">
                <c:v>6.89</c:v>
              </c:pt>
              <c:pt idx="506">
                <c:v>7.1040000000000001</c:v>
              </c:pt>
              <c:pt idx="507">
                <c:v>7.0309999999999997</c:v>
              </c:pt>
              <c:pt idx="508">
                <c:v>7.5910000000000002</c:v>
              </c:pt>
              <c:pt idx="509">
                <c:v>7.1440000000000001</c:v>
              </c:pt>
              <c:pt idx="510">
                <c:v>6.8410000000000002</c:v>
              </c:pt>
              <c:pt idx="511">
                <c:v>7.149</c:v>
              </c:pt>
              <c:pt idx="512">
                <c:v>7.5759999999999996</c:v>
              </c:pt>
              <c:pt idx="513">
                <c:v>8.19</c:v>
              </c:pt>
              <c:pt idx="514">
                <c:v>8.26</c:v>
              </c:pt>
              <c:pt idx="515">
                <c:v>8.6</c:v>
              </c:pt>
              <c:pt idx="516">
                <c:v>9.1300000000000008</c:v>
              </c:pt>
              <c:pt idx="517">
                <c:v>9.83</c:v>
              </c:pt>
              <c:pt idx="518">
                <c:v>10.15</c:v>
              </c:pt>
              <c:pt idx="519">
                <c:v>10.44</c:v>
              </c:pt>
              <c:pt idx="520">
                <c:v>11.35</c:v>
              </c:pt>
              <c:pt idx="521">
                <c:v>12.08</c:v>
              </c:pt>
              <c:pt idx="522">
                <c:v>12.74</c:v>
              </c:pt>
              <c:pt idx="523">
                <c:v>13.54</c:v>
              </c:pt>
              <c:pt idx="524">
                <c:v>13.55</c:v>
              </c:pt>
              <c:pt idx="525">
                <c:v>12.89</c:v>
              </c:pt>
              <c:pt idx="526">
                <c:v>12.83</c:v>
              </c:pt>
              <c:pt idx="527">
                <c:v>13.56</c:v>
              </c:pt>
              <c:pt idx="528">
                <c:v>13.34</c:v>
              </c:pt>
              <c:pt idx="529">
                <c:v>13.06</c:v>
              </c:pt>
              <c:pt idx="530">
                <c:v>13.6</c:v>
              </c:pt>
              <c:pt idx="531">
                <c:v>13.98</c:v>
              </c:pt>
              <c:pt idx="532">
                <c:v>13.52</c:v>
              </c:pt>
              <c:pt idx="533">
                <c:v>13.03</c:v>
              </c:pt>
              <c:pt idx="534">
                <c:v>13.44</c:v>
              </c:pt>
              <c:pt idx="535">
                <c:v>12.73</c:v>
              </c:pt>
              <c:pt idx="536">
                <c:v>11.71</c:v>
              </c:pt>
              <c:pt idx="537">
                <c:v>11.56</c:v>
              </c:pt>
              <c:pt idx="538">
                <c:v>11.43</c:v>
              </c:pt>
              <c:pt idx="539">
                <c:v>11.22</c:v>
              </c:pt>
              <c:pt idx="540">
                <c:v>11.65</c:v>
              </c:pt>
              <c:pt idx="541">
                <c:v>12.16</c:v>
              </c:pt>
              <c:pt idx="542">
                <c:v>12.89</c:v>
              </c:pt>
              <c:pt idx="543">
                <c:v>13.35</c:v>
              </c:pt>
              <c:pt idx="544">
                <c:v>13.1</c:v>
              </c:pt>
              <c:pt idx="545">
                <c:v>13.37</c:v>
              </c:pt>
              <c:pt idx="546">
                <c:v>13.23</c:v>
              </c:pt>
              <c:pt idx="547">
                <c:v>12.66</c:v>
              </c:pt>
              <c:pt idx="548">
                <c:v>12.01</c:v>
              </c:pt>
              <c:pt idx="549">
                <c:v>11.14</c:v>
              </c:pt>
              <c:pt idx="550">
                <c:v>10.56</c:v>
              </c:pt>
              <c:pt idx="551">
                <c:v>10.050000000000001</c:v>
              </c:pt>
              <c:pt idx="552">
                <c:v>9.25</c:v>
              </c:pt>
              <c:pt idx="553">
                <c:v>8.17</c:v>
              </c:pt>
              <c:pt idx="554">
                <c:v>7.6219999999999999</c:v>
              </c:pt>
              <c:pt idx="555">
                <c:v>7.2069999999999999</c:v>
              </c:pt>
              <c:pt idx="556">
                <c:v>6.39</c:v>
              </c:pt>
              <c:pt idx="557">
                <c:v>5.8170000000000002</c:v>
              </c:pt>
              <c:pt idx="558">
                <c:v>5.4829999999999997</c:v>
              </c:pt>
              <c:pt idx="559">
                <c:v>5.1260000000000003</c:v>
              </c:pt>
              <c:pt idx="560">
                <c:v>4.649</c:v>
              </c:pt>
              <c:pt idx="561">
                <c:v>4.1159999999999997</c:v>
              </c:pt>
              <c:pt idx="562">
                <c:v>3.67</c:v>
              </c:pt>
              <c:pt idx="563">
                <c:v>3.9</c:v>
              </c:pt>
              <c:pt idx="564">
                <c:v>3.6509999999999998</c:v>
              </c:pt>
              <c:pt idx="565">
                <c:v>3.3479999999999999</c:v>
              </c:pt>
              <c:pt idx="566">
                <c:v>3.4</c:v>
              </c:pt>
              <c:pt idx="567">
                <c:v>3.6949999999999998</c:v>
              </c:pt>
              <c:pt idx="568">
                <c:v>4.55</c:v>
              </c:pt>
              <c:pt idx="569">
                <c:v>4.9710000000000001</c:v>
              </c:pt>
              <c:pt idx="570">
                <c:v>5.0570000000000004</c:v>
              </c:pt>
              <c:pt idx="571">
                <c:v>5.484</c:v>
              </c:pt>
              <c:pt idx="572">
                <c:v>5.718</c:v>
              </c:pt>
              <c:pt idx="573">
                <c:v>6.2569999999999997</c:v>
              </c:pt>
              <c:pt idx="574">
                <c:v>6.9859999999999998</c:v>
              </c:pt>
              <c:pt idx="575">
                <c:v>6.81</c:v>
              </c:pt>
              <c:pt idx="576">
                <c:v>6.96</c:v>
              </c:pt>
              <c:pt idx="577">
                <c:v>7.3079999999999998</c:v>
              </c:pt>
              <c:pt idx="578">
                <c:v>7.4029999999999996</c:v>
              </c:pt>
              <c:pt idx="579">
                <c:v>7.548</c:v>
              </c:pt>
              <c:pt idx="580">
                <c:v>7.4080000000000004</c:v>
              </c:pt>
              <c:pt idx="581">
                <c:v>7.8739999999999997</c:v>
              </c:pt>
              <c:pt idx="582">
                <c:v>9.1999999999999993</c:v>
              </c:pt>
              <c:pt idx="583">
                <c:v>9.89</c:v>
              </c:pt>
              <c:pt idx="584">
                <c:v>10.16</c:v>
              </c:pt>
              <c:pt idx="585">
                <c:v>10.81</c:v>
              </c:pt>
              <c:pt idx="586">
                <c:v>11.49</c:v>
              </c:pt>
              <c:pt idx="587">
                <c:v>12.19</c:v>
              </c:pt>
              <c:pt idx="588">
                <c:v>12.77</c:v>
              </c:pt>
              <c:pt idx="589">
                <c:v>13.17</c:v>
              </c:pt>
              <c:pt idx="590">
                <c:v>13.73</c:v>
              </c:pt>
              <c:pt idx="591">
                <c:v>14.17</c:v>
              </c:pt>
              <c:pt idx="592">
                <c:v>14.57</c:v>
              </c:pt>
              <c:pt idx="593">
                <c:v>15.58</c:v>
              </c:pt>
              <c:pt idx="594">
                <c:v>15.89</c:v>
              </c:pt>
              <c:pt idx="595">
                <c:v>16.7</c:v>
              </c:pt>
              <c:pt idx="596">
                <c:v>17.57</c:v>
              </c:pt>
              <c:pt idx="597">
                <c:v>18.55</c:v>
              </c:pt>
              <c:pt idx="598">
                <c:v>19.420000000000002</c:v>
              </c:pt>
              <c:pt idx="599">
                <c:v>20.86</c:v>
              </c:pt>
              <c:pt idx="600">
                <c:v>21.52</c:v>
              </c:pt>
              <c:pt idx="601">
                <c:v>20.98</c:v>
              </c:pt>
              <c:pt idx="602">
                <c:v>21.24</c:v>
              </c:pt>
              <c:pt idx="603">
                <c:v>19.760000000000002</c:v>
              </c:pt>
              <c:pt idx="604">
                <c:v>19.72</c:v>
              </c:pt>
              <c:pt idx="605">
                <c:v>19.350000000000001</c:v>
              </c:pt>
              <c:pt idx="606">
                <c:v>19.59</c:v>
              </c:pt>
              <c:pt idx="607">
                <c:v>19.989999999999998</c:v>
              </c:pt>
              <c:pt idx="608">
                <c:v>19.71</c:v>
              </c:pt>
              <c:pt idx="609">
                <c:v>18.77</c:v>
              </c:pt>
              <c:pt idx="610">
                <c:v>18.82</c:v>
              </c:pt>
              <c:pt idx="611">
                <c:v>18.47</c:v>
              </c:pt>
              <c:pt idx="612">
                <c:v>18.13</c:v>
              </c:pt>
              <c:pt idx="613">
                <c:v>17.420000000000002</c:v>
              </c:pt>
              <c:pt idx="614">
                <c:v>17.149999999999999</c:v>
              </c:pt>
              <c:pt idx="615">
                <c:v>17.260000000000002</c:v>
              </c:pt>
              <c:pt idx="616">
                <c:v>18.149999999999999</c:v>
              </c:pt>
              <c:pt idx="617">
                <c:v>19.440000000000001</c:v>
              </c:pt>
              <c:pt idx="618">
                <c:v>19.63</c:v>
              </c:pt>
              <c:pt idx="619">
                <c:v>19.579999999999998</c:v>
              </c:pt>
              <c:pt idx="620">
                <c:v>20.29</c:v>
              </c:pt>
              <c:pt idx="621">
                <c:v>20.02</c:v>
              </c:pt>
              <c:pt idx="622">
                <c:v>20.75</c:v>
              </c:pt>
              <c:pt idx="623">
                <c:v>21.41</c:v>
              </c:pt>
              <c:pt idx="624">
                <c:v>21.23</c:v>
              </c:pt>
              <c:pt idx="625">
                <c:v>21.59</c:v>
              </c:pt>
              <c:pt idx="626">
                <c:v>21.13</c:v>
              </c:pt>
              <c:pt idx="627">
                <c:v>20.22</c:v>
              </c:pt>
              <c:pt idx="628">
                <c:v>19.38</c:v>
              </c:pt>
              <c:pt idx="629">
                <c:v>18.46</c:v>
              </c:pt>
              <c:pt idx="630">
                <c:v>16.920000000000002</c:v>
              </c:pt>
              <c:pt idx="631">
                <c:v>16.54</c:v>
              </c:pt>
              <c:pt idx="632">
                <c:v>16.48</c:v>
              </c:pt>
              <c:pt idx="633">
                <c:v>16.100000000000001</c:v>
              </c:pt>
              <c:pt idx="634">
                <c:v>16.350000000000001</c:v>
              </c:pt>
              <c:pt idx="635">
                <c:v>16.75</c:v>
              </c:pt>
              <c:pt idx="636">
                <c:v>16.77</c:v>
              </c:pt>
              <c:pt idx="637">
                <c:v>16.829999999999998</c:v>
              </c:pt>
              <c:pt idx="638">
                <c:v>16.66</c:v>
              </c:pt>
              <c:pt idx="639">
                <c:v>16.84</c:v>
              </c:pt>
              <c:pt idx="640">
                <c:v>16.78</c:v>
              </c:pt>
              <c:pt idx="641">
                <c:v>17.07</c:v>
              </c:pt>
              <c:pt idx="642">
                <c:v>17.3</c:v>
              </c:pt>
              <c:pt idx="643">
                <c:v>17.809999999999999</c:v>
              </c:pt>
              <c:pt idx="644">
                <c:v>18.260000000000002</c:v>
              </c:pt>
              <c:pt idx="645">
                <c:v>18.72</c:v>
              </c:pt>
              <c:pt idx="646">
                <c:v>18.78</c:v>
              </c:pt>
              <c:pt idx="647">
                <c:v>19.14</c:v>
              </c:pt>
              <c:pt idx="648">
                <c:v>19.57</c:v>
              </c:pt>
              <c:pt idx="649">
                <c:v>20.46</c:v>
              </c:pt>
              <c:pt idx="650">
                <c:v>22.16</c:v>
              </c:pt>
              <c:pt idx="651">
                <c:v>23.39</c:v>
              </c:pt>
              <c:pt idx="652">
                <c:v>24.97</c:v>
              </c:pt>
              <c:pt idx="653">
                <c:v>27.46</c:v>
              </c:pt>
              <c:pt idx="654">
                <c:v>29.25</c:v>
              </c:pt>
              <c:pt idx="655">
                <c:v>30.85</c:v>
              </c:pt>
              <c:pt idx="656">
                <c:v>31.76</c:v>
              </c:pt>
              <c:pt idx="657">
                <c:v>33.67</c:v>
              </c:pt>
              <c:pt idx="658">
                <c:v>34.909999999999997</c:v>
              </c:pt>
              <c:pt idx="659">
                <c:v>35</c:v>
              </c:pt>
              <c:pt idx="660">
                <c:v>34.5</c:v>
              </c:pt>
              <c:pt idx="661">
                <c:v>34.64</c:v>
              </c:pt>
              <c:pt idx="662">
                <c:v>33.630000000000003</c:v>
              </c:pt>
              <c:pt idx="663">
                <c:v>31.92</c:v>
              </c:pt>
              <c:pt idx="664">
                <c:v>29.87</c:v>
              </c:pt>
              <c:pt idx="665">
                <c:v>28.01</c:v>
              </c:pt>
              <c:pt idx="666">
                <c:v>28.61</c:v>
              </c:pt>
              <c:pt idx="667">
                <c:v>28.07</c:v>
              </c:pt>
              <c:pt idx="668">
                <c:v>27.72</c:v>
              </c:pt>
              <c:pt idx="669">
                <c:v>27.72</c:v>
              </c:pt>
              <c:pt idx="670">
                <c:v>28.04</c:v>
              </c:pt>
              <c:pt idx="671">
                <c:v>26.97</c:v>
              </c:pt>
              <c:pt idx="672">
                <c:v>25.36</c:v>
              </c:pt>
              <c:pt idx="673">
                <c:v>24.25</c:v>
              </c:pt>
              <c:pt idx="674">
                <c:v>23.75</c:v>
              </c:pt>
              <c:pt idx="675">
                <c:v>22.36</c:v>
              </c:pt>
              <c:pt idx="676">
                <c:v>20.86</c:v>
              </c:pt>
              <c:pt idx="677">
                <c:v>20.38</c:v>
              </c:pt>
              <c:pt idx="678">
                <c:v>21.08</c:v>
              </c:pt>
              <c:pt idx="679">
                <c:v>21.37</c:v>
              </c:pt>
              <c:pt idx="680">
                <c:v>20.75</c:v>
              </c:pt>
              <c:pt idx="681">
                <c:v>20.59</c:v>
              </c:pt>
              <c:pt idx="682">
                <c:v>20.74</c:v>
              </c:pt>
              <c:pt idx="683">
                <c:v>20.91</c:v>
              </c:pt>
              <c:pt idx="684">
                <c:v>20.39</c:v>
              </c:pt>
              <c:pt idx="685">
                <c:v>19.43</c:v>
              </c:pt>
              <c:pt idx="686">
                <c:v>19.690000000000001</c:v>
              </c:pt>
              <c:pt idx="687">
                <c:v>19.989999999999998</c:v>
              </c:pt>
              <c:pt idx="688">
                <c:v>20.47</c:v>
              </c:pt>
              <c:pt idx="689">
                <c:v>20.28</c:v>
              </c:pt>
              <c:pt idx="690">
                <c:v>19.52</c:v>
              </c:pt>
              <c:pt idx="691">
                <c:v>19.55</c:v>
              </c:pt>
              <c:pt idx="692">
                <c:v>19.55</c:v>
              </c:pt>
              <c:pt idx="693">
                <c:v>19.88</c:v>
              </c:pt>
              <c:pt idx="694">
                <c:v>19.72</c:v>
              </c:pt>
              <c:pt idx="695">
                <c:v>19.63</c:v>
              </c:pt>
              <c:pt idx="696">
                <c:v>20.56</c:v>
              </c:pt>
              <c:pt idx="697">
                <c:v>21.78</c:v>
              </c:pt>
              <c:pt idx="698">
                <c:v>22.6</c:v>
              </c:pt>
              <c:pt idx="699">
                <c:v>23.27</c:v>
              </c:pt>
              <c:pt idx="700">
                <c:v>23.87</c:v>
              </c:pt>
              <c:pt idx="701">
                <c:v>24.61</c:v>
              </c:pt>
              <c:pt idx="702">
                <c:v>26.37</c:v>
              </c:pt>
              <c:pt idx="703">
                <c:v>28.43</c:v>
              </c:pt>
              <c:pt idx="704">
                <c:v>29.64</c:v>
              </c:pt>
              <c:pt idx="705">
                <c:v>30.06</c:v>
              </c:pt>
              <c:pt idx="706">
                <c:v>31.06</c:v>
              </c:pt>
              <c:pt idx="707">
                <c:v>32.35</c:v>
              </c:pt>
              <c:pt idx="708">
                <c:v>33.799999999999997</c:v>
              </c:pt>
              <c:pt idx="709">
                <c:v>35.299999999999997</c:v>
              </c:pt>
              <c:pt idx="710">
                <c:v>32.49</c:v>
              </c:pt>
              <c:pt idx="711">
                <c:v>30.93</c:v>
              </c:pt>
              <c:pt idx="712">
                <c:v>28.96</c:v>
              </c:pt>
              <c:pt idx="713">
                <c:v>27.16</c:v>
              </c:pt>
              <c:pt idx="714">
                <c:v>26.13</c:v>
              </c:pt>
              <c:pt idx="715">
                <c:v>28.23</c:v>
              </c:pt>
              <c:pt idx="716">
                <c:v>30.27</c:v>
              </c:pt>
              <c:pt idx="717">
                <c:v>32.85</c:v>
              </c:pt>
              <c:pt idx="718">
                <c:v>35.619999999999997</c:v>
              </c:pt>
              <c:pt idx="719">
                <c:v>33.65</c:v>
              </c:pt>
              <c:pt idx="720">
                <c:v>30.05</c:v>
              </c:pt>
              <c:pt idx="721">
                <c:v>27.25</c:v>
              </c:pt>
              <c:pt idx="722">
                <c:v>25.67</c:v>
              </c:pt>
              <c:pt idx="723">
                <c:v>23.66</c:v>
              </c:pt>
              <c:pt idx="724">
                <c:v>21.65</c:v>
              </c:pt>
              <c:pt idx="725">
                <c:v>20.96</c:v>
              </c:pt>
              <c:pt idx="726">
                <c:v>20.99</c:v>
              </c:pt>
              <c:pt idx="727">
                <c:v>21.3</c:v>
              </c:pt>
              <c:pt idx="728">
                <c:v>22.69</c:v>
              </c:pt>
              <c:pt idx="729">
                <c:v>22.47</c:v>
              </c:pt>
              <c:pt idx="730">
                <c:v>22.34</c:v>
              </c:pt>
              <c:pt idx="731">
                <c:v>24.36</c:v>
              </c:pt>
              <c:pt idx="732">
                <c:v>24.3</c:v>
              </c:pt>
              <c:pt idx="733">
                <c:v>22.53</c:v>
              </c:pt>
              <c:pt idx="734">
                <c:v>23.6</c:v>
              </c:pt>
              <c:pt idx="735">
                <c:v>25.71</c:v>
              </c:pt>
              <c:pt idx="736">
                <c:v>25.86</c:v>
              </c:pt>
              <c:pt idx="737">
                <c:v>24.87</c:v>
              </c:pt>
              <c:pt idx="738">
                <c:v>25.23</c:v>
              </c:pt>
              <c:pt idx="739">
                <c:v>24.92</c:v>
              </c:pt>
              <c:pt idx="740">
                <c:v>26.69</c:v>
              </c:pt>
              <c:pt idx="741">
                <c:v>27.34</c:v>
              </c:pt>
              <c:pt idx="742">
                <c:v>27.28</c:v>
              </c:pt>
              <c:pt idx="743">
                <c:v>27.88</c:v>
              </c:pt>
              <c:pt idx="744">
                <c:v>29.89</c:v>
              </c:pt>
              <c:pt idx="745">
                <c:v>29.51</c:v>
              </c:pt>
              <c:pt idx="746">
                <c:v>26.31</c:v>
              </c:pt>
              <c:pt idx="747">
                <c:v>26.64</c:v>
              </c:pt>
              <c:pt idx="748">
                <c:v>27.22</c:v>
              </c:pt>
              <c:pt idx="749">
                <c:v>24.96</c:v>
              </c:pt>
              <c:pt idx="750">
                <c:v>21.32</c:v>
              </c:pt>
              <c:pt idx="751">
                <c:v>18.72</c:v>
              </c:pt>
              <c:pt idx="752">
                <c:v>19.7</c:v>
              </c:pt>
              <c:pt idx="753">
                <c:v>21.05</c:v>
              </c:pt>
              <c:pt idx="754">
                <c:v>21.04</c:v>
              </c:pt>
              <c:pt idx="755">
                <c:v>19.91</c:v>
              </c:pt>
              <c:pt idx="756">
                <c:v>18.420000000000002</c:v>
              </c:pt>
              <c:pt idx="757">
                <c:v>17.28</c:v>
              </c:pt>
              <c:pt idx="758">
                <c:v>16.95</c:v>
              </c:pt>
              <c:pt idx="759">
                <c:v>15.87</c:v>
              </c:pt>
              <c:pt idx="760">
                <c:v>14.72</c:v>
              </c:pt>
              <c:pt idx="761">
                <c:v>15.19</c:v>
              </c:pt>
              <c:pt idx="762">
                <c:v>15.88</c:v>
              </c:pt>
              <c:pt idx="763">
                <c:v>13.77</c:v>
              </c:pt>
              <c:pt idx="764">
                <c:v>12.4</c:v>
              </c:pt>
              <c:pt idx="765">
                <c:v>13.81</c:v>
              </c:pt>
              <c:pt idx="766">
                <c:v>15.02</c:v>
              </c:pt>
              <c:pt idx="767">
                <c:v>15.52</c:v>
              </c:pt>
              <c:pt idx="768">
                <c:v>14.72</c:v>
              </c:pt>
              <c:pt idx="769">
                <c:v>13.38</c:v>
              </c:pt>
              <c:pt idx="770">
                <c:v>12.59</c:v>
              </c:pt>
              <c:pt idx="771">
                <c:v>12.73</c:v>
              </c:pt>
              <c:pt idx="772">
                <c:v>13.32</c:v>
              </c:pt>
              <c:pt idx="773">
                <c:v>13.86</c:v>
              </c:pt>
              <c:pt idx="774">
                <c:v>13.6</c:v>
              </c:pt>
              <c:pt idx="775">
                <c:v>12.38</c:v>
              </c:pt>
              <c:pt idx="776">
                <c:v>11.56</c:v>
              </c:pt>
              <c:pt idx="777">
                <c:v>12.18</c:v>
              </c:pt>
              <c:pt idx="778">
                <c:v>13.64</c:v>
              </c:pt>
              <c:pt idx="779">
                <c:v>13.99</c:v>
              </c:pt>
              <c:pt idx="780">
                <c:v>13.02</c:v>
              </c:pt>
              <c:pt idx="781">
                <c:v>13.23</c:v>
              </c:pt>
              <c:pt idx="782">
                <c:v>13.78</c:v>
              </c:pt>
              <c:pt idx="783">
                <c:v>14.16</c:v>
              </c:pt>
              <c:pt idx="784">
                <c:v>15.36</c:v>
              </c:pt>
              <c:pt idx="785">
                <c:v>16.16</c:v>
              </c:pt>
              <c:pt idx="786">
                <c:v>16.579999999999998</c:v>
              </c:pt>
              <c:pt idx="787">
                <c:v>16.73</c:v>
              </c:pt>
              <c:pt idx="788">
                <c:v>16.57</c:v>
              </c:pt>
              <c:pt idx="789">
                <c:v>16.34</c:v>
              </c:pt>
              <c:pt idx="790">
                <c:v>16.11</c:v>
              </c:pt>
              <c:pt idx="791">
                <c:v>15.91</c:v>
              </c:pt>
              <c:pt idx="792">
                <c:v>15.8</c:v>
              </c:pt>
              <c:pt idx="793">
                <c:v>16.39</c:v>
              </c:pt>
              <c:pt idx="794">
                <c:v>17.05</c:v>
              </c:pt>
              <c:pt idx="795">
                <c:v>17.23</c:v>
              </c:pt>
              <c:pt idx="796">
                <c:v>17.260000000000002</c:v>
              </c:pt>
              <c:pt idx="797">
                <c:v>17.02</c:v>
              </c:pt>
              <c:pt idx="798">
                <c:v>16.600000000000001</c:v>
              </c:pt>
              <c:pt idx="799">
                <c:v>16.11</c:v>
              </c:pt>
              <c:pt idx="800">
                <c:v>15.57</c:v>
              </c:pt>
              <c:pt idx="801">
                <c:v>15.95</c:v>
              </c:pt>
              <c:pt idx="802">
                <c:v>16.41</c:v>
              </c:pt>
              <c:pt idx="803">
                <c:v>16.87</c:v>
              </c:pt>
              <c:pt idx="804">
                <c:v>17.36</c:v>
              </c:pt>
              <c:pt idx="805">
                <c:v>18.03</c:v>
              </c:pt>
              <c:pt idx="806">
                <c:v>18.62</c:v>
              </c:pt>
              <c:pt idx="807">
                <c:v>18.88</c:v>
              </c:pt>
              <c:pt idx="808">
                <c:v>19.02</c:v>
              </c:pt>
              <c:pt idx="809">
                <c:v>19.78</c:v>
              </c:pt>
              <c:pt idx="810">
                <c:v>20.97</c:v>
              </c:pt>
              <c:pt idx="811">
                <c:v>20.68</c:v>
              </c:pt>
              <c:pt idx="812">
                <c:v>19.579999999999998</c:v>
              </c:pt>
              <c:pt idx="813">
                <c:v>20.48</c:v>
              </c:pt>
              <c:pt idx="814">
                <c:v>21.68</c:v>
              </c:pt>
              <c:pt idx="815">
                <c:v>21.51</c:v>
              </c:pt>
              <c:pt idx="816">
                <c:v>20.49</c:v>
              </c:pt>
              <c:pt idx="817">
                <c:v>20.88</c:v>
              </c:pt>
              <c:pt idx="818">
                <c:v>20.27</c:v>
              </c:pt>
              <c:pt idx="819">
                <c:v>20.45</c:v>
              </c:pt>
              <c:pt idx="820">
                <c:v>19.71</c:v>
              </c:pt>
              <c:pt idx="821">
                <c:v>18.52</c:v>
              </c:pt>
              <c:pt idx="822">
                <c:v>18.25</c:v>
              </c:pt>
              <c:pt idx="823">
                <c:v>18.73</c:v>
              </c:pt>
              <c:pt idx="824">
                <c:v>19.66</c:v>
              </c:pt>
              <c:pt idx="825">
                <c:v>20.350000000000001</c:v>
              </c:pt>
              <c:pt idx="826">
                <c:v>21.22</c:v>
              </c:pt>
              <c:pt idx="827">
                <c:v>22.23</c:v>
              </c:pt>
              <c:pt idx="828">
                <c:v>22.46</c:v>
              </c:pt>
              <c:pt idx="829">
                <c:v>23.91</c:v>
              </c:pt>
              <c:pt idx="830">
                <c:v>25.78</c:v>
              </c:pt>
              <c:pt idx="831">
                <c:v>25.38</c:v>
              </c:pt>
              <c:pt idx="832">
                <c:v>24.49</c:v>
              </c:pt>
              <c:pt idx="833">
                <c:v>24.44</c:v>
              </c:pt>
              <c:pt idx="834">
                <c:v>24.88</c:v>
              </c:pt>
              <c:pt idx="835">
                <c:v>26.45</c:v>
              </c:pt>
              <c:pt idx="836">
                <c:v>28.96</c:v>
              </c:pt>
              <c:pt idx="837">
                <c:v>30.53</c:v>
              </c:pt>
              <c:pt idx="838">
                <c:v>31.2</c:v>
              </c:pt>
              <c:pt idx="839">
                <c:v>31.27</c:v>
              </c:pt>
              <c:pt idx="840">
                <c:v>30.82</c:v>
              </c:pt>
              <c:pt idx="841">
                <c:v>28.46</c:v>
              </c:pt>
              <c:pt idx="842">
                <c:v>28.19</c:v>
              </c:pt>
              <c:pt idx="843">
                <c:v>29.98</c:v>
              </c:pt>
              <c:pt idx="844">
                <c:v>29.68</c:v>
              </c:pt>
              <c:pt idx="845">
                <c:v>27.86</c:v>
              </c:pt>
              <c:pt idx="846">
                <c:v>26.39</c:v>
              </c:pt>
              <c:pt idx="847">
                <c:v>25.17</c:v>
              </c:pt>
              <c:pt idx="848">
                <c:v>23.68</c:v>
              </c:pt>
              <c:pt idx="849">
                <c:v>22.86</c:v>
              </c:pt>
              <c:pt idx="850">
                <c:v>22.46</c:v>
              </c:pt>
              <c:pt idx="851">
                <c:v>22.14</c:v>
              </c:pt>
              <c:pt idx="852">
                <c:v>21.89</c:v>
              </c:pt>
              <c:pt idx="853">
                <c:v>21.28</c:v>
              </c:pt>
              <c:pt idx="854">
                <c:v>19.690000000000001</c:v>
              </c:pt>
              <c:pt idx="855">
                <c:v>19.32</c:v>
              </c:pt>
              <c:pt idx="856">
                <c:v>19.489999999999998</c:v>
              </c:pt>
              <c:pt idx="857">
                <c:v>19.46</c:v>
              </c:pt>
              <c:pt idx="858">
                <c:v>19.3</c:v>
              </c:pt>
              <c:pt idx="859">
                <c:v>18.98</c:v>
              </c:pt>
              <c:pt idx="860">
                <c:v>18.440000000000001</c:v>
              </c:pt>
              <c:pt idx="861">
                <c:v>18.899999999999999</c:v>
              </c:pt>
              <c:pt idx="862">
                <c:v>18.760000000000002</c:v>
              </c:pt>
              <c:pt idx="863">
                <c:v>17.829999999999998</c:v>
              </c:pt>
              <c:pt idx="864">
                <c:v>17.010000000000002</c:v>
              </c:pt>
              <c:pt idx="865">
                <c:v>17.96</c:v>
              </c:pt>
              <c:pt idx="866">
                <c:v>18.32</c:v>
              </c:pt>
              <c:pt idx="867">
                <c:v>19.079999999999998</c:v>
              </c:pt>
              <c:pt idx="868">
                <c:v>20.88</c:v>
              </c:pt>
              <c:pt idx="869">
                <c:v>22.11</c:v>
              </c:pt>
              <c:pt idx="870">
                <c:v>22.27</c:v>
              </c:pt>
              <c:pt idx="871">
                <c:v>21.75</c:v>
              </c:pt>
              <c:pt idx="872">
                <c:v>20.13</c:v>
              </c:pt>
              <c:pt idx="873">
                <c:v>19.39</c:v>
              </c:pt>
              <c:pt idx="874">
                <c:v>17.45</c:v>
              </c:pt>
              <c:pt idx="875">
                <c:v>16.43</c:v>
              </c:pt>
              <c:pt idx="876">
                <c:v>15.89</c:v>
              </c:pt>
              <c:pt idx="877">
                <c:v>15.34</c:v>
              </c:pt>
              <c:pt idx="878">
                <c:v>16.010000000000002</c:v>
              </c:pt>
              <c:pt idx="879">
                <c:v>17.37</c:v>
              </c:pt>
              <c:pt idx="880">
                <c:v>19.170000000000002</c:v>
              </c:pt>
              <c:pt idx="881">
                <c:v>20.94</c:v>
              </c:pt>
              <c:pt idx="882">
                <c:v>23.2</c:v>
              </c:pt>
              <c:pt idx="883">
                <c:v>25.3</c:v>
              </c:pt>
              <c:pt idx="884">
                <c:v>27.18</c:v>
              </c:pt>
              <c:pt idx="885">
                <c:v>30.89</c:v>
              </c:pt>
              <c:pt idx="886">
                <c:v>31.33</c:v>
              </c:pt>
              <c:pt idx="887">
                <c:v>30.51</c:v>
              </c:pt>
              <c:pt idx="888">
                <c:v>37.49</c:v>
              </c:pt>
              <c:pt idx="889">
                <c:v>38.51</c:v>
              </c:pt>
              <c:pt idx="890">
                <c:v>34.07</c:v>
              </c:pt>
              <c:pt idx="891">
                <c:v>31.25</c:v>
              </c:pt>
              <c:pt idx="892">
                <c:v>29.31</c:v>
              </c:pt>
              <c:pt idx="893">
                <c:v>29.44</c:v>
              </c:pt>
              <c:pt idx="894">
                <c:v>29.34</c:v>
              </c:pt>
              <c:pt idx="895">
                <c:v>28.3</c:v>
              </c:pt>
              <c:pt idx="896">
                <c:v>27.56</c:v>
              </c:pt>
              <c:pt idx="897">
                <c:v>27.95</c:v>
              </c:pt>
              <c:pt idx="898">
                <c:v>29.4</c:v>
              </c:pt>
              <c:pt idx="899">
                <c:v>28.78</c:v>
              </c:pt>
              <c:pt idx="900">
                <c:v>27.76</c:v>
              </c:pt>
              <c:pt idx="901">
                <c:v>28.65</c:v>
              </c:pt>
              <c:pt idx="902">
                <c:v>29.21</c:v>
              </c:pt>
              <c:pt idx="903">
                <c:v>30.26</c:v>
              </c:pt>
              <c:pt idx="904">
                <c:v>28.66</c:v>
              </c:pt>
              <c:pt idx="905">
                <c:v>26.96</c:v>
              </c:pt>
              <c:pt idx="906">
                <c:v>24.7</c:v>
              </c:pt>
              <c:pt idx="907">
                <c:v>22.37</c:v>
              </c:pt>
              <c:pt idx="908">
                <c:v>20.28</c:v>
              </c:pt>
              <c:pt idx="909">
                <c:v>18.28</c:v>
              </c:pt>
              <c:pt idx="910">
                <c:v>15.81</c:v>
              </c:pt>
              <c:pt idx="911">
                <c:v>12.95</c:v>
              </c:pt>
              <c:pt idx="912">
                <c:v>11.26</c:v>
              </c:pt>
              <c:pt idx="913">
                <c:v>10.25</c:v>
              </c:pt>
              <c:pt idx="914">
                <c:v>10.199999999999999</c:v>
              </c:pt>
              <c:pt idx="915">
                <c:v>10.7</c:v>
              </c:pt>
              <c:pt idx="916">
                <c:v>11.19</c:v>
              </c:pt>
              <c:pt idx="917">
                <c:v>11.67</c:v>
              </c:pt>
              <c:pt idx="918">
                <c:v>12.04</c:v>
              </c:pt>
              <c:pt idx="919">
                <c:v>12.32</c:v>
              </c:pt>
              <c:pt idx="920">
                <c:v>12.63</c:v>
              </c:pt>
              <c:pt idx="921">
                <c:v>13.02</c:v>
              </c:pt>
              <c:pt idx="922">
                <c:v>13.49</c:v>
              </c:pt>
              <c:pt idx="923">
                <c:v>13.9</c:v>
              </c:pt>
              <c:pt idx="924">
                <c:v>14.41</c:v>
              </c:pt>
              <c:pt idx="925">
                <c:v>14.74</c:v>
              </c:pt>
              <c:pt idx="926">
                <c:v>15.12</c:v>
              </c:pt>
              <c:pt idx="927">
                <c:v>15.58</c:v>
              </c:pt>
              <c:pt idx="928">
                <c:v>15.93</c:v>
              </c:pt>
              <c:pt idx="929">
                <c:v>16.18</c:v>
              </c:pt>
              <c:pt idx="930">
                <c:v>16.25</c:v>
              </c:pt>
              <c:pt idx="931">
                <c:v>16.2</c:v>
              </c:pt>
              <c:pt idx="932">
                <c:v>16.04</c:v>
              </c:pt>
              <c:pt idx="933">
                <c:v>15.46</c:v>
              </c:pt>
              <c:pt idx="934">
                <c:v>14.85</c:v>
              </c:pt>
              <c:pt idx="935">
                <c:v>14.21</c:v>
              </c:pt>
              <c:pt idx="936">
                <c:v>13.6</c:v>
              </c:pt>
              <c:pt idx="937">
                <c:v>13.16</c:v>
              </c:pt>
              <c:pt idx="938">
                <c:v>13.17</c:v>
              </c:pt>
              <c:pt idx="939">
                <c:v>13.34</c:v>
              </c:pt>
              <c:pt idx="940">
                <c:v>13.44</c:v>
              </c:pt>
              <c:pt idx="941">
                <c:v>13.3</c:v>
              </c:pt>
              <c:pt idx="942">
                <c:v>12.92</c:v>
              </c:pt>
              <c:pt idx="943">
                <c:v>12.28</c:v>
              </c:pt>
              <c:pt idx="944">
                <c:v>11.85</c:v>
              </c:pt>
              <c:pt idx="945">
                <c:v>11.38</c:v>
              </c:pt>
              <c:pt idx="946">
                <c:v>11.02</c:v>
              </c:pt>
              <c:pt idx="947">
                <c:v>10.89</c:v>
              </c:pt>
              <c:pt idx="948">
                <c:v>10.85</c:v>
              </c:pt>
              <c:pt idx="949">
                <c:v>10.67</c:v>
              </c:pt>
              <c:pt idx="950">
                <c:v>10.26</c:v>
              </c:pt>
              <c:pt idx="951">
                <c:v>9.89</c:v>
              </c:pt>
              <c:pt idx="952">
                <c:v>9.59</c:v>
              </c:pt>
              <c:pt idx="953">
                <c:v>9.31</c:v>
              </c:pt>
              <c:pt idx="954">
                <c:v>9.1</c:v>
              </c:pt>
              <c:pt idx="955">
                <c:v>9.17</c:v>
              </c:pt>
              <c:pt idx="956">
                <c:v>9.43</c:v>
              </c:pt>
              <c:pt idx="957">
                <c:v>9.69</c:v>
              </c:pt>
              <c:pt idx="958">
                <c:v>10.02</c:v>
              </c:pt>
              <c:pt idx="959">
                <c:v>10.26</c:v>
              </c:pt>
              <c:pt idx="960">
                <c:v>10.53</c:v>
              </c:pt>
              <c:pt idx="961">
                <c:v>11</c:v>
              </c:pt>
              <c:pt idx="962">
                <c:v>11.59</c:v>
              </c:pt>
              <c:pt idx="963">
                <c:v>12.2</c:v>
              </c:pt>
              <c:pt idx="964">
                <c:v>12.49</c:v>
              </c:pt>
              <c:pt idx="965">
                <c:v>12.75</c:v>
              </c:pt>
              <c:pt idx="966">
                <c:v>12.93</c:v>
              </c:pt>
              <c:pt idx="967">
                <c:v>13.03</c:v>
              </c:pt>
              <c:pt idx="968">
                <c:v>13.31</c:v>
              </c:pt>
              <c:pt idx="969">
                <c:v>13.59</c:v>
              </c:pt>
              <c:pt idx="970">
                <c:v>13.78</c:v>
              </c:pt>
              <c:pt idx="971">
                <c:v>13.61</c:v>
              </c:pt>
              <c:pt idx="972">
                <c:v>12.85</c:v>
              </c:pt>
              <c:pt idx="973">
                <c:v>11.68</c:v>
              </c:pt>
              <c:pt idx="974">
                <c:v>10.29</c:v>
              </c:pt>
              <c:pt idx="975">
                <c:v>9.06</c:v>
              </c:pt>
              <c:pt idx="976">
                <c:v>8.0500000000000007</c:v>
              </c:pt>
              <c:pt idx="977">
                <c:v>7.3570000000000002</c:v>
              </c:pt>
              <c:pt idx="978">
                <c:v>6.8620000000000001</c:v>
              </c:pt>
              <c:pt idx="979">
                <c:v>6.5339999999999998</c:v>
              </c:pt>
              <c:pt idx="980">
                <c:v>6.4</c:v>
              </c:pt>
              <c:pt idx="981">
                <c:v>6.3360000000000003</c:v>
              </c:pt>
              <c:pt idx="982">
                <c:v>6.0659999999999998</c:v>
              </c:pt>
              <c:pt idx="983">
                <c:v>5.7</c:v>
              </c:pt>
              <c:pt idx="984">
                <c:v>5.36</c:v>
              </c:pt>
              <c:pt idx="985">
                <c:v>5.4009999999999998</c:v>
              </c:pt>
              <c:pt idx="986">
                <c:v>5.6820000000000004</c:v>
              </c:pt>
              <c:pt idx="987">
                <c:v>6.1589999999999998</c:v>
              </c:pt>
              <c:pt idx="988">
                <c:v>6.8609999999999998</c:v>
              </c:pt>
              <c:pt idx="989">
                <c:v>7.7610000000000001</c:v>
              </c:pt>
              <c:pt idx="990">
                <c:v>9.24</c:v>
              </c:pt>
              <c:pt idx="991">
                <c:v>11.69</c:v>
              </c:pt>
              <c:pt idx="992">
                <c:v>14.27</c:v>
              </c:pt>
              <c:pt idx="993">
                <c:v>16.48</c:v>
              </c:pt>
              <c:pt idx="994">
                <c:v>18.11</c:v>
              </c:pt>
              <c:pt idx="995">
                <c:v>18.850000000000001</c:v>
              </c:pt>
              <c:pt idx="996">
                <c:v>19.29</c:v>
              </c:pt>
              <c:pt idx="997">
                <c:v>21.54</c:v>
              </c:pt>
              <c:pt idx="998">
                <c:v>24.01</c:v>
              </c:pt>
              <c:pt idx="999">
                <c:v>23.65</c:v>
              </c:pt>
              <c:pt idx="1000">
                <c:v>30.37</c:v>
              </c:pt>
              <c:pt idx="1001">
                <c:v>27.88</c:v>
              </c:pt>
              <c:pt idx="1002">
                <c:v>22.12</c:v>
              </c:pt>
              <c:pt idx="1003">
                <c:v>20.45</c:v>
              </c:pt>
              <c:pt idx="1004">
                <c:v>19.22</c:v>
              </c:pt>
              <c:pt idx="1005">
                <c:v>18.21</c:v>
              </c:pt>
              <c:pt idx="1006">
                <c:v>17.850000000000001</c:v>
              </c:pt>
              <c:pt idx="1007">
                <c:v>16.22</c:v>
              </c:pt>
              <c:pt idx="1008">
                <c:v>14.85</c:v>
              </c:pt>
              <c:pt idx="1009">
                <c:v>13.6</c:v>
              </c:pt>
              <c:pt idx="1010">
                <c:v>12.66</c:v>
              </c:pt>
              <c:pt idx="1011">
                <c:v>11.79</c:v>
              </c:pt>
              <c:pt idx="1012">
                <c:v>10.76</c:v>
              </c:pt>
              <c:pt idx="1013">
                <c:v>9.41</c:v>
              </c:pt>
              <c:pt idx="1014">
                <c:v>8.11</c:v>
              </c:pt>
              <c:pt idx="1015">
                <c:v>6.93</c:v>
              </c:pt>
              <c:pt idx="1016">
                <c:v>6.093</c:v>
              </c:pt>
              <c:pt idx="1017">
                <c:v>5.43</c:v>
              </c:pt>
              <c:pt idx="1018">
                <c:v>5.0019999999999998</c:v>
              </c:pt>
              <c:pt idx="1019">
                <c:v>4.5629999999999997</c:v>
              </c:pt>
              <c:pt idx="1020">
                <c:v>4.0709999999999997</c:v>
              </c:pt>
              <c:pt idx="1021">
                <c:v>3.5339999999999998</c:v>
              </c:pt>
              <c:pt idx="1022">
                <c:v>3.165</c:v>
              </c:pt>
              <c:pt idx="1023">
                <c:v>2.8130000000000002</c:v>
              </c:pt>
              <c:pt idx="1024">
                <c:v>2.5150000000000001</c:v>
              </c:pt>
              <c:pt idx="1025">
                <c:v>2.36</c:v>
              </c:pt>
              <c:pt idx="1026">
                <c:v>2.371</c:v>
              </c:pt>
              <c:pt idx="1027">
                <c:v>2.5470000000000002</c:v>
              </c:pt>
              <c:pt idx="1028">
                <c:v>2.7949999999999999</c:v>
              </c:pt>
              <c:pt idx="1029">
                <c:v>2.94</c:v>
              </c:pt>
              <c:pt idx="1030">
                <c:v>3.181</c:v>
              </c:pt>
              <c:pt idx="1031">
                <c:v>3.4689999999999999</c:v>
              </c:pt>
              <c:pt idx="1032">
                <c:v>3.766</c:v>
              </c:pt>
              <c:pt idx="1033">
                <c:v>4.1740000000000004</c:v>
              </c:pt>
              <c:pt idx="1034">
                <c:v>4.6859999999999999</c:v>
              </c:pt>
              <c:pt idx="1035">
                <c:v>5.4459999999999997</c:v>
              </c:pt>
              <c:pt idx="1036">
                <c:v>6.2190000000000003</c:v>
              </c:pt>
              <c:pt idx="1037">
                <c:v>6.9610000000000003</c:v>
              </c:pt>
              <c:pt idx="1038">
                <c:v>7.8109999999999999</c:v>
              </c:pt>
              <c:pt idx="1039">
                <c:v>8.7100000000000009</c:v>
              </c:pt>
              <c:pt idx="1040">
                <c:v>9.65</c:v>
              </c:pt>
              <c:pt idx="1041">
                <c:v>10.77</c:v>
              </c:pt>
              <c:pt idx="1042">
                <c:v>12.19</c:v>
              </c:pt>
              <c:pt idx="1043">
                <c:v>13.98</c:v>
              </c:pt>
              <c:pt idx="1044">
                <c:v>15.8</c:v>
              </c:pt>
              <c:pt idx="1045">
                <c:v>17.12</c:v>
              </c:pt>
              <c:pt idx="1046">
                <c:v>17.760000000000002</c:v>
              </c:pt>
              <c:pt idx="1047">
                <c:v>17.66</c:v>
              </c:pt>
              <c:pt idx="1048">
                <c:v>17.07</c:v>
              </c:pt>
              <c:pt idx="1049">
                <c:v>16.21</c:v>
              </c:pt>
              <c:pt idx="1050">
                <c:v>14.83</c:v>
              </c:pt>
              <c:pt idx="1051">
                <c:v>13.38</c:v>
              </c:pt>
              <c:pt idx="1052">
                <c:v>12.04</c:v>
              </c:pt>
              <c:pt idx="1053">
                <c:v>10.33</c:v>
              </c:pt>
              <c:pt idx="1054">
                <c:v>8.92</c:v>
              </c:pt>
              <c:pt idx="1055">
                <c:v>8.15</c:v>
              </c:pt>
              <c:pt idx="1056">
                <c:v>7.9779999999999998</c:v>
              </c:pt>
              <c:pt idx="1057">
                <c:v>7.8860000000000001</c:v>
              </c:pt>
              <c:pt idx="1058">
                <c:v>7.9669999999999996</c:v>
              </c:pt>
              <c:pt idx="1059">
                <c:v>8.39</c:v>
              </c:pt>
              <c:pt idx="1060">
                <c:v>8.98</c:v>
              </c:pt>
              <c:pt idx="1061">
                <c:v>9.4499999999999993</c:v>
              </c:pt>
              <c:pt idx="1062">
                <c:v>9.4600000000000009</c:v>
              </c:pt>
              <c:pt idx="1063">
                <c:v>9.24</c:v>
              </c:pt>
              <c:pt idx="1064">
                <c:v>9.2899999999999991</c:v>
              </c:pt>
              <c:pt idx="1065">
                <c:v>9.75</c:v>
              </c:pt>
              <c:pt idx="1066">
                <c:v>10.07</c:v>
              </c:pt>
              <c:pt idx="1067">
                <c:v>10.130000000000001</c:v>
              </c:pt>
              <c:pt idx="1068">
                <c:v>10.07</c:v>
              </c:pt>
              <c:pt idx="1069">
                <c:v>9.85</c:v>
              </c:pt>
              <c:pt idx="1070">
                <c:v>9.4700000000000006</c:v>
              </c:pt>
              <c:pt idx="1071">
                <c:v>9.27</c:v>
              </c:pt>
              <c:pt idx="1072">
                <c:v>9.1300000000000008</c:v>
              </c:pt>
              <c:pt idx="1073">
                <c:v>9</c:v>
              </c:pt>
              <c:pt idx="1074">
                <c:v>8.65</c:v>
              </c:pt>
              <c:pt idx="1075">
                <c:v>8.06</c:v>
              </c:pt>
              <c:pt idx="1076">
                <c:v>7.6139999999999999</c:v>
              </c:pt>
              <c:pt idx="1077">
                <c:v>7.2320000000000002</c:v>
              </c:pt>
              <c:pt idx="1078">
                <c:v>7.0519999999999996</c:v>
              </c:pt>
              <c:pt idx="1079">
                <c:v>6.8760000000000003</c:v>
              </c:pt>
              <c:pt idx="1080">
                <c:v>6.7140000000000004</c:v>
              </c:pt>
              <c:pt idx="1081">
                <c:v>6.6449999999999996</c:v>
              </c:pt>
              <c:pt idx="1082">
                <c:v>6.625</c:v>
              </c:pt>
              <c:pt idx="1083">
                <c:v>6.6369999999999996</c:v>
              </c:pt>
              <c:pt idx="1084">
                <c:v>6.6959999999999997</c:v>
              </c:pt>
              <c:pt idx="1085">
                <c:v>6.8330000000000002</c:v>
              </c:pt>
              <c:pt idx="1086">
                <c:v>6.8109999999999999</c:v>
              </c:pt>
              <c:pt idx="1087">
                <c:v>6.4939999999999998</c:v>
              </c:pt>
              <c:pt idx="1088">
                <c:v>6.016</c:v>
              </c:pt>
              <c:pt idx="1089">
                <c:v>5.6210000000000004</c:v>
              </c:pt>
              <c:pt idx="1090">
                <c:v>5.4939999999999998</c:v>
              </c:pt>
              <c:pt idx="1091">
                <c:v>5.6260000000000003</c:v>
              </c:pt>
              <c:pt idx="1092">
                <c:v>5.6779999999999999</c:v>
              </c:pt>
              <c:pt idx="1093">
                <c:v>5.766</c:v>
              </c:pt>
              <c:pt idx="1094">
                <c:v>5.8890000000000002</c:v>
              </c:pt>
              <c:pt idx="1095">
                <c:v>5.92</c:v>
              </c:pt>
              <c:pt idx="1096">
                <c:v>6.1580000000000004</c:v>
              </c:pt>
              <c:pt idx="1097">
                <c:v>6.3339999999999996</c:v>
              </c:pt>
              <c:pt idx="1098">
                <c:v>6.391</c:v>
              </c:pt>
              <c:pt idx="1099">
                <c:v>6.4790000000000001</c:v>
              </c:pt>
              <c:pt idx="1100">
                <c:v>6.5190000000000001</c:v>
              </c:pt>
              <c:pt idx="1101">
                <c:v>6.54</c:v>
              </c:pt>
              <c:pt idx="1102">
                <c:v>6.3659999999999997</c:v>
              </c:pt>
              <c:pt idx="1103">
                <c:v>6.2370000000000001</c:v>
              </c:pt>
              <c:pt idx="1104">
                <c:v>5.9640000000000004</c:v>
              </c:pt>
              <c:pt idx="1105">
                <c:v>5.76</c:v>
              </c:pt>
              <c:pt idx="1106">
                <c:v>5.5339999999999998</c:v>
              </c:pt>
              <c:pt idx="1107">
                <c:v>5.3659999999999997</c:v>
              </c:pt>
              <c:pt idx="1108">
                <c:v>5.2</c:v>
              </c:pt>
              <c:pt idx="1109">
                <c:v>5.1100000000000003</c:v>
              </c:pt>
              <c:pt idx="1110">
                <c:v>5.03</c:v>
              </c:pt>
              <c:pt idx="1111">
                <c:v>4.8970000000000002</c:v>
              </c:pt>
              <c:pt idx="1112">
                <c:v>4.7409999999999997</c:v>
              </c:pt>
              <c:pt idx="1113">
                <c:v>4.6070000000000002</c:v>
              </c:pt>
              <c:pt idx="1114">
                <c:v>4.4950000000000001</c:v>
              </c:pt>
              <c:pt idx="1115">
                <c:v>4.4569999999999999</c:v>
              </c:pt>
              <c:pt idx="1116">
                <c:v>4.4260000000000002</c:v>
              </c:pt>
              <c:pt idx="1117">
                <c:v>4.4640000000000004</c:v>
              </c:pt>
              <c:pt idx="1118">
                <c:v>4.5609999999999999</c:v>
              </c:pt>
              <c:pt idx="1119">
                <c:v>4.6130000000000004</c:v>
              </c:pt>
              <c:pt idx="1120">
                <c:v>4.548</c:v>
              </c:pt>
              <c:pt idx="1121">
                <c:v>4.444</c:v>
              </c:pt>
              <c:pt idx="1122">
                <c:v>4.2530000000000001</c:v>
              </c:pt>
              <c:pt idx="1123">
                <c:v>4.12</c:v>
              </c:pt>
              <c:pt idx="1124">
                <c:v>3.9060000000000001</c:v>
              </c:pt>
              <c:pt idx="1125">
                <c:v>3.863</c:v>
              </c:pt>
              <c:pt idx="1126">
                <c:v>3.698</c:v>
              </c:pt>
              <c:pt idx="1127">
                <c:v>3.5339999999999998</c:v>
              </c:pt>
              <c:pt idx="1128">
                <c:v>3.4119999999999999</c:v>
              </c:pt>
              <c:pt idx="1129">
                <c:v>3.2879999999999998</c:v>
              </c:pt>
              <c:pt idx="1130">
                <c:v>3.1789999999999998</c:v>
              </c:pt>
              <c:pt idx="1131">
                <c:v>3.0790000000000002</c:v>
              </c:pt>
              <c:pt idx="1132">
                <c:v>2.9769999999999999</c:v>
              </c:pt>
              <c:pt idx="1133">
                <c:v>2.9740000000000002</c:v>
              </c:pt>
              <c:pt idx="1134">
                <c:v>2.91</c:v>
              </c:pt>
              <c:pt idx="1135">
                <c:v>2.871</c:v>
              </c:pt>
              <c:pt idx="1136">
                <c:v>2.851</c:v>
              </c:pt>
              <c:pt idx="1137">
                <c:v>2.819</c:v>
              </c:pt>
              <c:pt idx="1138">
                <c:v>2.835</c:v>
              </c:pt>
              <c:pt idx="1139">
                <c:v>2.8889999999999998</c:v>
              </c:pt>
              <c:pt idx="1140">
                <c:v>2.9209999999999998</c:v>
              </c:pt>
              <c:pt idx="1141">
                <c:v>3.0590000000000002</c:v>
              </c:pt>
              <c:pt idx="1142">
                <c:v>3.069</c:v>
              </c:pt>
              <c:pt idx="1143">
                <c:v>3.073</c:v>
              </c:pt>
              <c:pt idx="1144">
                <c:v>3.0609999999999999</c:v>
              </c:pt>
              <c:pt idx="1145">
                <c:v>3.0310000000000001</c:v>
              </c:pt>
              <c:pt idx="1146">
                <c:v>3.0169999999999999</c:v>
              </c:pt>
              <c:pt idx="1147">
                <c:v>2.8820000000000001</c:v>
              </c:pt>
              <c:pt idx="1148">
                <c:v>2.84</c:v>
              </c:pt>
              <c:pt idx="1149">
                <c:v>2.7909999999999999</c:v>
              </c:pt>
              <c:pt idx="1150">
                <c:v>2.6659999999999999</c:v>
              </c:pt>
              <c:pt idx="1151">
                <c:v>2.6560000000000001</c:v>
              </c:pt>
              <c:pt idx="1152">
                <c:v>2.645</c:v>
              </c:pt>
              <c:pt idx="1153">
                <c:v>2.649</c:v>
              </c:pt>
              <c:pt idx="1154">
                <c:v>2.7080000000000002</c:v>
              </c:pt>
              <c:pt idx="1155">
                <c:v>2.8410000000000002</c:v>
              </c:pt>
              <c:pt idx="1156">
                <c:v>2.7909999999999999</c:v>
              </c:pt>
              <c:pt idx="1157">
                <c:v>2.645</c:v>
              </c:pt>
              <c:pt idx="1158">
                <c:v>2.4529999999999998</c:v>
              </c:pt>
              <c:pt idx="1159">
                <c:v>2.222</c:v>
              </c:pt>
              <c:pt idx="1160">
                <c:v>2.1480000000000001</c:v>
              </c:pt>
              <c:pt idx="1161">
                <c:v>1.9430000000000001</c:v>
              </c:pt>
              <c:pt idx="1162">
                <c:v>1.575</c:v>
              </c:pt>
              <c:pt idx="1163">
                <c:v>1.1359999999999999</c:v>
              </c:pt>
              <c:pt idx="1164">
                <c:v>0.86599999999999999</c:v>
              </c:pt>
              <c:pt idx="1165">
                <c:v>0.69399999999999995</c:v>
              </c:pt>
              <c:pt idx="1166">
                <c:v>0.53900000000000003</c:v>
              </c:pt>
              <c:pt idx="1167">
                <c:v>0.36199999999999999</c:v>
              </c:pt>
              <c:pt idx="1168">
                <c:v>0.22600000000000001</c:v>
              </c:pt>
              <c:pt idx="1169">
                <c:v>0.104</c:v>
              </c:pt>
              <c:pt idx="1170">
                <c:v>2.4E-2</c:v>
              </c:pt>
              <c:pt idx="1171">
                <c:v>4.0000000000000001E-3</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2E-3</c:v>
              </c:pt>
              <c:pt idx="1222">
                <c:v>0</c:v>
              </c:pt>
              <c:pt idx="1223">
                <c:v>0</c:v>
              </c:pt>
              <c:pt idx="1224">
                <c:v>1E-3</c:v>
              </c:pt>
              <c:pt idx="1225">
                <c:v>0</c:v>
              </c:pt>
              <c:pt idx="1226">
                <c:v>0</c:v>
              </c:pt>
              <c:pt idx="1227">
                <c:v>0</c:v>
              </c:pt>
              <c:pt idx="1228">
                <c:v>0</c:v>
              </c:pt>
              <c:pt idx="1229">
                <c:v>2E-3</c:v>
              </c:pt>
              <c:pt idx="1230">
                <c:v>0</c:v>
              </c:pt>
              <c:pt idx="1231">
                <c:v>0</c:v>
              </c:pt>
              <c:pt idx="1232">
                <c:v>0</c:v>
              </c:pt>
              <c:pt idx="1233">
                <c:v>0</c:v>
              </c:pt>
              <c:pt idx="1234">
                <c:v>5.0000000000000001E-3</c:v>
              </c:pt>
              <c:pt idx="1235">
                <c:v>0</c:v>
              </c:pt>
              <c:pt idx="1236">
                <c:v>6.0000000000000001E-3</c:v>
              </c:pt>
              <c:pt idx="1237">
                <c:v>1.2E-2</c:v>
              </c:pt>
              <c:pt idx="1238">
                <c:v>0</c:v>
              </c:pt>
              <c:pt idx="1239">
                <c:v>0</c:v>
              </c:pt>
              <c:pt idx="1240">
                <c:v>0</c:v>
              </c:pt>
              <c:pt idx="1241">
                <c:v>6.0000000000000001E-3</c:v>
              </c:pt>
              <c:pt idx="1242">
                <c:v>0</c:v>
              </c:pt>
              <c:pt idx="1243">
                <c:v>0</c:v>
              </c:pt>
              <c:pt idx="1244">
                <c:v>1.2E-2</c:v>
              </c:pt>
              <c:pt idx="1245">
                <c:v>0</c:v>
              </c:pt>
              <c:pt idx="1246">
                <c:v>0</c:v>
              </c:pt>
              <c:pt idx="1247">
                <c:v>0</c:v>
              </c:pt>
              <c:pt idx="1248">
                <c:v>0</c:v>
              </c:pt>
              <c:pt idx="1249">
                <c:v>1E-3</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2E-3</c:v>
              </c:pt>
              <c:pt idx="1264">
                <c:v>0</c:v>
              </c:pt>
              <c:pt idx="1265">
                <c:v>0</c:v>
              </c:pt>
              <c:pt idx="1266">
                <c:v>0</c:v>
              </c:pt>
              <c:pt idx="1267">
                <c:v>0</c:v>
              </c:pt>
              <c:pt idx="1268">
                <c:v>0</c:v>
              </c:pt>
              <c:pt idx="1269">
                <c:v>0</c:v>
              </c:pt>
              <c:pt idx="1270">
                <c:v>0</c:v>
              </c:pt>
              <c:pt idx="1271">
                <c:v>0</c:v>
              </c:pt>
              <c:pt idx="1272">
                <c:v>5.0000000000000001E-3</c:v>
              </c:pt>
              <c:pt idx="1273">
                <c:v>0</c:v>
              </c:pt>
              <c:pt idx="1274">
                <c:v>1E-3</c:v>
              </c:pt>
              <c:pt idx="1275">
                <c:v>0</c:v>
              </c:pt>
              <c:pt idx="1276">
                <c:v>3.0000000000000001E-3</c:v>
              </c:pt>
              <c:pt idx="1277">
                <c:v>2E-3</c:v>
              </c:pt>
              <c:pt idx="1278">
                <c:v>2E-3</c:v>
              </c:pt>
              <c:pt idx="1279">
                <c:v>1.0999999999999999E-2</c:v>
              </c:pt>
              <c:pt idx="1280">
                <c:v>0</c:v>
              </c:pt>
              <c:pt idx="1281">
                <c:v>2E-3</c:v>
              </c:pt>
              <c:pt idx="1282">
                <c:v>4.0000000000000001E-3</c:v>
              </c:pt>
              <c:pt idx="1283">
                <c:v>1.2E-2</c:v>
              </c:pt>
              <c:pt idx="1284">
                <c:v>2.1999999999999999E-2</c:v>
              </c:pt>
              <c:pt idx="1285">
                <c:v>6.0000000000000001E-3</c:v>
              </c:pt>
              <c:pt idx="1286">
                <c:v>0</c:v>
              </c:pt>
              <c:pt idx="1287">
                <c:v>0</c:v>
              </c:pt>
              <c:pt idx="1288">
                <c:v>1E-3</c:v>
              </c:pt>
              <c:pt idx="1289">
                <c:v>4.0000000000000001E-3</c:v>
              </c:pt>
              <c:pt idx="1290">
                <c:v>0</c:v>
              </c:pt>
              <c:pt idx="1291">
                <c:v>1.4E-2</c:v>
              </c:pt>
              <c:pt idx="1292">
                <c:v>2.9000000000000001E-2</c:v>
              </c:pt>
              <c:pt idx="1293">
                <c:v>8.9999999999999993E-3</c:v>
              </c:pt>
              <c:pt idx="1294">
                <c:v>7.0000000000000001E-3</c:v>
              </c:pt>
              <c:pt idx="1295">
                <c:v>2.4E-2</c:v>
              </c:pt>
              <c:pt idx="1296">
                <c:v>1.0999999999999999E-2</c:v>
              </c:pt>
              <c:pt idx="1297">
                <c:v>3.6999999999999998E-2</c:v>
              </c:pt>
              <c:pt idx="1298">
                <c:v>4.5999999999999999E-2</c:v>
              </c:pt>
              <c:pt idx="1299">
                <c:v>3.7999999999999999E-2</c:v>
              </c:pt>
              <c:pt idx="1300">
                <c:v>5.8999999999999997E-2</c:v>
              </c:pt>
              <c:pt idx="1301">
                <c:v>0.11899999999999999</c:v>
              </c:pt>
              <c:pt idx="1302">
                <c:v>9.7000000000000003E-2</c:v>
              </c:pt>
              <c:pt idx="1303">
                <c:v>0.114</c:v>
              </c:pt>
              <c:pt idx="1304">
                <c:v>0.115</c:v>
              </c:pt>
              <c:pt idx="1305">
                <c:v>0.111</c:v>
              </c:pt>
              <c:pt idx="1306">
                <c:v>0.129</c:v>
              </c:pt>
              <c:pt idx="1307">
                <c:v>0.14399999999999999</c:v>
              </c:pt>
              <c:pt idx="1308">
                <c:v>0.14099999999999999</c:v>
              </c:pt>
              <c:pt idx="1309">
                <c:v>0.154</c:v>
              </c:pt>
              <c:pt idx="1310">
                <c:v>0.16</c:v>
              </c:pt>
              <c:pt idx="1311">
                <c:v>0.11</c:v>
              </c:pt>
              <c:pt idx="1312">
                <c:v>0.184</c:v>
              </c:pt>
              <c:pt idx="1313">
                <c:v>0.11799999999999999</c:v>
              </c:pt>
              <c:pt idx="1314">
                <c:v>0.154</c:v>
              </c:pt>
              <c:pt idx="1315">
                <c:v>0.182</c:v>
              </c:pt>
              <c:pt idx="1316">
                <c:v>0.16</c:v>
              </c:pt>
              <c:pt idx="1317">
                <c:v>0.151</c:v>
              </c:pt>
              <c:pt idx="1318">
                <c:v>0.17899999999999999</c:v>
              </c:pt>
              <c:pt idx="1319">
                <c:v>0.129</c:v>
              </c:pt>
              <c:pt idx="1320">
                <c:v>0.17499999999999999</c:v>
              </c:pt>
              <c:pt idx="1321">
                <c:v>0.14599999999999999</c:v>
              </c:pt>
              <c:pt idx="1322">
                <c:v>0.183</c:v>
              </c:pt>
              <c:pt idx="1323">
                <c:v>0.153</c:v>
              </c:pt>
              <c:pt idx="1324">
                <c:v>0.161</c:v>
              </c:pt>
              <c:pt idx="1325">
                <c:v>0.14899999999999999</c:v>
              </c:pt>
              <c:pt idx="1326">
                <c:v>0.156</c:v>
              </c:pt>
              <c:pt idx="1327">
                <c:v>0.13500000000000001</c:v>
              </c:pt>
              <c:pt idx="1328">
                <c:v>0.123</c:v>
              </c:pt>
              <c:pt idx="1329">
                <c:v>0.13800000000000001</c:v>
              </c:pt>
              <c:pt idx="1330">
                <c:v>0.13100000000000001</c:v>
              </c:pt>
              <c:pt idx="1331">
                <c:v>0.10299999999999999</c:v>
              </c:pt>
              <c:pt idx="1332">
                <c:v>0.104</c:v>
              </c:pt>
              <c:pt idx="1333">
                <c:v>9.8000000000000004E-2</c:v>
              </c:pt>
              <c:pt idx="1334">
                <c:v>8.5000000000000006E-2</c:v>
              </c:pt>
              <c:pt idx="1335">
                <c:v>7.2999999999999995E-2</c:v>
              </c:pt>
              <c:pt idx="1336">
                <c:v>5.7000000000000002E-2</c:v>
              </c:pt>
              <c:pt idx="1337">
                <c:v>8.3000000000000004E-2</c:v>
              </c:pt>
              <c:pt idx="1338">
                <c:v>8.7999999999999995E-2</c:v>
              </c:pt>
              <c:pt idx="1339">
                <c:v>5.0999999999999997E-2</c:v>
              </c:pt>
              <c:pt idx="1340">
                <c:v>6.8000000000000005E-2</c:v>
              </c:pt>
              <c:pt idx="1341">
                <c:v>8.4000000000000005E-2</c:v>
              </c:pt>
              <c:pt idx="1342">
                <c:v>4.3999999999999997E-2</c:v>
              </c:pt>
              <c:pt idx="1343">
                <c:v>2.7E-2</c:v>
              </c:pt>
              <c:pt idx="1344">
                <c:v>1.4999999999999999E-2</c:v>
              </c:pt>
              <c:pt idx="1345">
                <c:v>0.01</c:v>
              </c:pt>
              <c:pt idx="1346">
                <c:v>0.01</c:v>
              </c:pt>
              <c:pt idx="1347">
                <c:v>1.2999999999999999E-2</c:v>
              </c:pt>
              <c:pt idx="1348">
                <c:v>8.9999999999999993E-3</c:v>
              </c:pt>
              <c:pt idx="1349">
                <c:v>7.0000000000000001E-3</c:v>
              </c:pt>
              <c:pt idx="1350">
                <c:v>0</c:v>
              </c:pt>
              <c:pt idx="1351">
                <c:v>4.0000000000000001E-3</c:v>
              </c:pt>
              <c:pt idx="1352">
                <c:v>1E-3</c:v>
              </c:pt>
              <c:pt idx="1353">
                <c:v>0</c:v>
              </c:pt>
              <c:pt idx="1354">
                <c:v>8.9999999999999993E-3</c:v>
              </c:pt>
              <c:pt idx="1355">
                <c:v>1.7000000000000001E-2</c:v>
              </c:pt>
              <c:pt idx="1356">
                <c:v>0</c:v>
              </c:pt>
              <c:pt idx="1357">
                <c:v>2.9000000000000001E-2</c:v>
              </c:pt>
              <c:pt idx="1358">
                <c:v>2.4E-2</c:v>
              </c:pt>
              <c:pt idx="1359">
                <c:v>1.2999999999999999E-2</c:v>
              </c:pt>
              <c:pt idx="1360">
                <c:v>1.7999999999999999E-2</c:v>
              </c:pt>
              <c:pt idx="1361">
                <c:v>2.4E-2</c:v>
              </c:pt>
              <c:pt idx="1362">
                <c:v>3.4000000000000002E-2</c:v>
              </c:pt>
              <c:pt idx="1363">
                <c:v>1.7999999999999999E-2</c:v>
              </c:pt>
              <c:pt idx="1364">
                <c:v>2.1000000000000001E-2</c:v>
              </c:pt>
              <c:pt idx="1365">
                <c:v>4.0000000000000001E-3</c:v>
              </c:pt>
              <c:pt idx="1366">
                <c:v>1.4999999999999999E-2</c:v>
              </c:pt>
              <c:pt idx="1367">
                <c:v>7.0000000000000001E-3</c:v>
              </c:pt>
              <c:pt idx="1368">
                <c:v>2.1000000000000001E-2</c:v>
              </c:pt>
              <c:pt idx="1369">
                <c:v>1.0999999999999999E-2</c:v>
              </c:pt>
              <c:pt idx="1370">
                <c:v>3.0000000000000001E-3</c:v>
              </c:pt>
              <c:pt idx="1371">
                <c:v>2.7E-2</c:v>
              </c:pt>
              <c:pt idx="1372">
                <c:v>2.3E-2</c:v>
              </c:pt>
              <c:pt idx="1373">
                <c:v>3.7999999999999999E-2</c:v>
              </c:pt>
              <c:pt idx="1374">
                <c:v>2.7E-2</c:v>
              </c:pt>
              <c:pt idx="1375">
                <c:v>3.2000000000000001E-2</c:v>
              </c:pt>
              <c:pt idx="1376">
                <c:v>1.9E-2</c:v>
              </c:pt>
              <c:pt idx="1377">
                <c:v>8.5999999999999993E-2</c:v>
              </c:pt>
              <c:pt idx="1378">
                <c:v>3.7999999999999999E-2</c:v>
              </c:pt>
              <c:pt idx="1379">
                <c:v>3.3000000000000002E-2</c:v>
              </c:pt>
              <c:pt idx="1380">
                <c:v>3.0000000000000001E-3</c:v>
              </c:pt>
              <c:pt idx="1381">
                <c:v>3.7999999999999999E-2</c:v>
              </c:pt>
              <c:pt idx="1382">
                <c:v>3.5999999999999997E-2</c:v>
              </c:pt>
              <c:pt idx="1383">
                <c:v>6.0000000000000001E-3</c:v>
              </c:pt>
              <c:pt idx="1384">
                <c:v>1.7000000000000001E-2</c:v>
              </c:pt>
              <c:pt idx="1385">
                <c:v>1.4999999999999999E-2</c:v>
              </c:pt>
              <c:pt idx="1386">
                <c:v>0.01</c:v>
              </c:pt>
              <c:pt idx="1387">
                <c:v>2.3E-2</c:v>
              </c:pt>
              <c:pt idx="1388">
                <c:v>4.1000000000000002E-2</c:v>
              </c:pt>
              <c:pt idx="1389">
                <c:v>0.01</c:v>
              </c:pt>
              <c:pt idx="1390">
                <c:v>5.0000000000000001E-3</c:v>
              </c:pt>
              <c:pt idx="1391">
                <c:v>1E-3</c:v>
              </c:pt>
              <c:pt idx="1392">
                <c:v>1.7000000000000001E-2</c:v>
              </c:pt>
              <c:pt idx="1393">
                <c:v>4.0000000000000001E-3</c:v>
              </c:pt>
              <c:pt idx="1394">
                <c:v>1E-3</c:v>
              </c:pt>
              <c:pt idx="1395">
                <c:v>1E-3</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1E-3</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2E-3</c:v>
              </c:pt>
              <c:pt idx="1433">
                <c:v>0.01</c:v>
              </c:pt>
              <c:pt idx="1434">
                <c:v>0.03</c:v>
              </c:pt>
              <c:pt idx="1435">
                <c:v>0</c:v>
              </c:pt>
              <c:pt idx="1436">
                <c:v>1.0999999999999999E-2</c:v>
              </c:pt>
              <c:pt idx="1437">
                <c:v>4.0000000000000001E-3</c:v>
              </c:pt>
              <c:pt idx="1438">
                <c:v>8.0000000000000002E-3</c:v>
              </c:pt>
              <c:pt idx="1439">
                <c:v>1.0999999999999999E-2</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2-6259-46DD-8E42-052732076705}"/>
            </c:ext>
          </c:extLst>
        </c:ser>
        <c:ser>
          <c:idx val="3"/>
          <c:order val="3"/>
          <c:tx>
            <c:v>IS9 WMS POA Downword(W/mÂ²)</c:v>
          </c:tx>
          <c:spPr>
            <a:ln w="28575" cap="rnd">
              <a:solidFill>
                <a:schemeClr val="accent4"/>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0.11600000000000001</c:v>
              </c:pt>
              <c:pt idx="2">
                <c:v>0.186</c:v>
              </c:pt>
              <c:pt idx="3">
                <c:v>8.5999999999999993E-2</c:v>
              </c:pt>
              <c:pt idx="4">
                <c:v>6.9000000000000006E-2</c:v>
              </c:pt>
              <c:pt idx="5">
                <c:v>0.111</c:v>
              </c:pt>
              <c:pt idx="6">
                <c:v>0.11899999999999999</c:v>
              </c:pt>
              <c:pt idx="7">
                <c:v>0.14599999999999999</c:v>
              </c:pt>
              <c:pt idx="8">
                <c:v>9.6000000000000002E-2</c:v>
              </c:pt>
              <c:pt idx="9">
                <c:v>0.112</c:v>
              </c:pt>
              <c:pt idx="10">
                <c:v>0.105</c:v>
              </c:pt>
              <c:pt idx="11">
                <c:v>0.11600000000000001</c:v>
              </c:pt>
              <c:pt idx="12">
                <c:v>0.11600000000000001</c:v>
              </c:pt>
              <c:pt idx="13">
                <c:v>0.13900000000000001</c:v>
              </c:pt>
              <c:pt idx="14">
                <c:v>0.121</c:v>
              </c:pt>
              <c:pt idx="15">
                <c:v>8.5999999999999993E-2</c:v>
              </c:pt>
              <c:pt idx="16">
                <c:v>0.13</c:v>
              </c:pt>
              <c:pt idx="17">
                <c:v>0.154</c:v>
              </c:pt>
              <c:pt idx="18">
                <c:v>0.17299999999999999</c:v>
              </c:pt>
              <c:pt idx="19">
                <c:v>0.14499999999999999</c:v>
              </c:pt>
              <c:pt idx="20">
                <c:v>0.123</c:v>
              </c:pt>
              <c:pt idx="21">
                <c:v>0.16</c:v>
              </c:pt>
              <c:pt idx="22">
                <c:v>9.2999999999999999E-2</c:v>
              </c:pt>
              <c:pt idx="23">
                <c:v>0.14699999999999999</c:v>
              </c:pt>
              <c:pt idx="24">
                <c:v>0.16600000000000001</c:v>
              </c:pt>
              <c:pt idx="25">
                <c:v>0.11600000000000001</c:v>
              </c:pt>
              <c:pt idx="26">
                <c:v>0.129</c:v>
              </c:pt>
              <c:pt idx="27">
                <c:v>0.113</c:v>
              </c:pt>
              <c:pt idx="28">
                <c:v>0.17100000000000001</c:v>
              </c:pt>
              <c:pt idx="29">
                <c:v>0.13</c:v>
              </c:pt>
              <c:pt idx="30">
                <c:v>0.13600000000000001</c:v>
              </c:pt>
              <c:pt idx="31">
                <c:v>0.128</c:v>
              </c:pt>
              <c:pt idx="32">
                <c:v>0.17499999999999999</c:v>
              </c:pt>
              <c:pt idx="33">
                <c:v>0.11899999999999999</c:v>
              </c:pt>
              <c:pt idx="34">
                <c:v>0.14399999999999999</c:v>
              </c:pt>
              <c:pt idx="35">
                <c:v>0.16200000000000001</c:v>
              </c:pt>
              <c:pt idx="36">
                <c:v>0.18</c:v>
              </c:pt>
              <c:pt idx="37">
                <c:v>0.14099999999999999</c:v>
              </c:pt>
              <c:pt idx="38">
                <c:v>0.14299999999999999</c:v>
              </c:pt>
              <c:pt idx="39">
                <c:v>0.17100000000000001</c:v>
              </c:pt>
              <c:pt idx="40">
                <c:v>0.14899999999999999</c:v>
              </c:pt>
              <c:pt idx="41">
                <c:v>0.14000000000000001</c:v>
              </c:pt>
              <c:pt idx="42">
                <c:v>0.16</c:v>
              </c:pt>
              <c:pt idx="43">
                <c:v>0.16700000000000001</c:v>
              </c:pt>
              <c:pt idx="44">
                <c:v>0.183</c:v>
              </c:pt>
              <c:pt idx="45">
                <c:v>0.13800000000000001</c:v>
              </c:pt>
              <c:pt idx="46">
                <c:v>0.17399999999999999</c:v>
              </c:pt>
              <c:pt idx="47">
                <c:v>0.16800000000000001</c:v>
              </c:pt>
              <c:pt idx="48">
                <c:v>0.186</c:v>
              </c:pt>
              <c:pt idx="49">
                <c:v>0.13600000000000001</c:v>
              </c:pt>
              <c:pt idx="50">
                <c:v>0.17299999999999999</c:v>
              </c:pt>
              <c:pt idx="51">
                <c:v>0.17100000000000001</c:v>
              </c:pt>
              <c:pt idx="52">
                <c:v>0.20599999999999999</c:v>
              </c:pt>
              <c:pt idx="53">
                <c:v>0.24399999999999999</c:v>
              </c:pt>
              <c:pt idx="54">
                <c:v>0.15</c:v>
              </c:pt>
              <c:pt idx="55">
                <c:v>0.19500000000000001</c:v>
              </c:pt>
              <c:pt idx="56">
                <c:v>0.17199999999999999</c:v>
              </c:pt>
              <c:pt idx="57">
                <c:v>0.193</c:v>
              </c:pt>
              <c:pt idx="58">
                <c:v>0.19900000000000001</c:v>
              </c:pt>
              <c:pt idx="59">
                <c:v>0.19600000000000001</c:v>
              </c:pt>
              <c:pt idx="60">
                <c:v>0.20599999999999999</c:v>
              </c:pt>
              <c:pt idx="61">
                <c:v>0.21199999999999999</c:v>
              </c:pt>
              <c:pt idx="62">
                <c:v>0.187</c:v>
              </c:pt>
              <c:pt idx="63">
                <c:v>0.13</c:v>
              </c:pt>
              <c:pt idx="64">
                <c:v>0.14499999999999999</c:v>
              </c:pt>
              <c:pt idx="65">
                <c:v>0.154</c:v>
              </c:pt>
              <c:pt idx="66">
                <c:v>0.158</c:v>
              </c:pt>
              <c:pt idx="67">
                <c:v>0.17100000000000001</c:v>
              </c:pt>
              <c:pt idx="68">
                <c:v>0.185</c:v>
              </c:pt>
              <c:pt idx="69">
                <c:v>0.14000000000000001</c:v>
              </c:pt>
              <c:pt idx="70">
                <c:v>0.14899999999999999</c:v>
              </c:pt>
              <c:pt idx="71">
                <c:v>0.14799999999999999</c:v>
              </c:pt>
              <c:pt idx="72">
                <c:v>0.15</c:v>
              </c:pt>
              <c:pt idx="73">
                <c:v>0.14099999999999999</c:v>
              </c:pt>
              <c:pt idx="74">
                <c:v>0.107</c:v>
              </c:pt>
              <c:pt idx="75">
                <c:v>0.14699999999999999</c:v>
              </c:pt>
              <c:pt idx="76">
                <c:v>0.113</c:v>
              </c:pt>
              <c:pt idx="77">
                <c:v>0.16</c:v>
              </c:pt>
              <c:pt idx="78">
                <c:v>0.122</c:v>
              </c:pt>
              <c:pt idx="79">
                <c:v>0.159</c:v>
              </c:pt>
              <c:pt idx="80">
                <c:v>0.16500000000000001</c:v>
              </c:pt>
              <c:pt idx="81">
                <c:v>0.114</c:v>
              </c:pt>
              <c:pt idx="82">
                <c:v>0.19400000000000001</c:v>
              </c:pt>
              <c:pt idx="83">
                <c:v>0.125</c:v>
              </c:pt>
              <c:pt idx="84">
                <c:v>0.20399999999999999</c:v>
              </c:pt>
              <c:pt idx="85">
                <c:v>0.14099999999999999</c:v>
              </c:pt>
              <c:pt idx="86">
                <c:v>0.14199999999999999</c:v>
              </c:pt>
              <c:pt idx="87">
                <c:v>0.17199999999999999</c:v>
              </c:pt>
              <c:pt idx="88">
                <c:v>0.13300000000000001</c:v>
              </c:pt>
              <c:pt idx="89">
                <c:v>0.14899999999999999</c:v>
              </c:pt>
              <c:pt idx="90">
                <c:v>8.6999999999999994E-2</c:v>
              </c:pt>
              <c:pt idx="91">
                <c:v>0.105</c:v>
              </c:pt>
              <c:pt idx="92">
                <c:v>0.14099999999999999</c:v>
              </c:pt>
              <c:pt idx="93">
                <c:v>0.13200000000000001</c:v>
              </c:pt>
              <c:pt idx="94">
                <c:v>0.14499999999999999</c:v>
              </c:pt>
              <c:pt idx="95">
                <c:v>0.157</c:v>
              </c:pt>
              <c:pt idx="96">
                <c:v>0.13800000000000001</c:v>
              </c:pt>
              <c:pt idx="97">
                <c:v>0.15</c:v>
              </c:pt>
              <c:pt idx="98">
                <c:v>0.16600000000000001</c:v>
              </c:pt>
              <c:pt idx="99">
                <c:v>0.14199999999999999</c:v>
              </c:pt>
              <c:pt idx="100">
                <c:v>9.4E-2</c:v>
              </c:pt>
              <c:pt idx="101">
                <c:v>0.126</c:v>
              </c:pt>
              <c:pt idx="102">
                <c:v>0.123</c:v>
              </c:pt>
              <c:pt idx="103">
                <c:v>0.11600000000000001</c:v>
              </c:pt>
              <c:pt idx="104">
                <c:v>0.10299999999999999</c:v>
              </c:pt>
              <c:pt idx="105">
                <c:v>9.9000000000000005E-2</c:v>
              </c:pt>
              <c:pt idx="106">
                <c:v>0.105</c:v>
              </c:pt>
              <c:pt idx="107">
                <c:v>0.108</c:v>
              </c:pt>
              <c:pt idx="108">
                <c:v>7.2999999999999995E-2</c:v>
              </c:pt>
              <c:pt idx="109">
                <c:v>0.1</c:v>
              </c:pt>
              <c:pt idx="110">
                <c:v>0.121</c:v>
              </c:pt>
              <c:pt idx="111">
                <c:v>0.14699999999999999</c:v>
              </c:pt>
              <c:pt idx="112">
                <c:v>9.6000000000000002E-2</c:v>
              </c:pt>
              <c:pt idx="113">
                <c:v>9.1999999999999998E-2</c:v>
              </c:pt>
              <c:pt idx="114">
                <c:v>0.09</c:v>
              </c:pt>
              <c:pt idx="115">
                <c:v>0.10299999999999999</c:v>
              </c:pt>
              <c:pt idx="116">
                <c:v>0.12</c:v>
              </c:pt>
              <c:pt idx="117">
                <c:v>9.0999999999999998E-2</c:v>
              </c:pt>
              <c:pt idx="118">
                <c:v>7.3999999999999996E-2</c:v>
              </c:pt>
              <c:pt idx="119">
                <c:v>0.08</c:v>
              </c:pt>
              <c:pt idx="120">
                <c:v>0.15</c:v>
              </c:pt>
              <c:pt idx="121">
                <c:v>0.13700000000000001</c:v>
              </c:pt>
              <c:pt idx="122">
                <c:v>5.6000000000000001E-2</c:v>
              </c:pt>
              <c:pt idx="123">
                <c:v>0.08</c:v>
              </c:pt>
              <c:pt idx="124">
                <c:v>9.5000000000000001E-2</c:v>
              </c:pt>
              <c:pt idx="125">
                <c:v>6.7000000000000004E-2</c:v>
              </c:pt>
              <c:pt idx="126">
                <c:v>9.5000000000000001E-2</c:v>
              </c:pt>
              <c:pt idx="127">
                <c:v>9.6000000000000002E-2</c:v>
              </c:pt>
              <c:pt idx="128">
                <c:v>9.8000000000000004E-2</c:v>
              </c:pt>
              <c:pt idx="129">
                <c:v>4.8000000000000001E-2</c:v>
              </c:pt>
              <c:pt idx="130">
                <c:v>5.8000000000000003E-2</c:v>
              </c:pt>
              <c:pt idx="131">
                <c:v>5.8999999999999997E-2</c:v>
              </c:pt>
              <c:pt idx="132">
                <c:v>6.7000000000000004E-2</c:v>
              </c:pt>
              <c:pt idx="133">
                <c:v>9.7000000000000003E-2</c:v>
              </c:pt>
              <c:pt idx="134">
                <c:v>9.2999999999999999E-2</c:v>
              </c:pt>
              <c:pt idx="135">
                <c:v>0.107</c:v>
              </c:pt>
              <c:pt idx="136">
                <c:v>9.4E-2</c:v>
              </c:pt>
              <c:pt idx="137">
                <c:v>2.1999999999999999E-2</c:v>
              </c:pt>
              <c:pt idx="138">
                <c:v>5.8999999999999997E-2</c:v>
              </c:pt>
              <c:pt idx="139">
                <c:v>0.10100000000000001</c:v>
              </c:pt>
              <c:pt idx="140">
                <c:v>0.107</c:v>
              </c:pt>
              <c:pt idx="141">
                <c:v>6.7000000000000004E-2</c:v>
              </c:pt>
              <c:pt idx="142">
                <c:v>8.2000000000000003E-2</c:v>
              </c:pt>
              <c:pt idx="143">
                <c:v>6.0999999999999999E-2</c:v>
              </c:pt>
              <c:pt idx="144">
                <c:v>0.11600000000000001</c:v>
              </c:pt>
              <c:pt idx="145">
                <c:v>0.108</c:v>
              </c:pt>
              <c:pt idx="146">
                <c:v>6.5000000000000002E-2</c:v>
              </c:pt>
              <c:pt idx="147">
                <c:v>8.3000000000000004E-2</c:v>
              </c:pt>
              <c:pt idx="148">
                <c:v>4.7E-2</c:v>
              </c:pt>
              <c:pt idx="149">
                <c:v>9.2999999999999999E-2</c:v>
              </c:pt>
              <c:pt idx="150">
                <c:v>9.8000000000000004E-2</c:v>
              </c:pt>
              <c:pt idx="151">
                <c:v>8.1000000000000003E-2</c:v>
              </c:pt>
              <c:pt idx="152">
                <c:v>8.8999999999999996E-2</c:v>
              </c:pt>
              <c:pt idx="153">
                <c:v>0.05</c:v>
              </c:pt>
              <c:pt idx="154">
                <c:v>8.4000000000000005E-2</c:v>
              </c:pt>
              <c:pt idx="155">
                <c:v>0.11600000000000001</c:v>
              </c:pt>
              <c:pt idx="156">
                <c:v>6.8000000000000005E-2</c:v>
              </c:pt>
              <c:pt idx="157">
                <c:v>9.7000000000000003E-2</c:v>
              </c:pt>
              <c:pt idx="158">
                <c:v>5.5E-2</c:v>
              </c:pt>
              <c:pt idx="159">
                <c:v>6.7000000000000004E-2</c:v>
              </c:pt>
              <c:pt idx="160">
                <c:v>7.4999999999999997E-2</c:v>
              </c:pt>
              <c:pt idx="161">
                <c:v>5.1999999999999998E-2</c:v>
              </c:pt>
              <c:pt idx="162">
                <c:v>2.8000000000000001E-2</c:v>
              </c:pt>
              <c:pt idx="163">
                <c:v>5.8000000000000003E-2</c:v>
              </c:pt>
              <c:pt idx="164">
                <c:v>6.0999999999999999E-2</c:v>
              </c:pt>
              <c:pt idx="165">
                <c:v>6.2E-2</c:v>
              </c:pt>
              <c:pt idx="166">
                <c:v>7.5999999999999998E-2</c:v>
              </c:pt>
              <c:pt idx="167">
                <c:v>5.5E-2</c:v>
              </c:pt>
              <c:pt idx="168">
                <c:v>4.2000000000000003E-2</c:v>
              </c:pt>
              <c:pt idx="169">
                <c:v>3.7999999999999999E-2</c:v>
              </c:pt>
              <c:pt idx="170">
                <c:v>3.7999999999999999E-2</c:v>
              </c:pt>
              <c:pt idx="171">
                <c:v>5.1999999999999998E-2</c:v>
              </c:pt>
              <c:pt idx="172">
                <c:v>0.06</c:v>
              </c:pt>
              <c:pt idx="173">
                <c:v>2.5000000000000001E-2</c:v>
              </c:pt>
              <c:pt idx="174">
                <c:v>4.2000000000000003E-2</c:v>
              </c:pt>
              <c:pt idx="175">
                <c:v>2.9000000000000001E-2</c:v>
              </c:pt>
              <c:pt idx="176">
                <c:v>2.3E-2</c:v>
              </c:pt>
              <c:pt idx="177">
                <c:v>2.1999999999999999E-2</c:v>
              </c:pt>
              <c:pt idx="178">
                <c:v>0.02</c:v>
              </c:pt>
              <c:pt idx="179">
                <c:v>0.04</c:v>
              </c:pt>
              <c:pt idx="180">
                <c:v>0.03</c:v>
              </c:pt>
              <c:pt idx="181">
                <c:v>7.0000000000000001E-3</c:v>
              </c:pt>
              <c:pt idx="182">
                <c:v>2.9000000000000001E-2</c:v>
              </c:pt>
              <c:pt idx="183">
                <c:v>2.1999999999999999E-2</c:v>
              </c:pt>
              <c:pt idx="184">
                <c:v>1.2E-2</c:v>
              </c:pt>
              <c:pt idx="185">
                <c:v>3.6999999999999998E-2</c:v>
              </c:pt>
              <c:pt idx="186">
                <c:v>4.5999999999999999E-2</c:v>
              </c:pt>
              <c:pt idx="187">
                <c:v>4.5999999999999999E-2</c:v>
              </c:pt>
              <c:pt idx="188">
                <c:v>4.1000000000000002E-2</c:v>
              </c:pt>
              <c:pt idx="189">
                <c:v>4.7E-2</c:v>
              </c:pt>
              <c:pt idx="190">
                <c:v>2.7E-2</c:v>
              </c:pt>
              <c:pt idx="191">
                <c:v>8.9999999999999993E-3</c:v>
              </c:pt>
              <c:pt idx="192">
                <c:v>4.9000000000000002E-2</c:v>
              </c:pt>
              <c:pt idx="193">
                <c:v>4.2000000000000003E-2</c:v>
              </c:pt>
              <c:pt idx="194">
                <c:v>2.4E-2</c:v>
              </c:pt>
              <c:pt idx="195">
                <c:v>8.9999999999999993E-3</c:v>
              </c:pt>
              <c:pt idx="196">
                <c:v>0</c:v>
              </c:pt>
              <c:pt idx="197">
                <c:v>0.03</c:v>
              </c:pt>
              <c:pt idx="198">
                <c:v>1.9E-2</c:v>
              </c:pt>
              <c:pt idx="199">
                <c:v>4.3999999999999997E-2</c:v>
              </c:pt>
              <c:pt idx="200">
                <c:v>6.3E-2</c:v>
              </c:pt>
              <c:pt idx="201">
                <c:v>3.1E-2</c:v>
              </c:pt>
              <c:pt idx="202">
                <c:v>4.4999999999999998E-2</c:v>
              </c:pt>
              <c:pt idx="203">
                <c:v>5.0999999999999997E-2</c:v>
              </c:pt>
              <c:pt idx="204">
                <c:v>4.2000000000000003E-2</c:v>
              </c:pt>
              <c:pt idx="205">
                <c:v>3.9E-2</c:v>
              </c:pt>
              <c:pt idx="206">
                <c:v>4.3999999999999997E-2</c:v>
              </c:pt>
              <c:pt idx="207">
                <c:v>3.1E-2</c:v>
              </c:pt>
              <c:pt idx="208">
                <c:v>2.5999999999999999E-2</c:v>
              </c:pt>
              <c:pt idx="209">
                <c:v>6.2E-2</c:v>
              </c:pt>
              <c:pt idx="210">
                <c:v>6.5000000000000002E-2</c:v>
              </c:pt>
              <c:pt idx="211">
                <c:v>5.0999999999999997E-2</c:v>
              </c:pt>
              <c:pt idx="212">
                <c:v>0.04</c:v>
              </c:pt>
              <c:pt idx="213">
                <c:v>7.0999999999999994E-2</c:v>
              </c:pt>
              <c:pt idx="214">
                <c:v>8.1000000000000003E-2</c:v>
              </c:pt>
              <c:pt idx="215">
                <c:v>7.0000000000000007E-2</c:v>
              </c:pt>
              <c:pt idx="216">
                <c:v>5.8000000000000003E-2</c:v>
              </c:pt>
              <c:pt idx="217">
                <c:v>0.13100000000000001</c:v>
              </c:pt>
              <c:pt idx="218">
                <c:v>6.4000000000000001E-2</c:v>
              </c:pt>
              <c:pt idx="219">
                <c:v>3.6999999999999998E-2</c:v>
              </c:pt>
              <c:pt idx="220">
                <c:v>9.9000000000000005E-2</c:v>
              </c:pt>
              <c:pt idx="221">
                <c:v>5.7000000000000002E-2</c:v>
              </c:pt>
              <c:pt idx="222">
                <c:v>2.5000000000000001E-2</c:v>
              </c:pt>
              <c:pt idx="223">
                <c:v>2.9000000000000001E-2</c:v>
              </c:pt>
              <c:pt idx="224">
                <c:v>2.7E-2</c:v>
              </c:pt>
              <c:pt idx="225">
                <c:v>3.1E-2</c:v>
              </c:pt>
              <c:pt idx="226">
                <c:v>4.7E-2</c:v>
              </c:pt>
              <c:pt idx="227">
                <c:v>3.7999999999999999E-2</c:v>
              </c:pt>
              <c:pt idx="228">
                <c:v>6.9000000000000006E-2</c:v>
              </c:pt>
              <c:pt idx="229">
                <c:v>2.1999999999999999E-2</c:v>
              </c:pt>
              <c:pt idx="230">
                <c:v>6.2E-2</c:v>
              </c:pt>
              <c:pt idx="231">
                <c:v>7.3999999999999996E-2</c:v>
              </c:pt>
              <c:pt idx="232">
                <c:v>3.2000000000000001E-2</c:v>
              </c:pt>
              <c:pt idx="233">
                <c:v>3.5999999999999997E-2</c:v>
              </c:pt>
              <c:pt idx="234">
                <c:v>5.7000000000000002E-2</c:v>
              </c:pt>
              <c:pt idx="235">
                <c:v>8.1000000000000003E-2</c:v>
              </c:pt>
              <c:pt idx="236">
                <c:v>7.1999999999999995E-2</c:v>
              </c:pt>
              <c:pt idx="237">
                <c:v>4.7E-2</c:v>
              </c:pt>
              <c:pt idx="238">
                <c:v>5.7000000000000002E-2</c:v>
              </c:pt>
              <c:pt idx="239">
                <c:v>0.04</c:v>
              </c:pt>
              <c:pt idx="240">
                <c:v>3.4000000000000002E-2</c:v>
              </c:pt>
              <c:pt idx="241">
                <c:v>6.3E-2</c:v>
              </c:pt>
              <c:pt idx="242">
                <c:v>3.4000000000000002E-2</c:v>
              </c:pt>
              <c:pt idx="243">
                <c:v>6.6000000000000003E-2</c:v>
              </c:pt>
              <c:pt idx="244">
                <c:v>4.7E-2</c:v>
              </c:pt>
              <c:pt idx="245">
                <c:v>4.8000000000000001E-2</c:v>
              </c:pt>
              <c:pt idx="246">
                <c:v>9.9000000000000005E-2</c:v>
              </c:pt>
              <c:pt idx="247">
                <c:v>6.8000000000000005E-2</c:v>
              </c:pt>
              <c:pt idx="248">
                <c:v>4.2999999999999997E-2</c:v>
              </c:pt>
              <c:pt idx="249">
                <c:v>5.8999999999999997E-2</c:v>
              </c:pt>
              <c:pt idx="250">
                <c:v>7.4999999999999997E-2</c:v>
              </c:pt>
              <c:pt idx="251">
                <c:v>6.6000000000000003E-2</c:v>
              </c:pt>
              <c:pt idx="252">
                <c:v>0.1</c:v>
              </c:pt>
              <c:pt idx="253">
                <c:v>9.1999999999999998E-2</c:v>
              </c:pt>
              <c:pt idx="254">
                <c:v>8.4000000000000005E-2</c:v>
              </c:pt>
              <c:pt idx="255">
                <c:v>8.7999999999999995E-2</c:v>
              </c:pt>
              <c:pt idx="256">
                <c:v>9.0999999999999998E-2</c:v>
              </c:pt>
              <c:pt idx="257">
                <c:v>6.3E-2</c:v>
              </c:pt>
              <c:pt idx="258">
                <c:v>8.6999999999999994E-2</c:v>
              </c:pt>
              <c:pt idx="259">
                <c:v>7.5999999999999998E-2</c:v>
              </c:pt>
              <c:pt idx="260">
                <c:v>4.5999999999999999E-2</c:v>
              </c:pt>
              <c:pt idx="261">
                <c:v>6.3E-2</c:v>
              </c:pt>
              <c:pt idx="262">
                <c:v>6.6000000000000003E-2</c:v>
              </c:pt>
              <c:pt idx="263">
                <c:v>7.6999999999999999E-2</c:v>
              </c:pt>
              <c:pt idx="264">
                <c:v>7.3999999999999996E-2</c:v>
              </c:pt>
              <c:pt idx="265">
                <c:v>0.12</c:v>
              </c:pt>
              <c:pt idx="266">
                <c:v>7.0000000000000007E-2</c:v>
              </c:pt>
              <c:pt idx="267">
                <c:v>0.10100000000000001</c:v>
              </c:pt>
              <c:pt idx="268">
                <c:v>8.5000000000000006E-2</c:v>
              </c:pt>
              <c:pt idx="269">
                <c:v>5.7000000000000002E-2</c:v>
              </c:pt>
              <c:pt idx="270">
                <c:v>5.5E-2</c:v>
              </c:pt>
              <c:pt idx="271">
                <c:v>8.4000000000000005E-2</c:v>
              </c:pt>
              <c:pt idx="272">
                <c:v>0.06</c:v>
              </c:pt>
              <c:pt idx="273">
                <c:v>0.11600000000000001</c:v>
              </c:pt>
              <c:pt idx="274">
                <c:v>0.14199999999999999</c:v>
              </c:pt>
              <c:pt idx="275">
                <c:v>5.8999999999999997E-2</c:v>
              </c:pt>
              <c:pt idx="276">
                <c:v>9.0999999999999998E-2</c:v>
              </c:pt>
              <c:pt idx="277">
                <c:v>5.8000000000000003E-2</c:v>
              </c:pt>
              <c:pt idx="278">
                <c:v>0.1</c:v>
              </c:pt>
              <c:pt idx="279">
                <c:v>7.8E-2</c:v>
              </c:pt>
              <c:pt idx="280">
                <c:v>0.105</c:v>
              </c:pt>
              <c:pt idx="281">
                <c:v>0.111</c:v>
              </c:pt>
              <c:pt idx="282">
                <c:v>8.2000000000000003E-2</c:v>
              </c:pt>
              <c:pt idx="283">
                <c:v>8.5000000000000006E-2</c:v>
              </c:pt>
              <c:pt idx="284">
                <c:v>0.106</c:v>
              </c:pt>
              <c:pt idx="285">
                <c:v>6.5000000000000002E-2</c:v>
              </c:pt>
              <c:pt idx="286">
                <c:v>8.5000000000000006E-2</c:v>
              </c:pt>
              <c:pt idx="287">
                <c:v>0.115</c:v>
              </c:pt>
              <c:pt idx="288">
                <c:v>0.104</c:v>
              </c:pt>
              <c:pt idx="289">
                <c:v>8.3000000000000004E-2</c:v>
              </c:pt>
              <c:pt idx="290">
                <c:v>0.08</c:v>
              </c:pt>
              <c:pt idx="291">
                <c:v>7.8E-2</c:v>
              </c:pt>
              <c:pt idx="292">
                <c:v>9.7000000000000003E-2</c:v>
              </c:pt>
              <c:pt idx="293">
                <c:v>7.6999999999999999E-2</c:v>
              </c:pt>
              <c:pt idx="294">
                <c:v>5.8999999999999997E-2</c:v>
              </c:pt>
              <c:pt idx="295">
                <c:v>0.127</c:v>
              </c:pt>
              <c:pt idx="296">
                <c:v>0.04</c:v>
              </c:pt>
              <c:pt idx="297">
                <c:v>0.109</c:v>
              </c:pt>
              <c:pt idx="298">
                <c:v>9.0999999999999998E-2</c:v>
              </c:pt>
              <c:pt idx="299">
                <c:v>7.5999999999999998E-2</c:v>
              </c:pt>
              <c:pt idx="300">
                <c:v>0.123</c:v>
              </c:pt>
              <c:pt idx="301">
                <c:v>2.9000000000000001E-2</c:v>
              </c:pt>
              <c:pt idx="302">
                <c:v>7.6999999999999999E-2</c:v>
              </c:pt>
              <c:pt idx="303">
                <c:v>5.0999999999999997E-2</c:v>
              </c:pt>
              <c:pt idx="304">
                <c:v>4.5999999999999999E-2</c:v>
              </c:pt>
              <c:pt idx="305">
                <c:v>6.6000000000000003E-2</c:v>
              </c:pt>
              <c:pt idx="306">
                <c:v>2.3E-2</c:v>
              </c:pt>
              <c:pt idx="307">
                <c:v>4.2999999999999997E-2</c:v>
              </c:pt>
              <c:pt idx="308">
                <c:v>1.4E-2</c:v>
              </c:pt>
              <c:pt idx="309">
                <c:v>2.4E-2</c:v>
              </c:pt>
              <c:pt idx="310">
                <c:v>3.6999999999999998E-2</c:v>
              </c:pt>
              <c:pt idx="311">
                <c:v>6.0000000000000001E-3</c:v>
              </c:pt>
              <c:pt idx="312">
                <c:v>5.5E-2</c:v>
              </c:pt>
              <c:pt idx="313">
                <c:v>1.4999999999999999E-2</c:v>
              </c:pt>
              <c:pt idx="314">
                <c:v>3.0000000000000001E-3</c:v>
              </c:pt>
              <c:pt idx="315">
                <c:v>6.0000000000000001E-3</c:v>
              </c:pt>
              <c:pt idx="316">
                <c:v>3.0000000000000001E-3</c:v>
              </c:pt>
              <c:pt idx="317">
                <c:v>4.0000000000000001E-3</c:v>
              </c:pt>
              <c:pt idx="318">
                <c:v>7.0000000000000001E-3</c:v>
              </c:pt>
              <c:pt idx="319">
                <c:v>7.0000000000000001E-3</c:v>
              </c:pt>
              <c:pt idx="320">
                <c:v>4.0000000000000001E-3</c:v>
              </c:pt>
              <c:pt idx="321">
                <c:v>4.0000000000000001E-3</c:v>
              </c:pt>
              <c:pt idx="322">
                <c:v>0</c:v>
              </c:pt>
              <c:pt idx="323">
                <c:v>5.0000000000000001E-3</c:v>
              </c:pt>
              <c:pt idx="324">
                <c:v>0</c:v>
              </c:pt>
              <c:pt idx="325">
                <c:v>8.9999999999999993E-3</c:v>
              </c:pt>
              <c:pt idx="326">
                <c:v>3.0000000000000001E-3</c:v>
              </c:pt>
              <c:pt idx="327">
                <c:v>0</c:v>
              </c:pt>
              <c:pt idx="328">
                <c:v>4.0000000000000001E-3</c:v>
              </c:pt>
              <c:pt idx="329">
                <c:v>2.1000000000000001E-2</c:v>
              </c:pt>
              <c:pt idx="330">
                <c:v>0</c:v>
              </c:pt>
              <c:pt idx="331">
                <c:v>2.1999999999999999E-2</c:v>
              </c:pt>
              <c:pt idx="332">
                <c:v>2E-3</c:v>
              </c:pt>
              <c:pt idx="333">
                <c:v>0.02</c:v>
              </c:pt>
              <c:pt idx="334">
                <c:v>1.2E-2</c:v>
              </c:pt>
              <c:pt idx="335">
                <c:v>1E-3</c:v>
              </c:pt>
              <c:pt idx="336">
                <c:v>8.9999999999999993E-3</c:v>
              </c:pt>
              <c:pt idx="337">
                <c:v>0</c:v>
              </c:pt>
              <c:pt idx="338">
                <c:v>2E-3</c:v>
              </c:pt>
              <c:pt idx="339">
                <c:v>5.0000000000000001E-3</c:v>
              </c:pt>
              <c:pt idx="340">
                <c:v>2.5000000000000001E-2</c:v>
              </c:pt>
              <c:pt idx="341">
                <c:v>1.4999999999999999E-2</c:v>
              </c:pt>
              <c:pt idx="342">
                <c:v>2.4E-2</c:v>
              </c:pt>
              <c:pt idx="343">
                <c:v>6.0000000000000001E-3</c:v>
              </c:pt>
              <c:pt idx="344">
                <c:v>2.8000000000000001E-2</c:v>
              </c:pt>
              <c:pt idx="345">
                <c:v>2.3E-2</c:v>
              </c:pt>
              <c:pt idx="346">
                <c:v>6.0000000000000001E-3</c:v>
              </c:pt>
              <c:pt idx="347">
                <c:v>2.9000000000000001E-2</c:v>
              </c:pt>
              <c:pt idx="348">
                <c:v>5.3999999999999999E-2</c:v>
              </c:pt>
              <c:pt idx="349">
                <c:v>6.2E-2</c:v>
              </c:pt>
              <c:pt idx="350">
                <c:v>0.03</c:v>
              </c:pt>
              <c:pt idx="351">
                <c:v>2.7E-2</c:v>
              </c:pt>
              <c:pt idx="352">
                <c:v>3.1E-2</c:v>
              </c:pt>
              <c:pt idx="353">
                <c:v>3.1E-2</c:v>
              </c:pt>
              <c:pt idx="354">
                <c:v>1.9E-2</c:v>
              </c:pt>
              <c:pt idx="355">
                <c:v>5.0999999999999997E-2</c:v>
              </c:pt>
              <c:pt idx="356">
                <c:v>0.01</c:v>
              </c:pt>
              <c:pt idx="357">
                <c:v>3.5999999999999997E-2</c:v>
              </c:pt>
              <c:pt idx="358">
                <c:v>5.2999999999999999E-2</c:v>
              </c:pt>
              <c:pt idx="359">
                <c:v>5.3999999999999999E-2</c:v>
              </c:pt>
              <c:pt idx="360">
                <c:v>0.04</c:v>
              </c:pt>
              <c:pt idx="361">
                <c:v>7.4999999999999997E-2</c:v>
              </c:pt>
              <c:pt idx="362">
                <c:v>6.8000000000000005E-2</c:v>
              </c:pt>
              <c:pt idx="363">
                <c:v>0.12</c:v>
              </c:pt>
              <c:pt idx="364">
                <c:v>9.5000000000000001E-2</c:v>
              </c:pt>
              <c:pt idx="365">
                <c:v>0.11899999999999999</c:v>
              </c:pt>
              <c:pt idx="366">
                <c:v>0.11</c:v>
              </c:pt>
              <c:pt idx="367">
                <c:v>0.14399999999999999</c:v>
              </c:pt>
              <c:pt idx="368">
                <c:v>0.11600000000000001</c:v>
              </c:pt>
              <c:pt idx="369">
                <c:v>0.13900000000000001</c:v>
              </c:pt>
              <c:pt idx="370">
                <c:v>0.16800000000000001</c:v>
              </c:pt>
              <c:pt idx="371">
                <c:v>0.20799999999999999</c:v>
              </c:pt>
              <c:pt idx="372">
                <c:v>0.251</c:v>
              </c:pt>
              <c:pt idx="373">
                <c:v>0.24399999999999999</c:v>
              </c:pt>
              <c:pt idx="374">
                <c:v>0.27600000000000002</c:v>
              </c:pt>
              <c:pt idx="375">
                <c:v>0.28999999999999998</c:v>
              </c:pt>
              <c:pt idx="376">
                <c:v>0.27800000000000002</c:v>
              </c:pt>
              <c:pt idx="377">
                <c:v>0.39900000000000002</c:v>
              </c:pt>
              <c:pt idx="378">
                <c:v>0.48399999999999999</c:v>
              </c:pt>
              <c:pt idx="379">
                <c:v>0.53700000000000003</c:v>
              </c:pt>
              <c:pt idx="380">
                <c:v>0.56000000000000005</c:v>
              </c:pt>
              <c:pt idx="381">
                <c:v>0.56499999999999995</c:v>
              </c:pt>
              <c:pt idx="382">
                <c:v>0.57399999999999995</c:v>
              </c:pt>
              <c:pt idx="383">
                <c:v>0.627</c:v>
              </c:pt>
              <c:pt idx="384">
                <c:v>0.70699999999999996</c:v>
              </c:pt>
              <c:pt idx="385">
                <c:v>0.73599999999999999</c:v>
              </c:pt>
              <c:pt idx="386">
                <c:v>0.747</c:v>
              </c:pt>
              <c:pt idx="387">
                <c:v>0.69</c:v>
              </c:pt>
              <c:pt idx="388">
                <c:v>0.78900000000000003</c:v>
              </c:pt>
              <c:pt idx="389">
                <c:v>0.81599999999999995</c:v>
              </c:pt>
              <c:pt idx="390">
                <c:v>0.89900000000000002</c:v>
              </c:pt>
              <c:pt idx="391">
                <c:v>1.0449999999999999</c:v>
              </c:pt>
              <c:pt idx="392">
                <c:v>1.1910000000000001</c:v>
              </c:pt>
              <c:pt idx="393">
                <c:v>1.335</c:v>
              </c:pt>
              <c:pt idx="394">
                <c:v>1.266</c:v>
              </c:pt>
              <c:pt idx="395">
                <c:v>1.401</c:v>
              </c:pt>
              <c:pt idx="396">
                <c:v>1.518</c:v>
              </c:pt>
              <c:pt idx="397">
                <c:v>1.603</c:v>
              </c:pt>
              <c:pt idx="398">
                <c:v>1.6</c:v>
              </c:pt>
              <c:pt idx="399">
                <c:v>1.5129999999999999</c:v>
              </c:pt>
              <c:pt idx="400">
                <c:v>1.542</c:v>
              </c:pt>
              <c:pt idx="401">
                <c:v>1.4379999999999999</c:v>
              </c:pt>
              <c:pt idx="402">
                <c:v>1.4730000000000001</c:v>
              </c:pt>
              <c:pt idx="403">
                <c:v>1.5629999999999999</c:v>
              </c:pt>
              <c:pt idx="404">
                <c:v>1.6279999999999999</c:v>
              </c:pt>
              <c:pt idx="405">
                <c:v>1.4590000000000001</c:v>
              </c:pt>
              <c:pt idx="406">
                <c:v>1.383</c:v>
              </c:pt>
              <c:pt idx="407">
                <c:v>1.3160000000000001</c:v>
              </c:pt>
              <c:pt idx="408">
                <c:v>1.3220000000000001</c:v>
              </c:pt>
              <c:pt idx="409">
                <c:v>1.33</c:v>
              </c:pt>
              <c:pt idx="410">
                <c:v>1.3129999999999999</c:v>
              </c:pt>
              <c:pt idx="411">
                <c:v>1.3480000000000001</c:v>
              </c:pt>
              <c:pt idx="412">
                <c:v>1.4990000000000001</c:v>
              </c:pt>
              <c:pt idx="413">
                <c:v>1.575</c:v>
              </c:pt>
              <c:pt idx="414">
                <c:v>1.6739999999999999</c:v>
              </c:pt>
              <c:pt idx="415">
                <c:v>1.653</c:v>
              </c:pt>
              <c:pt idx="416">
                <c:v>1.667</c:v>
              </c:pt>
              <c:pt idx="417">
                <c:v>1.5640000000000001</c:v>
              </c:pt>
              <c:pt idx="418">
                <c:v>1.581</c:v>
              </c:pt>
              <c:pt idx="419">
                <c:v>1.669</c:v>
              </c:pt>
              <c:pt idx="420">
                <c:v>1.7509999999999999</c:v>
              </c:pt>
              <c:pt idx="421">
                <c:v>1.8049999999999999</c:v>
              </c:pt>
              <c:pt idx="422">
                <c:v>1.8959999999999999</c:v>
              </c:pt>
              <c:pt idx="423">
                <c:v>1.6639999999999999</c:v>
              </c:pt>
              <c:pt idx="424">
                <c:v>1.573</c:v>
              </c:pt>
              <c:pt idx="425">
                <c:v>1.651</c:v>
              </c:pt>
              <c:pt idx="426">
                <c:v>1.784</c:v>
              </c:pt>
              <c:pt idx="427">
                <c:v>1.952</c:v>
              </c:pt>
              <c:pt idx="428">
                <c:v>2.0699999999999998</c:v>
              </c:pt>
              <c:pt idx="429">
                <c:v>2.2050000000000001</c:v>
              </c:pt>
              <c:pt idx="430">
                <c:v>1.9870000000000001</c:v>
              </c:pt>
              <c:pt idx="431">
                <c:v>1.9419999999999999</c:v>
              </c:pt>
              <c:pt idx="432">
                <c:v>1.89</c:v>
              </c:pt>
              <c:pt idx="433">
                <c:v>1.8660000000000001</c:v>
              </c:pt>
              <c:pt idx="434">
                <c:v>1.927</c:v>
              </c:pt>
              <c:pt idx="435">
                <c:v>2.1059999999999999</c:v>
              </c:pt>
              <c:pt idx="436">
                <c:v>2.1760000000000002</c:v>
              </c:pt>
              <c:pt idx="437">
                <c:v>2.0649999999999999</c:v>
              </c:pt>
              <c:pt idx="438">
                <c:v>1.9159999999999999</c:v>
              </c:pt>
              <c:pt idx="439">
                <c:v>1.9590000000000001</c:v>
              </c:pt>
              <c:pt idx="440">
                <c:v>1.9530000000000001</c:v>
              </c:pt>
              <c:pt idx="441">
                <c:v>1.9870000000000001</c:v>
              </c:pt>
              <c:pt idx="442">
                <c:v>2.1160000000000001</c:v>
              </c:pt>
              <c:pt idx="443">
                <c:v>2.3610000000000002</c:v>
              </c:pt>
              <c:pt idx="444">
                <c:v>2.6190000000000002</c:v>
              </c:pt>
              <c:pt idx="445">
                <c:v>2.5590000000000002</c:v>
              </c:pt>
              <c:pt idx="446">
                <c:v>2.4129999999999998</c:v>
              </c:pt>
              <c:pt idx="447">
                <c:v>2.6920000000000002</c:v>
              </c:pt>
              <c:pt idx="448">
                <c:v>2.6440000000000001</c:v>
              </c:pt>
              <c:pt idx="449">
                <c:v>2.577</c:v>
              </c:pt>
              <c:pt idx="450">
                <c:v>2.7309999999999999</c:v>
              </c:pt>
              <c:pt idx="451">
                <c:v>2.548</c:v>
              </c:pt>
              <c:pt idx="452">
                <c:v>2.3719999999999999</c:v>
              </c:pt>
              <c:pt idx="453">
                <c:v>2.2810000000000001</c:v>
              </c:pt>
              <c:pt idx="454">
                <c:v>2.2069999999999999</c:v>
              </c:pt>
              <c:pt idx="455">
                <c:v>2.0209999999999999</c:v>
              </c:pt>
              <c:pt idx="456">
                <c:v>1.964</c:v>
              </c:pt>
              <c:pt idx="457">
                <c:v>1.9590000000000001</c:v>
              </c:pt>
              <c:pt idx="458">
                <c:v>1.7849999999999999</c:v>
              </c:pt>
              <c:pt idx="459">
                <c:v>1.6419999999999999</c:v>
              </c:pt>
              <c:pt idx="460">
                <c:v>1.65</c:v>
              </c:pt>
              <c:pt idx="461">
                <c:v>1.5109999999999999</c:v>
              </c:pt>
              <c:pt idx="462">
                <c:v>1.4119999999999999</c:v>
              </c:pt>
              <c:pt idx="463">
                <c:v>1.216</c:v>
              </c:pt>
              <c:pt idx="464">
                <c:v>1.375</c:v>
              </c:pt>
              <c:pt idx="465">
                <c:v>1.2829999999999999</c:v>
              </c:pt>
              <c:pt idx="466">
                <c:v>1.3340000000000001</c:v>
              </c:pt>
              <c:pt idx="467">
                <c:v>1.3520000000000001</c:v>
              </c:pt>
              <c:pt idx="468">
                <c:v>1.2809999999999999</c:v>
              </c:pt>
              <c:pt idx="469">
                <c:v>1.238</c:v>
              </c:pt>
              <c:pt idx="470">
                <c:v>1.212</c:v>
              </c:pt>
              <c:pt idx="471">
                <c:v>1.357</c:v>
              </c:pt>
              <c:pt idx="472">
                <c:v>1.399</c:v>
              </c:pt>
              <c:pt idx="473">
                <c:v>1.494</c:v>
              </c:pt>
              <c:pt idx="474">
                <c:v>1.526</c:v>
              </c:pt>
              <c:pt idx="475">
                <c:v>1.55</c:v>
              </c:pt>
              <c:pt idx="476">
                <c:v>1.4810000000000001</c:v>
              </c:pt>
              <c:pt idx="477">
                <c:v>1.7330000000000001</c:v>
              </c:pt>
              <c:pt idx="478">
                <c:v>1.8360000000000001</c:v>
              </c:pt>
              <c:pt idx="479">
                <c:v>1.728</c:v>
              </c:pt>
              <c:pt idx="480">
                <c:v>1.7649999999999999</c:v>
              </c:pt>
              <c:pt idx="481">
                <c:v>1.9450000000000001</c:v>
              </c:pt>
              <c:pt idx="482">
                <c:v>2.0950000000000002</c:v>
              </c:pt>
              <c:pt idx="483">
                <c:v>2.13</c:v>
              </c:pt>
              <c:pt idx="484">
                <c:v>2.262</c:v>
              </c:pt>
              <c:pt idx="485">
                <c:v>2.2829999999999999</c:v>
              </c:pt>
              <c:pt idx="486">
                <c:v>2.5830000000000002</c:v>
              </c:pt>
              <c:pt idx="487">
                <c:v>3.11</c:v>
              </c:pt>
              <c:pt idx="488">
                <c:v>3.601</c:v>
              </c:pt>
              <c:pt idx="489">
                <c:v>3.5529999999999999</c:v>
              </c:pt>
              <c:pt idx="490">
                <c:v>3.7109999999999999</c:v>
              </c:pt>
              <c:pt idx="491">
                <c:v>4.0019999999999998</c:v>
              </c:pt>
              <c:pt idx="492">
                <c:v>4.1920000000000002</c:v>
              </c:pt>
              <c:pt idx="493">
                <c:v>4.5460000000000003</c:v>
              </c:pt>
              <c:pt idx="494">
                <c:v>4.8470000000000004</c:v>
              </c:pt>
              <c:pt idx="495">
                <c:v>5.2169999999999996</c:v>
              </c:pt>
              <c:pt idx="496">
                <c:v>5.93</c:v>
              </c:pt>
              <c:pt idx="497">
                <c:v>6.6840000000000002</c:v>
              </c:pt>
              <c:pt idx="498">
                <c:v>7.0229999999999997</c:v>
              </c:pt>
              <c:pt idx="499">
                <c:v>7.68</c:v>
              </c:pt>
              <c:pt idx="500">
                <c:v>7.8070000000000004</c:v>
              </c:pt>
              <c:pt idx="501">
                <c:v>8.35</c:v>
              </c:pt>
              <c:pt idx="502">
                <c:v>8.6999999999999993</c:v>
              </c:pt>
              <c:pt idx="503">
                <c:v>9.36</c:v>
              </c:pt>
              <c:pt idx="504">
                <c:v>9.9700000000000006</c:v>
              </c:pt>
              <c:pt idx="505">
                <c:v>10.39</c:v>
              </c:pt>
              <c:pt idx="506">
                <c:v>10.95</c:v>
              </c:pt>
              <c:pt idx="507">
                <c:v>11.47</c:v>
              </c:pt>
              <c:pt idx="508">
                <c:v>10.96</c:v>
              </c:pt>
              <c:pt idx="509">
                <c:v>10.210000000000001</c:v>
              </c:pt>
              <c:pt idx="510">
                <c:v>10.16</c:v>
              </c:pt>
              <c:pt idx="511">
                <c:v>10.46</c:v>
              </c:pt>
              <c:pt idx="512">
                <c:v>10.34</c:v>
              </c:pt>
              <c:pt idx="513">
                <c:v>10.58</c:v>
              </c:pt>
              <c:pt idx="514">
                <c:v>11.02</c:v>
              </c:pt>
              <c:pt idx="515">
                <c:v>12.64</c:v>
              </c:pt>
              <c:pt idx="516">
                <c:v>13.1</c:v>
              </c:pt>
              <c:pt idx="517">
                <c:v>12.59</c:v>
              </c:pt>
              <c:pt idx="518">
                <c:v>13.84</c:v>
              </c:pt>
              <c:pt idx="519">
                <c:v>14.08</c:v>
              </c:pt>
              <c:pt idx="520">
                <c:v>13.58</c:v>
              </c:pt>
              <c:pt idx="521">
                <c:v>13.98</c:v>
              </c:pt>
              <c:pt idx="522">
                <c:v>14.04</c:v>
              </c:pt>
              <c:pt idx="523">
                <c:v>13.96</c:v>
              </c:pt>
              <c:pt idx="524">
                <c:v>13.02</c:v>
              </c:pt>
              <c:pt idx="525">
                <c:v>12.65</c:v>
              </c:pt>
              <c:pt idx="526">
                <c:v>12.88</c:v>
              </c:pt>
              <c:pt idx="527">
                <c:v>13.01</c:v>
              </c:pt>
              <c:pt idx="528">
                <c:v>12.43</c:v>
              </c:pt>
              <c:pt idx="529">
                <c:v>11.96</c:v>
              </c:pt>
              <c:pt idx="530">
                <c:v>11.62</c:v>
              </c:pt>
              <c:pt idx="531">
                <c:v>10.87</c:v>
              </c:pt>
              <c:pt idx="532">
                <c:v>9.94</c:v>
              </c:pt>
              <c:pt idx="533">
                <c:v>9.43</c:v>
              </c:pt>
              <c:pt idx="534">
                <c:v>9.4700000000000006</c:v>
              </c:pt>
              <c:pt idx="535">
                <c:v>8.75</c:v>
              </c:pt>
              <c:pt idx="536">
                <c:v>8.83</c:v>
              </c:pt>
              <c:pt idx="537">
                <c:v>8.43</c:v>
              </c:pt>
              <c:pt idx="538">
                <c:v>8.64</c:v>
              </c:pt>
              <c:pt idx="539">
                <c:v>8.7100000000000009</c:v>
              </c:pt>
              <c:pt idx="540">
                <c:v>9.31</c:v>
              </c:pt>
              <c:pt idx="541">
                <c:v>9.58</c:v>
              </c:pt>
              <c:pt idx="542">
                <c:v>11.05</c:v>
              </c:pt>
              <c:pt idx="543">
                <c:v>12.27</c:v>
              </c:pt>
              <c:pt idx="544">
                <c:v>11.92</c:v>
              </c:pt>
              <c:pt idx="545">
                <c:v>11.9</c:v>
              </c:pt>
              <c:pt idx="546">
                <c:v>10.54</c:v>
              </c:pt>
              <c:pt idx="547">
                <c:v>9.3800000000000008</c:v>
              </c:pt>
              <c:pt idx="548">
                <c:v>8.73</c:v>
              </c:pt>
              <c:pt idx="549">
                <c:v>7.7080000000000002</c:v>
              </c:pt>
              <c:pt idx="550">
                <c:v>6.63</c:v>
              </c:pt>
              <c:pt idx="551">
                <c:v>6.2789999999999999</c:v>
              </c:pt>
              <c:pt idx="552">
                <c:v>6.4950000000000001</c:v>
              </c:pt>
              <c:pt idx="553">
                <c:v>6.3890000000000002</c:v>
              </c:pt>
              <c:pt idx="554">
                <c:v>5.6639999999999997</c:v>
              </c:pt>
              <c:pt idx="555">
                <c:v>4.7729999999999997</c:v>
              </c:pt>
              <c:pt idx="556">
                <c:v>4.516</c:v>
              </c:pt>
              <c:pt idx="557">
                <c:v>4.4189999999999996</c:v>
              </c:pt>
              <c:pt idx="558">
                <c:v>4.2679999999999998</c:v>
              </c:pt>
              <c:pt idx="559">
                <c:v>3.8290000000000002</c:v>
              </c:pt>
              <c:pt idx="560">
                <c:v>3.3740000000000001</c:v>
              </c:pt>
              <c:pt idx="561">
                <c:v>3.0569999999999999</c:v>
              </c:pt>
              <c:pt idx="562">
                <c:v>3.2959999999999998</c:v>
              </c:pt>
              <c:pt idx="563">
                <c:v>3.6059999999999999</c:v>
              </c:pt>
              <c:pt idx="564">
                <c:v>3.8220000000000001</c:v>
              </c:pt>
              <c:pt idx="565">
                <c:v>3.9980000000000002</c:v>
              </c:pt>
              <c:pt idx="566">
                <c:v>4.0990000000000002</c:v>
              </c:pt>
              <c:pt idx="567">
                <c:v>4.274</c:v>
              </c:pt>
              <c:pt idx="568">
                <c:v>4.5830000000000002</c:v>
              </c:pt>
              <c:pt idx="569">
                <c:v>4.8109999999999999</c:v>
              </c:pt>
              <c:pt idx="570">
                <c:v>4.9489999999999998</c:v>
              </c:pt>
              <c:pt idx="571">
                <c:v>4.8760000000000003</c:v>
              </c:pt>
              <c:pt idx="572">
                <c:v>4.6280000000000001</c:v>
              </c:pt>
              <c:pt idx="573">
                <c:v>4.5789999999999997</c:v>
              </c:pt>
              <c:pt idx="574">
                <c:v>4.6470000000000002</c:v>
              </c:pt>
              <c:pt idx="575">
                <c:v>5.0759999999999996</c:v>
              </c:pt>
              <c:pt idx="576">
                <c:v>5.4470000000000001</c:v>
              </c:pt>
              <c:pt idx="577">
                <c:v>5.9809999999999999</c:v>
              </c:pt>
              <c:pt idx="578">
                <c:v>6.5350000000000001</c:v>
              </c:pt>
              <c:pt idx="579">
                <c:v>7.1740000000000004</c:v>
              </c:pt>
              <c:pt idx="580">
                <c:v>7.508</c:v>
              </c:pt>
              <c:pt idx="581">
                <c:v>7.726</c:v>
              </c:pt>
              <c:pt idx="582">
                <c:v>8.49</c:v>
              </c:pt>
              <c:pt idx="583">
                <c:v>9.39</c:v>
              </c:pt>
              <c:pt idx="584">
                <c:v>9.44</c:v>
              </c:pt>
              <c:pt idx="585">
                <c:v>9.69</c:v>
              </c:pt>
              <c:pt idx="586">
                <c:v>10.71</c:v>
              </c:pt>
              <c:pt idx="587">
                <c:v>11.4</c:v>
              </c:pt>
              <c:pt idx="588">
                <c:v>11.87</c:v>
              </c:pt>
              <c:pt idx="589">
                <c:v>12.29</c:v>
              </c:pt>
              <c:pt idx="590">
                <c:v>12.64</c:v>
              </c:pt>
              <c:pt idx="591">
                <c:v>13.17</c:v>
              </c:pt>
              <c:pt idx="592">
                <c:v>13.41</c:v>
              </c:pt>
              <c:pt idx="593">
                <c:v>13.7</c:v>
              </c:pt>
              <c:pt idx="594">
                <c:v>14.09</c:v>
              </c:pt>
              <c:pt idx="595">
                <c:v>14.28</c:v>
              </c:pt>
              <c:pt idx="596">
                <c:v>14.43</c:v>
              </c:pt>
              <c:pt idx="597">
                <c:v>14.51</c:v>
              </c:pt>
              <c:pt idx="598">
                <c:v>14.2</c:v>
              </c:pt>
              <c:pt idx="599">
                <c:v>14.15</c:v>
              </c:pt>
              <c:pt idx="600">
                <c:v>13.88</c:v>
              </c:pt>
              <c:pt idx="601">
                <c:v>14.23</c:v>
              </c:pt>
              <c:pt idx="602">
                <c:v>14.39</c:v>
              </c:pt>
              <c:pt idx="603">
                <c:v>14.63</c:v>
              </c:pt>
              <c:pt idx="604">
                <c:v>14.28</c:v>
              </c:pt>
              <c:pt idx="605">
                <c:v>13.94</c:v>
              </c:pt>
              <c:pt idx="606">
                <c:v>14.12</c:v>
              </c:pt>
              <c:pt idx="607">
                <c:v>14.45</c:v>
              </c:pt>
              <c:pt idx="608">
                <c:v>14.94</c:v>
              </c:pt>
              <c:pt idx="609">
                <c:v>14.84</c:v>
              </c:pt>
              <c:pt idx="610">
                <c:v>15.02</c:v>
              </c:pt>
              <c:pt idx="611">
                <c:v>15.13</c:v>
              </c:pt>
              <c:pt idx="612">
                <c:v>15.19</c:v>
              </c:pt>
              <c:pt idx="613">
                <c:v>15.59</c:v>
              </c:pt>
              <c:pt idx="614">
                <c:v>15.73</c:v>
              </c:pt>
              <c:pt idx="615">
                <c:v>16.05</c:v>
              </c:pt>
              <c:pt idx="616">
                <c:v>17.02</c:v>
              </c:pt>
              <c:pt idx="617">
                <c:v>17.96</c:v>
              </c:pt>
              <c:pt idx="618">
                <c:v>18.34</c:v>
              </c:pt>
              <c:pt idx="619">
                <c:v>18.559999999999999</c:v>
              </c:pt>
              <c:pt idx="620">
                <c:v>18.739999999999998</c:v>
              </c:pt>
              <c:pt idx="621">
                <c:v>18.75</c:v>
              </c:pt>
              <c:pt idx="622">
                <c:v>18.829999999999998</c:v>
              </c:pt>
              <c:pt idx="623">
                <c:v>19.309999999999999</c:v>
              </c:pt>
              <c:pt idx="624">
                <c:v>19.5</c:v>
              </c:pt>
              <c:pt idx="625">
                <c:v>19.399999999999999</c:v>
              </c:pt>
              <c:pt idx="626">
                <c:v>19.02</c:v>
              </c:pt>
              <c:pt idx="627">
                <c:v>18.63</c:v>
              </c:pt>
              <c:pt idx="628">
                <c:v>18.07</c:v>
              </c:pt>
              <c:pt idx="629">
                <c:v>17.8</c:v>
              </c:pt>
              <c:pt idx="630">
                <c:v>17.940000000000001</c:v>
              </c:pt>
              <c:pt idx="631">
                <c:v>18.47</c:v>
              </c:pt>
              <c:pt idx="632">
                <c:v>18.84</c:v>
              </c:pt>
              <c:pt idx="633">
                <c:v>19.329999999999998</c:v>
              </c:pt>
              <c:pt idx="634">
                <c:v>19.510000000000002</c:v>
              </c:pt>
              <c:pt idx="635">
                <c:v>19.22</c:v>
              </c:pt>
              <c:pt idx="636">
                <c:v>18.88</c:v>
              </c:pt>
              <c:pt idx="637">
                <c:v>18.29</c:v>
              </c:pt>
              <c:pt idx="638">
                <c:v>18.600000000000001</c:v>
              </c:pt>
              <c:pt idx="639">
                <c:v>19.010000000000002</c:v>
              </c:pt>
              <c:pt idx="640">
                <c:v>19.600000000000001</c:v>
              </c:pt>
              <c:pt idx="641">
                <c:v>20.16</c:v>
              </c:pt>
              <c:pt idx="642">
                <c:v>20.41</c:v>
              </c:pt>
              <c:pt idx="643">
                <c:v>20.440000000000001</c:v>
              </c:pt>
              <c:pt idx="644">
                <c:v>20.69</c:v>
              </c:pt>
              <c:pt idx="645">
                <c:v>20.75</c:v>
              </c:pt>
              <c:pt idx="646">
                <c:v>21.3</c:v>
              </c:pt>
              <c:pt idx="647">
                <c:v>21.69</c:v>
              </c:pt>
              <c:pt idx="648">
                <c:v>22.17</c:v>
              </c:pt>
              <c:pt idx="649">
                <c:v>22.6</c:v>
              </c:pt>
              <c:pt idx="650">
                <c:v>22.99</c:v>
              </c:pt>
              <c:pt idx="651">
                <c:v>23.04</c:v>
              </c:pt>
              <c:pt idx="652">
                <c:v>23.64</c:v>
              </c:pt>
              <c:pt idx="653">
                <c:v>24.97</c:v>
              </c:pt>
              <c:pt idx="654">
                <c:v>26.37</c:v>
              </c:pt>
              <c:pt idx="655">
                <c:v>27.71</c:v>
              </c:pt>
              <c:pt idx="656">
                <c:v>29.01</c:v>
              </c:pt>
              <c:pt idx="657">
                <c:v>30.31</c:v>
              </c:pt>
              <c:pt idx="658">
                <c:v>31.47</c:v>
              </c:pt>
              <c:pt idx="659">
                <c:v>31.96</c:v>
              </c:pt>
              <c:pt idx="660">
                <c:v>32.08</c:v>
              </c:pt>
              <c:pt idx="661">
                <c:v>32.65</c:v>
              </c:pt>
              <c:pt idx="662">
                <c:v>33.94</c:v>
              </c:pt>
              <c:pt idx="663">
                <c:v>33.61</c:v>
              </c:pt>
              <c:pt idx="664">
                <c:v>34.049999999999997</c:v>
              </c:pt>
              <c:pt idx="665">
                <c:v>35.340000000000003</c:v>
              </c:pt>
              <c:pt idx="666">
                <c:v>35.72</c:v>
              </c:pt>
              <c:pt idx="667">
                <c:v>34.49</c:v>
              </c:pt>
              <c:pt idx="668">
                <c:v>35.03</c:v>
              </c:pt>
              <c:pt idx="669">
                <c:v>35.01</c:v>
              </c:pt>
              <c:pt idx="670">
                <c:v>32.99</c:v>
              </c:pt>
              <c:pt idx="671">
                <c:v>31.77</c:v>
              </c:pt>
              <c:pt idx="672">
                <c:v>30.86</c:v>
              </c:pt>
              <c:pt idx="673">
                <c:v>27.75</c:v>
              </c:pt>
              <c:pt idx="674">
                <c:v>24.7</c:v>
              </c:pt>
              <c:pt idx="675">
                <c:v>24.1</c:v>
              </c:pt>
              <c:pt idx="676">
                <c:v>24.46</c:v>
              </c:pt>
              <c:pt idx="677">
                <c:v>25.14</c:v>
              </c:pt>
              <c:pt idx="678">
                <c:v>23.9</c:v>
              </c:pt>
              <c:pt idx="679">
                <c:v>22.36</c:v>
              </c:pt>
              <c:pt idx="680">
                <c:v>22.11</c:v>
              </c:pt>
              <c:pt idx="681">
                <c:v>21.87</c:v>
              </c:pt>
              <c:pt idx="682">
                <c:v>20.78</c:v>
              </c:pt>
              <c:pt idx="683">
                <c:v>20.51</c:v>
              </c:pt>
              <c:pt idx="684">
                <c:v>20.75</c:v>
              </c:pt>
              <c:pt idx="685">
                <c:v>21.42</c:v>
              </c:pt>
              <c:pt idx="686">
                <c:v>22.17</c:v>
              </c:pt>
              <c:pt idx="687">
                <c:v>22.99</c:v>
              </c:pt>
              <c:pt idx="688">
                <c:v>23.79</c:v>
              </c:pt>
              <c:pt idx="689">
                <c:v>24.34</c:v>
              </c:pt>
              <c:pt idx="690">
                <c:v>24.45</c:v>
              </c:pt>
              <c:pt idx="691">
                <c:v>23.95</c:v>
              </c:pt>
              <c:pt idx="692">
                <c:v>24.05</c:v>
              </c:pt>
              <c:pt idx="693">
                <c:v>24.15</c:v>
              </c:pt>
              <c:pt idx="694">
                <c:v>24.91</c:v>
              </c:pt>
              <c:pt idx="695">
                <c:v>26.14</c:v>
              </c:pt>
              <c:pt idx="696">
                <c:v>27.26</c:v>
              </c:pt>
              <c:pt idx="697">
                <c:v>28.21</c:v>
              </c:pt>
              <c:pt idx="698">
                <c:v>28.92</c:v>
              </c:pt>
              <c:pt idx="699">
                <c:v>30.41</c:v>
              </c:pt>
              <c:pt idx="700">
                <c:v>31.89</c:v>
              </c:pt>
              <c:pt idx="701">
                <c:v>32.18</c:v>
              </c:pt>
              <c:pt idx="702">
                <c:v>32.159999999999997</c:v>
              </c:pt>
              <c:pt idx="703">
                <c:v>33.590000000000003</c:v>
              </c:pt>
              <c:pt idx="704">
                <c:v>37.58</c:v>
              </c:pt>
              <c:pt idx="705">
                <c:v>38.130000000000003</c:v>
              </c:pt>
              <c:pt idx="706">
                <c:v>37.130000000000003</c:v>
              </c:pt>
              <c:pt idx="707">
                <c:v>36.159999999999997</c:v>
              </c:pt>
              <c:pt idx="708">
                <c:v>32.520000000000003</c:v>
              </c:pt>
              <c:pt idx="709">
                <c:v>30.61</c:v>
              </c:pt>
              <c:pt idx="710">
                <c:v>30.27</c:v>
              </c:pt>
              <c:pt idx="711">
                <c:v>29.14</c:v>
              </c:pt>
              <c:pt idx="712">
                <c:v>32.93</c:v>
              </c:pt>
              <c:pt idx="713">
                <c:v>35.54</c:v>
              </c:pt>
              <c:pt idx="714">
                <c:v>35.96</c:v>
              </c:pt>
              <c:pt idx="715">
                <c:v>35.659999999999997</c:v>
              </c:pt>
              <c:pt idx="716">
                <c:v>34.270000000000003</c:v>
              </c:pt>
              <c:pt idx="717">
                <c:v>32.93</c:v>
              </c:pt>
              <c:pt idx="718">
                <c:v>30.47</c:v>
              </c:pt>
              <c:pt idx="719">
                <c:v>27.27</c:v>
              </c:pt>
              <c:pt idx="720">
                <c:v>24.19</c:v>
              </c:pt>
              <c:pt idx="721">
                <c:v>22.82</c:v>
              </c:pt>
              <c:pt idx="722">
                <c:v>22.88</c:v>
              </c:pt>
              <c:pt idx="723">
                <c:v>22.97</c:v>
              </c:pt>
              <c:pt idx="724">
                <c:v>22.53</c:v>
              </c:pt>
              <c:pt idx="725">
                <c:v>23.6</c:v>
              </c:pt>
              <c:pt idx="726">
                <c:v>23.75</c:v>
              </c:pt>
              <c:pt idx="727">
                <c:v>24.61</c:v>
              </c:pt>
              <c:pt idx="728">
                <c:v>23.64</c:v>
              </c:pt>
              <c:pt idx="729">
                <c:v>20.170000000000002</c:v>
              </c:pt>
              <c:pt idx="730">
                <c:v>19.48</c:v>
              </c:pt>
              <c:pt idx="731">
                <c:v>20.38</c:v>
              </c:pt>
              <c:pt idx="732">
                <c:v>20.64</c:v>
              </c:pt>
              <c:pt idx="733">
                <c:v>19.829999999999998</c:v>
              </c:pt>
              <c:pt idx="734">
                <c:v>17.98</c:v>
              </c:pt>
              <c:pt idx="735">
                <c:v>17.190000000000001</c:v>
              </c:pt>
              <c:pt idx="736">
                <c:v>18.34</c:v>
              </c:pt>
              <c:pt idx="737">
                <c:v>19.14</c:v>
              </c:pt>
              <c:pt idx="738">
                <c:v>17.809999999999999</c:v>
              </c:pt>
              <c:pt idx="739">
                <c:v>17.82</c:v>
              </c:pt>
              <c:pt idx="740">
                <c:v>17.75</c:v>
              </c:pt>
              <c:pt idx="741">
                <c:v>17.25</c:v>
              </c:pt>
              <c:pt idx="742">
                <c:v>17.88</c:v>
              </c:pt>
              <c:pt idx="743">
                <c:v>16.829999999999998</c:v>
              </c:pt>
              <c:pt idx="744">
                <c:v>15.5</c:v>
              </c:pt>
              <c:pt idx="745">
                <c:v>16.71</c:v>
              </c:pt>
              <c:pt idx="746">
                <c:v>18.7</c:v>
              </c:pt>
              <c:pt idx="747">
                <c:v>19.11</c:v>
              </c:pt>
              <c:pt idx="748">
                <c:v>19.670000000000002</c:v>
              </c:pt>
              <c:pt idx="749">
                <c:v>18.96</c:v>
              </c:pt>
              <c:pt idx="750">
                <c:v>16.25</c:v>
              </c:pt>
              <c:pt idx="751">
                <c:v>14.14</c:v>
              </c:pt>
              <c:pt idx="752">
                <c:v>12.43</c:v>
              </c:pt>
              <c:pt idx="753">
                <c:v>11.08</c:v>
              </c:pt>
              <c:pt idx="754">
                <c:v>10.24</c:v>
              </c:pt>
              <c:pt idx="755">
                <c:v>10.07</c:v>
              </c:pt>
              <c:pt idx="756">
                <c:v>9.61</c:v>
              </c:pt>
              <c:pt idx="757">
                <c:v>8.89</c:v>
              </c:pt>
              <c:pt idx="758">
                <c:v>8.68</c:v>
              </c:pt>
              <c:pt idx="759">
                <c:v>8.41</c:v>
              </c:pt>
              <c:pt idx="760">
                <c:v>8.2200000000000006</c:v>
              </c:pt>
              <c:pt idx="761">
                <c:v>8.06</c:v>
              </c:pt>
              <c:pt idx="762">
                <c:v>7.6840000000000002</c:v>
              </c:pt>
              <c:pt idx="763">
                <c:v>7.4470000000000001</c:v>
              </c:pt>
              <c:pt idx="764">
                <c:v>7.617</c:v>
              </c:pt>
              <c:pt idx="765">
                <c:v>7.9119999999999999</c:v>
              </c:pt>
              <c:pt idx="766">
                <c:v>8.09</c:v>
              </c:pt>
              <c:pt idx="767">
                <c:v>8.68</c:v>
              </c:pt>
              <c:pt idx="768">
                <c:v>9.2200000000000006</c:v>
              </c:pt>
              <c:pt idx="769">
                <c:v>9.23</c:v>
              </c:pt>
              <c:pt idx="770">
                <c:v>8.85</c:v>
              </c:pt>
              <c:pt idx="771">
                <c:v>8.39</c:v>
              </c:pt>
              <c:pt idx="772">
                <c:v>8.0399999999999991</c:v>
              </c:pt>
              <c:pt idx="773">
                <c:v>7.8159999999999998</c:v>
              </c:pt>
              <c:pt idx="774">
                <c:v>7.7320000000000002</c:v>
              </c:pt>
              <c:pt idx="775">
                <c:v>7.8780000000000001</c:v>
              </c:pt>
              <c:pt idx="776">
                <c:v>8.17</c:v>
              </c:pt>
              <c:pt idx="777">
                <c:v>8.5299999999999994</c:v>
              </c:pt>
              <c:pt idx="778">
                <c:v>8.73</c:v>
              </c:pt>
              <c:pt idx="779">
                <c:v>9.19</c:v>
              </c:pt>
              <c:pt idx="780">
                <c:v>9.7799999999999994</c:v>
              </c:pt>
              <c:pt idx="781">
                <c:v>10.28</c:v>
              </c:pt>
              <c:pt idx="782">
                <c:v>10.64</c:v>
              </c:pt>
              <c:pt idx="783">
                <c:v>10.61</c:v>
              </c:pt>
              <c:pt idx="784">
                <c:v>9.81</c:v>
              </c:pt>
              <c:pt idx="785">
                <c:v>9.52</c:v>
              </c:pt>
              <c:pt idx="786">
                <c:v>9.84</c:v>
              </c:pt>
              <c:pt idx="787">
                <c:v>10.74</c:v>
              </c:pt>
              <c:pt idx="788">
                <c:v>11.91</c:v>
              </c:pt>
              <c:pt idx="789">
                <c:v>12.56</c:v>
              </c:pt>
              <c:pt idx="790">
                <c:v>12.83</c:v>
              </c:pt>
              <c:pt idx="791">
                <c:v>13.79</c:v>
              </c:pt>
              <c:pt idx="792">
                <c:v>15.51</c:v>
              </c:pt>
              <c:pt idx="793">
                <c:v>16.95</c:v>
              </c:pt>
              <c:pt idx="794">
                <c:v>16.79</c:v>
              </c:pt>
              <c:pt idx="795">
                <c:v>17.28</c:v>
              </c:pt>
              <c:pt idx="796">
                <c:v>18.989999999999998</c:v>
              </c:pt>
              <c:pt idx="797">
                <c:v>19.72</c:v>
              </c:pt>
              <c:pt idx="798">
                <c:v>20.239999999999998</c:v>
              </c:pt>
              <c:pt idx="799">
                <c:v>21.04</c:v>
              </c:pt>
              <c:pt idx="800">
                <c:v>21.63</c:v>
              </c:pt>
              <c:pt idx="801">
                <c:v>21.97</c:v>
              </c:pt>
              <c:pt idx="802">
                <c:v>21.2</c:v>
              </c:pt>
              <c:pt idx="803">
                <c:v>21.1</c:v>
              </c:pt>
              <c:pt idx="804">
                <c:v>22.93</c:v>
              </c:pt>
              <c:pt idx="805">
                <c:v>24.82</c:v>
              </c:pt>
              <c:pt idx="806">
                <c:v>26.56</c:v>
              </c:pt>
              <c:pt idx="807">
                <c:v>27.86</c:v>
              </c:pt>
              <c:pt idx="808">
                <c:v>28.48</c:v>
              </c:pt>
              <c:pt idx="809">
                <c:v>30.45</c:v>
              </c:pt>
              <c:pt idx="810">
                <c:v>31.24</c:v>
              </c:pt>
              <c:pt idx="811">
                <c:v>30.51</c:v>
              </c:pt>
              <c:pt idx="812">
                <c:v>28.8</c:v>
              </c:pt>
              <c:pt idx="813">
                <c:v>27.82</c:v>
              </c:pt>
              <c:pt idx="814">
                <c:v>27.05</c:v>
              </c:pt>
              <c:pt idx="815">
                <c:v>26.98</c:v>
              </c:pt>
              <c:pt idx="816">
                <c:v>27.23</c:v>
              </c:pt>
              <c:pt idx="817">
                <c:v>27.13</c:v>
              </c:pt>
              <c:pt idx="818">
                <c:v>25.59</c:v>
              </c:pt>
              <c:pt idx="819">
                <c:v>23.68</c:v>
              </c:pt>
              <c:pt idx="820">
                <c:v>22.34</c:v>
              </c:pt>
              <c:pt idx="821">
                <c:v>22.08</c:v>
              </c:pt>
              <c:pt idx="822">
                <c:v>21.83</c:v>
              </c:pt>
              <c:pt idx="823">
                <c:v>21.63</c:v>
              </c:pt>
              <c:pt idx="824">
                <c:v>21.98</c:v>
              </c:pt>
              <c:pt idx="825">
                <c:v>22.39</c:v>
              </c:pt>
              <c:pt idx="826">
                <c:v>22.38</c:v>
              </c:pt>
              <c:pt idx="827">
                <c:v>21.69</c:v>
              </c:pt>
              <c:pt idx="828">
                <c:v>20.55</c:v>
              </c:pt>
              <c:pt idx="829">
                <c:v>20.079999999999998</c:v>
              </c:pt>
              <c:pt idx="830">
                <c:v>20.29</c:v>
              </c:pt>
              <c:pt idx="831">
                <c:v>20.329999999999998</c:v>
              </c:pt>
              <c:pt idx="832">
                <c:v>21.6</c:v>
              </c:pt>
              <c:pt idx="833">
                <c:v>23.56</c:v>
              </c:pt>
              <c:pt idx="834">
                <c:v>25.44</c:v>
              </c:pt>
              <c:pt idx="835">
                <c:v>27.58</c:v>
              </c:pt>
              <c:pt idx="836">
                <c:v>29.76</c:v>
              </c:pt>
              <c:pt idx="837">
                <c:v>29.32</c:v>
              </c:pt>
              <c:pt idx="838">
                <c:v>30.12</c:v>
              </c:pt>
              <c:pt idx="839">
                <c:v>33.21</c:v>
              </c:pt>
              <c:pt idx="840">
                <c:v>33.28</c:v>
              </c:pt>
              <c:pt idx="841">
                <c:v>32.92</c:v>
              </c:pt>
              <c:pt idx="842">
                <c:v>32.93</c:v>
              </c:pt>
              <c:pt idx="843">
                <c:v>31.64</c:v>
              </c:pt>
              <c:pt idx="844">
                <c:v>30.74</c:v>
              </c:pt>
              <c:pt idx="845">
                <c:v>29.46</c:v>
              </c:pt>
              <c:pt idx="846">
                <c:v>28.29</c:v>
              </c:pt>
              <c:pt idx="847">
                <c:v>26.61</c:v>
              </c:pt>
              <c:pt idx="848">
                <c:v>24.6</c:v>
              </c:pt>
              <c:pt idx="849">
                <c:v>22.9</c:v>
              </c:pt>
              <c:pt idx="850">
                <c:v>21.98</c:v>
              </c:pt>
              <c:pt idx="851">
                <c:v>21.19</c:v>
              </c:pt>
              <c:pt idx="852">
                <c:v>19.11</c:v>
              </c:pt>
              <c:pt idx="853">
                <c:v>18.260000000000002</c:v>
              </c:pt>
              <c:pt idx="854">
                <c:v>16.55</c:v>
              </c:pt>
              <c:pt idx="855">
                <c:v>15.97</c:v>
              </c:pt>
              <c:pt idx="856">
                <c:v>15.65</c:v>
              </c:pt>
              <c:pt idx="857">
                <c:v>14.78</c:v>
              </c:pt>
              <c:pt idx="858">
                <c:v>14.53</c:v>
              </c:pt>
              <c:pt idx="859">
                <c:v>14.2</c:v>
              </c:pt>
              <c:pt idx="860">
                <c:v>12.87</c:v>
              </c:pt>
              <c:pt idx="861">
                <c:v>12.27</c:v>
              </c:pt>
              <c:pt idx="862">
                <c:v>12.08</c:v>
              </c:pt>
              <c:pt idx="863">
                <c:v>12.8</c:v>
              </c:pt>
              <c:pt idx="864">
                <c:v>14.38</c:v>
              </c:pt>
              <c:pt idx="865">
                <c:v>14.91</c:v>
              </c:pt>
              <c:pt idx="866">
                <c:v>14.85</c:v>
              </c:pt>
              <c:pt idx="867">
                <c:v>14.4</c:v>
              </c:pt>
              <c:pt idx="868">
                <c:v>13.58</c:v>
              </c:pt>
              <c:pt idx="869">
                <c:v>15.58</c:v>
              </c:pt>
              <c:pt idx="870">
                <c:v>17.2</c:v>
              </c:pt>
              <c:pt idx="871">
                <c:v>16.809999999999999</c:v>
              </c:pt>
              <c:pt idx="872">
                <c:v>16.649999999999999</c:v>
              </c:pt>
              <c:pt idx="873">
                <c:v>16.73</c:v>
              </c:pt>
              <c:pt idx="874">
                <c:v>16.84</c:v>
              </c:pt>
              <c:pt idx="875">
                <c:v>19.690000000000001</c:v>
              </c:pt>
              <c:pt idx="876">
                <c:v>20.329999999999998</c:v>
              </c:pt>
              <c:pt idx="877">
                <c:v>18.52</c:v>
              </c:pt>
              <c:pt idx="878">
                <c:v>16.22</c:v>
              </c:pt>
              <c:pt idx="879">
                <c:v>14.99</c:v>
              </c:pt>
              <c:pt idx="880">
                <c:v>15.82</c:v>
              </c:pt>
              <c:pt idx="881">
                <c:v>16.82</c:v>
              </c:pt>
              <c:pt idx="882">
                <c:v>17.27</c:v>
              </c:pt>
              <c:pt idx="883">
                <c:v>17</c:v>
              </c:pt>
              <c:pt idx="884">
                <c:v>16.11</c:v>
              </c:pt>
              <c:pt idx="885">
                <c:v>15.61</c:v>
              </c:pt>
              <c:pt idx="886">
                <c:v>14.27</c:v>
              </c:pt>
              <c:pt idx="887">
                <c:v>12.22</c:v>
              </c:pt>
              <c:pt idx="888">
                <c:v>11.88</c:v>
              </c:pt>
              <c:pt idx="889">
                <c:v>13.02</c:v>
              </c:pt>
              <c:pt idx="890">
                <c:v>13.01</c:v>
              </c:pt>
              <c:pt idx="891">
                <c:v>11.91</c:v>
              </c:pt>
              <c:pt idx="892">
                <c:v>10.79</c:v>
              </c:pt>
              <c:pt idx="893">
                <c:v>10.31</c:v>
              </c:pt>
              <c:pt idx="894">
                <c:v>10.130000000000001</c:v>
              </c:pt>
              <c:pt idx="895">
                <c:v>10.119999999999999</c:v>
              </c:pt>
              <c:pt idx="896">
                <c:v>10.119999999999999</c:v>
              </c:pt>
              <c:pt idx="897">
                <c:v>11.27</c:v>
              </c:pt>
              <c:pt idx="898">
                <c:v>13.14</c:v>
              </c:pt>
              <c:pt idx="899">
                <c:v>13.09</c:v>
              </c:pt>
              <c:pt idx="900">
                <c:v>10.69</c:v>
              </c:pt>
              <c:pt idx="901">
                <c:v>7.4260000000000002</c:v>
              </c:pt>
              <c:pt idx="902">
                <c:v>5.359</c:v>
              </c:pt>
              <c:pt idx="903">
                <c:v>4.8689999999999998</c:v>
              </c:pt>
              <c:pt idx="904">
                <c:v>5.2009999999999996</c:v>
              </c:pt>
              <c:pt idx="905">
                <c:v>5.5039999999999996</c:v>
              </c:pt>
              <c:pt idx="906">
                <c:v>5.532</c:v>
              </c:pt>
              <c:pt idx="907">
                <c:v>5.4480000000000004</c:v>
              </c:pt>
              <c:pt idx="908">
                <c:v>5.306</c:v>
              </c:pt>
              <c:pt idx="909">
                <c:v>5.0460000000000003</c:v>
              </c:pt>
              <c:pt idx="910">
                <c:v>4.8609999999999998</c:v>
              </c:pt>
              <c:pt idx="911">
                <c:v>4.7270000000000003</c:v>
              </c:pt>
              <c:pt idx="912">
                <c:v>5.194</c:v>
              </c:pt>
              <c:pt idx="913">
                <c:v>5.8819999999999997</c:v>
              </c:pt>
              <c:pt idx="914">
                <c:v>6.6749999999999998</c:v>
              </c:pt>
              <c:pt idx="915">
                <c:v>7.28</c:v>
              </c:pt>
              <c:pt idx="916">
                <c:v>7.6689999999999996</c:v>
              </c:pt>
              <c:pt idx="917">
                <c:v>7.8040000000000003</c:v>
              </c:pt>
              <c:pt idx="918">
                <c:v>7.7770000000000001</c:v>
              </c:pt>
              <c:pt idx="919">
                <c:v>7.4009999999999998</c:v>
              </c:pt>
              <c:pt idx="920">
                <c:v>7.2069999999999999</c:v>
              </c:pt>
              <c:pt idx="921">
                <c:v>6.9610000000000003</c:v>
              </c:pt>
              <c:pt idx="922">
                <c:v>6.8079999999999998</c:v>
              </c:pt>
              <c:pt idx="923">
                <c:v>6.8010000000000002</c:v>
              </c:pt>
              <c:pt idx="924">
                <c:v>6.8959999999999999</c:v>
              </c:pt>
              <c:pt idx="925">
                <c:v>7.1349999999999998</c:v>
              </c:pt>
              <c:pt idx="926">
                <c:v>7.3979999999999997</c:v>
              </c:pt>
              <c:pt idx="927">
                <c:v>7.6340000000000003</c:v>
              </c:pt>
              <c:pt idx="928">
                <c:v>7.8419999999999996</c:v>
              </c:pt>
              <c:pt idx="929">
                <c:v>7.6520000000000001</c:v>
              </c:pt>
              <c:pt idx="930">
                <c:v>7.1440000000000001</c:v>
              </c:pt>
              <c:pt idx="931">
                <c:v>6.3239999999999998</c:v>
              </c:pt>
              <c:pt idx="932">
                <c:v>5.4770000000000003</c:v>
              </c:pt>
              <c:pt idx="933">
                <c:v>4.92</c:v>
              </c:pt>
              <c:pt idx="934">
                <c:v>4.5869999999999997</c:v>
              </c:pt>
              <c:pt idx="935">
                <c:v>4.4740000000000002</c:v>
              </c:pt>
              <c:pt idx="936">
                <c:v>4.43</c:v>
              </c:pt>
              <c:pt idx="937">
                <c:v>4.4080000000000004</c:v>
              </c:pt>
              <c:pt idx="938">
                <c:v>4.3380000000000001</c:v>
              </c:pt>
              <c:pt idx="939">
                <c:v>4.2720000000000002</c:v>
              </c:pt>
              <c:pt idx="940">
                <c:v>4.2619999999999996</c:v>
              </c:pt>
              <c:pt idx="941">
                <c:v>4.2930000000000001</c:v>
              </c:pt>
              <c:pt idx="942">
                <c:v>4.32</c:v>
              </c:pt>
              <c:pt idx="943">
                <c:v>4.37</c:v>
              </c:pt>
              <c:pt idx="944">
                <c:v>4.4420000000000002</c:v>
              </c:pt>
              <c:pt idx="945">
                <c:v>4.5890000000000004</c:v>
              </c:pt>
              <c:pt idx="946">
                <c:v>4.6980000000000004</c:v>
              </c:pt>
              <c:pt idx="947">
                <c:v>4.7229999999999999</c:v>
              </c:pt>
              <c:pt idx="948">
                <c:v>4.7960000000000003</c:v>
              </c:pt>
              <c:pt idx="949">
                <c:v>4.8150000000000004</c:v>
              </c:pt>
              <c:pt idx="950">
                <c:v>4.9059999999999997</c:v>
              </c:pt>
              <c:pt idx="951">
                <c:v>5.0979999999999999</c:v>
              </c:pt>
              <c:pt idx="952">
                <c:v>5.46</c:v>
              </c:pt>
              <c:pt idx="953">
                <c:v>5.766</c:v>
              </c:pt>
              <c:pt idx="954">
                <c:v>6.03</c:v>
              </c:pt>
              <c:pt idx="955">
                <c:v>6.3739999999999997</c:v>
              </c:pt>
              <c:pt idx="956">
                <c:v>6.7789999999999999</c:v>
              </c:pt>
              <c:pt idx="957">
                <c:v>7.4550000000000001</c:v>
              </c:pt>
              <c:pt idx="958">
                <c:v>8.32</c:v>
              </c:pt>
              <c:pt idx="959">
                <c:v>9.25</c:v>
              </c:pt>
              <c:pt idx="960">
                <c:v>10.02</c:v>
              </c:pt>
              <c:pt idx="961">
                <c:v>10.46</c:v>
              </c:pt>
              <c:pt idx="962">
                <c:v>10.39</c:v>
              </c:pt>
              <c:pt idx="963">
                <c:v>10.26</c:v>
              </c:pt>
              <c:pt idx="964">
                <c:v>10.35</c:v>
              </c:pt>
              <c:pt idx="965">
                <c:v>10.43</c:v>
              </c:pt>
              <c:pt idx="966">
                <c:v>10.45</c:v>
              </c:pt>
              <c:pt idx="967">
                <c:v>10.14</c:v>
              </c:pt>
              <c:pt idx="968">
                <c:v>9.35</c:v>
              </c:pt>
              <c:pt idx="969">
                <c:v>8.3699999999999992</c:v>
              </c:pt>
              <c:pt idx="970">
                <c:v>7.5960000000000001</c:v>
              </c:pt>
              <c:pt idx="971">
                <c:v>6.9889999999999999</c:v>
              </c:pt>
              <c:pt idx="972">
                <c:v>6.5490000000000004</c:v>
              </c:pt>
              <c:pt idx="973">
                <c:v>6.2430000000000003</c:v>
              </c:pt>
              <c:pt idx="974">
                <c:v>6.069</c:v>
              </c:pt>
              <c:pt idx="975">
                <c:v>6.0449999999999999</c:v>
              </c:pt>
              <c:pt idx="976">
                <c:v>6.056</c:v>
              </c:pt>
              <c:pt idx="977">
                <c:v>5.98</c:v>
              </c:pt>
              <c:pt idx="978">
                <c:v>5.7309999999999999</c:v>
              </c:pt>
              <c:pt idx="979">
                <c:v>5.508</c:v>
              </c:pt>
              <c:pt idx="980">
                <c:v>5.53</c:v>
              </c:pt>
              <c:pt idx="981">
                <c:v>5.8739999999999997</c:v>
              </c:pt>
              <c:pt idx="982">
                <c:v>6.3730000000000002</c:v>
              </c:pt>
              <c:pt idx="983">
                <c:v>7.0880000000000001</c:v>
              </c:pt>
              <c:pt idx="984">
                <c:v>7.7610000000000001</c:v>
              </c:pt>
              <c:pt idx="985">
                <c:v>8.35</c:v>
              </c:pt>
              <c:pt idx="986">
                <c:v>8.92</c:v>
              </c:pt>
              <c:pt idx="987">
                <c:v>9.92</c:v>
              </c:pt>
              <c:pt idx="988">
                <c:v>11.3</c:v>
              </c:pt>
              <c:pt idx="989">
                <c:v>12.93</c:v>
              </c:pt>
              <c:pt idx="990">
                <c:v>13.92</c:v>
              </c:pt>
              <c:pt idx="991">
                <c:v>14.52</c:v>
              </c:pt>
              <c:pt idx="992">
                <c:v>14.83</c:v>
              </c:pt>
              <c:pt idx="993">
                <c:v>14.61</c:v>
              </c:pt>
              <c:pt idx="994">
                <c:v>14.42</c:v>
              </c:pt>
              <c:pt idx="995">
                <c:v>14.37</c:v>
              </c:pt>
              <c:pt idx="996">
                <c:v>14.47</c:v>
              </c:pt>
              <c:pt idx="997">
                <c:v>14.98</c:v>
              </c:pt>
              <c:pt idx="998">
                <c:v>15.08</c:v>
              </c:pt>
              <c:pt idx="999">
                <c:v>15.09</c:v>
              </c:pt>
              <c:pt idx="1000">
                <c:v>15.3</c:v>
              </c:pt>
              <c:pt idx="1001">
                <c:v>15.57</c:v>
              </c:pt>
              <c:pt idx="1002">
                <c:v>15.55</c:v>
              </c:pt>
              <c:pt idx="1003">
                <c:v>15.02</c:v>
              </c:pt>
              <c:pt idx="1004">
                <c:v>14.23</c:v>
              </c:pt>
              <c:pt idx="1005">
                <c:v>13.17</c:v>
              </c:pt>
              <c:pt idx="1006">
                <c:v>12.09</c:v>
              </c:pt>
              <c:pt idx="1007">
                <c:v>11.16</c:v>
              </c:pt>
              <c:pt idx="1008">
                <c:v>10.1</c:v>
              </c:pt>
              <c:pt idx="1009">
                <c:v>8.98</c:v>
              </c:pt>
              <c:pt idx="1010">
                <c:v>7.9550000000000001</c:v>
              </c:pt>
              <c:pt idx="1011">
                <c:v>7.0670000000000002</c:v>
              </c:pt>
              <c:pt idx="1012">
                <c:v>6.2210000000000001</c:v>
              </c:pt>
              <c:pt idx="1013">
                <c:v>5.4649999999999999</c:v>
              </c:pt>
              <c:pt idx="1014">
                <c:v>4.8079999999999998</c:v>
              </c:pt>
              <c:pt idx="1015">
                <c:v>4.306</c:v>
              </c:pt>
              <c:pt idx="1016">
                <c:v>3.956</c:v>
              </c:pt>
              <c:pt idx="1017">
                <c:v>3.6379999999999999</c:v>
              </c:pt>
              <c:pt idx="1018">
                <c:v>3.4060000000000001</c:v>
              </c:pt>
              <c:pt idx="1019">
                <c:v>3.0419999999999998</c:v>
              </c:pt>
              <c:pt idx="1020">
                <c:v>2.6840000000000002</c:v>
              </c:pt>
              <c:pt idx="1021">
                <c:v>2.4649999999999999</c:v>
              </c:pt>
              <c:pt idx="1022">
                <c:v>2.3610000000000002</c:v>
              </c:pt>
              <c:pt idx="1023">
                <c:v>2.3809999999999998</c:v>
              </c:pt>
              <c:pt idx="1024">
                <c:v>2.3140000000000001</c:v>
              </c:pt>
              <c:pt idx="1025">
                <c:v>2.2189999999999999</c:v>
              </c:pt>
              <c:pt idx="1026">
                <c:v>2.1640000000000001</c:v>
              </c:pt>
              <c:pt idx="1027">
                <c:v>2.3679999999999999</c:v>
              </c:pt>
              <c:pt idx="1028">
                <c:v>2.7149999999999999</c:v>
              </c:pt>
              <c:pt idx="1029">
                <c:v>3.1970000000000001</c:v>
              </c:pt>
              <c:pt idx="1030">
                <c:v>3.8919999999999999</c:v>
              </c:pt>
              <c:pt idx="1031">
                <c:v>4.8639999999999999</c:v>
              </c:pt>
              <c:pt idx="1032">
                <c:v>5.83</c:v>
              </c:pt>
              <c:pt idx="1033">
                <c:v>7.05</c:v>
              </c:pt>
              <c:pt idx="1034">
                <c:v>8.39</c:v>
              </c:pt>
              <c:pt idx="1035">
                <c:v>9.7100000000000009</c:v>
              </c:pt>
              <c:pt idx="1036">
                <c:v>11.18</c:v>
              </c:pt>
              <c:pt idx="1037">
                <c:v>12.56</c:v>
              </c:pt>
              <c:pt idx="1038">
                <c:v>13.9</c:v>
              </c:pt>
              <c:pt idx="1039">
                <c:v>15.01</c:v>
              </c:pt>
              <c:pt idx="1040">
                <c:v>15.53</c:v>
              </c:pt>
              <c:pt idx="1041">
                <c:v>14.08</c:v>
              </c:pt>
              <c:pt idx="1042">
                <c:v>12.82</c:v>
              </c:pt>
              <c:pt idx="1043">
                <c:v>12.03</c:v>
              </c:pt>
              <c:pt idx="1044">
                <c:v>11.03</c:v>
              </c:pt>
              <c:pt idx="1045">
                <c:v>9.74</c:v>
              </c:pt>
              <c:pt idx="1046">
                <c:v>8.41</c:v>
              </c:pt>
              <c:pt idx="1047">
                <c:v>6.86</c:v>
              </c:pt>
              <c:pt idx="1048">
                <c:v>5.266</c:v>
              </c:pt>
              <c:pt idx="1049">
                <c:v>4.1210000000000004</c:v>
              </c:pt>
              <c:pt idx="1050">
                <c:v>3.544</c:v>
              </c:pt>
              <c:pt idx="1051">
                <c:v>3.57</c:v>
              </c:pt>
              <c:pt idx="1052">
                <c:v>4.0279999999999996</c:v>
              </c:pt>
              <c:pt idx="1053">
                <c:v>4.8819999999999997</c:v>
              </c:pt>
              <c:pt idx="1054">
                <c:v>6.1589999999999998</c:v>
              </c:pt>
              <c:pt idx="1055">
                <c:v>7.3419999999999996</c:v>
              </c:pt>
              <c:pt idx="1056">
                <c:v>8.74</c:v>
              </c:pt>
              <c:pt idx="1057">
                <c:v>10.220000000000001</c:v>
              </c:pt>
              <c:pt idx="1058">
                <c:v>11.45</c:v>
              </c:pt>
              <c:pt idx="1059">
                <c:v>12.07</c:v>
              </c:pt>
              <c:pt idx="1060">
                <c:v>12.65</c:v>
              </c:pt>
              <c:pt idx="1061">
                <c:v>13.27</c:v>
              </c:pt>
              <c:pt idx="1062">
                <c:v>13.93</c:v>
              </c:pt>
              <c:pt idx="1063">
                <c:v>14.46</c:v>
              </c:pt>
              <c:pt idx="1064">
                <c:v>14.66</c:v>
              </c:pt>
              <c:pt idx="1065">
                <c:v>14.63</c:v>
              </c:pt>
              <c:pt idx="1066">
                <c:v>14.32</c:v>
              </c:pt>
              <c:pt idx="1067">
                <c:v>13.78</c:v>
              </c:pt>
              <c:pt idx="1068">
                <c:v>13.03</c:v>
              </c:pt>
              <c:pt idx="1069">
                <c:v>12.12</c:v>
              </c:pt>
              <c:pt idx="1070">
                <c:v>10.98</c:v>
              </c:pt>
              <c:pt idx="1071">
                <c:v>9.81</c:v>
              </c:pt>
              <c:pt idx="1072">
                <c:v>8.98</c:v>
              </c:pt>
              <c:pt idx="1073">
                <c:v>8.35</c:v>
              </c:pt>
              <c:pt idx="1074">
                <c:v>7.7530000000000001</c:v>
              </c:pt>
              <c:pt idx="1075">
                <c:v>7.2450000000000001</c:v>
              </c:pt>
              <c:pt idx="1076">
                <c:v>6.7210000000000001</c:v>
              </c:pt>
              <c:pt idx="1077">
                <c:v>6.1680000000000001</c:v>
              </c:pt>
              <c:pt idx="1078">
                <c:v>5.3860000000000001</c:v>
              </c:pt>
              <c:pt idx="1079">
                <c:v>4.5759999999999996</c:v>
              </c:pt>
              <c:pt idx="1080">
                <c:v>3.8879999999999999</c:v>
              </c:pt>
              <c:pt idx="1081">
                <c:v>3.3519999999999999</c:v>
              </c:pt>
              <c:pt idx="1082">
                <c:v>3.08</c:v>
              </c:pt>
              <c:pt idx="1083">
                <c:v>3.117</c:v>
              </c:pt>
              <c:pt idx="1084">
                <c:v>3.2389999999999999</c:v>
              </c:pt>
              <c:pt idx="1085">
                <c:v>3.29</c:v>
              </c:pt>
              <c:pt idx="1086">
                <c:v>3.3319999999999999</c:v>
              </c:pt>
              <c:pt idx="1087">
                <c:v>3.403</c:v>
              </c:pt>
              <c:pt idx="1088">
                <c:v>3.484</c:v>
              </c:pt>
              <c:pt idx="1089">
                <c:v>3.5590000000000002</c:v>
              </c:pt>
              <c:pt idx="1090">
                <c:v>3.718</c:v>
              </c:pt>
              <c:pt idx="1091">
                <c:v>4.0110000000000001</c:v>
              </c:pt>
              <c:pt idx="1092">
                <c:v>4.3230000000000004</c:v>
              </c:pt>
              <c:pt idx="1093">
                <c:v>4.63</c:v>
              </c:pt>
              <c:pt idx="1094">
                <c:v>4.8390000000000004</c:v>
              </c:pt>
              <c:pt idx="1095">
                <c:v>4.9649999999999999</c:v>
              </c:pt>
              <c:pt idx="1096">
                <c:v>4.8680000000000003</c:v>
              </c:pt>
              <c:pt idx="1097">
                <c:v>4.6059999999999999</c:v>
              </c:pt>
              <c:pt idx="1098">
                <c:v>4.6820000000000004</c:v>
              </c:pt>
              <c:pt idx="1099">
                <c:v>5.0030000000000001</c:v>
              </c:pt>
              <c:pt idx="1100">
                <c:v>5.0970000000000004</c:v>
              </c:pt>
              <c:pt idx="1101">
                <c:v>5.1829999999999998</c:v>
              </c:pt>
              <c:pt idx="1102">
                <c:v>5.2149999999999999</c:v>
              </c:pt>
              <c:pt idx="1103">
                <c:v>5.1879999999999997</c:v>
              </c:pt>
              <c:pt idx="1104">
                <c:v>5.165</c:v>
              </c:pt>
              <c:pt idx="1105">
                <c:v>5.1509999999999998</c:v>
              </c:pt>
              <c:pt idx="1106">
                <c:v>5.1150000000000002</c:v>
              </c:pt>
              <c:pt idx="1107">
                <c:v>5.0839999999999996</c:v>
              </c:pt>
              <c:pt idx="1108">
                <c:v>5.0149999999999997</c:v>
              </c:pt>
              <c:pt idx="1109">
                <c:v>4.9240000000000004</c:v>
              </c:pt>
              <c:pt idx="1110">
                <c:v>4.9240000000000004</c:v>
              </c:pt>
              <c:pt idx="1111">
                <c:v>4.9130000000000003</c:v>
              </c:pt>
              <c:pt idx="1112">
                <c:v>5.0830000000000002</c:v>
              </c:pt>
              <c:pt idx="1113">
                <c:v>5.0670000000000002</c:v>
              </c:pt>
              <c:pt idx="1114">
                <c:v>5.1470000000000002</c:v>
              </c:pt>
              <c:pt idx="1115">
                <c:v>5.1680000000000001</c:v>
              </c:pt>
              <c:pt idx="1116">
                <c:v>5.2190000000000003</c:v>
              </c:pt>
              <c:pt idx="1117">
                <c:v>5.2489999999999997</c:v>
              </c:pt>
              <c:pt idx="1118">
                <c:v>5.2640000000000002</c:v>
              </c:pt>
              <c:pt idx="1119">
                <c:v>5.2850000000000001</c:v>
              </c:pt>
              <c:pt idx="1120">
                <c:v>5.2110000000000003</c:v>
              </c:pt>
              <c:pt idx="1121">
                <c:v>5.0119999999999996</c:v>
              </c:pt>
              <c:pt idx="1122">
                <c:v>4.851</c:v>
              </c:pt>
              <c:pt idx="1123">
                <c:v>4.6479999999999997</c:v>
              </c:pt>
              <c:pt idx="1124">
                <c:v>4.3460000000000001</c:v>
              </c:pt>
              <c:pt idx="1125">
                <c:v>4.117</c:v>
              </c:pt>
              <c:pt idx="1126">
                <c:v>4.0069999999999997</c:v>
              </c:pt>
              <c:pt idx="1127">
                <c:v>3.9420000000000002</c:v>
              </c:pt>
              <c:pt idx="1128">
                <c:v>3.8279999999999998</c:v>
              </c:pt>
              <c:pt idx="1129">
                <c:v>3.7469999999999999</c:v>
              </c:pt>
              <c:pt idx="1130">
                <c:v>3.669</c:v>
              </c:pt>
              <c:pt idx="1131">
                <c:v>3.657</c:v>
              </c:pt>
              <c:pt idx="1132">
                <c:v>3.5369999999999999</c:v>
              </c:pt>
              <c:pt idx="1133">
                <c:v>3.5209999999999999</c:v>
              </c:pt>
              <c:pt idx="1134">
                <c:v>3.4870000000000001</c:v>
              </c:pt>
              <c:pt idx="1135">
                <c:v>3.4740000000000002</c:v>
              </c:pt>
              <c:pt idx="1136">
                <c:v>3.379</c:v>
              </c:pt>
              <c:pt idx="1137">
                <c:v>3.383</c:v>
              </c:pt>
              <c:pt idx="1138">
                <c:v>3.403</c:v>
              </c:pt>
              <c:pt idx="1139">
                <c:v>3.4649999999999999</c:v>
              </c:pt>
              <c:pt idx="1140">
                <c:v>3.4060000000000001</c:v>
              </c:pt>
              <c:pt idx="1141">
                <c:v>3.24</c:v>
              </c:pt>
              <c:pt idx="1142">
                <c:v>3.1429999999999998</c:v>
              </c:pt>
              <c:pt idx="1143">
                <c:v>2.98</c:v>
              </c:pt>
              <c:pt idx="1144">
                <c:v>2.9</c:v>
              </c:pt>
              <c:pt idx="1145">
                <c:v>2.8290000000000002</c:v>
              </c:pt>
              <c:pt idx="1146">
                <c:v>2.8170000000000002</c:v>
              </c:pt>
              <c:pt idx="1147">
                <c:v>2.7389999999999999</c:v>
              </c:pt>
              <c:pt idx="1148">
                <c:v>2.67</c:v>
              </c:pt>
              <c:pt idx="1149">
                <c:v>2.6349999999999998</c:v>
              </c:pt>
              <c:pt idx="1150">
                <c:v>2.6709999999999998</c:v>
              </c:pt>
              <c:pt idx="1151">
                <c:v>2.7469999999999999</c:v>
              </c:pt>
              <c:pt idx="1152">
                <c:v>2.88</c:v>
              </c:pt>
              <c:pt idx="1153">
                <c:v>3.0550000000000002</c:v>
              </c:pt>
              <c:pt idx="1154">
                <c:v>3.077</c:v>
              </c:pt>
              <c:pt idx="1155">
                <c:v>2.8359999999999999</c:v>
              </c:pt>
              <c:pt idx="1156">
                <c:v>2.524</c:v>
              </c:pt>
              <c:pt idx="1157">
                <c:v>2.3519999999999999</c:v>
              </c:pt>
              <c:pt idx="1158">
                <c:v>2.2799999999999998</c:v>
              </c:pt>
              <c:pt idx="1159">
                <c:v>2.016</c:v>
              </c:pt>
              <c:pt idx="1160">
                <c:v>1.407</c:v>
              </c:pt>
              <c:pt idx="1161">
                <c:v>0.95399999999999996</c:v>
              </c:pt>
              <c:pt idx="1162">
                <c:v>0.61</c:v>
              </c:pt>
              <c:pt idx="1163">
                <c:v>0.42399999999999999</c:v>
              </c:pt>
              <c:pt idx="1164">
                <c:v>0.20300000000000001</c:v>
              </c:pt>
              <c:pt idx="1165">
                <c:v>8.7999999999999995E-2</c:v>
              </c:pt>
              <c:pt idx="1166">
                <c:v>2E-3</c:v>
              </c:pt>
              <c:pt idx="1167">
                <c:v>1E-3</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3.0000000000000001E-3</c:v>
              </c:pt>
              <c:pt idx="1218">
                <c:v>0</c:v>
              </c:pt>
              <c:pt idx="1219">
                <c:v>0</c:v>
              </c:pt>
              <c:pt idx="1220">
                <c:v>0</c:v>
              </c:pt>
              <c:pt idx="1221">
                <c:v>2E-3</c:v>
              </c:pt>
              <c:pt idx="1222">
                <c:v>0</c:v>
              </c:pt>
              <c:pt idx="1223">
                <c:v>1E-3</c:v>
              </c:pt>
              <c:pt idx="1224">
                <c:v>0</c:v>
              </c:pt>
              <c:pt idx="1225">
                <c:v>0</c:v>
              </c:pt>
              <c:pt idx="1226">
                <c:v>0</c:v>
              </c:pt>
              <c:pt idx="1227">
                <c:v>0</c:v>
              </c:pt>
              <c:pt idx="1228">
                <c:v>0</c:v>
              </c:pt>
              <c:pt idx="1229">
                <c:v>0</c:v>
              </c:pt>
              <c:pt idx="1230">
                <c:v>0</c:v>
              </c:pt>
              <c:pt idx="1231">
                <c:v>3.0000000000000001E-3</c:v>
              </c:pt>
              <c:pt idx="1232">
                <c:v>0</c:v>
              </c:pt>
              <c:pt idx="1233">
                <c:v>6.0000000000000001E-3</c:v>
              </c:pt>
              <c:pt idx="1234">
                <c:v>0</c:v>
              </c:pt>
              <c:pt idx="1235">
                <c:v>0</c:v>
              </c:pt>
              <c:pt idx="1236">
                <c:v>0</c:v>
              </c:pt>
              <c:pt idx="1237">
                <c:v>0</c:v>
              </c:pt>
              <c:pt idx="1238">
                <c:v>0</c:v>
              </c:pt>
              <c:pt idx="1239">
                <c:v>0</c:v>
              </c:pt>
              <c:pt idx="1240">
                <c:v>4.0000000000000001E-3</c:v>
              </c:pt>
              <c:pt idx="1241">
                <c:v>0</c:v>
              </c:pt>
              <c:pt idx="1242">
                <c:v>0</c:v>
              </c:pt>
              <c:pt idx="1243">
                <c:v>7.0000000000000001E-3</c:v>
              </c:pt>
              <c:pt idx="1244">
                <c:v>4.0000000000000001E-3</c:v>
              </c:pt>
              <c:pt idx="1245">
                <c:v>1E-3</c:v>
              </c:pt>
              <c:pt idx="1246">
                <c:v>3.0000000000000001E-3</c:v>
              </c:pt>
              <c:pt idx="1247">
                <c:v>6.0000000000000001E-3</c:v>
              </c:pt>
              <c:pt idx="1248">
                <c:v>0</c:v>
              </c:pt>
              <c:pt idx="1249">
                <c:v>3.0000000000000001E-3</c:v>
              </c:pt>
              <c:pt idx="1250">
                <c:v>0</c:v>
              </c:pt>
              <c:pt idx="1251">
                <c:v>1E-3</c:v>
              </c:pt>
              <c:pt idx="1252">
                <c:v>3.0000000000000001E-3</c:v>
              </c:pt>
              <c:pt idx="1253">
                <c:v>1.2E-2</c:v>
              </c:pt>
              <c:pt idx="1254">
                <c:v>0</c:v>
              </c:pt>
              <c:pt idx="1255">
                <c:v>0</c:v>
              </c:pt>
              <c:pt idx="1256">
                <c:v>5.0000000000000001E-3</c:v>
              </c:pt>
              <c:pt idx="1257">
                <c:v>2E-3</c:v>
              </c:pt>
              <c:pt idx="1258">
                <c:v>0</c:v>
              </c:pt>
              <c:pt idx="1259">
                <c:v>1.7999999999999999E-2</c:v>
              </c:pt>
              <c:pt idx="1260">
                <c:v>0</c:v>
              </c:pt>
              <c:pt idx="1261">
                <c:v>2E-3</c:v>
              </c:pt>
              <c:pt idx="1262">
                <c:v>5.0000000000000001E-3</c:v>
              </c:pt>
              <c:pt idx="1263">
                <c:v>1.4E-2</c:v>
              </c:pt>
              <c:pt idx="1264">
                <c:v>2E-3</c:v>
              </c:pt>
              <c:pt idx="1265">
                <c:v>6.0000000000000001E-3</c:v>
              </c:pt>
              <c:pt idx="1266">
                <c:v>2.7E-2</c:v>
              </c:pt>
              <c:pt idx="1267">
                <c:v>3.6999999999999998E-2</c:v>
              </c:pt>
              <c:pt idx="1268">
                <c:v>2.9000000000000001E-2</c:v>
              </c:pt>
              <c:pt idx="1269">
                <c:v>6.9000000000000006E-2</c:v>
              </c:pt>
              <c:pt idx="1270">
                <c:v>6.0999999999999999E-2</c:v>
              </c:pt>
              <c:pt idx="1271">
                <c:v>8.2000000000000003E-2</c:v>
              </c:pt>
              <c:pt idx="1272">
                <c:v>7.6999999999999999E-2</c:v>
              </c:pt>
              <c:pt idx="1273">
                <c:v>5.8000000000000003E-2</c:v>
              </c:pt>
              <c:pt idx="1274">
                <c:v>7.3999999999999996E-2</c:v>
              </c:pt>
              <c:pt idx="1275">
                <c:v>0.126</c:v>
              </c:pt>
              <c:pt idx="1276">
                <c:v>5.8999999999999997E-2</c:v>
              </c:pt>
              <c:pt idx="1277">
                <c:v>7.4999999999999997E-2</c:v>
              </c:pt>
              <c:pt idx="1278">
                <c:v>0.123</c:v>
              </c:pt>
              <c:pt idx="1279">
                <c:v>0.14299999999999999</c:v>
              </c:pt>
              <c:pt idx="1280">
                <c:v>0.106</c:v>
              </c:pt>
              <c:pt idx="1281">
                <c:v>7.3999999999999996E-2</c:v>
              </c:pt>
              <c:pt idx="1282">
                <c:v>0.125</c:v>
              </c:pt>
              <c:pt idx="1283">
                <c:v>0.14499999999999999</c:v>
              </c:pt>
              <c:pt idx="1284">
                <c:v>0.16</c:v>
              </c:pt>
              <c:pt idx="1285">
                <c:v>0.156</c:v>
              </c:pt>
              <c:pt idx="1286">
                <c:v>0.161</c:v>
              </c:pt>
              <c:pt idx="1287">
                <c:v>0.16200000000000001</c:v>
              </c:pt>
              <c:pt idx="1288">
                <c:v>0.13100000000000001</c:v>
              </c:pt>
              <c:pt idx="1289">
                <c:v>9.1999999999999998E-2</c:v>
              </c:pt>
              <c:pt idx="1290">
                <c:v>0.11</c:v>
              </c:pt>
              <c:pt idx="1291">
                <c:v>0.121</c:v>
              </c:pt>
              <c:pt idx="1292">
                <c:v>9.2999999999999999E-2</c:v>
              </c:pt>
              <c:pt idx="1293">
                <c:v>0.125</c:v>
              </c:pt>
              <c:pt idx="1294">
                <c:v>8.6999999999999994E-2</c:v>
              </c:pt>
              <c:pt idx="1295">
                <c:v>6.9000000000000006E-2</c:v>
              </c:pt>
              <c:pt idx="1296">
                <c:v>0.107</c:v>
              </c:pt>
              <c:pt idx="1297">
                <c:v>0.09</c:v>
              </c:pt>
              <c:pt idx="1298">
                <c:v>8.2000000000000003E-2</c:v>
              </c:pt>
              <c:pt idx="1299">
                <c:v>8.6999999999999994E-2</c:v>
              </c:pt>
              <c:pt idx="1300">
                <c:v>0.11899999999999999</c:v>
              </c:pt>
              <c:pt idx="1301">
                <c:v>9.6000000000000002E-2</c:v>
              </c:pt>
              <c:pt idx="1302">
                <c:v>0.107</c:v>
              </c:pt>
              <c:pt idx="1303">
                <c:v>8.8999999999999996E-2</c:v>
              </c:pt>
              <c:pt idx="1304">
                <c:v>0.10199999999999999</c:v>
              </c:pt>
              <c:pt idx="1305">
                <c:v>9.5000000000000001E-2</c:v>
              </c:pt>
              <c:pt idx="1306">
                <c:v>7.0000000000000007E-2</c:v>
              </c:pt>
              <c:pt idx="1307">
                <c:v>9.0999999999999998E-2</c:v>
              </c:pt>
              <c:pt idx="1308">
                <c:v>0.11899999999999999</c:v>
              </c:pt>
              <c:pt idx="1309">
                <c:v>0.17899999999999999</c:v>
              </c:pt>
              <c:pt idx="1310">
                <c:v>0.128</c:v>
              </c:pt>
              <c:pt idx="1311">
                <c:v>0.14099999999999999</c:v>
              </c:pt>
              <c:pt idx="1312">
                <c:v>0.10100000000000001</c:v>
              </c:pt>
              <c:pt idx="1313">
                <c:v>0.123</c:v>
              </c:pt>
              <c:pt idx="1314">
                <c:v>0.14099999999999999</c:v>
              </c:pt>
              <c:pt idx="1315">
                <c:v>0.16600000000000001</c:v>
              </c:pt>
              <c:pt idx="1316">
                <c:v>0.159</c:v>
              </c:pt>
              <c:pt idx="1317">
                <c:v>0.107</c:v>
              </c:pt>
              <c:pt idx="1318">
                <c:v>8.7999999999999995E-2</c:v>
              </c:pt>
              <c:pt idx="1319">
                <c:v>0.123</c:v>
              </c:pt>
              <c:pt idx="1320">
                <c:v>7.8E-2</c:v>
              </c:pt>
              <c:pt idx="1321">
                <c:v>8.3000000000000004E-2</c:v>
              </c:pt>
              <c:pt idx="1322">
                <c:v>0.06</c:v>
              </c:pt>
              <c:pt idx="1323">
                <c:v>4.4999999999999998E-2</c:v>
              </c:pt>
              <c:pt idx="1324">
                <c:v>6.2E-2</c:v>
              </c:pt>
              <c:pt idx="1325">
                <c:v>3.3000000000000002E-2</c:v>
              </c:pt>
              <c:pt idx="1326">
                <c:v>7.0000000000000001E-3</c:v>
              </c:pt>
              <c:pt idx="1327">
                <c:v>1.7999999999999999E-2</c:v>
              </c:pt>
              <c:pt idx="1328">
                <c:v>2.7E-2</c:v>
              </c:pt>
              <c:pt idx="1329">
                <c:v>6.0000000000000001E-3</c:v>
              </c:pt>
              <c:pt idx="1330">
                <c:v>2.9000000000000001E-2</c:v>
              </c:pt>
              <c:pt idx="1331">
                <c:v>2.9000000000000001E-2</c:v>
              </c:pt>
              <c:pt idx="1332">
                <c:v>2.5000000000000001E-2</c:v>
              </c:pt>
              <c:pt idx="1333">
                <c:v>0.03</c:v>
              </c:pt>
              <c:pt idx="1334">
                <c:v>0.03</c:v>
              </c:pt>
              <c:pt idx="1335">
                <c:v>6.0000000000000001E-3</c:v>
              </c:pt>
              <c:pt idx="1336">
                <c:v>0</c:v>
              </c:pt>
              <c:pt idx="1337">
                <c:v>1.7999999999999999E-2</c:v>
              </c:pt>
              <c:pt idx="1338">
                <c:v>2.8000000000000001E-2</c:v>
              </c:pt>
              <c:pt idx="1339">
                <c:v>2.1999999999999999E-2</c:v>
              </c:pt>
              <c:pt idx="1340">
                <c:v>4.1000000000000002E-2</c:v>
              </c:pt>
              <c:pt idx="1341">
                <c:v>2E-3</c:v>
              </c:pt>
              <c:pt idx="1342">
                <c:v>6.0000000000000001E-3</c:v>
              </c:pt>
              <c:pt idx="1343">
                <c:v>2.8000000000000001E-2</c:v>
              </c:pt>
              <c:pt idx="1344">
                <c:v>3.9E-2</c:v>
              </c:pt>
              <c:pt idx="1345">
                <c:v>1.4E-2</c:v>
              </c:pt>
              <c:pt idx="1346">
                <c:v>0.02</c:v>
              </c:pt>
              <c:pt idx="1347">
                <c:v>2.5000000000000001E-2</c:v>
              </c:pt>
              <c:pt idx="1348">
                <c:v>8.0000000000000002E-3</c:v>
              </c:pt>
              <c:pt idx="1349">
                <c:v>1.7999999999999999E-2</c:v>
              </c:pt>
              <c:pt idx="1350">
                <c:v>1.2999999999999999E-2</c:v>
              </c:pt>
              <c:pt idx="1351">
                <c:v>1.4E-2</c:v>
              </c:pt>
              <c:pt idx="1352">
                <c:v>2.8000000000000001E-2</c:v>
              </c:pt>
              <c:pt idx="1353">
                <c:v>2.1000000000000001E-2</c:v>
              </c:pt>
              <c:pt idx="1354">
                <c:v>1.7000000000000001E-2</c:v>
              </c:pt>
              <c:pt idx="1355">
                <c:v>2.5999999999999999E-2</c:v>
              </c:pt>
              <c:pt idx="1356">
                <c:v>1.4999999999999999E-2</c:v>
              </c:pt>
              <c:pt idx="1357">
                <c:v>1.6E-2</c:v>
              </c:pt>
              <c:pt idx="1358">
                <c:v>2.5999999999999999E-2</c:v>
              </c:pt>
              <c:pt idx="1359">
                <c:v>8.0000000000000002E-3</c:v>
              </c:pt>
              <c:pt idx="1360">
                <c:v>2.1999999999999999E-2</c:v>
              </c:pt>
              <c:pt idx="1361">
                <c:v>6.0000000000000001E-3</c:v>
              </c:pt>
              <c:pt idx="1362">
                <c:v>2.5999999999999999E-2</c:v>
              </c:pt>
              <c:pt idx="1363">
                <c:v>0.01</c:v>
              </c:pt>
              <c:pt idx="1364">
                <c:v>7.0000000000000001E-3</c:v>
              </c:pt>
              <c:pt idx="1365">
                <c:v>2.4E-2</c:v>
              </c:pt>
              <c:pt idx="1366">
                <c:v>5.1999999999999998E-2</c:v>
              </c:pt>
              <c:pt idx="1367">
                <c:v>6.2E-2</c:v>
              </c:pt>
              <c:pt idx="1368">
                <c:v>8.2000000000000003E-2</c:v>
              </c:pt>
              <c:pt idx="1369">
                <c:v>5.7000000000000002E-2</c:v>
              </c:pt>
              <c:pt idx="1370">
                <c:v>4.9000000000000002E-2</c:v>
              </c:pt>
              <c:pt idx="1371">
                <c:v>7.2999999999999995E-2</c:v>
              </c:pt>
              <c:pt idx="1372">
                <c:v>7.4999999999999997E-2</c:v>
              </c:pt>
              <c:pt idx="1373">
                <c:v>6.9000000000000006E-2</c:v>
              </c:pt>
              <c:pt idx="1374">
                <c:v>8.5000000000000006E-2</c:v>
              </c:pt>
              <c:pt idx="1375">
                <c:v>8.3000000000000004E-2</c:v>
              </c:pt>
              <c:pt idx="1376">
                <c:v>2.5999999999999999E-2</c:v>
              </c:pt>
              <c:pt idx="1377">
                <c:v>5.8999999999999997E-2</c:v>
              </c:pt>
              <c:pt idx="1378">
                <c:v>2.8000000000000001E-2</c:v>
              </c:pt>
              <c:pt idx="1379">
                <c:v>3.3000000000000002E-2</c:v>
              </c:pt>
              <c:pt idx="1380">
                <c:v>3.2000000000000001E-2</c:v>
              </c:pt>
              <c:pt idx="1381">
                <c:v>2.9000000000000001E-2</c:v>
              </c:pt>
              <c:pt idx="1382">
                <c:v>2.4E-2</c:v>
              </c:pt>
              <c:pt idx="1383">
                <c:v>1.4999999999999999E-2</c:v>
              </c:pt>
              <c:pt idx="1384">
                <c:v>0.05</c:v>
              </c:pt>
              <c:pt idx="1385">
                <c:v>0.01</c:v>
              </c:pt>
              <c:pt idx="1386">
                <c:v>2.1999999999999999E-2</c:v>
              </c:pt>
              <c:pt idx="1387">
                <c:v>1.7999999999999999E-2</c:v>
              </c:pt>
              <c:pt idx="1388">
                <c:v>2E-3</c:v>
              </c:pt>
              <c:pt idx="1389">
                <c:v>1.6E-2</c:v>
              </c:pt>
              <c:pt idx="1390">
                <c:v>0</c:v>
              </c:pt>
              <c:pt idx="1391">
                <c:v>2.1999999999999999E-2</c:v>
              </c:pt>
              <c:pt idx="1392">
                <c:v>0</c:v>
              </c:pt>
              <c:pt idx="1393">
                <c:v>1.0999999999999999E-2</c:v>
              </c:pt>
              <c:pt idx="1394">
                <c:v>1.7999999999999999E-2</c:v>
              </c:pt>
              <c:pt idx="1395">
                <c:v>1.2999999999999999E-2</c:v>
              </c:pt>
              <c:pt idx="1396">
                <c:v>1.2E-2</c:v>
              </c:pt>
              <c:pt idx="1397">
                <c:v>7.0000000000000001E-3</c:v>
              </c:pt>
              <c:pt idx="1398">
                <c:v>0</c:v>
              </c:pt>
              <c:pt idx="1399">
                <c:v>0</c:v>
              </c:pt>
              <c:pt idx="1400">
                <c:v>0</c:v>
              </c:pt>
              <c:pt idx="1401">
                <c:v>1.0999999999999999E-2</c:v>
              </c:pt>
              <c:pt idx="1402">
                <c:v>4.0000000000000001E-3</c:v>
              </c:pt>
              <c:pt idx="1403">
                <c:v>3.0000000000000001E-3</c:v>
              </c:pt>
              <c:pt idx="1404">
                <c:v>0</c:v>
              </c:pt>
              <c:pt idx="1405">
                <c:v>1E-3</c:v>
              </c:pt>
              <c:pt idx="1406">
                <c:v>0</c:v>
              </c:pt>
              <c:pt idx="1407">
                <c:v>4.0000000000000001E-3</c:v>
              </c:pt>
              <c:pt idx="1408">
                <c:v>3.0000000000000001E-3</c:v>
              </c:pt>
              <c:pt idx="1409">
                <c:v>7.0000000000000001E-3</c:v>
              </c:pt>
              <c:pt idx="1410">
                <c:v>0</c:v>
              </c:pt>
              <c:pt idx="1411">
                <c:v>0</c:v>
              </c:pt>
              <c:pt idx="1412">
                <c:v>7.0000000000000001E-3</c:v>
              </c:pt>
              <c:pt idx="1413">
                <c:v>0</c:v>
              </c:pt>
              <c:pt idx="1414">
                <c:v>7.0000000000000001E-3</c:v>
              </c:pt>
              <c:pt idx="1415">
                <c:v>2E-3</c:v>
              </c:pt>
              <c:pt idx="1416">
                <c:v>0</c:v>
              </c:pt>
              <c:pt idx="1417">
                <c:v>0</c:v>
              </c:pt>
              <c:pt idx="1418">
                <c:v>0</c:v>
              </c:pt>
              <c:pt idx="1419">
                <c:v>0</c:v>
              </c:pt>
              <c:pt idx="1420">
                <c:v>0</c:v>
              </c:pt>
              <c:pt idx="1421">
                <c:v>8.0000000000000002E-3</c:v>
              </c:pt>
              <c:pt idx="1422">
                <c:v>0</c:v>
              </c:pt>
              <c:pt idx="1423">
                <c:v>8.0000000000000002E-3</c:v>
              </c:pt>
              <c:pt idx="1424">
                <c:v>3.0000000000000001E-3</c:v>
              </c:pt>
              <c:pt idx="1425">
                <c:v>0.01</c:v>
              </c:pt>
              <c:pt idx="1426">
                <c:v>0</c:v>
              </c:pt>
              <c:pt idx="1427">
                <c:v>8.9999999999999993E-3</c:v>
              </c:pt>
              <c:pt idx="1428">
                <c:v>2.4E-2</c:v>
              </c:pt>
              <c:pt idx="1429">
                <c:v>3.7999999999999999E-2</c:v>
              </c:pt>
              <c:pt idx="1430">
                <c:v>3.5000000000000003E-2</c:v>
              </c:pt>
              <c:pt idx="1431">
                <c:v>6.2E-2</c:v>
              </c:pt>
              <c:pt idx="1432">
                <c:v>0.04</c:v>
              </c:pt>
              <c:pt idx="1433">
                <c:v>4.3999999999999997E-2</c:v>
              </c:pt>
              <c:pt idx="1434">
                <c:v>3.7999999999999999E-2</c:v>
              </c:pt>
              <c:pt idx="1435">
                <c:v>3.1E-2</c:v>
              </c:pt>
              <c:pt idx="1436">
                <c:v>5.8999999999999997E-2</c:v>
              </c:pt>
              <c:pt idx="1437">
                <c:v>3.2000000000000001E-2</c:v>
              </c:pt>
              <c:pt idx="1438">
                <c:v>0.09</c:v>
              </c:pt>
              <c:pt idx="1439">
                <c:v>4.2000000000000003E-2</c:v>
              </c:pt>
              <c:pt idx="1440">
                <c:v>5.7000000000000002E-2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3-6259-46DD-8E42-052732076705}"/>
            </c:ext>
          </c:extLst>
        </c:ser>
        <c:ser>
          <c:idx val="4"/>
          <c:order val="4"/>
          <c:tx>
            <c:v>IS15 WMS POA Downword(W/mÂ²)</c:v>
          </c:tx>
          <c:spPr>
            <a:ln w="28575" cap="rnd">
              <a:solidFill>
                <a:schemeClr val="accent5"/>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7.4999999999999997E-2</c:v>
              </c:pt>
              <c:pt idx="2">
                <c:v>7.6999999999999999E-2</c:v>
              </c:pt>
              <c:pt idx="3">
                <c:v>5.1999999999999998E-2</c:v>
              </c:pt>
              <c:pt idx="4">
                <c:v>9.9000000000000005E-2</c:v>
              </c:pt>
              <c:pt idx="5">
                <c:v>6.7000000000000004E-2</c:v>
              </c:pt>
              <c:pt idx="6">
                <c:v>3.5000000000000003E-2</c:v>
              </c:pt>
              <c:pt idx="7">
                <c:v>6.8000000000000005E-2</c:v>
              </c:pt>
              <c:pt idx="8">
                <c:v>3.4000000000000002E-2</c:v>
              </c:pt>
              <c:pt idx="9">
                <c:v>8.5000000000000006E-2</c:v>
              </c:pt>
              <c:pt idx="10">
                <c:v>5.1999999999999998E-2</c:v>
              </c:pt>
              <c:pt idx="11">
                <c:v>5.7000000000000002E-2</c:v>
              </c:pt>
              <c:pt idx="12">
                <c:v>6.2E-2</c:v>
              </c:pt>
              <c:pt idx="13">
                <c:v>0.04</c:v>
              </c:pt>
              <c:pt idx="14">
                <c:v>5.5E-2</c:v>
              </c:pt>
              <c:pt idx="15">
                <c:v>4.5999999999999999E-2</c:v>
              </c:pt>
              <c:pt idx="16">
                <c:v>6.6000000000000003E-2</c:v>
              </c:pt>
              <c:pt idx="17">
                <c:v>3.9E-2</c:v>
              </c:pt>
              <c:pt idx="18">
                <c:v>4.8000000000000001E-2</c:v>
              </c:pt>
              <c:pt idx="19">
                <c:v>4.2999999999999997E-2</c:v>
              </c:pt>
              <c:pt idx="20">
                <c:v>8.4000000000000005E-2</c:v>
              </c:pt>
              <c:pt idx="21">
                <c:v>0.125</c:v>
              </c:pt>
              <c:pt idx="22">
                <c:v>7.0000000000000007E-2</c:v>
              </c:pt>
              <c:pt idx="23">
                <c:v>9.2999999999999999E-2</c:v>
              </c:pt>
              <c:pt idx="24">
                <c:v>8.7999999999999995E-2</c:v>
              </c:pt>
              <c:pt idx="25">
                <c:v>8.6999999999999994E-2</c:v>
              </c:pt>
              <c:pt idx="26">
                <c:v>0.125</c:v>
              </c:pt>
              <c:pt idx="27">
                <c:v>0.13300000000000001</c:v>
              </c:pt>
              <c:pt idx="28">
                <c:v>0.153</c:v>
              </c:pt>
              <c:pt idx="29">
                <c:v>0.13900000000000001</c:v>
              </c:pt>
              <c:pt idx="30">
                <c:v>0.17399999999999999</c:v>
              </c:pt>
              <c:pt idx="31">
                <c:v>0.125</c:v>
              </c:pt>
              <c:pt idx="32">
                <c:v>0.16600000000000001</c:v>
              </c:pt>
              <c:pt idx="33">
                <c:v>0.153</c:v>
              </c:pt>
              <c:pt idx="34">
                <c:v>0.16500000000000001</c:v>
              </c:pt>
              <c:pt idx="35">
                <c:v>0.16</c:v>
              </c:pt>
              <c:pt idx="36">
                <c:v>0.16700000000000001</c:v>
              </c:pt>
              <c:pt idx="37">
                <c:v>0.186</c:v>
              </c:pt>
              <c:pt idx="38">
                <c:v>0.153</c:v>
              </c:pt>
              <c:pt idx="39">
                <c:v>0.17499999999999999</c:v>
              </c:pt>
              <c:pt idx="40">
                <c:v>0.189</c:v>
              </c:pt>
              <c:pt idx="41">
                <c:v>0.16300000000000001</c:v>
              </c:pt>
              <c:pt idx="42">
                <c:v>0.19800000000000001</c:v>
              </c:pt>
              <c:pt idx="43">
                <c:v>0.183</c:v>
              </c:pt>
              <c:pt idx="44">
                <c:v>0.19900000000000001</c:v>
              </c:pt>
              <c:pt idx="45">
                <c:v>0.153</c:v>
              </c:pt>
              <c:pt idx="46">
                <c:v>0.223</c:v>
              </c:pt>
              <c:pt idx="47">
                <c:v>0.215</c:v>
              </c:pt>
              <c:pt idx="48">
                <c:v>0.25600000000000001</c:v>
              </c:pt>
              <c:pt idx="49">
                <c:v>0.18</c:v>
              </c:pt>
              <c:pt idx="50">
                <c:v>0.23</c:v>
              </c:pt>
              <c:pt idx="51">
                <c:v>0.21</c:v>
              </c:pt>
              <c:pt idx="52">
                <c:v>0.224</c:v>
              </c:pt>
              <c:pt idx="53">
                <c:v>0.16</c:v>
              </c:pt>
              <c:pt idx="54">
                <c:v>0.2</c:v>
              </c:pt>
              <c:pt idx="55">
                <c:v>0.189</c:v>
              </c:pt>
              <c:pt idx="56">
                <c:v>0.16300000000000001</c:v>
              </c:pt>
              <c:pt idx="57">
                <c:v>0.13</c:v>
              </c:pt>
              <c:pt idx="58">
                <c:v>0.151</c:v>
              </c:pt>
              <c:pt idx="59">
                <c:v>0.19</c:v>
              </c:pt>
              <c:pt idx="60">
                <c:v>0.17899999999999999</c:v>
              </c:pt>
              <c:pt idx="61">
                <c:v>0.13800000000000001</c:v>
              </c:pt>
              <c:pt idx="62">
                <c:v>0.20100000000000001</c:v>
              </c:pt>
              <c:pt idx="63">
                <c:v>0.16400000000000001</c:v>
              </c:pt>
              <c:pt idx="64">
                <c:v>0.13500000000000001</c:v>
              </c:pt>
              <c:pt idx="65">
                <c:v>0.13</c:v>
              </c:pt>
              <c:pt idx="66">
                <c:v>0.155</c:v>
              </c:pt>
              <c:pt idx="67">
                <c:v>0.17599999999999999</c:v>
              </c:pt>
              <c:pt idx="68">
                <c:v>0.14599999999999999</c:v>
              </c:pt>
              <c:pt idx="69">
                <c:v>0.18099999999999999</c:v>
              </c:pt>
              <c:pt idx="70">
                <c:v>0.17100000000000001</c:v>
              </c:pt>
              <c:pt idx="71">
                <c:v>0.185</c:v>
              </c:pt>
              <c:pt idx="72">
                <c:v>0.19800000000000001</c:v>
              </c:pt>
              <c:pt idx="73">
                <c:v>0.17499999999999999</c:v>
              </c:pt>
              <c:pt idx="74">
                <c:v>0.16400000000000001</c:v>
              </c:pt>
              <c:pt idx="75">
                <c:v>0.13</c:v>
              </c:pt>
              <c:pt idx="76">
                <c:v>9.5000000000000001E-2</c:v>
              </c:pt>
              <c:pt idx="77">
                <c:v>0.106</c:v>
              </c:pt>
              <c:pt idx="78">
                <c:v>5.0999999999999997E-2</c:v>
              </c:pt>
              <c:pt idx="79">
                <c:v>7.8E-2</c:v>
              </c:pt>
              <c:pt idx="80">
                <c:v>9.5000000000000001E-2</c:v>
              </c:pt>
              <c:pt idx="81">
                <c:v>0.14299999999999999</c:v>
              </c:pt>
              <c:pt idx="82">
                <c:v>0.11799999999999999</c:v>
              </c:pt>
              <c:pt idx="83">
                <c:v>0.107</c:v>
              </c:pt>
              <c:pt idx="84">
                <c:v>0.156</c:v>
              </c:pt>
              <c:pt idx="85">
                <c:v>7.5999999999999998E-2</c:v>
              </c:pt>
              <c:pt idx="86">
                <c:v>0.10199999999999999</c:v>
              </c:pt>
              <c:pt idx="87">
                <c:v>0.11</c:v>
              </c:pt>
              <c:pt idx="88">
                <c:v>8.7999999999999995E-2</c:v>
              </c:pt>
              <c:pt idx="89">
                <c:v>0.107</c:v>
              </c:pt>
              <c:pt idx="90">
                <c:v>7.4999999999999997E-2</c:v>
              </c:pt>
              <c:pt idx="91">
                <c:v>7.9000000000000001E-2</c:v>
              </c:pt>
              <c:pt idx="92">
                <c:v>8.4000000000000005E-2</c:v>
              </c:pt>
              <c:pt idx="93">
                <c:v>0.107</c:v>
              </c:pt>
              <c:pt idx="94">
                <c:v>9.2999999999999999E-2</c:v>
              </c:pt>
              <c:pt idx="95">
                <c:v>0.06</c:v>
              </c:pt>
              <c:pt idx="96">
                <c:v>9.9000000000000005E-2</c:v>
              </c:pt>
              <c:pt idx="97">
                <c:v>6.4000000000000001E-2</c:v>
              </c:pt>
              <c:pt idx="98">
                <c:v>9.9000000000000005E-2</c:v>
              </c:pt>
              <c:pt idx="99">
                <c:v>8.8999999999999996E-2</c:v>
              </c:pt>
              <c:pt idx="100">
                <c:v>0.08</c:v>
              </c:pt>
              <c:pt idx="101">
                <c:v>6.3E-2</c:v>
              </c:pt>
              <c:pt idx="102">
                <c:v>0.106</c:v>
              </c:pt>
              <c:pt idx="103">
                <c:v>7.4999999999999997E-2</c:v>
              </c:pt>
              <c:pt idx="104">
                <c:v>8.4000000000000005E-2</c:v>
              </c:pt>
              <c:pt idx="105">
                <c:v>9.6000000000000002E-2</c:v>
              </c:pt>
              <c:pt idx="106">
                <c:v>9.5000000000000001E-2</c:v>
              </c:pt>
              <c:pt idx="107">
                <c:v>7.3999999999999996E-2</c:v>
              </c:pt>
              <c:pt idx="108">
                <c:v>7.9000000000000001E-2</c:v>
              </c:pt>
              <c:pt idx="109">
                <c:v>4.3999999999999997E-2</c:v>
              </c:pt>
              <c:pt idx="110">
                <c:v>7.9000000000000001E-2</c:v>
              </c:pt>
              <c:pt idx="111">
                <c:v>6.5000000000000002E-2</c:v>
              </c:pt>
              <c:pt idx="112">
                <c:v>8.3000000000000004E-2</c:v>
              </c:pt>
              <c:pt idx="113">
                <c:v>6.8000000000000005E-2</c:v>
              </c:pt>
              <c:pt idx="114">
                <c:v>3.1E-2</c:v>
              </c:pt>
              <c:pt idx="115">
                <c:v>7.1999999999999995E-2</c:v>
              </c:pt>
              <c:pt idx="116">
                <c:v>4.9000000000000002E-2</c:v>
              </c:pt>
              <c:pt idx="117">
                <c:v>6.3E-2</c:v>
              </c:pt>
              <c:pt idx="118">
                <c:v>0.06</c:v>
              </c:pt>
              <c:pt idx="119">
                <c:v>7.8E-2</c:v>
              </c:pt>
              <c:pt idx="120">
                <c:v>3.5000000000000003E-2</c:v>
              </c:pt>
              <c:pt idx="121">
                <c:v>0.04</c:v>
              </c:pt>
              <c:pt idx="122">
                <c:v>7.0000000000000001E-3</c:v>
              </c:pt>
              <c:pt idx="123">
                <c:v>3.3000000000000002E-2</c:v>
              </c:pt>
              <c:pt idx="124">
                <c:v>8.9999999999999993E-3</c:v>
              </c:pt>
              <c:pt idx="125">
                <c:v>8.0000000000000002E-3</c:v>
              </c:pt>
              <c:pt idx="126">
                <c:v>2.8000000000000001E-2</c:v>
              </c:pt>
              <c:pt idx="127">
                <c:v>5.8000000000000003E-2</c:v>
              </c:pt>
              <c:pt idx="128">
                <c:v>2.1000000000000001E-2</c:v>
              </c:pt>
              <c:pt idx="129">
                <c:v>4.1000000000000002E-2</c:v>
              </c:pt>
              <c:pt idx="130">
                <c:v>2.5000000000000001E-2</c:v>
              </c:pt>
              <c:pt idx="131">
                <c:v>2.5999999999999999E-2</c:v>
              </c:pt>
              <c:pt idx="132">
                <c:v>3.7999999999999999E-2</c:v>
              </c:pt>
              <c:pt idx="133">
                <c:v>2.4E-2</c:v>
              </c:pt>
              <c:pt idx="134">
                <c:v>0.02</c:v>
              </c:pt>
              <c:pt idx="135">
                <c:v>4.1000000000000002E-2</c:v>
              </c:pt>
              <c:pt idx="136">
                <c:v>7.8E-2</c:v>
              </c:pt>
              <c:pt idx="137">
                <c:v>4.3999999999999997E-2</c:v>
              </c:pt>
              <c:pt idx="138">
                <c:v>1.7000000000000001E-2</c:v>
              </c:pt>
              <c:pt idx="139">
                <c:v>3.5999999999999997E-2</c:v>
              </c:pt>
              <c:pt idx="140">
                <c:v>2.1999999999999999E-2</c:v>
              </c:pt>
              <c:pt idx="141">
                <c:v>4.5999999999999999E-2</c:v>
              </c:pt>
              <c:pt idx="142">
                <c:v>4.9000000000000002E-2</c:v>
              </c:pt>
              <c:pt idx="143">
                <c:v>5.8000000000000003E-2</c:v>
              </c:pt>
              <c:pt idx="144">
                <c:v>0.03</c:v>
              </c:pt>
              <c:pt idx="145">
                <c:v>6.5000000000000002E-2</c:v>
              </c:pt>
              <c:pt idx="146">
                <c:v>4.5999999999999999E-2</c:v>
              </c:pt>
              <c:pt idx="147">
                <c:v>5.0999999999999997E-2</c:v>
              </c:pt>
              <c:pt idx="148">
                <c:v>2.4E-2</c:v>
              </c:pt>
              <c:pt idx="149">
                <c:v>7.0000000000000007E-2</c:v>
              </c:pt>
              <c:pt idx="150">
                <c:v>9.1999999999999998E-2</c:v>
              </c:pt>
              <c:pt idx="151">
                <c:v>5.8000000000000003E-2</c:v>
              </c:pt>
              <c:pt idx="152">
                <c:v>5.0999999999999997E-2</c:v>
              </c:pt>
              <c:pt idx="153">
                <c:v>2.9000000000000001E-2</c:v>
              </c:pt>
              <c:pt idx="154">
                <c:v>2.7E-2</c:v>
              </c:pt>
              <c:pt idx="155">
                <c:v>4.4999999999999998E-2</c:v>
              </c:pt>
              <c:pt idx="156">
                <c:v>4.3999999999999997E-2</c:v>
              </c:pt>
              <c:pt idx="157">
                <c:v>3.2000000000000001E-2</c:v>
              </c:pt>
              <c:pt idx="158">
                <c:v>3.9E-2</c:v>
              </c:pt>
              <c:pt idx="159">
                <c:v>3.5000000000000003E-2</c:v>
              </c:pt>
              <c:pt idx="160">
                <c:v>0.02</c:v>
              </c:pt>
              <c:pt idx="161">
                <c:v>8.0000000000000002E-3</c:v>
              </c:pt>
              <c:pt idx="162">
                <c:v>2E-3</c:v>
              </c:pt>
              <c:pt idx="163">
                <c:v>1.6E-2</c:v>
              </c:pt>
              <c:pt idx="164">
                <c:v>4.9000000000000002E-2</c:v>
              </c:pt>
              <c:pt idx="165">
                <c:v>3.5999999999999997E-2</c:v>
              </c:pt>
              <c:pt idx="166">
                <c:v>2.1000000000000001E-2</c:v>
              </c:pt>
              <c:pt idx="167">
                <c:v>1.7000000000000001E-2</c:v>
              </c:pt>
              <c:pt idx="168">
                <c:v>4.8000000000000001E-2</c:v>
              </c:pt>
              <c:pt idx="169">
                <c:v>2E-3</c:v>
              </c:pt>
              <c:pt idx="170">
                <c:v>2.9000000000000001E-2</c:v>
              </c:pt>
              <c:pt idx="171">
                <c:v>2.5000000000000001E-2</c:v>
              </c:pt>
              <c:pt idx="172">
                <c:v>6.0000000000000001E-3</c:v>
              </c:pt>
              <c:pt idx="173">
                <c:v>5.0999999999999997E-2</c:v>
              </c:pt>
              <c:pt idx="174">
                <c:v>5.7000000000000002E-2</c:v>
              </c:pt>
              <c:pt idx="175">
                <c:v>3.5000000000000003E-2</c:v>
              </c:pt>
              <c:pt idx="176">
                <c:v>1.7000000000000001E-2</c:v>
              </c:pt>
              <c:pt idx="177">
                <c:v>2.1000000000000001E-2</c:v>
              </c:pt>
              <c:pt idx="178">
                <c:v>4.2999999999999997E-2</c:v>
              </c:pt>
              <c:pt idx="179">
                <c:v>4.5999999999999999E-2</c:v>
              </c:pt>
              <c:pt idx="180">
                <c:v>3.3000000000000002E-2</c:v>
              </c:pt>
              <c:pt idx="181">
                <c:v>2.9000000000000001E-2</c:v>
              </c:pt>
              <c:pt idx="182">
                <c:v>3.5000000000000003E-2</c:v>
              </c:pt>
              <c:pt idx="183">
                <c:v>5.8999999999999997E-2</c:v>
              </c:pt>
              <c:pt idx="184">
                <c:v>3.4000000000000002E-2</c:v>
              </c:pt>
              <c:pt idx="185">
                <c:v>4.8000000000000001E-2</c:v>
              </c:pt>
              <c:pt idx="186">
                <c:v>2.7E-2</c:v>
              </c:pt>
              <c:pt idx="187">
                <c:v>3.6999999999999998E-2</c:v>
              </c:pt>
              <c:pt idx="188">
                <c:v>2.5000000000000001E-2</c:v>
              </c:pt>
              <c:pt idx="189">
                <c:v>0.05</c:v>
              </c:pt>
              <c:pt idx="190">
                <c:v>0.04</c:v>
              </c:pt>
              <c:pt idx="191">
                <c:v>3.5000000000000003E-2</c:v>
              </c:pt>
              <c:pt idx="192">
                <c:v>3.3000000000000002E-2</c:v>
              </c:pt>
              <c:pt idx="193">
                <c:v>7.0999999999999994E-2</c:v>
              </c:pt>
              <c:pt idx="194">
                <c:v>4.2000000000000003E-2</c:v>
              </c:pt>
              <c:pt idx="195">
                <c:v>3.1E-2</c:v>
              </c:pt>
              <c:pt idx="196">
                <c:v>9.7000000000000003E-2</c:v>
              </c:pt>
              <c:pt idx="197">
                <c:v>0.08</c:v>
              </c:pt>
              <c:pt idx="198">
                <c:v>8.3000000000000004E-2</c:v>
              </c:pt>
              <c:pt idx="199">
                <c:v>8.1000000000000003E-2</c:v>
              </c:pt>
              <c:pt idx="200">
                <c:v>8.2000000000000003E-2</c:v>
              </c:pt>
              <c:pt idx="201">
                <c:v>4.2000000000000003E-2</c:v>
              </c:pt>
              <c:pt idx="202">
                <c:v>7.2999999999999995E-2</c:v>
              </c:pt>
              <c:pt idx="203">
                <c:v>6.9000000000000006E-2</c:v>
              </c:pt>
              <c:pt idx="204">
                <c:v>4.9000000000000002E-2</c:v>
              </c:pt>
              <c:pt idx="205">
                <c:v>0.06</c:v>
              </c:pt>
              <c:pt idx="206">
                <c:v>8.2000000000000003E-2</c:v>
              </c:pt>
              <c:pt idx="207">
                <c:v>4.2999999999999997E-2</c:v>
              </c:pt>
              <c:pt idx="208">
                <c:v>6.8000000000000005E-2</c:v>
              </c:pt>
              <c:pt idx="209">
                <c:v>4.8000000000000001E-2</c:v>
              </c:pt>
              <c:pt idx="210">
                <c:v>2.7E-2</c:v>
              </c:pt>
              <c:pt idx="211">
                <c:v>4.4999999999999998E-2</c:v>
              </c:pt>
              <c:pt idx="212">
                <c:v>3.3000000000000002E-2</c:v>
              </c:pt>
              <c:pt idx="213">
                <c:v>0.02</c:v>
              </c:pt>
              <c:pt idx="214">
                <c:v>4.2000000000000003E-2</c:v>
              </c:pt>
              <c:pt idx="215">
                <c:v>2.3E-2</c:v>
              </c:pt>
              <c:pt idx="216">
                <c:v>3.1E-2</c:v>
              </c:pt>
              <c:pt idx="217">
                <c:v>3.9E-2</c:v>
              </c:pt>
              <c:pt idx="218">
                <c:v>5.1999999999999998E-2</c:v>
              </c:pt>
              <c:pt idx="219">
                <c:v>7.0000000000000007E-2</c:v>
              </c:pt>
              <c:pt idx="220">
                <c:v>4.2999999999999997E-2</c:v>
              </c:pt>
              <c:pt idx="221">
                <c:v>3.4000000000000002E-2</c:v>
              </c:pt>
              <c:pt idx="222">
                <c:v>5.8999999999999997E-2</c:v>
              </c:pt>
              <c:pt idx="223">
                <c:v>4.3999999999999997E-2</c:v>
              </c:pt>
              <c:pt idx="224">
                <c:v>5.6000000000000001E-2</c:v>
              </c:pt>
              <c:pt idx="225">
                <c:v>4.4999999999999998E-2</c:v>
              </c:pt>
              <c:pt idx="226">
                <c:v>5.1999999999999998E-2</c:v>
              </c:pt>
              <c:pt idx="227">
                <c:v>2.5000000000000001E-2</c:v>
              </c:pt>
              <c:pt idx="228">
                <c:v>3.6999999999999998E-2</c:v>
              </c:pt>
              <c:pt idx="229">
                <c:v>2.4E-2</c:v>
              </c:pt>
              <c:pt idx="230">
                <c:v>6.3E-2</c:v>
              </c:pt>
              <c:pt idx="231">
                <c:v>6.3E-2</c:v>
              </c:pt>
              <c:pt idx="232">
                <c:v>3.9E-2</c:v>
              </c:pt>
              <c:pt idx="233">
                <c:v>7.4999999999999997E-2</c:v>
              </c:pt>
              <c:pt idx="234">
                <c:v>3.5000000000000003E-2</c:v>
              </c:pt>
              <c:pt idx="235">
                <c:v>6.6000000000000003E-2</c:v>
              </c:pt>
              <c:pt idx="236">
                <c:v>0.1</c:v>
              </c:pt>
              <c:pt idx="237">
                <c:v>7.4999999999999997E-2</c:v>
              </c:pt>
              <c:pt idx="238">
                <c:v>7.9000000000000001E-2</c:v>
              </c:pt>
              <c:pt idx="239">
                <c:v>9.1999999999999998E-2</c:v>
              </c:pt>
              <c:pt idx="240">
                <c:v>5.2999999999999999E-2</c:v>
              </c:pt>
              <c:pt idx="241">
                <c:v>6.7000000000000004E-2</c:v>
              </c:pt>
              <c:pt idx="242">
                <c:v>4.5999999999999999E-2</c:v>
              </c:pt>
              <c:pt idx="243">
                <c:v>2.7E-2</c:v>
              </c:pt>
              <c:pt idx="244">
                <c:v>7.8E-2</c:v>
              </c:pt>
              <c:pt idx="245">
                <c:v>0.109</c:v>
              </c:pt>
              <c:pt idx="246">
                <c:v>4.8000000000000001E-2</c:v>
              </c:pt>
              <c:pt idx="247">
                <c:v>0.10199999999999999</c:v>
              </c:pt>
              <c:pt idx="248">
                <c:v>0.05</c:v>
              </c:pt>
              <c:pt idx="249">
                <c:v>7.5999999999999998E-2</c:v>
              </c:pt>
              <c:pt idx="250">
                <c:v>6.7000000000000004E-2</c:v>
              </c:pt>
              <c:pt idx="251">
                <c:v>4.4999999999999998E-2</c:v>
              </c:pt>
              <c:pt idx="252">
                <c:v>0.11899999999999999</c:v>
              </c:pt>
              <c:pt idx="253">
                <c:v>0.11799999999999999</c:v>
              </c:pt>
              <c:pt idx="254">
                <c:v>8.6999999999999994E-2</c:v>
              </c:pt>
              <c:pt idx="255">
                <c:v>0.13600000000000001</c:v>
              </c:pt>
              <c:pt idx="256">
                <c:v>9.1999999999999998E-2</c:v>
              </c:pt>
              <c:pt idx="257">
                <c:v>8.8999999999999996E-2</c:v>
              </c:pt>
              <c:pt idx="258">
                <c:v>0.09</c:v>
              </c:pt>
              <c:pt idx="259">
                <c:v>5.3999999999999999E-2</c:v>
              </c:pt>
              <c:pt idx="260">
                <c:v>8.2000000000000003E-2</c:v>
              </c:pt>
              <c:pt idx="261">
                <c:v>6.2E-2</c:v>
              </c:pt>
              <c:pt idx="262">
                <c:v>7.0000000000000007E-2</c:v>
              </c:pt>
              <c:pt idx="263">
                <c:v>2.1999999999999999E-2</c:v>
              </c:pt>
              <c:pt idx="264">
                <c:v>5.1999999999999998E-2</c:v>
              </c:pt>
              <c:pt idx="265">
                <c:v>4.7E-2</c:v>
              </c:pt>
              <c:pt idx="266">
                <c:v>5.7000000000000002E-2</c:v>
              </c:pt>
              <c:pt idx="267">
                <c:v>3.4000000000000002E-2</c:v>
              </c:pt>
              <c:pt idx="268">
                <c:v>7.3999999999999996E-2</c:v>
              </c:pt>
              <c:pt idx="269">
                <c:v>5.8000000000000003E-2</c:v>
              </c:pt>
              <c:pt idx="270">
                <c:v>7.0999999999999994E-2</c:v>
              </c:pt>
              <c:pt idx="271">
                <c:v>4.7E-2</c:v>
              </c:pt>
              <c:pt idx="272">
                <c:v>6.5000000000000002E-2</c:v>
              </c:pt>
              <c:pt idx="273">
                <c:v>4.9000000000000002E-2</c:v>
              </c:pt>
              <c:pt idx="274">
                <c:v>6.2E-2</c:v>
              </c:pt>
              <c:pt idx="275">
                <c:v>8.5999999999999993E-2</c:v>
              </c:pt>
              <c:pt idx="276">
                <c:v>7.8E-2</c:v>
              </c:pt>
              <c:pt idx="277">
                <c:v>0.104</c:v>
              </c:pt>
              <c:pt idx="278">
                <c:v>6.2E-2</c:v>
              </c:pt>
              <c:pt idx="279">
                <c:v>8.3000000000000004E-2</c:v>
              </c:pt>
              <c:pt idx="280">
                <c:v>7.4999999999999997E-2</c:v>
              </c:pt>
              <c:pt idx="281">
                <c:v>7.2999999999999995E-2</c:v>
              </c:pt>
              <c:pt idx="282">
                <c:v>9.6000000000000002E-2</c:v>
              </c:pt>
              <c:pt idx="283">
                <c:v>0.08</c:v>
              </c:pt>
              <c:pt idx="284">
                <c:v>6.2E-2</c:v>
              </c:pt>
              <c:pt idx="285">
                <c:v>4.8000000000000001E-2</c:v>
              </c:pt>
              <c:pt idx="286">
                <c:v>5.5E-2</c:v>
              </c:pt>
              <c:pt idx="287">
                <c:v>4.4999999999999998E-2</c:v>
              </c:pt>
              <c:pt idx="288">
                <c:v>6.0999999999999999E-2</c:v>
              </c:pt>
              <c:pt idx="289">
                <c:v>7.5999999999999998E-2</c:v>
              </c:pt>
              <c:pt idx="290">
                <c:v>0.05</c:v>
              </c:pt>
              <c:pt idx="291">
                <c:v>4.9000000000000002E-2</c:v>
              </c:pt>
              <c:pt idx="292">
                <c:v>5.2999999999999999E-2</c:v>
              </c:pt>
              <c:pt idx="293">
                <c:v>5.0999999999999997E-2</c:v>
              </c:pt>
              <c:pt idx="294">
                <c:v>5.3999999999999999E-2</c:v>
              </c:pt>
              <c:pt idx="295">
                <c:v>3.5000000000000003E-2</c:v>
              </c:pt>
              <c:pt idx="296">
                <c:v>4.3999999999999997E-2</c:v>
              </c:pt>
              <c:pt idx="297">
                <c:v>0.09</c:v>
              </c:pt>
              <c:pt idx="298">
                <c:v>0.05</c:v>
              </c:pt>
              <c:pt idx="299">
                <c:v>3.2000000000000001E-2</c:v>
              </c:pt>
              <c:pt idx="300">
                <c:v>5.7000000000000002E-2</c:v>
              </c:pt>
              <c:pt idx="301">
                <c:v>1.0999999999999999E-2</c:v>
              </c:pt>
              <c:pt idx="302">
                <c:v>3.9E-2</c:v>
              </c:pt>
              <c:pt idx="303">
                <c:v>4.1000000000000002E-2</c:v>
              </c:pt>
              <c:pt idx="304">
                <c:v>1.7999999999999999E-2</c:v>
              </c:pt>
              <c:pt idx="305">
                <c:v>3.5000000000000003E-2</c:v>
              </c:pt>
              <c:pt idx="306">
                <c:v>4.4999999999999998E-2</c:v>
              </c:pt>
              <c:pt idx="307">
                <c:v>2.1999999999999999E-2</c:v>
              </c:pt>
              <c:pt idx="308">
                <c:v>3.5000000000000003E-2</c:v>
              </c:pt>
              <c:pt idx="309">
                <c:v>2.7E-2</c:v>
              </c:pt>
              <c:pt idx="310">
                <c:v>1.9E-2</c:v>
              </c:pt>
              <c:pt idx="311">
                <c:v>1.6E-2</c:v>
              </c:pt>
              <c:pt idx="312">
                <c:v>0</c:v>
              </c:pt>
              <c:pt idx="313">
                <c:v>3.0000000000000001E-3</c:v>
              </c:pt>
              <c:pt idx="314">
                <c:v>7.0000000000000001E-3</c:v>
              </c:pt>
              <c:pt idx="315">
                <c:v>1E-3</c:v>
              </c:pt>
              <c:pt idx="316">
                <c:v>2.8000000000000001E-2</c:v>
              </c:pt>
              <c:pt idx="317">
                <c:v>0.01</c:v>
              </c:pt>
              <c:pt idx="318">
                <c:v>8.0000000000000002E-3</c:v>
              </c:pt>
              <c:pt idx="319">
                <c:v>2.1999999999999999E-2</c:v>
              </c:pt>
              <c:pt idx="320">
                <c:v>3.0000000000000001E-3</c:v>
              </c:pt>
              <c:pt idx="321">
                <c:v>2.3E-2</c:v>
              </c:pt>
              <c:pt idx="322">
                <c:v>7.0000000000000001E-3</c:v>
              </c:pt>
              <c:pt idx="323">
                <c:v>1.2E-2</c:v>
              </c:pt>
              <c:pt idx="324">
                <c:v>1E-3</c:v>
              </c:pt>
              <c:pt idx="325">
                <c:v>0.01</c:v>
              </c:pt>
              <c:pt idx="326">
                <c:v>1.0999999999999999E-2</c:v>
              </c:pt>
              <c:pt idx="327">
                <c:v>1.7999999999999999E-2</c:v>
              </c:pt>
              <c:pt idx="328">
                <c:v>4.0000000000000001E-3</c:v>
              </c:pt>
              <c:pt idx="329">
                <c:v>0</c:v>
              </c:pt>
              <c:pt idx="330">
                <c:v>7.0000000000000001E-3</c:v>
              </c:pt>
              <c:pt idx="331">
                <c:v>0.01</c:v>
              </c:pt>
              <c:pt idx="332">
                <c:v>0</c:v>
              </c:pt>
              <c:pt idx="333">
                <c:v>1E-3</c:v>
              </c:pt>
              <c:pt idx="334">
                <c:v>8.9999999999999993E-3</c:v>
              </c:pt>
              <c:pt idx="335">
                <c:v>6.0000000000000001E-3</c:v>
              </c:pt>
              <c:pt idx="336">
                <c:v>2E-3</c:v>
              </c:pt>
              <c:pt idx="337">
                <c:v>2.9000000000000001E-2</c:v>
              </c:pt>
              <c:pt idx="338">
                <c:v>1.4999999999999999E-2</c:v>
              </c:pt>
              <c:pt idx="339">
                <c:v>3.0000000000000001E-3</c:v>
              </c:pt>
              <c:pt idx="340">
                <c:v>4.2000000000000003E-2</c:v>
              </c:pt>
              <c:pt idx="341">
                <c:v>0</c:v>
              </c:pt>
              <c:pt idx="342">
                <c:v>1.6E-2</c:v>
              </c:pt>
              <c:pt idx="343">
                <c:v>1.2999999999999999E-2</c:v>
              </c:pt>
              <c:pt idx="344">
                <c:v>0</c:v>
              </c:pt>
              <c:pt idx="345">
                <c:v>1.2999999999999999E-2</c:v>
              </c:pt>
              <c:pt idx="346">
                <c:v>4.0000000000000001E-3</c:v>
              </c:pt>
              <c:pt idx="347">
                <c:v>0.02</c:v>
              </c:pt>
              <c:pt idx="348">
                <c:v>1.4E-2</c:v>
              </c:pt>
              <c:pt idx="349">
                <c:v>2E-3</c:v>
              </c:pt>
              <c:pt idx="350">
                <c:v>0</c:v>
              </c:pt>
              <c:pt idx="351">
                <c:v>2.5000000000000001E-2</c:v>
              </c:pt>
              <c:pt idx="352">
                <c:v>4.0000000000000001E-3</c:v>
              </c:pt>
              <c:pt idx="353">
                <c:v>1E-3</c:v>
              </c:pt>
              <c:pt idx="354">
                <c:v>1.0999999999999999E-2</c:v>
              </c:pt>
              <c:pt idx="355">
                <c:v>1.7999999999999999E-2</c:v>
              </c:pt>
              <c:pt idx="356">
                <c:v>8.0000000000000002E-3</c:v>
              </c:pt>
              <c:pt idx="357">
                <c:v>4.3999999999999997E-2</c:v>
              </c:pt>
              <c:pt idx="358">
                <c:v>5.6000000000000001E-2</c:v>
              </c:pt>
              <c:pt idx="359">
                <c:v>4.7E-2</c:v>
              </c:pt>
              <c:pt idx="360">
                <c:v>2.8000000000000001E-2</c:v>
              </c:pt>
              <c:pt idx="361">
                <c:v>4.5999999999999999E-2</c:v>
              </c:pt>
              <c:pt idx="362">
                <c:v>6.3E-2</c:v>
              </c:pt>
              <c:pt idx="363">
                <c:v>7.6999999999999999E-2</c:v>
              </c:pt>
              <c:pt idx="364">
                <c:v>9.7000000000000003E-2</c:v>
              </c:pt>
              <c:pt idx="365">
                <c:v>0.114</c:v>
              </c:pt>
              <c:pt idx="366">
                <c:v>0.124</c:v>
              </c:pt>
              <c:pt idx="367">
                <c:v>0.14499999999999999</c:v>
              </c:pt>
              <c:pt idx="368">
                <c:v>0.191</c:v>
              </c:pt>
              <c:pt idx="369">
                <c:v>0.20399999999999999</c:v>
              </c:pt>
              <c:pt idx="370">
                <c:v>0.20399999999999999</c:v>
              </c:pt>
              <c:pt idx="371">
                <c:v>0.20899999999999999</c:v>
              </c:pt>
              <c:pt idx="372">
                <c:v>0.20499999999999999</c:v>
              </c:pt>
              <c:pt idx="373">
                <c:v>0.247</c:v>
              </c:pt>
              <c:pt idx="374">
                <c:v>0.27300000000000002</c:v>
              </c:pt>
              <c:pt idx="375">
                <c:v>0.27100000000000002</c:v>
              </c:pt>
              <c:pt idx="376">
                <c:v>0.32200000000000001</c:v>
              </c:pt>
              <c:pt idx="377">
                <c:v>0.33800000000000002</c:v>
              </c:pt>
              <c:pt idx="378">
                <c:v>0.42099999999999999</c:v>
              </c:pt>
              <c:pt idx="379">
                <c:v>0.44600000000000001</c:v>
              </c:pt>
              <c:pt idx="380">
                <c:v>0.42599999999999999</c:v>
              </c:pt>
              <c:pt idx="381">
                <c:v>0.501</c:v>
              </c:pt>
              <c:pt idx="382">
                <c:v>0.53300000000000003</c:v>
              </c:pt>
              <c:pt idx="383">
                <c:v>0.52900000000000003</c:v>
              </c:pt>
              <c:pt idx="384">
                <c:v>0.59099999999999997</c:v>
              </c:pt>
              <c:pt idx="385">
                <c:v>0.626</c:v>
              </c:pt>
              <c:pt idx="386">
                <c:v>0.68700000000000006</c:v>
              </c:pt>
              <c:pt idx="387">
                <c:v>0.72399999999999998</c:v>
              </c:pt>
              <c:pt idx="388">
                <c:v>0.73599999999999999</c:v>
              </c:pt>
              <c:pt idx="389">
                <c:v>0.76200000000000001</c:v>
              </c:pt>
              <c:pt idx="390">
                <c:v>0.77600000000000002</c:v>
              </c:pt>
              <c:pt idx="391">
                <c:v>0.83699999999999997</c:v>
              </c:pt>
              <c:pt idx="392">
                <c:v>0.86799999999999999</c:v>
              </c:pt>
              <c:pt idx="393">
                <c:v>0.95699999999999996</c:v>
              </c:pt>
              <c:pt idx="394">
                <c:v>0.98699999999999999</c:v>
              </c:pt>
              <c:pt idx="395">
                <c:v>1.149</c:v>
              </c:pt>
              <c:pt idx="396">
                <c:v>1.181</c:v>
              </c:pt>
              <c:pt idx="397">
                <c:v>1.2629999999999999</c:v>
              </c:pt>
              <c:pt idx="398">
                <c:v>1.395</c:v>
              </c:pt>
              <c:pt idx="399">
                <c:v>1.397</c:v>
              </c:pt>
              <c:pt idx="400">
                <c:v>1.3779999999999999</c:v>
              </c:pt>
              <c:pt idx="401">
                <c:v>1.4730000000000001</c:v>
              </c:pt>
              <c:pt idx="402">
                <c:v>1.365</c:v>
              </c:pt>
              <c:pt idx="403">
                <c:v>1.5569999999999999</c:v>
              </c:pt>
              <c:pt idx="404">
                <c:v>1.6759999999999999</c:v>
              </c:pt>
              <c:pt idx="405">
                <c:v>1.577</c:v>
              </c:pt>
              <c:pt idx="406">
                <c:v>1.5580000000000001</c:v>
              </c:pt>
              <c:pt idx="407">
                <c:v>1.4770000000000001</c:v>
              </c:pt>
              <c:pt idx="408">
                <c:v>1.373</c:v>
              </c:pt>
              <c:pt idx="409">
                <c:v>1.3220000000000001</c:v>
              </c:pt>
              <c:pt idx="410">
                <c:v>1.29</c:v>
              </c:pt>
              <c:pt idx="411">
                <c:v>1.2030000000000001</c:v>
              </c:pt>
              <c:pt idx="412">
                <c:v>1.1559999999999999</c:v>
              </c:pt>
              <c:pt idx="413">
                <c:v>1.1259999999999999</c:v>
              </c:pt>
              <c:pt idx="414">
                <c:v>1.1850000000000001</c:v>
              </c:pt>
              <c:pt idx="415">
                <c:v>1.28</c:v>
              </c:pt>
              <c:pt idx="416">
                <c:v>1.3260000000000001</c:v>
              </c:pt>
              <c:pt idx="417">
                <c:v>1.401</c:v>
              </c:pt>
              <c:pt idx="418">
                <c:v>1.3879999999999999</c:v>
              </c:pt>
              <c:pt idx="419">
                <c:v>1.4039999999999999</c:v>
              </c:pt>
              <c:pt idx="420">
                <c:v>1.3420000000000001</c:v>
              </c:pt>
              <c:pt idx="421">
                <c:v>1.3160000000000001</c:v>
              </c:pt>
              <c:pt idx="422">
                <c:v>1.3180000000000001</c:v>
              </c:pt>
              <c:pt idx="423">
                <c:v>1.2549999999999999</c:v>
              </c:pt>
              <c:pt idx="424">
                <c:v>1.2509999999999999</c:v>
              </c:pt>
              <c:pt idx="425">
                <c:v>1.224</c:v>
              </c:pt>
              <c:pt idx="426">
                <c:v>1.0629999999999999</c:v>
              </c:pt>
              <c:pt idx="427">
                <c:v>1.046</c:v>
              </c:pt>
              <c:pt idx="428">
                <c:v>1.117</c:v>
              </c:pt>
              <c:pt idx="429">
                <c:v>1.0549999999999999</c:v>
              </c:pt>
              <c:pt idx="430">
                <c:v>0.99</c:v>
              </c:pt>
              <c:pt idx="431">
                <c:v>1.0960000000000001</c:v>
              </c:pt>
              <c:pt idx="432">
                <c:v>1.1299999999999999</c:v>
              </c:pt>
              <c:pt idx="433">
                <c:v>1.357</c:v>
              </c:pt>
              <c:pt idx="434">
                <c:v>1.5429999999999999</c:v>
              </c:pt>
              <c:pt idx="435">
                <c:v>1.536</c:v>
              </c:pt>
              <c:pt idx="436">
                <c:v>1.4490000000000001</c:v>
              </c:pt>
              <c:pt idx="437">
                <c:v>1.4179999999999999</c:v>
              </c:pt>
              <c:pt idx="438">
                <c:v>1.5389999999999999</c:v>
              </c:pt>
              <c:pt idx="439">
                <c:v>1.619</c:v>
              </c:pt>
              <c:pt idx="440">
                <c:v>1.74</c:v>
              </c:pt>
              <c:pt idx="441">
                <c:v>1.909</c:v>
              </c:pt>
              <c:pt idx="442">
                <c:v>2.0139999999999998</c:v>
              </c:pt>
              <c:pt idx="443">
                <c:v>1.877</c:v>
              </c:pt>
              <c:pt idx="444">
                <c:v>2.0640000000000001</c:v>
              </c:pt>
              <c:pt idx="445">
                <c:v>2.0230000000000001</c:v>
              </c:pt>
              <c:pt idx="446">
                <c:v>2.17</c:v>
              </c:pt>
              <c:pt idx="447">
                <c:v>2.105</c:v>
              </c:pt>
              <c:pt idx="448">
                <c:v>2.0350000000000001</c:v>
              </c:pt>
              <c:pt idx="449">
                <c:v>1.9910000000000001</c:v>
              </c:pt>
              <c:pt idx="450">
                <c:v>1.8009999999999999</c:v>
              </c:pt>
              <c:pt idx="451">
                <c:v>1.708</c:v>
              </c:pt>
              <c:pt idx="452">
                <c:v>1.5860000000000001</c:v>
              </c:pt>
              <c:pt idx="453">
                <c:v>1.5049999999999999</c:v>
              </c:pt>
              <c:pt idx="454">
                <c:v>1.5589999999999999</c:v>
              </c:pt>
              <c:pt idx="455">
                <c:v>1.661</c:v>
              </c:pt>
              <c:pt idx="456">
                <c:v>1.651</c:v>
              </c:pt>
              <c:pt idx="457">
                <c:v>1.502</c:v>
              </c:pt>
              <c:pt idx="458">
                <c:v>1.2969999999999999</c:v>
              </c:pt>
              <c:pt idx="459">
                <c:v>1.288</c:v>
              </c:pt>
              <c:pt idx="460">
                <c:v>1.421</c:v>
              </c:pt>
              <c:pt idx="461">
                <c:v>1.3560000000000001</c:v>
              </c:pt>
              <c:pt idx="462">
                <c:v>1.625</c:v>
              </c:pt>
              <c:pt idx="463">
                <c:v>1.7450000000000001</c:v>
              </c:pt>
              <c:pt idx="464">
                <c:v>1.7030000000000001</c:v>
              </c:pt>
              <c:pt idx="465">
                <c:v>1.6639999999999999</c:v>
              </c:pt>
              <c:pt idx="466">
                <c:v>1.696</c:v>
              </c:pt>
              <c:pt idx="467">
                <c:v>1.653</c:v>
              </c:pt>
              <c:pt idx="468">
                <c:v>1.5449999999999999</c:v>
              </c:pt>
              <c:pt idx="469">
                <c:v>1.5</c:v>
              </c:pt>
              <c:pt idx="470">
                <c:v>1.4770000000000001</c:v>
              </c:pt>
              <c:pt idx="471">
                <c:v>1.51</c:v>
              </c:pt>
              <c:pt idx="472">
                <c:v>1.552</c:v>
              </c:pt>
              <c:pt idx="473">
                <c:v>1.72</c:v>
              </c:pt>
              <c:pt idx="474">
                <c:v>1.859</c:v>
              </c:pt>
              <c:pt idx="475">
                <c:v>1.9630000000000001</c:v>
              </c:pt>
              <c:pt idx="476">
                <c:v>2.008</c:v>
              </c:pt>
              <c:pt idx="477">
                <c:v>1.901</c:v>
              </c:pt>
              <c:pt idx="478">
                <c:v>1.796</c:v>
              </c:pt>
              <c:pt idx="479">
                <c:v>1.9410000000000001</c:v>
              </c:pt>
              <c:pt idx="480">
                <c:v>1.996</c:v>
              </c:pt>
              <c:pt idx="481">
                <c:v>2.202</c:v>
              </c:pt>
              <c:pt idx="482">
                <c:v>2.5449999999999999</c:v>
              </c:pt>
              <c:pt idx="483">
                <c:v>2.67</c:v>
              </c:pt>
              <c:pt idx="484">
                <c:v>3.13</c:v>
              </c:pt>
              <c:pt idx="485">
                <c:v>3.7639999999999998</c:v>
              </c:pt>
              <c:pt idx="486">
                <c:v>3.7250000000000001</c:v>
              </c:pt>
              <c:pt idx="487">
                <c:v>3.7130000000000001</c:v>
              </c:pt>
              <c:pt idx="488">
                <c:v>3.895</c:v>
              </c:pt>
              <c:pt idx="489">
                <c:v>4.0659999999999998</c:v>
              </c:pt>
              <c:pt idx="490">
                <c:v>4.0629999999999997</c:v>
              </c:pt>
              <c:pt idx="491">
                <c:v>4.1760000000000002</c:v>
              </c:pt>
              <c:pt idx="492">
                <c:v>4.6040000000000001</c:v>
              </c:pt>
              <c:pt idx="493">
                <c:v>4.9340000000000002</c:v>
              </c:pt>
              <c:pt idx="494">
                <c:v>5.101</c:v>
              </c:pt>
              <c:pt idx="495">
                <c:v>5.1779999999999999</c:v>
              </c:pt>
              <c:pt idx="496">
                <c:v>5.109</c:v>
              </c:pt>
              <c:pt idx="497">
                <c:v>5.0090000000000003</c:v>
              </c:pt>
              <c:pt idx="498">
                <c:v>4.782</c:v>
              </c:pt>
              <c:pt idx="499">
                <c:v>4.8460000000000001</c:v>
              </c:pt>
              <c:pt idx="500">
                <c:v>5.2460000000000004</c:v>
              </c:pt>
              <c:pt idx="501">
                <c:v>5.3890000000000002</c:v>
              </c:pt>
              <c:pt idx="502">
                <c:v>5.9130000000000003</c:v>
              </c:pt>
              <c:pt idx="503">
                <c:v>6.8540000000000001</c:v>
              </c:pt>
              <c:pt idx="504">
                <c:v>7.0250000000000004</c:v>
              </c:pt>
              <c:pt idx="505">
                <c:v>7.1520000000000001</c:v>
              </c:pt>
              <c:pt idx="506">
                <c:v>8.01</c:v>
              </c:pt>
              <c:pt idx="507">
                <c:v>9.09</c:v>
              </c:pt>
              <c:pt idx="508">
                <c:v>8.76</c:v>
              </c:pt>
              <c:pt idx="509">
                <c:v>8.73</c:v>
              </c:pt>
              <c:pt idx="510">
                <c:v>8.2899999999999991</c:v>
              </c:pt>
              <c:pt idx="511">
                <c:v>8.66</c:v>
              </c:pt>
              <c:pt idx="512">
                <c:v>8.92</c:v>
              </c:pt>
              <c:pt idx="513">
                <c:v>9.3800000000000008</c:v>
              </c:pt>
              <c:pt idx="514">
                <c:v>10.18</c:v>
              </c:pt>
              <c:pt idx="515">
                <c:v>10</c:v>
              </c:pt>
              <c:pt idx="516">
                <c:v>10.1</c:v>
              </c:pt>
              <c:pt idx="517">
                <c:v>11.42</c:v>
              </c:pt>
              <c:pt idx="518">
                <c:v>12.36</c:v>
              </c:pt>
              <c:pt idx="519">
                <c:v>13.23</c:v>
              </c:pt>
              <c:pt idx="520">
                <c:v>14.39</c:v>
              </c:pt>
              <c:pt idx="521">
                <c:v>14.52</c:v>
              </c:pt>
              <c:pt idx="522">
                <c:v>14.88</c:v>
              </c:pt>
              <c:pt idx="523">
                <c:v>15.28</c:v>
              </c:pt>
              <c:pt idx="524">
                <c:v>15.43</c:v>
              </c:pt>
              <c:pt idx="525">
                <c:v>15.23</c:v>
              </c:pt>
              <c:pt idx="526">
                <c:v>14.17</c:v>
              </c:pt>
              <c:pt idx="527">
                <c:v>14.37</c:v>
              </c:pt>
              <c:pt idx="528">
                <c:v>14.3</c:v>
              </c:pt>
              <c:pt idx="529">
                <c:v>13.92</c:v>
              </c:pt>
              <c:pt idx="530">
                <c:v>13.36</c:v>
              </c:pt>
              <c:pt idx="531">
                <c:v>11.97</c:v>
              </c:pt>
              <c:pt idx="532">
                <c:v>9.52</c:v>
              </c:pt>
              <c:pt idx="533">
                <c:v>7.1150000000000002</c:v>
              </c:pt>
              <c:pt idx="534">
                <c:v>6.66</c:v>
              </c:pt>
              <c:pt idx="535">
                <c:v>7.218</c:v>
              </c:pt>
              <c:pt idx="536">
                <c:v>7.2249999999999996</c:v>
              </c:pt>
              <c:pt idx="537">
                <c:v>7.476</c:v>
              </c:pt>
              <c:pt idx="538">
                <c:v>8.82</c:v>
              </c:pt>
              <c:pt idx="539">
                <c:v>10.99</c:v>
              </c:pt>
              <c:pt idx="540">
                <c:v>12.82</c:v>
              </c:pt>
              <c:pt idx="541">
                <c:v>13.41</c:v>
              </c:pt>
              <c:pt idx="542">
                <c:v>13.52</c:v>
              </c:pt>
              <c:pt idx="543">
                <c:v>12.71</c:v>
              </c:pt>
              <c:pt idx="544">
                <c:v>12.27</c:v>
              </c:pt>
              <c:pt idx="545">
                <c:v>10.99</c:v>
              </c:pt>
              <c:pt idx="546">
                <c:v>9.8699999999999992</c:v>
              </c:pt>
              <c:pt idx="547">
                <c:v>10.54</c:v>
              </c:pt>
              <c:pt idx="548">
                <c:v>10.83</c:v>
              </c:pt>
              <c:pt idx="549">
                <c:v>9.5299999999999994</c:v>
              </c:pt>
              <c:pt idx="550">
                <c:v>7.82</c:v>
              </c:pt>
              <c:pt idx="551">
                <c:v>6.8540000000000001</c:v>
              </c:pt>
              <c:pt idx="552">
                <c:v>6.5190000000000001</c:v>
              </c:pt>
              <c:pt idx="553">
                <c:v>6.3380000000000001</c:v>
              </c:pt>
              <c:pt idx="554">
                <c:v>6.0410000000000004</c:v>
              </c:pt>
              <c:pt idx="555">
                <c:v>5.5750000000000002</c:v>
              </c:pt>
              <c:pt idx="556">
                <c:v>4.867</c:v>
              </c:pt>
              <c:pt idx="557">
                <c:v>4.6589999999999998</c:v>
              </c:pt>
              <c:pt idx="558">
                <c:v>5.1509999999999998</c:v>
              </c:pt>
              <c:pt idx="559">
                <c:v>5.202</c:v>
              </c:pt>
              <c:pt idx="560">
                <c:v>4.9870000000000001</c:v>
              </c:pt>
              <c:pt idx="561">
                <c:v>4.71</c:v>
              </c:pt>
              <c:pt idx="562">
                <c:v>4.5369999999999999</c:v>
              </c:pt>
              <c:pt idx="563">
                <c:v>4.681</c:v>
              </c:pt>
              <c:pt idx="564">
                <c:v>4.9729999999999999</c:v>
              </c:pt>
              <c:pt idx="565">
                <c:v>5.2770000000000001</c:v>
              </c:pt>
              <c:pt idx="566">
                <c:v>5.4610000000000003</c:v>
              </c:pt>
              <c:pt idx="567">
                <c:v>5.1340000000000003</c:v>
              </c:pt>
              <c:pt idx="568">
                <c:v>5.2679999999999998</c:v>
              </c:pt>
              <c:pt idx="569">
                <c:v>5.4859999999999998</c:v>
              </c:pt>
              <c:pt idx="570">
                <c:v>5.56</c:v>
              </c:pt>
              <c:pt idx="571">
                <c:v>5.7359999999999998</c:v>
              </c:pt>
              <c:pt idx="572">
                <c:v>6.08</c:v>
              </c:pt>
              <c:pt idx="573">
                <c:v>6.423</c:v>
              </c:pt>
              <c:pt idx="574">
                <c:v>6.4409999999999998</c:v>
              </c:pt>
              <c:pt idx="575">
                <c:v>6.8559999999999999</c:v>
              </c:pt>
              <c:pt idx="576">
                <c:v>6.9660000000000002</c:v>
              </c:pt>
              <c:pt idx="577">
                <c:v>6.9269999999999996</c:v>
              </c:pt>
              <c:pt idx="578">
                <c:v>6.9870000000000001</c:v>
              </c:pt>
              <c:pt idx="579">
                <c:v>7.0490000000000004</c:v>
              </c:pt>
              <c:pt idx="580">
                <c:v>7.1180000000000003</c:v>
              </c:pt>
              <c:pt idx="581">
                <c:v>7.9139999999999997</c:v>
              </c:pt>
              <c:pt idx="582">
                <c:v>9.1199999999999992</c:v>
              </c:pt>
              <c:pt idx="583">
                <c:v>10.09</c:v>
              </c:pt>
              <c:pt idx="584">
                <c:v>10.69</c:v>
              </c:pt>
              <c:pt idx="585">
                <c:v>10.97</c:v>
              </c:pt>
              <c:pt idx="586">
                <c:v>11.77</c:v>
              </c:pt>
              <c:pt idx="587">
                <c:v>12.44</c:v>
              </c:pt>
              <c:pt idx="588">
                <c:v>13.2</c:v>
              </c:pt>
              <c:pt idx="589">
                <c:v>13.84</c:v>
              </c:pt>
              <c:pt idx="590">
                <c:v>14.62</c:v>
              </c:pt>
              <c:pt idx="591">
                <c:v>15.35</c:v>
              </c:pt>
              <c:pt idx="592">
                <c:v>16.079999999999998</c:v>
              </c:pt>
              <c:pt idx="593">
                <c:v>17.27</c:v>
              </c:pt>
              <c:pt idx="594">
                <c:v>18.59</c:v>
              </c:pt>
              <c:pt idx="595">
                <c:v>19.63</c:v>
              </c:pt>
              <c:pt idx="596">
                <c:v>20.36</c:v>
              </c:pt>
              <c:pt idx="597">
                <c:v>20.149999999999999</c:v>
              </c:pt>
              <c:pt idx="598">
                <c:v>20.05</c:v>
              </c:pt>
              <c:pt idx="599">
                <c:v>19.760000000000002</c:v>
              </c:pt>
              <c:pt idx="600">
                <c:v>19.73</c:v>
              </c:pt>
              <c:pt idx="601">
                <c:v>20.38</c:v>
              </c:pt>
              <c:pt idx="602">
                <c:v>20.420000000000002</c:v>
              </c:pt>
              <c:pt idx="603">
                <c:v>19.82</c:v>
              </c:pt>
              <c:pt idx="604">
                <c:v>19.07</c:v>
              </c:pt>
              <c:pt idx="605">
                <c:v>18.02</c:v>
              </c:pt>
              <c:pt idx="606">
                <c:v>18.350000000000001</c:v>
              </c:pt>
              <c:pt idx="607">
                <c:v>18</c:v>
              </c:pt>
              <c:pt idx="608">
                <c:v>17.09</c:v>
              </c:pt>
              <c:pt idx="609">
                <c:v>17.2</c:v>
              </c:pt>
              <c:pt idx="610">
                <c:v>17.88</c:v>
              </c:pt>
              <c:pt idx="611">
                <c:v>18.55</c:v>
              </c:pt>
              <c:pt idx="612">
                <c:v>19.25</c:v>
              </c:pt>
              <c:pt idx="613">
                <c:v>19.190000000000001</c:v>
              </c:pt>
              <c:pt idx="614">
                <c:v>19.5</c:v>
              </c:pt>
              <c:pt idx="615">
                <c:v>19.559999999999999</c:v>
              </c:pt>
              <c:pt idx="616">
                <c:v>19.190000000000001</c:v>
              </c:pt>
              <c:pt idx="617">
                <c:v>19.57</c:v>
              </c:pt>
              <c:pt idx="618">
                <c:v>20.239999999999998</c:v>
              </c:pt>
              <c:pt idx="619">
                <c:v>20.48</c:v>
              </c:pt>
              <c:pt idx="620">
                <c:v>20.78</c:v>
              </c:pt>
              <c:pt idx="621">
                <c:v>20.65</c:v>
              </c:pt>
              <c:pt idx="622">
                <c:v>20.49</c:v>
              </c:pt>
              <c:pt idx="623">
                <c:v>20.3</c:v>
              </c:pt>
              <c:pt idx="624">
                <c:v>20.190000000000001</c:v>
              </c:pt>
              <c:pt idx="625">
                <c:v>19.82</c:v>
              </c:pt>
              <c:pt idx="626">
                <c:v>18.989999999999998</c:v>
              </c:pt>
              <c:pt idx="627">
                <c:v>17.82</c:v>
              </c:pt>
              <c:pt idx="628">
                <c:v>17.28</c:v>
              </c:pt>
              <c:pt idx="629">
                <c:v>16.91</c:v>
              </c:pt>
              <c:pt idx="630">
                <c:v>16.82</c:v>
              </c:pt>
              <c:pt idx="631">
                <c:v>16.86</c:v>
              </c:pt>
              <c:pt idx="632">
                <c:v>16.91</c:v>
              </c:pt>
              <c:pt idx="633">
                <c:v>17.07</c:v>
              </c:pt>
              <c:pt idx="634">
                <c:v>17.350000000000001</c:v>
              </c:pt>
              <c:pt idx="635">
                <c:v>17.41</c:v>
              </c:pt>
              <c:pt idx="636">
                <c:v>17.29</c:v>
              </c:pt>
              <c:pt idx="637">
                <c:v>16.989999999999998</c:v>
              </c:pt>
              <c:pt idx="638">
                <c:v>16.920000000000002</c:v>
              </c:pt>
              <c:pt idx="639">
                <c:v>17.559999999999999</c:v>
              </c:pt>
              <c:pt idx="640">
                <c:v>18.149999999999999</c:v>
              </c:pt>
              <c:pt idx="641">
                <c:v>18.649999999999999</c:v>
              </c:pt>
              <c:pt idx="642">
                <c:v>18.989999999999998</c:v>
              </c:pt>
              <c:pt idx="643">
                <c:v>19.510000000000002</c:v>
              </c:pt>
              <c:pt idx="644">
                <c:v>19.39</c:v>
              </c:pt>
              <c:pt idx="645">
                <c:v>19.350000000000001</c:v>
              </c:pt>
              <c:pt idx="646">
                <c:v>20.87</c:v>
              </c:pt>
              <c:pt idx="647">
                <c:v>21.78</c:v>
              </c:pt>
              <c:pt idx="648">
                <c:v>22.62</c:v>
              </c:pt>
              <c:pt idx="649">
                <c:v>23.54</c:v>
              </c:pt>
              <c:pt idx="650">
                <c:v>24.56</c:v>
              </c:pt>
              <c:pt idx="651">
                <c:v>25.47</c:v>
              </c:pt>
              <c:pt idx="652">
                <c:v>26.39</c:v>
              </c:pt>
              <c:pt idx="653">
                <c:v>27.19</c:v>
              </c:pt>
              <c:pt idx="654">
                <c:v>27.67</c:v>
              </c:pt>
              <c:pt idx="655">
                <c:v>28.04</c:v>
              </c:pt>
              <c:pt idx="656">
                <c:v>28.68</c:v>
              </c:pt>
              <c:pt idx="657">
                <c:v>30.36</c:v>
              </c:pt>
              <c:pt idx="658">
                <c:v>31.66</c:v>
              </c:pt>
              <c:pt idx="659">
                <c:v>33.03</c:v>
              </c:pt>
              <c:pt idx="660">
                <c:v>33.880000000000003</c:v>
              </c:pt>
              <c:pt idx="661">
                <c:v>34.04</c:v>
              </c:pt>
              <c:pt idx="662">
                <c:v>34.56</c:v>
              </c:pt>
              <c:pt idx="663">
                <c:v>34.39</c:v>
              </c:pt>
              <c:pt idx="664">
                <c:v>35.090000000000003</c:v>
              </c:pt>
              <c:pt idx="665">
                <c:v>35.409999999999997</c:v>
              </c:pt>
              <c:pt idx="666">
                <c:v>35.74</c:v>
              </c:pt>
              <c:pt idx="667">
                <c:v>35.97</c:v>
              </c:pt>
              <c:pt idx="668">
                <c:v>34.75</c:v>
              </c:pt>
              <c:pt idx="669">
                <c:v>33.369999999999997</c:v>
              </c:pt>
              <c:pt idx="670">
                <c:v>31.29</c:v>
              </c:pt>
              <c:pt idx="671">
                <c:v>28.18</c:v>
              </c:pt>
              <c:pt idx="672">
                <c:v>24.98</c:v>
              </c:pt>
              <c:pt idx="673">
                <c:v>23.17</c:v>
              </c:pt>
              <c:pt idx="674">
                <c:v>22.48</c:v>
              </c:pt>
              <c:pt idx="675">
                <c:v>22.08</c:v>
              </c:pt>
              <c:pt idx="676">
                <c:v>22.04</c:v>
              </c:pt>
              <c:pt idx="677">
                <c:v>21.64</c:v>
              </c:pt>
              <c:pt idx="678">
                <c:v>21.97</c:v>
              </c:pt>
              <c:pt idx="679">
                <c:v>22.36</c:v>
              </c:pt>
              <c:pt idx="680">
                <c:v>22.34</c:v>
              </c:pt>
              <c:pt idx="681">
                <c:v>21.96</c:v>
              </c:pt>
              <c:pt idx="682">
                <c:v>21.12</c:v>
              </c:pt>
              <c:pt idx="683">
                <c:v>20.65</c:v>
              </c:pt>
              <c:pt idx="684">
                <c:v>20.97</c:v>
              </c:pt>
              <c:pt idx="685">
                <c:v>21.63</c:v>
              </c:pt>
              <c:pt idx="686">
                <c:v>21.93</c:v>
              </c:pt>
              <c:pt idx="687">
                <c:v>21.73</c:v>
              </c:pt>
              <c:pt idx="688">
                <c:v>21.84</c:v>
              </c:pt>
              <c:pt idx="689">
                <c:v>22.67</c:v>
              </c:pt>
              <c:pt idx="690">
                <c:v>23.32</c:v>
              </c:pt>
              <c:pt idx="691">
                <c:v>23.62</c:v>
              </c:pt>
              <c:pt idx="692">
                <c:v>23.82</c:v>
              </c:pt>
              <c:pt idx="693">
                <c:v>24.37</c:v>
              </c:pt>
              <c:pt idx="694">
                <c:v>25.33</c:v>
              </c:pt>
              <c:pt idx="695">
                <c:v>26.25</c:v>
              </c:pt>
              <c:pt idx="696">
                <c:v>26.8</c:v>
              </c:pt>
              <c:pt idx="697">
                <c:v>27.65</c:v>
              </c:pt>
              <c:pt idx="698">
                <c:v>28.55</c:v>
              </c:pt>
              <c:pt idx="699">
                <c:v>28.03</c:v>
              </c:pt>
              <c:pt idx="700">
                <c:v>28.53</c:v>
              </c:pt>
              <c:pt idx="701">
                <c:v>31.44</c:v>
              </c:pt>
              <c:pt idx="702">
                <c:v>35.04</c:v>
              </c:pt>
              <c:pt idx="703">
                <c:v>36.36</c:v>
              </c:pt>
              <c:pt idx="704">
                <c:v>38.26</c:v>
              </c:pt>
              <c:pt idx="705">
                <c:v>40.03</c:v>
              </c:pt>
              <c:pt idx="706">
                <c:v>39.96</c:v>
              </c:pt>
              <c:pt idx="707">
                <c:v>41.48</c:v>
              </c:pt>
              <c:pt idx="708">
                <c:v>38.14</c:v>
              </c:pt>
              <c:pt idx="709">
                <c:v>36.74</c:v>
              </c:pt>
              <c:pt idx="710">
                <c:v>34.44</c:v>
              </c:pt>
              <c:pt idx="711">
                <c:v>34.520000000000003</c:v>
              </c:pt>
              <c:pt idx="712">
                <c:v>34.5</c:v>
              </c:pt>
              <c:pt idx="713">
                <c:v>32.24</c:v>
              </c:pt>
              <c:pt idx="714">
                <c:v>30.92</c:v>
              </c:pt>
              <c:pt idx="715">
                <c:v>30.7</c:v>
              </c:pt>
              <c:pt idx="716">
                <c:v>31.01</c:v>
              </c:pt>
              <c:pt idx="717">
                <c:v>28.87</c:v>
              </c:pt>
              <c:pt idx="718">
                <c:v>24.48</c:v>
              </c:pt>
              <c:pt idx="719">
                <c:v>24.07</c:v>
              </c:pt>
              <c:pt idx="720">
                <c:v>27.69</c:v>
              </c:pt>
              <c:pt idx="721">
                <c:v>30.16</c:v>
              </c:pt>
              <c:pt idx="722">
                <c:v>31.67</c:v>
              </c:pt>
              <c:pt idx="723">
                <c:v>31.44</c:v>
              </c:pt>
              <c:pt idx="724">
                <c:v>29.31</c:v>
              </c:pt>
              <c:pt idx="725">
                <c:v>24.56</c:v>
              </c:pt>
              <c:pt idx="726">
                <c:v>21.57</c:v>
              </c:pt>
              <c:pt idx="727">
                <c:v>21.81</c:v>
              </c:pt>
              <c:pt idx="728">
                <c:v>24.03</c:v>
              </c:pt>
              <c:pt idx="729">
                <c:v>25.91</c:v>
              </c:pt>
              <c:pt idx="730">
                <c:v>24.76</c:v>
              </c:pt>
              <c:pt idx="731">
                <c:v>21.4</c:v>
              </c:pt>
              <c:pt idx="732">
                <c:v>20.86</c:v>
              </c:pt>
              <c:pt idx="733">
                <c:v>22.63</c:v>
              </c:pt>
              <c:pt idx="734">
                <c:v>23.1</c:v>
              </c:pt>
              <c:pt idx="735">
                <c:v>22.97</c:v>
              </c:pt>
              <c:pt idx="736">
                <c:v>22.56</c:v>
              </c:pt>
              <c:pt idx="737">
                <c:v>22.16</c:v>
              </c:pt>
              <c:pt idx="738">
                <c:v>21.5</c:v>
              </c:pt>
              <c:pt idx="739">
                <c:v>18.72</c:v>
              </c:pt>
              <c:pt idx="740">
                <c:v>16.62</c:v>
              </c:pt>
              <c:pt idx="741">
                <c:v>17.510000000000002</c:v>
              </c:pt>
              <c:pt idx="742">
                <c:v>20.25</c:v>
              </c:pt>
              <c:pt idx="743">
                <c:v>20.45</c:v>
              </c:pt>
              <c:pt idx="744">
                <c:v>19.91</c:v>
              </c:pt>
              <c:pt idx="745">
                <c:v>21.32</c:v>
              </c:pt>
              <c:pt idx="746">
                <c:v>21.72</c:v>
              </c:pt>
              <c:pt idx="747">
                <c:v>20.18</c:v>
              </c:pt>
              <c:pt idx="748">
                <c:v>18.75</c:v>
              </c:pt>
              <c:pt idx="749">
                <c:v>17.489999999999998</c:v>
              </c:pt>
              <c:pt idx="750">
                <c:v>16.93</c:v>
              </c:pt>
              <c:pt idx="751">
                <c:v>15.2</c:v>
              </c:pt>
              <c:pt idx="752">
                <c:v>13.21</c:v>
              </c:pt>
              <c:pt idx="753">
                <c:v>12.47</c:v>
              </c:pt>
              <c:pt idx="754">
                <c:v>12.07</c:v>
              </c:pt>
              <c:pt idx="755">
                <c:v>11.41</c:v>
              </c:pt>
              <c:pt idx="756">
                <c:v>10.9</c:v>
              </c:pt>
              <c:pt idx="757">
                <c:v>10.72</c:v>
              </c:pt>
              <c:pt idx="758">
                <c:v>10.45</c:v>
              </c:pt>
              <c:pt idx="759">
                <c:v>10.63</c:v>
              </c:pt>
              <c:pt idx="760">
                <c:v>10.23</c:v>
              </c:pt>
              <c:pt idx="761">
                <c:v>10.08</c:v>
              </c:pt>
              <c:pt idx="762">
                <c:v>11.11</c:v>
              </c:pt>
              <c:pt idx="763">
                <c:v>12.79</c:v>
              </c:pt>
              <c:pt idx="764">
                <c:v>13.66</c:v>
              </c:pt>
              <c:pt idx="765">
                <c:v>13.27</c:v>
              </c:pt>
              <c:pt idx="766">
                <c:v>12.73</c:v>
              </c:pt>
              <c:pt idx="767">
                <c:v>11.86</c:v>
              </c:pt>
              <c:pt idx="768">
                <c:v>10.82</c:v>
              </c:pt>
              <c:pt idx="769">
                <c:v>10.039999999999999</c:v>
              </c:pt>
              <c:pt idx="770">
                <c:v>9.77</c:v>
              </c:pt>
              <c:pt idx="771">
                <c:v>9.4600000000000009</c:v>
              </c:pt>
              <c:pt idx="772">
                <c:v>9.36</c:v>
              </c:pt>
              <c:pt idx="773">
                <c:v>9.8699999999999992</c:v>
              </c:pt>
              <c:pt idx="774">
                <c:v>10.15</c:v>
              </c:pt>
              <c:pt idx="775">
                <c:v>10.210000000000001</c:v>
              </c:pt>
              <c:pt idx="776">
                <c:v>9.73</c:v>
              </c:pt>
              <c:pt idx="777">
                <c:v>9.06</c:v>
              </c:pt>
              <c:pt idx="778">
                <c:v>8.9700000000000006</c:v>
              </c:pt>
              <c:pt idx="779">
                <c:v>8.7799999999999994</c:v>
              </c:pt>
              <c:pt idx="780">
                <c:v>9.2799999999999994</c:v>
              </c:pt>
              <c:pt idx="781">
                <c:v>11.05</c:v>
              </c:pt>
              <c:pt idx="782">
                <c:v>12.84</c:v>
              </c:pt>
              <c:pt idx="783">
                <c:v>13.98</c:v>
              </c:pt>
              <c:pt idx="784">
                <c:v>14.7</c:v>
              </c:pt>
              <c:pt idx="785">
                <c:v>15.26</c:v>
              </c:pt>
              <c:pt idx="786">
                <c:v>16.399999999999999</c:v>
              </c:pt>
              <c:pt idx="787">
                <c:v>17.059999999999999</c:v>
              </c:pt>
              <c:pt idx="788">
                <c:v>16.91</c:v>
              </c:pt>
              <c:pt idx="789">
                <c:v>16.53</c:v>
              </c:pt>
              <c:pt idx="790">
                <c:v>16.52</c:v>
              </c:pt>
              <c:pt idx="791">
                <c:v>16.77</c:v>
              </c:pt>
              <c:pt idx="792">
                <c:v>17.12</c:v>
              </c:pt>
              <c:pt idx="793">
                <c:v>17.36</c:v>
              </c:pt>
              <c:pt idx="794">
                <c:v>17.28</c:v>
              </c:pt>
              <c:pt idx="795">
                <c:v>18.010000000000002</c:v>
              </c:pt>
              <c:pt idx="796">
                <c:v>18.649999999999999</c:v>
              </c:pt>
              <c:pt idx="797">
                <c:v>19.100000000000001</c:v>
              </c:pt>
              <c:pt idx="798">
                <c:v>19.59</c:v>
              </c:pt>
              <c:pt idx="799">
                <c:v>20.46</c:v>
              </c:pt>
              <c:pt idx="800">
                <c:v>21.63</c:v>
              </c:pt>
              <c:pt idx="801">
                <c:v>22.68</c:v>
              </c:pt>
              <c:pt idx="802">
                <c:v>24.53</c:v>
              </c:pt>
              <c:pt idx="803">
                <c:v>26.69</c:v>
              </c:pt>
              <c:pt idx="804">
                <c:v>28.56</c:v>
              </c:pt>
              <c:pt idx="805">
                <c:v>29.78</c:v>
              </c:pt>
              <c:pt idx="806">
                <c:v>28.42</c:v>
              </c:pt>
              <c:pt idx="807">
                <c:v>28.25</c:v>
              </c:pt>
              <c:pt idx="808">
                <c:v>26.8</c:v>
              </c:pt>
              <c:pt idx="809">
                <c:v>24.06</c:v>
              </c:pt>
              <c:pt idx="810">
                <c:v>24.78</c:v>
              </c:pt>
              <c:pt idx="811">
                <c:v>25.7</c:v>
              </c:pt>
              <c:pt idx="812">
                <c:v>25.31</c:v>
              </c:pt>
              <c:pt idx="813">
                <c:v>24.24</c:v>
              </c:pt>
              <c:pt idx="814">
                <c:v>22.57</c:v>
              </c:pt>
              <c:pt idx="815">
                <c:v>21.81</c:v>
              </c:pt>
              <c:pt idx="816">
                <c:v>21.54</c:v>
              </c:pt>
              <c:pt idx="817">
                <c:v>21.36</c:v>
              </c:pt>
              <c:pt idx="818">
                <c:v>21.08</c:v>
              </c:pt>
              <c:pt idx="819">
                <c:v>20.63</c:v>
              </c:pt>
              <c:pt idx="820">
                <c:v>19.850000000000001</c:v>
              </c:pt>
              <c:pt idx="821">
                <c:v>18.760000000000002</c:v>
              </c:pt>
              <c:pt idx="822">
                <c:v>17.739999999999998</c:v>
              </c:pt>
              <c:pt idx="823">
                <c:v>17.559999999999999</c:v>
              </c:pt>
              <c:pt idx="824">
                <c:v>16.88</c:v>
              </c:pt>
              <c:pt idx="825">
                <c:v>16.43</c:v>
              </c:pt>
              <c:pt idx="826">
                <c:v>16.71</c:v>
              </c:pt>
              <c:pt idx="827">
                <c:v>17.73</c:v>
              </c:pt>
              <c:pt idx="828">
                <c:v>17.87</c:v>
              </c:pt>
              <c:pt idx="829">
                <c:v>18.13</c:v>
              </c:pt>
              <c:pt idx="830">
                <c:v>18.73</c:v>
              </c:pt>
              <c:pt idx="831">
                <c:v>18.41</c:v>
              </c:pt>
              <c:pt idx="832">
                <c:v>18.510000000000002</c:v>
              </c:pt>
              <c:pt idx="833">
                <c:v>20.56</c:v>
              </c:pt>
              <c:pt idx="834">
                <c:v>22.27</c:v>
              </c:pt>
              <c:pt idx="835">
                <c:v>24.22</c:v>
              </c:pt>
              <c:pt idx="836">
                <c:v>26.58</c:v>
              </c:pt>
              <c:pt idx="837">
                <c:v>28.48</c:v>
              </c:pt>
              <c:pt idx="838">
                <c:v>29.51</c:v>
              </c:pt>
              <c:pt idx="839">
                <c:v>30.39</c:v>
              </c:pt>
              <c:pt idx="840">
                <c:v>30.98</c:v>
              </c:pt>
              <c:pt idx="841">
                <c:v>31.5</c:v>
              </c:pt>
              <c:pt idx="842">
                <c:v>31.59</c:v>
              </c:pt>
              <c:pt idx="843">
                <c:v>31.29</c:v>
              </c:pt>
              <c:pt idx="844">
                <c:v>28.93</c:v>
              </c:pt>
              <c:pt idx="845">
                <c:v>26.54</c:v>
              </c:pt>
              <c:pt idx="846">
                <c:v>25.49</c:v>
              </c:pt>
              <c:pt idx="847">
                <c:v>24.55</c:v>
              </c:pt>
              <c:pt idx="848">
                <c:v>22.72</c:v>
              </c:pt>
              <c:pt idx="849">
                <c:v>22.38</c:v>
              </c:pt>
              <c:pt idx="850">
                <c:v>23.23</c:v>
              </c:pt>
              <c:pt idx="851">
                <c:v>23.71</c:v>
              </c:pt>
              <c:pt idx="852">
                <c:v>21.62</c:v>
              </c:pt>
              <c:pt idx="853">
                <c:v>19.149999999999999</c:v>
              </c:pt>
              <c:pt idx="854">
                <c:v>15.57</c:v>
              </c:pt>
              <c:pt idx="855">
                <c:v>16.23</c:v>
              </c:pt>
              <c:pt idx="856">
                <c:v>17.62</c:v>
              </c:pt>
              <c:pt idx="857">
                <c:v>19.07</c:v>
              </c:pt>
              <c:pt idx="858">
                <c:v>19.95</c:v>
              </c:pt>
              <c:pt idx="859">
                <c:v>18.940000000000001</c:v>
              </c:pt>
              <c:pt idx="860">
                <c:v>17.71</c:v>
              </c:pt>
              <c:pt idx="861">
                <c:v>16.82</c:v>
              </c:pt>
              <c:pt idx="862">
                <c:v>17.170000000000002</c:v>
              </c:pt>
              <c:pt idx="863">
                <c:v>19.62</c:v>
              </c:pt>
              <c:pt idx="864">
                <c:v>22.67</c:v>
              </c:pt>
              <c:pt idx="865">
                <c:v>22.82</c:v>
              </c:pt>
              <c:pt idx="866">
                <c:v>22.19</c:v>
              </c:pt>
              <c:pt idx="867">
                <c:v>19.420000000000002</c:v>
              </c:pt>
              <c:pt idx="868">
                <c:v>17.05</c:v>
              </c:pt>
              <c:pt idx="869">
                <c:v>16.329999999999998</c:v>
              </c:pt>
              <c:pt idx="870">
                <c:v>16.64</c:v>
              </c:pt>
              <c:pt idx="871">
                <c:v>15.86</c:v>
              </c:pt>
              <c:pt idx="872">
                <c:v>13.75</c:v>
              </c:pt>
              <c:pt idx="873">
                <c:v>12.55</c:v>
              </c:pt>
              <c:pt idx="874">
                <c:v>13.27</c:v>
              </c:pt>
              <c:pt idx="875">
                <c:v>14.86</c:v>
              </c:pt>
              <c:pt idx="876">
                <c:v>15.87</c:v>
              </c:pt>
              <c:pt idx="877">
                <c:v>16.18</c:v>
              </c:pt>
              <c:pt idx="878">
                <c:v>16.18</c:v>
              </c:pt>
              <c:pt idx="879">
                <c:v>15.87</c:v>
              </c:pt>
              <c:pt idx="880">
                <c:v>15.24</c:v>
              </c:pt>
              <c:pt idx="881">
                <c:v>15.9</c:v>
              </c:pt>
              <c:pt idx="882">
                <c:v>18.53</c:v>
              </c:pt>
              <c:pt idx="883">
                <c:v>22.67</c:v>
              </c:pt>
              <c:pt idx="884">
                <c:v>22.67</c:v>
              </c:pt>
              <c:pt idx="885">
                <c:v>20.18</c:v>
              </c:pt>
              <c:pt idx="886">
                <c:v>16.96</c:v>
              </c:pt>
              <c:pt idx="887">
                <c:v>14.03</c:v>
              </c:pt>
              <c:pt idx="888">
                <c:v>13.23</c:v>
              </c:pt>
              <c:pt idx="889">
                <c:v>12.76</c:v>
              </c:pt>
              <c:pt idx="890">
                <c:v>11.85</c:v>
              </c:pt>
              <c:pt idx="891">
                <c:v>12.94</c:v>
              </c:pt>
              <c:pt idx="892">
                <c:v>16</c:v>
              </c:pt>
              <c:pt idx="893">
                <c:v>15.58</c:v>
              </c:pt>
              <c:pt idx="894">
                <c:v>13.81</c:v>
              </c:pt>
              <c:pt idx="895">
                <c:v>11.95</c:v>
              </c:pt>
              <c:pt idx="896">
                <c:v>9.85</c:v>
              </c:pt>
              <c:pt idx="897">
                <c:v>8.44</c:v>
              </c:pt>
              <c:pt idx="898">
                <c:v>8.1199999999999992</c:v>
              </c:pt>
              <c:pt idx="899">
                <c:v>7.87</c:v>
              </c:pt>
              <c:pt idx="900">
                <c:v>7.8380000000000001</c:v>
              </c:pt>
              <c:pt idx="901">
                <c:v>7.55</c:v>
              </c:pt>
              <c:pt idx="902">
                <c:v>6.8490000000000002</c:v>
              </c:pt>
              <c:pt idx="903">
                <c:v>5.9539999999999997</c:v>
              </c:pt>
              <c:pt idx="904">
                <c:v>5.3</c:v>
              </c:pt>
              <c:pt idx="905">
                <c:v>5.07</c:v>
              </c:pt>
              <c:pt idx="906">
                <c:v>5.8019999999999996</c:v>
              </c:pt>
              <c:pt idx="907">
                <c:v>6.7519999999999998</c:v>
              </c:pt>
              <c:pt idx="908">
                <c:v>7.4710000000000001</c:v>
              </c:pt>
              <c:pt idx="909">
                <c:v>8.25</c:v>
              </c:pt>
              <c:pt idx="910">
                <c:v>8.99</c:v>
              </c:pt>
              <c:pt idx="911">
                <c:v>9.6199999999999992</c:v>
              </c:pt>
              <c:pt idx="912">
                <c:v>9.7899999999999991</c:v>
              </c:pt>
              <c:pt idx="913">
                <c:v>9.5</c:v>
              </c:pt>
              <c:pt idx="914">
                <c:v>9.19</c:v>
              </c:pt>
              <c:pt idx="915">
                <c:v>9.1</c:v>
              </c:pt>
              <c:pt idx="916">
                <c:v>9.08</c:v>
              </c:pt>
              <c:pt idx="917">
                <c:v>9.09</c:v>
              </c:pt>
              <c:pt idx="918">
                <c:v>9.16</c:v>
              </c:pt>
              <c:pt idx="919">
                <c:v>9.11</c:v>
              </c:pt>
              <c:pt idx="920">
                <c:v>9.24</c:v>
              </c:pt>
              <c:pt idx="921">
                <c:v>9.52</c:v>
              </c:pt>
              <c:pt idx="922">
                <c:v>10.02</c:v>
              </c:pt>
              <c:pt idx="923">
                <c:v>10.45</c:v>
              </c:pt>
              <c:pt idx="924">
                <c:v>10.85</c:v>
              </c:pt>
              <c:pt idx="925">
                <c:v>11.1</c:v>
              </c:pt>
              <c:pt idx="926">
                <c:v>11.1</c:v>
              </c:pt>
              <c:pt idx="927">
                <c:v>10.86</c:v>
              </c:pt>
              <c:pt idx="928">
                <c:v>10.51</c:v>
              </c:pt>
              <c:pt idx="929">
                <c:v>10.01</c:v>
              </c:pt>
              <c:pt idx="930">
                <c:v>9.24</c:v>
              </c:pt>
              <c:pt idx="931">
                <c:v>8.67</c:v>
              </c:pt>
              <c:pt idx="932">
                <c:v>8.33</c:v>
              </c:pt>
              <c:pt idx="933">
                <c:v>8.07</c:v>
              </c:pt>
              <c:pt idx="934">
                <c:v>8</c:v>
              </c:pt>
              <c:pt idx="935">
                <c:v>8.1999999999999993</c:v>
              </c:pt>
              <c:pt idx="936">
                <c:v>8.61</c:v>
              </c:pt>
              <c:pt idx="937">
                <c:v>8.91</c:v>
              </c:pt>
              <c:pt idx="938">
                <c:v>9.0500000000000007</c:v>
              </c:pt>
              <c:pt idx="939">
                <c:v>8.91</c:v>
              </c:pt>
              <c:pt idx="940">
                <c:v>8.61</c:v>
              </c:pt>
              <c:pt idx="941">
                <c:v>8.2100000000000009</c:v>
              </c:pt>
              <c:pt idx="942">
                <c:v>7.9279999999999999</c:v>
              </c:pt>
              <c:pt idx="943">
                <c:v>7.7960000000000003</c:v>
              </c:pt>
              <c:pt idx="944">
                <c:v>7.819</c:v>
              </c:pt>
              <c:pt idx="945">
                <c:v>7.931</c:v>
              </c:pt>
              <c:pt idx="946">
                <c:v>7.851</c:v>
              </c:pt>
              <c:pt idx="947">
                <c:v>7.76</c:v>
              </c:pt>
              <c:pt idx="948">
                <c:v>7.6950000000000003</c:v>
              </c:pt>
              <c:pt idx="949">
                <c:v>7.8449999999999998</c:v>
              </c:pt>
              <c:pt idx="950">
                <c:v>8.19</c:v>
              </c:pt>
              <c:pt idx="951">
                <c:v>8.56</c:v>
              </c:pt>
              <c:pt idx="952">
                <c:v>9.1199999999999992</c:v>
              </c:pt>
              <c:pt idx="953">
                <c:v>9.59</c:v>
              </c:pt>
              <c:pt idx="954">
                <c:v>10.19</c:v>
              </c:pt>
              <c:pt idx="955">
                <c:v>10.8</c:v>
              </c:pt>
              <c:pt idx="956">
                <c:v>11.06</c:v>
              </c:pt>
              <c:pt idx="957">
                <c:v>10.96</c:v>
              </c:pt>
              <c:pt idx="958">
                <c:v>10.71</c:v>
              </c:pt>
              <c:pt idx="959">
                <c:v>10.34</c:v>
              </c:pt>
              <c:pt idx="960">
                <c:v>10.039999999999999</c:v>
              </c:pt>
              <c:pt idx="961">
                <c:v>9.83</c:v>
              </c:pt>
              <c:pt idx="962">
                <c:v>9.56</c:v>
              </c:pt>
              <c:pt idx="963">
                <c:v>9.3000000000000007</c:v>
              </c:pt>
              <c:pt idx="964">
                <c:v>8.93</c:v>
              </c:pt>
              <c:pt idx="965">
                <c:v>8.4600000000000009</c:v>
              </c:pt>
              <c:pt idx="966">
                <c:v>7.891</c:v>
              </c:pt>
              <c:pt idx="967">
                <c:v>7.431</c:v>
              </c:pt>
              <c:pt idx="968">
                <c:v>6.9820000000000002</c:v>
              </c:pt>
              <c:pt idx="969">
                <c:v>6.5190000000000001</c:v>
              </c:pt>
              <c:pt idx="970">
                <c:v>6.0339999999999998</c:v>
              </c:pt>
              <c:pt idx="971">
                <c:v>5.6020000000000003</c:v>
              </c:pt>
              <c:pt idx="972">
                <c:v>5.4329999999999998</c:v>
              </c:pt>
              <c:pt idx="973">
                <c:v>5.5609999999999999</c:v>
              </c:pt>
              <c:pt idx="974">
                <c:v>5.4619999999999997</c:v>
              </c:pt>
              <c:pt idx="975">
                <c:v>5.2919999999999998</c:v>
              </c:pt>
              <c:pt idx="976">
                <c:v>5.1879999999999997</c:v>
              </c:pt>
              <c:pt idx="977">
                <c:v>5.1230000000000002</c:v>
              </c:pt>
              <c:pt idx="978">
                <c:v>5.16</c:v>
              </c:pt>
              <c:pt idx="979">
                <c:v>5.3540000000000001</c:v>
              </c:pt>
              <c:pt idx="980">
                <c:v>5.8710000000000004</c:v>
              </c:pt>
              <c:pt idx="981">
                <c:v>6.9470000000000001</c:v>
              </c:pt>
              <c:pt idx="982">
                <c:v>8.8800000000000008</c:v>
              </c:pt>
              <c:pt idx="983">
                <c:v>11.52</c:v>
              </c:pt>
              <c:pt idx="984">
                <c:v>12.52</c:v>
              </c:pt>
              <c:pt idx="985">
                <c:v>13.25</c:v>
              </c:pt>
              <c:pt idx="986">
                <c:v>13.22</c:v>
              </c:pt>
              <c:pt idx="987">
                <c:v>13.13</c:v>
              </c:pt>
              <c:pt idx="988">
                <c:v>13.23</c:v>
              </c:pt>
              <c:pt idx="989">
                <c:v>13.91</c:v>
              </c:pt>
              <c:pt idx="990">
                <c:v>15.01</c:v>
              </c:pt>
              <c:pt idx="991">
                <c:v>16.600000000000001</c:v>
              </c:pt>
              <c:pt idx="992">
                <c:v>17.850000000000001</c:v>
              </c:pt>
              <c:pt idx="993">
                <c:v>18.170000000000002</c:v>
              </c:pt>
              <c:pt idx="994">
                <c:v>17.649999999999999</c:v>
              </c:pt>
              <c:pt idx="995">
                <c:v>17.350000000000001</c:v>
              </c:pt>
              <c:pt idx="996">
                <c:v>17.03</c:v>
              </c:pt>
              <c:pt idx="997">
                <c:v>16.87</c:v>
              </c:pt>
              <c:pt idx="998">
                <c:v>16.95</c:v>
              </c:pt>
              <c:pt idx="999">
                <c:v>16.649999999999999</c:v>
              </c:pt>
              <c:pt idx="1000">
                <c:v>15.89</c:v>
              </c:pt>
              <c:pt idx="1001">
                <c:v>15.14</c:v>
              </c:pt>
              <c:pt idx="1002">
                <c:v>14.04</c:v>
              </c:pt>
              <c:pt idx="1003">
                <c:v>12.66</c:v>
              </c:pt>
              <c:pt idx="1004">
                <c:v>11.07</c:v>
              </c:pt>
              <c:pt idx="1005">
                <c:v>9.33</c:v>
              </c:pt>
              <c:pt idx="1006">
                <c:v>7.7439999999999998</c:v>
              </c:pt>
              <c:pt idx="1007">
                <c:v>6.4829999999999997</c:v>
              </c:pt>
              <c:pt idx="1008">
                <c:v>5.6719999999999997</c:v>
              </c:pt>
              <c:pt idx="1009">
                <c:v>4.9859999999999998</c:v>
              </c:pt>
              <c:pt idx="1010">
                <c:v>4.4420000000000002</c:v>
              </c:pt>
              <c:pt idx="1011">
                <c:v>3.855</c:v>
              </c:pt>
              <c:pt idx="1012">
                <c:v>3.2160000000000002</c:v>
              </c:pt>
              <c:pt idx="1013">
                <c:v>2.6720000000000002</c:v>
              </c:pt>
              <c:pt idx="1014">
                <c:v>2.4489999999999998</c:v>
              </c:pt>
              <c:pt idx="1015">
                <c:v>2.2610000000000001</c:v>
              </c:pt>
              <c:pt idx="1016">
                <c:v>2.0670000000000002</c:v>
              </c:pt>
              <c:pt idx="1017">
                <c:v>1.9139999999999999</c:v>
              </c:pt>
              <c:pt idx="1018">
                <c:v>1.7689999999999999</c:v>
              </c:pt>
              <c:pt idx="1019">
                <c:v>1.679</c:v>
              </c:pt>
              <c:pt idx="1020">
                <c:v>1.75</c:v>
              </c:pt>
              <c:pt idx="1021">
                <c:v>1.776</c:v>
              </c:pt>
              <c:pt idx="1022">
                <c:v>1.996</c:v>
              </c:pt>
              <c:pt idx="1023">
                <c:v>2.3740000000000001</c:v>
              </c:pt>
              <c:pt idx="1024">
                <c:v>2.8860000000000001</c:v>
              </c:pt>
              <c:pt idx="1025">
                <c:v>3.7090000000000001</c:v>
              </c:pt>
              <c:pt idx="1026">
                <c:v>4.6820000000000004</c:v>
              </c:pt>
              <c:pt idx="1027">
                <c:v>5.6749999999999998</c:v>
              </c:pt>
              <c:pt idx="1028">
                <c:v>6.6029999999999998</c:v>
              </c:pt>
              <c:pt idx="1029">
                <c:v>7.5019999999999998</c:v>
              </c:pt>
              <c:pt idx="1030">
                <c:v>8.25</c:v>
              </c:pt>
              <c:pt idx="1031">
                <c:v>9.2200000000000006</c:v>
              </c:pt>
              <c:pt idx="1032">
                <c:v>10.49</c:v>
              </c:pt>
              <c:pt idx="1033">
                <c:v>11.88</c:v>
              </c:pt>
              <c:pt idx="1034">
                <c:v>13.22</c:v>
              </c:pt>
              <c:pt idx="1035">
                <c:v>14.56</c:v>
              </c:pt>
              <c:pt idx="1036">
                <c:v>16</c:v>
              </c:pt>
              <c:pt idx="1037">
                <c:v>18.059999999999999</c:v>
              </c:pt>
              <c:pt idx="1038">
                <c:v>22.45</c:v>
              </c:pt>
              <c:pt idx="1039">
                <c:v>20.55</c:v>
              </c:pt>
              <c:pt idx="1040">
                <c:v>20.23</c:v>
              </c:pt>
              <c:pt idx="1041">
                <c:v>18.37</c:v>
              </c:pt>
              <c:pt idx="1042">
                <c:v>16.36</c:v>
              </c:pt>
              <c:pt idx="1043">
                <c:v>14.43</c:v>
              </c:pt>
              <c:pt idx="1044">
                <c:v>12.17</c:v>
              </c:pt>
              <c:pt idx="1045">
                <c:v>9.69</c:v>
              </c:pt>
              <c:pt idx="1046">
                <c:v>7.4649999999999999</c:v>
              </c:pt>
              <c:pt idx="1047">
                <c:v>6.5060000000000002</c:v>
              </c:pt>
              <c:pt idx="1048">
                <c:v>6.7869999999999999</c:v>
              </c:pt>
              <c:pt idx="1049">
                <c:v>7.5149999999999997</c:v>
              </c:pt>
              <c:pt idx="1050">
                <c:v>8.73</c:v>
              </c:pt>
              <c:pt idx="1051">
                <c:v>9.8800000000000008</c:v>
              </c:pt>
              <c:pt idx="1052">
                <c:v>9.7200000000000006</c:v>
              </c:pt>
              <c:pt idx="1053">
                <c:v>9.6999999999999993</c:v>
              </c:pt>
              <c:pt idx="1054">
                <c:v>9.8699999999999992</c:v>
              </c:pt>
              <c:pt idx="1055">
                <c:v>10.32</c:v>
              </c:pt>
              <c:pt idx="1056">
                <c:v>10.78</c:v>
              </c:pt>
              <c:pt idx="1057">
                <c:v>11.26</c:v>
              </c:pt>
              <c:pt idx="1058">
                <c:v>11.6</c:v>
              </c:pt>
              <c:pt idx="1059">
                <c:v>11.7</c:v>
              </c:pt>
              <c:pt idx="1060">
                <c:v>11.74</c:v>
              </c:pt>
              <c:pt idx="1061">
                <c:v>11.99</c:v>
              </c:pt>
              <c:pt idx="1062">
                <c:v>12.22</c:v>
              </c:pt>
              <c:pt idx="1063">
                <c:v>12.24</c:v>
              </c:pt>
              <c:pt idx="1064">
                <c:v>11.97</c:v>
              </c:pt>
              <c:pt idx="1065">
                <c:v>11.37</c:v>
              </c:pt>
              <c:pt idx="1066">
                <c:v>10.49</c:v>
              </c:pt>
              <c:pt idx="1067">
                <c:v>9.48</c:v>
              </c:pt>
              <c:pt idx="1068">
                <c:v>8.92</c:v>
              </c:pt>
              <c:pt idx="1069">
                <c:v>7.9089999999999998</c:v>
              </c:pt>
              <c:pt idx="1070">
                <c:v>7.3540000000000001</c:v>
              </c:pt>
              <c:pt idx="1071">
                <c:v>7.1879999999999997</c:v>
              </c:pt>
              <c:pt idx="1072">
                <c:v>7.3220000000000001</c:v>
              </c:pt>
              <c:pt idx="1073">
                <c:v>7.2210000000000001</c:v>
              </c:pt>
              <c:pt idx="1074">
                <c:v>6.827</c:v>
              </c:pt>
              <c:pt idx="1075">
                <c:v>6.2789999999999999</c:v>
              </c:pt>
              <c:pt idx="1076">
                <c:v>5.7510000000000003</c:v>
              </c:pt>
              <c:pt idx="1077">
                <c:v>5.33</c:v>
              </c:pt>
              <c:pt idx="1078">
                <c:v>4.9649999999999999</c:v>
              </c:pt>
              <c:pt idx="1079">
                <c:v>4.5570000000000004</c:v>
              </c:pt>
              <c:pt idx="1080">
                <c:v>4.0250000000000004</c:v>
              </c:pt>
              <c:pt idx="1081">
                <c:v>3.657</c:v>
              </c:pt>
              <c:pt idx="1082">
                <c:v>3.5329999999999999</c:v>
              </c:pt>
              <c:pt idx="1083">
                <c:v>3.5009999999999999</c:v>
              </c:pt>
              <c:pt idx="1084">
                <c:v>3.532</c:v>
              </c:pt>
              <c:pt idx="1085">
                <c:v>3.548</c:v>
              </c:pt>
              <c:pt idx="1086">
                <c:v>3.6160000000000001</c:v>
              </c:pt>
              <c:pt idx="1087">
                <c:v>3.7730000000000001</c:v>
              </c:pt>
              <c:pt idx="1088">
                <c:v>4.0049999999999999</c:v>
              </c:pt>
              <c:pt idx="1089">
                <c:v>4.1769999999999996</c:v>
              </c:pt>
              <c:pt idx="1090">
                <c:v>4.45</c:v>
              </c:pt>
              <c:pt idx="1091">
                <c:v>4.7350000000000003</c:v>
              </c:pt>
              <c:pt idx="1092">
                <c:v>5.0490000000000004</c:v>
              </c:pt>
              <c:pt idx="1093">
                <c:v>5.3</c:v>
              </c:pt>
              <c:pt idx="1094">
                <c:v>5.64</c:v>
              </c:pt>
              <c:pt idx="1095">
                <c:v>5.8970000000000002</c:v>
              </c:pt>
              <c:pt idx="1096">
                <c:v>6.0670000000000002</c:v>
              </c:pt>
              <c:pt idx="1097">
                <c:v>6.2089999999999996</c:v>
              </c:pt>
              <c:pt idx="1098">
                <c:v>6.14</c:v>
              </c:pt>
              <c:pt idx="1099">
                <c:v>6.0220000000000002</c:v>
              </c:pt>
              <c:pt idx="1100">
                <c:v>5.8609999999999998</c:v>
              </c:pt>
              <c:pt idx="1101">
                <c:v>5.766</c:v>
              </c:pt>
              <c:pt idx="1102">
                <c:v>5.6180000000000003</c:v>
              </c:pt>
              <c:pt idx="1103">
                <c:v>5.492</c:v>
              </c:pt>
              <c:pt idx="1104">
                <c:v>5.43</c:v>
              </c:pt>
              <c:pt idx="1105">
                <c:v>5.3419999999999996</c:v>
              </c:pt>
              <c:pt idx="1106">
                <c:v>5.3019999999999996</c:v>
              </c:pt>
              <c:pt idx="1107">
                <c:v>5.2720000000000002</c:v>
              </c:pt>
              <c:pt idx="1108">
                <c:v>5.282</c:v>
              </c:pt>
              <c:pt idx="1109">
                <c:v>5.3360000000000003</c:v>
              </c:pt>
              <c:pt idx="1110">
                <c:v>5.3719999999999999</c:v>
              </c:pt>
              <c:pt idx="1111">
                <c:v>5.298</c:v>
              </c:pt>
              <c:pt idx="1112">
                <c:v>5.2140000000000004</c:v>
              </c:pt>
              <c:pt idx="1113">
                <c:v>5.0259999999999998</c:v>
              </c:pt>
              <c:pt idx="1114">
                <c:v>4.8940000000000001</c:v>
              </c:pt>
              <c:pt idx="1115">
                <c:v>4.7130000000000001</c:v>
              </c:pt>
              <c:pt idx="1116">
                <c:v>4.585</c:v>
              </c:pt>
              <c:pt idx="1117">
                <c:v>4.4480000000000004</c:v>
              </c:pt>
              <c:pt idx="1118">
                <c:v>4.3129999999999997</c:v>
              </c:pt>
              <c:pt idx="1119">
                <c:v>4.2229999999999999</c:v>
              </c:pt>
              <c:pt idx="1120">
                <c:v>4.0960000000000001</c:v>
              </c:pt>
              <c:pt idx="1121">
                <c:v>3.9870000000000001</c:v>
              </c:pt>
              <c:pt idx="1122">
                <c:v>3.8679999999999999</c:v>
              </c:pt>
              <c:pt idx="1123">
                <c:v>3.75</c:v>
              </c:pt>
              <c:pt idx="1124">
                <c:v>3.6539999999999999</c:v>
              </c:pt>
              <c:pt idx="1125">
                <c:v>3.5569999999999999</c:v>
              </c:pt>
              <c:pt idx="1126">
                <c:v>3.4780000000000002</c:v>
              </c:pt>
              <c:pt idx="1127">
                <c:v>3.4510000000000001</c:v>
              </c:pt>
              <c:pt idx="1128">
                <c:v>3.4790000000000001</c:v>
              </c:pt>
              <c:pt idx="1129">
                <c:v>3.5070000000000001</c:v>
              </c:pt>
              <c:pt idx="1130">
                <c:v>3.585</c:v>
              </c:pt>
              <c:pt idx="1131">
                <c:v>3.6720000000000002</c:v>
              </c:pt>
              <c:pt idx="1132">
                <c:v>3.7989999999999999</c:v>
              </c:pt>
              <c:pt idx="1133">
                <c:v>3.7919999999999998</c:v>
              </c:pt>
              <c:pt idx="1134">
                <c:v>3.8660000000000001</c:v>
              </c:pt>
              <c:pt idx="1135">
                <c:v>3.843</c:v>
              </c:pt>
              <c:pt idx="1136">
                <c:v>3.9079999999999999</c:v>
              </c:pt>
              <c:pt idx="1137">
                <c:v>4.0199999999999996</c:v>
              </c:pt>
              <c:pt idx="1138">
                <c:v>4.1879999999999997</c:v>
              </c:pt>
              <c:pt idx="1139">
                <c:v>4.1970000000000001</c:v>
              </c:pt>
              <c:pt idx="1140">
                <c:v>4.1609999999999996</c:v>
              </c:pt>
              <c:pt idx="1141">
                <c:v>4.085</c:v>
              </c:pt>
              <c:pt idx="1142">
                <c:v>3.9369999999999998</c:v>
              </c:pt>
              <c:pt idx="1143">
                <c:v>3.6989999999999998</c:v>
              </c:pt>
              <c:pt idx="1144">
                <c:v>3.4769999999999999</c:v>
              </c:pt>
              <c:pt idx="1145">
                <c:v>3.3519999999999999</c:v>
              </c:pt>
              <c:pt idx="1146">
                <c:v>3.2160000000000002</c:v>
              </c:pt>
              <c:pt idx="1147">
                <c:v>3.0910000000000002</c:v>
              </c:pt>
              <c:pt idx="1148">
                <c:v>3.0049999999999999</c:v>
              </c:pt>
              <c:pt idx="1149">
                <c:v>3.0649999999999999</c:v>
              </c:pt>
              <c:pt idx="1150">
                <c:v>3.0960000000000001</c:v>
              </c:pt>
              <c:pt idx="1151">
                <c:v>3.2709999999999999</c:v>
              </c:pt>
              <c:pt idx="1152">
                <c:v>3.4470000000000001</c:v>
              </c:pt>
              <c:pt idx="1153">
                <c:v>3.4969999999999999</c:v>
              </c:pt>
              <c:pt idx="1154">
                <c:v>3.4319999999999999</c:v>
              </c:pt>
              <c:pt idx="1155">
                <c:v>3.1219999999999999</c:v>
              </c:pt>
              <c:pt idx="1156">
                <c:v>2.7890000000000001</c:v>
              </c:pt>
              <c:pt idx="1157">
                <c:v>2.476</c:v>
              </c:pt>
              <c:pt idx="1158">
                <c:v>2.3620000000000001</c:v>
              </c:pt>
              <c:pt idx="1159">
                <c:v>2.21</c:v>
              </c:pt>
              <c:pt idx="1160">
                <c:v>1.56</c:v>
              </c:pt>
              <c:pt idx="1161">
                <c:v>0.98899999999999999</c:v>
              </c:pt>
              <c:pt idx="1162">
                <c:v>0.57699999999999996</c:v>
              </c:pt>
              <c:pt idx="1163">
                <c:v>0.38100000000000001</c:v>
              </c:pt>
              <c:pt idx="1164">
                <c:v>0.27</c:v>
              </c:pt>
              <c:pt idx="1165">
                <c:v>0.14799999999999999</c:v>
              </c:pt>
              <c:pt idx="1166">
                <c:v>6.8000000000000005E-2</c:v>
              </c:pt>
              <c:pt idx="1167">
                <c:v>4.9000000000000002E-2</c:v>
              </c:pt>
              <c:pt idx="1168">
                <c:v>3.0000000000000001E-3</c:v>
              </c:pt>
              <c:pt idx="1169">
                <c:v>0</c:v>
              </c:pt>
              <c:pt idx="1170">
                <c:v>1E-3</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1E-3</c:v>
              </c:pt>
              <c:pt idx="1229">
                <c:v>1.2999999999999999E-2</c:v>
              </c:pt>
              <c:pt idx="1230">
                <c:v>5.0000000000000001E-3</c:v>
              </c:pt>
              <c:pt idx="1231">
                <c:v>8.0000000000000002E-3</c:v>
              </c:pt>
              <c:pt idx="1232">
                <c:v>0</c:v>
              </c:pt>
              <c:pt idx="1233">
                <c:v>2E-3</c:v>
              </c:pt>
              <c:pt idx="1234">
                <c:v>0</c:v>
              </c:pt>
              <c:pt idx="1235">
                <c:v>0</c:v>
              </c:pt>
              <c:pt idx="1236">
                <c:v>0</c:v>
              </c:pt>
              <c:pt idx="1237">
                <c:v>2E-3</c:v>
              </c:pt>
              <c:pt idx="1238">
                <c:v>0</c:v>
              </c:pt>
              <c:pt idx="1239">
                <c:v>0</c:v>
              </c:pt>
              <c:pt idx="1240">
                <c:v>0</c:v>
              </c:pt>
              <c:pt idx="1241">
                <c:v>0</c:v>
              </c:pt>
              <c:pt idx="1242">
                <c:v>6.0000000000000001E-3</c:v>
              </c:pt>
              <c:pt idx="1243">
                <c:v>2E-3</c:v>
              </c:pt>
              <c:pt idx="1244">
                <c:v>0</c:v>
              </c:pt>
              <c:pt idx="1245">
                <c:v>0</c:v>
              </c:pt>
              <c:pt idx="1246">
                <c:v>0</c:v>
              </c:pt>
              <c:pt idx="1247">
                <c:v>8.0000000000000002E-3</c:v>
              </c:pt>
              <c:pt idx="1248">
                <c:v>5.0000000000000001E-3</c:v>
              </c:pt>
              <c:pt idx="1249">
                <c:v>0</c:v>
              </c:pt>
              <c:pt idx="1250">
                <c:v>0</c:v>
              </c:pt>
              <c:pt idx="1251">
                <c:v>8.9999999999999993E-3</c:v>
              </c:pt>
              <c:pt idx="1252">
                <c:v>0</c:v>
              </c:pt>
              <c:pt idx="1253">
                <c:v>6.0000000000000001E-3</c:v>
              </c:pt>
              <c:pt idx="1254">
                <c:v>0</c:v>
              </c:pt>
              <c:pt idx="1255">
                <c:v>0</c:v>
              </c:pt>
              <c:pt idx="1256">
                <c:v>0</c:v>
              </c:pt>
              <c:pt idx="1257">
                <c:v>4.0000000000000001E-3</c:v>
              </c:pt>
              <c:pt idx="1258">
                <c:v>1E-3</c:v>
              </c:pt>
              <c:pt idx="1259">
                <c:v>4.0000000000000001E-3</c:v>
              </c:pt>
              <c:pt idx="1260">
                <c:v>0.01</c:v>
              </c:pt>
              <c:pt idx="1261">
                <c:v>0</c:v>
              </c:pt>
              <c:pt idx="1262">
                <c:v>0</c:v>
              </c:pt>
              <c:pt idx="1263">
                <c:v>0</c:v>
              </c:pt>
              <c:pt idx="1264">
                <c:v>0</c:v>
              </c:pt>
              <c:pt idx="1265">
                <c:v>0</c:v>
              </c:pt>
              <c:pt idx="1266">
                <c:v>2E-3</c:v>
              </c:pt>
              <c:pt idx="1267">
                <c:v>0</c:v>
              </c:pt>
              <c:pt idx="1268">
                <c:v>0</c:v>
              </c:pt>
              <c:pt idx="1269">
                <c:v>0</c:v>
              </c:pt>
              <c:pt idx="1270">
                <c:v>0</c:v>
              </c:pt>
              <c:pt idx="1271">
                <c:v>0</c:v>
              </c:pt>
              <c:pt idx="1272">
                <c:v>0</c:v>
              </c:pt>
              <c:pt idx="1273">
                <c:v>0</c:v>
              </c:pt>
              <c:pt idx="1274">
                <c:v>0</c:v>
              </c:pt>
              <c:pt idx="1275">
                <c:v>6.0000000000000001E-3</c:v>
              </c:pt>
              <c:pt idx="1276">
                <c:v>5.0000000000000001E-3</c:v>
              </c:pt>
              <c:pt idx="1277">
                <c:v>5.0000000000000001E-3</c:v>
              </c:pt>
              <c:pt idx="1278">
                <c:v>3.0000000000000001E-3</c:v>
              </c:pt>
              <c:pt idx="1279">
                <c:v>1.6E-2</c:v>
              </c:pt>
              <c:pt idx="1280">
                <c:v>5.0000000000000001E-3</c:v>
              </c:pt>
              <c:pt idx="1281">
                <c:v>1.2E-2</c:v>
              </c:pt>
              <c:pt idx="1282">
                <c:v>8.9999999999999993E-3</c:v>
              </c:pt>
              <c:pt idx="1283">
                <c:v>0</c:v>
              </c:pt>
              <c:pt idx="1284">
                <c:v>5.0000000000000001E-3</c:v>
              </c:pt>
              <c:pt idx="1285">
                <c:v>3.2000000000000001E-2</c:v>
              </c:pt>
              <c:pt idx="1286">
                <c:v>0.03</c:v>
              </c:pt>
              <c:pt idx="1287">
                <c:v>0.04</c:v>
              </c:pt>
              <c:pt idx="1288">
                <c:v>0.04</c:v>
              </c:pt>
              <c:pt idx="1289">
                <c:v>2.7E-2</c:v>
              </c:pt>
              <c:pt idx="1290">
                <c:v>3.4000000000000002E-2</c:v>
              </c:pt>
              <c:pt idx="1291">
                <c:v>6.7000000000000004E-2</c:v>
              </c:pt>
              <c:pt idx="1292">
                <c:v>3.5000000000000003E-2</c:v>
              </c:pt>
              <c:pt idx="1293">
                <c:v>6.8000000000000005E-2</c:v>
              </c:pt>
              <c:pt idx="1294">
                <c:v>8.4000000000000005E-2</c:v>
              </c:pt>
              <c:pt idx="1295">
                <c:v>0.1</c:v>
              </c:pt>
              <c:pt idx="1296">
                <c:v>0.09</c:v>
              </c:pt>
              <c:pt idx="1297">
                <c:v>7.0000000000000007E-2</c:v>
              </c:pt>
              <c:pt idx="1298">
                <c:v>0.11</c:v>
              </c:pt>
              <c:pt idx="1299">
                <c:v>0.08</c:v>
              </c:pt>
              <c:pt idx="1300">
                <c:v>7.9000000000000001E-2</c:v>
              </c:pt>
              <c:pt idx="1301">
                <c:v>8.2000000000000003E-2</c:v>
              </c:pt>
              <c:pt idx="1302">
                <c:v>6.2E-2</c:v>
              </c:pt>
              <c:pt idx="1303">
                <c:v>6.3E-2</c:v>
              </c:pt>
              <c:pt idx="1304">
                <c:v>5.5E-2</c:v>
              </c:pt>
              <c:pt idx="1305">
                <c:v>4.2999999999999997E-2</c:v>
              </c:pt>
              <c:pt idx="1306">
                <c:v>6.0999999999999999E-2</c:v>
              </c:pt>
              <c:pt idx="1307">
                <c:v>9.9000000000000005E-2</c:v>
              </c:pt>
              <c:pt idx="1308">
                <c:v>6.9000000000000006E-2</c:v>
              </c:pt>
              <c:pt idx="1309">
                <c:v>9.5000000000000001E-2</c:v>
              </c:pt>
              <c:pt idx="1310">
                <c:v>0.127</c:v>
              </c:pt>
              <c:pt idx="1311">
                <c:v>9.9000000000000005E-2</c:v>
              </c:pt>
              <c:pt idx="1312">
                <c:v>0.107</c:v>
              </c:pt>
              <c:pt idx="1313">
                <c:v>7.5999999999999998E-2</c:v>
              </c:pt>
              <c:pt idx="1314">
                <c:v>0.113</c:v>
              </c:pt>
              <c:pt idx="1315">
                <c:v>0.109</c:v>
              </c:pt>
              <c:pt idx="1316">
                <c:v>6.8000000000000005E-2</c:v>
              </c:pt>
              <c:pt idx="1317">
                <c:v>0.13500000000000001</c:v>
              </c:pt>
              <c:pt idx="1318">
                <c:v>0.10299999999999999</c:v>
              </c:pt>
              <c:pt idx="1319">
                <c:v>0.14599999999999999</c:v>
              </c:pt>
              <c:pt idx="1320">
                <c:v>0.16700000000000001</c:v>
              </c:pt>
              <c:pt idx="1321">
                <c:v>0.11</c:v>
              </c:pt>
              <c:pt idx="1322">
                <c:v>0.107</c:v>
              </c:pt>
              <c:pt idx="1323">
                <c:v>9.9000000000000005E-2</c:v>
              </c:pt>
              <c:pt idx="1324">
                <c:v>0.121</c:v>
              </c:pt>
              <c:pt idx="1325">
                <c:v>0.107</c:v>
              </c:pt>
              <c:pt idx="1326">
                <c:v>0.121</c:v>
              </c:pt>
              <c:pt idx="1327">
                <c:v>7.0999999999999994E-2</c:v>
              </c:pt>
              <c:pt idx="1328">
                <c:v>5.8000000000000003E-2</c:v>
              </c:pt>
              <c:pt idx="1329">
                <c:v>8.2000000000000003E-2</c:v>
              </c:pt>
              <c:pt idx="1330">
                <c:v>6.0999999999999999E-2</c:v>
              </c:pt>
              <c:pt idx="1331">
                <c:v>8.4000000000000005E-2</c:v>
              </c:pt>
              <c:pt idx="1332">
                <c:v>7.2999999999999995E-2</c:v>
              </c:pt>
              <c:pt idx="1333">
                <c:v>5.5E-2</c:v>
              </c:pt>
              <c:pt idx="1334">
                <c:v>8.5999999999999993E-2</c:v>
              </c:pt>
              <c:pt idx="1335">
                <c:v>4.5999999999999999E-2</c:v>
              </c:pt>
              <c:pt idx="1336">
                <c:v>2.1999999999999999E-2</c:v>
              </c:pt>
              <c:pt idx="1337">
                <c:v>6.9000000000000006E-2</c:v>
              </c:pt>
              <c:pt idx="1338">
                <c:v>1.7000000000000001E-2</c:v>
              </c:pt>
              <c:pt idx="1339">
                <c:v>8.2000000000000003E-2</c:v>
              </c:pt>
              <c:pt idx="1340">
                <c:v>2.5000000000000001E-2</c:v>
              </c:pt>
              <c:pt idx="1341">
                <c:v>3.5000000000000003E-2</c:v>
              </c:pt>
              <c:pt idx="1342">
                <c:v>0.04</c:v>
              </c:pt>
              <c:pt idx="1343">
                <c:v>3.3000000000000002E-2</c:v>
              </c:pt>
              <c:pt idx="1344">
                <c:v>3.7999999999999999E-2</c:v>
              </c:pt>
              <c:pt idx="1345">
                <c:v>2.5000000000000001E-2</c:v>
              </c:pt>
              <c:pt idx="1346">
                <c:v>2.5000000000000001E-2</c:v>
              </c:pt>
              <c:pt idx="1347">
                <c:v>3.6999999999999998E-2</c:v>
              </c:pt>
              <c:pt idx="1348">
                <c:v>1.4E-2</c:v>
              </c:pt>
              <c:pt idx="1349">
                <c:v>2.7E-2</c:v>
              </c:pt>
              <c:pt idx="1350">
                <c:v>7.0000000000000001E-3</c:v>
              </c:pt>
              <c:pt idx="1351">
                <c:v>1.2999999999999999E-2</c:v>
              </c:pt>
              <c:pt idx="1352">
                <c:v>2.3E-2</c:v>
              </c:pt>
              <c:pt idx="1353">
                <c:v>4.9000000000000002E-2</c:v>
              </c:pt>
              <c:pt idx="1354">
                <c:v>2.1000000000000001E-2</c:v>
              </c:pt>
              <c:pt idx="1355">
                <c:v>0.05</c:v>
              </c:pt>
              <c:pt idx="1356">
                <c:v>4.9000000000000002E-2</c:v>
              </c:pt>
              <c:pt idx="1357">
                <c:v>1.7999999999999999E-2</c:v>
              </c:pt>
              <c:pt idx="1358">
                <c:v>3.4000000000000002E-2</c:v>
              </c:pt>
              <c:pt idx="1359">
                <c:v>0.02</c:v>
              </c:pt>
              <c:pt idx="1360">
                <c:v>4.4999999999999998E-2</c:v>
              </c:pt>
              <c:pt idx="1361">
                <c:v>3.7999999999999999E-2</c:v>
              </c:pt>
              <c:pt idx="1362">
                <c:v>0.09</c:v>
              </c:pt>
              <c:pt idx="1363">
                <c:v>5.2999999999999999E-2</c:v>
              </c:pt>
              <c:pt idx="1364">
                <c:v>0.05</c:v>
              </c:pt>
              <c:pt idx="1365">
                <c:v>0.05</c:v>
              </c:pt>
              <c:pt idx="1366">
                <c:v>4.2000000000000003E-2</c:v>
              </c:pt>
              <c:pt idx="1367">
                <c:v>0.06</c:v>
              </c:pt>
              <c:pt idx="1368">
                <c:v>6.2E-2</c:v>
              </c:pt>
              <c:pt idx="1369">
                <c:v>4.9000000000000002E-2</c:v>
              </c:pt>
              <c:pt idx="1370">
                <c:v>5.2999999999999999E-2</c:v>
              </c:pt>
              <c:pt idx="1371">
                <c:v>2.1999999999999999E-2</c:v>
              </c:pt>
              <c:pt idx="1372">
                <c:v>5.6000000000000001E-2</c:v>
              </c:pt>
              <c:pt idx="1373">
                <c:v>3.7999999999999999E-2</c:v>
              </c:pt>
              <c:pt idx="1374">
                <c:v>3.4000000000000002E-2</c:v>
              </c:pt>
              <c:pt idx="1375">
                <c:v>2.1000000000000001E-2</c:v>
              </c:pt>
              <c:pt idx="1376">
                <c:v>7.6999999999999999E-2</c:v>
              </c:pt>
              <c:pt idx="1377">
                <c:v>2.5000000000000001E-2</c:v>
              </c:pt>
              <c:pt idx="1378">
                <c:v>3.2000000000000001E-2</c:v>
              </c:pt>
              <c:pt idx="1379">
                <c:v>4.4999999999999998E-2</c:v>
              </c:pt>
              <c:pt idx="1380">
                <c:v>3.6999999999999998E-2</c:v>
              </c:pt>
              <c:pt idx="1381">
                <c:v>2.8000000000000001E-2</c:v>
              </c:pt>
              <c:pt idx="1382">
                <c:v>1.7999999999999999E-2</c:v>
              </c:pt>
              <c:pt idx="1383">
                <c:v>2.3E-2</c:v>
              </c:pt>
              <c:pt idx="1384">
                <c:v>2.5000000000000001E-2</c:v>
              </c:pt>
              <c:pt idx="1385">
                <c:v>1.0999999999999999E-2</c:v>
              </c:pt>
              <c:pt idx="1386">
                <c:v>1E-3</c:v>
              </c:pt>
              <c:pt idx="1387">
                <c:v>6.0000000000000001E-3</c:v>
              </c:pt>
              <c:pt idx="1388">
                <c:v>1.2999999999999999E-2</c:v>
              </c:pt>
              <c:pt idx="1389">
                <c:v>2E-3</c:v>
              </c:pt>
              <c:pt idx="1390">
                <c:v>8.0000000000000002E-3</c:v>
              </c:pt>
              <c:pt idx="1391">
                <c:v>0</c:v>
              </c:pt>
              <c:pt idx="1392">
                <c:v>0</c:v>
              </c:pt>
              <c:pt idx="1393">
                <c:v>0</c:v>
              </c:pt>
              <c:pt idx="1394">
                <c:v>8.0000000000000002E-3</c:v>
              </c:pt>
              <c:pt idx="1395">
                <c:v>0</c:v>
              </c:pt>
              <c:pt idx="1396">
                <c:v>6.0000000000000001E-3</c:v>
              </c:pt>
              <c:pt idx="1397">
                <c:v>0</c:v>
              </c:pt>
              <c:pt idx="1398">
                <c:v>0</c:v>
              </c:pt>
              <c:pt idx="1399">
                <c:v>0</c:v>
              </c:pt>
              <c:pt idx="1400">
                <c:v>6.0000000000000001E-3</c:v>
              </c:pt>
              <c:pt idx="1401">
                <c:v>4.0000000000000001E-3</c:v>
              </c:pt>
              <c:pt idx="1402">
                <c:v>0</c:v>
              </c:pt>
              <c:pt idx="1403">
                <c:v>0</c:v>
              </c:pt>
              <c:pt idx="1404">
                <c:v>0</c:v>
              </c:pt>
              <c:pt idx="1405">
                <c:v>4.0000000000000001E-3</c:v>
              </c:pt>
              <c:pt idx="1406">
                <c:v>5.0000000000000001E-3</c:v>
              </c:pt>
              <c:pt idx="1407">
                <c:v>0</c:v>
              </c:pt>
              <c:pt idx="1408">
                <c:v>0</c:v>
              </c:pt>
              <c:pt idx="1409">
                <c:v>7.0000000000000001E-3</c:v>
              </c:pt>
              <c:pt idx="1410">
                <c:v>8.9999999999999993E-3</c:v>
              </c:pt>
              <c:pt idx="1411">
                <c:v>5.0000000000000001E-3</c:v>
              </c:pt>
              <c:pt idx="1412">
                <c:v>3.2000000000000001E-2</c:v>
              </c:pt>
              <c:pt idx="1413">
                <c:v>0.04</c:v>
              </c:pt>
              <c:pt idx="1414">
                <c:v>3.5000000000000003E-2</c:v>
              </c:pt>
              <c:pt idx="1415">
                <c:v>2.3E-2</c:v>
              </c:pt>
              <c:pt idx="1416">
                <c:v>1.4E-2</c:v>
              </c:pt>
              <c:pt idx="1417">
                <c:v>1.2E-2</c:v>
              </c:pt>
              <c:pt idx="1418">
                <c:v>0</c:v>
              </c:pt>
              <c:pt idx="1419">
                <c:v>1E-3</c:v>
              </c:pt>
              <c:pt idx="1420">
                <c:v>2E-3</c:v>
              </c:pt>
              <c:pt idx="1421">
                <c:v>0</c:v>
              </c:pt>
              <c:pt idx="1422">
                <c:v>0</c:v>
              </c:pt>
              <c:pt idx="1423">
                <c:v>0</c:v>
              </c:pt>
              <c:pt idx="1424">
                <c:v>0</c:v>
              </c:pt>
              <c:pt idx="1425">
                <c:v>1E-3</c:v>
              </c:pt>
              <c:pt idx="1426">
                <c:v>3.0000000000000001E-3</c:v>
              </c:pt>
              <c:pt idx="1427">
                <c:v>4.0000000000000001E-3</c:v>
              </c:pt>
              <c:pt idx="1428">
                <c:v>0</c:v>
              </c:pt>
              <c:pt idx="1429">
                <c:v>0</c:v>
              </c:pt>
              <c:pt idx="1430">
                <c:v>4.0000000000000001E-3</c:v>
              </c:pt>
              <c:pt idx="1431">
                <c:v>1.4999999999999999E-2</c:v>
              </c:pt>
              <c:pt idx="1432">
                <c:v>1.6E-2</c:v>
              </c:pt>
              <c:pt idx="1433">
                <c:v>2.1000000000000001E-2</c:v>
              </c:pt>
              <c:pt idx="1434">
                <c:v>1E-3</c:v>
              </c:pt>
              <c:pt idx="1435">
                <c:v>1.7999999999999999E-2</c:v>
              </c:pt>
              <c:pt idx="1436">
                <c:v>0.01</c:v>
              </c:pt>
              <c:pt idx="1437">
                <c:v>1E-3</c:v>
              </c:pt>
              <c:pt idx="1438">
                <c:v>1.7999999999999999E-2</c:v>
              </c:pt>
              <c:pt idx="1439">
                <c:v>2.1000000000000001E-2</c:v>
              </c:pt>
              <c:pt idx="1440">
                <c:v>2.3E-2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4-6259-46DD-8E42-052732076705}"/>
            </c:ext>
          </c:extLst>
        </c:ser>
        <c:ser>
          <c:idx val="5"/>
          <c:order val="5"/>
          <c:tx>
            <c:v>IS19 WMS POA Downword(W/mÂ²)</c:v>
          </c:tx>
          <c:spPr>
            <a:ln w="28575" cap="rnd">
              <a:solidFill>
                <a:schemeClr val="accent6"/>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8.1000000000000003E-2</c:v>
              </c:pt>
              <c:pt idx="2">
                <c:v>8.4000000000000005E-2</c:v>
              </c:pt>
              <c:pt idx="3">
                <c:v>7.6999999999999999E-2</c:v>
              </c:pt>
              <c:pt idx="4">
                <c:v>7.4999999999999997E-2</c:v>
              </c:pt>
              <c:pt idx="5">
                <c:v>7.0000000000000007E-2</c:v>
              </c:pt>
              <c:pt idx="6">
                <c:v>7.0999999999999994E-2</c:v>
              </c:pt>
              <c:pt idx="7">
                <c:v>0.06</c:v>
              </c:pt>
              <c:pt idx="8">
                <c:v>6.9000000000000006E-2</c:v>
              </c:pt>
              <c:pt idx="9">
                <c:v>8.5000000000000006E-2</c:v>
              </c:pt>
              <c:pt idx="10">
                <c:v>8.8999999999999996E-2</c:v>
              </c:pt>
              <c:pt idx="11">
                <c:v>9.9000000000000005E-2</c:v>
              </c:pt>
              <c:pt idx="12">
                <c:v>0.111</c:v>
              </c:pt>
              <c:pt idx="13">
                <c:v>0.121</c:v>
              </c:pt>
              <c:pt idx="14">
                <c:v>0.115</c:v>
              </c:pt>
              <c:pt idx="15">
                <c:v>0.11</c:v>
              </c:pt>
              <c:pt idx="16">
                <c:v>0.108</c:v>
              </c:pt>
              <c:pt idx="17">
                <c:v>0.10299999999999999</c:v>
              </c:pt>
              <c:pt idx="18">
                <c:v>0.109</c:v>
              </c:pt>
              <c:pt idx="19">
                <c:v>0.104</c:v>
              </c:pt>
              <c:pt idx="20">
                <c:v>9.9000000000000005E-2</c:v>
              </c:pt>
              <c:pt idx="21">
                <c:v>9.7000000000000003E-2</c:v>
              </c:pt>
              <c:pt idx="22">
                <c:v>0.09</c:v>
              </c:pt>
              <c:pt idx="23">
                <c:v>8.1000000000000003E-2</c:v>
              </c:pt>
              <c:pt idx="24">
                <c:v>7.5999999999999998E-2</c:v>
              </c:pt>
              <c:pt idx="25">
                <c:v>7.1999999999999995E-2</c:v>
              </c:pt>
              <c:pt idx="26">
                <c:v>7.3999999999999996E-2</c:v>
              </c:pt>
              <c:pt idx="27">
                <c:v>7.3999999999999996E-2</c:v>
              </c:pt>
              <c:pt idx="28">
                <c:v>7.2999999999999995E-2</c:v>
              </c:pt>
              <c:pt idx="29">
                <c:v>7.5999999999999998E-2</c:v>
              </c:pt>
              <c:pt idx="30">
                <c:v>7.6999999999999999E-2</c:v>
              </c:pt>
              <c:pt idx="31">
                <c:v>7.6999999999999999E-2</c:v>
              </c:pt>
              <c:pt idx="32">
                <c:v>7.9000000000000001E-2</c:v>
              </c:pt>
              <c:pt idx="33">
                <c:v>9.1999999999999998E-2</c:v>
              </c:pt>
              <c:pt idx="34">
                <c:v>9.9000000000000005E-2</c:v>
              </c:pt>
              <c:pt idx="35">
                <c:v>9.5000000000000001E-2</c:v>
              </c:pt>
              <c:pt idx="36">
                <c:v>0.10299999999999999</c:v>
              </c:pt>
              <c:pt idx="37">
                <c:v>9.9000000000000005E-2</c:v>
              </c:pt>
              <c:pt idx="38">
                <c:v>9.6000000000000002E-2</c:v>
              </c:pt>
              <c:pt idx="39">
                <c:v>0.107</c:v>
              </c:pt>
              <c:pt idx="40">
                <c:v>0.105</c:v>
              </c:pt>
              <c:pt idx="41">
                <c:v>0.104</c:v>
              </c:pt>
              <c:pt idx="42">
                <c:v>0.10100000000000001</c:v>
              </c:pt>
              <c:pt idx="43">
                <c:v>0.10299999999999999</c:v>
              </c:pt>
              <c:pt idx="44">
                <c:v>0.108</c:v>
              </c:pt>
              <c:pt idx="45">
                <c:v>0.107</c:v>
              </c:pt>
              <c:pt idx="46">
                <c:v>0.13</c:v>
              </c:pt>
              <c:pt idx="47">
                <c:v>0.156</c:v>
              </c:pt>
              <c:pt idx="48">
                <c:v>0.155</c:v>
              </c:pt>
              <c:pt idx="49">
                <c:v>0.17199999999999999</c:v>
              </c:pt>
              <c:pt idx="50">
                <c:v>0.17699999999999999</c:v>
              </c:pt>
              <c:pt idx="51">
                <c:v>0.17299999999999999</c:v>
              </c:pt>
              <c:pt idx="52">
                <c:v>0.16300000000000001</c:v>
              </c:pt>
              <c:pt idx="53">
                <c:v>0.16</c:v>
              </c:pt>
              <c:pt idx="54">
                <c:v>0.14899999999999999</c:v>
              </c:pt>
              <c:pt idx="55">
                <c:v>0.14499999999999999</c:v>
              </c:pt>
              <c:pt idx="56">
                <c:v>0.13900000000000001</c:v>
              </c:pt>
              <c:pt idx="57">
                <c:v>0.13700000000000001</c:v>
              </c:pt>
              <c:pt idx="58">
                <c:v>0.16300000000000001</c:v>
              </c:pt>
              <c:pt idx="59">
                <c:v>0.17399999999999999</c:v>
              </c:pt>
              <c:pt idx="60">
                <c:v>0.18</c:v>
              </c:pt>
              <c:pt idx="61">
                <c:v>0.18</c:v>
              </c:pt>
              <c:pt idx="62">
                <c:v>0.17599999999999999</c:v>
              </c:pt>
              <c:pt idx="63">
                <c:v>0.182</c:v>
              </c:pt>
              <c:pt idx="64">
                <c:v>0.19500000000000001</c:v>
              </c:pt>
              <c:pt idx="65">
                <c:v>0.182</c:v>
              </c:pt>
              <c:pt idx="66">
                <c:v>0.182</c:v>
              </c:pt>
              <c:pt idx="67">
                <c:v>0.187</c:v>
              </c:pt>
              <c:pt idx="68">
                <c:v>0.17299999999999999</c:v>
              </c:pt>
              <c:pt idx="69">
                <c:v>0.16200000000000001</c:v>
              </c:pt>
              <c:pt idx="70">
                <c:v>0.13800000000000001</c:v>
              </c:pt>
              <c:pt idx="71">
                <c:v>0.13100000000000001</c:v>
              </c:pt>
              <c:pt idx="72">
                <c:v>0.123</c:v>
              </c:pt>
              <c:pt idx="73">
                <c:v>0.109</c:v>
              </c:pt>
              <c:pt idx="74">
                <c:v>0.10199999999999999</c:v>
              </c:pt>
              <c:pt idx="75">
                <c:v>9.1999999999999998E-2</c:v>
              </c:pt>
              <c:pt idx="76">
                <c:v>9.8000000000000004E-2</c:v>
              </c:pt>
              <c:pt idx="77">
                <c:v>9.5000000000000001E-2</c:v>
              </c:pt>
              <c:pt idx="78">
                <c:v>0.10100000000000001</c:v>
              </c:pt>
              <c:pt idx="79">
                <c:v>0.106</c:v>
              </c:pt>
              <c:pt idx="80">
                <c:v>0.105</c:v>
              </c:pt>
              <c:pt idx="81">
                <c:v>0.113</c:v>
              </c:pt>
              <c:pt idx="82">
                <c:v>0.106</c:v>
              </c:pt>
              <c:pt idx="83">
                <c:v>8.8999999999999996E-2</c:v>
              </c:pt>
              <c:pt idx="84">
                <c:v>7.6999999999999999E-2</c:v>
              </c:pt>
              <c:pt idx="85">
                <c:v>5.8000000000000003E-2</c:v>
              </c:pt>
              <c:pt idx="86">
                <c:v>4.7E-2</c:v>
              </c:pt>
              <c:pt idx="87">
                <c:v>2.5999999999999999E-2</c:v>
              </c:pt>
              <c:pt idx="88">
                <c:v>0.01</c:v>
              </c:pt>
              <c:pt idx="89">
                <c:v>0</c:v>
              </c:pt>
              <c:pt idx="90">
                <c:v>1E-3</c:v>
              </c:pt>
              <c:pt idx="91">
                <c:v>7.0000000000000001E-3</c:v>
              </c:pt>
              <c:pt idx="92">
                <c:v>0.01</c:v>
              </c:pt>
              <c:pt idx="93">
                <c:v>8.0000000000000002E-3</c:v>
              </c:pt>
              <c:pt idx="94">
                <c:v>5.0000000000000001E-3</c:v>
              </c:pt>
              <c:pt idx="95">
                <c:v>0</c:v>
              </c:pt>
              <c:pt idx="96">
                <c:v>0</c:v>
              </c:pt>
              <c:pt idx="97">
                <c:v>1E-3</c:v>
              </c:pt>
              <c:pt idx="98">
                <c:v>0</c:v>
              </c:pt>
              <c:pt idx="99">
                <c:v>1E-3</c:v>
              </c:pt>
              <c:pt idx="100">
                <c:v>1E-3</c:v>
              </c:pt>
              <c:pt idx="101">
                <c:v>1E-3</c:v>
              </c:pt>
              <c:pt idx="102">
                <c:v>5.0000000000000001E-3</c:v>
              </c:pt>
              <c:pt idx="103">
                <c:v>4.0000000000000001E-3</c:v>
              </c:pt>
              <c:pt idx="104">
                <c:v>0.01</c:v>
              </c:pt>
              <c:pt idx="105">
                <c:v>1.6E-2</c:v>
              </c:pt>
              <c:pt idx="106">
                <c:v>1.7999999999999999E-2</c:v>
              </c:pt>
              <c:pt idx="107">
                <c:v>2.3E-2</c:v>
              </c:pt>
              <c:pt idx="108">
                <c:v>1.6E-2</c:v>
              </c:pt>
              <c:pt idx="109">
                <c:v>1.0999999999999999E-2</c:v>
              </c:pt>
              <c:pt idx="110">
                <c:v>1.2999999999999999E-2</c:v>
              </c:pt>
              <c:pt idx="111">
                <c:v>1.2999999999999999E-2</c:v>
              </c:pt>
              <c:pt idx="112">
                <c:v>1.0999999999999999E-2</c:v>
              </c:pt>
              <c:pt idx="113">
                <c:v>1.7000000000000001E-2</c:v>
              </c:pt>
              <c:pt idx="114">
                <c:v>8.9999999999999993E-3</c:v>
              </c:pt>
              <c:pt idx="115">
                <c:v>1.0999999999999999E-2</c:v>
              </c:pt>
              <c:pt idx="116">
                <c:v>7.0000000000000001E-3</c:v>
              </c:pt>
              <c:pt idx="117">
                <c:v>8.9999999999999993E-3</c:v>
              </c:pt>
              <c:pt idx="118">
                <c:v>1.7000000000000001E-2</c:v>
              </c:pt>
              <c:pt idx="119">
                <c:v>2.1000000000000001E-2</c:v>
              </c:pt>
              <c:pt idx="120">
                <c:v>0.02</c:v>
              </c:pt>
              <c:pt idx="121">
                <c:v>2.1000000000000001E-2</c:v>
              </c:pt>
              <c:pt idx="122">
                <c:v>2.1999999999999999E-2</c:v>
              </c:pt>
              <c:pt idx="123">
                <c:v>1.7999999999999999E-2</c:v>
              </c:pt>
              <c:pt idx="124">
                <c:v>1.7999999999999999E-2</c:v>
              </c:pt>
              <c:pt idx="125">
                <c:v>1.9E-2</c:v>
              </c:pt>
              <c:pt idx="126">
                <c:v>2.4E-2</c:v>
              </c:pt>
              <c:pt idx="127">
                <c:v>2.5000000000000001E-2</c:v>
              </c:pt>
              <c:pt idx="128">
                <c:v>2.5000000000000001E-2</c:v>
              </c:pt>
              <c:pt idx="129">
                <c:v>0.03</c:v>
              </c:pt>
              <c:pt idx="130">
                <c:v>0.04</c:v>
              </c:pt>
              <c:pt idx="131">
                <c:v>3.4000000000000002E-2</c:v>
              </c:pt>
              <c:pt idx="132">
                <c:v>3.9E-2</c:v>
              </c:pt>
              <c:pt idx="133">
                <c:v>3.5999999999999997E-2</c:v>
              </c:pt>
              <c:pt idx="134">
                <c:v>4.2000000000000003E-2</c:v>
              </c:pt>
              <c:pt idx="135">
                <c:v>5.0999999999999997E-2</c:v>
              </c:pt>
              <c:pt idx="136">
                <c:v>4.8000000000000001E-2</c:v>
              </c:pt>
              <c:pt idx="137">
                <c:v>4.8000000000000001E-2</c:v>
              </c:pt>
              <c:pt idx="138">
                <c:v>5.0999999999999997E-2</c:v>
              </c:pt>
              <c:pt idx="139">
                <c:v>5.7000000000000002E-2</c:v>
              </c:pt>
              <c:pt idx="140">
                <c:v>4.7E-2</c:v>
              </c:pt>
              <c:pt idx="141">
                <c:v>3.9E-2</c:v>
              </c:pt>
              <c:pt idx="142">
                <c:v>3.6999999999999998E-2</c:v>
              </c:pt>
              <c:pt idx="143">
                <c:v>2.7E-2</c:v>
              </c:pt>
              <c:pt idx="144">
                <c:v>1.7999999999999999E-2</c:v>
              </c:pt>
              <c:pt idx="145">
                <c:v>1.2E-2</c:v>
              </c:pt>
              <c:pt idx="146">
                <c:v>1.7999999999999999E-2</c:v>
              </c:pt>
              <c:pt idx="147">
                <c:v>1.6E-2</c:v>
              </c:pt>
              <c:pt idx="148">
                <c:v>1.7000000000000001E-2</c:v>
              </c:pt>
              <c:pt idx="149">
                <c:v>1.2E-2</c:v>
              </c:pt>
              <c:pt idx="150">
                <c:v>8.0000000000000002E-3</c:v>
              </c:pt>
              <c:pt idx="151">
                <c:v>3.0000000000000001E-3</c:v>
              </c:pt>
              <c:pt idx="152">
                <c:v>5.0000000000000001E-3</c:v>
              </c:pt>
              <c:pt idx="153">
                <c:v>1.0999999999999999E-2</c:v>
              </c:pt>
              <c:pt idx="154">
                <c:v>1.0999999999999999E-2</c:v>
              </c:pt>
              <c:pt idx="155">
                <c:v>1.7000000000000001E-2</c:v>
              </c:pt>
              <c:pt idx="156">
                <c:v>1.2999999999999999E-2</c:v>
              </c:pt>
              <c:pt idx="157">
                <c:v>0.01</c:v>
              </c:pt>
              <c:pt idx="158">
                <c:v>7.0000000000000001E-3</c:v>
              </c:pt>
              <c:pt idx="159">
                <c:v>5.0000000000000001E-3</c:v>
              </c:pt>
              <c:pt idx="160">
                <c:v>0.01</c:v>
              </c:pt>
              <c:pt idx="161">
                <c:v>4.0000000000000001E-3</c:v>
              </c:pt>
              <c:pt idx="162">
                <c:v>2E-3</c:v>
              </c:pt>
              <c:pt idx="163">
                <c:v>1E-3</c:v>
              </c:pt>
              <c:pt idx="164">
                <c:v>5.0000000000000001E-3</c:v>
              </c:pt>
              <c:pt idx="165">
                <c:v>5.0000000000000001E-3</c:v>
              </c:pt>
              <c:pt idx="166">
                <c:v>3.0000000000000001E-3</c:v>
              </c:pt>
              <c:pt idx="167">
                <c:v>1E-3</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2E-3</c:v>
              </c:pt>
              <c:pt idx="203">
                <c:v>5.0000000000000001E-3</c:v>
              </c:pt>
              <c:pt idx="204">
                <c:v>8.0000000000000002E-3</c:v>
              </c:pt>
              <c:pt idx="205">
                <c:v>3.1E-2</c:v>
              </c:pt>
              <c:pt idx="206">
                <c:v>5.8999999999999997E-2</c:v>
              </c:pt>
              <c:pt idx="207">
                <c:v>0.08</c:v>
              </c:pt>
              <c:pt idx="208">
                <c:v>0.10100000000000001</c:v>
              </c:pt>
              <c:pt idx="209">
                <c:v>0.123</c:v>
              </c:pt>
              <c:pt idx="210">
                <c:v>0.125</c:v>
              </c:pt>
              <c:pt idx="211">
                <c:v>0.12</c:v>
              </c:pt>
              <c:pt idx="212">
                <c:v>0.115</c:v>
              </c:pt>
              <c:pt idx="213">
                <c:v>0.10199999999999999</c:v>
              </c:pt>
              <c:pt idx="214">
                <c:v>8.1000000000000003E-2</c:v>
              </c:pt>
              <c:pt idx="215">
                <c:v>0.06</c:v>
              </c:pt>
              <c:pt idx="216">
                <c:v>5.0999999999999997E-2</c:v>
              </c:pt>
              <c:pt idx="217">
                <c:v>4.8000000000000001E-2</c:v>
              </c:pt>
              <c:pt idx="218">
                <c:v>4.9000000000000002E-2</c:v>
              </c:pt>
              <c:pt idx="219">
                <c:v>6.2E-2</c:v>
              </c:pt>
              <c:pt idx="220">
                <c:v>5.0999999999999997E-2</c:v>
              </c:pt>
              <c:pt idx="221">
                <c:v>3.9E-2</c:v>
              </c:pt>
              <c:pt idx="222">
                <c:v>2.4E-2</c:v>
              </c:pt>
              <c:pt idx="223">
                <c:v>2.8000000000000001E-2</c:v>
              </c:pt>
              <c:pt idx="224">
                <c:v>4.9000000000000002E-2</c:v>
              </c:pt>
              <c:pt idx="225">
                <c:v>5.1999999999999998E-2</c:v>
              </c:pt>
              <c:pt idx="226">
                <c:v>4.2000000000000003E-2</c:v>
              </c:pt>
              <c:pt idx="227">
                <c:v>3.7999999999999999E-2</c:v>
              </c:pt>
              <c:pt idx="228">
                <c:v>4.7E-2</c:v>
              </c:pt>
              <c:pt idx="229">
                <c:v>4.2999999999999997E-2</c:v>
              </c:pt>
              <c:pt idx="230">
                <c:v>3.5000000000000003E-2</c:v>
              </c:pt>
              <c:pt idx="231">
                <c:v>4.5999999999999999E-2</c:v>
              </c:pt>
              <c:pt idx="232">
                <c:v>3.7999999999999999E-2</c:v>
              </c:pt>
              <c:pt idx="233">
                <c:v>3.3000000000000002E-2</c:v>
              </c:pt>
              <c:pt idx="234">
                <c:v>1.9E-2</c:v>
              </c:pt>
              <c:pt idx="235">
                <c:v>1.7999999999999999E-2</c:v>
              </c:pt>
              <c:pt idx="236">
                <c:v>1.2E-2</c:v>
              </c:pt>
              <c:pt idx="237">
                <c:v>1E-3</c:v>
              </c:pt>
              <c:pt idx="238">
                <c:v>0</c:v>
              </c:pt>
              <c:pt idx="239">
                <c:v>2E-3</c:v>
              </c:pt>
              <c:pt idx="240">
                <c:v>1E-3</c:v>
              </c:pt>
              <c:pt idx="241">
                <c:v>0</c:v>
              </c:pt>
              <c:pt idx="242">
                <c:v>1E-3</c:v>
              </c:pt>
              <c:pt idx="243">
                <c:v>4.0000000000000001E-3</c:v>
              </c:pt>
              <c:pt idx="244">
                <c:v>1.0999999999999999E-2</c:v>
              </c:pt>
              <c:pt idx="245">
                <c:v>1.9E-2</c:v>
              </c:pt>
              <c:pt idx="246">
                <c:v>2.1999999999999999E-2</c:v>
              </c:pt>
              <c:pt idx="247">
                <c:v>0.02</c:v>
              </c:pt>
              <c:pt idx="248">
                <c:v>1.7000000000000001E-2</c:v>
              </c:pt>
              <c:pt idx="249">
                <c:v>1.7999999999999999E-2</c:v>
              </c:pt>
              <c:pt idx="250">
                <c:v>1.7000000000000001E-2</c:v>
              </c:pt>
              <c:pt idx="251">
                <c:v>1.7999999999999999E-2</c:v>
              </c:pt>
              <c:pt idx="252">
                <c:v>2.5999999999999999E-2</c:v>
              </c:pt>
              <c:pt idx="253">
                <c:v>2.1999999999999999E-2</c:v>
              </c:pt>
              <c:pt idx="254">
                <c:v>2.1000000000000001E-2</c:v>
              </c:pt>
              <c:pt idx="255">
                <c:v>1.4999999999999999E-2</c:v>
              </c:pt>
              <c:pt idx="256">
                <c:v>0.01</c:v>
              </c:pt>
              <c:pt idx="257">
                <c:v>4.0000000000000001E-3</c:v>
              </c:pt>
              <c:pt idx="258">
                <c:v>0</c:v>
              </c:pt>
              <c:pt idx="259">
                <c:v>3.0000000000000001E-3</c:v>
              </c:pt>
              <c:pt idx="260">
                <c:v>2E-3</c:v>
              </c:pt>
              <c:pt idx="261">
                <c:v>5.0000000000000001E-3</c:v>
              </c:pt>
              <c:pt idx="262">
                <c:v>1.0999999999999999E-2</c:v>
              </c:pt>
              <c:pt idx="263">
                <c:v>1.6E-2</c:v>
              </c:pt>
              <c:pt idx="264">
                <c:v>1.6E-2</c:v>
              </c:pt>
              <c:pt idx="265">
                <c:v>1.6E-2</c:v>
              </c:pt>
              <c:pt idx="266">
                <c:v>2.5000000000000001E-2</c:v>
              </c:pt>
              <c:pt idx="267">
                <c:v>2.5999999999999999E-2</c:v>
              </c:pt>
              <c:pt idx="268">
                <c:v>3.1E-2</c:v>
              </c:pt>
              <c:pt idx="269">
                <c:v>3.5000000000000003E-2</c:v>
              </c:pt>
              <c:pt idx="270">
                <c:v>3.7999999999999999E-2</c:v>
              </c:pt>
              <c:pt idx="271">
                <c:v>0.04</c:v>
              </c:pt>
              <c:pt idx="272">
                <c:v>5.0999999999999997E-2</c:v>
              </c:pt>
              <c:pt idx="273">
                <c:v>4.1000000000000002E-2</c:v>
              </c:pt>
              <c:pt idx="274">
                <c:v>5.5E-2</c:v>
              </c:pt>
              <c:pt idx="275">
                <c:v>0.06</c:v>
              </c:pt>
              <c:pt idx="276">
                <c:v>5.6000000000000001E-2</c:v>
              </c:pt>
              <c:pt idx="277">
                <c:v>5.7000000000000002E-2</c:v>
              </c:pt>
              <c:pt idx="278">
                <c:v>4.5999999999999999E-2</c:v>
              </c:pt>
              <c:pt idx="279">
                <c:v>4.1000000000000002E-2</c:v>
              </c:pt>
              <c:pt idx="280">
                <c:v>3.9E-2</c:v>
              </c:pt>
              <c:pt idx="281">
                <c:v>0.03</c:v>
              </c:pt>
              <c:pt idx="282">
                <c:v>2.5000000000000001E-2</c:v>
              </c:pt>
              <c:pt idx="283">
                <c:v>1.2999999999999999E-2</c:v>
              </c:pt>
              <c:pt idx="284">
                <c:v>8.9999999999999993E-3</c:v>
              </c:pt>
              <c:pt idx="285">
                <c:v>2.1999999999999999E-2</c:v>
              </c:pt>
              <c:pt idx="286">
                <c:v>2.5999999999999999E-2</c:v>
              </c:pt>
              <c:pt idx="287">
                <c:v>2.5999999999999999E-2</c:v>
              </c:pt>
              <c:pt idx="288">
                <c:v>0.02</c:v>
              </c:pt>
              <c:pt idx="289">
                <c:v>1.6E-2</c:v>
              </c:pt>
              <c:pt idx="290">
                <c:v>1.6E-2</c:v>
              </c:pt>
              <c:pt idx="291">
                <c:v>1.0999999999999999E-2</c:v>
              </c:pt>
              <c:pt idx="292">
                <c:v>1.7000000000000001E-2</c:v>
              </c:pt>
              <c:pt idx="293">
                <c:v>8.9999999999999993E-3</c:v>
              </c:pt>
              <c:pt idx="294">
                <c:v>3.0000000000000001E-3</c:v>
              </c:pt>
              <c:pt idx="295">
                <c:v>2E-3</c:v>
              </c:pt>
              <c:pt idx="296">
                <c:v>4.0000000000000001E-3</c:v>
              </c:pt>
              <c:pt idx="297">
                <c:v>1.6E-2</c:v>
              </c:pt>
              <c:pt idx="298">
                <c:v>1.7000000000000001E-2</c:v>
              </c:pt>
              <c:pt idx="299">
                <c:v>3.0000000000000001E-3</c:v>
              </c:pt>
              <c:pt idx="300">
                <c:v>0</c:v>
              </c:pt>
              <c:pt idx="301">
                <c:v>0</c:v>
              </c:pt>
              <c:pt idx="302">
                <c:v>0</c:v>
              </c:pt>
              <c:pt idx="303">
                <c:v>0</c:v>
              </c:pt>
              <c:pt idx="304">
                <c:v>0</c:v>
              </c:pt>
              <c:pt idx="305">
                <c:v>0</c:v>
              </c:pt>
              <c:pt idx="306">
                <c:v>0</c:v>
              </c:pt>
              <c:pt idx="307">
                <c:v>0</c:v>
              </c:pt>
              <c:pt idx="308">
                <c:v>0</c:v>
              </c:pt>
              <c:pt idx="309">
                <c:v>0</c:v>
              </c:pt>
              <c:pt idx="310">
                <c:v>3.0000000000000001E-3</c:v>
              </c:pt>
              <c:pt idx="311">
                <c:v>1E-3</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1E-3</c:v>
              </c:pt>
              <c:pt idx="336">
                <c:v>0</c:v>
              </c:pt>
              <c:pt idx="337">
                <c:v>1E-3</c:v>
              </c:pt>
              <c:pt idx="338">
                <c:v>0</c:v>
              </c:pt>
              <c:pt idx="339">
                <c:v>0</c:v>
              </c:pt>
              <c:pt idx="340">
                <c:v>0</c:v>
              </c:pt>
              <c:pt idx="341">
                <c:v>0</c:v>
              </c:pt>
              <c:pt idx="342">
                <c:v>4.0000000000000001E-3</c:v>
              </c:pt>
              <c:pt idx="343">
                <c:v>4.0000000000000001E-3</c:v>
              </c:pt>
              <c:pt idx="344">
                <c:v>2E-3</c:v>
              </c:pt>
              <c:pt idx="345">
                <c:v>1E-3</c:v>
              </c:pt>
              <c:pt idx="346">
                <c:v>0</c:v>
              </c:pt>
              <c:pt idx="347">
                <c:v>0</c:v>
              </c:pt>
              <c:pt idx="348">
                <c:v>0</c:v>
              </c:pt>
              <c:pt idx="349">
                <c:v>0</c:v>
              </c:pt>
              <c:pt idx="350">
                <c:v>1E-3</c:v>
              </c:pt>
              <c:pt idx="351">
                <c:v>5.0000000000000001E-3</c:v>
              </c:pt>
              <c:pt idx="352">
                <c:v>8.0000000000000002E-3</c:v>
              </c:pt>
              <c:pt idx="353">
                <c:v>5.0000000000000001E-3</c:v>
              </c:pt>
              <c:pt idx="354">
                <c:v>5.0000000000000001E-3</c:v>
              </c:pt>
              <c:pt idx="355">
                <c:v>7.0000000000000001E-3</c:v>
              </c:pt>
              <c:pt idx="356">
                <c:v>1.2E-2</c:v>
              </c:pt>
              <c:pt idx="357">
                <c:v>8.9999999999999993E-3</c:v>
              </c:pt>
              <c:pt idx="358">
                <c:v>0.01</c:v>
              </c:pt>
              <c:pt idx="359">
                <c:v>1.2999999999999999E-2</c:v>
              </c:pt>
              <c:pt idx="360">
                <c:v>1.9E-2</c:v>
              </c:pt>
              <c:pt idx="361">
                <c:v>3.1E-2</c:v>
              </c:pt>
              <c:pt idx="362">
                <c:v>0.05</c:v>
              </c:pt>
              <c:pt idx="363">
                <c:v>6.2E-2</c:v>
              </c:pt>
              <c:pt idx="364">
                <c:v>0.06</c:v>
              </c:pt>
              <c:pt idx="365">
                <c:v>6.4000000000000001E-2</c:v>
              </c:pt>
              <c:pt idx="366">
                <c:v>7.0000000000000007E-2</c:v>
              </c:pt>
              <c:pt idx="367">
                <c:v>8.6999999999999994E-2</c:v>
              </c:pt>
              <c:pt idx="368">
                <c:v>0.109</c:v>
              </c:pt>
              <c:pt idx="369">
                <c:v>0.129</c:v>
              </c:pt>
              <c:pt idx="370">
                <c:v>0.14699999999999999</c:v>
              </c:pt>
              <c:pt idx="371">
                <c:v>0.16600000000000001</c:v>
              </c:pt>
              <c:pt idx="372">
                <c:v>0.17499999999999999</c:v>
              </c:pt>
              <c:pt idx="373">
                <c:v>0.23200000000000001</c:v>
              </c:pt>
              <c:pt idx="374">
                <c:v>0.29299999999999998</c:v>
              </c:pt>
              <c:pt idx="375">
                <c:v>0.32600000000000001</c:v>
              </c:pt>
              <c:pt idx="376">
                <c:v>0.34300000000000003</c:v>
              </c:pt>
              <c:pt idx="377">
                <c:v>0.33</c:v>
              </c:pt>
              <c:pt idx="378">
                <c:v>0.33400000000000002</c:v>
              </c:pt>
              <c:pt idx="379">
                <c:v>0.36199999999999999</c:v>
              </c:pt>
              <c:pt idx="380">
                <c:v>0.38900000000000001</c:v>
              </c:pt>
              <c:pt idx="381">
                <c:v>0.40500000000000003</c:v>
              </c:pt>
              <c:pt idx="382">
                <c:v>0.441</c:v>
              </c:pt>
              <c:pt idx="383">
                <c:v>0.45900000000000002</c:v>
              </c:pt>
              <c:pt idx="384">
                <c:v>0.499</c:v>
              </c:pt>
              <c:pt idx="385">
                <c:v>0.55700000000000005</c:v>
              </c:pt>
              <c:pt idx="386">
                <c:v>0.58099999999999996</c:v>
              </c:pt>
              <c:pt idx="387">
                <c:v>0.61399999999999999</c:v>
              </c:pt>
              <c:pt idx="388">
                <c:v>0.60099999999999998</c:v>
              </c:pt>
              <c:pt idx="389">
                <c:v>0.622</c:v>
              </c:pt>
              <c:pt idx="390">
                <c:v>0.68500000000000005</c:v>
              </c:pt>
              <c:pt idx="391">
                <c:v>0.76700000000000002</c:v>
              </c:pt>
              <c:pt idx="392">
                <c:v>0.78700000000000003</c:v>
              </c:pt>
              <c:pt idx="393">
                <c:v>0.81799999999999995</c:v>
              </c:pt>
              <c:pt idx="394">
                <c:v>0.86099999999999999</c:v>
              </c:pt>
              <c:pt idx="395">
                <c:v>0.88600000000000001</c:v>
              </c:pt>
              <c:pt idx="396">
                <c:v>0.87</c:v>
              </c:pt>
              <c:pt idx="397">
                <c:v>0.93700000000000006</c:v>
              </c:pt>
              <c:pt idx="398">
                <c:v>1.0389999999999999</c:v>
              </c:pt>
              <c:pt idx="399">
                <c:v>1.129</c:v>
              </c:pt>
              <c:pt idx="400">
                <c:v>1.1519999999999999</c:v>
              </c:pt>
              <c:pt idx="401">
                <c:v>1.155</c:v>
              </c:pt>
              <c:pt idx="402">
                <c:v>1.101</c:v>
              </c:pt>
              <c:pt idx="403">
                <c:v>1.0960000000000001</c:v>
              </c:pt>
              <c:pt idx="404">
                <c:v>1.0349999999999999</c:v>
              </c:pt>
              <c:pt idx="405">
                <c:v>1.0049999999999999</c:v>
              </c:pt>
              <c:pt idx="406">
                <c:v>1.0900000000000001</c:v>
              </c:pt>
              <c:pt idx="407">
                <c:v>1.177</c:v>
              </c:pt>
              <c:pt idx="408">
                <c:v>1.486</c:v>
              </c:pt>
              <c:pt idx="409">
                <c:v>1.7609999999999999</c:v>
              </c:pt>
              <c:pt idx="410">
                <c:v>2.0840000000000001</c:v>
              </c:pt>
              <c:pt idx="411">
                <c:v>2.1659999999999999</c:v>
              </c:pt>
              <c:pt idx="412">
                <c:v>2.1230000000000002</c:v>
              </c:pt>
              <c:pt idx="413">
                <c:v>2.1309999999999998</c:v>
              </c:pt>
              <c:pt idx="414">
                <c:v>1.9770000000000001</c:v>
              </c:pt>
              <c:pt idx="415">
                <c:v>1.915</c:v>
              </c:pt>
              <c:pt idx="416">
                <c:v>1.786</c:v>
              </c:pt>
              <c:pt idx="417">
                <c:v>1.754</c:v>
              </c:pt>
              <c:pt idx="418">
                <c:v>1.8660000000000001</c:v>
              </c:pt>
              <c:pt idx="419">
                <c:v>1.772</c:v>
              </c:pt>
              <c:pt idx="420">
                <c:v>1.7749999999999999</c:v>
              </c:pt>
              <c:pt idx="421">
                <c:v>1.756</c:v>
              </c:pt>
              <c:pt idx="422">
                <c:v>1.659</c:v>
              </c:pt>
              <c:pt idx="423">
                <c:v>1.589</c:v>
              </c:pt>
              <c:pt idx="424">
                <c:v>1.5069999999999999</c:v>
              </c:pt>
              <c:pt idx="425">
                <c:v>1.516</c:v>
              </c:pt>
              <c:pt idx="426">
                <c:v>1.544</c:v>
              </c:pt>
              <c:pt idx="427">
                <c:v>1.6020000000000001</c:v>
              </c:pt>
              <c:pt idx="428">
                <c:v>1.609</c:v>
              </c:pt>
              <c:pt idx="429">
                <c:v>1.5029999999999999</c:v>
              </c:pt>
              <c:pt idx="430">
                <c:v>1.429</c:v>
              </c:pt>
              <c:pt idx="431">
                <c:v>1.391</c:v>
              </c:pt>
              <c:pt idx="432">
                <c:v>1.4790000000000001</c:v>
              </c:pt>
              <c:pt idx="433">
                <c:v>1.5960000000000001</c:v>
              </c:pt>
              <c:pt idx="434">
                <c:v>1.552</c:v>
              </c:pt>
              <c:pt idx="435">
                <c:v>1.498</c:v>
              </c:pt>
              <c:pt idx="436">
                <c:v>1.4830000000000001</c:v>
              </c:pt>
              <c:pt idx="437">
                <c:v>1.4950000000000001</c:v>
              </c:pt>
              <c:pt idx="438">
                <c:v>1.5409999999999999</c:v>
              </c:pt>
              <c:pt idx="439">
                <c:v>1.627</c:v>
              </c:pt>
              <c:pt idx="440">
                <c:v>1.78</c:v>
              </c:pt>
              <c:pt idx="441">
                <c:v>2.0110000000000001</c:v>
              </c:pt>
              <c:pt idx="442">
                <c:v>2.2349999999999999</c:v>
              </c:pt>
              <c:pt idx="443">
                <c:v>2.2669999999999999</c:v>
              </c:pt>
              <c:pt idx="444">
                <c:v>2.2730000000000001</c:v>
              </c:pt>
              <c:pt idx="445">
                <c:v>2.2749999999999999</c:v>
              </c:pt>
              <c:pt idx="446">
                <c:v>2.5680000000000001</c:v>
              </c:pt>
              <c:pt idx="447">
                <c:v>2.5059999999999998</c:v>
              </c:pt>
              <c:pt idx="448">
                <c:v>2.52</c:v>
              </c:pt>
              <c:pt idx="449">
                <c:v>2.4260000000000002</c:v>
              </c:pt>
              <c:pt idx="450">
                <c:v>2.3450000000000002</c:v>
              </c:pt>
              <c:pt idx="451">
                <c:v>2.129</c:v>
              </c:pt>
              <c:pt idx="452">
                <c:v>1.899</c:v>
              </c:pt>
              <c:pt idx="453">
                <c:v>1.825</c:v>
              </c:pt>
              <c:pt idx="454">
                <c:v>1.847</c:v>
              </c:pt>
              <c:pt idx="455">
                <c:v>1.8220000000000001</c:v>
              </c:pt>
              <c:pt idx="456">
                <c:v>1.869</c:v>
              </c:pt>
              <c:pt idx="457">
                <c:v>1.8480000000000001</c:v>
              </c:pt>
              <c:pt idx="458">
                <c:v>1.879</c:v>
              </c:pt>
              <c:pt idx="459">
                <c:v>1.6080000000000001</c:v>
              </c:pt>
              <c:pt idx="460">
                <c:v>1.504</c:v>
              </c:pt>
              <c:pt idx="461">
                <c:v>1.345</c:v>
              </c:pt>
              <c:pt idx="462">
                <c:v>1.2250000000000001</c:v>
              </c:pt>
              <c:pt idx="463">
                <c:v>1.141</c:v>
              </c:pt>
              <c:pt idx="464">
                <c:v>1.159</c:v>
              </c:pt>
              <c:pt idx="465">
                <c:v>1.2849999999999999</c:v>
              </c:pt>
              <c:pt idx="466">
                <c:v>1.343</c:v>
              </c:pt>
              <c:pt idx="467">
                <c:v>1.421</c:v>
              </c:pt>
              <c:pt idx="468">
                <c:v>1.5269999999999999</c:v>
              </c:pt>
              <c:pt idx="469">
                <c:v>1.7769999999999999</c:v>
              </c:pt>
              <c:pt idx="470">
                <c:v>1.927</c:v>
              </c:pt>
              <c:pt idx="471">
                <c:v>1.994</c:v>
              </c:pt>
              <c:pt idx="472">
                <c:v>2.069</c:v>
              </c:pt>
              <c:pt idx="473">
                <c:v>2.0659999999999998</c:v>
              </c:pt>
              <c:pt idx="474">
                <c:v>1.978</c:v>
              </c:pt>
              <c:pt idx="475">
                <c:v>1.8680000000000001</c:v>
              </c:pt>
              <c:pt idx="476">
                <c:v>1.895</c:v>
              </c:pt>
              <c:pt idx="477">
                <c:v>1.978</c:v>
              </c:pt>
              <c:pt idx="478">
                <c:v>2.0720000000000001</c:v>
              </c:pt>
              <c:pt idx="479">
                <c:v>2.133</c:v>
              </c:pt>
              <c:pt idx="480">
                <c:v>2.2090000000000001</c:v>
              </c:pt>
              <c:pt idx="481">
                <c:v>2.31</c:v>
              </c:pt>
              <c:pt idx="482">
                <c:v>2.206</c:v>
              </c:pt>
              <c:pt idx="483">
                <c:v>2.069</c:v>
              </c:pt>
              <c:pt idx="484">
                <c:v>2.0569999999999999</c:v>
              </c:pt>
              <c:pt idx="485">
                <c:v>2.198</c:v>
              </c:pt>
              <c:pt idx="486">
                <c:v>2.2389999999999999</c:v>
              </c:pt>
              <c:pt idx="487">
                <c:v>2.5619999999999998</c:v>
              </c:pt>
              <c:pt idx="488">
                <c:v>3.0840000000000001</c:v>
              </c:pt>
              <c:pt idx="489">
                <c:v>3.6779999999999999</c:v>
              </c:pt>
              <c:pt idx="490">
                <c:v>3.907</c:v>
              </c:pt>
              <c:pt idx="491">
                <c:v>4.4320000000000004</c:v>
              </c:pt>
              <c:pt idx="492">
                <c:v>4.9859999999999998</c:v>
              </c:pt>
              <c:pt idx="493">
                <c:v>5.2359999999999998</c:v>
              </c:pt>
              <c:pt idx="494">
                <c:v>5.2510000000000003</c:v>
              </c:pt>
              <c:pt idx="495">
                <c:v>5.2430000000000003</c:v>
              </c:pt>
              <c:pt idx="496">
                <c:v>5.2869999999999999</c:v>
              </c:pt>
              <c:pt idx="497">
                <c:v>5.2489999999999997</c:v>
              </c:pt>
              <c:pt idx="498">
                <c:v>5.4720000000000004</c:v>
              </c:pt>
              <c:pt idx="499">
                <c:v>5.6210000000000004</c:v>
              </c:pt>
              <c:pt idx="500">
                <c:v>5.359</c:v>
              </c:pt>
              <c:pt idx="501">
                <c:v>5.1050000000000004</c:v>
              </c:pt>
              <c:pt idx="502">
                <c:v>5.1429999999999998</c:v>
              </c:pt>
              <c:pt idx="503">
                <c:v>6.1420000000000003</c:v>
              </c:pt>
              <c:pt idx="504">
                <c:v>7.2480000000000002</c:v>
              </c:pt>
              <c:pt idx="505">
                <c:v>7.6740000000000004</c:v>
              </c:pt>
              <c:pt idx="506">
                <c:v>8.17</c:v>
              </c:pt>
              <c:pt idx="507">
                <c:v>8.42</c:v>
              </c:pt>
              <c:pt idx="508">
                <c:v>8.3800000000000008</c:v>
              </c:pt>
              <c:pt idx="509">
                <c:v>8.36</c:v>
              </c:pt>
              <c:pt idx="510">
                <c:v>9.1</c:v>
              </c:pt>
              <c:pt idx="511">
                <c:v>9.5399999999999991</c:v>
              </c:pt>
              <c:pt idx="512">
                <c:v>9.2100000000000009</c:v>
              </c:pt>
              <c:pt idx="513">
                <c:v>9.32</c:v>
              </c:pt>
              <c:pt idx="514">
                <c:v>10.43</c:v>
              </c:pt>
              <c:pt idx="515">
                <c:v>10.48</c:v>
              </c:pt>
              <c:pt idx="516">
                <c:v>10.23</c:v>
              </c:pt>
              <c:pt idx="517">
                <c:v>10.35</c:v>
              </c:pt>
              <c:pt idx="518">
                <c:v>10.86</c:v>
              </c:pt>
              <c:pt idx="519">
                <c:v>11.65</c:v>
              </c:pt>
              <c:pt idx="520">
                <c:v>12.4</c:v>
              </c:pt>
              <c:pt idx="521">
                <c:v>13.37</c:v>
              </c:pt>
              <c:pt idx="522">
                <c:v>14.25</c:v>
              </c:pt>
              <c:pt idx="523">
                <c:v>14.28</c:v>
              </c:pt>
              <c:pt idx="524">
                <c:v>14.83</c:v>
              </c:pt>
              <c:pt idx="525">
                <c:v>16.440000000000001</c:v>
              </c:pt>
              <c:pt idx="526">
                <c:v>15.8</c:v>
              </c:pt>
              <c:pt idx="527">
                <c:v>16.48</c:v>
              </c:pt>
              <c:pt idx="528">
                <c:v>16.329999999999998</c:v>
              </c:pt>
              <c:pt idx="529">
                <c:v>15.22</c:v>
              </c:pt>
              <c:pt idx="530">
                <c:v>14.42</c:v>
              </c:pt>
              <c:pt idx="531">
                <c:v>12.89</c:v>
              </c:pt>
              <c:pt idx="532">
                <c:v>12.76</c:v>
              </c:pt>
              <c:pt idx="533">
                <c:v>12.73</c:v>
              </c:pt>
              <c:pt idx="534">
                <c:v>11.78</c:v>
              </c:pt>
              <c:pt idx="535">
                <c:v>11.32</c:v>
              </c:pt>
              <c:pt idx="536">
                <c:v>11.21</c:v>
              </c:pt>
              <c:pt idx="537">
                <c:v>11.93</c:v>
              </c:pt>
              <c:pt idx="538">
                <c:v>13.04</c:v>
              </c:pt>
              <c:pt idx="539">
                <c:v>13.82</c:v>
              </c:pt>
              <c:pt idx="540">
                <c:v>14.43</c:v>
              </c:pt>
              <c:pt idx="541">
                <c:v>14.08</c:v>
              </c:pt>
              <c:pt idx="542">
                <c:v>15.3</c:v>
              </c:pt>
              <c:pt idx="543">
                <c:v>14.29</c:v>
              </c:pt>
              <c:pt idx="544">
                <c:v>13.12</c:v>
              </c:pt>
              <c:pt idx="545">
                <c:v>13.66</c:v>
              </c:pt>
              <c:pt idx="546">
                <c:v>13.49</c:v>
              </c:pt>
              <c:pt idx="547">
                <c:v>12.71</c:v>
              </c:pt>
              <c:pt idx="548">
                <c:v>12.97</c:v>
              </c:pt>
              <c:pt idx="549">
                <c:v>12.85</c:v>
              </c:pt>
              <c:pt idx="550">
                <c:v>10.68</c:v>
              </c:pt>
              <c:pt idx="551">
                <c:v>9.07</c:v>
              </c:pt>
              <c:pt idx="552">
                <c:v>7.9509999999999996</c:v>
              </c:pt>
              <c:pt idx="553">
                <c:v>7.7080000000000002</c:v>
              </c:pt>
              <c:pt idx="554">
                <c:v>7.3579999999999997</c:v>
              </c:pt>
              <c:pt idx="555">
                <c:v>7.6189999999999998</c:v>
              </c:pt>
              <c:pt idx="556">
                <c:v>7.8019999999999996</c:v>
              </c:pt>
              <c:pt idx="557">
                <c:v>7.226</c:v>
              </c:pt>
              <c:pt idx="558">
                <c:v>6.3239999999999998</c:v>
              </c:pt>
              <c:pt idx="559">
                <c:v>5.9729999999999999</c:v>
              </c:pt>
              <c:pt idx="560">
                <c:v>5.7549999999999999</c:v>
              </c:pt>
              <c:pt idx="561">
                <c:v>5.3760000000000003</c:v>
              </c:pt>
              <c:pt idx="562">
                <c:v>5.0659999999999998</c:v>
              </c:pt>
              <c:pt idx="563">
                <c:v>4.9160000000000004</c:v>
              </c:pt>
              <c:pt idx="564">
                <c:v>4.7469999999999999</c:v>
              </c:pt>
              <c:pt idx="565">
                <c:v>4.9790000000000001</c:v>
              </c:pt>
              <c:pt idx="566">
                <c:v>5.2750000000000004</c:v>
              </c:pt>
              <c:pt idx="567">
                <c:v>5.4290000000000003</c:v>
              </c:pt>
              <c:pt idx="568">
                <c:v>5.5049999999999999</c:v>
              </c:pt>
              <c:pt idx="569">
                <c:v>5.4119999999999999</c:v>
              </c:pt>
              <c:pt idx="570">
                <c:v>5.2489999999999997</c:v>
              </c:pt>
              <c:pt idx="571">
                <c:v>5.0579999999999998</c:v>
              </c:pt>
              <c:pt idx="572">
                <c:v>5.12</c:v>
              </c:pt>
              <c:pt idx="573">
                <c:v>5.4859999999999998</c:v>
              </c:pt>
              <c:pt idx="574">
                <c:v>5.8239999999999998</c:v>
              </c:pt>
              <c:pt idx="575">
                <c:v>6.0720000000000001</c:v>
              </c:pt>
              <c:pt idx="576">
                <c:v>5.88</c:v>
              </c:pt>
              <c:pt idx="577">
                <c:v>5.9489999999999998</c:v>
              </c:pt>
              <c:pt idx="578">
                <c:v>6.2809999999999997</c:v>
              </c:pt>
              <c:pt idx="579">
                <c:v>6.4260000000000002</c:v>
              </c:pt>
              <c:pt idx="580">
                <c:v>6.609</c:v>
              </c:pt>
              <c:pt idx="581">
                <c:v>6.54</c:v>
              </c:pt>
              <c:pt idx="582">
                <c:v>6.6820000000000004</c:v>
              </c:pt>
              <c:pt idx="583">
                <c:v>6.625</c:v>
              </c:pt>
              <c:pt idx="584">
                <c:v>6.7249999999999996</c:v>
              </c:pt>
              <c:pt idx="585">
                <c:v>7.4429999999999996</c:v>
              </c:pt>
              <c:pt idx="586">
                <c:v>8.07</c:v>
              </c:pt>
              <c:pt idx="587">
                <c:v>9.01</c:v>
              </c:pt>
              <c:pt idx="588">
                <c:v>10.3</c:v>
              </c:pt>
              <c:pt idx="589">
                <c:v>11.73</c:v>
              </c:pt>
              <c:pt idx="590">
                <c:v>12.65</c:v>
              </c:pt>
              <c:pt idx="591">
                <c:v>13.12</c:v>
              </c:pt>
              <c:pt idx="592">
                <c:v>13.59</c:v>
              </c:pt>
              <c:pt idx="593">
                <c:v>13.93</c:v>
              </c:pt>
              <c:pt idx="594">
                <c:v>14.24</c:v>
              </c:pt>
              <c:pt idx="595">
                <c:v>14.47</c:v>
              </c:pt>
              <c:pt idx="596">
                <c:v>14.85</c:v>
              </c:pt>
              <c:pt idx="597">
                <c:v>15.59</c:v>
              </c:pt>
              <c:pt idx="598">
                <c:v>15.91</c:v>
              </c:pt>
              <c:pt idx="599">
                <c:v>15.76</c:v>
              </c:pt>
              <c:pt idx="600">
                <c:v>15.99</c:v>
              </c:pt>
              <c:pt idx="601">
                <c:v>16.63</c:v>
              </c:pt>
              <c:pt idx="602">
                <c:v>16.91</c:v>
              </c:pt>
              <c:pt idx="603">
                <c:v>17.329999999999998</c:v>
              </c:pt>
              <c:pt idx="604">
                <c:v>17.5</c:v>
              </c:pt>
              <c:pt idx="605">
                <c:v>18.11</c:v>
              </c:pt>
              <c:pt idx="606">
                <c:v>18.53</c:v>
              </c:pt>
              <c:pt idx="607">
                <c:v>18.989999999999998</c:v>
              </c:pt>
              <c:pt idx="608">
                <c:v>18.55</c:v>
              </c:pt>
              <c:pt idx="609">
                <c:v>19.420000000000002</c:v>
              </c:pt>
              <c:pt idx="610">
                <c:v>19.55</c:v>
              </c:pt>
              <c:pt idx="611">
                <c:v>19.649999999999999</c:v>
              </c:pt>
              <c:pt idx="612">
                <c:v>20.260000000000002</c:v>
              </c:pt>
              <c:pt idx="613">
                <c:v>20.22</c:v>
              </c:pt>
              <c:pt idx="614">
                <c:v>19.760000000000002</c:v>
              </c:pt>
              <c:pt idx="615">
                <c:v>19.72</c:v>
              </c:pt>
              <c:pt idx="616">
                <c:v>19.649999999999999</c:v>
              </c:pt>
              <c:pt idx="617">
                <c:v>19.559999999999999</c:v>
              </c:pt>
              <c:pt idx="618">
                <c:v>19.510000000000002</c:v>
              </c:pt>
              <c:pt idx="619">
                <c:v>19.36</c:v>
              </c:pt>
              <c:pt idx="620">
                <c:v>20.05</c:v>
              </c:pt>
              <c:pt idx="621">
                <c:v>19.79</c:v>
              </c:pt>
              <c:pt idx="622">
                <c:v>19.850000000000001</c:v>
              </c:pt>
              <c:pt idx="623">
                <c:v>20.04</c:v>
              </c:pt>
              <c:pt idx="624">
                <c:v>19.7</c:v>
              </c:pt>
              <c:pt idx="625">
                <c:v>19.399999999999999</c:v>
              </c:pt>
              <c:pt idx="626">
                <c:v>19.170000000000002</c:v>
              </c:pt>
              <c:pt idx="627">
                <c:v>18.809999999999999</c:v>
              </c:pt>
              <c:pt idx="628">
                <c:v>18.12</c:v>
              </c:pt>
              <c:pt idx="629">
                <c:v>17.47</c:v>
              </c:pt>
              <c:pt idx="630">
                <c:v>16.89</c:v>
              </c:pt>
              <c:pt idx="631">
                <c:v>16.739999999999998</c:v>
              </c:pt>
              <c:pt idx="632">
                <c:v>17.09</c:v>
              </c:pt>
              <c:pt idx="633">
                <c:v>17.62</c:v>
              </c:pt>
              <c:pt idx="634">
                <c:v>18.34</c:v>
              </c:pt>
              <c:pt idx="635">
                <c:v>18.88</c:v>
              </c:pt>
              <c:pt idx="636">
                <c:v>19.14</c:v>
              </c:pt>
              <c:pt idx="637">
                <c:v>19.149999999999999</c:v>
              </c:pt>
              <c:pt idx="638">
                <c:v>18.97</c:v>
              </c:pt>
              <c:pt idx="639">
                <c:v>18.93</c:v>
              </c:pt>
              <c:pt idx="640">
                <c:v>19.489999999999998</c:v>
              </c:pt>
              <c:pt idx="641">
                <c:v>20.52</c:v>
              </c:pt>
              <c:pt idx="642">
                <c:v>21.21</c:v>
              </c:pt>
              <c:pt idx="643">
                <c:v>21.93</c:v>
              </c:pt>
              <c:pt idx="644">
                <c:v>22.62</c:v>
              </c:pt>
              <c:pt idx="645">
                <c:v>22.8</c:v>
              </c:pt>
              <c:pt idx="646">
                <c:v>22.96</c:v>
              </c:pt>
              <c:pt idx="647">
                <c:v>23.42</c:v>
              </c:pt>
              <c:pt idx="648">
                <c:v>23.93</c:v>
              </c:pt>
              <c:pt idx="649">
                <c:v>24.48</c:v>
              </c:pt>
              <c:pt idx="650">
                <c:v>25.06</c:v>
              </c:pt>
              <c:pt idx="651">
                <c:v>25.67</c:v>
              </c:pt>
              <c:pt idx="652">
                <c:v>26.74</c:v>
              </c:pt>
              <c:pt idx="653">
                <c:v>27.84</c:v>
              </c:pt>
              <c:pt idx="654">
                <c:v>28.87</c:v>
              </c:pt>
              <c:pt idx="655">
                <c:v>29.33</c:v>
              </c:pt>
              <c:pt idx="656">
                <c:v>29.73</c:v>
              </c:pt>
              <c:pt idx="657">
                <c:v>30.21</c:v>
              </c:pt>
              <c:pt idx="658">
                <c:v>30.95</c:v>
              </c:pt>
              <c:pt idx="659">
                <c:v>31.65</c:v>
              </c:pt>
              <c:pt idx="660">
                <c:v>32.14</c:v>
              </c:pt>
              <c:pt idx="661">
                <c:v>32.75</c:v>
              </c:pt>
              <c:pt idx="662">
                <c:v>33.1</c:v>
              </c:pt>
              <c:pt idx="663">
                <c:v>33.11</c:v>
              </c:pt>
              <c:pt idx="664">
                <c:v>34.08</c:v>
              </c:pt>
              <c:pt idx="665">
                <c:v>35.01</c:v>
              </c:pt>
              <c:pt idx="666">
                <c:v>35.22</c:v>
              </c:pt>
              <c:pt idx="667">
                <c:v>36.14</c:v>
              </c:pt>
              <c:pt idx="668">
                <c:v>36.94</c:v>
              </c:pt>
              <c:pt idx="669">
                <c:v>36.24</c:v>
              </c:pt>
              <c:pt idx="670">
                <c:v>37.130000000000003</c:v>
              </c:pt>
              <c:pt idx="671">
                <c:v>34.99</c:v>
              </c:pt>
              <c:pt idx="672">
                <c:v>32.340000000000003</c:v>
              </c:pt>
              <c:pt idx="673">
                <c:v>30.51</c:v>
              </c:pt>
              <c:pt idx="674">
                <c:v>27.64</c:v>
              </c:pt>
              <c:pt idx="675">
                <c:v>26.98</c:v>
              </c:pt>
              <c:pt idx="676">
                <c:v>25.42</c:v>
              </c:pt>
              <c:pt idx="677">
                <c:v>26.15</c:v>
              </c:pt>
              <c:pt idx="678">
                <c:v>25.11</c:v>
              </c:pt>
              <c:pt idx="679">
                <c:v>24.42</c:v>
              </c:pt>
              <c:pt idx="680">
                <c:v>26.34</c:v>
              </c:pt>
              <c:pt idx="681">
                <c:v>26.44</c:v>
              </c:pt>
              <c:pt idx="682">
                <c:v>28.02</c:v>
              </c:pt>
              <c:pt idx="683">
                <c:v>28.4</c:v>
              </c:pt>
              <c:pt idx="684">
                <c:v>29.07</c:v>
              </c:pt>
              <c:pt idx="685">
                <c:v>28.4</c:v>
              </c:pt>
              <c:pt idx="686">
                <c:v>26.31</c:v>
              </c:pt>
              <c:pt idx="687">
                <c:v>27.12</c:v>
              </c:pt>
              <c:pt idx="688">
                <c:v>27.63</c:v>
              </c:pt>
              <c:pt idx="689">
                <c:v>27.46</c:v>
              </c:pt>
              <c:pt idx="690">
                <c:v>27.33</c:v>
              </c:pt>
              <c:pt idx="691">
                <c:v>26.2</c:v>
              </c:pt>
              <c:pt idx="692">
                <c:v>25.76</c:v>
              </c:pt>
              <c:pt idx="693">
                <c:v>26.84</c:v>
              </c:pt>
              <c:pt idx="694">
                <c:v>28.64</c:v>
              </c:pt>
              <c:pt idx="695">
                <c:v>27.7</c:v>
              </c:pt>
              <c:pt idx="696">
                <c:v>27.21</c:v>
              </c:pt>
              <c:pt idx="697">
                <c:v>28.05</c:v>
              </c:pt>
              <c:pt idx="698">
                <c:v>29.42</c:v>
              </c:pt>
              <c:pt idx="699">
                <c:v>30.62</c:v>
              </c:pt>
              <c:pt idx="700">
                <c:v>31.36</c:v>
              </c:pt>
              <c:pt idx="701">
                <c:v>32.700000000000003</c:v>
              </c:pt>
              <c:pt idx="702">
                <c:v>33.99</c:v>
              </c:pt>
              <c:pt idx="703">
                <c:v>37.229999999999997</c:v>
              </c:pt>
              <c:pt idx="704">
                <c:v>40.01</c:v>
              </c:pt>
              <c:pt idx="705">
                <c:v>45.39</c:v>
              </c:pt>
              <c:pt idx="706">
                <c:v>45.49</c:v>
              </c:pt>
              <c:pt idx="707">
                <c:v>38.54</c:v>
              </c:pt>
              <c:pt idx="708">
                <c:v>38.65</c:v>
              </c:pt>
              <c:pt idx="709">
                <c:v>38.200000000000003</c:v>
              </c:pt>
              <c:pt idx="710">
                <c:v>35.71</c:v>
              </c:pt>
              <c:pt idx="711">
                <c:v>34.85</c:v>
              </c:pt>
              <c:pt idx="712">
                <c:v>35.51</c:v>
              </c:pt>
              <c:pt idx="713">
                <c:v>34.6</c:v>
              </c:pt>
              <c:pt idx="714">
                <c:v>31.33</c:v>
              </c:pt>
              <c:pt idx="715">
                <c:v>31.3</c:v>
              </c:pt>
              <c:pt idx="716">
                <c:v>30.76</c:v>
              </c:pt>
              <c:pt idx="717">
                <c:v>29.15</c:v>
              </c:pt>
              <c:pt idx="718">
                <c:v>28.94</c:v>
              </c:pt>
              <c:pt idx="719">
                <c:v>31.33</c:v>
              </c:pt>
              <c:pt idx="720">
                <c:v>32.32</c:v>
              </c:pt>
              <c:pt idx="721">
                <c:v>32.36</c:v>
              </c:pt>
              <c:pt idx="722">
                <c:v>30.25</c:v>
              </c:pt>
              <c:pt idx="723">
                <c:v>28.28</c:v>
              </c:pt>
              <c:pt idx="724">
                <c:v>26.76</c:v>
              </c:pt>
              <c:pt idx="725">
                <c:v>26.19</c:v>
              </c:pt>
              <c:pt idx="726">
                <c:v>26.72</c:v>
              </c:pt>
              <c:pt idx="727">
                <c:v>27.35</c:v>
              </c:pt>
              <c:pt idx="728">
                <c:v>28.2</c:v>
              </c:pt>
              <c:pt idx="729">
                <c:v>29.36</c:v>
              </c:pt>
              <c:pt idx="730">
                <c:v>26.93</c:v>
              </c:pt>
              <c:pt idx="731">
                <c:v>22.88</c:v>
              </c:pt>
              <c:pt idx="732">
                <c:v>19.73</c:v>
              </c:pt>
              <c:pt idx="733">
                <c:v>19.2</c:v>
              </c:pt>
              <c:pt idx="734">
                <c:v>20.37</c:v>
              </c:pt>
              <c:pt idx="735">
                <c:v>22.32</c:v>
              </c:pt>
              <c:pt idx="736">
                <c:v>23.83</c:v>
              </c:pt>
              <c:pt idx="737">
                <c:v>23.37</c:v>
              </c:pt>
              <c:pt idx="738">
                <c:v>24.3</c:v>
              </c:pt>
              <c:pt idx="739">
                <c:v>24.27</c:v>
              </c:pt>
              <c:pt idx="740">
                <c:v>22.84</c:v>
              </c:pt>
              <c:pt idx="741">
                <c:v>21.87</c:v>
              </c:pt>
              <c:pt idx="742">
                <c:v>20.98</c:v>
              </c:pt>
              <c:pt idx="743">
                <c:v>19.11</c:v>
              </c:pt>
              <c:pt idx="744">
                <c:v>17.8</c:v>
              </c:pt>
              <c:pt idx="745">
                <c:v>16.989999999999998</c:v>
              </c:pt>
              <c:pt idx="746">
                <c:v>15.98</c:v>
              </c:pt>
              <c:pt idx="747">
                <c:v>15.38</c:v>
              </c:pt>
              <c:pt idx="748">
                <c:v>15.34</c:v>
              </c:pt>
              <c:pt idx="749">
                <c:v>14.91</c:v>
              </c:pt>
              <c:pt idx="750">
                <c:v>13.92</c:v>
              </c:pt>
              <c:pt idx="751">
                <c:v>11.99</c:v>
              </c:pt>
              <c:pt idx="752">
                <c:v>11.1</c:v>
              </c:pt>
              <c:pt idx="753">
                <c:v>11.7</c:v>
              </c:pt>
              <c:pt idx="754">
                <c:v>12.2</c:v>
              </c:pt>
              <c:pt idx="755">
                <c:v>13.19</c:v>
              </c:pt>
              <c:pt idx="756">
                <c:v>13.9</c:v>
              </c:pt>
              <c:pt idx="757">
                <c:v>13.24</c:v>
              </c:pt>
              <c:pt idx="758">
                <c:v>12.06</c:v>
              </c:pt>
              <c:pt idx="759">
                <c:v>11.35</c:v>
              </c:pt>
              <c:pt idx="760">
                <c:v>11.31</c:v>
              </c:pt>
              <c:pt idx="761">
                <c:v>11.99</c:v>
              </c:pt>
              <c:pt idx="762">
                <c:v>12.74</c:v>
              </c:pt>
              <c:pt idx="763">
                <c:v>13.56</c:v>
              </c:pt>
              <c:pt idx="764">
                <c:v>14.19</c:v>
              </c:pt>
              <c:pt idx="765">
                <c:v>13.92</c:v>
              </c:pt>
              <c:pt idx="766">
                <c:v>12.55</c:v>
              </c:pt>
              <c:pt idx="767">
                <c:v>11.37</c:v>
              </c:pt>
              <c:pt idx="768">
                <c:v>10.65</c:v>
              </c:pt>
              <c:pt idx="769">
                <c:v>9.6199999999999992</c:v>
              </c:pt>
              <c:pt idx="770">
                <c:v>8.89</c:v>
              </c:pt>
              <c:pt idx="771">
                <c:v>8.58</c:v>
              </c:pt>
              <c:pt idx="772">
                <c:v>8.7799999999999994</c:v>
              </c:pt>
              <c:pt idx="773">
                <c:v>9.6999999999999993</c:v>
              </c:pt>
              <c:pt idx="774">
                <c:v>10.67</c:v>
              </c:pt>
              <c:pt idx="775">
                <c:v>11.23</c:v>
              </c:pt>
              <c:pt idx="776">
                <c:v>11.47</c:v>
              </c:pt>
              <c:pt idx="777">
                <c:v>11.61</c:v>
              </c:pt>
              <c:pt idx="778">
                <c:v>11.77</c:v>
              </c:pt>
              <c:pt idx="779">
                <c:v>11.75</c:v>
              </c:pt>
              <c:pt idx="780">
                <c:v>11.67</c:v>
              </c:pt>
              <c:pt idx="781">
                <c:v>12.02</c:v>
              </c:pt>
              <c:pt idx="782">
                <c:v>12.41</c:v>
              </c:pt>
              <c:pt idx="783">
                <c:v>12.42</c:v>
              </c:pt>
              <c:pt idx="784">
                <c:v>11.74</c:v>
              </c:pt>
              <c:pt idx="785">
                <c:v>10.99</c:v>
              </c:pt>
              <c:pt idx="786">
                <c:v>10.65</c:v>
              </c:pt>
              <c:pt idx="787">
                <c:v>10.55</c:v>
              </c:pt>
              <c:pt idx="788">
                <c:v>10.4</c:v>
              </c:pt>
              <c:pt idx="789">
                <c:v>10.62</c:v>
              </c:pt>
              <c:pt idx="790">
                <c:v>10.91</c:v>
              </c:pt>
              <c:pt idx="791">
                <c:v>10.99</c:v>
              </c:pt>
              <c:pt idx="792">
                <c:v>11.35</c:v>
              </c:pt>
              <c:pt idx="793">
                <c:v>12.49</c:v>
              </c:pt>
              <c:pt idx="794">
                <c:v>13.71</c:v>
              </c:pt>
              <c:pt idx="795">
                <c:v>14.01</c:v>
              </c:pt>
              <c:pt idx="796">
                <c:v>13.67</c:v>
              </c:pt>
              <c:pt idx="797">
                <c:v>12.95</c:v>
              </c:pt>
              <c:pt idx="798">
                <c:v>12.37</c:v>
              </c:pt>
              <c:pt idx="799">
                <c:v>11.69</c:v>
              </c:pt>
              <c:pt idx="800">
                <c:v>11.62</c:v>
              </c:pt>
              <c:pt idx="801">
                <c:v>12.37</c:v>
              </c:pt>
              <c:pt idx="802">
                <c:v>12.62</c:v>
              </c:pt>
              <c:pt idx="803">
                <c:v>12.81</c:v>
              </c:pt>
              <c:pt idx="804">
                <c:v>13.83</c:v>
              </c:pt>
              <c:pt idx="805">
                <c:v>15.66</c:v>
              </c:pt>
              <c:pt idx="806">
                <c:v>17.420000000000002</c:v>
              </c:pt>
              <c:pt idx="807">
                <c:v>16.940000000000001</c:v>
              </c:pt>
              <c:pt idx="808">
                <c:v>17.7</c:v>
              </c:pt>
              <c:pt idx="809">
                <c:v>22.17</c:v>
              </c:pt>
              <c:pt idx="810">
                <c:v>25.24</c:v>
              </c:pt>
              <c:pt idx="811">
                <c:v>26.83</c:v>
              </c:pt>
              <c:pt idx="812">
                <c:v>27.82</c:v>
              </c:pt>
              <c:pt idx="813">
                <c:v>28.17</c:v>
              </c:pt>
              <c:pt idx="814">
                <c:v>27.89</c:v>
              </c:pt>
              <c:pt idx="815">
                <c:v>27.49</c:v>
              </c:pt>
              <c:pt idx="816">
                <c:v>26.02</c:v>
              </c:pt>
              <c:pt idx="817">
                <c:v>22.72</c:v>
              </c:pt>
              <c:pt idx="818">
                <c:v>20.100000000000001</c:v>
              </c:pt>
              <c:pt idx="819">
                <c:v>18.86</c:v>
              </c:pt>
              <c:pt idx="820">
                <c:v>17.420000000000002</c:v>
              </c:pt>
              <c:pt idx="821">
                <c:v>15.89</c:v>
              </c:pt>
              <c:pt idx="822">
                <c:v>16.190000000000001</c:v>
              </c:pt>
              <c:pt idx="823">
                <c:v>16.53</c:v>
              </c:pt>
              <c:pt idx="824">
                <c:v>16.95</c:v>
              </c:pt>
              <c:pt idx="825">
                <c:v>17.77</c:v>
              </c:pt>
              <c:pt idx="826">
                <c:v>17.84</c:v>
              </c:pt>
              <c:pt idx="827">
                <c:v>17.27</c:v>
              </c:pt>
              <c:pt idx="828">
                <c:v>16.27</c:v>
              </c:pt>
              <c:pt idx="829">
                <c:v>13.06</c:v>
              </c:pt>
              <c:pt idx="830">
                <c:v>12.81</c:v>
              </c:pt>
              <c:pt idx="831">
                <c:v>14.68</c:v>
              </c:pt>
              <c:pt idx="832">
                <c:v>16.350000000000001</c:v>
              </c:pt>
              <c:pt idx="833">
                <c:v>17.760000000000002</c:v>
              </c:pt>
              <c:pt idx="834">
                <c:v>18.77</c:v>
              </c:pt>
              <c:pt idx="835">
                <c:v>19.760000000000002</c:v>
              </c:pt>
              <c:pt idx="836">
                <c:v>20.46</c:v>
              </c:pt>
              <c:pt idx="837">
                <c:v>21.04</c:v>
              </c:pt>
              <c:pt idx="838">
                <c:v>21.88</c:v>
              </c:pt>
              <c:pt idx="839">
                <c:v>22.22</c:v>
              </c:pt>
              <c:pt idx="840">
                <c:v>21.99</c:v>
              </c:pt>
              <c:pt idx="841">
                <c:v>21.53</c:v>
              </c:pt>
              <c:pt idx="842">
                <c:v>21.3</c:v>
              </c:pt>
              <c:pt idx="843">
                <c:v>21.78</c:v>
              </c:pt>
              <c:pt idx="844">
                <c:v>22.71</c:v>
              </c:pt>
              <c:pt idx="845">
                <c:v>25.4</c:v>
              </c:pt>
              <c:pt idx="846">
                <c:v>26.42</c:v>
              </c:pt>
              <c:pt idx="847">
                <c:v>27.43</c:v>
              </c:pt>
              <c:pt idx="848">
                <c:v>27.36</c:v>
              </c:pt>
              <c:pt idx="849">
                <c:v>24.98</c:v>
              </c:pt>
              <c:pt idx="850">
                <c:v>21.46</c:v>
              </c:pt>
              <c:pt idx="851">
                <c:v>17.71</c:v>
              </c:pt>
              <c:pt idx="852">
                <c:v>15.56</c:v>
              </c:pt>
              <c:pt idx="853">
                <c:v>16.93</c:v>
              </c:pt>
              <c:pt idx="854">
                <c:v>17.09</c:v>
              </c:pt>
              <c:pt idx="855">
                <c:v>16.2</c:v>
              </c:pt>
              <c:pt idx="856">
                <c:v>15.24</c:v>
              </c:pt>
              <c:pt idx="857">
                <c:v>13.77</c:v>
              </c:pt>
              <c:pt idx="858">
                <c:v>10.72</c:v>
              </c:pt>
              <c:pt idx="859">
                <c:v>8.89</c:v>
              </c:pt>
              <c:pt idx="860">
                <c:v>9.7899999999999991</c:v>
              </c:pt>
              <c:pt idx="861">
                <c:v>11.37</c:v>
              </c:pt>
              <c:pt idx="862">
                <c:v>12.69</c:v>
              </c:pt>
              <c:pt idx="863">
                <c:v>12.28</c:v>
              </c:pt>
              <c:pt idx="864">
                <c:v>11.36</c:v>
              </c:pt>
              <c:pt idx="865">
                <c:v>10.42</c:v>
              </c:pt>
              <c:pt idx="866">
                <c:v>9.9700000000000006</c:v>
              </c:pt>
              <c:pt idx="867">
                <c:v>10.46</c:v>
              </c:pt>
              <c:pt idx="868">
                <c:v>12.13</c:v>
              </c:pt>
              <c:pt idx="869">
                <c:v>13.49</c:v>
              </c:pt>
              <c:pt idx="870">
                <c:v>14.25</c:v>
              </c:pt>
              <c:pt idx="871">
                <c:v>15.03</c:v>
              </c:pt>
              <c:pt idx="872">
                <c:v>15.61</c:v>
              </c:pt>
              <c:pt idx="873">
                <c:v>15.92</c:v>
              </c:pt>
              <c:pt idx="874">
                <c:v>15.99</c:v>
              </c:pt>
              <c:pt idx="875">
                <c:v>16.57</c:v>
              </c:pt>
              <c:pt idx="876">
                <c:v>17.46</c:v>
              </c:pt>
              <c:pt idx="877">
                <c:v>17.05</c:v>
              </c:pt>
              <c:pt idx="878">
                <c:v>17.149999999999999</c:v>
              </c:pt>
              <c:pt idx="879">
                <c:v>17.940000000000001</c:v>
              </c:pt>
              <c:pt idx="880">
                <c:v>17.920000000000002</c:v>
              </c:pt>
              <c:pt idx="881">
                <c:v>18.16</c:v>
              </c:pt>
              <c:pt idx="882">
                <c:v>17.87</c:v>
              </c:pt>
              <c:pt idx="883">
                <c:v>17.12</c:v>
              </c:pt>
              <c:pt idx="884">
                <c:v>16.54</c:v>
              </c:pt>
              <c:pt idx="885">
                <c:v>16.62</c:v>
              </c:pt>
              <c:pt idx="886">
                <c:v>16.489999999999998</c:v>
              </c:pt>
              <c:pt idx="887">
                <c:v>15.24</c:v>
              </c:pt>
              <c:pt idx="888">
                <c:v>13.37</c:v>
              </c:pt>
              <c:pt idx="889">
                <c:v>11.27</c:v>
              </c:pt>
              <c:pt idx="890">
                <c:v>9.9600000000000009</c:v>
              </c:pt>
              <c:pt idx="891">
                <c:v>10.210000000000001</c:v>
              </c:pt>
              <c:pt idx="892">
                <c:v>10.82</c:v>
              </c:pt>
              <c:pt idx="893">
                <c:v>11.43</c:v>
              </c:pt>
              <c:pt idx="894">
                <c:v>11.6</c:v>
              </c:pt>
              <c:pt idx="895">
                <c:v>10.66</c:v>
              </c:pt>
              <c:pt idx="896">
                <c:v>9.27</c:v>
              </c:pt>
              <c:pt idx="897">
                <c:v>8.2799999999999994</c:v>
              </c:pt>
              <c:pt idx="898">
                <c:v>6.9240000000000004</c:v>
              </c:pt>
              <c:pt idx="899">
                <c:v>6.2789999999999999</c:v>
              </c:pt>
              <c:pt idx="900">
                <c:v>6.83</c:v>
              </c:pt>
              <c:pt idx="901">
                <c:v>7.5640000000000001</c:v>
              </c:pt>
              <c:pt idx="902">
                <c:v>7.617</c:v>
              </c:pt>
              <c:pt idx="903">
                <c:v>7.1379999999999999</c:v>
              </c:pt>
              <c:pt idx="904">
                <c:v>6.9409999999999998</c:v>
              </c:pt>
              <c:pt idx="905">
                <c:v>7.2329999999999997</c:v>
              </c:pt>
              <c:pt idx="906">
                <c:v>7.59</c:v>
              </c:pt>
              <c:pt idx="907">
                <c:v>7.7720000000000002</c:v>
              </c:pt>
              <c:pt idx="908">
                <c:v>7.9039999999999999</c:v>
              </c:pt>
              <c:pt idx="909">
                <c:v>8.17</c:v>
              </c:pt>
              <c:pt idx="910">
                <c:v>8.58</c:v>
              </c:pt>
              <c:pt idx="911">
                <c:v>8.93</c:v>
              </c:pt>
              <c:pt idx="912">
                <c:v>9.1300000000000008</c:v>
              </c:pt>
              <c:pt idx="913">
                <c:v>9.1199999999999992</c:v>
              </c:pt>
              <c:pt idx="914">
                <c:v>9.25</c:v>
              </c:pt>
              <c:pt idx="915">
                <c:v>9.17</c:v>
              </c:pt>
              <c:pt idx="916">
                <c:v>8.83</c:v>
              </c:pt>
              <c:pt idx="917">
                <c:v>8.41</c:v>
              </c:pt>
              <c:pt idx="918">
                <c:v>7.92</c:v>
              </c:pt>
              <c:pt idx="919">
                <c:v>7.242</c:v>
              </c:pt>
              <c:pt idx="920">
                <c:v>6.5590000000000002</c:v>
              </c:pt>
              <c:pt idx="921">
                <c:v>5.8920000000000003</c:v>
              </c:pt>
              <c:pt idx="922">
                <c:v>5.7939999999999996</c:v>
              </c:pt>
              <c:pt idx="923">
                <c:v>6.0350000000000001</c:v>
              </c:pt>
              <c:pt idx="924">
                <c:v>6.2809999999999997</c:v>
              </c:pt>
              <c:pt idx="925">
                <c:v>6.2919999999999998</c:v>
              </c:pt>
              <c:pt idx="926">
                <c:v>6.0839999999999996</c:v>
              </c:pt>
              <c:pt idx="927">
                <c:v>5.6210000000000004</c:v>
              </c:pt>
              <c:pt idx="928">
                <c:v>5.0999999999999996</c:v>
              </c:pt>
              <c:pt idx="929">
                <c:v>4.71</c:v>
              </c:pt>
              <c:pt idx="930">
                <c:v>4.5229999999999997</c:v>
              </c:pt>
              <c:pt idx="931">
                <c:v>4.5220000000000002</c:v>
              </c:pt>
              <c:pt idx="932">
                <c:v>4.5090000000000003</c:v>
              </c:pt>
              <c:pt idx="933">
                <c:v>4.4000000000000004</c:v>
              </c:pt>
              <c:pt idx="934">
                <c:v>4.3559999999999999</c:v>
              </c:pt>
              <c:pt idx="935">
                <c:v>4.4420000000000002</c:v>
              </c:pt>
              <c:pt idx="936">
                <c:v>4.6070000000000002</c:v>
              </c:pt>
              <c:pt idx="937">
                <c:v>4.8289999999999997</c:v>
              </c:pt>
              <c:pt idx="938">
                <c:v>4.9539999999999997</c:v>
              </c:pt>
              <c:pt idx="939">
                <c:v>4.9470000000000001</c:v>
              </c:pt>
              <c:pt idx="940">
                <c:v>4.9359999999999999</c:v>
              </c:pt>
              <c:pt idx="941">
                <c:v>5.0940000000000003</c:v>
              </c:pt>
              <c:pt idx="942">
                <c:v>5.37</c:v>
              </c:pt>
              <c:pt idx="943">
                <c:v>5.7789999999999999</c:v>
              </c:pt>
              <c:pt idx="944">
                <c:v>6.1390000000000002</c:v>
              </c:pt>
              <c:pt idx="945">
                <c:v>6.4390000000000001</c:v>
              </c:pt>
              <c:pt idx="946">
                <c:v>6.774</c:v>
              </c:pt>
              <c:pt idx="947">
                <c:v>7.125</c:v>
              </c:pt>
              <c:pt idx="948">
                <c:v>7.4020000000000001</c:v>
              </c:pt>
              <c:pt idx="949">
                <c:v>7.7190000000000003</c:v>
              </c:pt>
              <c:pt idx="950">
                <c:v>8.16</c:v>
              </c:pt>
              <c:pt idx="951">
                <c:v>8.8000000000000007</c:v>
              </c:pt>
              <c:pt idx="952">
                <c:v>9.5299999999999994</c:v>
              </c:pt>
              <c:pt idx="953">
                <c:v>10.220000000000001</c:v>
              </c:pt>
              <c:pt idx="954">
                <c:v>10.85</c:v>
              </c:pt>
              <c:pt idx="955">
                <c:v>11.37</c:v>
              </c:pt>
              <c:pt idx="956">
                <c:v>11.64</c:v>
              </c:pt>
              <c:pt idx="957">
                <c:v>11.25</c:v>
              </c:pt>
              <c:pt idx="958">
                <c:v>10.1</c:v>
              </c:pt>
              <c:pt idx="959">
                <c:v>8.76</c:v>
              </c:pt>
              <c:pt idx="960">
                <c:v>7.5910000000000002</c:v>
              </c:pt>
              <c:pt idx="961">
                <c:v>6.9489999999999998</c:v>
              </c:pt>
              <c:pt idx="962">
                <c:v>6.7</c:v>
              </c:pt>
              <c:pt idx="963">
                <c:v>6.6660000000000004</c:v>
              </c:pt>
              <c:pt idx="964">
                <c:v>6.7430000000000003</c:v>
              </c:pt>
              <c:pt idx="965">
                <c:v>6.8369999999999997</c:v>
              </c:pt>
              <c:pt idx="966">
                <c:v>7.1310000000000002</c:v>
              </c:pt>
              <c:pt idx="967">
                <c:v>7.4989999999999997</c:v>
              </c:pt>
              <c:pt idx="968">
                <c:v>8.08</c:v>
              </c:pt>
              <c:pt idx="969">
                <c:v>8.73</c:v>
              </c:pt>
              <c:pt idx="970">
                <c:v>9.08</c:v>
              </c:pt>
              <c:pt idx="971">
                <c:v>9.32</c:v>
              </c:pt>
              <c:pt idx="972">
                <c:v>9.3699999999999992</c:v>
              </c:pt>
              <c:pt idx="973">
                <c:v>9.31</c:v>
              </c:pt>
              <c:pt idx="974">
                <c:v>9.52</c:v>
              </c:pt>
              <c:pt idx="975">
                <c:v>10.16</c:v>
              </c:pt>
              <c:pt idx="976">
                <c:v>9.67</c:v>
              </c:pt>
              <c:pt idx="977">
                <c:v>8.68</c:v>
              </c:pt>
              <c:pt idx="978">
                <c:v>8.4700000000000006</c:v>
              </c:pt>
              <c:pt idx="979">
                <c:v>8.81</c:v>
              </c:pt>
              <c:pt idx="980">
                <c:v>9.7799999999999994</c:v>
              </c:pt>
              <c:pt idx="981">
                <c:v>10.71</c:v>
              </c:pt>
              <c:pt idx="982">
                <c:v>11.62</c:v>
              </c:pt>
              <c:pt idx="983">
                <c:v>12.66</c:v>
              </c:pt>
              <c:pt idx="984">
                <c:v>13.66</c:v>
              </c:pt>
              <c:pt idx="985">
                <c:v>14.15</c:v>
              </c:pt>
              <c:pt idx="986">
                <c:v>13.52</c:v>
              </c:pt>
              <c:pt idx="987">
                <c:v>12.89</c:v>
              </c:pt>
              <c:pt idx="988">
                <c:v>12.48</c:v>
              </c:pt>
              <c:pt idx="989">
                <c:v>12.29</c:v>
              </c:pt>
              <c:pt idx="990">
                <c:v>12.46</c:v>
              </c:pt>
              <c:pt idx="991">
                <c:v>12.96</c:v>
              </c:pt>
              <c:pt idx="992">
                <c:v>13.53</c:v>
              </c:pt>
              <c:pt idx="993">
                <c:v>13.95</c:v>
              </c:pt>
              <c:pt idx="994">
                <c:v>14.07</c:v>
              </c:pt>
              <c:pt idx="995">
                <c:v>14.28</c:v>
              </c:pt>
              <c:pt idx="996">
                <c:v>14.63</c:v>
              </c:pt>
              <c:pt idx="997">
                <c:v>14.9</c:v>
              </c:pt>
              <c:pt idx="998">
                <c:v>15.13</c:v>
              </c:pt>
              <c:pt idx="999">
                <c:v>15.31</c:v>
              </c:pt>
              <c:pt idx="1000">
                <c:v>15.48</c:v>
              </c:pt>
              <c:pt idx="1001">
                <c:v>15.34</c:v>
              </c:pt>
              <c:pt idx="1002">
                <c:v>15.07</c:v>
              </c:pt>
              <c:pt idx="1003">
                <c:v>14.55</c:v>
              </c:pt>
              <c:pt idx="1004">
                <c:v>13.67</c:v>
              </c:pt>
              <c:pt idx="1005">
                <c:v>12.46</c:v>
              </c:pt>
              <c:pt idx="1006">
                <c:v>11.03</c:v>
              </c:pt>
              <c:pt idx="1007">
                <c:v>9.4499999999999993</c:v>
              </c:pt>
              <c:pt idx="1008">
                <c:v>7.99</c:v>
              </c:pt>
              <c:pt idx="1009">
                <c:v>6.82</c:v>
              </c:pt>
              <c:pt idx="1010">
                <c:v>5.9660000000000002</c:v>
              </c:pt>
              <c:pt idx="1011">
                <c:v>5.2709999999999999</c:v>
              </c:pt>
              <c:pt idx="1012">
                <c:v>4.6900000000000004</c:v>
              </c:pt>
              <c:pt idx="1013">
                <c:v>4.2770000000000001</c:v>
              </c:pt>
              <c:pt idx="1014">
                <c:v>4.032</c:v>
              </c:pt>
              <c:pt idx="1015">
                <c:v>3.8050000000000002</c:v>
              </c:pt>
              <c:pt idx="1016">
                <c:v>3.5219999999999998</c:v>
              </c:pt>
              <c:pt idx="1017">
                <c:v>3.14</c:v>
              </c:pt>
              <c:pt idx="1018">
                <c:v>2.6850000000000001</c:v>
              </c:pt>
              <c:pt idx="1019">
                <c:v>2.2429999999999999</c:v>
              </c:pt>
              <c:pt idx="1020">
                <c:v>1.988</c:v>
              </c:pt>
              <c:pt idx="1021">
                <c:v>2.0390000000000001</c:v>
              </c:pt>
              <c:pt idx="1022">
                <c:v>2.3690000000000002</c:v>
              </c:pt>
              <c:pt idx="1023">
                <c:v>2.8050000000000002</c:v>
              </c:pt>
              <c:pt idx="1024">
                <c:v>3.2759999999999998</c:v>
              </c:pt>
              <c:pt idx="1025">
                <c:v>3.899</c:v>
              </c:pt>
              <c:pt idx="1026">
                <c:v>4.6710000000000003</c:v>
              </c:pt>
              <c:pt idx="1027">
                <c:v>5.5389999999999997</c:v>
              </c:pt>
              <c:pt idx="1028">
                <c:v>6.53</c:v>
              </c:pt>
              <c:pt idx="1029">
                <c:v>7.9</c:v>
              </c:pt>
              <c:pt idx="1030">
                <c:v>9.69</c:v>
              </c:pt>
              <c:pt idx="1031">
                <c:v>11.87</c:v>
              </c:pt>
              <c:pt idx="1032">
                <c:v>14.97</c:v>
              </c:pt>
              <c:pt idx="1033">
                <c:v>20.18</c:v>
              </c:pt>
              <c:pt idx="1034">
                <c:v>28.72</c:v>
              </c:pt>
              <c:pt idx="1035">
                <c:v>32.54</c:v>
              </c:pt>
              <c:pt idx="1036">
                <c:v>30.49</c:v>
              </c:pt>
              <c:pt idx="1037">
                <c:v>30.61</c:v>
              </c:pt>
              <c:pt idx="1038">
                <c:v>27.63</c:v>
              </c:pt>
              <c:pt idx="1039">
                <c:v>21.16</c:v>
              </c:pt>
              <c:pt idx="1040">
                <c:v>13.88</c:v>
              </c:pt>
              <c:pt idx="1041">
                <c:v>11.55</c:v>
              </c:pt>
              <c:pt idx="1042">
                <c:v>9.7799999999999994</c:v>
              </c:pt>
              <c:pt idx="1043">
                <c:v>8.17</c:v>
              </c:pt>
              <c:pt idx="1044">
                <c:v>6.74</c:v>
              </c:pt>
              <c:pt idx="1045">
                <c:v>5.8730000000000002</c:v>
              </c:pt>
              <c:pt idx="1046">
                <c:v>5.5369999999999999</c:v>
              </c:pt>
              <c:pt idx="1047">
                <c:v>5.42</c:v>
              </c:pt>
              <c:pt idx="1048">
                <c:v>5.5730000000000004</c:v>
              </c:pt>
              <c:pt idx="1049">
                <c:v>6.0919999999999996</c:v>
              </c:pt>
              <c:pt idx="1050">
                <c:v>7.0380000000000003</c:v>
              </c:pt>
              <c:pt idx="1051">
                <c:v>7.8719999999999999</c:v>
              </c:pt>
              <c:pt idx="1052">
                <c:v>9.17</c:v>
              </c:pt>
              <c:pt idx="1053">
                <c:v>10.43</c:v>
              </c:pt>
              <c:pt idx="1054">
                <c:v>11.19</c:v>
              </c:pt>
              <c:pt idx="1055">
                <c:v>11.67</c:v>
              </c:pt>
              <c:pt idx="1056">
                <c:v>12.32</c:v>
              </c:pt>
              <c:pt idx="1057">
                <c:v>12.94</c:v>
              </c:pt>
              <c:pt idx="1058">
                <c:v>13.67</c:v>
              </c:pt>
              <c:pt idx="1059">
                <c:v>17.09</c:v>
              </c:pt>
              <c:pt idx="1060">
                <c:v>15.01</c:v>
              </c:pt>
              <c:pt idx="1061">
                <c:v>15.42</c:v>
              </c:pt>
              <c:pt idx="1062">
                <c:v>15.81</c:v>
              </c:pt>
              <c:pt idx="1063">
                <c:v>16.239999999999998</c:v>
              </c:pt>
              <c:pt idx="1064">
                <c:v>15.92</c:v>
              </c:pt>
              <c:pt idx="1065">
                <c:v>14.62</c:v>
              </c:pt>
              <c:pt idx="1066">
                <c:v>13.32</c:v>
              </c:pt>
              <c:pt idx="1067">
                <c:v>12.31</c:v>
              </c:pt>
              <c:pt idx="1068">
                <c:v>11.67</c:v>
              </c:pt>
              <c:pt idx="1069">
                <c:v>11.37</c:v>
              </c:pt>
              <c:pt idx="1070">
                <c:v>10.71</c:v>
              </c:pt>
              <c:pt idx="1071">
                <c:v>9.68</c:v>
              </c:pt>
              <c:pt idx="1072">
                <c:v>8.14</c:v>
              </c:pt>
              <c:pt idx="1073">
                <c:v>6.399</c:v>
              </c:pt>
              <c:pt idx="1074">
                <c:v>5.3470000000000004</c:v>
              </c:pt>
              <c:pt idx="1075">
                <c:v>4.7889999999999997</c:v>
              </c:pt>
              <c:pt idx="1076">
                <c:v>4.3310000000000004</c:v>
              </c:pt>
              <c:pt idx="1077">
                <c:v>3.7120000000000002</c:v>
              </c:pt>
              <c:pt idx="1078">
                <c:v>3.1139999999999999</c:v>
              </c:pt>
              <c:pt idx="1079">
                <c:v>2.605</c:v>
              </c:pt>
              <c:pt idx="1080">
                <c:v>2.254</c:v>
              </c:pt>
              <c:pt idx="1081">
                <c:v>2.089</c:v>
              </c:pt>
              <c:pt idx="1082">
                <c:v>2.0819999999999999</c:v>
              </c:pt>
              <c:pt idx="1083">
                <c:v>2.165</c:v>
              </c:pt>
              <c:pt idx="1084">
                <c:v>2.2570000000000001</c:v>
              </c:pt>
              <c:pt idx="1085">
                <c:v>2.383</c:v>
              </c:pt>
              <c:pt idx="1086">
                <c:v>2.492</c:v>
              </c:pt>
              <c:pt idx="1087">
                <c:v>2.64</c:v>
              </c:pt>
              <c:pt idx="1088">
                <c:v>2.9020000000000001</c:v>
              </c:pt>
              <c:pt idx="1089">
                <c:v>3.1970000000000001</c:v>
              </c:pt>
              <c:pt idx="1090">
                <c:v>3.5449999999999999</c:v>
              </c:pt>
              <c:pt idx="1091">
                <c:v>3.8530000000000002</c:v>
              </c:pt>
              <c:pt idx="1092">
                <c:v>4.0890000000000004</c:v>
              </c:pt>
              <c:pt idx="1093">
                <c:v>4.3529999999999998</c:v>
              </c:pt>
              <c:pt idx="1094">
                <c:v>4.6479999999999997</c:v>
              </c:pt>
              <c:pt idx="1095">
                <c:v>4.952</c:v>
              </c:pt>
              <c:pt idx="1096">
                <c:v>5.2</c:v>
              </c:pt>
              <c:pt idx="1097">
                <c:v>5.41</c:v>
              </c:pt>
              <c:pt idx="1098">
                <c:v>5.6520000000000001</c:v>
              </c:pt>
              <c:pt idx="1099">
                <c:v>5.8579999999999997</c:v>
              </c:pt>
              <c:pt idx="1100">
                <c:v>5.9790000000000001</c:v>
              </c:pt>
              <c:pt idx="1101">
                <c:v>6.0209999999999999</c:v>
              </c:pt>
              <c:pt idx="1102">
                <c:v>6.0369999999999999</c:v>
              </c:pt>
              <c:pt idx="1103">
                <c:v>6.0369999999999999</c:v>
              </c:pt>
              <c:pt idx="1104">
                <c:v>6.0629999999999997</c:v>
              </c:pt>
              <c:pt idx="1105">
                <c:v>6.1050000000000004</c:v>
              </c:pt>
              <c:pt idx="1106">
                <c:v>6.1210000000000004</c:v>
              </c:pt>
              <c:pt idx="1107">
                <c:v>6.0949999999999998</c:v>
              </c:pt>
              <c:pt idx="1108">
                <c:v>6.0510000000000002</c:v>
              </c:pt>
              <c:pt idx="1109">
                <c:v>6.0490000000000004</c:v>
              </c:pt>
              <c:pt idx="1110">
                <c:v>6.0759999999999996</c:v>
              </c:pt>
              <c:pt idx="1111">
                <c:v>6.1310000000000002</c:v>
              </c:pt>
              <c:pt idx="1112">
                <c:v>6.2220000000000004</c:v>
              </c:pt>
              <c:pt idx="1113">
                <c:v>6.258</c:v>
              </c:pt>
              <c:pt idx="1114">
                <c:v>6.202</c:v>
              </c:pt>
              <c:pt idx="1115">
                <c:v>6.1120000000000001</c:v>
              </c:pt>
              <c:pt idx="1116">
                <c:v>6.0759999999999996</c:v>
              </c:pt>
              <c:pt idx="1117">
                <c:v>6.0839999999999996</c:v>
              </c:pt>
              <c:pt idx="1118">
                <c:v>6.0439999999999996</c:v>
              </c:pt>
              <c:pt idx="1119">
                <c:v>5.92</c:v>
              </c:pt>
              <c:pt idx="1120">
                <c:v>5.7480000000000002</c:v>
              </c:pt>
              <c:pt idx="1121">
                <c:v>5.5380000000000003</c:v>
              </c:pt>
              <c:pt idx="1122">
                <c:v>5.3330000000000002</c:v>
              </c:pt>
              <c:pt idx="1123">
                <c:v>5.0880000000000001</c:v>
              </c:pt>
              <c:pt idx="1124">
                <c:v>4.8659999999999997</c:v>
              </c:pt>
              <c:pt idx="1125">
                <c:v>4.72</c:v>
              </c:pt>
              <c:pt idx="1126">
                <c:v>4.6189999999999998</c:v>
              </c:pt>
              <c:pt idx="1127">
                <c:v>4.5419999999999998</c:v>
              </c:pt>
              <c:pt idx="1128">
                <c:v>4.5069999999999997</c:v>
              </c:pt>
              <c:pt idx="1129">
                <c:v>4.5110000000000001</c:v>
              </c:pt>
              <c:pt idx="1130">
                <c:v>4.5</c:v>
              </c:pt>
              <c:pt idx="1131">
                <c:v>4.4009999999999998</c:v>
              </c:pt>
              <c:pt idx="1132">
                <c:v>4.3440000000000003</c:v>
              </c:pt>
              <c:pt idx="1133">
                <c:v>4.3470000000000004</c:v>
              </c:pt>
              <c:pt idx="1134">
                <c:v>4.3079999999999998</c:v>
              </c:pt>
              <c:pt idx="1135">
                <c:v>4.266</c:v>
              </c:pt>
              <c:pt idx="1136">
                <c:v>4.3070000000000004</c:v>
              </c:pt>
              <c:pt idx="1137">
                <c:v>4.3899999999999997</c:v>
              </c:pt>
              <c:pt idx="1138">
                <c:v>4.4660000000000002</c:v>
              </c:pt>
              <c:pt idx="1139">
                <c:v>4.3890000000000002</c:v>
              </c:pt>
              <c:pt idx="1140">
                <c:v>4.2709999999999999</c:v>
              </c:pt>
              <c:pt idx="1141">
                <c:v>4.0890000000000004</c:v>
              </c:pt>
              <c:pt idx="1142">
                <c:v>3.9079999999999999</c:v>
              </c:pt>
              <c:pt idx="1143">
                <c:v>3.8519999999999999</c:v>
              </c:pt>
              <c:pt idx="1144">
                <c:v>3.8959999999999999</c:v>
              </c:pt>
              <c:pt idx="1145">
                <c:v>3.855</c:v>
              </c:pt>
              <c:pt idx="1146">
                <c:v>3.722</c:v>
              </c:pt>
              <c:pt idx="1147">
                <c:v>3.5550000000000002</c:v>
              </c:pt>
              <c:pt idx="1148">
                <c:v>3.4020000000000001</c:v>
              </c:pt>
              <c:pt idx="1149">
                <c:v>3.2789999999999999</c:v>
              </c:pt>
              <c:pt idx="1150">
                <c:v>3.19</c:v>
              </c:pt>
              <c:pt idx="1151">
                <c:v>3.1629999999999998</c:v>
              </c:pt>
              <c:pt idx="1152">
                <c:v>3.2</c:v>
              </c:pt>
              <c:pt idx="1153">
                <c:v>3.3220000000000001</c:v>
              </c:pt>
              <c:pt idx="1154">
                <c:v>3.512</c:v>
              </c:pt>
              <c:pt idx="1155">
                <c:v>3.6930000000000001</c:v>
              </c:pt>
              <c:pt idx="1156">
                <c:v>3.7360000000000002</c:v>
              </c:pt>
              <c:pt idx="1157">
                <c:v>3.508</c:v>
              </c:pt>
              <c:pt idx="1158">
                <c:v>2.9780000000000002</c:v>
              </c:pt>
              <c:pt idx="1159">
                <c:v>2.4</c:v>
              </c:pt>
              <c:pt idx="1160">
                <c:v>2.024</c:v>
              </c:pt>
              <c:pt idx="1161">
                <c:v>1.7310000000000001</c:v>
              </c:pt>
              <c:pt idx="1162">
                <c:v>1.256</c:v>
              </c:pt>
              <c:pt idx="1163">
                <c:v>0.73399999999999999</c:v>
              </c:pt>
              <c:pt idx="1164">
                <c:v>0.38200000000000001</c:v>
              </c:pt>
              <c:pt idx="1165">
                <c:v>0.20599999999999999</c:v>
              </c:pt>
              <c:pt idx="1166">
                <c:v>8.5000000000000006E-2</c:v>
              </c:pt>
              <c:pt idx="1167">
                <c:v>8.9999999999999993E-3</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5-6259-46DD-8E42-052732076705}"/>
            </c:ext>
          </c:extLst>
        </c:ser>
        <c:dLbls>
          <c:showLegendKey val="0"/>
          <c:showVal val="0"/>
          <c:showCatName val="0"/>
          <c:showSerName val="0"/>
          <c:showPercent val="0"/>
          <c:showBubbleSize val="0"/>
        </c:dLbls>
        <c:smooth val="0"/>
        <c:axId val="659062128"/>
        <c:axId val="158049840"/>
      </c:lineChart>
      <c:catAx>
        <c:axId val="659062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9840"/>
        <c:crosses val="autoZero"/>
        <c:auto val="1"/>
        <c:lblAlgn val="ctr"/>
        <c:lblOffset val="100"/>
        <c:noMultiLvlLbl val="0"/>
      </c:catAx>
      <c:valAx>
        <c:axId val="15804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062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27.08524503 25.49035762 IS2 WMS Ambient Temperature(Â°C)</c:v>
          </c:tx>
          <c:spPr>
            <a:ln w="28575" cap="rnd">
              <a:solidFill>
                <a:schemeClr val="accent1"/>
              </a:solidFill>
              <a:round/>
            </a:ln>
            <a:effectLst/>
          </c:spPr>
          <c:marker>
            <c:symbol val="none"/>
          </c:marker>
          <c:val>
            <c:numLit>
              <c:formatCode>General</c:formatCode>
              <c:ptCount val="1512"/>
              <c:pt idx="0">
                <c:v>25.87</c:v>
              </c:pt>
              <c:pt idx="1">
                <c:v>25.84</c:v>
              </c:pt>
              <c:pt idx="2">
                <c:v>25.85</c:v>
              </c:pt>
              <c:pt idx="3">
                <c:v>25.84</c:v>
              </c:pt>
              <c:pt idx="4">
                <c:v>25.86</c:v>
              </c:pt>
              <c:pt idx="5">
                <c:v>25.86</c:v>
              </c:pt>
              <c:pt idx="6">
                <c:v>25.85</c:v>
              </c:pt>
              <c:pt idx="7">
                <c:v>25.83</c:v>
              </c:pt>
              <c:pt idx="8">
                <c:v>25.83</c:v>
              </c:pt>
              <c:pt idx="9">
                <c:v>25.82</c:v>
              </c:pt>
              <c:pt idx="10">
                <c:v>25.81</c:v>
              </c:pt>
              <c:pt idx="11">
                <c:v>25.82</c:v>
              </c:pt>
              <c:pt idx="12">
                <c:v>25.84</c:v>
              </c:pt>
              <c:pt idx="13">
                <c:v>25.83</c:v>
              </c:pt>
              <c:pt idx="14">
                <c:v>25.84</c:v>
              </c:pt>
              <c:pt idx="15">
                <c:v>25.86</c:v>
              </c:pt>
              <c:pt idx="16">
                <c:v>25.85</c:v>
              </c:pt>
              <c:pt idx="17">
                <c:v>25.84</c:v>
              </c:pt>
              <c:pt idx="18">
                <c:v>25.82</c:v>
              </c:pt>
              <c:pt idx="19">
                <c:v>25.83</c:v>
              </c:pt>
              <c:pt idx="20">
                <c:v>25.83</c:v>
              </c:pt>
              <c:pt idx="21">
                <c:v>25.86</c:v>
              </c:pt>
              <c:pt idx="22">
                <c:v>25.85</c:v>
              </c:pt>
              <c:pt idx="23">
                <c:v>25.87</c:v>
              </c:pt>
              <c:pt idx="24">
                <c:v>25.87</c:v>
              </c:pt>
              <c:pt idx="25">
                <c:v>25.88</c:v>
              </c:pt>
              <c:pt idx="26">
                <c:v>25.86</c:v>
              </c:pt>
              <c:pt idx="27">
                <c:v>25.85</c:v>
              </c:pt>
              <c:pt idx="28">
                <c:v>25.86</c:v>
              </c:pt>
              <c:pt idx="29">
                <c:v>25.85</c:v>
              </c:pt>
              <c:pt idx="30">
                <c:v>25.88</c:v>
              </c:pt>
              <c:pt idx="31">
                <c:v>25.88</c:v>
              </c:pt>
              <c:pt idx="32">
                <c:v>25.88</c:v>
              </c:pt>
              <c:pt idx="33">
                <c:v>25.9</c:v>
              </c:pt>
              <c:pt idx="34">
                <c:v>25.91</c:v>
              </c:pt>
              <c:pt idx="35">
                <c:v>25.87</c:v>
              </c:pt>
              <c:pt idx="36">
                <c:v>25.87</c:v>
              </c:pt>
              <c:pt idx="37">
                <c:v>25.87</c:v>
              </c:pt>
              <c:pt idx="38">
                <c:v>25.88</c:v>
              </c:pt>
              <c:pt idx="39">
                <c:v>25.93</c:v>
              </c:pt>
              <c:pt idx="40">
                <c:v>25.9</c:v>
              </c:pt>
              <c:pt idx="41">
                <c:v>25.91</c:v>
              </c:pt>
              <c:pt idx="42">
                <c:v>25.92</c:v>
              </c:pt>
              <c:pt idx="43">
                <c:v>25.93</c:v>
              </c:pt>
              <c:pt idx="44">
                <c:v>25.93</c:v>
              </c:pt>
              <c:pt idx="45">
                <c:v>25.93</c:v>
              </c:pt>
              <c:pt idx="46">
                <c:v>25.92</c:v>
              </c:pt>
              <c:pt idx="47">
                <c:v>25.94</c:v>
              </c:pt>
              <c:pt idx="48">
                <c:v>25.92</c:v>
              </c:pt>
              <c:pt idx="49">
                <c:v>25.93</c:v>
              </c:pt>
              <c:pt idx="50">
                <c:v>25.95</c:v>
              </c:pt>
              <c:pt idx="51">
                <c:v>25.96</c:v>
              </c:pt>
              <c:pt idx="52">
                <c:v>25.95</c:v>
              </c:pt>
              <c:pt idx="53">
                <c:v>25.93</c:v>
              </c:pt>
              <c:pt idx="54">
                <c:v>25.93</c:v>
              </c:pt>
              <c:pt idx="55">
                <c:v>25.93</c:v>
              </c:pt>
              <c:pt idx="56">
                <c:v>25.89</c:v>
              </c:pt>
              <c:pt idx="57">
                <c:v>25.86</c:v>
              </c:pt>
              <c:pt idx="58">
                <c:v>25.86</c:v>
              </c:pt>
              <c:pt idx="59">
                <c:v>25.86</c:v>
              </c:pt>
              <c:pt idx="60">
                <c:v>25.85</c:v>
              </c:pt>
              <c:pt idx="61">
                <c:v>25.83</c:v>
              </c:pt>
              <c:pt idx="62">
                <c:v>25.81</c:v>
              </c:pt>
              <c:pt idx="63">
                <c:v>25.83</c:v>
              </c:pt>
              <c:pt idx="64">
                <c:v>25.79</c:v>
              </c:pt>
              <c:pt idx="65">
                <c:v>25.8</c:v>
              </c:pt>
              <c:pt idx="66">
                <c:v>25.8</c:v>
              </c:pt>
              <c:pt idx="67">
                <c:v>25.79</c:v>
              </c:pt>
              <c:pt idx="68">
                <c:v>25.78</c:v>
              </c:pt>
              <c:pt idx="69">
                <c:v>25.78</c:v>
              </c:pt>
              <c:pt idx="70">
                <c:v>25.79</c:v>
              </c:pt>
              <c:pt idx="71">
                <c:v>25.8</c:v>
              </c:pt>
              <c:pt idx="72">
                <c:v>25.8</c:v>
              </c:pt>
              <c:pt idx="73">
                <c:v>25.82</c:v>
              </c:pt>
              <c:pt idx="74">
                <c:v>25.83</c:v>
              </c:pt>
              <c:pt idx="75">
                <c:v>25.85</c:v>
              </c:pt>
              <c:pt idx="76">
                <c:v>25.85</c:v>
              </c:pt>
              <c:pt idx="77">
                <c:v>25.83</c:v>
              </c:pt>
              <c:pt idx="78">
                <c:v>25.83</c:v>
              </c:pt>
              <c:pt idx="79">
                <c:v>25.8</c:v>
              </c:pt>
              <c:pt idx="80">
                <c:v>25.82</c:v>
              </c:pt>
              <c:pt idx="81">
                <c:v>25.85</c:v>
              </c:pt>
              <c:pt idx="82">
                <c:v>25.83</c:v>
              </c:pt>
              <c:pt idx="83">
                <c:v>25.83</c:v>
              </c:pt>
              <c:pt idx="84">
                <c:v>25.81</c:v>
              </c:pt>
              <c:pt idx="85">
                <c:v>25.82</c:v>
              </c:pt>
              <c:pt idx="86">
                <c:v>25.84</c:v>
              </c:pt>
              <c:pt idx="87">
                <c:v>25.84</c:v>
              </c:pt>
              <c:pt idx="88">
                <c:v>25.84</c:v>
              </c:pt>
              <c:pt idx="89">
                <c:v>25.84</c:v>
              </c:pt>
              <c:pt idx="90">
                <c:v>25.84</c:v>
              </c:pt>
              <c:pt idx="91">
                <c:v>25.78</c:v>
              </c:pt>
              <c:pt idx="92">
                <c:v>25.81</c:v>
              </c:pt>
              <c:pt idx="93">
                <c:v>25.81</c:v>
              </c:pt>
              <c:pt idx="94">
                <c:v>25.81</c:v>
              </c:pt>
              <c:pt idx="95">
                <c:v>25.83</c:v>
              </c:pt>
              <c:pt idx="96">
                <c:v>25.8</c:v>
              </c:pt>
              <c:pt idx="97">
                <c:v>25.79</c:v>
              </c:pt>
              <c:pt idx="98">
                <c:v>25.78</c:v>
              </c:pt>
              <c:pt idx="99">
                <c:v>25.78</c:v>
              </c:pt>
              <c:pt idx="100">
                <c:v>25.8</c:v>
              </c:pt>
              <c:pt idx="101">
                <c:v>25.82</c:v>
              </c:pt>
              <c:pt idx="102">
                <c:v>25.81</c:v>
              </c:pt>
              <c:pt idx="103">
                <c:v>25.81</c:v>
              </c:pt>
              <c:pt idx="104">
                <c:v>25.77</c:v>
              </c:pt>
              <c:pt idx="105">
                <c:v>25.79</c:v>
              </c:pt>
              <c:pt idx="106">
                <c:v>25.81</c:v>
              </c:pt>
              <c:pt idx="107">
                <c:v>25.81</c:v>
              </c:pt>
              <c:pt idx="108">
                <c:v>25.82</c:v>
              </c:pt>
              <c:pt idx="109">
                <c:v>25.82</c:v>
              </c:pt>
              <c:pt idx="110">
                <c:v>25.83</c:v>
              </c:pt>
              <c:pt idx="111">
                <c:v>25.83</c:v>
              </c:pt>
              <c:pt idx="112">
                <c:v>25.85</c:v>
              </c:pt>
              <c:pt idx="113">
                <c:v>25.84</c:v>
              </c:pt>
              <c:pt idx="114">
                <c:v>25.83</c:v>
              </c:pt>
              <c:pt idx="115">
                <c:v>25.82</c:v>
              </c:pt>
              <c:pt idx="116">
                <c:v>25.78</c:v>
              </c:pt>
              <c:pt idx="117">
                <c:v>25.79</c:v>
              </c:pt>
              <c:pt idx="118">
                <c:v>25.8</c:v>
              </c:pt>
              <c:pt idx="119">
                <c:v>25.79</c:v>
              </c:pt>
              <c:pt idx="120">
                <c:v>25.8</c:v>
              </c:pt>
              <c:pt idx="121">
                <c:v>25.79</c:v>
              </c:pt>
              <c:pt idx="122">
                <c:v>25.78</c:v>
              </c:pt>
              <c:pt idx="123">
                <c:v>25.77</c:v>
              </c:pt>
              <c:pt idx="124">
                <c:v>25.77</c:v>
              </c:pt>
              <c:pt idx="125">
                <c:v>25.77</c:v>
              </c:pt>
              <c:pt idx="126">
                <c:v>25.77</c:v>
              </c:pt>
              <c:pt idx="127">
                <c:v>25.76</c:v>
              </c:pt>
              <c:pt idx="128">
                <c:v>25.78</c:v>
              </c:pt>
              <c:pt idx="129">
                <c:v>25.77</c:v>
              </c:pt>
              <c:pt idx="130">
                <c:v>25.76</c:v>
              </c:pt>
              <c:pt idx="131">
                <c:v>25.76</c:v>
              </c:pt>
              <c:pt idx="132">
                <c:v>25.75</c:v>
              </c:pt>
              <c:pt idx="133">
                <c:v>25.78</c:v>
              </c:pt>
              <c:pt idx="134">
                <c:v>25.78</c:v>
              </c:pt>
              <c:pt idx="135">
                <c:v>25.76</c:v>
              </c:pt>
              <c:pt idx="136">
                <c:v>25.74</c:v>
              </c:pt>
              <c:pt idx="137">
                <c:v>25.73</c:v>
              </c:pt>
              <c:pt idx="138">
                <c:v>25.75</c:v>
              </c:pt>
              <c:pt idx="139">
                <c:v>25.75</c:v>
              </c:pt>
              <c:pt idx="140">
                <c:v>25.73</c:v>
              </c:pt>
              <c:pt idx="141">
                <c:v>25.72</c:v>
              </c:pt>
              <c:pt idx="142">
                <c:v>25.73</c:v>
              </c:pt>
              <c:pt idx="143">
                <c:v>25.71</c:v>
              </c:pt>
              <c:pt idx="144">
                <c:v>25.74</c:v>
              </c:pt>
              <c:pt idx="145">
                <c:v>25.73</c:v>
              </c:pt>
              <c:pt idx="146">
                <c:v>25.74</c:v>
              </c:pt>
              <c:pt idx="147">
                <c:v>25.74</c:v>
              </c:pt>
              <c:pt idx="148">
                <c:v>25.73</c:v>
              </c:pt>
              <c:pt idx="149">
                <c:v>25.7</c:v>
              </c:pt>
              <c:pt idx="150">
                <c:v>25.7</c:v>
              </c:pt>
              <c:pt idx="151">
                <c:v>25.7</c:v>
              </c:pt>
              <c:pt idx="152">
                <c:v>25.7</c:v>
              </c:pt>
              <c:pt idx="153">
                <c:v>25.7</c:v>
              </c:pt>
              <c:pt idx="154">
                <c:v>25.71</c:v>
              </c:pt>
              <c:pt idx="155">
                <c:v>25.72</c:v>
              </c:pt>
              <c:pt idx="156">
                <c:v>25.73</c:v>
              </c:pt>
              <c:pt idx="157">
                <c:v>25.71</c:v>
              </c:pt>
              <c:pt idx="158">
                <c:v>25.68</c:v>
              </c:pt>
              <c:pt idx="159">
                <c:v>25.68</c:v>
              </c:pt>
              <c:pt idx="160">
                <c:v>25.66</c:v>
              </c:pt>
              <c:pt idx="161">
                <c:v>25.68</c:v>
              </c:pt>
              <c:pt idx="162">
                <c:v>25.66</c:v>
              </c:pt>
              <c:pt idx="163">
                <c:v>25.68</c:v>
              </c:pt>
              <c:pt idx="164">
                <c:v>25.69</c:v>
              </c:pt>
              <c:pt idx="165">
                <c:v>25.67</c:v>
              </c:pt>
              <c:pt idx="166">
                <c:v>25.67</c:v>
              </c:pt>
              <c:pt idx="167">
                <c:v>25.62</c:v>
              </c:pt>
              <c:pt idx="168">
                <c:v>25.65</c:v>
              </c:pt>
              <c:pt idx="169">
                <c:v>25.63</c:v>
              </c:pt>
              <c:pt idx="170">
                <c:v>25.63</c:v>
              </c:pt>
              <c:pt idx="171">
                <c:v>25.61</c:v>
              </c:pt>
              <c:pt idx="172">
                <c:v>25.65</c:v>
              </c:pt>
              <c:pt idx="173">
                <c:v>25.64</c:v>
              </c:pt>
              <c:pt idx="174">
                <c:v>25.62</c:v>
              </c:pt>
              <c:pt idx="175">
                <c:v>25.62</c:v>
              </c:pt>
              <c:pt idx="176">
                <c:v>25.57</c:v>
              </c:pt>
              <c:pt idx="177">
                <c:v>25.57</c:v>
              </c:pt>
              <c:pt idx="178">
                <c:v>25.55</c:v>
              </c:pt>
              <c:pt idx="179">
                <c:v>25.56</c:v>
              </c:pt>
              <c:pt idx="180">
                <c:v>25.54</c:v>
              </c:pt>
              <c:pt idx="181">
                <c:v>25.56</c:v>
              </c:pt>
              <c:pt idx="182">
                <c:v>25.55</c:v>
              </c:pt>
              <c:pt idx="183">
                <c:v>25.54</c:v>
              </c:pt>
              <c:pt idx="184">
                <c:v>25.51</c:v>
              </c:pt>
              <c:pt idx="185">
                <c:v>25.47</c:v>
              </c:pt>
              <c:pt idx="186">
                <c:v>25.47</c:v>
              </c:pt>
              <c:pt idx="187">
                <c:v>25.47</c:v>
              </c:pt>
              <c:pt idx="188">
                <c:v>25.5</c:v>
              </c:pt>
              <c:pt idx="189">
                <c:v>25.51</c:v>
              </c:pt>
              <c:pt idx="190">
                <c:v>25.51</c:v>
              </c:pt>
              <c:pt idx="191">
                <c:v>25.54</c:v>
              </c:pt>
              <c:pt idx="192">
                <c:v>25.55</c:v>
              </c:pt>
              <c:pt idx="193">
                <c:v>25.52</c:v>
              </c:pt>
              <c:pt idx="194">
                <c:v>25.53</c:v>
              </c:pt>
              <c:pt idx="195">
                <c:v>25.53</c:v>
              </c:pt>
              <c:pt idx="196">
                <c:v>25.52</c:v>
              </c:pt>
              <c:pt idx="197">
                <c:v>25.55</c:v>
              </c:pt>
              <c:pt idx="198">
                <c:v>25.53</c:v>
              </c:pt>
              <c:pt idx="199">
                <c:v>25.53</c:v>
              </c:pt>
              <c:pt idx="200">
                <c:v>25.53</c:v>
              </c:pt>
              <c:pt idx="201">
                <c:v>25.51</c:v>
              </c:pt>
              <c:pt idx="202">
                <c:v>25.5</c:v>
              </c:pt>
              <c:pt idx="203">
                <c:v>25.51</c:v>
              </c:pt>
              <c:pt idx="204">
                <c:v>25.47</c:v>
              </c:pt>
              <c:pt idx="205">
                <c:v>25.51</c:v>
              </c:pt>
              <c:pt idx="206">
                <c:v>25.5</c:v>
              </c:pt>
              <c:pt idx="207">
                <c:v>25.48</c:v>
              </c:pt>
              <c:pt idx="208">
                <c:v>25.5</c:v>
              </c:pt>
              <c:pt idx="209">
                <c:v>25.5</c:v>
              </c:pt>
              <c:pt idx="210">
                <c:v>25.52</c:v>
              </c:pt>
              <c:pt idx="211">
                <c:v>25.53</c:v>
              </c:pt>
              <c:pt idx="212">
                <c:v>25.51</c:v>
              </c:pt>
              <c:pt idx="213">
                <c:v>25.51</c:v>
              </c:pt>
              <c:pt idx="214">
                <c:v>25.5</c:v>
              </c:pt>
              <c:pt idx="215">
                <c:v>25.45</c:v>
              </c:pt>
              <c:pt idx="216">
                <c:v>25.48</c:v>
              </c:pt>
              <c:pt idx="217">
                <c:v>25.49</c:v>
              </c:pt>
              <c:pt idx="218">
                <c:v>25.48</c:v>
              </c:pt>
              <c:pt idx="219">
                <c:v>25.52</c:v>
              </c:pt>
              <c:pt idx="220">
                <c:v>25.51</c:v>
              </c:pt>
              <c:pt idx="221">
                <c:v>25.51</c:v>
              </c:pt>
              <c:pt idx="222">
                <c:v>25.52</c:v>
              </c:pt>
              <c:pt idx="223">
                <c:v>25.52</c:v>
              </c:pt>
              <c:pt idx="224">
                <c:v>25.53</c:v>
              </c:pt>
              <c:pt idx="225">
                <c:v>25.54</c:v>
              </c:pt>
              <c:pt idx="226">
                <c:v>25.52</c:v>
              </c:pt>
              <c:pt idx="227">
                <c:v>25.53</c:v>
              </c:pt>
              <c:pt idx="228">
                <c:v>25.5</c:v>
              </c:pt>
              <c:pt idx="229">
                <c:v>25.47</c:v>
              </c:pt>
              <c:pt idx="230">
                <c:v>25.47</c:v>
              </c:pt>
              <c:pt idx="231">
                <c:v>25.49</c:v>
              </c:pt>
              <c:pt idx="232">
                <c:v>25.47</c:v>
              </c:pt>
              <c:pt idx="233">
                <c:v>25.49</c:v>
              </c:pt>
              <c:pt idx="234">
                <c:v>25.47</c:v>
              </c:pt>
              <c:pt idx="235">
                <c:v>25.5</c:v>
              </c:pt>
              <c:pt idx="236">
                <c:v>25.51</c:v>
              </c:pt>
              <c:pt idx="237">
                <c:v>25.46</c:v>
              </c:pt>
              <c:pt idx="238">
                <c:v>25.47</c:v>
              </c:pt>
              <c:pt idx="239">
                <c:v>25.48</c:v>
              </c:pt>
              <c:pt idx="240">
                <c:v>25.44</c:v>
              </c:pt>
              <c:pt idx="241">
                <c:v>25.45</c:v>
              </c:pt>
              <c:pt idx="242">
                <c:v>25.46</c:v>
              </c:pt>
              <c:pt idx="243">
                <c:v>25.42</c:v>
              </c:pt>
              <c:pt idx="244">
                <c:v>25.42</c:v>
              </c:pt>
              <c:pt idx="245">
                <c:v>25.39</c:v>
              </c:pt>
              <c:pt idx="246">
                <c:v>25.4</c:v>
              </c:pt>
              <c:pt idx="247">
                <c:v>25.43</c:v>
              </c:pt>
              <c:pt idx="248">
                <c:v>25.39</c:v>
              </c:pt>
              <c:pt idx="249">
                <c:v>25.4</c:v>
              </c:pt>
              <c:pt idx="250">
                <c:v>25.42</c:v>
              </c:pt>
              <c:pt idx="251">
                <c:v>25.38</c:v>
              </c:pt>
              <c:pt idx="252">
                <c:v>25.41</c:v>
              </c:pt>
              <c:pt idx="253">
                <c:v>25.42</c:v>
              </c:pt>
              <c:pt idx="254">
                <c:v>25.38</c:v>
              </c:pt>
              <c:pt idx="255">
                <c:v>25.41</c:v>
              </c:pt>
              <c:pt idx="256">
                <c:v>25.41</c:v>
              </c:pt>
              <c:pt idx="257">
                <c:v>25.4</c:v>
              </c:pt>
              <c:pt idx="258">
                <c:v>25.43</c:v>
              </c:pt>
              <c:pt idx="259">
                <c:v>25.4</c:v>
              </c:pt>
              <c:pt idx="260">
                <c:v>25.39</c:v>
              </c:pt>
              <c:pt idx="261">
                <c:v>25.42</c:v>
              </c:pt>
              <c:pt idx="262">
                <c:v>25.4</c:v>
              </c:pt>
              <c:pt idx="263">
                <c:v>25.38</c:v>
              </c:pt>
              <c:pt idx="264">
                <c:v>25.39</c:v>
              </c:pt>
              <c:pt idx="265">
                <c:v>25.35</c:v>
              </c:pt>
              <c:pt idx="266">
                <c:v>25.36</c:v>
              </c:pt>
              <c:pt idx="267">
                <c:v>25.36</c:v>
              </c:pt>
              <c:pt idx="268">
                <c:v>25.33</c:v>
              </c:pt>
              <c:pt idx="269">
                <c:v>25.35</c:v>
              </c:pt>
              <c:pt idx="270">
                <c:v>25.35</c:v>
              </c:pt>
              <c:pt idx="271">
                <c:v>25.37</c:v>
              </c:pt>
              <c:pt idx="272">
                <c:v>25.37</c:v>
              </c:pt>
              <c:pt idx="273">
                <c:v>25.37</c:v>
              </c:pt>
              <c:pt idx="274">
                <c:v>25.36</c:v>
              </c:pt>
              <c:pt idx="275">
                <c:v>25.38</c:v>
              </c:pt>
              <c:pt idx="276">
                <c:v>25.37</c:v>
              </c:pt>
              <c:pt idx="277">
                <c:v>25.37</c:v>
              </c:pt>
              <c:pt idx="278">
                <c:v>25.4</c:v>
              </c:pt>
              <c:pt idx="279">
                <c:v>25.34</c:v>
              </c:pt>
              <c:pt idx="280">
                <c:v>25.36</c:v>
              </c:pt>
              <c:pt idx="281">
                <c:v>25.35</c:v>
              </c:pt>
              <c:pt idx="282">
                <c:v>25.33</c:v>
              </c:pt>
              <c:pt idx="283">
                <c:v>25.36</c:v>
              </c:pt>
              <c:pt idx="284">
                <c:v>25.35</c:v>
              </c:pt>
              <c:pt idx="285">
                <c:v>25.35</c:v>
              </c:pt>
              <c:pt idx="286">
                <c:v>25.36</c:v>
              </c:pt>
              <c:pt idx="287">
                <c:v>25.34</c:v>
              </c:pt>
              <c:pt idx="288">
                <c:v>25.33</c:v>
              </c:pt>
              <c:pt idx="289">
                <c:v>25.36</c:v>
              </c:pt>
              <c:pt idx="290">
                <c:v>25.35</c:v>
              </c:pt>
              <c:pt idx="291">
                <c:v>25.36</c:v>
              </c:pt>
              <c:pt idx="292">
                <c:v>25.39</c:v>
              </c:pt>
              <c:pt idx="293">
                <c:v>25.33</c:v>
              </c:pt>
              <c:pt idx="294">
                <c:v>25.36</c:v>
              </c:pt>
              <c:pt idx="295">
                <c:v>25.34</c:v>
              </c:pt>
              <c:pt idx="296">
                <c:v>25.3</c:v>
              </c:pt>
              <c:pt idx="297">
                <c:v>25.33</c:v>
              </c:pt>
              <c:pt idx="298">
                <c:v>25.33</c:v>
              </c:pt>
              <c:pt idx="299">
                <c:v>25.33</c:v>
              </c:pt>
              <c:pt idx="300">
                <c:v>25.36</c:v>
              </c:pt>
              <c:pt idx="301">
                <c:v>25.33</c:v>
              </c:pt>
              <c:pt idx="302">
                <c:v>25.33</c:v>
              </c:pt>
              <c:pt idx="303">
                <c:v>25.34</c:v>
              </c:pt>
              <c:pt idx="304">
                <c:v>25.33</c:v>
              </c:pt>
              <c:pt idx="305">
                <c:v>25.37</c:v>
              </c:pt>
              <c:pt idx="306">
                <c:v>25.38</c:v>
              </c:pt>
              <c:pt idx="307">
                <c:v>25.26</c:v>
              </c:pt>
              <c:pt idx="308">
                <c:v>25.27</c:v>
              </c:pt>
              <c:pt idx="309">
                <c:v>25.25</c:v>
              </c:pt>
              <c:pt idx="310">
                <c:v>25.21</c:v>
              </c:pt>
              <c:pt idx="311">
                <c:v>25.24</c:v>
              </c:pt>
              <c:pt idx="312">
                <c:v>25.25</c:v>
              </c:pt>
              <c:pt idx="313">
                <c:v>25.25</c:v>
              </c:pt>
              <c:pt idx="314">
                <c:v>25.23</c:v>
              </c:pt>
              <c:pt idx="315">
                <c:v>25.15</c:v>
              </c:pt>
              <c:pt idx="316">
                <c:v>25.15</c:v>
              </c:pt>
              <c:pt idx="317">
                <c:v>25.14</c:v>
              </c:pt>
              <c:pt idx="318">
                <c:v>25.1</c:v>
              </c:pt>
              <c:pt idx="319">
                <c:v>25.15</c:v>
              </c:pt>
              <c:pt idx="320">
                <c:v>25.11</c:v>
              </c:pt>
              <c:pt idx="321">
                <c:v>25.12</c:v>
              </c:pt>
              <c:pt idx="322">
                <c:v>25.14</c:v>
              </c:pt>
              <c:pt idx="323">
                <c:v>25.1</c:v>
              </c:pt>
              <c:pt idx="324">
                <c:v>25.11</c:v>
              </c:pt>
              <c:pt idx="325">
                <c:v>25.09</c:v>
              </c:pt>
              <c:pt idx="326">
                <c:v>25.07</c:v>
              </c:pt>
              <c:pt idx="327">
                <c:v>25.07</c:v>
              </c:pt>
              <c:pt idx="328">
                <c:v>25.07</c:v>
              </c:pt>
              <c:pt idx="329">
                <c:v>25.06</c:v>
              </c:pt>
              <c:pt idx="330">
                <c:v>25.05</c:v>
              </c:pt>
              <c:pt idx="331">
                <c:v>25.04</c:v>
              </c:pt>
              <c:pt idx="332">
                <c:v>25.03</c:v>
              </c:pt>
              <c:pt idx="333">
                <c:v>25.03</c:v>
              </c:pt>
              <c:pt idx="334">
                <c:v>25.03</c:v>
              </c:pt>
              <c:pt idx="335">
                <c:v>25.03</c:v>
              </c:pt>
              <c:pt idx="336">
                <c:v>25.06</c:v>
              </c:pt>
              <c:pt idx="337">
                <c:v>25.06</c:v>
              </c:pt>
              <c:pt idx="338">
                <c:v>25.04</c:v>
              </c:pt>
              <c:pt idx="339">
                <c:v>25.04</c:v>
              </c:pt>
              <c:pt idx="340">
                <c:v>25.05</c:v>
              </c:pt>
              <c:pt idx="341">
                <c:v>25.05</c:v>
              </c:pt>
              <c:pt idx="342">
                <c:v>25.01</c:v>
              </c:pt>
              <c:pt idx="343">
                <c:v>25.03</c:v>
              </c:pt>
              <c:pt idx="344">
                <c:v>25.04</c:v>
              </c:pt>
              <c:pt idx="345">
                <c:v>25.02</c:v>
              </c:pt>
              <c:pt idx="346">
                <c:v>25.03</c:v>
              </c:pt>
              <c:pt idx="347">
                <c:v>25.05</c:v>
              </c:pt>
              <c:pt idx="348">
                <c:v>25.01</c:v>
              </c:pt>
              <c:pt idx="349">
                <c:v>25.03</c:v>
              </c:pt>
              <c:pt idx="350">
                <c:v>25.04</c:v>
              </c:pt>
              <c:pt idx="351">
                <c:v>24.98</c:v>
              </c:pt>
              <c:pt idx="352">
                <c:v>25.02</c:v>
              </c:pt>
              <c:pt idx="353">
                <c:v>25.04</c:v>
              </c:pt>
              <c:pt idx="354">
                <c:v>25</c:v>
              </c:pt>
              <c:pt idx="355">
                <c:v>25.03</c:v>
              </c:pt>
              <c:pt idx="356">
                <c:v>25.03</c:v>
              </c:pt>
              <c:pt idx="357">
                <c:v>24.99</c:v>
              </c:pt>
              <c:pt idx="358">
                <c:v>24.99</c:v>
              </c:pt>
              <c:pt idx="359">
                <c:v>25</c:v>
              </c:pt>
              <c:pt idx="360">
                <c:v>24.98</c:v>
              </c:pt>
              <c:pt idx="361">
                <c:v>24.99</c:v>
              </c:pt>
              <c:pt idx="362">
                <c:v>25.02</c:v>
              </c:pt>
              <c:pt idx="363">
                <c:v>24.96</c:v>
              </c:pt>
              <c:pt idx="364">
                <c:v>24.98</c:v>
              </c:pt>
              <c:pt idx="365">
                <c:v>25</c:v>
              </c:pt>
              <c:pt idx="366">
                <c:v>24.98</c:v>
              </c:pt>
              <c:pt idx="367">
                <c:v>24.98</c:v>
              </c:pt>
              <c:pt idx="368">
                <c:v>25.01</c:v>
              </c:pt>
              <c:pt idx="369">
                <c:v>24.97</c:v>
              </c:pt>
              <c:pt idx="370">
                <c:v>24.98</c:v>
              </c:pt>
              <c:pt idx="371">
                <c:v>24.98</c:v>
              </c:pt>
              <c:pt idx="372">
                <c:v>24.99</c:v>
              </c:pt>
              <c:pt idx="373">
                <c:v>24.95</c:v>
              </c:pt>
              <c:pt idx="374">
                <c:v>24.96</c:v>
              </c:pt>
              <c:pt idx="375">
                <c:v>24.96</c:v>
              </c:pt>
              <c:pt idx="376">
                <c:v>24.92</c:v>
              </c:pt>
              <c:pt idx="377">
                <c:v>24.95</c:v>
              </c:pt>
              <c:pt idx="378">
                <c:v>24.94</c:v>
              </c:pt>
              <c:pt idx="379">
                <c:v>24.92</c:v>
              </c:pt>
              <c:pt idx="380">
                <c:v>24.92</c:v>
              </c:pt>
              <c:pt idx="381">
                <c:v>24.96</c:v>
              </c:pt>
              <c:pt idx="382">
                <c:v>24.96</c:v>
              </c:pt>
              <c:pt idx="383">
                <c:v>24.98</c:v>
              </c:pt>
              <c:pt idx="384">
                <c:v>24.99</c:v>
              </c:pt>
              <c:pt idx="385">
                <c:v>24.95</c:v>
              </c:pt>
              <c:pt idx="386">
                <c:v>24.94</c:v>
              </c:pt>
              <c:pt idx="387">
                <c:v>24.97</c:v>
              </c:pt>
              <c:pt idx="388">
                <c:v>24.97</c:v>
              </c:pt>
              <c:pt idx="389">
                <c:v>25.01</c:v>
              </c:pt>
              <c:pt idx="390">
                <c:v>25.03</c:v>
              </c:pt>
              <c:pt idx="391">
                <c:v>25.02</c:v>
              </c:pt>
              <c:pt idx="392">
                <c:v>25.02</c:v>
              </c:pt>
              <c:pt idx="393">
                <c:v>25.06</c:v>
              </c:pt>
              <c:pt idx="394">
                <c:v>25.03</c:v>
              </c:pt>
              <c:pt idx="395">
                <c:v>25.01</c:v>
              </c:pt>
              <c:pt idx="396">
                <c:v>25.05</c:v>
              </c:pt>
              <c:pt idx="397">
                <c:v>25.04</c:v>
              </c:pt>
              <c:pt idx="398">
                <c:v>25.03</c:v>
              </c:pt>
              <c:pt idx="399">
                <c:v>25.05</c:v>
              </c:pt>
              <c:pt idx="400">
                <c:v>25.06</c:v>
              </c:pt>
              <c:pt idx="401">
                <c:v>25.02</c:v>
              </c:pt>
              <c:pt idx="402">
                <c:v>25.06</c:v>
              </c:pt>
              <c:pt idx="403">
                <c:v>25.07</c:v>
              </c:pt>
              <c:pt idx="404">
                <c:v>25.02</c:v>
              </c:pt>
              <c:pt idx="405">
                <c:v>25.06</c:v>
              </c:pt>
              <c:pt idx="406">
                <c:v>25.09</c:v>
              </c:pt>
              <c:pt idx="407">
                <c:v>25.03</c:v>
              </c:pt>
              <c:pt idx="408">
                <c:v>25.08</c:v>
              </c:pt>
              <c:pt idx="409">
                <c:v>25.09</c:v>
              </c:pt>
              <c:pt idx="410">
                <c:v>25.05</c:v>
              </c:pt>
              <c:pt idx="411">
                <c:v>25.09</c:v>
              </c:pt>
              <c:pt idx="412">
                <c:v>25.11</c:v>
              </c:pt>
              <c:pt idx="413">
                <c:v>25.11</c:v>
              </c:pt>
              <c:pt idx="414">
                <c:v>25.1</c:v>
              </c:pt>
              <c:pt idx="415">
                <c:v>25.09</c:v>
              </c:pt>
              <c:pt idx="416">
                <c:v>25.07</c:v>
              </c:pt>
              <c:pt idx="417">
                <c:v>25.07</c:v>
              </c:pt>
              <c:pt idx="418">
                <c:v>25.08</c:v>
              </c:pt>
              <c:pt idx="419">
                <c:v>25.07</c:v>
              </c:pt>
              <c:pt idx="420">
                <c:v>25.09</c:v>
              </c:pt>
              <c:pt idx="421">
                <c:v>25.1</c:v>
              </c:pt>
              <c:pt idx="422">
                <c:v>25.07</c:v>
              </c:pt>
              <c:pt idx="423">
                <c:v>25.08</c:v>
              </c:pt>
              <c:pt idx="424">
                <c:v>25.11</c:v>
              </c:pt>
              <c:pt idx="425">
                <c:v>25.09</c:v>
              </c:pt>
              <c:pt idx="426">
                <c:v>25.03</c:v>
              </c:pt>
              <c:pt idx="427">
                <c:v>25.04</c:v>
              </c:pt>
              <c:pt idx="428">
                <c:v>25.03</c:v>
              </c:pt>
              <c:pt idx="429">
                <c:v>25.04</c:v>
              </c:pt>
              <c:pt idx="430">
                <c:v>25.06</c:v>
              </c:pt>
              <c:pt idx="431">
                <c:v>25.03</c:v>
              </c:pt>
              <c:pt idx="432">
                <c:v>24.99</c:v>
              </c:pt>
              <c:pt idx="433">
                <c:v>25</c:v>
              </c:pt>
              <c:pt idx="434">
                <c:v>25.03</c:v>
              </c:pt>
              <c:pt idx="435">
                <c:v>25.01</c:v>
              </c:pt>
              <c:pt idx="436">
                <c:v>25.04</c:v>
              </c:pt>
              <c:pt idx="437">
                <c:v>25.05</c:v>
              </c:pt>
              <c:pt idx="438">
                <c:v>25.06</c:v>
              </c:pt>
              <c:pt idx="439">
                <c:v>25.11</c:v>
              </c:pt>
              <c:pt idx="440">
                <c:v>25.12</c:v>
              </c:pt>
              <c:pt idx="441">
                <c:v>25.08</c:v>
              </c:pt>
              <c:pt idx="442">
                <c:v>25.06</c:v>
              </c:pt>
              <c:pt idx="443">
                <c:v>25.08</c:v>
              </c:pt>
              <c:pt idx="444">
                <c:v>25.06</c:v>
              </c:pt>
              <c:pt idx="445">
                <c:v>25.07</c:v>
              </c:pt>
              <c:pt idx="446">
                <c:v>25.08</c:v>
              </c:pt>
              <c:pt idx="447">
                <c:v>25.09</c:v>
              </c:pt>
              <c:pt idx="448">
                <c:v>25.07</c:v>
              </c:pt>
              <c:pt idx="449">
                <c:v>25.09</c:v>
              </c:pt>
              <c:pt idx="450">
                <c:v>25.1</c:v>
              </c:pt>
              <c:pt idx="451">
                <c:v>25.09</c:v>
              </c:pt>
              <c:pt idx="452">
                <c:v>25.1</c:v>
              </c:pt>
              <c:pt idx="453">
                <c:v>25.09</c:v>
              </c:pt>
              <c:pt idx="454">
                <c:v>25.08</c:v>
              </c:pt>
              <c:pt idx="455">
                <c:v>25.09</c:v>
              </c:pt>
              <c:pt idx="456">
                <c:v>25.08</c:v>
              </c:pt>
              <c:pt idx="457">
                <c:v>25.08</c:v>
              </c:pt>
              <c:pt idx="458">
                <c:v>25.09</c:v>
              </c:pt>
              <c:pt idx="459">
                <c:v>25.1</c:v>
              </c:pt>
              <c:pt idx="460">
                <c:v>25.12</c:v>
              </c:pt>
              <c:pt idx="461">
                <c:v>25.13</c:v>
              </c:pt>
              <c:pt idx="462">
                <c:v>25.14</c:v>
              </c:pt>
              <c:pt idx="463">
                <c:v>25.07</c:v>
              </c:pt>
              <c:pt idx="464">
                <c:v>25.11</c:v>
              </c:pt>
              <c:pt idx="465">
                <c:v>25.1</c:v>
              </c:pt>
              <c:pt idx="466">
                <c:v>25.07</c:v>
              </c:pt>
              <c:pt idx="467">
                <c:v>25.07</c:v>
              </c:pt>
              <c:pt idx="468">
                <c:v>25.09</c:v>
              </c:pt>
              <c:pt idx="469">
                <c:v>25.06</c:v>
              </c:pt>
              <c:pt idx="470">
                <c:v>25.07</c:v>
              </c:pt>
              <c:pt idx="471">
                <c:v>25.09</c:v>
              </c:pt>
              <c:pt idx="472">
                <c:v>25.07</c:v>
              </c:pt>
              <c:pt idx="473">
                <c:v>25.06</c:v>
              </c:pt>
              <c:pt idx="474">
                <c:v>25.07</c:v>
              </c:pt>
              <c:pt idx="475">
                <c:v>25.04</c:v>
              </c:pt>
              <c:pt idx="476">
                <c:v>25.03</c:v>
              </c:pt>
              <c:pt idx="477">
                <c:v>25.06</c:v>
              </c:pt>
              <c:pt idx="478">
                <c:v>25.03</c:v>
              </c:pt>
              <c:pt idx="479">
                <c:v>24.99</c:v>
              </c:pt>
              <c:pt idx="480">
                <c:v>24.97</c:v>
              </c:pt>
              <c:pt idx="481">
                <c:v>24.96</c:v>
              </c:pt>
              <c:pt idx="482">
                <c:v>24.95</c:v>
              </c:pt>
              <c:pt idx="483">
                <c:v>24.96</c:v>
              </c:pt>
              <c:pt idx="484">
                <c:v>24.96</c:v>
              </c:pt>
              <c:pt idx="485">
                <c:v>24.97</c:v>
              </c:pt>
              <c:pt idx="486">
                <c:v>24.98</c:v>
              </c:pt>
              <c:pt idx="487">
                <c:v>25</c:v>
              </c:pt>
              <c:pt idx="488">
                <c:v>24.97</c:v>
              </c:pt>
              <c:pt idx="489">
                <c:v>25.03</c:v>
              </c:pt>
              <c:pt idx="490">
                <c:v>25.03</c:v>
              </c:pt>
              <c:pt idx="491">
                <c:v>25.05</c:v>
              </c:pt>
              <c:pt idx="492">
                <c:v>25.07</c:v>
              </c:pt>
              <c:pt idx="493">
                <c:v>25.1</c:v>
              </c:pt>
              <c:pt idx="494">
                <c:v>25.04</c:v>
              </c:pt>
              <c:pt idx="495">
                <c:v>24.98</c:v>
              </c:pt>
              <c:pt idx="496">
                <c:v>25</c:v>
              </c:pt>
              <c:pt idx="497">
                <c:v>25.03</c:v>
              </c:pt>
              <c:pt idx="498">
                <c:v>25.05</c:v>
              </c:pt>
              <c:pt idx="499">
                <c:v>25.03</c:v>
              </c:pt>
              <c:pt idx="500">
                <c:v>25.03</c:v>
              </c:pt>
              <c:pt idx="501">
                <c:v>25.08</c:v>
              </c:pt>
              <c:pt idx="502">
                <c:v>25.14</c:v>
              </c:pt>
              <c:pt idx="503">
                <c:v>25.07</c:v>
              </c:pt>
              <c:pt idx="504">
                <c:v>25.14</c:v>
              </c:pt>
              <c:pt idx="505">
                <c:v>25.22</c:v>
              </c:pt>
              <c:pt idx="506">
                <c:v>25.23</c:v>
              </c:pt>
              <c:pt idx="507">
                <c:v>25.25</c:v>
              </c:pt>
              <c:pt idx="508">
                <c:v>25.26</c:v>
              </c:pt>
              <c:pt idx="509">
                <c:v>25.3</c:v>
              </c:pt>
              <c:pt idx="510">
                <c:v>25.33</c:v>
              </c:pt>
              <c:pt idx="511">
                <c:v>25.3</c:v>
              </c:pt>
              <c:pt idx="512">
                <c:v>25.32</c:v>
              </c:pt>
              <c:pt idx="513">
                <c:v>25.43</c:v>
              </c:pt>
              <c:pt idx="514">
                <c:v>25.41</c:v>
              </c:pt>
              <c:pt idx="515">
                <c:v>25.37</c:v>
              </c:pt>
              <c:pt idx="516">
                <c:v>25.46</c:v>
              </c:pt>
              <c:pt idx="517">
                <c:v>25.48</c:v>
              </c:pt>
              <c:pt idx="518">
                <c:v>25.47</c:v>
              </c:pt>
              <c:pt idx="519">
                <c:v>25.5</c:v>
              </c:pt>
              <c:pt idx="520">
                <c:v>25.52</c:v>
              </c:pt>
              <c:pt idx="521">
                <c:v>25.59</c:v>
              </c:pt>
              <c:pt idx="522">
                <c:v>25.57</c:v>
              </c:pt>
              <c:pt idx="523">
                <c:v>25.57</c:v>
              </c:pt>
              <c:pt idx="524">
                <c:v>25.64</c:v>
              </c:pt>
              <c:pt idx="525">
                <c:v>25.69</c:v>
              </c:pt>
              <c:pt idx="526">
                <c:v>25.7</c:v>
              </c:pt>
              <c:pt idx="527">
                <c:v>25.73</c:v>
              </c:pt>
              <c:pt idx="528">
                <c:v>25.77</c:v>
              </c:pt>
              <c:pt idx="529">
                <c:v>25.76</c:v>
              </c:pt>
              <c:pt idx="530">
                <c:v>25.74</c:v>
              </c:pt>
              <c:pt idx="531">
                <c:v>25.79</c:v>
              </c:pt>
              <c:pt idx="532">
                <c:v>25.76</c:v>
              </c:pt>
              <c:pt idx="533">
                <c:v>25.83</c:v>
              </c:pt>
              <c:pt idx="534">
                <c:v>25.85</c:v>
              </c:pt>
              <c:pt idx="535">
                <c:v>25.91</c:v>
              </c:pt>
              <c:pt idx="536">
                <c:v>25.82</c:v>
              </c:pt>
              <c:pt idx="537">
                <c:v>25.83</c:v>
              </c:pt>
              <c:pt idx="538">
                <c:v>25.89</c:v>
              </c:pt>
              <c:pt idx="539">
                <c:v>25.99</c:v>
              </c:pt>
              <c:pt idx="540">
                <c:v>25.89</c:v>
              </c:pt>
              <c:pt idx="541">
                <c:v>25.9</c:v>
              </c:pt>
              <c:pt idx="542">
                <c:v>25.99</c:v>
              </c:pt>
              <c:pt idx="543">
                <c:v>26.02</c:v>
              </c:pt>
              <c:pt idx="544">
                <c:v>25.97</c:v>
              </c:pt>
              <c:pt idx="545">
                <c:v>25.97</c:v>
              </c:pt>
              <c:pt idx="546">
                <c:v>25.99</c:v>
              </c:pt>
              <c:pt idx="547">
                <c:v>25.97</c:v>
              </c:pt>
              <c:pt idx="548">
                <c:v>25.96</c:v>
              </c:pt>
              <c:pt idx="549">
                <c:v>25.96</c:v>
              </c:pt>
              <c:pt idx="550">
                <c:v>25.94</c:v>
              </c:pt>
              <c:pt idx="551">
                <c:v>25.92</c:v>
              </c:pt>
              <c:pt idx="552">
                <c:v>25.92</c:v>
              </c:pt>
              <c:pt idx="553">
                <c:v>25.87</c:v>
              </c:pt>
              <c:pt idx="554">
                <c:v>25.87</c:v>
              </c:pt>
              <c:pt idx="555">
                <c:v>25.9</c:v>
              </c:pt>
              <c:pt idx="556">
                <c:v>25.84</c:v>
              </c:pt>
              <c:pt idx="557">
                <c:v>25.86</c:v>
              </c:pt>
              <c:pt idx="558">
                <c:v>25.8</c:v>
              </c:pt>
              <c:pt idx="559">
                <c:v>25.8</c:v>
              </c:pt>
              <c:pt idx="560">
                <c:v>25.79</c:v>
              </c:pt>
              <c:pt idx="561">
                <c:v>25.76</c:v>
              </c:pt>
              <c:pt idx="562">
                <c:v>25.8</c:v>
              </c:pt>
              <c:pt idx="563">
                <c:v>25.81</c:v>
              </c:pt>
              <c:pt idx="564">
                <c:v>25.82</c:v>
              </c:pt>
              <c:pt idx="565">
                <c:v>25.81</c:v>
              </c:pt>
              <c:pt idx="566">
                <c:v>25.77</c:v>
              </c:pt>
              <c:pt idx="567">
                <c:v>25.81</c:v>
              </c:pt>
              <c:pt idx="568">
                <c:v>25.74</c:v>
              </c:pt>
              <c:pt idx="569">
                <c:v>25.76</c:v>
              </c:pt>
              <c:pt idx="570">
                <c:v>25.72</c:v>
              </c:pt>
              <c:pt idx="571">
                <c:v>25.69</c:v>
              </c:pt>
              <c:pt idx="572">
                <c:v>25.65</c:v>
              </c:pt>
              <c:pt idx="573">
                <c:v>25.63</c:v>
              </c:pt>
              <c:pt idx="574">
                <c:v>25.64</c:v>
              </c:pt>
              <c:pt idx="575">
                <c:v>25.58</c:v>
              </c:pt>
              <c:pt idx="576">
                <c:v>25.54</c:v>
              </c:pt>
              <c:pt idx="577">
                <c:v>25.5</c:v>
              </c:pt>
              <c:pt idx="578">
                <c:v>25.46</c:v>
              </c:pt>
              <c:pt idx="579">
                <c:v>25.44</c:v>
              </c:pt>
              <c:pt idx="580">
                <c:v>25.46</c:v>
              </c:pt>
              <c:pt idx="581">
                <c:v>25.45</c:v>
              </c:pt>
              <c:pt idx="582">
                <c:v>25.42</c:v>
              </c:pt>
              <c:pt idx="583">
                <c:v>25.44</c:v>
              </c:pt>
              <c:pt idx="584">
                <c:v>25.5</c:v>
              </c:pt>
              <c:pt idx="585">
                <c:v>25.48</c:v>
              </c:pt>
              <c:pt idx="586">
                <c:v>25.5</c:v>
              </c:pt>
              <c:pt idx="587">
                <c:v>25.49</c:v>
              </c:pt>
              <c:pt idx="588">
                <c:v>25.53</c:v>
              </c:pt>
              <c:pt idx="589">
                <c:v>25.6</c:v>
              </c:pt>
              <c:pt idx="590">
                <c:v>25.55</c:v>
              </c:pt>
              <c:pt idx="591">
                <c:v>25.54</c:v>
              </c:pt>
              <c:pt idx="592">
                <c:v>25.62</c:v>
              </c:pt>
              <c:pt idx="593">
                <c:v>25.68</c:v>
              </c:pt>
              <c:pt idx="594">
                <c:v>25.76</c:v>
              </c:pt>
              <c:pt idx="595">
                <c:v>25.71</c:v>
              </c:pt>
              <c:pt idx="596">
                <c:v>25.74</c:v>
              </c:pt>
              <c:pt idx="597">
                <c:v>25.74</c:v>
              </c:pt>
              <c:pt idx="598">
                <c:v>25.73</c:v>
              </c:pt>
              <c:pt idx="599">
                <c:v>25.76</c:v>
              </c:pt>
              <c:pt idx="600">
                <c:v>25.82</c:v>
              </c:pt>
              <c:pt idx="601">
                <c:v>25.91</c:v>
              </c:pt>
              <c:pt idx="602">
                <c:v>25.82</c:v>
              </c:pt>
              <c:pt idx="603">
                <c:v>25.9</c:v>
              </c:pt>
              <c:pt idx="604">
                <c:v>25.92</c:v>
              </c:pt>
              <c:pt idx="605">
                <c:v>25.92</c:v>
              </c:pt>
              <c:pt idx="606">
                <c:v>25.94</c:v>
              </c:pt>
              <c:pt idx="607">
                <c:v>25.93</c:v>
              </c:pt>
              <c:pt idx="608">
                <c:v>25.86</c:v>
              </c:pt>
              <c:pt idx="609">
                <c:v>25.93</c:v>
              </c:pt>
              <c:pt idx="610">
                <c:v>26.04</c:v>
              </c:pt>
              <c:pt idx="611">
                <c:v>26.08</c:v>
              </c:pt>
              <c:pt idx="612">
                <c:v>26.06</c:v>
              </c:pt>
              <c:pt idx="613">
                <c:v>26.08</c:v>
              </c:pt>
              <c:pt idx="614">
                <c:v>26.11</c:v>
              </c:pt>
              <c:pt idx="615">
                <c:v>26.17</c:v>
              </c:pt>
              <c:pt idx="616">
                <c:v>26.21</c:v>
              </c:pt>
              <c:pt idx="617">
                <c:v>26.25</c:v>
              </c:pt>
              <c:pt idx="618">
                <c:v>26.3</c:v>
              </c:pt>
              <c:pt idx="619">
                <c:v>26.34</c:v>
              </c:pt>
              <c:pt idx="620">
                <c:v>26.4</c:v>
              </c:pt>
              <c:pt idx="621">
                <c:v>26.4</c:v>
              </c:pt>
              <c:pt idx="622">
                <c:v>26.43</c:v>
              </c:pt>
              <c:pt idx="623">
                <c:v>26.47</c:v>
              </c:pt>
              <c:pt idx="624">
                <c:v>26.54</c:v>
              </c:pt>
              <c:pt idx="625">
                <c:v>26.56</c:v>
              </c:pt>
              <c:pt idx="626">
                <c:v>26.67</c:v>
              </c:pt>
              <c:pt idx="627">
                <c:v>26.59</c:v>
              </c:pt>
              <c:pt idx="628">
                <c:v>26.67</c:v>
              </c:pt>
              <c:pt idx="629">
                <c:v>26.69</c:v>
              </c:pt>
              <c:pt idx="630">
                <c:v>26.8</c:v>
              </c:pt>
              <c:pt idx="631">
                <c:v>26.87</c:v>
              </c:pt>
              <c:pt idx="632">
                <c:v>26.87</c:v>
              </c:pt>
              <c:pt idx="633">
                <c:v>26.92</c:v>
              </c:pt>
              <c:pt idx="634">
                <c:v>26.85</c:v>
              </c:pt>
              <c:pt idx="635">
                <c:v>26.93</c:v>
              </c:pt>
              <c:pt idx="636">
                <c:v>26.94</c:v>
              </c:pt>
              <c:pt idx="637">
                <c:v>27.06</c:v>
              </c:pt>
              <c:pt idx="638">
                <c:v>27.02</c:v>
              </c:pt>
              <c:pt idx="639">
                <c:v>27.11</c:v>
              </c:pt>
              <c:pt idx="640">
                <c:v>27.2</c:v>
              </c:pt>
              <c:pt idx="641">
                <c:v>27.17</c:v>
              </c:pt>
              <c:pt idx="642">
                <c:v>27.23</c:v>
              </c:pt>
              <c:pt idx="643">
                <c:v>27.2</c:v>
              </c:pt>
              <c:pt idx="644">
                <c:v>27.32</c:v>
              </c:pt>
              <c:pt idx="645">
                <c:v>27.4</c:v>
              </c:pt>
              <c:pt idx="646">
                <c:v>27.32</c:v>
              </c:pt>
              <c:pt idx="647">
                <c:v>27.3</c:v>
              </c:pt>
              <c:pt idx="648">
                <c:v>27.24</c:v>
              </c:pt>
              <c:pt idx="649">
                <c:v>27.24</c:v>
              </c:pt>
              <c:pt idx="650">
                <c:v>27.28</c:v>
              </c:pt>
              <c:pt idx="651">
                <c:v>27.28</c:v>
              </c:pt>
              <c:pt idx="652">
                <c:v>27.33</c:v>
              </c:pt>
              <c:pt idx="653">
                <c:v>27.42</c:v>
              </c:pt>
              <c:pt idx="654">
                <c:v>27.52</c:v>
              </c:pt>
              <c:pt idx="655">
                <c:v>27.5</c:v>
              </c:pt>
              <c:pt idx="656">
                <c:v>27.43</c:v>
              </c:pt>
              <c:pt idx="657">
                <c:v>27.48</c:v>
              </c:pt>
              <c:pt idx="658">
                <c:v>27.48</c:v>
              </c:pt>
              <c:pt idx="659">
                <c:v>27.57</c:v>
              </c:pt>
              <c:pt idx="660">
                <c:v>27.62</c:v>
              </c:pt>
              <c:pt idx="661">
                <c:v>27.61</c:v>
              </c:pt>
              <c:pt idx="662">
                <c:v>27.59</c:v>
              </c:pt>
              <c:pt idx="663">
                <c:v>26.88</c:v>
              </c:pt>
              <c:pt idx="664">
                <c:v>27.2</c:v>
              </c:pt>
              <c:pt idx="665">
                <c:v>27.68</c:v>
              </c:pt>
              <c:pt idx="666">
                <c:v>27.56</c:v>
              </c:pt>
              <c:pt idx="667">
                <c:v>27.74</c:v>
              </c:pt>
              <c:pt idx="668">
                <c:v>27.43</c:v>
              </c:pt>
              <c:pt idx="669">
                <c:v>27.81</c:v>
              </c:pt>
              <c:pt idx="670">
                <c:v>28.05</c:v>
              </c:pt>
              <c:pt idx="671">
                <c:v>28.01</c:v>
              </c:pt>
              <c:pt idx="672">
                <c:v>27.94</c:v>
              </c:pt>
              <c:pt idx="673">
                <c:v>28.18</c:v>
              </c:pt>
              <c:pt idx="674">
                <c:v>28.25</c:v>
              </c:pt>
              <c:pt idx="675">
                <c:v>28.12</c:v>
              </c:pt>
              <c:pt idx="676">
                <c:v>28.01</c:v>
              </c:pt>
              <c:pt idx="677">
                <c:v>28.06</c:v>
              </c:pt>
              <c:pt idx="678">
                <c:v>27.99</c:v>
              </c:pt>
              <c:pt idx="679">
                <c:v>28.01</c:v>
              </c:pt>
              <c:pt idx="680">
                <c:v>28.03</c:v>
              </c:pt>
              <c:pt idx="681">
                <c:v>28.04</c:v>
              </c:pt>
              <c:pt idx="682">
                <c:v>27.94</c:v>
              </c:pt>
              <c:pt idx="683">
                <c:v>27.88</c:v>
              </c:pt>
              <c:pt idx="684">
                <c:v>28.09</c:v>
              </c:pt>
              <c:pt idx="685">
                <c:v>28.11</c:v>
              </c:pt>
              <c:pt idx="686">
                <c:v>28.01</c:v>
              </c:pt>
              <c:pt idx="687">
                <c:v>27.99</c:v>
              </c:pt>
              <c:pt idx="688">
                <c:v>27.97</c:v>
              </c:pt>
              <c:pt idx="689">
                <c:v>27.99</c:v>
              </c:pt>
              <c:pt idx="690">
                <c:v>28</c:v>
              </c:pt>
              <c:pt idx="691">
                <c:v>28.06</c:v>
              </c:pt>
              <c:pt idx="692">
                <c:v>28.03</c:v>
              </c:pt>
              <c:pt idx="693">
                <c:v>28.06</c:v>
              </c:pt>
              <c:pt idx="694">
                <c:v>28.06</c:v>
              </c:pt>
              <c:pt idx="695">
                <c:v>28.04</c:v>
              </c:pt>
              <c:pt idx="696">
                <c:v>28.17</c:v>
              </c:pt>
              <c:pt idx="697">
                <c:v>28.07</c:v>
              </c:pt>
              <c:pt idx="698">
                <c:v>27.96</c:v>
              </c:pt>
              <c:pt idx="699">
                <c:v>28.04</c:v>
              </c:pt>
              <c:pt idx="700">
                <c:v>28.13</c:v>
              </c:pt>
              <c:pt idx="701">
                <c:v>28.05</c:v>
              </c:pt>
              <c:pt idx="702">
                <c:v>28.14</c:v>
              </c:pt>
              <c:pt idx="703">
                <c:v>28.2</c:v>
              </c:pt>
              <c:pt idx="704">
                <c:v>28.21</c:v>
              </c:pt>
              <c:pt idx="705">
                <c:v>28.24</c:v>
              </c:pt>
              <c:pt idx="706">
                <c:v>28.21</c:v>
              </c:pt>
              <c:pt idx="707">
                <c:v>28.28</c:v>
              </c:pt>
              <c:pt idx="708">
                <c:v>28.34</c:v>
              </c:pt>
              <c:pt idx="709">
                <c:v>28.53</c:v>
              </c:pt>
              <c:pt idx="710">
                <c:v>28.56</c:v>
              </c:pt>
              <c:pt idx="711">
                <c:v>28.56</c:v>
              </c:pt>
              <c:pt idx="712">
                <c:v>28.56</c:v>
              </c:pt>
              <c:pt idx="713">
                <c:v>28.46</c:v>
              </c:pt>
              <c:pt idx="714">
                <c:v>28.52</c:v>
              </c:pt>
              <c:pt idx="715">
                <c:v>28.64</c:v>
              </c:pt>
              <c:pt idx="716">
                <c:v>28.42</c:v>
              </c:pt>
              <c:pt idx="717">
                <c:v>28.4</c:v>
              </c:pt>
              <c:pt idx="718">
                <c:v>28.46</c:v>
              </c:pt>
              <c:pt idx="719">
                <c:v>28.4</c:v>
              </c:pt>
              <c:pt idx="720">
                <c:v>28.48</c:v>
              </c:pt>
              <c:pt idx="721">
                <c:v>28.54</c:v>
              </c:pt>
              <c:pt idx="722">
                <c:v>28.48</c:v>
              </c:pt>
              <c:pt idx="723">
                <c:v>28.42</c:v>
              </c:pt>
              <c:pt idx="724">
                <c:v>28.38</c:v>
              </c:pt>
              <c:pt idx="725">
                <c:v>28.32</c:v>
              </c:pt>
              <c:pt idx="726">
                <c:v>28.45</c:v>
              </c:pt>
              <c:pt idx="727">
                <c:v>28.29</c:v>
              </c:pt>
              <c:pt idx="728">
                <c:v>28.22</c:v>
              </c:pt>
              <c:pt idx="729">
                <c:v>28.17</c:v>
              </c:pt>
              <c:pt idx="730">
                <c:v>28.19</c:v>
              </c:pt>
              <c:pt idx="731">
                <c:v>28.07</c:v>
              </c:pt>
              <c:pt idx="732">
                <c:v>28.1</c:v>
              </c:pt>
              <c:pt idx="733">
                <c:v>28.02</c:v>
              </c:pt>
              <c:pt idx="734">
                <c:v>28.11</c:v>
              </c:pt>
              <c:pt idx="735">
                <c:v>28.11</c:v>
              </c:pt>
              <c:pt idx="736">
                <c:v>28.14</c:v>
              </c:pt>
              <c:pt idx="737">
                <c:v>28.09</c:v>
              </c:pt>
              <c:pt idx="738">
                <c:v>28.09</c:v>
              </c:pt>
              <c:pt idx="739">
                <c:v>28.1</c:v>
              </c:pt>
              <c:pt idx="740">
                <c:v>28.03</c:v>
              </c:pt>
              <c:pt idx="741">
                <c:v>27.99</c:v>
              </c:pt>
              <c:pt idx="742">
                <c:v>27.99</c:v>
              </c:pt>
              <c:pt idx="743">
                <c:v>28</c:v>
              </c:pt>
              <c:pt idx="744">
                <c:v>28.16</c:v>
              </c:pt>
              <c:pt idx="745">
                <c:v>28.2</c:v>
              </c:pt>
              <c:pt idx="746">
                <c:v>28.04</c:v>
              </c:pt>
              <c:pt idx="747">
                <c:v>27.87</c:v>
              </c:pt>
              <c:pt idx="748">
                <c:v>27.9</c:v>
              </c:pt>
              <c:pt idx="749">
                <c:v>27.92</c:v>
              </c:pt>
              <c:pt idx="750">
                <c:v>27.94</c:v>
              </c:pt>
              <c:pt idx="751">
                <c:v>28.05</c:v>
              </c:pt>
              <c:pt idx="752">
                <c:v>28.01</c:v>
              </c:pt>
              <c:pt idx="753">
                <c:v>28.03</c:v>
              </c:pt>
              <c:pt idx="754">
                <c:v>28.14</c:v>
              </c:pt>
              <c:pt idx="755">
                <c:v>28.05</c:v>
              </c:pt>
              <c:pt idx="756">
                <c:v>28</c:v>
              </c:pt>
              <c:pt idx="757">
                <c:v>27.93</c:v>
              </c:pt>
              <c:pt idx="758">
                <c:v>28.04</c:v>
              </c:pt>
              <c:pt idx="759">
                <c:v>28.02</c:v>
              </c:pt>
              <c:pt idx="760">
                <c:v>27.94</c:v>
              </c:pt>
              <c:pt idx="761">
                <c:v>27.9</c:v>
              </c:pt>
              <c:pt idx="762">
                <c:v>27.91</c:v>
              </c:pt>
              <c:pt idx="763">
                <c:v>27.82</c:v>
              </c:pt>
              <c:pt idx="764">
                <c:v>27.72</c:v>
              </c:pt>
              <c:pt idx="765">
                <c:v>27.7</c:v>
              </c:pt>
              <c:pt idx="766">
                <c:v>27.65</c:v>
              </c:pt>
              <c:pt idx="767">
                <c:v>27.67</c:v>
              </c:pt>
              <c:pt idx="768">
                <c:v>27.83</c:v>
              </c:pt>
              <c:pt idx="769">
                <c:v>27.86</c:v>
              </c:pt>
              <c:pt idx="770">
                <c:v>27.78</c:v>
              </c:pt>
              <c:pt idx="771">
                <c:v>27.7</c:v>
              </c:pt>
              <c:pt idx="772">
                <c:v>27.49</c:v>
              </c:pt>
              <c:pt idx="773">
                <c:v>27.51</c:v>
              </c:pt>
              <c:pt idx="774">
                <c:v>27.52</c:v>
              </c:pt>
              <c:pt idx="775">
                <c:v>27.55</c:v>
              </c:pt>
              <c:pt idx="776">
                <c:v>27.51</c:v>
              </c:pt>
              <c:pt idx="777">
                <c:v>27.44</c:v>
              </c:pt>
              <c:pt idx="778">
                <c:v>27.4</c:v>
              </c:pt>
              <c:pt idx="779">
                <c:v>27.39</c:v>
              </c:pt>
              <c:pt idx="780">
                <c:v>27.39</c:v>
              </c:pt>
              <c:pt idx="781">
                <c:v>27.47</c:v>
              </c:pt>
              <c:pt idx="782">
                <c:v>27.42</c:v>
              </c:pt>
              <c:pt idx="783">
                <c:v>27.39</c:v>
              </c:pt>
              <c:pt idx="784">
                <c:v>27.34</c:v>
              </c:pt>
              <c:pt idx="785">
                <c:v>27.4</c:v>
              </c:pt>
              <c:pt idx="786">
                <c:v>27.33</c:v>
              </c:pt>
              <c:pt idx="787">
                <c:v>27.3</c:v>
              </c:pt>
              <c:pt idx="788">
                <c:v>27.35</c:v>
              </c:pt>
              <c:pt idx="789">
                <c:v>27.24</c:v>
              </c:pt>
              <c:pt idx="790">
                <c:v>27.22</c:v>
              </c:pt>
              <c:pt idx="791">
                <c:v>27.23</c:v>
              </c:pt>
              <c:pt idx="792">
                <c:v>27.19</c:v>
              </c:pt>
              <c:pt idx="793">
                <c:v>27.08</c:v>
              </c:pt>
              <c:pt idx="794">
                <c:v>27.01</c:v>
              </c:pt>
              <c:pt idx="795">
                <c:v>26.97</c:v>
              </c:pt>
              <c:pt idx="796">
                <c:v>27.08</c:v>
              </c:pt>
              <c:pt idx="797">
                <c:v>27.13</c:v>
              </c:pt>
              <c:pt idx="798">
                <c:v>27.09</c:v>
              </c:pt>
              <c:pt idx="799">
                <c:v>26.99</c:v>
              </c:pt>
              <c:pt idx="800">
                <c:v>27</c:v>
              </c:pt>
              <c:pt idx="801">
                <c:v>26.99</c:v>
              </c:pt>
              <c:pt idx="802">
                <c:v>27.04</c:v>
              </c:pt>
              <c:pt idx="803">
                <c:v>27.06</c:v>
              </c:pt>
              <c:pt idx="804">
                <c:v>27.04</c:v>
              </c:pt>
              <c:pt idx="805">
                <c:v>27.15</c:v>
              </c:pt>
              <c:pt idx="806">
                <c:v>27.1</c:v>
              </c:pt>
              <c:pt idx="807">
                <c:v>27.12</c:v>
              </c:pt>
              <c:pt idx="808">
                <c:v>27.11</c:v>
              </c:pt>
              <c:pt idx="809">
                <c:v>27.2</c:v>
              </c:pt>
              <c:pt idx="810">
                <c:v>27.23</c:v>
              </c:pt>
              <c:pt idx="811">
                <c:v>27.39</c:v>
              </c:pt>
              <c:pt idx="812">
                <c:v>27.39</c:v>
              </c:pt>
              <c:pt idx="813">
                <c:v>27.48</c:v>
              </c:pt>
              <c:pt idx="814">
                <c:v>27.42</c:v>
              </c:pt>
              <c:pt idx="815">
                <c:v>27.56</c:v>
              </c:pt>
              <c:pt idx="816">
                <c:v>27.55</c:v>
              </c:pt>
              <c:pt idx="817">
                <c:v>27.51</c:v>
              </c:pt>
              <c:pt idx="818">
                <c:v>27.63</c:v>
              </c:pt>
              <c:pt idx="819">
                <c:v>27.57</c:v>
              </c:pt>
              <c:pt idx="820">
                <c:v>27.62</c:v>
              </c:pt>
              <c:pt idx="821">
                <c:v>27.6</c:v>
              </c:pt>
              <c:pt idx="822">
                <c:v>27.61</c:v>
              </c:pt>
              <c:pt idx="823">
                <c:v>27.59</c:v>
              </c:pt>
              <c:pt idx="824">
                <c:v>27.64</c:v>
              </c:pt>
              <c:pt idx="825">
                <c:v>27.63</c:v>
              </c:pt>
              <c:pt idx="826">
                <c:v>27.62</c:v>
              </c:pt>
              <c:pt idx="827">
                <c:v>27.42</c:v>
              </c:pt>
              <c:pt idx="828">
                <c:v>27.5</c:v>
              </c:pt>
              <c:pt idx="829">
                <c:v>27.46</c:v>
              </c:pt>
              <c:pt idx="830">
                <c:v>27.5</c:v>
              </c:pt>
              <c:pt idx="831">
                <c:v>27.58</c:v>
              </c:pt>
              <c:pt idx="832">
                <c:v>27.6</c:v>
              </c:pt>
              <c:pt idx="833">
                <c:v>27.72</c:v>
              </c:pt>
              <c:pt idx="834">
                <c:v>27.83</c:v>
              </c:pt>
              <c:pt idx="835">
                <c:v>27.79</c:v>
              </c:pt>
              <c:pt idx="836">
                <c:v>27.75</c:v>
              </c:pt>
              <c:pt idx="837">
                <c:v>27.74</c:v>
              </c:pt>
              <c:pt idx="838">
                <c:v>27.85</c:v>
              </c:pt>
              <c:pt idx="839">
                <c:v>28</c:v>
              </c:pt>
              <c:pt idx="840">
                <c:v>27.97</c:v>
              </c:pt>
              <c:pt idx="841">
                <c:v>27.93</c:v>
              </c:pt>
              <c:pt idx="842">
                <c:v>28.01</c:v>
              </c:pt>
              <c:pt idx="843">
                <c:v>28.19</c:v>
              </c:pt>
              <c:pt idx="844">
                <c:v>28.2</c:v>
              </c:pt>
              <c:pt idx="845">
                <c:v>28.11</c:v>
              </c:pt>
              <c:pt idx="846">
                <c:v>28.04</c:v>
              </c:pt>
              <c:pt idx="847">
                <c:v>28</c:v>
              </c:pt>
              <c:pt idx="848">
                <c:v>28</c:v>
              </c:pt>
              <c:pt idx="849">
                <c:v>28.03</c:v>
              </c:pt>
              <c:pt idx="850">
                <c:v>28.08</c:v>
              </c:pt>
              <c:pt idx="851">
                <c:v>28.15</c:v>
              </c:pt>
              <c:pt idx="852">
                <c:v>28.3</c:v>
              </c:pt>
              <c:pt idx="853">
                <c:v>28.29</c:v>
              </c:pt>
              <c:pt idx="854">
                <c:v>28.22</c:v>
              </c:pt>
              <c:pt idx="855">
                <c:v>28.19</c:v>
              </c:pt>
              <c:pt idx="856">
                <c:v>28.14</c:v>
              </c:pt>
              <c:pt idx="857">
                <c:v>28.13</c:v>
              </c:pt>
              <c:pt idx="858">
                <c:v>28.1</c:v>
              </c:pt>
              <c:pt idx="859">
                <c:v>28.03</c:v>
              </c:pt>
              <c:pt idx="860">
                <c:v>27.93</c:v>
              </c:pt>
              <c:pt idx="861">
                <c:v>27.71</c:v>
              </c:pt>
              <c:pt idx="862">
                <c:v>27.68</c:v>
              </c:pt>
              <c:pt idx="863">
                <c:v>27.64</c:v>
              </c:pt>
              <c:pt idx="864">
                <c:v>27.54</c:v>
              </c:pt>
              <c:pt idx="865">
                <c:v>27.55</c:v>
              </c:pt>
              <c:pt idx="866">
                <c:v>27.52</c:v>
              </c:pt>
              <c:pt idx="867">
                <c:v>27.37</c:v>
              </c:pt>
              <c:pt idx="868">
                <c:v>27.38</c:v>
              </c:pt>
              <c:pt idx="869">
                <c:v>27.27</c:v>
              </c:pt>
              <c:pt idx="870">
                <c:v>27.21</c:v>
              </c:pt>
              <c:pt idx="871">
                <c:v>27.21</c:v>
              </c:pt>
              <c:pt idx="872">
                <c:v>27.2</c:v>
              </c:pt>
              <c:pt idx="873">
                <c:v>27.22</c:v>
              </c:pt>
              <c:pt idx="874">
                <c:v>27.19</c:v>
              </c:pt>
              <c:pt idx="875">
                <c:v>27.15</c:v>
              </c:pt>
              <c:pt idx="876">
                <c:v>27.18</c:v>
              </c:pt>
              <c:pt idx="877">
                <c:v>27.22</c:v>
              </c:pt>
              <c:pt idx="878">
                <c:v>27.25</c:v>
              </c:pt>
              <c:pt idx="879">
                <c:v>27.29</c:v>
              </c:pt>
              <c:pt idx="880">
                <c:v>27.22</c:v>
              </c:pt>
              <c:pt idx="881">
                <c:v>27.26</c:v>
              </c:pt>
              <c:pt idx="882">
                <c:v>27.22</c:v>
              </c:pt>
              <c:pt idx="883">
                <c:v>27.39</c:v>
              </c:pt>
              <c:pt idx="884">
                <c:v>27.22</c:v>
              </c:pt>
              <c:pt idx="885">
                <c:v>27.16</c:v>
              </c:pt>
              <c:pt idx="886">
                <c:v>27.13</c:v>
              </c:pt>
              <c:pt idx="887">
                <c:v>27.09</c:v>
              </c:pt>
              <c:pt idx="888">
                <c:v>27.23</c:v>
              </c:pt>
              <c:pt idx="889">
                <c:v>27.16</c:v>
              </c:pt>
              <c:pt idx="890">
                <c:v>27.1</c:v>
              </c:pt>
              <c:pt idx="891">
                <c:v>27.04</c:v>
              </c:pt>
              <c:pt idx="892">
                <c:v>27</c:v>
              </c:pt>
              <c:pt idx="893">
                <c:v>26.95</c:v>
              </c:pt>
              <c:pt idx="894">
                <c:v>27.02</c:v>
              </c:pt>
              <c:pt idx="895">
                <c:v>26.97</c:v>
              </c:pt>
              <c:pt idx="896">
                <c:v>27.02</c:v>
              </c:pt>
              <c:pt idx="897">
                <c:v>27</c:v>
              </c:pt>
              <c:pt idx="898">
                <c:v>26.93</c:v>
              </c:pt>
              <c:pt idx="899">
                <c:v>26.93</c:v>
              </c:pt>
              <c:pt idx="900">
                <c:v>26.88</c:v>
              </c:pt>
              <c:pt idx="901">
                <c:v>26.93</c:v>
              </c:pt>
              <c:pt idx="902">
                <c:v>27.01</c:v>
              </c:pt>
              <c:pt idx="903">
                <c:v>26.98</c:v>
              </c:pt>
              <c:pt idx="904">
                <c:v>26.95</c:v>
              </c:pt>
              <c:pt idx="905">
                <c:v>26.96</c:v>
              </c:pt>
              <c:pt idx="906">
                <c:v>26.98</c:v>
              </c:pt>
              <c:pt idx="907">
                <c:v>26.97</c:v>
              </c:pt>
              <c:pt idx="908">
                <c:v>27.03</c:v>
              </c:pt>
              <c:pt idx="909">
                <c:v>26.98</c:v>
              </c:pt>
              <c:pt idx="910">
                <c:v>26.93</c:v>
              </c:pt>
              <c:pt idx="911">
                <c:v>26.82</c:v>
              </c:pt>
              <c:pt idx="912">
                <c:v>26.82</c:v>
              </c:pt>
              <c:pt idx="913">
                <c:v>26.81</c:v>
              </c:pt>
              <c:pt idx="914">
                <c:v>26.88</c:v>
              </c:pt>
              <c:pt idx="915">
                <c:v>26.77</c:v>
              </c:pt>
              <c:pt idx="916">
                <c:v>26.78</c:v>
              </c:pt>
              <c:pt idx="917">
                <c:v>26.9</c:v>
              </c:pt>
              <c:pt idx="918">
                <c:v>26.9</c:v>
              </c:pt>
              <c:pt idx="919">
                <c:v>26.83</c:v>
              </c:pt>
              <c:pt idx="920">
                <c:v>26.8</c:v>
              </c:pt>
              <c:pt idx="921">
                <c:v>26.71</c:v>
              </c:pt>
              <c:pt idx="922">
                <c:v>26.72</c:v>
              </c:pt>
              <c:pt idx="923">
                <c:v>26.74</c:v>
              </c:pt>
              <c:pt idx="924">
                <c:v>26.79</c:v>
              </c:pt>
              <c:pt idx="925">
                <c:v>26.88</c:v>
              </c:pt>
              <c:pt idx="926">
                <c:v>26.91</c:v>
              </c:pt>
              <c:pt idx="927">
                <c:v>26.86</c:v>
              </c:pt>
              <c:pt idx="928">
                <c:v>26.83</c:v>
              </c:pt>
              <c:pt idx="929">
                <c:v>26.72</c:v>
              </c:pt>
              <c:pt idx="930">
                <c:v>26.76</c:v>
              </c:pt>
              <c:pt idx="931">
                <c:v>26.84</c:v>
              </c:pt>
              <c:pt idx="932">
                <c:v>26.78</c:v>
              </c:pt>
              <c:pt idx="933">
                <c:v>26.83</c:v>
              </c:pt>
              <c:pt idx="934">
                <c:v>26.84</c:v>
              </c:pt>
              <c:pt idx="935">
                <c:v>26.91</c:v>
              </c:pt>
              <c:pt idx="936">
                <c:v>26.85</c:v>
              </c:pt>
              <c:pt idx="937">
                <c:v>26.84</c:v>
              </c:pt>
              <c:pt idx="938">
                <c:v>26.89</c:v>
              </c:pt>
              <c:pt idx="939">
                <c:v>26.91</c:v>
              </c:pt>
              <c:pt idx="940">
                <c:v>26.91</c:v>
              </c:pt>
              <c:pt idx="941">
                <c:v>26.88</c:v>
              </c:pt>
              <c:pt idx="942">
                <c:v>26.89</c:v>
              </c:pt>
              <c:pt idx="943">
                <c:v>26.88</c:v>
              </c:pt>
              <c:pt idx="944">
                <c:v>26.85</c:v>
              </c:pt>
              <c:pt idx="945">
                <c:v>26.86</c:v>
              </c:pt>
              <c:pt idx="946">
                <c:v>26.88</c:v>
              </c:pt>
              <c:pt idx="947">
                <c:v>26.9</c:v>
              </c:pt>
              <c:pt idx="948">
                <c:v>26.96</c:v>
              </c:pt>
              <c:pt idx="949">
                <c:v>26.95</c:v>
              </c:pt>
              <c:pt idx="950">
                <c:v>26.96</c:v>
              </c:pt>
              <c:pt idx="951">
                <c:v>26.95</c:v>
              </c:pt>
              <c:pt idx="952">
                <c:v>26.94</c:v>
              </c:pt>
              <c:pt idx="953">
                <c:v>26.97</c:v>
              </c:pt>
              <c:pt idx="954">
                <c:v>27</c:v>
              </c:pt>
              <c:pt idx="955">
                <c:v>27.04</c:v>
              </c:pt>
              <c:pt idx="956">
                <c:v>27.09</c:v>
              </c:pt>
              <c:pt idx="957">
                <c:v>27.11</c:v>
              </c:pt>
              <c:pt idx="958">
                <c:v>27.16</c:v>
              </c:pt>
              <c:pt idx="959">
                <c:v>27.19</c:v>
              </c:pt>
              <c:pt idx="960">
                <c:v>27.23</c:v>
              </c:pt>
              <c:pt idx="961">
                <c:v>27.28</c:v>
              </c:pt>
              <c:pt idx="962">
                <c:v>27.32</c:v>
              </c:pt>
              <c:pt idx="963">
                <c:v>27.42</c:v>
              </c:pt>
              <c:pt idx="964">
                <c:v>27.46</c:v>
              </c:pt>
              <c:pt idx="965">
                <c:v>27.5</c:v>
              </c:pt>
              <c:pt idx="966">
                <c:v>27.59</c:v>
              </c:pt>
              <c:pt idx="967">
                <c:v>27.64</c:v>
              </c:pt>
              <c:pt idx="968">
                <c:v>27.73</c:v>
              </c:pt>
              <c:pt idx="969">
                <c:v>27.82</c:v>
              </c:pt>
              <c:pt idx="970">
                <c:v>27.87</c:v>
              </c:pt>
              <c:pt idx="971">
                <c:v>27.9</c:v>
              </c:pt>
              <c:pt idx="972">
                <c:v>27.92</c:v>
              </c:pt>
              <c:pt idx="973">
                <c:v>27.97</c:v>
              </c:pt>
              <c:pt idx="974">
                <c:v>27.98</c:v>
              </c:pt>
              <c:pt idx="975">
                <c:v>27.99</c:v>
              </c:pt>
              <c:pt idx="976">
                <c:v>28.02</c:v>
              </c:pt>
              <c:pt idx="977">
                <c:v>27.97</c:v>
              </c:pt>
              <c:pt idx="978">
                <c:v>28.02</c:v>
              </c:pt>
              <c:pt idx="979">
                <c:v>28</c:v>
              </c:pt>
              <c:pt idx="980">
                <c:v>28.03</c:v>
              </c:pt>
              <c:pt idx="981">
                <c:v>28.06</c:v>
              </c:pt>
              <c:pt idx="982">
                <c:v>28.07</c:v>
              </c:pt>
              <c:pt idx="983">
                <c:v>28.09</c:v>
              </c:pt>
              <c:pt idx="984">
                <c:v>28.06</c:v>
              </c:pt>
              <c:pt idx="985">
                <c:v>28.11</c:v>
              </c:pt>
              <c:pt idx="986">
                <c:v>28.13</c:v>
              </c:pt>
              <c:pt idx="987">
                <c:v>28.19</c:v>
              </c:pt>
              <c:pt idx="988">
                <c:v>28.17</c:v>
              </c:pt>
              <c:pt idx="989">
                <c:v>28.18</c:v>
              </c:pt>
              <c:pt idx="990">
                <c:v>28.2</c:v>
              </c:pt>
              <c:pt idx="991">
                <c:v>28.22</c:v>
              </c:pt>
              <c:pt idx="992">
                <c:v>28.23</c:v>
              </c:pt>
              <c:pt idx="993">
                <c:v>28.25</c:v>
              </c:pt>
              <c:pt idx="994">
                <c:v>28.29</c:v>
              </c:pt>
              <c:pt idx="995">
                <c:v>28.33</c:v>
              </c:pt>
              <c:pt idx="996">
                <c:v>28.4</c:v>
              </c:pt>
              <c:pt idx="997">
                <c:v>28.45</c:v>
              </c:pt>
              <c:pt idx="998">
                <c:v>28.4</c:v>
              </c:pt>
              <c:pt idx="999">
                <c:v>28.42</c:v>
              </c:pt>
              <c:pt idx="1000">
                <c:v>28.43</c:v>
              </c:pt>
              <c:pt idx="1001">
                <c:v>28.37</c:v>
              </c:pt>
              <c:pt idx="1002">
                <c:v>28.43</c:v>
              </c:pt>
              <c:pt idx="1003">
                <c:v>28.5</c:v>
              </c:pt>
              <c:pt idx="1004">
                <c:v>28.54</c:v>
              </c:pt>
              <c:pt idx="1005">
                <c:v>28.54</c:v>
              </c:pt>
              <c:pt idx="1006">
                <c:v>28.51</c:v>
              </c:pt>
              <c:pt idx="1007">
                <c:v>28.53</c:v>
              </c:pt>
              <c:pt idx="1008">
                <c:v>28.45</c:v>
              </c:pt>
              <c:pt idx="1009">
                <c:v>28.39</c:v>
              </c:pt>
              <c:pt idx="1010">
                <c:v>28.45</c:v>
              </c:pt>
              <c:pt idx="1011">
                <c:v>28.44</c:v>
              </c:pt>
              <c:pt idx="1012">
                <c:v>28.42</c:v>
              </c:pt>
              <c:pt idx="1013">
                <c:v>28.43</c:v>
              </c:pt>
              <c:pt idx="1014">
                <c:v>28.34</c:v>
              </c:pt>
              <c:pt idx="1015">
                <c:v>28.36</c:v>
              </c:pt>
              <c:pt idx="1016">
                <c:v>28.29</c:v>
              </c:pt>
              <c:pt idx="1017">
                <c:v>28.26</c:v>
              </c:pt>
              <c:pt idx="1018">
                <c:v>28.22</c:v>
              </c:pt>
              <c:pt idx="1019">
                <c:v>28.23</c:v>
              </c:pt>
              <c:pt idx="1020">
                <c:v>28.26</c:v>
              </c:pt>
              <c:pt idx="1021">
                <c:v>28.23</c:v>
              </c:pt>
              <c:pt idx="1022">
                <c:v>28.23</c:v>
              </c:pt>
              <c:pt idx="1023">
                <c:v>28.23</c:v>
              </c:pt>
              <c:pt idx="1024">
                <c:v>28.18</c:v>
              </c:pt>
              <c:pt idx="1025">
                <c:v>28.16</c:v>
              </c:pt>
              <c:pt idx="1026">
                <c:v>28.14</c:v>
              </c:pt>
              <c:pt idx="1027">
                <c:v>28.17</c:v>
              </c:pt>
              <c:pt idx="1028">
                <c:v>28.11</c:v>
              </c:pt>
              <c:pt idx="1029">
                <c:v>28.03</c:v>
              </c:pt>
              <c:pt idx="1030">
                <c:v>27.99</c:v>
              </c:pt>
              <c:pt idx="1031">
                <c:v>27.94</c:v>
              </c:pt>
              <c:pt idx="1032">
                <c:v>27.9</c:v>
              </c:pt>
              <c:pt idx="1033">
                <c:v>27.91</c:v>
              </c:pt>
              <c:pt idx="1034">
                <c:v>27.9</c:v>
              </c:pt>
              <c:pt idx="1035">
                <c:v>27.9</c:v>
              </c:pt>
              <c:pt idx="1036">
                <c:v>27.93</c:v>
              </c:pt>
              <c:pt idx="1037">
                <c:v>27.92</c:v>
              </c:pt>
              <c:pt idx="1038">
                <c:v>27.98</c:v>
              </c:pt>
              <c:pt idx="1039">
                <c:v>28.01</c:v>
              </c:pt>
              <c:pt idx="1040">
                <c:v>28.05</c:v>
              </c:pt>
              <c:pt idx="1041">
                <c:v>27.98</c:v>
              </c:pt>
              <c:pt idx="1042">
                <c:v>27.98</c:v>
              </c:pt>
              <c:pt idx="1043">
                <c:v>28</c:v>
              </c:pt>
              <c:pt idx="1044">
                <c:v>28.03</c:v>
              </c:pt>
              <c:pt idx="1045">
                <c:v>28.1</c:v>
              </c:pt>
              <c:pt idx="1046">
                <c:v>28.09</c:v>
              </c:pt>
              <c:pt idx="1047">
                <c:v>28.14</c:v>
              </c:pt>
              <c:pt idx="1048">
                <c:v>28.18</c:v>
              </c:pt>
              <c:pt idx="1049">
                <c:v>28.22</c:v>
              </c:pt>
              <c:pt idx="1050">
                <c:v>28.27</c:v>
              </c:pt>
              <c:pt idx="1051">
                <c:v>28.33</c:v>
              </c:pt>
              <c:pt idx="1052">
                <c:v>28.33</c:v>
              </c:pt>
              <c:pt idx="1053">
                <c:v>28.32</c:v>
              </c:pt>
              <c:pt idx="1054">
                <c:v>28.33</c:v>
              </c:pt>
              <c:pt idx="1055">
                <c:v>28.31</c:v>
              </c:pt>
              <c:pt idx="1056">
                <c:v>28.28</c:v>
              </c:pt>
              <c:pt idx="1057">
                <c:v>28.17</c:v>
              </c:pt>
              <c:pt idx="1058">
                <c:v>28.16</c:v>
              </c:pt>
              <c:pt idx="1059">
                <c:v>28.13</c:v>
              </c:pt>
              <c:pt idx="1060">
                <c:v>28.16</c:v>
              </c:pt>
              <c:pt idx="1061">
                <c:v>28.17</c:v>
              </c:pt>
              <c:pt idx="1062">
                <c:v>28.19</c:v>
              </c:pt>
              <c:pt idx="1063">
                <c:v>28.2</c:v>
              </c:pt>
              <c:pt idx="1064">
                <c:v>28.24</c:v>
              </c:pt>
              <c:pt idx="1065">
                <c:v>28.28</c:v>
              </c:pt>
              <c:pt idx="1066">
                <c:v>28.32</c:v>
              </c:pt>
              <c:pt idx="1067">
                <c:v>28.39</c:v>
              </c:pt>
              <c:pt idx="1068">
                <c:v>28.48</c:v>
              </c:pt>
              <c:pt idx="1069">
                <c:v>28.51</c:v>
              </c:pt>
              <c:pt idx="1070">
                <c:v>28.51</c:v>
              </c:pt>
              <c:pt idx="1071">
                <c:v>28.53</c:v>
              </c:pt>
              <c:pt idx="1072">
                <c:v>28.57</c:v>
              </c:pt>
              <c:pt idx="1073">
                <c:v>28.53</c:v>
              </c:pt>
              <c:pt idx="1074">
                <c:v>28.51</c:v>
              </c:pt>
              <c:pt idx="1075">
                <c:v>28.49</c:v>
              </c:pt>
              <c:pt idx="1076">
                <c:v>28.54</c:v>
              </c:pt>
              <c:pt idx="1077">
                <c:v>28.55</c:v>
              </c:pt>
              <c:pt idx="1078">
                <c:v>28.57</c:v>
              </c:pt>
              <c:pt idx="1079">
                <c:v>28.59</c:v>
              </c:pt>
              <c:pt idx="1080">
                <c:v>28.57</c:v>
              </c:pt>
              <c:pt idx="1081">
                <c:v>28.54</c:v>
              </c:pt>
              <c:pt idx="1082">
                <c:v>28.52</c:v>
              </c:pt>
              <c:pt idx="1083">
                <c:v>28.5</c:v>
              </c:pt>
              <c:pt idx="1084">
                <c:v>28.5</c:v>
              </c:pt>
              <c:pt idx="1085">
                <c:v>28.51</c:v>
              </c:pt>
              <c:pt idx="1086">
                <c:v>28.5</c:v>
              </c:pt>
              <c:pt idx="1087">
                <c:v>28.51</c:v>
              </c:pt>
              <c:pt idx="1088">
                <c:v>28.47</c:v>
              </c:pt>
              <c:pt idx="1089">
                <c:v>28.45</c:v>
              </c:pt>
              <c:pt idx="1090">
                <c:v>28.45</c:v>
              </c:pt>
              <c:pt idx="1091">
                <c:v>28.37</c:v>
              </c:pt>
              <c:pt idx="1092">
                <c:v>28.31</c:v>
              </c:pt>
              <c:pt idx="1093">
                <c:v>28.28</c:v>
              </c:pt>
              <c:pt idx="1094">
                <c:v>28.27</c:v>
              </c:pt>
              <c:pt idx="1095">
                <c:v>28.23</c:v>
              </c:pt>
              <c:pt idx="1096">
                <c:v>28.17</c:v>
              </c:pt>
              <c:pt idx="1097">
                <c:v>28.14</c:v>
              </c:pt>
              <c:pt idx="1098">
                <c:v>28.16</c:v>
              </c:pt>
              <c:pt idx="1099">
                <c:v>28.15</c:v>
              </c:pt>
              <c:pt idx="1100">
                <c:v>28.14</c:v>
              </c:pt>
              <c:pt idx="1101">
                <c:v>28.12</c:v>
              </c:pt>
              <c:pt idx="1102">
                <c:v>28.11</c:v>
              </c:pt>
              <c:pt idx="1103">
                <c:v>28.07</c:v>
              </c:pt>
              <c:pt idx="1104">
                <c:v>28.05</c:v>
              </c:pt>
              <c:pt idx="1105">
                <c:v>28.09</c:v>
              </c:pt>
              <c:pt idx="1106">
                <c:v>28.08</c:v>
              </c:pt>
              <c:pt idx="1107">
                <c:v>28.08</c:v>
              </c:pt>
              <c:pt idx="1108">
                <c:v>28.07</c:v>
              </c:pt>
              <c:pt idx="1109">
                <c:v>28.05</c:v>
              </c:pt>
              <c:pt idx="1110">
                <c:v>28.09</c:v>
              </c:pt>
              <c:pt idx="1111">
                <c:v>28.13</c:v>
              </c:pt>
              <c:pt idx="1112">
                <c:v>28.16</c:v>
              </c:pt>
              <c:pt idx="1113">
                <c:v>28.14</c:v>
              </c:pt>
              <c:pt idx="1114">
                <c:v>28.14</c:v>
              </c:pt>
              <c:pt idx="1115">
                <c:v>28.13</c:v>
              </c:pt>
              <c:pt idx="1116">
                <c:v>28.13</c:v>
              </c:pt>
              <c:pt idx="1117">
                <c:v>28.11</c:v>
              </c:pt>
              <c:pt idx="1118">
                <c:v>28.09</c:v>
              </c:pt>
              <c:pt idx="1119">
                <c:v>28.1</c:v>
              </c:pt>
              <c:pt idx="1120">
                <c:v>28.1</c:v>
              </c:pt>
              <c:pt idx="1121">
                <c:v>28.11</c:v>
              </c:pt>
              <c:pt idx="1122">
                <c:v>28.17</c:v>
              </c:pt>
              <c:pt idx="1123">
                <c:v>28.17</c:v>
              </c:pt>
              <c:pt idx="1124">
                <c:v>28.21</c:v>
              </c:pt>
              <c:pt idx="1125">
                <c:v>28.17</c:v>
              </c:pt>
              <c:pt idx="1126">
                <c:v>28.16</c:v>
              </c:pt>
              <c:pt idx="1127">
                <c:v>28.15</c:v>
              </c:pt>
              <c:pt idx="1128">
                <c:v>28.11</c:v>
              </c:pt>
              <c:pt idx="1129">
                <c:v>28.11</c:v>
              </c:pt>
              <c:pt idx="1130">
                <c:v>28.12</c:v>
              </c:pt>
              <c:pt idx="1131">
                <c:v>28.13</c:v>
              </c:pt>
              <c:pt idx="1132">
                <c:v>28.17</c:v>
              </c:pt>
              <c:pt idx="1133">
                <c:v>28.14</c:v>
              </c:pt>
              <c:pt idx="1134">
                <c:v>28.13</c:v>
              </c:pt>
              <c:pt idx="1135">
                <c:v>28.12</c:v>
              </c:pt>
              <c:pt idx="1136">
                <c:v>28.09</c:v>
              </c:pt>
              <c:pt idx="1137">
                <c:v>28.07</c:v>
              </c:pt>
              <c:pt idx="1138">
                <c:v>28.06</c:v>
              </c:pt>
              <c:pt idx="1139">
                <c:v>28.05</c:v>
              </c:pt>
              <c:pt idx="1140">
                <c:v>28.05</c:v>
              </c:pt>
              <c:pt idx="1141">
                <c:v>28.03</c:v>
              </c:pt>
              <c:pt idx="1142">
                <c:v>28</c:v>
              </c:pt>
              <c:pt idx="1143">
                <c:v>28.01</c:v>
              </c:pt>
              <c:pt idx="1144">
                <c:v>28.01</c:v>
              </c:pt>
              <c:pt idx="1145">
                <c:v>27.99</c:v>
              </c:pt>
              <c:pt idx="1146">
                <c:v>27.99</c:v>
              </c:pt>
              <c:pt idx="1147">
                <c:v>27.98</c:v>
              </c:pt>
              <c:pt idx="1148">
                <c:v>27.97</c:v>
              </c:pt>
              <c:pt idx="1149">
                <c:v>27.95</c:v>
              </c:pt>
              <c:pt idx="1150">
                <c:v>27.94</c:v>
              </c:pt>
              <c:pt idx="1151">
                <c:v>27.94</c:v>
              </c:pt>
              <c:pt idx="1152">
                <c:v>27.93</c:v>
              </c:pt>
              <c:pt idx="1153">
                <c:v>27.94</c:v>
              </c:pt>
              <c:pt idx="1154">
                <c:v>27.92</c:v>
              </c:pt>
              <c:pt idx="1155">
                <c:v>27.9</c:v>
              </c:pt>
              <c:pt idx="1156">
                <c:v>27.89</c:v>
              </c:pt>
              <c:pt idx="1157">
                <c:v>27.93</c:v>
              </c:pt>
              <c:pt idx="1158">
                <c:v>27.9</c:v>
              </c:pt>
              <c:pt idx="1159">
                <c:v>27.87</c:v>
              </c:pt>
              <c:pt idx="1160">
                <c:v>27.86</c:v>
              </c:pt>
              <c:pt idx="1161">
                <c:v>27.85</c:v>
              </c:pt>
              <c:pt idx="1162">
                <c:v>27.85</c:v>
              </c:pt>
              <c:pt idx="1163">
                <c:v>27.81</c:v>
              </c:pt>
              <c:pt idx="1164">
                <c:v>27.81</c:v>
              </c:pt>
              <c:pt idx="1165">
                <c:v>27.82</c:v>
              </c:pt>
              <c:pt idx="1166">
                <c:v>27.82</c:v>
              </c:pt>
              <c:pt idx="1167">
                <c:v>27.81</c:v>
              </c:pt>
              <c:pt idx="1168">
                <c:v>27.81</c:v>
              </c:pt>
              <c:pt idx="1169">
                <c:v>27.81</c:v>
              </c:pt>
              <c:pt idx="1170">
                <c:v>27.83</c:v>
              </c:pt>
              <c:pt idx="1171">
                <c:v>27.83</c:v>
              </c:pt>
              <c:pt idx="1172">
                <c:v>27.86</c:v>
              </c:pt>
              <c:pt idx="1173">
                <c:v>27.86</c:v>
              </c:pt>
              <c:pt idx="1174">
                <c:v>27.88</c:v>
              </c:pt>
              <c:pt idx="1175">
                <c:v>27.86</c:v>
              </c:pt>
              <c:pt idx="1176">
                <c:v>27.83</c:v>
              </c:pt>
              <c:pt idx="1177">
                <c:v>27.86</c:v>
              </c:pt>
              <c:pt idx="1178">
                <c:v>27.85</c:v>
              </c:pt>
              <c:pt idx="1179">
                <c:v>27.85</c:v>
              </c:pt>
              <c:pt idx="1180">
                <c:v>27.84</c:v>
              </c:pt>
              <c:pt idx="1181">
                <c:v>27.86</c:v>
              </c:pt>
              <c:pt idx="1182">
                <c:v>27.87</c:v>
              </c:pt>
              <c:pt idx="1183">
                <c:v>27.86</c:v>
              </c:pt>
              <c:pt idx="1184">
                <c:v>27.84</c:v>
              </c:pt>
              <c:pt idx="1185">
                <c:v>27.81</c:v>
              </c:pt>
              <c:pt idx="1186">
                <c:v>27.82</c:v>
              </c:pt>
              <c:pt idx="1187">
                <c:v>27.82</c:v>
              </c:pt>
              <c:pt idx="1188">
                <c:v>27.83</c:v>
              </c:pt>
              <c:pt idx="1189">
                <c:v>27.82</c:v>
              </c:pt>
              <c:pt idx="1190">
                <c:v>27.81</c:v>
              </c:pt>
              <c:pt idx="1191">
                <c:v>27.78</c:v>
              </c:pt>
              <c:pt idx="1192">
                <c:v>27.79</c:v>
              </c:pt>
              <c:pt idx="1193">
                <c:v>27.78</c:v>
              </c:pt>
              <c:pt idx="1194">
                <c:v>27.8</c:v>
              </c:pt>
              <c:pt idx="1195">
                <c:v>27.77</c:v>
              </c:pt>
              <c:pt idx="1196">
                <c:v>27.8</c:v>
              </c:pt>
              <c:pt idx="1197">
                <c:v>27.76</c:v>
              </c:pt>
              <c:pt idx="1198">
                <c:v>27.74</c:v>
              </c:pt>
              <c:pt idx="1199">
                <c:v>27.77</c:v>
              </c:pt>
              <c:pt idx="1200">
                <c:v>27.74</c:v>
              </c:pt>
              <c:pt idx="1201">
                <c:v>27.74</c:v>
              </c:pt>
              <c:pt idx="1202">
                <c:v>27.74</c:v>
              </c:pt>
              <c:pt idx="1203">
                <c:v>27.71</c:v>
              </c:pt>
              <c:pt idx="1204">
                <c:v>27.74</c:v>
              </c:pt>
              <c:pt idx="1205">
                <c:v>27.73</c:v>
              </c:pt>
              <c:pt idx="1206">
                <c:v>27.74</c:v>
              </c:pt>
              <c:pt idx="1207">
                <c:v>27.72</c:v>
              </c:pt>
              <c:pt idx="1208">
                <c:v>27.73</c:v>
              </c:pt>
              <c:pt idx="1209">
                <c:v>27.7</c:v>
              </c:pt>
              <c:pt idx="1210">
                <c:v>27.68</c:v>
              </c:pt>
              <c:pt idx="1211">
                <c:v>27.69</c:v>
              </c:pt>
              <c:pt idx="1212">
                <c:v>27.73</c:v>
              </c:pt>
              <c:pt idx="1213">
                <c:v>27.72</c:v>
              </c:pt>
              <c:pt idx="1214">
                <c:v>27.71</c:v>
              </c:pt>
              <c:pt idx="1215">
                <c:v>27.74</c:v>
              </c:pt>
              <c:pt idx="1216">
                <c:v>27.71</c:v>
              </c:pt>
              <c:pt idx="1217">
                <c:v>27.72</c:v>
              </c:pt>
              <c:pt idx="1218">
                <c:v>27.73</c:v>
              </c:pt>
              <c:pt idx="1219">
                <c:v>27.7</c:v>
              </c:pt>
              <c:pt idx="1220">
                <c:v>27.67</c:v>
              </c:pt>
              <c:pt idx="1221">
                <c:v>27.68</c:v>
              </c:pt>
              <c:pt idx="1222">
                <c:v>27.69</c:v>
              </c:pt>
              <c:pt idx="1223">
                <c:v>27.7</c:v>
              </c:pt>
              <c:pt idx="1224">
                <c:v>27.69</c:v>
              </c:pt>
              <c:pt idx="1225">
                <c:v>27.7</c:v>
              </c:pt>
              <c:pt idx="1226">
                <c:v>27.7</c:v>
              </c:pt>
              <c:pt idx="1227">
                <c:v>27.69</c:v>
              </c:pt>
              <c:pt idx="1228">
                <c:v>27.66</c:v>
              </c:pt>
              <c:pt idx="1229">
                <c:v>27.65</c:v>
              </c:pt>
              <c:pt idx="1230">
                <c:v>27.65</c:v>
              </c:pt>
              <c:pt idx="1231">
                <c:v>27.65</c:v>
              </c:pt>
              <c:pt idx="1232">
                <c:v>27.64</c:v>
              </c:pt>
              <c:pt idx="1233">
                <c:v>27.6</c:v>
              </c:pt>
              <c:pt idx="1234">
                <c:v>27.62</c:v>
              </c:pt>
              <c:pt idx="1235">
                <c:v>27.62</c:v>
              </c:pt>
              <c:pt idx="1236">
                <c:v>27.62</c:v>
              </c:pt>
              <c:pt idx="1237">
                <c:v>27.59</c:v>
              </c:pt>
              <c:pt idx="1238">
                <c:v>27.6</c:v>
              </c:pt>
              <c:pt idx="1239">
                <c:v>27.61</c:v>
              </c:pt>
              <c:pt idx="1240">
                <c:v>27.57</c:v>
              </c:pt>
              <c:pt idx="1241">
                <c:v>27.57</c:v>
              </c:pt>
              <c:pt idx="1242">
                <c:v>27.57</c:v>
              </c:pt>
              <c:pt idx="1243">
                <c:v>27.59</c:v>
              </c:pt>
              <c:pt idx="1244">
                <c:v>27.62</c:v>
              </c:pt>
              <c:pt idx="1245">
                <c:v>27.6</c:v>
              </c:pt>
              <c:pt idx="1246">
                <c:v>27.6</c:v>
              </c:pt>
              <c:pt idx="1247">
                <c:v>27.59</c:v>
              </c:pt>
              <c:pt idx="1248">
                <c:v>27.6</c:v>
              </c:pt>
              <c:pt idx="1249">
                <c:v>27.57</c:v>
              </c:pt>
              <c:pt idx="1250">
                <c:v>27.55</c:v>
              </c:pt>
              <c:pt idx="1251">
                <c:v>27.55</c:v>
              </c:pt>
              <c:pt idx="1252">
                <c:v>27.56</c:v>
              </c:pt>
              <c:pt idx="1253">
                <c:v>27.55</c:v>
              </c:pt>
              <c:pt idx="1254">
                <c:v>27.55</c:v>
              </c:pt>
              <c:pt idx="1255">
                <c:v>27.56</c:v>
              </c:pt>
              <c:pt idx="1256">
                <c:v>27.57</c:v>
              </c:pt>
              <c:pt idx="1257">
                <c:v>27.53</c:v>
              </c:pt>
              <c:pt idx="1258">
                <c:v>27.54</c:v>
              </c:pt>
              <c:pt idx="1259">
                <c:v>27.55</c:v>
              </c:pt>
              <c:pt idx="1260">
                <c:v>27.55</c:v>
              </c:pt>
              <c:pt idx="1261">
                <c:v>27.54</c:v>
              </c:pt>
              <c:pt idx="1262">
                <c:v>27.54</c:v>
              </c:pt>
              <c:pt idx="1263">
                <c:v>27.54</c:v>
              </c:pt>
              <c:pt idx="1264">
                <c:v>27.57</c:v>
              </c:pt>
              <c:pt idx="1265">
                <c:v>27.56</c:v>
              </c:pt>
              <c:pt idx="1266">
                <c:v>27.56</c:v>
              </c:pt>
              <c:pt idx="1267">
                <c:v>27.57</c:v>
              </c:pt>
              <c:pt idx="1268">
                <c:v>27.57</c:v>
              </c:pt>
              <c:pt idx="1269">
                <c:v>27.6</c:v>
              </c:pt>
              <c:pt idx="1270">
                <c:v>27.62</c:v>
              </c:pt>
              <c:pt idx="1271">
                <c:v>27.6</c:v>
              </c:pt>
              <c:pt idx="1272">
                <c:v>27.6</c:v>
              </c:pt>
              <c:pt idx="1273">
                <c:v>27.6</c:v>
              </c:pt>
              <c:pt idx="1274">
                <c:v>27.6</c:v>
              </c:pt>
              <c:pt idx="1275">
                <c:v>27.61</c:v>
              </c:pt>
              <c:pt idx="1276">
                <c:v>27.62</c:v>
              </c:pt>
              <c:pt idx="1277">
                <c:v>27.62</c:v>
              </c:pt>
              <c:pt idx="1278">
                <c:v>27.65</c:v>
              </c:pt>
              <c:pt idx="1279">
                <c:v>27.62</c:v>
              </c:pt>
              <c:pt idx="1280">
                <c:v>27.64</c:v>
              </c:pt>
              <c:pt idx="1281">
                <c:v>27.63</c:v>
              </c:pt>
              <c:pt idx="1282">
                <c:v>27.63</c:v>
              </c:pt>
              <c:pt idx="1283">
                <c:v>27.65</c:v>
              </c:pt>
              <c:pt idx="1284">
                <c:v>27.65</c:v>
              </c:pt>
              <c:pt idx="1285">
                <c:v>27.64</c:v>
              </c:pt>
              <c:pt idx="1286">
                <c:v>27.65</c:v>
              </c:pt>
              <c:pt idx="1287">
                <c:v>27.63</c:v>
              </c:pt>
              <c:pt idx="1288">
                <c:v>27.61</c:v>
              </c:pt>
              <c:pt idx="1289">
                <c:v>27.62</c:v>
              </c:pt>
              <c:pt idx="1290">
                <c:v>27.65</c:v>
              </c:pt>
              <c:pt idx="1291">
                <c:v>27.65</c:v>
              </c:pt>
              <c:pt idx="1292">
                <c:v>27.67</c:v>
              </c:pt>
              <c:pt idx="1293">
                <c:v>27.67</c:v>
              </c:pt>
              <c:pt idx="1294">
                <c:v>27.67</c:v>
              </c:pt>
              <c:pt idx="1295">
                <c:v>27.62</c:v>
              </c:pt>
              <c:pt idx="1296">
                <c:v>27.6</c:v>
              </c:pt>
              <c:pt idx="1297">
                <c:v>27.61</c:v>
              </c:pt>
              <c:pt idx="1298">
                <c:v>27.63</c:v>
              </c:pt>
              <c:pt idx="1299">
                <c:v>27.64</c:v>
              </c:pt>
              <c:pt idx="1300">
                <c:v>27.64</c:v>
              </c:pt>
              <c:pt idx="1301">
                <c:v>27.63</c:v>
              </c:pt>
              <c:pt idx="1302">
                <c:v>27.64</c:v>
              </c:pt>
              <c:pt idx="1303">
                <c:v>27.65</c:v>
              </c:pt>
              <c:pt idx="1304">
                <c:v>27.66</c:v>
              </c:pt>
              <c:pt idx="1305">
                <c:v>27.66</c:v>
              </c:pt>
              <c:pt idx="1306">
                <c:v>27.64</c:v>
              </c:pt>
              <c:pt idx="1307">
                <c:v>27.65</c:v>
              </c:pt>
              <c:pt idx="1308">
                <c:v>27.69</c:v>
              </c:pt>
              <c:pt idx="1309">
                <c:v>27.67</c:v>
              </c:pt>
              <c:pt idx="1310">
                <c:v>27.69</c:v>
              </c:pt>
              <c:pt idx="1311">
                <c:v>27.67</c:v>
              </c:pt>
              <c:pt idx="1312">
                <c:v>27.65</c:v>
              </c:pt>
              <c:pt idx="1313">
                <c:v>27.66</c:v>
              </c:pt>
              <c:pt idx="1314">
                <c:v>27.66</c:v>
              </c:pt>
              <c:pt idx="1315">
                <c:v>27.65</c:v>
              </c:pt>
              <c:pt idx="1316">
                <c:v>27.67</c:v>
              </c:pt>
              <c:pt idx="1317">
                <c:v>27.66</c:v>
              </c:pt>
              <c:pt idx="1318">
                <c:v>27.65</c:v>
              </c:pt>
              <c:pt idx="1319">
                <c:v>27.64</c:v>
              </c:pt>
              <c:pt idx="1320">
                <c:v>27.61</c:v>
              </c:pt>
              <c:pt idx="1321">
                <c:v>27.61</c:v>
              </c:pt>
              <c:pt idx="1322">
                <c:v>27.61</c:v>
              </c:pt>
              <c:pt idx="1323">
                <c:v>27.59</c:v>
              </c:pt>
              <c:pt idx="1324">
                <c:v>27.56</c:v>
              </c:pt>
              <c:pt idx="1325">
                <c:v>27.59</c:v>
              </c:pt>
              <c:pt idx="1326">
                <c:v>27.56</c:v>
              </c:pt>
              <c:pt idx="1327">
                <c:v>27.57</c:v>
              </c:pt>
              <c:pt idx="1328">
                <c:v>27.57</c:v>
              </c:pt>
              <c:pt idx="1329">
                <c:v>27.57</c:v>
              </c:pt>
              <c:pt idx="1330">
                <c:v>27.56</c:v>
              </c:pt>
              <c:pt idx="1331">
                <c:v>27.55</c:v>
              </c:pt>
              <c:pt idx="1332">
                <c:v>27.53</c:v>
              </c:pt>
              <c:pt idx="1333">
                <c:v>27.52</c:v>
              </c:pt>
              <c:pt idx="1334">
                <c:v>27.53</c:v>
              </c:pt>
              <c:pt idx="1335">
                <c:v>27.51</c:v>
              </c:pt>
              <c:pt idx="1336">
                <c:v>27.49</c:v>
              </c:pt>
              <c:pt idx="1337">
                <c:v>27.5</c:v>
              </c:pt>
              <c:pt idx="1338">
                <c:v>27.5</c:v>
              </c:pt>
              <c:pt idx="1339">
                <c:v>27.49</c:v>
              </c:pt>
              <c:pt idx="1340">
                <c:v>27.49</c:v>
              </c:pt>
              <c:pt idx="1341">
                <c:v>27.48</c:v>
              </c:pt>
              <c:pt idx="1342">
                <c:v>27.51</c:v>
              </c:pt>
              <c:pt idx="1343">
                <c:v>27.49</c:v>
              </c:pt>
              <c:pt idx="1344">
                <c:v>27.5</c:v>
              </c:pt>
              <c:pt idx="1345">
                <c:v>27.5</c:v>
              </c:pt>
              <c:pt idx="1346">
                <c:v>27.52</c:v>
              </c:pt>
              <c:pt idx="1347">
                <c:v>27.53</c:v>
              </c:pt>
              <c:pt idx="1348">
                <c:v>27.5</c:v>
              </c:pt>
              <c:pt idx="1349">
                <c:v>27.48</c:v>
              </c:pt>
              <c:pt idx="1350">
                <c:v>27.46</c:v>
              </c:pt>
              <c:pt idx="1351">
                <c:v>27.48</c:v>
              </c:pt>
              <c:pt idx="1352">
                <c:v>27.49</c:v>
              </c:pt>
              <c:pt idx="1353">
                <c:v>27.43</c:v>
              </c:pt>
              <c:pt idx="1354">
                <c:v>27.44</c:v>
              </c:pt>
              <c:pt idx="1355">
                <c:v>27.44</c:v>
              </c:pt>
              <c:pt idx="1356">
                <c:v>27.44</c:v>
              </c:pt>
              <c:pt idx="1357">
                <c:v>27.48</c:v>
              </c:pt>
              <c:pt idx="1358">
                <c:v>27.48</c:v>
              </c:pt>
              <c:pt idx="1359">
                <c:v>27.47</c:v>
              </c:pt>
              <c:pt idx="1360">
                <c:v>27.45</c:v>
              </c:pt>
              <c:pt idx="1361">
                <c:v>27.46</c:v>
              </c:pt>
              <c:pt idx="1362">
                <c:v>27.43</c:v>
              </c:pt>
              <c:pt idx="1363">
                <c:v>27.43</c:v>
              </c:pt>
              <c:pt idx="1364">
                <c:v>27.43</c:v>
              </c:pt>
              <c:pt idx="1365">
                <c:v>27.43</c:v>
              </c:pt>
              <c:pt idx="1366">
                <c:v>27.46</c:v>
              </c:pt>
              <c:pt idx="1367">
                <c:v>27.46</c:v>
              </c:pt>
              <c:pt idx="1368">
                <c:v>27.46</c:v>
              </c:pt>
              <c:pt idx="1369">
                <c:v>27.45</c:v>
              </c:pt>
              <c:pt idx="1370">
                <c:v>27.45</c:v>
              </c:pt>
              <c:pt idx="1371">
                <c:v>27.46</c:v>
              </c:pt>
              <c:pt idx="1372">
                <c:v>27.45</c:v>
              </c:pt>
              <c:pt idx="1373">
                <c:v>27.43</c:v>
              </c:pt>
              <c:pt idx="1374">
                <c:v>27.45</c:v>
              </c:pt>
              <c:pt idx="1375">
                <c:v>27.43</c:v>
              </c:pt>
              <c:pt idx="1376">
                <c:v>27.42</c:v>
              </c:pt>
              <c:pt idx="1377">
                <c:v>27.41</c:v>
              </c:pt>
              <c:pt idx="1378">
                <c:v>27.45</c:v>
              </c:pt>
              <c:pt idx="1379">
                <c:v>27.44</c:v>
              </c:pt>
              <c:pt idx="1380">
                <c:v>27.38</c:v>
              </c:pt>
              <c:pt idx="1381">
                <c:v>27.38</c:v>
              </c:pt>
              <c:pt idx="1382">
                <c:v>27.37</c:v>
              </c:pt>
              <c:pt idx="1383">
                <c:v>27.38</c:v>
              </c:pt>
              <c:pt idx="1384">
                <c:v>27.37</c:v>
              </c:pt>
              <c:pt idx="1385">
                <c:v>27.38</c:v>
              </c:pt>
              <c:pt idx="1386">
                <c:v>27.36</c:v>
              </c:pt>
              <c:pt idx="1387">
                <c:v>27.32</c:v>
              </c:pt>
              <c:pt idx="1388">
                <c:v>27.31</c:v>
              </c:pt>
              <c:pt idx="1389">
                <c:v>27.31</c:v>
              </c:pt>
              <c:pt idx="1390">
                <c:v>27.34</c:v>
              </c:pt>
              <c:pt idx="1391">
                <c:v>27.32</c:v>
              </c:pt>
              <c:pt idx="1392">
                <c:v>27.33</c:v>
              </c:pt>
              <c:pt idx="1393">
                <c:v>27.32</c:v>
              </c:pt>
              <c:pt idx="1394">
                <c:v>27.29</c:v>
              </c:pt>
              <c:pt idx="1395">
                <c:v>27.27</c:v>
              </c:pt>
              <c:pt idx="1396">
                <c:v>27.25</c:v>
              </c:pt>
              <c:pt idx="1397">
                <c:v>27.27</c:v>
              </c:pt>
              <c:pt idx="1398">
                <c:v>27.27</c:v>
              </c:pt>
              <c:pt idx="1399">
                <c:v>27.27</c:v>
              </c:pt>
              <c:pt idx="1400">
                <c:v>27.26</c:v>
              </c:pt>
              <c:pt idx="1401">
                <c:v>27.24</c:v>
              </c:pt>
              <c:pt idx="1402">
                <c:v>27.24</c:v>
              </c:pt>
              <c:pt idx="1403">
                <c:v>27.2</c:v>
              </c:pt>
              <c:pt idx="1404">
                <c:v>27.2</c:v>
              </c:pt>
              <c:pt idx="1405">
                <c:v>27.19</c:v>
              </c:pt>
              <c:pt idx="1406">
                <c:v>27.21</c:v>
              </c:pt>
              <c:pt idx="1407">
                <c:v>27.19</c:v>
              </c:pt>
              <c:pt idx="1408">
                <c:v>27.21</c:v>
              </c:pt>
              <c:pt idx="1409">
                <c:v>27.21</c:v>
              </c:pt>
              <c:pt idx="1410">
                <c:v>27.21</c:v>
              </c:pt>
              <c:pt idx="1411">
                <c:v>27.19</c:v>
              </c:pt>
              <c:pt idx="1412">
                <c:v>27.18</c:v>
              </c:pt>
              <c:pt idx="1413">
                <c:v>27.17</c:v>
              </c:pt>
              <c:pt idx="1414">
                <c:v>27.21</c:v>
              </c:pt>
              <c:pt idx="1415">
                <c:v>27.18</c:v>
              </c:pt>
              <c:pt idx="1416">
                <c:v>27.21</c:v>
              </c:pt>
              <c:pt idx="1417">
                <c:v>27.21</c:v>
              </c:pt>
              <c:pt idx="1418">
                <c:v>27.19</c:v>
              </c:pt>
              <c:pt idx="1419">
                <c:v>27.17</c:v>
              </c:pt>
              <c:pt idx="1420">
                <c:v>27.16</c:v>
              </c:pt>
              <c:pt idx="1421">
                <c:v>27.16</c:v>
              </c:pt>
              <c:pt idx="1422">
                <c:v>27.17</c:v>
              </c:pt>
              <c:pt idx="1423">
                <c:v>27.16</c:v>
              </c:pt>
              <c:pt idx="1424">
                <c:v>27.17</c:v>
              </c:pt>
              <c:pt idx="1425">
                <c:v>27.16</c:v>
              </c:pt>
              <c:pt idx="1426">
                <c:v>27.17</c:v>
              </c:pt>
              <c:pt idx="1427">
                <c:v>27.12</c:v>
              </c:pt>
              <c:pt idx="1428">
                <c:v>27.12</c:v>
              </c:pt>
              <c:pt idx="1429">
                <c:v>27.12</c:v>
              </c:pt>
              <c:pt idx="1430">
                <c:v>27.16</c:v>
              </c:pt>
              <c:pt idx="1431">
                <c:v>27.15</c:v>
              </c:pt>
              <c:pt idx="1432">
                <c:v>27.17</c:v>
              </c:pt>
              <c:pt idx="1433">
                <c:v>27.19</c:v>
              </c:pt>
              <c:pt idx="1434">
                <c:v>27.2</c:v>
              </c:pt>
              <c:pt idx="1435">
                <c:v>27.17</c:v>
              </c:pt>
              <c:pt idx="1436">
                <c:v>27.19</c:v>
              </c:pt>
              <c:pt idx="1437">
                <c:v>27.19</c:v>
              </c:pt>
              <c:pt idx="1438">
                <c:v>27.21</c:v>
              </c:pt>
              <c:pt idx="1439">
                <c:v>27.19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25.490357615894055</c:v>
              </c:pt>
            </c:numLit>
          </c:val>
          <c:smooth val="0"/>
          <c:extLst>
            <c:ext xmlns:c16="http://schemas.microsoft.com/office/drawing/2014/chart" uri="{C3380CC4-5D6E-409C-BE32-E72D297353CC}">
              <c16:uniqueId val="{00000000-1A6C-4F36-8BD6-8906B90145C2}"/>
            </c:ext>
          </c:extLst>
        </c:ser>
        <c:ser>
          <c:idx val="1"/>
          <c:order val="1"/>
          <c:tx>
            <c:v>26.92278146 25.37421192 IS4 WMS Ambient Temperature(Â°C)</c:v>
          </c:tx>
          <c:spPr>
            <a:ln w="28575" cap="rnd">
              <a:solidFill>
                <a:schemeClr val="accent2"/>
              </a:solidFill>
              <a:round/>
            </a:ln>
            <a:effectLst/>
          </c:spPr>
          <c:marker>
            <c:symbol val="none"/>
          </c:marker>
          <c:val>
            <c:numLit>
              <c:formatCode>General</c:formatCode>
              <c:ptCount val="1512"/>
              <c:pt idx="0">
                <c:v>25.8</c:v>
              </c:pt>
              <c:pt idx="1">
                <c:v>25.8</c:v>
              </c:pt>
              <c:pt idx="2">
                <c:v>25.83</c:v>
              </c:pt>
              <c:pt idx="3">
                <c:v>25.81</c:v>
              </c:pt>
              <c:pt idx="4">
                <c:v>25.8</c:v>
              </c:pt>
              <c:pt idx="5">
                <c:v>25.78</c:v>
              </c:pt>
              <c:pt idx="6">
                <c:v>25.76</c:v>
              </c:pt>
              <c:pt idx="7">
                <c:v>25.79</c:v>
              </c:pt>
              <c:pt idx="8">
                <c:v>25.79</c:v>
              </c:pt>
              <c:pt idx="9">
                <c:v>25.77</c:v>
              </c:pt>
              <c:pt idx="10">
                <c:v>25.79</c:v>
              </c:pt>
              <c:pt idx="11">
                <c:v>25.78</c:v>
              </c:pt>
              <c:pt idx="12">
                <c:v>25.78</c:v>
              </c:pt>
              <c:pt idx="13">
                <c:v>25.78</c:v>
              </c:pt>
              <c:pt idx="14">
                <c:v>25.78</c:v>
              </c:pt>
              <c:pt idx="15">
                <c:v>25.82</c:v>
              </c:pt>
              <c:pt idx="16">
                <c:v>25.78</c:v>
              </c:pt>
              <c:pt idx="17">
                <c:v>25.81</c:v>
              </c:pt>
              <c:pt idx="18">
                <c:v>25.8</c:v>
              </c:pt>
              <c:pt idx="19">
                <c:v>25.81</c:v>
              </c:pt>
              <c:pt idx="20">
                <c:v>25.81</c:v>
              </c:pt>
              <c:pt idx="21">
                <c:v>25.82</c:v>
              </c:pt>
              <c:pt idx="22">
                <c:v>25.81</c:v>
              </c:pt>
              <c:pt idx="23">
                <c:v>25.82</c:v>
              </c:pt>
              <c:pt idx="24">
                <c:v>25.84</c:v>
              </c:pt>
              <c:pt idx="25">
                <c:v>25.82</c:v>
              </c:pt>
              <c:pt idx="26">
                <c:v>25.83</c:v>
              </c:pt>
              <c:pt idx="27">
                <c:v>25.82</c:v>
              </c:pt>
              <c:pt idx="28">
                <c:v>25.83</c:v>
              </c:pt>
              <c:pt idx="29">
                <c:v>25.84</c:v>
              </c:pt>
              <c:pt idx="30">
                <c:v>25.81</c:v>
              </c:pt>
              <c:pt idx="31">
                <c:v>25.85</c:v>
              </c:pt>
              <c:pt idx="32">
                <c:v>25.79</c:v>
              </c:pt>
              <c:pt idx="33">
                <c:v>25.81</c:v>
              </c:pt>
              <c:pt idx="34">
                <c:v>25.84</c:v>
              </c:pt>
              <c:pt idx="35">
                <c:v>25.8</c:v>
              </c:pt>
              <c:pt idx="36">
                <c:v>25.81</c:v>
              </c:pt>
              <c:pt idx="37">
                <c:v>25.82</c:v>
              </c:pt>
              <c:pt idx="38">
                <c:v>25.85</c:v>
              </c:pt>
              <c:pt idx="39">
                <c:v>25.87</c:v>
              </c:pt>
              <c:pt idx="40">
                <c:v>25.85</c:v>
              </c:pt>
              <c:pt idx="41">
                <c:v>25.85</c:v>
              </c:pt>
              <c:pt idx="42">
                <c:v>25.85</c:v>
              </c:pt>
              <c:pt idx="43">
                <c:v>25.85</c:v>
              </c:pt>
              <c:pt idx="44">
                <c:v>25.87</c:v>
              </c:pt>
              <c:pt idx="45">
                <c:v>25.87</c:v>
              </c:pt>
              <c:pt idx="46">
                <c:v>25.87</c:v>
              </c:pt>
              <c:pt idx="47">
                <c:v>25.86</c:v>
              </c:pt>
              <c:pt idx="48">
                <c:v>25.86</c:v>
              </c:pt>
              <c:pt idx="49">
                <c:v>25.88</c:v>
              </c:pt>
              <c:pt idx="50">
                <c:v>25.83</c:v>
              </c:pt>
              <c:pt idx="51">
                <c:v>25.82</c:v>
              </c:pt>
              <c:pt idx="52">
                <c:v>25.83</c:v>
              </c:pt>
              <c:pt idx="53">
                <c:v>25.77</c:v>
              </c:pt>
              <c:pt idx="54">
                <c:v>25.74</c:v>
              </c:pt>
              <c:pt idx="55">
                <c:v>25.74</c:v>
              </c:pt>
              <c:pt idx="56">
                <c:v>25.72</c:v>
              </c:pt>
              <c:pt idx="57">
                <c:v>25.7</c:v>
              </c:pt>
              <c:pt idx="58">
                <c:v>25.76</c:v>
              </c:pt>
              <c:pt idx="59">
                <c:v>25.75</c:v>
              </c:pt>
              <c:pt idx="60">
                <c:v>25.74</c:v>
              </c:pt>
              <c:pt idx="61">
                <c:v>25.72</c:v>
              </c:pt>
              <c:pt idx="62">
                <c:v>25.73</c:v>
              </c:pt>
              <c:pt idx="63">
                <c:v>25.76</c:v>
              </c:pt>
              <c:pt idx="64">
                <c:v>25.78</c:v>
              </c:pt>
              <c:pt idx="65">
                <c:v>25.76</c:v>
              </c:pt>
              <c:pt idx="66">
                <c:v>25.77</c:v>
              </c:pt>
              <c:pt idx="67">
                <c:v>25.74</c:v>
              </c:pt>
              <c:pt idx="68">
                <c:v>25.71</c:v>
              </c:pt>
              <c:pt idx="69">
                <c:v>25.67</c:v>
              </c:pt>
              <c:pt idx="70">
                <c:v>25.69</c:v>
              </c:pt>
              <c:pt idx="71">
                <c:v>25.71</c:v>
              </c:pt>
              <c:pt idx="72">
                <c:v>25.72</c:v>
              </c:pt>
              <c:pt idx="73">
                <c:v>25.74</c:v>
              </c:pt>
              <c:pt idx="74">
                <c:v>25.74</c:v>
              </c:pt>
              <c:pt idx="75">
                <c:v>25.74</c:v>
              </c:pt>
              <c:pt idx="76">
                <c:v>25.74</c:v>
              </c:pt>
              <c:pt idx="77">
                <c:v>25.76</c:v>
              </c:pt>
              <c:pt idx="78">
                <c:v>25.75</c:v>
              </c:pt>
              <c:pt idx="79">
                <c:v>25.76</c:v>
              </c:pt>
              <c:pt idx="80">
                <c:v>25.75</c:v>
              </c:pt>
              <c:pt idx="81">
                <c:v>25.77</c:v>
              </c:pt>
              <c:pt idx="82">
                <c:v>25.78</c:v>
              </c:pt>
              <c:pt idx="83">
                <c:v>25.78</c:v>
              </c:pt>
              <c:pt idx="84">
                <c:v>25.76</c:v>
              </c:pt>
              <c:pt idx="85">
                <c:v>25.76</c:v>
              </c:pt>
              <c:pt idx="86">
                <c:v>25.78</c:v>
              </c:pt>
              <c:pt idx="87">
                <c:v>25.77</c:v>
              </c:pt>
              <c:pt idx="88">
                <c:v>25.81</c:v>
              </c:pt>
              <c:pt idx="89">
                <c:v>25.79</c:v>
              </c:pt>
              <c:pt idx="90">
                <c:v>25.8</c:v>
              </c:pt>
              <c:pt idx="91">
                <c:v>25.79</c:v>
              </c:pt>
              <c:pt idx="92">
                <c:v>25.79</c:v>
              </c:pt>
              <c:pt idx="93">
                <c:v>25.78</c:v>
              </c:pt>
              <c:pt idx="94">
                <c:v>25.76</c:v>
              </c:pt>
              <c:pt idx="95">
                <c:v>25.78</c:v>
              </c:pt>
              <c:pt idx="96">
                <c:v>25.76</c:v>
              </c:pt>
              <c:pt idx="97">
                <c:v>25.75</c:v>
              </c:pt>
              <c:pt idx="98">
                <c:v>25.73</c:v>
              </c:pt>
              <c:pt idx="99">
                <c:v>25.7</c:v>
              </c:pt>
              <c:pt idx="100">
                <c:v>25.73</c:v>
              </c:pt>
              <c:pt idx="101">
                <c:v>25.73</c:v>
              </c:pt>
              <c:pt idx="102">
                <c:v>25.75</c:v>
              </c:pt>
              <c:pt idx="103">
                <c:v>25.75</c:v>
              </c:pt>
              <c:pt idx="104">
                <c:v>25.72</c:v>
              </c:pt>
              <c:pt idx="105">
                <c:v>25.74</c:v>
              </c:pt>
              <c:pt idx="106">
                <c:v>25.78</c:v>
              </c:pt>
              <c:pt idx="107">
                <c:v>25.79</c:v>
              </c:pt>
              <c:pt idx="108">
                <c:v>25.77</c:v>
              </c:pt>
              <c:pt idx="109">
                <c:v>25.78</c:v>
              </c:pt>
              <c:pt idx="110">
                <c:v>25.77</c:v>
              </c:pt>
              <c:pt idx="111">
                <c:v>25.77</c:v>
              </c:pt>
              <c:pt idx="112">
                <c:v>25.78</c:v>
              </c:pt>
              <c:pt idx="113">
                <c:v>25.77</c:v>
              </c:pt>
              <c:pt idx="114">
                <c:v>25.78</c:v>
              </c:pt>
              <c:pt idx="115">
                <c:v>25.77</c:v>
              </c:pt>
              <c:pt idx="116">
                <c:v>25.77</c:v>
              </c:pt>
              <c:pt idx="117">
                <c:v>25.77</c:v>
              </c:pt>
              <c:pt idx="118">
                <c:v>25.76</c:v>
              </c:pt>
              <c:pt idx="119">
                <c:v>25.77</c:v>
              </c:pt>
              <c:pt idx="120">
                <c:v>25.76</c:v>
              </c:pt>
              <c:pt idx="121">
                <c:v>25.77</c:v>
              </c:pt>
              <c:pt idx="122">
                <c:v>25.77</c:v>
              </c:pt>
              <c:pt idx="123">
                <c:v>25.77</c:v>
              </c:pt>
              <c:pt idx="124">
                <c:v>25.75</c:v>
              </c:pt>
              <c:pt idx="125">
                <c:v>25.76</c:v>
              </c:pt>
              <c:pt idx="126">
                <c:v>25.75</c:v>
              </c:pt>
              <c:pt idx="127">
                <c:v>25.75</c:v>
              </c:pt>
              <c:pt idx="128">
                <c:v>25.74</c:v>
              </c:pt>
              <c:pt idx="129">
                <c:v>25.73</c:v>
              </c:pt>
              <c:pt idx="130">
                <c:v>25.73</c:v>
              </c:pt>
              <c:pt idx="131">
                <c:v>25.73</c:v>
              </c:pt>
              <c:pt idx="132">
                <c:v>25.71</c:v>
              </c:pt>
              <c:pt idx="133">
                <c:v>25.68</c:v>
              </c:pt>
              <c:pt idx="134">
                <c:v>25.68</c:v>
              </c:pt>
              <c:pt idx="135">
                <c:v>25.67</c:v>
              </c:pt>
              <c:pt idx="136">
                <c:v>25.66</c:v>
              </c:pt>
              <c:pt idx="137">
                <c:v>25.66</c:v>
              </c:pt>
              <c:pt idx="138">
                <c:v>25.64</c:v>
              </c:pt>
              <c:pt idx="139">
                <c:v>25.65</c:v>
              </c:pt>
              <c:pt idx="140">
                <c:v>25.63</c:v>
              </c:pt>
              <c:pt idx="141">
                <c:v>25.65</c:v>
              </c:pt>
              <c:pt idx="142">
                <c:v>25.63</c:v>
              </c:pt>
              <c:pt idx="143">
                <c:v>25.63</c:v>
              </c:pt>
              <c:pt idx="144">
                <c:v>25.63</c:v>
              </c:pt>
              <c:pt idx="145">
                <c:v>25.62</c:v>
              </c:pt>
              <c:pt idx="146">
                <c:v>25.63</c:v>
              </c:pt>
              <c:pt idx="147">
                <c:v>25.6</c:v>
              </c:pt>
              <c:pt idx="148">
                <c:v>25.62</c:v>
              </c:pt>
              <c:pt idx="149">
                <c:v>25.6</c:v>
              </c:pt>
              <c:pt idx="150">
                <c:v>25.62</c:v>
              </c:pt>
              <c:pt idx="151">
                <c:v>25.63</c:v>
              </c:pt>
              <c:pt idx="152">
                <c:v>25.64</c:v>
              </c:pt>
              <c:pt idx="153">
                <c:v>25.64</c:v>
              </c:pt>
              <c:pt idx="154">
                <c:v>25.64</c:v>
              </c:pt>
              <c:pt idx="155">
                <c:v>25.65</c:v>
              </c:pt>
              <c:pt idx="156">
                <c:v>25.66</c:v>
              </c:pt>
              <c:pt idx="157">
                <c:v>25.64</c:v>
              </c:pt>
              <c:pt idx="158">
                <c:v>25.65</c:v>
              </c:pt>
              <c:pt idx="159">
                <c:v>25.64</c:v>
              </c:pt>
              <c:pt idx="160">
                <c:v>25.64</c:v>
              </c:pt>
              <c:pt idx="161">
                <c:v>25.65</c:v>
              </c:pt>
              <c:pt idx="162">
                <c:v>25.65</c:v>
              </c:pt>
              <c:pt idx="163">
                <c:v>25.63</c:v>
              </c:pt>
              <c:pt idx="164">
                <c:v>25.61</c:v>
              </c:pt>
              <c:pt idx="165">
                <c:v>25.63</c:v>
              </c:pt>
              <c:pt idx="166">
                <c:v>25.61</c:v>
              </c:pt>
              <c:pt idx="167">
                <c:v>25.63</c:v>
              </c:pt>
              <c:pt idx="168">
                <c:v>25.6</c:v>
              </c:pt>
              <c:pt idx="169">
                <c:v>25.61</c:v>
              </c:pt>
              <c:pt idx="170">
                <c:v>25.6</c:v>
              </c:pt>
              <c:pt idx="171">
                <c:v>25.61</c:v>
              </c:pt>
              <c:pt idx="172">
                <c:v>25.58</c:v>
              </c:pt>
              <c:pt idx="173">
                <c:v>25.58</c:v>
              </c:pt>
              <c:pt idx="174">
                <c:v>25.55</c:v>
              </c:pt>
              <c:pt idx="175">
                <c:v>25.56</c:v>
              </c:pt>
              <c:pt idx="176">
                <c:v>25.53</c:v>
              </c:pt>
              <c:pt idx="177">
                <c:v>25.5</c:v>
              </c:pt>
              <c:pt idx="178">
                <c:v>25.48</c:v>
              </c:pt>
              <c:pt idx="179">
                <c:v>25.48</c:v>
              </c:pt>
              <c:pt idx="180">
                <c:v>25.49</c:v>
              </c:pt>
              <c:pt idx="181">
                <c:v>25.5</c:v>
              </c:pt>
              <c:pt idx="182">
                <c:v>25.47</c:v>
              </c:pt>
              <c:pt idx="183">
                <c:v>25.49</c:v>
              </c:pt>
              <c:pt idx="184">
                <c:v>25.51</c:v>
              </c:pt>
              <c:pt idx="185">
                <c:v>25.52</c:v>
              </c:pt>
              <c:pt idx="186">
                <c:v>25.5</c:v>
              </c:pt>
              <c:pt idx="187">
                <c:v>25.51</c:v>
              </c:pt>
              <c:pt idx="188">
                <c:v>25.5</c:v>
              </c:pt>
              <c:pt idx="189">
                <c:v>25.5</c:v>
              </c:pt>
              <c:pt idx="190">
                <c:v>25.5</c:v>
              </c:pt>
              <c:pt idx="191">
                <c:v>25.51</c:v>
              </c:pt>
              <c:pt idx="192">
                <c:v>25.5</c:v>
              </c:pt>
              <c:pt idx="193">
                <c:v>25.52</c:v>
              </c:pt>
              <c:pt idx="194">
                <c:v>25.52</c:v>
              </c:pt>
              <c:pt idx="195">
                <c:v>25.51</c:v>
              </c:pt>
              <c:pt idx="196">
                <c:v>25.49</c:v>
              </c:pt>
              <c:pt idx="197">
                <c:v>25.5</c:v>
              </c:pt>
              <c:pt idx="198">
                <c:v>25.46</c:v>
              </c:pt>
              <c:pt idx="199">
                <c:v>25.48</c:v>
              </c:pt>
              <c:pt idx="200">
                <c:v>25.49</c:v>
              </c:pt>
              <c:pt idx="201">
                <c:v>25.51</c:v>
              </c:pt>
              <c:pt idx="202">
                <c:v>25.51</c:v>
              </c:pt>
              <c:pt idx="203">
                <c:v>25.51</c:v>
              </c:pt>
              <c:pt idx="204">
                <c:v>25.52</c:v>
              </c:pt>
              <c:pt idx="205">
                <c:v>25.5</c:v>
              </c:pt>
              <c:pt idx="206">
                <c:v>25.46</c:v>
              </c:pt>
              <c:pt idx="207">
                <c:v>25.41</c:v>
              </c:pt>
              <c:pt idx="208">
                <c:v>25.41</c:v>
              </c:pt>
              <c:pt idx="209">
                <c:v>25.41</c:v>
              </c:pt>
              <c:pt idx="210">
                <c:v>25.38</c:v>
              </c:pt>
              <c:pt idx="211">
                <c:v>25.39</c:v>
              </c:pt>
              <c:pt idx="212">
                <c:v>25.39</c:v>
              </c:pt>
              <c:pt idx="213">
                <c:v>25.39</c:v>
              </c:pt>
              <c:pt idx="214">
                <c:v>25.37</c:v>
              </c:pt>
              <c:pt idx="215">
                <c:v>25.36</c:v>
              </c:pt>
              <c:pt idx="216">
                <c:v>25.36</c:v>
              </c:pt>
              <c:pt idx="217">
                <c:v>25.36</c:v>
              </c:pt>
              <c:pt idx="218">
                <c:v>25.39</c:v>
              </c:pt>
              <c:pt idx="219">
                <c:v>25.4</c:v>
              </c:pt>
              <c:pt idx="220">
                <c:v>25.4</c:v>
              </c:pt>
              <c:pt idx="221">
                <c:v>25.43</c:v>
              </c:pt>
              <c:pt idx="222">
                <c:v>25.44</c:v>
              </c:pt>
              <c:pt idx="223">
                <c:v>25.44</c:v>
              </c:pt>
              <c:pt idx="224">
                <c:v>25.46</c:v>
              </c:pt>
              <c:pt idx="225">
                <c:v>25.47</c:v>
              </c:pt>
              <c:pt idx="226">
                <c:v>25.47</c:v>
              </c:pt>
              <c:pt idx="227">
                <c:v>25.45</c:v>
              </c:pt>
              <c:pt idx="228">
                <c:v>25.45</c:v>
              </c:pt>
              <c:pt idx="229">
                <c:v>25.45</c:v>
              </c:pt>
              <c:pt idx="230">
                <c:v>25.48</c:v>
              </c:pt>
              <c:pt idx="231">
                <c:v>25.43</c:v>
              </c:pt>
              <c:pt idx="232">
                <c:v>25.47</c:v>
              </c:pt>
              <c:pt idx="233">
                <c:v>25.46</c:v>
              </c:pt>
              <c:pt idx="234">
                <c:v>25.46</c:v>
              </c:pt>
              <c:pt idx="235">
                <c:v>25.46</c:v>
              </c:pt>
              <c:pt idx="236">
                <c:v>25.47</c:v>
              </c:pt>
              <c:pt idx="237">
                <c:v>25.43</c:v>
              </c:pt>
              <c:pt idx="238">
                <c:v>25.43</c:v>
              </c:pt>
              <c:pt idx="239">
                <c:v>25.44</c:v>
              </c:pt>
              <c:pt idx="240">
                <c:v>25.44</c:v>
              </c:pt>
              <c:pt idx="241">
                <c:v>25.44</c:v>
              </c:pt>
              <c:pt idx="242">
                <c:v>25.47</c:v>
              </c:pt>
              <c:pt idx="243">
                <c:v>25.42</c:v>
              </c:pt>
              <c:pt idx="244">
                <c:v>25.43</c:v>
              </c:pt>
              <c:pt idx="245">
                <c:v>25.41</c:v>
              </c:pt>
              <c:pt idx="246">
                <c:v>25.43</c:v>
              </c:pt>
              <c:pt idx="247">
                <c:v>25.41</c:v>
              </c:pt>
              <c:pt idx="248">
                <c:v>25.44</c:v>
              </c:pt>
              <c:pt idx="249">
                <c:v>25.43</c:v>
              </c:pt>
              <c:pt idx="250">
                <c:v>25.46</c:v>
              </c:pt>
              <c:pt idx="251">
                <c:v>25.44</c:v>
              </c:pt>
              <c:pt idx="252">
                <c:v>25.4</c:v>
              </c:pt>
              <c:pt idx="253">
                <c:v>25.39</c:v>
              </c:pt>
              <c:pt idx="254">
                <c:v>25.42</c:v>
              </c:pt>
              <c:pt idx="255">
                <c:v>25.42</c:v>
              </c:pt>
              <c:pt idx="256">
                <c:v>25.43</c:v>
              </c:pt>
              <c:pt idx="257">
                <c:v>25.42</c:v>
              </c:pt>
              <c:pt idx="258">
                <c:v>25.37</c:v>
              </c:pt>
              <c:pt idx="259">
                <c:v>25.37</c:v>
              </c:pt>
              <c:pt idx="260">
                <c:v>25.4</c:v>
              </c:pt>
              <c:pt idx="261">
                <c:v>25.38</c:v>
              </c:pt>
              <c:pt idx="262">
                <c:v>25.4</c:v>
              </c:pt>
              <c:pt idx="263">
                <c:v>25.37</c:v>
              </c:pt>
              <c:pt idx="264">
                <c:v>25.38</c:v>
              </c:pt>
              <c:pt idx="265">
                <c:v>25.34</c:v>
              </c:pt>
              <c:pt idx="266">
                <c:v>25.34</c:v>
              </c:pt>
              <c:pt idx="267">
                <c:v>25.33</c:v>
              </c:pt>
              <c:pt idx="268">
                <c:v>25.34</c:v>
              </c:pt>
              <c:pt idx="269">
                <c:v>25.36</c:v>
              </c:pt>
              <c:pt idx="270">
                <c:v>25.4</c:v>
              </c:pt>
              <c:pt idx="271">
                <c:v>25.38</c:v>
              </c:pt>
              <c:pt idx="272">
                <c:v>25.41</c:v>
              </c:pt>
              <c:pt idx="273">
                <c:v>25.42</c:v>
              </c:pt>
              <c:pt idx="274">
                <c:v>25.4</c:v>
              </c:pt>
              <c:pt idx="275">
                <c:v>25.42</c:v>
              </c:pt>
              <c:pt idx="276">
                <c:v>25.42</c:v>
              </c:pt>
              <c:pt idx="277">
                <c:v>25.44</c:v>
              </c:pt>
              <c:pt idx="278">
                <c:v>25.39</c:v>
              </c:pt>
              <c:pt idx="279">
                <c:v>25.39</c:v>
              </c:pt>
              <c:pt idx="280">
                <c:v>25.41</c:v>
              </c:pt>
              <c:pt idx="281">
                <c:v>25.45</c:v>
              </c:pt>
              <c:pt idx="282">
                <c:v>25.43</c:v>
              </c:pt>
              <c:pt idx="283">
                <c:v>25.41</c:v>
              </c:pt>
              <c:pt idx="284">
                <c:v>25.37</c:v>
              </c:pt>
              <c:pt idx="285">
                <c:v>25.38</c:v>
              </c:pt>
              <c:pt idx="286">
                <c:v>25.35</c:v>
              </c:pt>
              <c:pt idx="287">
                <c:v>25.36</c:v>
              </c:pt>
              <c:pt idx="288">
                <c:v>25.32</c:v>
              </c:pt>
              <c:pt idx="289">
                <c:v>25.35</c:v>
              </c:pt>
              <c:pt idx="290">
                <c:v>25.33</c:v>
              </c:pt>
              <c:pt idx="291">
                <c:v>25.32</c:v>
              </c:pt>
              <c:pt idx="292">
                <c:v>25.31</c:v>
              </c:pt>
              <c:pt idx="293">
                <c:v>25.33</c:v>
              </c:pt>
              <c:pt idx="294">
                <c:v>25.35</c:v>
              </c:pt>
              <c:pt idx="295">
                <c:v>25.32</c:v>
              </c:pt>
              <c:pt idx="296">
                <c:v>25.31</c:v>
              </c:pt>
              <c:pt idx="297">
                <c:v>25.3</c:v>
              </c:pt>
              <c:pt idx="298">
                <c:v>25.31</c:v>
              </c:pt>
              <c:pt idx="299">
                <c:v>25.3</c:v>
              </c:pt>
              <c:pt idx="300">
                <c:v>25.26</c:v>
              </c:pt>
              <c:pt idx="301">
                <c:v>25.28</c:v>
              </c:pt>
              <c:pt idx="302">
                <c:v>25.27</c:v>
              </c:pt>
              <c:pt idx="303">
                <c:v>25.27</c:v>
              </c:pt>
              <c:pt idx="304">
                <c:v>25.26</c:v>
              </c:pt>
              <c:pt idx="305">
                <c:v>25.28</c:v>
              </c:pt>
              <c:pt idx="306">
                <c:v>25.27</c:v>
              </c:pt>
              <c:pt idx="307">
                <c:v>25.29</c:v>
              </c:pt>
              <c:pt idx="308">
                <c:v>25.28</c:v>
              </c:pt>
              <c:pt idx="309">
                <c:v>25.28</c:v>
              </c:pt>
              <c:pt idx="310">
                <c:v>25.24</c:v>
              </c:pt>
              <c:pt idx="311">
                <c:v>25.23</c:v>
              </c:pt>
              <c:pt idx="312">
                <c:v>25.19</c:v>
              </c:pt>
              <c:pt idx="313">
                <c:v>25.15</c:v>
              </c:pt>
              <c:pt idx="314">
                <c:v>25.13</c:v>
              </c:pt>
              <c:pt idx="315">
                <c:v>25.13</c:v>
              </c:pt>
              <c:pt idx="316">
                <c:v>25.11</c:v>
              </c:pt>
              <c:pt idx="317">
                <c:v>25.14</c:v>
              </c:pt>
              <c:pt idx="318">
                <c:v>25.1</c:v>
              </c:pt>
              <c:pt idx="319">
                <c:v>25.11</c:v>
              </c:pt>
              <c:pt idx="320">
                <c:v>25.06</c:v>
              </c:pt>
              <c:pt idx="321">
                <c:v>25.08</c:v>
              </c:pt>
              <c:pt idx="322">
                <c:v>25.08</c:v>
              </c:pt>
              <c:pt idx="323">
                <c:v>25.09</c:v>
              </c:pt>
              <c:pt idx="324">
                <c:v>25.08</c:v>
              </c:pt>
              <c:pt idx="325">
                <c:v>25.07</c:v>
              </c:pt>
              <c:pt idx="326">
                <c:v>25.04</c:v>
              </c:pt>
              <c:pt idx="327">
                <c:v>25.04</c:v>
              </c:pt>
              <c:pt idx="328">
                <c:v>25.05</c:v>
              </c:pt>
              <c:pt idx="329">
                <c:v>25.05</c:v>
              </c:pt>
              <c:pt idx="330">
                <c:v>25.04</c:v>
              </c:pt>
              <c:pt idx="331">
                <c:v>25.04</c:v>
              </c:pt>
              <c:pt idx="332">
                <c:v>25.06</c:v>
              </c:pt>
              <c:pt idx="333">
                <c:v>25.04</c:v>
              </c:pt>
              <c:pt idx="334">
                <c:v>25.02</c:v>
              </c:pt>
              <c:pt idx="335">
                <c:v>25</c:v>
              </c:pt>
              <c:pt idx="336">
                <c:v>25.02</c:v>
              </c:pt>
              <c:pt idx="337">
                <c:v>25.01</c:v>
              </c:pt>
              <c:pt idx="338">
                <c:v>25.02</c:v>
              </c:pt>
              <c:pt idx="339">
                <c:v>25.01</c:v>
              </c:pt>
              <c:pt idx="340">
                <c:v>25.02</c:v>
              </c:pt>
              <c:pt idx="341">
                <c:v>24.98</c:v>
              </c:pt>
              <c:pt idx="342">
                <c:v>25.02</c:v>
              </c:pt>
              <c:pt idx="343">
                <c:v>25.02</c:v>
              </c:pt>
              <c:pt idx="344">
                <c:v>25.01</c:v>
              </c:pt>
              <c:pt idx="345">
                <c:v>24.96</c:v>
              </c:pt>
              <c:pt idx="346">
                <c:v>24.98</c:v>
              </c:pt>
              <c:pt idx="347">
                <c:v>24.97</c:v>
              </c:pt>
              <c:pt idx="348">
                <c:v>24.98</c:v>
              </c:pt>
              <c:pt idx="349">
                <c:v>24.96</c:v>
              </c:pt>
              <c:pt idx="350">
                <c:v>24.97</c:v>
              </c:pt>
              <c:pt idx="351">
                <c:v>24.95</c:v>
              </c:pt>
              <c:pt idx="352">
                <c:v>24.96</c:v>
              </c:pt>
              <c:pt idx="353">
                <c:v>24.95</c:v>
              </c:pt>
              <c:pt idx="354">
                <c:v>24.95</c:v>
              </c:pt>
              <c:pt idx="355">
                <c:v>24.95</c:v>
              </c:pt>
              <c:pt idx="356">
                <c:v>24.95</c:v>
              </c:pt>
              <c:pt idx="357">
                <c:v>24.95</c:v>
              </c:pt>
              <c:pt idx="358">
                <c:v>24.92</c:v>
              </c:pt>
              <c:pt idx="359">
                <c:v>24.92</c:v>
              </c:pt>
              <c:pt idx="360">
                <c:v>24.9</c:v>
              </c:pt>
              <c:pt idx="361">
                <c:v>24.92</c:v>
              </c:pt>
              <c:pt idx="362">
                <c:v>24.9</c:v>
              </c:pt>
              <c:pt idx="363">
                <c:v>24.93</c:v>
              </c:pt>
              <c:pt idx="364">
                <c:v>24.91</c:v>
              </c:pt>
              <c:pt idx="365">
                <c:v>24.9</c:v>
              </c:pt>
              <c:pt idx="366">
                <c:v>24.92</c:v>
              </c:pt>
              <c:pt idx="367">
                <c:v>24.95</c:v>
              </c:pt>
              <c:pt idx="368">
                <c:v>24.93</c:v>
              </c:pt>
              <c:pt idx="369">
                <c:v>24.92</c:v>
              </c:pt>
              <c:pt idx="370">
                <c:v>24.9</c:v>
              </c:pt>
              <c:pt idx="371">
                <c:v>24.92</c:v>
              </c:pt>
              <c:pt idx="372">
                <c:v>24.9</c:v>
              </c:pt>
              <c:pt idx="373">
                <c:v>24.91</c:v>
              </c:pt>
              <c:pt idx="374">
                <c:v>24.89</c:v>
              </c:pt>
              <c:pt idx="375">
                <c:v>24.9</c:v>
              </c:pt>
              <c:pt idx="376">
                <c:v>24.89</c:v>
              </c:pt>
              <c:pt idx="377">
                <c:v>24.91</c:v>
              </c:pt>
              <c:pt idx="378">
                <c:v>24.86</c:v>
              </c:pt>
              <c:pt idx="379">
                <c:v>24.88</c:v>
              </c:pt>
              <c:pt idx="380">
                <c:v>24.85</c:v>
              </c:pt>
              <c:pt idx="381">
                <c:v>24.84</c:v>
              </c:pt>
              <c:pt idx="382">
                <c:v>24.81</c:v>
              </c:pt>
              <c:pt idx="383">
                <c:v>24.85</c:v>
              </c:pt>
              <c:pt idx="384">
                <c:v>24.89</c:v>
              </c:pt>
              <c:pt idx="385">
                <c:v>24.86</c:v>
              </c:pt>
              <c:pt idx="386">
                <c:v>24.87</c:v>
              </c:pt>
              <c:pt idx="387">
                <c:v>24.9</c:v>
              </c:pt>
              <c:pt idx="388">
                <c:v>24.88</c:v>
              </c:pt>
              <c:pt idx="389">
                <c:v>24.88</c:v>
              </c:pt>
              <c:pt idx="390">
                <c:v>24.92</c:v>
              </c:pt>
              <c:pt idx="391">
                <c:v>24.92</c:v>
              </c:pt>
              <c:pt idx="392">
                <c:v>24.91</c:v>
              </c:pt>
              <c:pt idx="393">
                <c:v>24.91</c:v>
              </c:pt>
              <c:pt idx="394">
                <c:v>24.89</c:v>
              </c:pt>
              <c:pt idx="395">
                <c:v>24.87</c:v>
              </c:pt>
              <c:pt idx="396">
                <c:v>24.89</c:v>
              </c:pt>
              <c:pt idx="397">
                <c:v>24.88</c:v>
              </c:pt>
              <c:pt idx="398">
                <c:v>24.9</c:v>
              </c:pt>
              <c:pt idx="399">
                <c:v>24.89</c:v>
              </c:pt>
              <c:pt idx="400">
                <c:v>24.9</c:v>
              </c:pt>
              <c:pt idx="401">
                <c:v>24.89</c:v>
              </c:pt>
              <c:pt idx="402">
                <c:v>24.9</c:v>
              </c:pt>
              <c:pt idx="403">
                <c:v>24.89</c:v>
              </c:pt>
              <c:pt idx="404">
                <c:v>24.91</c:v>
              </c:pt>
              <c:pt idx="405">
                <c:v>24.91</c:v>
              </c:pt>
              <c:pt idx="406">
                <c:v>24.92</c:v>
              </c:pt>
              <c:pt idx="407">
                <c:v>24.91</c:v>
              </c:pt>
              <c:pt idx="408">
                <c:v>24.93</c:v>
              </c:pt>
              <c:pt idx="409">
                <c:v>24.96</c:v>
              </c:pt>
              <c:pt idx="410">
                <c:v>24.93</c:v>
              </c:pt>
              <c:pt idx="411">
                <c:v>24.93</c:v>
              </c:pt>
              <c:pt idx="412">
                <c:v>24.95</c:v>
              </c:pt>
              <c:pt idx="413">
                <c:v>24.96</c:v>
              </c:pt>
              <c:pt idx="414">
                <c:v>24.95</c:v>
              </c:pt>
              <c:pt idx="415">
                <c:v>24.93</c:v>
              </c:pt>
              <c:pt idx="416">
                <c:v>24.91</c:v>
              </c:pt>
              <c:pt idx="417">
                <c:v>24.94</c:v>
              </c:pt>
              <c:pt idx="418">
                <c:v>24.88</c:v>
              </c:pt>
              <c:pt idx="419">
                <c:v>24.9</c:v>
              </c:pt>
              <c:pt idx="420">
                <c:v>24.91</c:v>
              </c:pt>
              <c:pt idx="421">
                <c:v>24.95</c:v>
              </c:pt>
              <c:pt idx="422">
                <c:v>24.89</c:v>
              </c:pt>
              <c:pt idx="423">
                <c:v>24.93</c:v>
              </c:pt>
              <c:pt idx="424">
                <c:v>24.91</c:v>
              </c:pt>
              <c:pt idx="425">
                <c:v>24.9</c:v>
              </c:pt>
              <c:pt idx="426">
                <c:v>24.88</c:v>
              </c:pt>
              <c:pt idx="427">
                <c:v>24.86</c:v>
              </c:pt>
              <c:pt idx="428">
                <c:v>24.9</c:v>
              </c:pt>
              <c:pt idx="429">
                <c:v>24.93</c:v>
              </c:pt>
              <c:pt idx="430">
                <c:v>24.93</c:v>
              </c:pt>
              <c:pt idx="431">
                <c:v>24.9</c:v>
              </c:pt>
              <c:pt idx="432">
                <c:v>24.89</c:v>
              </c:pt>
              <c:pt idx="433">
                <c:v>24.92</c:v>
              </c:pt>
              <c:pt idx="434">
                <c:v>24.93</c:v>
              </c:pt>
              <c:pt idx="435">
                <c:v>24.94</c:v>
              </c:pt>
              <c:pt idx="436">
                <c:v>24.94</c:v>
              </c:pt>
              <c:pt idx="437">
                <c:v>24.95</c:v>
              </c:pt>
              <c:pt idx="438">
                <c:v>24.92</c:v>
              </c:pt>
              <c:pt idx="439">
                <c:v>24.91</c:v>
              </c:pt>
              <c:pt idx="440">
                <c:v>24.9</c:v>
              </c:pt>
              <c:pt idx="441">
                <c:v>24.9</c:v>
              </c:pt>
              <c:pt idx="442">
                <c:v>24.94</c:v>
              </c:pt>
              <c:pt idx="443">
                <c:v>24.96</c:v>
              </c:pt>
              <c:pt idx="444">
                <c:v>24.97</c:v>
              </c:pt>
              <c:pt idx="445">
                <c:v>24.96</c:v>
              </c:pt>
              <c:pt idx="446">
                <c:v>24.96</c:v>
              </c:pt>
              <c:pt idx="447">
                <c:v>24.92</c:v>
              </c:pt>
              <c:pt idx="448">
                <c:v>24.94</c:v>
              </c:pt>
              <c:pt idx="449">
                <c:v>24.93</c:v>
              </c:pt>
              <c:pt idx="450">
                <c:v>24.95</c:v>
              </c:pt>
              <c:pt idx="451">
                <c:v>24.96</c:v>
              </c:pt>
              <c:pt idx="452">
                <c:v>24.98</c:v>
              </c:pt>
              <c:pt idx="453">
                <c:v>24.96</c:v>
              </c:pt>
              <c:pt idx="454">
                <c:v>24.96</c:v>
              </c:pt>
              <c:pt idx="455">
                <c:v>24.93</c:v>
              </c:pt>
              <c:pt idx="456">
                <c:v>24.96</c:v>
              </c:pt>
              <c:pt idx="457">
                <c:v>24.98</c:v>
              </c:pt>
              <c:pt idx="458">
                <c:v>25.02</c:v>
              </c:pt>
              <c:pt idx="459">
                <c:v>25.01</c:v>
              </c:pt>
              <c:pt idx="460">
                <c:v>24.99</c:v>
              </c:pt>
              <c:pt idx="461">
                <c:v>25.03</c:v>
              </c:pt>
              <c:pt idx="462">
                <c:v>25.03</c:v>
              </c:pt>
              <c:pt idx="463">
                <c:v>25.03</c:v>
              </c:pt>
              <c:pt idx="464">
                <c:v>25.04</c:v>
              </c:pt>
              <c:pt idx="465">
                <c:v>25.01</c:v>
              </c:pt>
              <c:pt idx="466">
                <c:v>25.01</c:v>
              </c:pt>
              <c:pt idx="467">
                <c:v>25</c:v>
              </c:pt>
              <c:pt idx="468">
                <c:v>24.98</c:v>
              </c:pt>
              <c:pt idx="469">
                <c:v>24.99</c:v>
              </c:pt>
              <c:pt idx="470">
                <c:v>24.95</c:v>
              </c:pt>
              <c:pt idx="471">
                <c:v>24.96</c:v>
              </c:pt>
              <c:pt idx="472">
                <c:v>24.92</c:v>
              </c:pt>
              <c:pt idx="473">
                <c:v>24.94</c:v>
              </c:pt>
              <c:pt idx="474">
                <c:v>24.95</c:v>
              </c:pt>
              <c:pt idx="475">
                <c:v>24.96</c:v>
              </c:pt>
              <c:pt idx="476">
                <c:v>24.95</c:v>
              </c:pt>
              <c:pt idx="477">
                <c:v>24.98</c:v>
              </c:pt>
              <c:pt idx="478">
                <c:v>24.94</c:v>
              </c:pt>
              <c:pt idx="479">
                <c:v>24.95</c:v>
              </c:pt>
              <c:pt idx="480">
                <c:v>24.94</c:v>
              </c:pt>
              <c:pt idx="481">
                <c:v>24.94</c:v>
              </c:pt>
              <c:pt idx="482">
                <c:v>24.89</c:v>
              </c:pt>
              <c:pt idx="483">
                <c:v>24.9</c:v>
              </c:pt>
              <c:pt idx="484">
                <c:v>24.93</c:v>
              </c:pt>
              <c:pt idx="485">
                <c:v>24.99</c:v>
              </c:pt>
              <c:pt idx="486">
                <c:v>24.97</c:v>
              </c:pt>
              <c:pt idx="487">
                <c:v>24.97</c:v>
              </c:pt>
              <c:pt idx="488">
                <c:v>24.95</c:v>
              </c:pt>
              <c:pt idx="489">
                <c:v>24.94</c:v>
              </c:pt>
              <c:pt idx="490">
                <c:v>24.94</c:v>
              </c:pt>
              <c:pt idx="491">
                <c:v>24.89</c:v>
              </c:pt>
              <c:pt idx="492">
                <c:v>24.88</c:v>
              </c:pt>
              <c:pt idx="493">
                <c:v>24.89</c:v>
              </c:pt>
              <c:pt idx="494">
                <c:v>24.85</c:v>
              </c:pt>
              <c:pt idx="495">
                <c:v>24.84</c:v>
              </c:pt>
              <c:pt idx="496">
                <c:v>24.84</c:v>
              </c:pt>
              <c:pt idx="497">
                <c:v>24.86</c:v>
              </c:pt>
              <c:pt idx="498">
                <c:v>24.9</c:v>
              </c:pt>
              <c:pt idx="499">
                <c:v>24.91</c:v>
              </c:pt>
              <c:pt idx="500">
                <c:v>24.96</c:v>
              </c:pt>
              <c:pt idx="501">
                <c:v>24.89</c:v>
              </c:pt>
              <c:pt idx="502">
                <c:v>24.94</c:v>
              </c:pt>
              <c:pt idx="503">
                <c:v>24.97</c:v>
              </c:pt>
              <c:pt idx="504">
                <c:v>25.02</c:v>
              </c:pt>
              <c:pt idx="505">
                <c:v>24.97</c:v>
              </c:pt>
              <c:pt idx="506">
                <c:v>25.01</c:v>
              </c:pt>
              <c:pt idx="507">
                <c:v>25.05</c:v>
              </c:pt>
              <c:pt idx="508">
                <c:v>25.09</c:v>
              </c:pt>
              <c:pt idx="509">
                <c:v>25.09</c:v>
              </c:pt>
              <c:pt idx="510">
                <c:v>25.2</c:v>
              </c:pt>
              <c:pt idx="511">
                <c:v>25.14</c:v>
              </c:pt>
              <c:pt idx="512">
                <c:v>25.18</c:v>
              </c:pt>
              <c:pt idx="513">
                <c:v>25.22</c:v>
              </c:pt>
              <c:pt idx="514">
                <c:v>25.16</c:v>
              </c:pt>
              <c:pt idx="515">
                <c:v>25.2</c:v>
              </c:pt>
              <c:pt idx="516">
                <c:v>25.27</c:v>
              </c:pt>
              <c:pt idx="517">
                <c:v>25.27</c:v>
              </c:pt>
              <c:pt idx="518">
                <c:v>25.26</c:v>
              </c:pt>
              <c:pt idx="519">
                <c:v>25.25</c:v>
              </c:pt>
              <c:pt idx="520">
                <c:v>25.29</c:v>
              </c:pt>
              <c:pt idx="521">
                <c:v>25.29</c:v>
              </c:pt>
              <c:pt idx="522">
                <c:v>25.36</c:v>
              </c:pt>
              <c:pt idx="523">
                <c:v>25.37</c:v>
              </c:pt>
              <c:pt idx="524">
                <c:v>25.39</c:v>
              </c:pt>
              <c:pt idx="525">
                <c:v>25.47</c:v>
              </c:pt>
              <c:pt idx="526">
                <c:v>25.45</c:v>
              </c:pt>
              <c:pt idx="527">
                <c:v>25.49</c:v>
              </c:pt>
              <c:pt idx="528">
                <c:v>25.54</c:v>
              </c:pt>
              <c:pt idx="529">
                <c:v>25.49</c:v>
              </c:pt>
              <c:pt idx="530">
                <c:v>25.62</c:v>
              </c:pt>
              <c:pt idx="531">
                <c:v>25.57</c:v>
              </c:pt>
              <c:pt idx="532">
                <c:v>25.69</c:v>
              </c:pt>
              <c:pt idx="533">
                <c:v>25.7</c:v>
              </c:pt>
              <c:pt idx="534">
                <c:v>25.74</c:v>
              </c:pt>
              <c:pt idx="535">
                <c:v>25.69</c:v>
              </c:pt>
              <c:pt idx="536">
                <c:v>25.71</c:v>
              </c:pt>
              <c:pt idx="537">
                <c:v>25.75</c:v>
              </c:pt>
              <c:pt idx="538">
                <c:v>25.73</c:v>
              </c:pt>
              <c:pt idx="539">
                <c:v>25.82</c:v>
              </c:pt>
              <c:pt idx="540">
                <c:v>25.86</c:v>
              </c:pt>
              <c:pt idx="541">
                <c:v>25.82</c:v>
              </c:pt>
              <c:pt idx="542">
                <c:v>25.9</c:v>
              </c:pt>
              <c:pt idx="543">
                <c:v>25.93</c:v>
              </c:pt>
              <c:pt idx="544">
                <c:v>25.8</c:v>
              </c:pt>
              <c:pt idx="545">
                <c:v>25.73</c:v>
              </c:pt>
              <c:pt idx="546">
                <c:v>25.77</c:v>
              </c:pt>
              <c:pt idx="547">
                <c:v>25.85</c:v>
              </c:pt>
              <c:pt idx="548">
                <c:v>25.85</c:v>
              </c:pt>
              <c:pt idx="549">
                <c:v>25.8</c:v>
              </c:pt>
              <c:pt idx="550">
                <c:v>25.82</c:v>
              </c:pt>
              <c:pt idx="551">
                <c:v>25.84</c:v>
              </c:pt>
              <c:pt idx="552">
                <c:v>25.8</c:v>
              </c:pt>
              <c:pt idx="553">
                <c:v>25.85</c:v>
              </c:pt>
              <c:pt idx="554">
                <c:v>25.87</c:v>
              </c:pt>
              <c:pt idx="555">
                <c:v>25.89</c:v>
              </c:pt>
              <c:pt idx="556">
                <c:v>25.81</c:v>
              </c:pt>
              <c:pt idx="557">
                <c:v>25.83</c:v>
              </c:pt>
              <c:pt idx="558">
                <c:v>25.78</c:v>
              </c:pt>
              <c:pt idx="559">
                <c:v>25.74</c:v>
              </c:pt>
              <c:pt idx="560">
                <c:v>25.77</c:v>
              </c:pt>
              <c:pt idx="561">
                <c:v>25.81</c:v>
              </c:pt>
              <c:pt idx="562">
                <c:v>25.76</c:v>
              </c:pt>
              <c:pt idx="563">
                <c:v>25.64</c:v>
              </c:pt>
              <c:pt idx="564">
                <c:v>25.63</c:v>
              </c:pt>
              <c:pt idx="565">
                <c:v>25.57</c:v>
              </c:pt>
              <c:pt idx="566">
                <c:v>25.55</c:v>
              </c:pt>
              <c:pt idx="567">
                <c:v>25.54</c:v>
              </c:pt>
              <c:pt idx="568">
                <c:v>25.52</c:v>
              </c:pt>
              <c:pt idx="569">
                <c:v>25.51</c:v>
              </c:pt>
              <c:pt idx="570">
                <c:v>25.53</c:v>
              </c:pt>
              <c:pt idx="571">
                <c:v>25.51</c:v>
              </c:pt>
              <c:pt idx="572">
                <c:v>25.59</c:v>
              </c:pt>
              <c:pt idx="573">
                <c:v>25.61</c:v>
              </c:pt>
              <c:pt idx="574">
                <c:v>25.58</c:v>
              </c:pt>
              <c:pt idx="575">
                <c:v>25.53</c:v>
              </c:pt>
              <c:pt idx="576">
                <c:v>25.48</c:v>
              </c:pt>
              <c:pt idx="577">
                <c:v>25.44</c:v>
              </c:pt>
              <c:pt idx="578">
                <c:v>25.45</c:v>
              </c:pt>
              <c:pt idx="579">
                <c:v>25.48</c:v>
              </c:pt>
              <c:pt idx="580">
                <c:v>25.45</c:v>
              </c:pt>
              <c:pt idx="581">
                <c:v>25.47</c:v>
              </c:pt>
              <c:pt idx="582">
                <c:v>25.4</c:v>
              </c:pt>
              <c:pt idx="583">
                <c:v>25.4</c:v>
              </c:pt>
              <c:pt idx="584">
                <c:v>25.44</c:v>
              </c:pt>
              <c:pt idx="585">
                <c:v>25.43</c:v>
              </c:pt>
              <c:pt idx="586">
                <c:v>25.52</c:v>
              </c:pt>
              <c:pt idx="587">
                <c:v>25.51</c:v>
              </c:pt>
              <c:pt idx="588">
                <c:v>25.41</c:v>
              </c:pt>
              <c:pt idx="589">
                <c:v>25.42</c:v>
              </c:pt>
              <c:pt idx="590">
                <c:v>25.43</c:v>
              </c:pt>
              <c:pt idx="591">
                <c:v>25.49</c:v>
              </c:pt>
              <c:pt idx="592">
                <c:v>25.49</c:v>
              </c:pt>
              <c:pt idx="593">
                <c:v>25.42</c:v>
              </c:pt>
              <c:pt idx="594">
                <c:v>25.48</c:v>
              </c:pt>
              <c:pt idx="595">
                <c:v>25.55</c:v>
              </c:pt>
              <c:pt idx="596">
                <c:v>25.61</c:v>
              </c:pt>
              <c:pt idx="597">
                <c:v>25.56</c:v>
              </c:pt>
              <c:pt idx="598">
                <c:v>25.55</c:v>
              </c:pt>
              <c:pt idx="599">
                <c:v>25.46</c:v>
              </c:pt>
              <c:pt idx="600">
                <c:v>25.56</c:v>
              </c:pt>
              <c:pt idx="601">
                <c:v>25.61</c:v>
              </c:pt>
              <c:pt idx="602">
                <c:v>25.77</c:v>
              </c:pt>
              <c:pt idx="603">
                <c:v>25.75</c:v>
              </c:pt>
              <c:pt idx="604">
                <c:v>25.7</c:v>
              </c:pt>
              <c:pt idx="605">
                <c:v>25.75</c:v>
              </c:pt>
              <c:pt idx="606">
                <c:v>25.87</c:v>
              </c:pt>
              <c:pt idx="607">
                <c:v>25.9</c:v>
              </c:pt>
              <c:pt idx="608">
                <c:v>25.91</c:v>
              </c:pt>
              <c:pt idx="609">
                <c:v>25.94</c:v>
              </c:pt>
              <c:pt idx="610">
                <c:v>26.04</c:v>
              </c:pt>
              <c:pt idx="611">
                <c:v>26.07</c:v>
              </c:pt>
              <c:pt idx="612">
                <c:v>26.03</c:v>
              </c:pt>
              <c:pt idx="613">
                <c:v>26.04</c:v>
              </c:pt>
              <c:pt idx="614">
                <c:v>26.11</c:v>
              </c:pt>
              <c:pt idx="615">
                <c:v>26.07</c:v>
              </c:pt>
              <c:pt idx="616">
                <c:v>26.13</c:v>
              </c:pt>
              <c:pt idx="617">
                <c:v>26.11</c:v>
              </c:pt>
              <c:pt idx="618">
                <c:v>26.08</c:v>
              </c:pt>
              <c:pt idx="619">
                <c:v>26.18</c:v>
              </c:pt>
              <c:pt idx="620">
                <c:v>26.22</c:v>
              </c:pt>
              <c:pt idx="621">
                <c:v>26.21</c:v>
              </c:pt>
              <c:pt idx="622">
                <c:v>26.28</c:v>
              </c:pt>
              <c:pt idx="623">
                <c:v>26.28</c:v>
              </c:pt>
              <c:pt idx="624">
                <c:v>26.38</c:v>
              </c:pt>
              <c:pt idx="625">
                <c:v>26.43</c:v>
              </c:pt>
              <c:pt idx="626">
                <c:v>26.37</c:v>
              </c:pt>
              <c:pt idx="627">
                <c:v>26.41</c:v>
              </c:pt>
              <c:pt idx="628">
                <c:v>26.52</c:v>
              </c:pt>
              <c:pt idx="629">
                <c:v>26.55</c:v>
              </c:pt>
              <c:pt idx="630">
                <c:v>26.51</c:v>
              </c:pt>
              <c:pt idx="631">
                <c:v>26.42</c:v>
              </c:pt>
              <c:pt idx="632">
                <c:v>26.46</c:v>
              </c:pt>
              <c:pt idx="633">
                <c:v>26.51</c:v>
              </c:pt>
              <c:pt idx="634">
                <c:v>26.62</c:v>
              </c:pt>
              <c:pt idx="635">
                <c:v>26.58</c:v>
              </c:pt>
              <c:pt idx="636">
                <c:v>26.65</c:v>
              </c:pt>
              <c:pt idx="637">
                <c:v>26.65</c:v>
              </c:pt>
              <c:pt idx="638">
                <c:v>26.62</c:v>
              </c:pt>
              <c:pt idx="639">
                <c:v>26.62</c:v>
              </c:pt>
              <c:pt idx="640">
                <c:v>26.64</c:v>
              </c:pt>
              <c:pt idx="641">
                <c:v>26.71</c:v>
              </c:pt>
              <c:pt idx="642">
                <c:v>26.69</c:v>
              </c:pt>
              <c:pt idx="643">
                <c:v>26.81</c:v>
              </c:pt>
              <c:pt idx="644">
                <c:v>26.9</c:v>
              </c:pt>
              <c:pt idx="645">
                <c:v>26.8</c:v>
              </c:pt>
              <c:pt idx="646">
                <c:v>26.72</c:v>
              </c:pt>
              <c:pt idx="647">
                <c:v>26.69</c:v>
              </c:pt>
              <c:pt idx="648">
                <c:v>26.72</c:v>
              </c:pt>
              <c:pt idx="649">
                <c:v>26.75</c:v>
              </c:pt>
              <c:pt idx="650">
                <c:v>26.84</c:v>
              </c:pt>
              <c:pt idx="651">
                <c:v>26.9</c:v>
              </c:pt>
              <c:pt idx="652">
                <c:v>26.98</c:v>
              </c:pt>
              <c:pt idx="653">
                <c:v>26.99</c:v>
              </c:pt>
              <c:pt idx="654">
                <c:v>27.05</c:v>
              </c:pt>
              <c:pt idx="655">
                <c:v>27.13</c:v>
              </c:pt>
              <c:pt idx="656">
                <c:v>27.04</c:v>
              </c:pt>
              <c:pt idx="657">
                <c:v>27.03</c:v>
              </c:pt>
              <c:pt idx="658">
                <c:v>27.06</c:v>
              </c:pt>
              <c:pt idx="659">
                <c:v>27.25</c:v>
              </c:pt>
              <c:pt idx="660">
                <c:v>27.21</c:v>
              </c:pt>
              <c:pt idx="661">
                <c:v>27.49</c:v>
              </c:pt>
              <c:pt idx="662">
                <c:v>27.52</c:v>
              </c:pt>
              <c:pt idx="663">
                <c:v>27.52</c:v>
              </c:pt>
              <c:pt idx="664">
                <c:v>27.6</c:v>
              </c:pt>
              <c:pt idx="665">
                <c:v>27.5</c:v>
              </c:pt>
              <c:pt idx="666">
                <c:v>27.49</c:v>
              </c:pt>
              <c:pt idx="667">
                <c:v>27.68</c:v>
              </c:pt>
              <c:pt idx="668">
                <c:v>27.65</c:v>
              </c:pt>
              <c:pt idx="669">
                <c:v>27.52</c:v>
              </c:pt>
              <c:pt idx="670">
                <c:v>27.46</c:v>
              </c:pt>
              <c:pt idx="671">
                <c:v>27.42</c:v>
              </c:pt>
              <c:pt idx="672">
                <c:v>27.51</c:v>
              </c:pt>
              <c:pt idx="673">
                <c:v>27.55</c:v>
              </c:pt>
              <c:pt idx="674">
                <c:v>27.55</c:v>
              </c:pt>
              <c:pt idx="675">
                <c:v>27.46</c:v>
              </c:pt>
              <c:pt idx="676">
                <c:v>27.48</c:v>
              </c:pt>
              <c:pt idx="677">
                <c:v>27.69</c:v>
              </c:pt>
              <c:pt idx="678">
                <c:v>27.83</c:v>
              </c:pt>
              <c:pt idx="679">
                <c:v>27.77</c:v>
              </c:pt>
              <c:pt idx="680">
                <c:v>27.78</c:v>
              </c:pt>
              <c:pt idx="681">
                <c:v>27.7</c:v>
              </c:pt>
              <c:pt idx="682">
                <c:v>27.54</c:v>
              </c:pt>
              <c:pt idx="683">
                <c:v>27.61</c:v>
              </c:pt>
              <c:pt idx="684">
                <c:v>27.63</c:v>
              </c:pt>
              <c:pt idx="685">
                <c:v>27.44</c:v>
              </c:pt>
              <c:pt idx="686">
                <c:v>27.42</c:v>
              </c:pt>
              <c:pt idx="687">
                <c:v>27.53</c:v>
              </c:pt>
              <c:pt idx="688">
                <c:v>27.67</c:v>
              </c:pt>
              <c:pt idx="689">
                <c:v>27.64</c:v>
              </c:pt>
              <c:pt idx="690">
                <c:v>27.58</c:v>
              </c:pt>
              <c:pt idx="691">
                <c:v>27.57</c:v>
              </c:pt>
              <c:pt idx="692">
                <c:v>27.53</c:v>
              </c:pt>
              <c:pt idx="693">
                <c:v>27.58</c:v>
              </c:pt>
              <c:pt idx="694">
                <c:v>27.56</c:v>
              </c:pt>
              <c:pt idx="695">
                <c:v>27.46</c:v>
              </c:pt>
              <c:pt idx="696">
                <c:v>27.46</c:v>
              </c:pt>
              <c:pt idx="697">
                <c:v>27.61</c:v>
              </c:pt>
              <c:pt idx="698">
                <c:v>27.75</c:v>
              </c:pt>
              <c:pt idx="699">
                <c:v>27.75</c:v>
              </c:pt>
              <c:pt idx="700">
                <c:v>27.72</c:v>
              </c:pt>
              <c:pt idx="701">
                <c:v>27.64</c:v>
              </c:pt>
              <c:pt idx="702">
                <c:v>27.71</c:v>
              </c:pt>
              <c:pt idx="703">
                <c:v>27.68</c:v>
              </c:pt>
              <c:pt idx="704">
                <c:v>27.8</c:v>
              </c:pt>
              <c:pt idx="705">
                <c:v>27.9</c:v>
              </c:pt>
              <c:pt idx="706">
                <c:v>28.03</c:v>
              </c:pt>
              <c:pt idx="707">
                <c:v>27.95</c:v>
              </c:pt>
              <c:pt idx="708">
                <c:v>27.89</c:v>
              </c:pt>
              <c:pt idx="709">
                <c:v>28</c:v>
              </c:pt>
              <c:pt idx="710">
                <c:v>27.81</c:v>
              </c:pt>
              <c:pt idx="711">
                <c:v>27.93</c:v>
              </c:pt>
              <c:pt idx="712">
                <c:v>27.82</c:v>
              </c:pt>
              <c:pt idx="713">
                <c:v>27.7</c:v>
              </c:pt>
              <c:pt idx="714">
                <c:v>27.83</c:v>
              </c:pt>
              <c:pt idx="715">
                <c:v>27.88</c:v>
              </c:pt>
              <c:pt idx="716">
                <c:v>27.89</c:v>
              </c:pt>
              <c:pt idx="717">
                <c:v>28.05</c:v>
              </c:pt>
              <c:pt idx="718">
                <c:v>27.99</c:v>
              </c:pt>
              <c:pt idx="719">
                <c:v>27.94</c:v>
              </c:pt>
              <c:pt idx="720">
                <c:v>28.29</c:v>
              </c:pt>
              <c:pt idx="721">
                <c:v>28.19</c:v>
              </c:pt>
              <c:pt idx="722">
                <c:v>28.05</c:v>
              </c:pt>
              <c:pt idx="723">
                <c:v>28.03</c:v>
              </c:pt>
              <c:pt idx="724">
                <c:v>27.96</c:v>
              </c:pt>
              <c:pt idx="725">
                <c:v>28.04</c:v>
              </c:pt>
              <c:pt idx="726">
                <c:v>28.05</c:v>
              </c:pt>
              <c:pt idx="727">
                <c:v>27.89</c:v>
              </c:pt>
              <c:pt idx="728">
                <c:v>27.8</c:v>
              </c:pt>
              <c:pt idx="729">
                <c:v>27.74</c:v>
              </c:pt>
              <c:pt idx="730">
                <c:v>27.7</c:v>
              </c:pt>
              <c:pt idx="731">
                <c:v>27.92</c:v>
              </c:pt>
              <c:pt idx="732">
                <c:v>27.82</c:v>
              </c:pt>
              <c:pt idx="733">
                <c:v>27.64</c:v>
              </c:pt>
              <c:pt idx="734">
                <c:v>27.69</c:v>
              </c:pt>
              <c:pt idx="735">
                <c:v>27.85</c:v>
              </c:pt>
              <c:pt idx="736">
                <c:v>27.66</c:v>
              </c:pt>
              <c:pt idx="737">
                <c:v>27.59</c:v>
              </c:pt>
              <c:pt idx="738">
                <c:v>27.69</c:v>
              </c:pt>
              <c:pt idx="739">
                <c:v>27.72</c:v>
              </c:pt>
              <c:pt idx="740">
                <c:v>27.86</c:v>
              </c:pt>
              <c:pt idx="741">
                <c:v>27.69</c:v>
              </c:pt>
              <c:pt idx="742">
                <c:v>27.66</c:v>
              </c:pt>
              <c:pt idx="743">
                <c:v>27.57</c:v>
              </c:pt>
              <c:pt idx="744">
                <c:v>27.56</c:v>
              </c:pt>
              <c:pt idx="745">
                <c:v>27.7</c:v>
              </c:pt>
              <c:pt idx="746">
                <c:v>27.73</c:v>
              </c:pt>
              <c:pt idx="747">
                <c:v>27.72</c:v>
              </c:pt>
              <c:pt idx="748">
                <c:v>27.67</c:v>
              </c:pt>
              <c:pt idx="749">
                <c:v>27.79</c:v>
              </c:pt>
              <c:pt idx="750">
                <c:v>27.81</c:v>
              </c:pt>
              <c:pt idx="751">
                <c:v>27.92</c:v>
              </c:pt>
              <c:pt idx="752">
                <c:v>27.79</c:v>
              </c:pt>
              <c:pt idx="753">
                <c:v>27.73</c:v>
              </c:pt>
              <c:pt idx="754">
                <c:v>27.77</c:v>
              </c:pt>
              <c:pt idx="755">
                <c:v>27.8</c:v>
              </c:pt>
              <c:pt idx="756">
                <c:v>27.72</c:v>
              </c:pt>
              <c:pt idx="757">
                <c:v>27.61</c:v>
              </c:pt>
              <c:pt idx="758">
                <c:v>27.66</c:v>
              </c:pt>
              <c:pt idx="759">
                <c:v>27.76</c:v>
              </c:pt>
              <c:pt idx="760">
                <c:v>27.72</c:v>
              </c:pt>
              <c:pt idx="761">
                <c:v>27.56</c:v>
              </c:pt>
              <c:pt idx="762">
                <c:v>27.57</c:v>
              </c:pt>
              <c:pt idx="763">
                <c:v>27.6</c:v>
              </c:pt>
              <c:pt idx="764">
                <c:v>27.63</c:v>
              </c:pt>
              <c:pt idx="765">
                <c:v>27.59</c:v>
              </c:pt>
              <c:pt idx="766">
                <c:v>27.49</c:v>
              </c:pt>
              <c:pt idx="767">
                <c:v>27.45</c:v>
              </c:pt>
              <c:pt idx="768">
                <c:v>27.33</c:v>
              </c:pt>
              <c:pt idx="769">
                <c:v>27.39</c:v>
              </c:pt>
              <c:pt idx="770">
                <c:v>27.39</c:v>
              </c:pt>
              <c:pt idx="771">
                <c:v>27.46</c:v>
              </c:pt>
              <c:pt idx="772">
                <c:v>27.4</c:v>
              </c:pt>
              <c:pt idx="773">
                <c:v>27.4</c:v>
              </c:pt>
              <c:pt idx="774">
                <c:v>27.33</c:v>
              </c:pt>
              <c:pt idx="775">
                <c:v>27.22</c:v>
              </c:pt>
              <c:pt idx="776">
                <c:v>27.22</c:v>
              </c:pt>
              <c:pt idx="777">
                <c:v>27.16</c:v>
              </c:pt>
              <c:pt idx="778">
                <c:v>27.13</c:v>
              </c:pt>
              <c:pt idx="779">
                <c:v>27.17</c:v>
              </c:pt>
              <c:pt idx="780">
                <c:v>27.2</c:v>
              </c:pt>
              <c:pt idx="781">
                <c:v>27.17</c:v>
              </c:pt>
              <c:pt idx="782">
                <c:v>27.18</c:v>
              </c:pt>
              <c:pt idx="783">
                <c:v>27.17</c:v>
              </c:pt>
              <c:pt idx="784">
                <c:v>27.25</c:v>
              </c:pt>
              <c:pt idx="785">
                <c:v>27.42</c:v>
              </c:pt>
              <c:pt idx="786">
                <c:v>27.45</c:v>
              </c:pt>
              <c:pt idx="787">
                <c:v>27.34</c:v>
              </c:pt>
              <c:pt idx="788">
                <c:v>27.33</c:v>
              </c:pt>
              <c:pt idx="789">
                <c:v>27.29</c:v>
              </c:pt>
              <c:pt idx="790">
                <c:v>27.08</c:v>
              </c:pt>
              <c:pt idx="791">
                <c:v>27.17</c:v>
              </c:pt>
              <c:pt idx="792">
                <c:v>27.17</c:v>
              </c:pt>
              <c:pt idx="793">
                <c:v>27.18</c:v>
              </c:pt>
              <c:pt idx="794">
                <c:v>27.21</c:v>
              </c:pt>
              <c:pt idx="795">
                <c:v>27.05</c:v>
              </c:pt>
              <c:pt idx="796">
                <c:v>27.03</c:v>
              </c:pt>
              <c:pt idx="797">
                <c:v>26.99</c:v>
              </c:pt>
              <c:pt idx="798">
                <c:v>27.02</c:v>
              </c:pt>
              <c:pt idx="799">
                <c:v>27.16</c:v>
              </c:pt>
              <c:pt idx="800">
                <c:v>27.17</c:v>
              </c:pt>
              <c:pt idx="801">
                <c:v>27.2</c:v>
              </c:pt>
              <c:pt idx="802">
                <c:v>27.21</c:v>
              </c:pt>
              <c:pt idx="803">
                <c:v>27.03</c:v>
              </c:pt>
              <c:pt idx="804">
                <c:v>26.93</c:v>
              </c:pt>
              <c:pt idx="805">
                <c:v>27.02</c:v>
              </c:pt>
              <c:pt idx="806">
                <c:v>26.97</c:v>
              </c:pt>
              <c:pt idx="807">
                <c:v>27.19</c:v>
              </c:pt>
              <c:pt idx="808">
                <c:v>27.03</c:v>
              </c:pt>
              <c:pt idx="809">
                <c:v>27.21</c:v>
              </c:pt>
              <c:pt idx="810">
                <c:v>27.23</c:v>
              </c:pt>
              <c:pt idx="811">
                <c:v>27.32</c:v>
              </c:pt>
              <c:pt idx="812">
                <c:v>27.4</c:v>
              </c:pt>
              <c:pt idx="813">
                <c:v>27.49</c:v>
              </c:pt>
              <c:pt idx="814">
                <c:v>27.49</c:v>
              </c:pt>
              <c:pt idx="815">
                <c:v>27.47</c:v>
              </c:pt>
              <c:pt idx="816">
                <c:v>27.48</c:v>
              </c:pt>
              <c:pt idx="817">
                <c:v>27.47</c:v>
              </c:pt>
              <c:pt idx="818">
                <c:v>27.43</c:v>
              </c:pt>
              <c:pt idx="819">
                <c:v>27.24</c:v>
              </c:pt>
              <c:pt idx="820">
                <c:v>27.27</c:v>
              </c:pt>
              <c:pt idx="821">
                <c:v>27.14</c:v>
              </c:pt>
              <c:pt idx="822">
                <c:v>27.2</c:v>
              </c:pt>
              <c:pt idx="823">
                <c:v>27.22</c:v>
              </c:pt>
              <c:pt idx="824">
                <c:v>27.12</c:v>
              </c:pt>
              <c:pt idx="825">
                <c:v>27.19</c:v>
              </c:pt>
              <c:pt idx="826">
                <c:v>27.2</c:v>
              </c:pt>
              <c:pt idx="827">
                <c:v>27.22</c:v>
              </c:pt>
              <c:pt idx="828">
                <c:v>27.39</c:v>
              </c:pt>
              <c:pt idx="829">
                <c:v>27.37</c:v>
              </c:pt>
              <c:pt idx="830">
                <c:v>27.35</c:v>
              </c:pt>
              <c:pt idx="831">
                <c:v>27.37</c:v>
              </c:pt>
              <c:pt idx="832">
                <c:v>27.41</c:v>
              </c:pt>
              <c:pt idx="833">
                <c:v>27.44</c:v>
              </c:pt>
              <c:pt idx="834">
                <c:v>27.56</c:v>
              </c:pt>
              <c:pt idx="835">
                <c:v>27.57</c:v>
              </c:pt>
              <c:pt idx="836">
                <c:v>27.5</c:v>
              </c:pt>
              <c:pt idx="837">
                <c:v>27.52</c:v>
              </c:pt>
              <c:pt idx="838">
                <c:v>27.52</c:v>
              </c:pt>
              <c:pt idx="839">
                <c:v>27.62</c:v>
              </c:pt>
              <c:pt idx="840">
                <c:v>27.64</c:v>
              </c:pt>
              <c:pt idx="841">
                <c:v>27.8</c:v>
              </c:pt>
              <c:pt idx="842">
                <c:v>27.81</c:v>
              </c:pt>
              <c:pt idx="843">
                <c:v>27.65</c:v>
              </c:pt>
              <c:pt idx="844">
                <c:v>27.8</c:v>
              </c:pt>
              <c:pt idx="845">
                <c:v>27.88</c:v>
              </c:pt>
              <c:pt idx="846">
                <c:v>27.83</c:v>
              </c:pt>
              <c:pt idx="847">
                <c:v>27.77</c:v>
              </c:pt>
              <c:pt idx="848">
                <c:v>27.78</c:v>
              </c:pt>
              <c:pt idx="849">
                <c:v>27.88</c:v>
              </c:pt>
              <c:pt idx="850">
                <c:v>27.91</c:v>
              </c:pt>
              <c:pt idx="851">
                <c:v>28.02</c:v>
              </c:pt>
              <c:pt idx="852">
                <c:v>28.07</c:v>
              </c:pt>
              <c:pt idx="853">
                <c:v>28.02</c:v>
              </c:pt>
              <c:pt idx="854">
                <c:v>28</c:v>
              </c:pt>
              <c:pt idx="855">
                <c:v>27.94</c:v>
              </c:pt>
              <c:pt idx="856">
                <c:v>27.98</c:v>
              </c:pt>
              <c:pt idx="857">
                <c:v>27.96</c:v>
              </c:pt>
              <c:pt idx="858">
                <c:v>27.91</c:v>
              </c:pt>
              <c:pt idx="859">
                <c:v>27.84</c:v>
              </c:pt>
              <c:pt idx="860">
                <c:v>27.92</c:v>
              </c:pt>
              <c:pt idx="861">
                <c:v>27.94</c:v>
              </c:pt>
              <c:pt idx="862">
                <c:v>27.86</c:v>
              </c:pt>
              <c:pt idx="863">
                <c:v>27.67</c:v>
              </c:pt>
              <c:pt idx="864">
                <c:v>27.52</c:v>
              </c:pt>
              <c:pt idx="865">
                <c:v>27.48</c:v>
              </c:pt>
              <c:pt idx="866">
                <c:v>27.44</c:v>
              </c:pt>
              <c:pt idx="867">
                <c:v>27.45</c:v>
              </c:pt>
              <c:pt idx="868">
                <c:v>27.49</c:v>
              </c:pt>
              <c:pt idx="869">
                <c:v>27.5</c:v>
              </c:pt>
              <c:pt idx="870">
                <c:v>27.54</c:v>
              </c:pt>
              <c:pt idx="871">
                <c:v>27.5</c:v>
              </c:pt>
              <c:pt idx="872">
                <c:v>27.39</c:v>
              </c:pt>
              <c:pt idx="873">
                <c:v>27.32</c:v>
              </c:pt>
              <c:pt idx="874">
                <c:v>27.41</c:v>
              </c:pt>
              <c:pt idx="875">
                <c:v>27.54</c:v>
              </c:pt>
              <c:pt idx="876">
                <c:v>27.63</c:v>
              </c:pt>
              <c:pt idx="877">
                <c:v>27.68</c:v>
              </c:pt>
              <c:pt idx="878">
                <c:v>27.6</c:v>
              </c:pt>
              <c:pt idx="879">
                <c:v>27.41</c:v>
              </c:pt>
              <c:pt idx="880">
                <c:v>27.41</c:v>
              </c:pt>
              <c:pt idx="881">
                <c:v>27.45</c:v>
              </c:pt>
              <c:pt idx="882">
                <c:v>27.54</c:v>
              </c:pt>
              <c:pt idx="883">
                <c:v>27.59</c:v>
              </c:pt>
              <c:pt idx="884">
                <c:v>27.39</c:v>
              </c:pt>
              <c:pt idx="885">
                <c:v>27.46</c:v>
              </c:pt>
              <c:pt idx="886">
                <c:v>27.32</c:v>
              </c:pt>
              <c:pt idx="887">
                <c:v>27.22</c:v>
              </c:pt>
              <c:pt idx="888">
                <c:v>27.18</c:v>
              </c:pt>
              <c:pt idx="889">
                <c:v>27.26</c:v>
              </c:pt>
              <c:pt idx="890">
                <c:v>27.26</c:v>
              </c:pt>
              <c:pt idx="891">
                <c:v>27.24</c:v>
              </c:pt>
              <c:pt idx="892">
                <c:v>27.24</c:v>
              </c:pt>
              <c:pt idx="893">
                <c:v>27.36</c:v>
              </c:pt>
              <c:pt idx="894">
                <c:v>27.45</c:v>
              </c:pt>
              <c:pt idx="895">
                <c:v>27.33</c:v>
              </c:pt>
              <c:pt idx="896">
                <c:v>27.16</c:v>
              </c:pt>
              <c:pt idx="897">
                <c:v>27.14</c:v>
              </c:pt>
              <c:pt idx="898">
                <c:v>27.04</c:v>
              </c:pt>
              <c:pt idx="899">
                <c:v>27.11</c:v>
              </c:pt>
              <c:pt idx="900">
                <c:v>27.04</c:v>
              </c:pt>
              <c:pt idx="901">
                <c:v>27.07</c:v>
              </c:pt>
              <c:pt idx="902">
                <c:v>27.22</c:v>
              </c:pt>
              <c:pt idx="903">
                <c:v>27.23</c:v>
              </c:pt>
              <c:pt idx="904">
                <c:v>27.17</c:v>
              </c:pt>
              <c:pt idx="905">
                <c:v>27.15</c:v>
              </c:pt>
              <c:pt idx="906">
                <c:v>27.13</c:v>
              </c:pt>
              <c:pt idx="907">
                <c:v>27.12</c:v>
              </c:pt>
              <c:pt idx="908">
                <c:v>27.02</c:v>
              </c:pt>
              <c:pt idx="909">
                <c:v>26.9</c:v>
              </c:pt>
              <c:pt idx="910">
                <c:v>26.93</c:v>
              </c:pt>
              <c:pt idx="911">
                <c:v>26.96</c:v>
              </c:pt>
              <c:pt idx="912">
                <c:v>26.85</c:v>
              </c:pt>
              <c:pt idx="913">
                <c:v>26.84</c:v>
              </c:pt>
              <c:pt idx="914">
                <c:v>26.83</c:v>
              </c:pt>
              <c:pt idx="915">
                <c:v>26.89</c:v>
              </c:pt>
              <c:pt idx="916">
                <c:v>26.84</c:v>
              </c:pt>
              <c:pt idx="917">
                <c:v>26.79</c:v>
              </c:pt>
              <c:pt idx="918">
                <c:v>26.85</c:v>
              </c:pt>
              <c:pt idx="919">
                <c:v>26.73</c:v>
              </c:pt>
              <c:pt idx="920">
                <c:v>26.79</c:v>
              </c:pt>
              <c:pt idx="921">
                <c:v>26.89</c:v>
              </c:pt>
              <c:pt idx="922">
                <c:v>26.94</c:v>
              </c:pt>
              <c:pt idx="923">
                <c:v>26.89</c:v>
              </c:pt>
              <c:pt idx="924">
                <c:v>26.88</c:v>
              </c:pt>
              <c:pt idx="925">
                <c:v>26.9</c:v>
              </c:pt>
              <c:pt idx="926">
                <c:v>26.85</c:v>
              </c:pt>
              <c:pt idx="927">
                <c:v>26.88</c:v>
              </c:pt>
              <c:pt idx="928">
                <c:v>26.82</c:v>
              </c:pt>
              <c:pt idx="929">
                <c:v>26.77</c:v>
              </c:pt>
              <c:pt idx="930">
                <c:v>26.8</c:v>
              </c:pt>
              <c:pt idx="931">
                <c:v>26.88</c:v>
              </c:pt>
              <c:pt idx="932">
                <c:v>26.9</c:v>
              </c:pt>
              <c:pt idx="933">
                <c:v>26.81</c:v>
              </c:pt>
              <c:pt idx="934">
                <c:v>26.92</c:v>
              </c:pt>
              <c:pt idx="935">
                <c:v>26.97</c:v>
              </c:pt>
              <c:pt idx="936">
                <c:v>26.95</c:v>
              </c:pt>
              <c:pt idx="937">
                <c:v>26.92</c:v>
              </c:pt>
              <c:pt idx="938">
                <c:v>26.93</c:v>
              </c:pt>
              <c:pt idx="939">
                <c:v>26.99</c:v>
              </c:pt>
              <c:pt idx="940">
                <c:v>26.95</c:v>
              </c:pt>
              <c:pt idx="941">
                <c:v>26.97</c:v>
              </c:pt>
              <c:pt idx="942">
                <c:v>26.99</c:v>
              </c:pt>
              <c:pt idx="943">
                <c:v>27.05</c:v>
              </c:pt>
              <c:pt idx="944">
                <c:v>27.14</c:v>
              </c:pt>
              <c:pt idx="945">
                <c:v>27.06</c:v>
              </c:pt>
              <c:pt idx="946">
                <c:v>27.05</c:v>
              </c:pt>
              <c:pt idx="947">
                <c:v>27.08</c:v>
              </c:pt>
              <c:pt idx="948">
                <c:v>27.18</c:v>
              </c:pt>
              <c:pt idx="949">
                <c:v>27.15</c:v>
              </c:pt>
              <c:pt idx="950">
                <c:v>27.19</c:v>
              </c:pt>
              <c:pt idx="951">
                <c:v>27.25</c:v>
              </c:pt>
              <c:pt idx="952">
                <c:v>27.25</c:v>
              </c:pt>
              <c:pt idx="953">
                <c:v>27.25</c:v>
              </c:pt>
              <c:pt idx="954">
                <c:v>27.35</c:v>
              </c:pt>
              <c:pt idx="955">
                <c:v>27.34</c:v>
              </c:pt>
              <c:pt idx="956">
                <c:v>27.39</c:v>
              </c:pt>
              <c:pt idx="957">
                <c:v>27.45</c:v>
              </c:pt>
              <c:pt idx="958">
                <c:v>27.41</c:v>
              </c:pt>
              <c:pt idx="959">
                <c:v>27.46</c:v>
              </c:pt>
              <c:pt idx="960">
                <c:v>27.47</c:v>
              </c:pt>
              <c:pt idx="961">
                <c:v>27.52</c:v>
              </c:pt>
              <c:pt idx="962">
                <c:v>27.64</c:v>
              </c:pt>
              <c:pt idx="963">
                <c:v>27.72</c:v>
              </c:pt>
              <c:pt idx="964">
                <c:v>27.73</c:v>
              </c:pt>
              <c:pt idx="965">
                <c:v>27.71</c:v>
              </c:pt>
              <c:pt idx="966">
                <c:v>27.72</c:v>
              </c:pt>
              <c:pt idx="967">
                <c:v>27.7</c:v>
              </c:pt>
              <c:pt idx="968">
                <c:v>27.75</c:v>
              </c:pt>
              <c:pt idx="969">
                <c:v>27.78</c:v>
              </c:pt>
              <c:pt idx="970">
                <c:v>27.77</c:v>
              </c:pt>
              <c:pt idx="971">
                <c:v>27.83</c:v>
              </c:pt>
              <c:pt idx="972">
                <c:v>27.86</c:v>
              </c:pt>
              <c:pt idx="973">
                <c:v>27.91</c:v>
              </c:pt>
              <c:pt idx="974">
                <c:v>27.91</c:v>
              </c:pt>
              <c:pt idx="975">
                <c:v>27.95</c:v>
              </c:pt>
              <c:pt idx="976">
                <c:v>27.98</c:v>
              </c:pt>
              <c:pt idx="977">
                <c:v>28.03</c:v>
              </c:pt>
              <c:pt idx="978">
                <c:v>27.91</c:v>
              </c:pt>
              <c:pt idx="979">
                <c:v>27.91</c:v>
              </c:pt>
              <c:pt idx="980">
                <c:v>27.88</c:v>
              </c:pt>
              <c:pt idx="981">
                <c:v>27.87</c:v>
              </c:pt>
              <c:pt idx="982">
                <c:v>27.87</c:v>
              </c:pt>
              <c:pt idx="983">
                <c:v>27.92</c:v>
              </c:pt>
              <c:pt idx="984">
                <c:v>27.92</c:v>
              </c:pt>
              <c:pt idx="985">
                <c:v>27.98</c:v>
              </c:pt>
              <c:pt idx="986">
                <c:v>27.97</c:v>
              </c:pt>
              <c:pt idx="987">
                <c:v>27.99</c:v>
              </c:pt>
              <c:pt idx="988">
                <c:v>27.99</c:v>
              </c:pt>
              <c:pt idx="989">
                <c:v>27.98</c:v>
              </c:pt>
              <c:pt idx="990">
                <c:v>28.03</c:v>
              </c:pt>
              <c:pt idx="991">
                <c:v>28.05</c:v>
              </c:pt>
              <c:pt idx="992">
                <c:v>28.05</c:v>
              </c:pt>
              <c:pt idx="993">
                <c:v>28.09</c:v>
              </c:pt>
              <c:pt idx="994">
                <c:v>28.1</c:v>
              </c:pt>
              <c:pt idx="995">
                <c:v>28.15</c:v>
              </c:pt>
              <c:pt idx="996">
                <c:v>28.12</c:v>
              </c:pt>
              <c:pt idx="997">
                <c:v>28.14</c:v>
              </c:pt>
              <c:pt idx="998">
                <c:v>28.18</c:v>
              </c:pt>
              <c:pt idx="999">
                <c:v>28.18</c:v>
              </c:pt>
              <c:pt idx="1000">
                <c:v>28.24</c:v>
              </c:pt>
              <c:pt idx="1001">
                <c:v>28.34</c:v>
              </c:pt>
              <c:pt idx="1002">
                <c:v>28.39</c:v>
              </c:pt>
              <c:pt idx="1003">
                <c:v>28.39</c:v>
              </c:pt>
              <c:pt idx="1004">
                <c:v>28.38</c:v>
              </c:pt>
              <c:pt idx="1005">
                <c:v>28.28</c:v>
              </c:pt>
              <c:pt idx="1006">
                <c:v>28.25</c:v>
              </c:pt>
              <c:pt idx="1007">
                <c:v>28.21</c:v>
              </c:pt>
              <c:pt idx="1008">
                <c:v>28.25</c:v>
              </c:pt>
              <c:pt idx="1009">
                <c:v>28.19</c:v>
              </c:pt>
              <c:pt idx="1010">
                <c:v>28.16</c:v>
              </c:pt>
              <c:pt idx="1011">
                <c:v>28.22</c:v>
              </c:pt>
              <c:pt idx="1012">
                <c:v>28.18</c:v>
              </c:pt>
              <c:pt idx="1013">
                <c:v>28.15</c:v>
              </c:pt>
              <c:pt idx="1014">
                <c:v>28.07</c:v>
              </c:pt>
              <c:pt idx="1015">
                <c:v>28.03</c:v>
              </c:pt>
              <c:pt idx="1016">
                <c:v>28.02</c:v>
              </c:pt>
              <c:pt idx="1017">
                <c:v>28.02</c:v>
              </c:pt>
              <c:pt idx="1018">
                <c:v>27.95</c:v>
              </c:pt>
              <c:pt idx="1019">
                <c:v>27.96</c:v>
              </c:pt>
              <c:pt idx="1020">
                <c:v>27.97</c:v>
              </c:pt>
              <c:pt idx="1021">
                <c:v>27.96</c:v>
              </c:pt>
              <c:pt idx="1022">
                <c:v>27.98</c:v>
              </c:pt>
              <c:pt idx="1023">
                <c:v>27.9</c:v>
              </c:pt>
              <c:pt idx="1024">
                <c:v>27.88</c:v>
              </c:pt>
              <c:pt idx="1025">
                <c:v>27.82</c:v>
              </c:pt>
              <c:pt idx="1026">
                <c:v>27.77</c:v>
              </c:pt>
              <c:pt idx="1027">
                <c:v>27.77</c:v>
              </c:pt>
              <c:pt idx="1028">
                <c:v>27.67</c:v>
              </c:pt>
              <c:pt idx="1029">
                <c:v>27.63</c:v>
              </c:pt>
              <c:pt idx="1030">
                <c:v>27.58</c:v>
              </c:pt>
              <c:pt idx="1031">
                <c:v>27.56</c:v>
              </c:pt>
              <c:pt idx="1032">
                <c:v>27.55</c:v>
              </c:pt>
              <c:pt idx="1033">
                <c:v>27.53</c:v>
              </c:pt>
              <c:pt idx="1034">
                <c:v>27.47</c:v>
              </c:pt>
              <c:pt idx="1035">
                <c:v>27.45</c:v>
              </c:pt>
              <c:pt idx="1036">
                <c:v>27.4</c:v>
              </c:pt>
              <c:pt idx="1037">
                <c:v>27.42</c:v>
              </c:pt>
              <c:pt idx="1038">
                <c:v>27.47</c:v>
              </c:pt>
              <c:pt idx="1039">
                <c:v>27.53</c:v>
              </c:pt>
              <c:pt idx="1040">
                <c:v>27.54</c:v>
              </c:pt>
              <c:pt idx="1041">
                <c:v>27.54</c:v>
              </c:pt>
              <c:pt idx="1042">
                <c:v>27.61</c:v>
              </c:pt>
              <c:pt idx="1043">
                <c:v>27.66</c:v>
              </c:pt>
              <c:pt idx="1044">
                <c:v>27.8</c:v>
              </c:pt>
              <c:pt idx="1045">
                <c:v>27.9</c:v>
              </c:pt>
              <c:pt idx="1046">
                <c:v>28</c:v>
              </c:pt>
              <c:pt idx="1047">
                <c:v>28.05</c:v>
              </c:pt>
              <c:pt idx="1048">
                <c:v>28.02</c:v>
              </c:pt>
              <c:pt idx="1049">
                <c:v>28.03</c:v>
              </c:pt>
              <c:pt idx="1050">
                <c:v>28.09</c:v>
              </c:pt>
              <c:pt idx="1051">
                <c:v>28.13</c:v>
              </c:pt>
              <c:pt idx="1052">
                <c:v>28.18</c:v>
              </c:pt>
              <c:pt idx="1053">
                <c:v>28.19</c:v>
              </c:pt>
              <c:pt idx="1054">
                <c:v>28.17</c:v>
              </c:pt>
              <c:pt idx="1055">
                <c:v>28.14</c:v>
              </c:pt>
              <c:pt idx="1056">
                <c:v>28.05</c:v>
              </c:pt>
              <c:pt idx="1057">
                <c:v>28.06</c:v>
              </c:pt>
              <c:pt idx="1058">
                <c:v>28.09</c:v>
              </c:pt>
              <c:pt idx="1059">
                <c:v>28.05</c:v>
              </c:pt>
              <c:pt idx="1060">
                <c:v>28.07</c:v>
              </c:pt>
              <c:pt idx="1061">
                <c:v>28.09</c:v>
              </c:pt>
              <c:pt idx="1062">
                <c:v>28.08</c:v>
              </c:pt>
              <c:pt idx="1063">
                <c:v>28.07</c:v>
              </c:pt>
              <c:pt idx="1064">
                <c:v>28.11</c:v>
              </c:pt>
              <c:pt idx="1065">
                <c:v>28.2</c:v>
              </c:pt>
              <c:pt idx="1066">
                <c:v>28.24</c:v>
              </c:pt>
              <c:pt idx="1067">
                <c:v>28.18</c:v>
              </c:pt>
              <c:pt idx="1068">
                <c:v>28.27</c:v>
              </c:pt>
              <c:pt idx="1069">
                <c:v>28.33</c:v>
              </c:pt>
              <c:pt idx="1070">
                <c:v>28.32</c:v>
              </c:pt>
              <c:pt idx="1071">
                <c:v>28.3</c:v>
              </c:pt>
              <c:pt idx="1072">
                <c:v>28.27</c:v>
              </c:pt>
              <c:pt idx="1073">
                <c:v>28.28</c:v>
              </c:pt>
              <c:pt idx="1074">
                <c:v>28.28</c:v>
              </c:pt>
              <c:pt idx="1075">
                <c:v>28.29</c:v>
              </c:pt>
              <c:pt idx="1076">
                <c:v>28.35</c:v>
              </c:pt>
              <c:pt idx="1077">
                <c:v>28.36</c:v>
              </c:pt>
              <c:pt idx="1078">
                <c:v>28.35</c:v>
              </c:pt>
              <c:pt idx="1079">
                <c:v>28.34</c:v>
              </c:pt>
              <c:pt idx="1080">
                <c:v>28.36</c:v>
              </c:pt>
              <c:pt idx="1081">
                <c:v>28.4</c:v>
              </c:pt>
              <c:pt idx="1082">
                <c:v>28.44</c:v>
              </c:pt>
              <c:pt idx="1083">
                <c:v>28.39</c:v>
              </c:pt>
              <c:pt idx="1084">
                <c:v>28.33</c:v>
              </c:pt>
              <c:pt idx="1085">
                <c:v>28.31</c:v>
              </c:pt>
              <c:pt idx="1086">
                <c:v>28.26</c:v>
              </c:pt>
              <c:pt idx="1087">
                <c:v>28.24</c:v>
              </c:pt>
              <c:pt idx="1088">
                <c:v>28.19</c:v>
              </c:pt>
              <c:pt idx="1089">
                <c:v>28.12</c:v>
              </c:pt>
              <c:pt idx="1090">
                <c:v>28.04</c:v>
              </c:pt>
              <c:pt idx="1091">
                <c:v>28.01</c:v>
              </c:pt>
              <c:pt idx="1092">
                <c:v>27.99</c:v>
              </c:pt>
              <c:pt idx="1093">
                <c:v>27.95</c:v>
              </c:pt>
              <c:pt idx="1094">
                <c:v>27.94</c:v>
              </c:pt>
              <c:pt idx="1095">
                <c:v>27.92</c:v>
              </c:pt>
              <c:pt idx="1096">
                <c:v>27.91</c:v>
              </c:pt>
              <c:pt idx="1097">
                <c:v>27.92</c:v>
              </c:pt>
              <c:pt idx="1098">
                <c:v>27.86</c:v>
              </c:pt>
              <c:pt idx="1099">
                <c:v>27.85</c:v>
              </c:pt>
              <c:pt idx="1100">
                <c:v>27.83</c:v>
              </c:pt>
              <c:pt idx="1101">
                <c:v>27.82</c:v>
              </c:pt>
              <c:pt idx="1102">
                <c:v>27.81</c:v>
              </c:pt>
              <c:pt idx="1103">
                <c:v>27.84</c:v>
              </c:pt>
              <c:pt idx="1104">
                <c:v>27.85</c:v>
              </c:pt>
              <c:pt idx="1105">
                <c:v>27.83</c:v>
              </c:pt>
              <c:pt idx="1106">
                <c:v>27.83</c:v>
              </c:pt>
              <c:pt idx="1107">
                <c:v>27.85</c:v>
              </c:pt>
              <c:pt idx="1108">
                <c:v>27.88</c:v>
              </c:pt>
              <c:pt idx="1109">
                <c:v>27.86</c:v>
              </c:pt>
              <c:pt idx="1110">
                <c:v>27.85</c:v>
              </c:pt>
              <c:pt idx="1111">
                <c:v>27.84</c:v>
              </c:pt>
              <c:pt idx="1112">
                <c:v>27.86</c:v>
              </c:pt>
              <c:pt idx="1113">
                <c:v>27.89</c:v>
              </c:pt>
              <c:pt idx="1114">
                <c:v>27.9</c:v>
              </c:pt>
              <c:pt idx="1115">
                <c:v>27.89</c:v>
              </c:pt>
              <c:pt idx="1116">
                <c:v>27.92</c:v>
              </c:pt>
              <c:pt idx="1117">
                <c:v>27.85</c:v>
              </c:pt>
              <c:pt idx="1118">
                <c:v>27.84</c:v>
              </c:pt>
              <c:pt idx="1119">
                <c:v>27.84</c:v>
              </c:pt>
              <c:pt idx="1120">
                <c:v>27.88</c:v>
              </c:pt>
              <c:pt idx="1121">
                <c:v>27.88</c:v>
              </c:pt>
              <c:pt idx="1122">
                <c:v>27.85</c:v>
              </c:pt>
              <c:pt idx="1123">
                <c:v>27.88</c:v>
              </c:pt>
              <c:pt idx="1124">
                <c:v>27.88</c:v>
              </c:pt>
              <c:pt idx="1125">
                <c:v>27.89</c:v>
              </c:pt>
              <c:pt idx="1126">
                <c:v>27.88</c:v>
              </c:pt>
              <c:pt idx="1127">
                <c:v>27.88</c:v>
              </c:pt>
              <c:pt idx="1128">
                <c:v>27.93</c:v>
              </c:pt>
              <c:pt idx="1129">
                <c:v>27.91</c:v>
              </c:pt>
              <c:pt idx="1130">
                <c:v>27.89</c:v>
              </c:pt>
              <c:pt idx="1131">
                <c:v>27.88</c:v>
              </c:pt>
              <c:pt idx="1132">
                <c:v>27.86</c:v>
              </c:pt>
              <c:pt idx="1133">
                <c:v>27.85</c:v>
              </c:pt>
              <c:pt idx="1134">
                <c:v>27.85</c:v>
              </c:pt>
              <c:pt idx="1135">
                <c:v>27.8</c:v>
              </c:pt>
              <c:pt idx="1136">
                <c:v>27.78</c:v>
              </c:pt>
              <c:pt idx="1137">
                <c:v>27.81</c:v>
              </c:pt>
              <c:pt idx="1138">
                <c:v>27.82</c:v>
              </c:pt>
              <c:pt idx="1139">
                <c:v>27.82</c:v>
              </c:pt>
              <c:pt idx="1140">
                <c:v>27.79</c:v>
              </c:pt>
              <c:pt idx="1141">
                <c:v>27.8</c:v>
              </c:pt>
              <c:pt idx="1142">
                <c:v>27.78</c:v>
              </c:pt>
              <c:pt idx="1143">
                <c:v>27.76</c:v>
              </c:pt>
              <c:pt idx="1144">
                <c:v>27.76</c:v>
              </c:pt>
              <c:pt idx="1145">
                <c:v>27.78</c:v>
              </c:pt>
              <c:pt idx="1146">
                <c:v>27.77</c:v>
              </c:pt>
              <c:pt idx="1147">
                <c:v>27.79</c:v>
              </c:pt>
              <c:pt idx="1148">
                <c:v>27.78</c:v>
              </c:pt>
              <c:pt idx="1149">
                <c:v>27.74</c:v>
              </c:pt>
              <c:pt idx="1150">
                <c:v>27.75</c:v>
              </c:pt>
              <c:pt idx="1151">
                <c:v>27.74</c:v>
              </c:pt>
              <c:pt idx="1152">
                <c:v>27.76</c:v>
              </c:pt>
              <c:pt idx="1153">
                <c:v>27.73</c:v>
              </c:pt>
              <c:pt idx="1154">
                <c:v>27.78</c:v>
              </c:pt>
              <c:pt idx="1155">
                <c:v>27.76</c:v>
              </c:pt>
              <c:pt idx="1156">
                <c:v>27.75</c:v>
              </c:pt>
              <c:pt idx="1157">
                <c:v>27.73</c:v>
              </c:pt>
              <c:pt idx="1158">
                <c:v>27.71</c:v>
              </c:pt>
              <c:pt idx="1159">
                <c:v>27.71</c:v>
              </c:pt>
              <c:pt idx="1160">
                <c:v>27.69</c:v>
              </c:pt>
              <c:pt idx="1161">
                <c:v>27.68</c:v>
              </c:pt>
              <c:pt idx="1162">
                <c:v>27.67</c:v>
              </c:pt>
              <c:pt idx="1163">
                <c:v>27.65</c:v>
              </c:pt>
              <c:pt idx="1164">
                <c:v>27.64</c:v>
              </c:pt>
              <c:pt idx="1165">
                <c:v>27.64</c:v>
              </c:pt>
              <c:pt idx="1166">
                <c:v>27.63</c:v>
              </c:pt>
              <c:pt idx="1167">
                <c:v>27.62</c:v>
              </c:pt>
              <c:pt idx="1168">
                <c:v>27.64</c:v>
              </c:pt>
              <c:pt idx="1169">
                <c:v>27.65</c:v>
              </c:pt>
              <c:pt idx="1170">
                <c:v>27.64</c:v>
              </c:pt>
              <c:pt idx="1171">
                <c:v>27.65</c:v>
              </c:pt>
              <c:pt idx="1172">
                <c:v>27.63</c:v>
              </c:pt>
              <c:pt idx="1173">
                <c:v>27.63</c:v>
              </c:pt>
              <c:pt idx="1174">
                <c:v>27.63</c:v>
              </c:pt>
              <c:pt idx="1175">
                <c:v>27.66</c:v>
              </c:pt>
              <c:pt idx="1176">
                <c:v>27.65</c:v>
              </c:pt>
              <c:pt idx="1177">
                <c:v>27.69</c:v>
              </c:pt>
              <c:pt idx="1178">
                <c:v>27.67</c:v>
              </c:pt>
              <c:pt idx="1179">
                <c:v>27.69</c:v>
              </c:pt>
              <c:pt idx="1180">
                <c:v>27.69</c:v>
              </c:pt>
              <c:pt idx="1181">
                <c:v>27.71</c:v>
              </c:pt>
              <c:pt idx="1182">
                <c:v>27.68</c:v>
              </c:pt>
              <c:pt idx="1183">
                <c:v>27.66</c:v>
              </c:pt>
              <c:pt idx="1184">
                <c:v>27.68</c:v>
              </c:pt>
              <c:pt idx="1185">
                <c:v>27.65</c:v>
              </c:pt>
              <c:pt idx="1186">
                <c:v>27.66</c:v>
              </c:pt>
              <c:pt idx="1187">
                <c:v>27.63</c:v>
              </c:pt>
              <c:pt idx="1188">
                <c:v>27.63</c:v>
              </c:pt>
              <c:pt idx="1189">
                <c:v>27.66</c:v>
              </c:pt>
              <c:pt idx="1190">
                <c:v>27.64</c:v>
              </c:pt>
              <c:pt idx="1191">
                <c:v>27.65</c:v>
              </c:pt>
              <c:pt idx="1192">
                <c:v>27.64</c:v>
              </c:pt>
              <c:pt idx="1193">
                <c:v>27.63</c:v>
              </c:pt>
              <c:pt idx="1194">
                <c:v>27.62</c:v>
              </c:pt>
              <c:pt idx="1195">
                <c:v>27.64</c:v>
              </c:pt>
              <c:pt idx="1196">
                <c:v>27.63</c:v>
              </c:pt>
              <c:pt idx="1197">
                <c:v>27.64</c:v>
              </c:pt>
              <c:pt idx="1198">
                <c:v>27.63</c:v>
              </c:pt>
              <c:pt idx="1199">
                <c:v>27.62</c:v>
              </c:pt>
              <c:pt idx="1200">
                <c:v>27.63</c:v>
              </c:pt>
              <c:pt idx="1201">
                <c:v>27.63</c:v>
              </c:pt>
              <c:pt idx="1202">
                <c:v>27.61</c:v>
              </c:pt>
              <c:pt idx="1203">
                <c:v>27.61</c:v>
              </c:pt>
              <c:pt idx="1204">
                <c:v>27.6</c:v>
              </c:pt>
              <c:pt idx="1205">
                <c:v>27.58</c:v>
              </c:pt>
              <c:pt idx="1206">
                <c:v>27.62</c:v>
              </c:pt>
              <c:pt idx="1207">
                <c:v>27.6</c:v>
              </c:pt>
              <c:pt idx="1208">
                <c:v>27.61</c:v>
              </c:pt>
              <c:pt idx="1209">
                <c:v>27.6</c:v>
              </c:pt>
              <c:pt idx="1210">
                <c:v>27.59</c:v>
              </c:pt>
              <c:pt idx="1211">
                <c:v>27.62</c:v>
              </c:pt>
              <c:pt idx="1212">
                <c:v>27.6</c:v>
              </c:pt>
              <c:pt idx="1213">
                <c:v>27.59</c:v>
              </c:pt>
              <c:pt idx="1214">
                <c:v>27.55</c:v>
              </c:pt>
              <c:pt idx="1215">
                <c:v>27.57</c:v>
              </c:pt>
              <c:pt idx="1216">
                <c:v>27.54</c:v>
              </c:pt>
              <c:pt idx="1217">
                <c:v>27.56</c:v>
              </c:pt>
              <c:pt idx="1218">
                <c:v>27.54</c:v>
              </c:pt>
              <c:pt idx="1219">
                <c:v>27.56</c:v>
              </c:pt>
              <c:pt idx="1220">
                <c:v>27.54</c:v>
              </c:pt>
              <c:pt idx="1221">
                <c:v>27.56</c:v>
              </c:pt>
              <c:pt idx="1222">
                <c:v>27.56</c:v>
              </c:pt>
              <c:pt idx="1223">
                <c:v>27.57</c:v>
              </c:pt>
              <c:pt idx="1224">
                <c:v>27.58</c:v>
              </c:pt>
              <c:pt idx="1225">
                <c:v>27.58</c:v>
              </c:pt>
              <c:pt idx="1226">
                <c:v>27.63</c:v>
              </c:pt>
              <c:pt idx="1227">
                <c:v>27.62</c:v>
              </c:pt>
              <c:pt idx="1228">
                <c:v>27.62</c:v>
              </c:pt>
              <c:pt idx="1229">
                <c:v>27.61</c:v>
              </c:pt>
              <c:pt idx="1230">
                <c:v>27.61</c:v>
              </c:pt>
              <c:pt idx="1231">
                <c:v>27.61</c:v>
              </c:pt>
              <c:pt idx="1232">
                <c:v>27.61</c:v>
              </c:pt>
              <c:pt idx="1233">
                <c:v>27.6</c:v>
              </c:pt>
              <c:pt idx="1234">
                <c:v>27.61</c:v>
              </c:pt>
              <c:pt idx="1235">
                <c:v>27.61</c:v>
              </c:pt>
              <c:pt idx="1236">
                <c:v>27.63</c:v>
              </c:pt>
              <c:pt idx="1237">
                <c:v>27.64</c:v>
              </c:pt>
              <c:pt idx="1238">
                <c:v>27.61</c:v>
              </c:pt>
              <c:pt idx="1239">
                <c:v>27.61</c:v>
              </c:pt>
              <c:pt idx="1240">
                <c:v>27.6</c:v>
              </c:pt>
              <c:pt idx="1241">
                <c:v>27.62</c:v>
              </c:pt>
              <c:pt idx="1242">
                <c:v>27.6</c:v>
              </c:pt>
              <c:pt idx="1243">
                <c:v>27.62</c:v>
              </c:pt>
              <c:pt idx="1244">
                <c:v>27.6</c:v>
              </c:pt>
              <c:pt idx="1245">
                <c:v>27.61</c:v>
              </c:pt>
              <c:pt idx="1246">
                <c:v>27.61</c:v>
              </c:pt>
              <c:pt idx="1247">
                <c:v>27.63</c:v>
              </c:pt>
              <c:pt idx="1248">
                <c:v>27.59</c:v>
              </c:pt>
              <c:pt idx="1249">
                <c:v>27.59</c:v>
              </c:pt>
              <c:pt idx="1250">
                <c:v>27.59</c:v>
              </c:pt>
              <c:pt idx="1251">
                <c:v>27.59</c:v>
              </c:pt>
              <c:pt idx="1252">
                <c:v>27.58</c:v>
              </c:pt>
              <c:pt idx="1253">
                <c:v>27.59</c:v>
              </c:pt>
              <c:pt idx="1254">
                <c:v>27.58</c:v>
              </c:pt>
              <c:pt idx="1255">
                <c:v>27.56</c:v>
              </c:pt>
              <c:pt idx="1256">
                <c:v>27.57</c:v>
              </c:pt>
              <c:pt idx="1257">
                <c:v>27.56</c:v>
              </c:pt>
              <c:pt idx="1258">
                <c:v>27.53</c:v>
              </c:pt>
              <c:pt idx="1259">
                <c:v>27.53</c:v>
              </c:pt>
              <c:pt idx="1260">
                <c:v>27.54</c:v>
              </c:pt>
              <c:pt idx="1261">
                <c:v>27.5</c:v>
              </c:pt>
              <c:pt idx="1262">
                <c:v>27.5</c:v>
              </c:pt>
              <c:pt idx="1263">
                <c:v>27.48</c:v>
              </c:pt>
              <c:pt idx="1264">
                <c:v>27.49</c:v>
              </c:pt>
              <c:pt idx="1265">
                <c:v>27.46</c:v>
              </c:pt>
              <c:pt idx="1266">
                <c:v>27.47</c:v>
              </c:pt>
              <c:pt idx="1267">
                <c:v>27.47</c:v>
              </c:pt>
              <c:pt idx="1268">
                <c:v>27.46</c:v>
              </c:pt>
              <c:pt idx="1269">
                <c:v>27.46</c:v>
              </c:pt>
              <c:pt idx="1270">
                <c:v>27.47</c:v>
              </c:pt>
              <c:pt idx="1271">
                <c:v>27.47</c:v>
              </c:pt>
              <c:pt idx="1272">
                <c:v>27.46</c:v>
              </c:pt>
              <c:pt idx="1273">
                <c:v>27.47</c:v>
              </c:pt>
              <c:pt idx="1274">
                <c:v>27.44</c:v>
              </c:pt>
              <c:pt idx="1275">
                <c:v>27.45</c:v>
              </c:pt>
              <c:pt idx="1276">
                <c:v>27.45</c:v>
              </c:pt>
              <c:pt idx="1277">
                <c:v>27.43</c:v>
              </c:pt>
              <c:pt idx="1278">
                <c:v>27.41</c:v>
              </c:pt>
              <c:pt idx="1279">
                <c:v>27.42</c:v>
              </c:pt>
              <c:pt idx="1280">
                <c:v>27.41</c:v>
              </c:pt>
              <c:pt idx="1281">
                <c:v>27.44</c:v>
              </c:pt>
              <c:pt idx="1282">
                <c:v>27.44</c:v>
              </c:pt>
              <c:pt idx="1283">
                <c:v>27.42</c:v>
              </c:pt>
              <c:pt idx="1284">
                <c:v>27.43</c:v>
              </c:pt>
              <c:pt idx="1285">
                <c:v>27.45</c:v>
              </c:pt>
              <c:pt idx="1286">
                <c:v>27.43</c:v>
              </c:pt>
              <c:pt idx="1287">
                <c:v>27.42</c:v>
              </c:pt>
              <c:pt idx="1288">
                <c:v>27.39</c:v>
              </c:pt>
              <c:pt idx="1289">
                <c:v>27.42</c:v>
              </c:pt>
              <c:pt idx="1290">
                <c:v>27.39</c:v>
              </c:pt>
              <c:pt idx="1291">
                <c:v>27.41</c:v>
              </c:pt>
              <c:pt idx="1292">
                <c:v>27.44</c:v>
              </c:pt>
              <c:pt idx="1293">
                <c:v>27.45</c:v>
              </c:pt>
              <c:pt idx="1294">
                <c:v>27.45</c:v>
              </c:pt>
              <c:pt idx="1295">
                <c:v>27.47</c:v>
              </c:pt>
              <c:pt idx="1296">
                <c:v>27.45</c:v>
              </c:pt>
              <c:pt idx="1297">
                <c:v>27.48</c:v>
              </c:pt>
              <c:pt idx="1298">
                <c:v>27.46</c:v>
              </c:pt>
              <c:pt idx="1299">
                <c:v>27.46</c:v>
              </c:pt>
              <c:pt idx="1300">
                <c:v>27.46</c:v>
              </c:pt>
              <c:pt idx="1301">
                <c:v>27.45</c:v>
              </c:pt>
              <c:pt idx="1302">
                <c:v>27.45</c:v>
              </c:pt>
              <c:pt idx="1303">
                <c:v>27.43</c:v>
              </c:pt>
              <c:pt idx="1304">
                <c:v>27.46</c:v>
              </c:pt>
              <c:pt idx="1305">
                <c:v>27.45</c:v>
              </c:pt>
              <c:pt idx="1306">
                <c:v>27.49</c:v>
              </c:pt>
              <c:pt idx="1307">
                <c:v>27.49</c:v>
              </c:pt>
              <c:pt idx="1308">
                <c:v>27.49</c:v>
              </c:pt>
              <c:pt idx="1309">
                <c:v>27.47</c:v>
              </c:pt>
              <c:pt idx="1310">
                <c:v>27.46</c:v>
              </c:pt>
              <c:pt idx="1311">
                <c:v>27.47</c:v>
              </c:pt>
              <c:pt idx="1312">
                <c:v>27.45</c:v>
              </c:pt>
              <c:pt idx="1313">
                <c:v>27.47</c:v>
              </c:pt>
              <c:pt idx="1314">
                <c:v>27.45</c:v>
              </c:pt>
              <c:pt idx="1315">
                <c:v>27.46</c:v>
              </c:pt>
              <c:pt idx="1316">
                <c:v>27.45</c:v>
              </c:pt>
              <c:pt idx="1317">
                <c:v>27.44</c:v>
              </c:pt>
              <c:pt idx="1318">
                <c:v>27.46</c:v>
              </c:pt>
              <c:pt idx="1319">
                <c:v>27.44</c:v>
              </c:pt>
              <c:pt idx="1320">
                <c:v>27.46</c:v>
              </c:pt>
              <c:pt idx="1321">
                <c:v>27.44</c:v>
              </c:pt>
              <c:pt idx="1322">
                <c:v>27.43</c:v>
              </c:pt>
              <c:pt idx="1323">
                <c:v>27.44</c:v>
              </c:pt>
              <c:pt idx="1324">
                <c:v>27.46</c:v>
              </c:pt>
              <c:pt idx="1325">
                <c:v>27.46</c:v>
              </c:pt>
              <c:pt idx="1326">
                <c:v>27.45</c:v>
              </c:pt>
              <c:pt idx="1327">
                <c:v>27.44</c:v>
              </c:pt>
              <c:pt idx="1328">
                <c:v>27.41</c:v>
              </c:pt>
              <c:pt idx="1329">
                <c:v>27.4</c:v>
              </c:pt>
              <c:pt idx="1330">
                <c:v>27.42</c:v>
              </c:pt>
              <c:pt idx="1331">
                <c:v>27.4</c:v>
              </c:pt>
              <c:pt idx="1332">
                <c:v>27.39</c:v>
              </c:pt>
              <c:pt idx="1333">
                <c:v>27.38</c:v>
              </c:pt>
              <c:pt idx="1334">
                <c:v>27.38</c:v>
              </c:pt>
              <c:pt idx="1335">
                <c:v>27.37</c:v>
              </c:pt>
              <c:pt idx="1336">
                <c:v>27.36</c:v>
              </c:pt>
              <c:pt idx="1337">
                <c:v>27.35</c:v>
              </c:pt>
              <c:pt idx="1338">
                <c:v>27.37</c:v>
              </c:pt>
              <c:pt idx="1339">
                <c:v>27.37</c:v>
              </c:pt>
              <c:pt idx="1340">
                <c:v>27.36</c:v>
              </c:pt>
              <c:pt idx="1341">
                <c:v>27.34</c:v>
              </c:pt>
              <c:pt idx="1342">
                <c:v>27.35</c:v>
              </c:pt>
              <c:pt idx="1343">
                <c:v>27.35</c:v>
              </c:pt>
              <c:pt idx="1344">
                <c:v>27.35</c:v>
              </c:pt>
              <c:pt idx="1345">
                <c:v>27.34</c:v>
              </c:pt>
              <c:pt idx="1346">
                <c:v>27.35</c:v>
              </c:pt>
              <c:pt idx="1347">
                <c:v>27.35</c:v>
              </c:pt>
              <c:pt idx="1348">
                <c:v>27.35</c:v>
              </c:pt>
              <c:pt idx="1349">
                <c:v>27.34</c:v>
              </c:pt>
              <c:pt idx="1350">
                <c:v>27.34</c:v>
              </c:pt>
              <c:pt idx="1351">
                <c:v>27.33</c:v>
              </c:pt>
              <c:pt idx="1352">
                <c:v>27.33</c:v>
              </c:pt>
              <c:pt idx="1353">
                <c:v>27.34</c:v>
              </c:pt>
              <c:pt idx="1354">
                <c:v>27.34</c:v>
              </c:pt>
              <c:pt idx="1355">
                <c:v>27.34</c:v>
              </c:pt>
              <c:pt idx="1356">
                <c:v>27.36</c:v>
              </c:pt>
              <c:pt idx="1357">
                <c:v>27.34</c:v>
              </c:pt>
              <c:pt idx="1358">
                <c:v>27.32</c:v>
              </c:pt>
              <c:pt idx="1359">
                <c:v>27.33</c:v>
              </c:pt>
              <c:pt idx="1360">
                <c:v>27.31</c:v>
              </c:pt>
              <c:pt idx="1361">
                <c:v>27.33</c:v>
              </c:pt>
              <c:pt idx="1362">
                <c:v>27.33</c:v>
              </c:pt>
              <c:pt idx="1363">
                <c:v>27.32</c:v>
              </c:pt>
              <c:pt idx="1364">
                <c:v>27.33</c:v>
              </c:pt>
              <c:pt idx="1365">
                <c:v>27.32</c:v>
              </c:pt>
              <c:pt idx="1366">
                <c:v>27.3</c:v>
              </c:pt>
              <c:pt idx="1367">
                <c:v>27.31</c:v>
              </c:pt>
              <c:pt idx="1368">
                <c:v>27.31</c:v>
              </c:pt>
              <c:pt idx="1369">
                <c:v>27.34</c:v>
              </c:pt>
              <c:pt idx="1370">
                <c:v>27.34</c:v>
              </c:pt>
              <c:pt idx="1371">
                <c:v>27.34</c:v>
              </c:pt>
              <c:pt idx="1372">
                <c:v>27.35</c:v>
              </c:pt>
              <c:pt idx="1373">
                <c:v>27.35</c:v>
              </c:pt>
              <c:pt idx="1374">
                <c:v>27.36</c:v>
              </c:pt>
              <c:pt idx="1375">
                <c:v>27.35</c:v>
              </c:pt>
              <c:pt idx="1376">
                <c:v>27.36</c:v>
              </c:pt>
              <c:pt idx="1377">
                <c:v>27.35</c:v>
              </c:pt>
              <c:pt idx="1378">
                <c:v>27.38</c:v>
              </c:pt>
              <c:pt idx="1379">
                <c:v>27.38</c:v>
              </c:pt>
              <c:pt idx="1380">
                <c:v>27.37</c:v>
              </c:pt>
              <c:pt idx="1381">
                <c:v>27.36</c:v>
              </c:pt>
              <c:pt idx="1382">
                <c:v>27.34</c:v>
              </c:pt>
              <c:pt idx="1383">
                <c:v>27.35</c:v>
              </c:pt>
              <c:pt idx="1384">
                <c:v>27.32</c:v>
              </c:pt>
              <c:pt idx="1385">
                <c:v>27.33</c:v>
              </c:pt>
              <c:pt idx="1386">
                <c:v>27.29</c:v>
              </c:pt>
              <c:pt idx="1387">
                <c:v>27.31</c:v>
              </c:pt>
              <c:pt idx="1388">
                <c:v>27.26</c:v>
              </c:pt>
              <c:pt idx="1389">
                <c:v>27.26</c:v>
              </c:pt>
              <c:pt idx="1390">
                <c:v>27.26</c:v>
              </c:pt>
              <c:pt idx="1391">
                <c:v>27.23</c:v>
              </c:pt>
              <c:pt idx="1392">
                <c:v>27.21</c:v>
              </c:pt>
              <c:pt idx="1393">
                <c:v>27.2</c:v>
              </c:pt>
              <c:pt idx="1394">
                <c:v>27.18</c:v>
              </c:pt>
              <c:pt idx="1395">
                <c:v>27.17</c:v>
              </c:pt>
              <c:pt idx="1396">
                <c:v>27.15</c:v>
              </c:pt>
              <c:pt idx="1397">
                <c:v>27.16</c:v>
              </c:pt>
              <c:pt idx="1398">
                <c:v>27.14</c:v>
              </c:pt>
              <c:pt idx="1399">
                <c:v>27.15</c:v>
              </c:pt>
              <c:pt idx="1400">
                <c:v>27.16</c:v>
              </c:pt>
              <c:pt idx="1401">
                <c:v>27.17</c:v>
              </c:pt>
              <c:pt idx="1402">
                <c:v>27.15</c:v>
              </c:pt>
              <c:pt idx="1403">
                <c:v>27.14</c:v>
              </c:pt>
              <c:pt idx="1404">
                <c:v>27.13</c:v>
              </c:pt>
              <c:pt idx="1405">
                <c:v>27.12</c:v>
              </c:pt>
              <c:pt idx="1406">
                <c:v>27.12</c:v>
              </c:pt>
              <c:pt idx="1407">
                <c:v>27.12</c:v>
              </c:pt>
              <c:pt idx="1408">
                <c:v>27.11</c:v>
              </c:pt>
              <c:pt idx="1409">
                <c:v>27.1</c:v>
              </c:pt>
              <c:pt idx="1410">
                <c:v>27.09</c:v>
              </c:pt>
              <c:pt idx="1411">
                <c:v>27.09</c:v>
              </c:pt>
              <c:pt idx="1412">
                <c:v>27.08</c:v>
              </c:pt>
              <c:pt idx="1413">
                <c:v>27.1</c:v>
              </c:pt>
              <c:pt idx="1414">
                <c:v>27.11</c:v>
              </c:pt>
              <c:pt idx="1415">
                <c:v>27.11</c:v>
              </c:pt>
              <c:pt idx="1416">
                <c:v>27.1</c:v>
              </c:pt>
              <c:pt idx="1417">
                <c:v>27.12</c:v>
              </c:pt>
              <c:pt idx="1418">
                <c:v>27.12</c:v>
              </c:pt>
              <c:pt idx="1419">
                <c:v>27.13</c:v>
              </c:pt>
              <c:pt idx="1420">
                <c:v>27.13</c:v>
              </c:pt>
              <c:pt idx="1421">
                <c:v>27.11</c:v>
              </c:pt>
              <c:pt idx="1422">
                <c:v>27.11</c:v>
              </c:pt>
              <c:pt idx="1423">
                <c:v>27.1</c:v>
              </c:pt>
              <c:pt idx="1424">
                <c:v>27.1</c:v>
              </c:pt>
              <c:pt idx="1425">
                <c:v>27.12</c:v>
              </c:pt>
              <c:pt idx="1426">
                <c:v>27.1</c:v>
              </c:pt>
              <c:pt idx="1427">
                <c:v>27.1</c:v>
              </c:pt>
              <c:pt idx="1428">
                <c:v>27.11</c:v>
              </c:pt>
              <c:pt idx="1429">
                <c:v>27.09</c:v>
              </c:pt>
              <c:pt idx="1430">
                <c:v>27.1</c:v>
              </c:pt>
              <c:pt idx="1431">
                <c:v>27.1</c:v>
              </c:pt>
              <c:pt idx="1432">
                <c:v>27.11</c:v>
              </c:pt>
              <c:pt idx="1433">
                <c:v>27.11</c:v>
              </c:pt>
              <c:pt idx="1434">
                <c:v>27.1</c:v>
              </c:pt>
              <c:pt idx="1435">
                <c:v>27.11</c:v>
              </c:pt>
              <c:pt idx="1436">
                <c:v>27.1</c:v>
              </c:pt>
              <c:pt idx="1437">
                <c:v>27.1</c:v>
              </c:pt>
              <c:pt idx="1438">
                <c:v>27.07</c:v>
              </c:pt>
              <c:pt idx="1439">
                <c:v>27.06</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25.37421192052976</c:v>
              </c:pt>
            </c:numLit>
          </c:val>
          <c:smooth val="0"/>
          <c:extLst>
            <c:ext xmlns:c16="http://schemas.microsoft.com/office/drawing/2014/chart" uri="{C3380CC4-5D6E-409C-BE32-E72D297353CC}">
              <c16:uniqueId val="{00000001-1A6C-4F36-8BD6-8906B90145C2}"/>
            </c:ext>
          </c:extLst>
        </c:ser>
        <c:ser>
          <c:idx val="2"/>
          <c:order val="2"/>
          <c:tx>
            <c:v>26.86343046 25.29433113 IS6 WMS Ambient Temperature(Â°C)</c:v>
          </c:tx>
          <c:spPr>
            <a:ln w="28575" cap="rnd">
              <a:solidFill>
                <a:schemeClr val="accent3"/>
              </a:solidFill>
              <a:round/>
            </a:ln>
            <a:effectLst/>
          </c:spPr>
          <c:marker>
            <c:symbol val="none"/>
          </c:marker>
          <c:val>
            <c:numLit>
              <c:formatCode>General</c:formatCode>
              <c:ptCount val="1512"/>
              <c:pt idx="0">
                <c:v>25.7</c:v>
              </c:pt>
              <c:pt idx="1">
                <c:v>25.69</c:v>
              </c:pt>
              <c:pt idx="2">
                <c:v>25.69</c:v>
              </c:pt>
              <c:pt idx="3">
                <c:v>25.69</c:v>
              </c:pt>
              <c:pt idx="4">
                <c:v>25.67</c:v>
              </c:pt>
              <c:pt idx="5">
                <c:v>25.68</c:v>
              </c:pt>
              <c:pt idx="6">
                <c:v>25.67</c:v>
              </c:pt>
              <c:pt idx="7">
                <c:v>25.69</c:v>
              </c:pt>
              <c:pt idx="8">
                <c:v>25.67</c:v>
              </c:pt>
              <c:pt idx="9">
                <c:v>25.66</c:v>
              </c:pt>
              <c:pt idx="10">
                <c:v>25.66</c:v>
              </c:pt>
              <c:pt idx="11">
                <c:v>25.64</c:v>
              </c:pt>
              <c:pt idx="12">
                <c:v>25.65</c:v>
              </c:pt>
              <c:pt idx="13">
                <c:v>25.66</c:v>
              </c:pt>
              <c:pt idx="14">
                <c:v>25.67</c:v>
              </c:pt>
              <c:pt idx="15">
                <c:v>25.66</c:v>
              </c:pt>
              <c:pt idx="16">
                <c:v>25.66</c:v>
              </c:pt>
              <c:pt idx="17">
                <c:v>25.67</c:v>
              </c:pt>
              <c:pt idx="18">
                <c:v>25.67</c:v>
              </c:pt>
              <c:pt idx="19">
                <c:v>25.67</c:v>
              </c:pt>
              <c:pt idx="20">
                <c:v>25.69</c:v>
              </c:pt>
              <c:pt idx="21">
                <c:v>25.69</c:v>
              </c:pt>
              <c:pt idx="22">
                <c:v>25.69</c:v>
              </c:pt>
              <c:pt idx="23">
                <c:v>25.71</c:v>
              </c:pt>
              <c:pt idx="24">
                <c:v>25.72</c:v>
              </c:pt>
              <c:pt idx="25">
                <c:v>25.71</c:v>
              </c:pt>
              <c:pt idx="26">
                <c:v>25.73</c:v>
              </c:pt>
              <c:pt idx="27">
                <c:v>25.72</c:v>
              </c:pt>
              <c:pt idx="28">
                <c:v>25.73</c:v>
              </c:pt>
              <c:pt idx="29">
                <c:v>25.73</c:v>
              </c:pt>
              <c:pt idx="30">
                <c:v>25.72</c:v>
              </c:pt>
              <c:pt idx="31">
                <c:v>25.74</c:v>
              </c:pt>
              <c:pt idx="32">
                <c:v>25.72</c:v>
              </c:pt>
              <c:pt idx="33">
                <c:v>25.75</c:v>
              </c:pt>
              <c:pt idx="34">
                <c:v>25.75</c:v>
              </c:pt>
              <c:pt idx="35">
                <c:v>25.75</c:v>
              </c:pt>
              <c:pt idx="36">
                <c:v>25.74</c:v>
              </c:pt>
              <c:pt idx="37">
                <c:v>25.74</c:v>
              </c:pt>
              <c:pt idx="38">
                <c:v>25.74</c:v>
              </c:pt>
              <c:pt idx="39">
                <c:v>25.76</c:v>
              </c:pt>
              <c:pt idx="40">
                <c:v>25.76</c:v>
              </c:pt>
              <c:pt idx="41">
                <c:v>25.76</c:v>
              </c:pt>
              <c:pt idx="42">
                <c:v>25.77</c:v>
              </c:pt>
              <c:pt idx="43">
                <c:v>25.76</c:v>
              </c:pt>
              <c:pt idx="44">
                <c:v>25.76</c:v>
              </c:pt>
              <c:pt idx="45">
                <c:v>25.76</c:v>
              </c:pt>
              <c:pt idx="46">
                <c:v>25.76</c:v>
              </c:pt>
              <c:pt idx="47">
                <c:v>25.77</c:v>
              </c:pt>
              <c:pt idx="48">
                <c:v>25.76</c:v>
              </c:pt>
              <c:pt idx="49">
                <c:v>25.76</c:v>
              </c:pt>
              <c:pt idx="50">
                <c:v>25.72</c:v>
              </c:pt>
              <c:pt idx="51">
                <c:v>25.7</c:v>
              </c:pt>
              <c:pt idx="52">
                <c:v>25.7</c:v>
              </c:pt>
              <c:pt idx="53">
                <c:v>25.68</c:v>
              </c:pt>
              <c:pt idx="54">
                <c:v>25.69</c:v>
              </c:pt>
              <c:pt idx="55">
                <c:v>25.64</c:v>
              </c:pt>
              <c:pt idx="56">
                <c:v>25.65</c:v>
              </c:pt>
              <c:pt idx="57">
                <c:v>25.64</c:v>
              </c:pt>
              <c:pt idx="58">
                <c:v>25.62</c:v>
              </c:pt>
              <c:pt idx="59">
                <c:v>25.6</c:v>
              </c:pt>
              <c:pt idx="60">
                <c:v>25.61</c:v>
              </c:pt>
              <c:pt idx="61">
                <c:v>25.6</c:v>
              </c:pt>
              <c:pt idx="62">
                <c:v>25.6</c:v>
              </c:pt>
              <c:pt idx="63">
                <c:v>25.61</c:v>
              </c:pt>
              <c:pt idx="64">
                <c:v>25.6</c:v>
              </c:pt>
              <c:pt idx="65">
                <c:v>25.58</c:v>
              </c:pt>
              <c:pt idx="66">
                <c:v>25.54</c:v>
              </c:pt>
              <c:pt idx="67">
                <c:v>25.55</c:v>
              </c:pt>
              <c:pt idx="68">
                <c:v>25.56</c:v>
              </c:pt>
              <c:pt idx="69">
                <c:v>25.58</c:v>
              </c:pt>
              <c:pt idx="70">
                <c:v>25.59</c:v>
              </c:pt>
              <c:pt idx="71">
                <c:v>25.62</c:v>
              </c:pt>
              <c:pt idx="72">
                <c:v>25.61</c:v>
              </c:pt>
              <c:pt idx="73">
                <c:v>25.58</c:v>
              </c:pt>
              <c:pt idx="74">
                <c:v>25.6</c:v>
              </c:pt>
              <c:pt idx="75">
                <c:v>25.61</c:v>
              </c:pt>
              <c:pt idx="76">
                <c:v>25.62</c:v>
              </c:pt>
              <c:pt idx="77">
                <c:v>25.63</c:v>
              </c:pt>
              <c:pt idx="78">
                <c:v>25.61</c:v>
              </c:pt>
              <c:pt idx="79">
                <c:v>25.62</c:v>
              </c:pt>
              <c:pt idx="80">
                <c:v>25.62</c:v>
              </c:pt>
              <c:pt idx="81">
                <c:v>25.6</c:v>
              </c:pt>
              <c:pt idx="82">
                <c:v>25.61</c:v>
              </c:pt>
              <c:pt idx="83">
                <c:v>25.62</c:v>
              </c:pt>
              <c:pt idx="84">
                <c:v>25.61</c:v>
              </c:pt>
              <c:pt idx="85">
                <c:v>25.63</c:v>
              </c:pt>
              <c:pt idx="86">
                <c:v>25.61</c:v>
              </c:pt>
              <c:pt idx="87">
                <c:v>25.64</c:v>
              </c:pt>
              <c:pt idx="88">
                <c:v>25.64</c:v>
              </c:pt>
              <c:pt idx="89">
                <c:v>25.61</c:v>
              </c:pt>
              <c:pt idx="90">
                <c:v>25.64</c:v>
              </c:pt>
              <c:pt idx="91">
                <c:v>25.66</c:v>
              </c:pt>
              <c:pt idx="92">
                <c:v>25.64</c:v>
              </c:pt>
              <c:pt idx="93">
                <c:v>25.63</c:v>
              </c:pt>
              <c:pt idx="94">
                <c:v>25.63</c:v>
              </c:pt>
              <c:pt idx="95">
                <c:v>25.63</c:v>
              </c:pt>
              <c:pt idx="96">
                <c:v>25.63</c:v>
              </c:pt>
              <c:pt idx="97">
                <c:v>25.59</c:v>
              </c:pt>
              <c:pt idx="98">
                <c:v>25.63</c:v>
              </c:pt>
              <c:pt idx="99">
                <c:v>25.61</c:v>
              </c:pt>
              <c:pt idx="100">
                <c:v>25.59</c:v>
              </c:pt>
              <c:pt idx="101">
                <c:v>25.6</c:v>
              </c:pt>
              <c:pt idx="102">
                <c:v>25.59</c:v>
              </c:pt>
              <c:pt idx="103">
                <c:v>25.6</c:v>
              </c:pt>
              <c:pt idx="104">
                <c:v>25.61</c:v>
              </c:pt>
              <c:pt idx="105">
                <c:v>25.59</c:v>
              </c:pt>
              <c:pt idx="106">
                <c:v>25.6</c:v>
              </c:pt>
              <c:pt idx="107">
                <c:v>25.6</c:v>
              </c:pt>
              <c:pt idx="108">
                <c:v>25.61</c:v>
              </c:pt>
              <c:pt idx="109">
                <c:v>25.58</c:v>
              </c:pt>
              <c:pt idx="110">
                <c:v>25.61</c:v>
              </c:pt>
              <c:pt idx="111">
                <c:v>25.61</c:v>
              </c:pt>
              <c:pt idx="112">
                <c:v>25.62</c:v>
              </c:pt>
              <c:pt idx="113">
                <c:v>25.6</c:v>
              </c:pt>
              <c:pt idx="114">
                <c:v>25.61</c:v>
              </c:pt>
              <c:pt idx="115">
                <c:v>25.61</c:v>
              </c:pt>
              <c:pt idx="116">
                <c:v>25.61</c:v>
              </c:pt>
              <c:pt idx="117">
                <c:v>25.61</c:v>
              </c:pt>
              <c:pt idx="118">
                <c:v>25.6</c:v>
              </c:pt>
              <c:pt idx="119">
                <c:v>25.61</c:v>
              </c:pt>
              <c:pt idx="120">
                <c:v>25.58</c:v>
              </c:pt>
              <c:pt idx="121">
                <c:v>25.6</c:v>
              </c:pt>
              <c:pt idx="122">
                <c:v>25.59</c:v>
              </c:pt>
              <c:pt idx="123">
                <c:v>25.59</c:v>
              </c:pt>
              <c:pt idx="124">
                <c:v>25.59</c:v>
              </c:pt>
              <c:pt idx="125">
                <c:v>25.59</c:v>
              </c:pt>
              <c:pt idx="126">
                <c:v>25.58</c:v>
              </c:pt>
              <c:pt idx="127">
                <c:v>25.6</c:v>
              </c:pt>
              <c:pt idx="128">
                <c:v>25.59</c:v>
              </c:pt>
              <c:pt idx="129">
                <c:v>25.59</c:v>
              </c:pt>
              <c:pt idx="130">
                <c:v>25.59</c:v>
              </c:pt>
              <c:pt idx="131">
                <c:v>25.58</c:v>
              </c:pt>
              <c:pt idx="132">
                <c:v>25.59</c:v>
              </c:pt>
              <c:pt idx="133">
                <c:v>25.57</c:v>
              </c:pt>
              <c:pt idx="134">
                <c:v>25.58</c:v>
              </c:pt>
              <c:pt idx="135">
                <c:v>25.58</c:v>
              </c:pt>
              <c:pt idx="136">
                <c:v>25.58</c:v>
              </c:pt>
              <c:pt idx="137">
                <c:v>25.59</c:v>
              </c:pt>
              <c:pt idx="138">
                <c:v>25.58</c:v>
              </c:pt>
              <c:pt idx="139">
                <c:v>25.57</c:v>
              </c:pt>
              <c:pt idx="140">
                <c:v>25.58</c:v>
              </c:pt>
              <c:pt idx="141">
                <c:v>25.55</c:v>
              </c:pt>
              <c:pt idx="142">
                <c:v>25.55</c:v>
              </c:pt>
              <c:pt idx="143">
                <c:v>25.55</c:v>
              </c:pt>
              <c:pt idx="144">
                <c:v>25.53</c:v>
              </c:pt>
              <c:pt idx="145">
                <c:v>25.55</c:v>
              </c:pt>
              <c:pt idx="146">
                <c:v>25.54</c:v>
              </c:pt>
              <c:pt idx="147">
                <c:v>25.55</c:v>
              </c:pt>
              <c:pt idx="148">
                <c:v>25.56</c:v>
              </c:pt>
              <c:pt idx="149">
                <c:v>25.53</c:v>
              </c:pt>
              <c:pt idx="150">
                <c:v>25.53</c:v>
              </c:pt>
              <c:pt idx="151">
                <c:v>25.53</c:v>
              </c:pt>
              <c:pt idx="152">
                <c:v>25.52</c:v>
              </c:pt>
              <c:pt idx="153">
                <c:v>25.51</c:v>
              </c:pt>
              <c:pt idx="154">
                <c:v>25.5</c:v>
              </c:pt>
              <c:pt idx="155">
                <c:v>25.51</c:v>
              </c:pt>
              <c:pt idx="156">
                <c:v>25.51</c:v>
              </c:pt>
              <c:pt idx="157">
                <c:v>25.5</c:v>
              </c:pt>
              <c:pt idx="158">
                <c:v>25.51</c:v>
              </c:pt>
              <c:pt idx="159">
                <c:v>25.51</c:v>
              </c:pt>
              <c:pt idx="160">
                <c:v>25.5</c:v>
              </c:pt>
              <c:pt idx="161">
                <c:v>25.51</c:v>
              </c:pt>
              <c:pt idx="162">
                <c:v>25.5</c:v>
              </c:pt>
              <c:pt idx="163">
                <c:v>25.5</c:v>
              </c:pt>
              <c:pt idx="164">
                <c:v>25.5</c:v>
              </c:pt>
              <c:pt idx="165">
                <c:v>25.49</c:v>
              </c:pt>
              <c:pt idx="166">
                <c:v>25.49</c:v>
              </c:pt>
              <c:pt idx="167">
                <c:v>25.48</c:v>
              </c:pt>
              <c:pt idx="168">
                <c:v>25.47</c:v>
              </c:pt>
              <c:pt idx="169">
                <c:v>25.48</c:v>
              </c:pt>
              <c:pt idx="170">
                <c:v>25.49</c:v>
              </c:pt>
              <c:pt idx="171">
                <c:v>25.49</c:v>
              </c:pt>
              <c:pt idx="172">
                <c:v>25.46</c:v>
              </c:pt>
              <c:pt idx="173">
                <c:v>25.44</c:v>
              </c:pt>
              <c:pt idx="174">
                <c:v>25.43</c:v>
              </c:pt>
              <c:pt idx="175">
                <c:v>25.44</c:v>
              </c:pt>
              <c:pt idx="176">
                <c:v>25.43</c:v>
              </c:pt>
              <c:pt idx="177">
                <c:v>25.43</c:v>
              </c:pt>
              <c:pt idx="178">
                <c:v>25.42</c:v>
              </c:pt>
              <c:pt idx="179">
                <c:v>25.4</c:v>
              </c:pt>
              <c:pt idx="180">
                <c:v>25.38</c:v>
              </c:pt>
              <c:pt idx="181">
                <c:v>25.41</c:v>
              </c:pt>
              <c:pt idx="182">
                <c:v>25.42</c:v>
              </c:pt>
              <c:pt idx="183">
                <c:v>25.41</c:v>
              </c:pt>
              <c:pt idx="184">
                <c:v>25.39</c:v>
              </c:pt>
              <c:pt idx="185">
                <c:v>25.41</c:v>
              </c:pt>
              <c:pt idx="186">
                <c:v>25.44</c:v>
              </c:pt>
              <c:pt idx="187">
                <c:v>25.41</c:v>
              </c:pt>
              <c:pt idx="188">
                <c:v>25.41</c:v>
              </c:pt>
              <c:pt idx="189">
                <c:v>25.38</c:v>
              </c:pt>
              <c:pt idx="190">
                <c:v>25.4</c:v>
              </c:pt>
              <c:pt idx="191">
                <c:v>25.4</c:v>
              </c:pt>
              <c:pt idx="192">
                <c:v>25.39</c:v>
              </c:pt>
              <c:pt idx="193">
                <c:v>25.41</c:v>
              </c:pt>
              <c:pt idx="194">
                <c:v>25.4</c:v>
              </c:pt>
              <c:pt idx="195">
                <c:v>25.39</c:v>
              </c:pt>
              <c:pt idx="196">
                <c:v>25.38</c:v>
              </c:pt>
              <c:pt idx="197">
                <c:v>25.37</c:v>
              </c:pt>
              <c:pt idx="198">
                <c:v>25.41</c:v>
              </c:pt>
              <c:pt idx="199">
                <c:v>25.39</c:v>
              </c:pt>
              <c:pt idx="200">
                <c:v>25.38</c:v>
              </c:pt>
              <c:pt idx="201">
                <c:v>25.39</c:v>
              </c:pt>
              <c:pt idx="202">
                <c:v>25.37</c:v>
              </c:pt>
              <c:pt idx="203">
                <c:v>25.37</c:v>
              </c:pt>
              <c:pt idx="204">
                <c:v>25.38</c:v>
              </c:pt>
              <c:pt idx="205">
                <c:v>25.37</c:v>
              </c:pt>
              <c:pt idx="206">
                <c:v>25.37</c:v>
              </c:pt>
              <c:pt idx="207">
                <c:v>25.35</c:v>
              </c:pt>
              <c:pt idx="208">
                <c:v>25.36</c:v>
              </c:pt>
              <c:pt idx="209">
                <c:v>25.37</c:v>
              </c:pt>
              <c:pt idx="210">
                <c:v>25.36</c:v>
              </c:pt>
              <c:pt idx="211">
                <c:v>25.37</c:v>
              </c:pt>
              <c:pt idx="212">
                <c:v>25.37</c:v>
              </c:pt>
              <c:pt idx="213">
                <c:v>25.37</c:v>
              </c:pt>
              <c:pt idx="214">
                <c:v>25.35</c:v>
              </c:pt>
              <c:pt idx="215">
                <c:v>25.38</c:v>
              </c:pt>
              <c:pt idx="216">
                <c:v>25.38</c:v>
              </c:pt>
              <c:pt idx="217">
                <c:v>25.37</c:v>
              </c:pt>
              <c:pt idx="218">
                <c:v>25.35</c:v>
              </c:pt>
              <c:pt idx="219">
                <c:v>25.35</c:v>
              </c:pt>
              <c:pt idx="220">
                <c:v>25.33</c:v>
              </c:pt>
              <c:pt idx="221">
                <c:v>25.34</c:v>
              </c:pt>
              <c:pt idx="222">
                <c:v>25.33</c:v>
              </c:pt>
              <c:pt idx="223">
                <c:v>25.33</c:v>
              </c:pt>
              <c:pt idx="224">
                <c:v>25.36</c:v>
              </c:pt>
              <c:pt idx="225">
                <c:v>25.35</c:v>
              </c:pt>
              <c:pt idx="226">
                <c:v>25.35</c:v>
              </c:pt>
              <c:pt idx="227">
                <c:v>25.35</c:v>
              </c:pt>
              <c:pt idx="228">
                <c:v>25.34</c:v>
              </c:pt>
              <c:pt idx="229">
                <c:v>25.34</c:v>
              </c:pt>
              <c:pt idx="230">
                <c:v>25.31</c:v>
              </c:pt>
              <c:pt idx="231">
                <c:v>25.33</c:v>
              </c:pt>
              <c:pt idx="232">
                <c:v>25.34</c:v>
              </c:pt>
              <c:pt idx="233">
                <c:v>25.32</c:v>
              </c:pt>
              <c:pt idx="234">
                <c:v>25.31</c:v>
              </c:pt>
              <c:pt idx="235">
                <c:v>25.31</c:v>
              </c:pt>
              <c:pt idx="236">
                <c:v>25.32</c:v>
              </c:pt>
              <c:pt idx="237">
                <c:v>25.32</c:v>
              </c:pt>
              <c:pt idx="238">
                <c:v>25.29</c:v>
              </c:pt>
              <c:pt idx="239">
                <c:v>25.3</c:v>
              </c:pt>
              <c:pt idx="240">
                <c:v>25.31</c:v>
              </c:pt>
              <c:pt idx="241">
                <c:v>25.28</c:v>
              </c:pt>
              <c:pt idx="242">
                <c:v>25.27</c:v>
              </c:pt>
              <c:pt idx="243">
                <c:v>25.26</c:v>
              </c:pt>
              <c:pt idx="244">
                <c:v>25.28</c:v>
              </c:pt>
              <c:pt idx="245">
                <c:v>25.28</c:v>
              </c:pt>
              <c:pt idx="246">
                <c:v>25.26</c:v>
              </c:pt>
              <c:pt idx="247">
                <c:v>25.29</c:v>
              </c:pt>
              <c:pt idx="248">
                <c:v>25.27</c:v>
              </c:pt>
              <c:pt idx="249">
                <c:v>25.25</c:v>
              </c:pt>
              <c:pt idx="250">
                <c:v>25.28</c:v>
              </c:pt>
              <c:pt idx="251">
                <c:v>25.28</c:v>
              </c:pt>
              <c:pt idx="252">
                <c:v>25.27</c:v>
              </c:pt>
              <c:pt idx="253">
                <c:v>25.26</c:v>
              </c:pt>
              <c:pt idx="254">
                <c:v>25.23</c:v>
              </c:pt>
              <c:pt idx="255">
                <c:v>25.19</c:v>
              </c:pt>
              <c:pt idx="256">
                <c:v>25.2</c:v>
              </c:pt>
              <c:pt idx="257">
                <c:v>25.21</c:v>
              </c:pt>
              <c:pt idx="258">
                <c:v>25.21</c:v>
              </c:pt>
              <c:pt idx="259">
                <c:v>25.21</c:v>
              </c:pt>
              <c:pt idx="260">
                <c:v>25.22</c:v>
              </c:pt>
              <c:pt idx="261">
                <c:v>25.22</c:v>
              </c:pt>
              <c:pt idx="262">
                <c:v>25.21</c:v>
              </c:pt>
              <c:pt idx="263">
                <c:v>25.18</c:v>
              </c:pt>
              <c:pt idx="264">
                <c:v>25.16</c:v>
              </c:pt>
              <c:pt idx="265">
                <c:v>25.19</c:v>
              </c:pt>
              <c:pt idx="266">
                <c:v>25.2</c:v>
              </c:pt>
              <c:pt idx="267">
                <c:v>25.19</c:v>
              </c:pt>
              <c:pt idx="268">
                <c:v>25.22</c:v>
              </c:pt>
              <c:pt idx="269">
                <c:v>25.22</c:v>
              </c:pt>
              <c:pt idx="270">
                <c:v>25.22</c:v>
              </c:pt>
              <c:pt idx="271">
                <c:v>25.26</c:v>
              </c:pt>
              <c:pt idx="272">
                <c:v>25.23</c:v>
              </c:pt>
              <c:pt idx="273">
                <c:v>25.25</c:v>
              </c:pt>
              <c:pt idx="274">
                <c:v>25.26</c:v>
              </c:pt>
              <c:pt idx="275">
                <c:v>25.22</c:v>
              </c:pt>
              <c:pt idx="276">
                <c:v>25.26</c:v>
              </c:pt>
              <c:pt idx="277">
                <c:v>25.26</c:v>
              </c:pt>
              <c:pt idx="278">
                <c:v>25.25</c:v>
              </c:pt>
              <c:pt idx="279">
                <c:v>25.29</c:v>
              </c:pt>
              <c:pt idx="280">
                <c:v>25.27</c:v>
              </c:pt>
              <c:pt idx="281">
                <c:v>25.28</c:v>
              </c:pt>
              <c:pt idx="282">
                <c:v>25.27</c:v>
              </c:pt>
              <c:pt idx="283">
                <c:v>25.25</c:v>
              </c:pt>
              <c:pt idx="284">
                <c:v>25.26</c:v>
              </c:pt>
              <c:pt idx="285">
                <c:v>25.25</c:v>
              </c:pt>
              <c:pt idx="286">
                <c:v>25.24</c:v>
              </c:pt>
              <c:pt idx="287">
                <c:v>25.24</c:v>
              </c:pt>
              <c:pt idx="288">
                <c:v>25.24</c:v>
              </c:pt>
              <c:pt idx="289">
                <c:v>25.22</c:v>
              </c:pt>
              <c:pt idx="290">
                <c:v>25.21</c:v>
              </c:pt>
              <c:pt idx="291">
                <c:v>25.23</c:v>
              </c:pt>
              <c:pt idx="292">
                <c:v>25.23</c:v>
              </c:pt>
              <c:pt idx="293">
                <c:v>25.23</c:v>
              </c:pt>
              <c:pt idx="294">
                <c:v>25.23</c:v>
              </c:pt>
              <c:pt idx="295">
                <c:v>25.21</c:v>
              </c:pt>
              <c:pt idx="296">
                <c:v>25.22</c:v>
              </c:pt>
              <c:pt idx="297">
                <c:v>25.19</c:v>
              </c:pt>
              <c:pt idx="298">
                <c:v>25.2</c:v>
              </c:pt>
              <c:pt idx="299">
                <c:v>25.22</c:v>
              </c:pt>
              <c:pt idx="300">
                <c:v>25.21</c:v>
              </c:pt>
              <c:pt idx="301">
                <c:v>25.22</c:v>
              </c:pt>
              <c:pt idx="302">
                <c:v>25.2</c:v>
              </c:pt>
              <c:pt idx="303">
                <c:v>25.19</c:v>
              </c:pt>
              <c:pt idx="304">
                <c:v>25.19</c:v>
              </c:pt>
              <c:pt idx="305">
                <c:v>25.17</c:v>
              </c:pt>
              <c:pt idx="306">
                <c:v>25.18</c:v>
              </c:pt>
              <c:pt idx="307">
                <c:v>25.15</c:v>
              </c:pt>
              <c:pt idx="308">
                <c:v>25.17</c:v>
              </c:pt>
              <c:pt idx="309">
                <c:v>25.16</c:v>
              </c:pt>
              <c:pt idx="310">
                <c:v>25.17</c:v>
              </c:pt>
              <c:pt idx="311">
                <c:v>25.14</c:v>
              </c:pt>
              <c:pt idx="312">
                <c:v>25.13</c:v>
              </c:pt>
              <c:pt idx="313">
                <c:v>25.12</c:v>
              </c:pt>
              <c:pt idx="314">
                <c:v>25.1</c:v>
              </c:pt>
              <c:pt idx="315">
                <c:v>25.14</c:v>
              </c:pt>
              <c:pt idx="316">
                <c:v>25.14</c:v>
              </c:pt>
              <c:pt idx="317">
                <c:v>25.14</c:v>
              </c:pt>
              <c:pt idx="318">
                <c:v>25.11</c:v>
              </c:pt>
              <c:pt idx="319">
                <c:v>25.1</c:v>
              </c:pt>
              <c:pt idx="320">
                <c:v>25.04</c:v>
              </c:pt>
              <c:pt idx="321">
                <c:v>25.03</c:v>
              </c:pt>
              <c:pt idx="322">
                <c:v>25.03</c:v>
              </c:pt>
              <c:pt idx="323">
                <c:v>25.01</c:v>
              </c:pt>
              <c:pt idx="324">
                <c:v>25</c:v>
              </c:pt>
              <c:pt idx="325">
                <c:v>24.99</c:v>
              </c:pt>
              <c:pt idx="326">
                <c:v>24.99</c:v>
              </c:pt>
              <c:pt idx="327">
                <c:v>24.94</c:v>
              </c:pt>
              <c:pt idx="328">
                <c:v>24.95</c:v>
              </c:pt>
              <c:pt idx="329">
                <c:v>24.91</c:v>
              </c:pt>
              <c:pt idx="330">
                <c:v>24.92</c:v>
              </c:pt>
              <c:pt idx="331">
                <c:v>24.9</c:v>
              </c:pt>
              <c:pt idx="332">
                <c:v>24.91</c:v>
              </c:pt>
              <c:pt idx="333">
                <c:v>24.91</c:v>
              </c:pt>
              <c:pt idx="334">
                <c:v>24.88</c:v>
              </c:pt>
              <c:pt idx="335">
                <c:v>24.9</c:v>
              </c:pt>
              <c:pt idx="336">
                <c:v>24.88</c:v>
              </c:pt>
              <c:pt idx="337">
                <c:v>24.88</c:v>
              </c:pt>
              <c:pt idx="338">
                <c:v>24.89</c:v>
              </c:pt>
              <c:pt idx="339">
                <c:v>24.88</c:v>
              </c:pt>
              <c:pt idx="340">
                <c:v>24.88</c:v>
              </c:pt>
              <c:pt idx="341">
                <c:v>24.89</c:v>
              </c:pt>
              <c:pt idx="342">
                <c:v>24.88</c:v>
              </c:pt>
              <c:pt idx="343">
                <c:v>24.89</c:v>
              </c:pt>
              <c:pt idx="344">
                <c:v>24.88</c:v>
              </c:pt>
              <c:pt idx="345">
                <c:v>24.9</c:v>
              </c:pt>
              <c:pt idx="346">
                <c:v>24.91</c:v>
              </c:pt>
              <c:pt idx="347">
                <c:v>24.9</c:v>
              </c:pt>
              <c:pt idx="348">
                <c:v>24.92</c:v>
              </c:pt>
              <c:pt idx="349">
                <c:v>24.9</c:v>
              </c:pt>
              <c:pt idx="350">
                <c:v>24.89</c:v>
              </c:pt>
              <c:pt idx="351">
                <c:v>24.88</c:v>
              </c:pt>
              <c:pt idx="352">
                <c:v>24.87</c:v>
              </c:pt>
              <c:pt idx="353">
                <c:v>24.88</c:v>
              </c:pt>
              <c:pt idx="354">
                <c:v>24.88</c:v>
              </c:pt>
              <c:pt idx="355">
                <c:v>24.9</c:v>
              </c:pt>
              <c:pt idx="356">
                <c:v>24.9</c:v>
              </c:pt>
              <c:pt idx="357">
                <c:v>24.89</c:v>
              </c:pt>
              <c:pt idx="358">
                <c:v>24.88</c:v>
              </c:pt>
              <c:pt idx="359">
                <c:v>24.85</c:v>
              </c:pt>
              <c:pt idx="360">
                <c:v>24.86</c:v>
              </c:pt>
              <c:pt idx="361">
                <c:v>24.84</c:v>
              </c:pt>
              <c:pt idx="362">
                <c:v>24.84</c:v>
              </c:pt>
              <c:pt idx="363">
                <c:v>24.83</c:v>
              </c:pt>
              <c:pt idx="364">
                <c:v>24.84</c:v>
              </c:pt>
              <c:pt idx="365">
                <c:v>24.84</c:v>
              </c:pt>
              <c:pt idx="366">
                <c:v>24.84</c:v>
              </c:pt>
              <c:pt idx="367">
                <c:v>24.85</c:v>
              </c:pt>
              <c:pt idx="368">
                <c:v>24.85</c:v>
              </c:pt>
              <c:pt idx="369">
                <c:v>24.84</c:v>
              </c:pt>
              <c:pt idx="370">
                <c:v>24.79</c:v>
              </c:pt>
              <c:pt idx="371">
                <c:v>24.83</c:v>
              </c:pt>
              <c:pt idx="372">
                <c:v>24.78</c:v>
              </c:pt>
              <c:pt idx="373">
                <c:v>24.79</c:v>
              </c:pt>
              <c:pt idx="374">
                <c:v>24.79</c:v>
              </c:pt>
              <c:pt idx="375">
                <c:v>24.78</c:v>
              </c:pt>
              <c:pt idx="376">
                <c:v>24.75</c:v>
              </c:pt>
              <c:pt idx="377">
                <c:v>24.78</c:v>
              </c:pt>
              <c:pt idx="378">
                <c:v>24.77</c:v>
              </c:pt>
              <c:pt idx="379">
                <c:v>24.77</c:v>
              </c:pt>
              <c:pt idx="380">
                <c:v>24.77</c:v>
              </c:pt>
              <c:pt idx="381">
                <c:v>24.78</c:v>
              </c:pt>
              <c:pt idx="382">
                <c:v>24.77</c:v>
              </c:pt>
              <c:pt idx="383">
                <c:v>24.78</c:v>
              </c:pt>
              <c:pt idx="384">
                <c:v>24.79</c:v>
              </c:pt>
              <c:pt idx="385">
                <c:v>24.79</c:v>
              </c:pt>
              <c:pt idx="386">
                <c:v>24.77</c:v>
              </c:pt>
              <c:pt idx="387">
                <c:v>24.79</c:v>
              </c:pt>
              <c:pt idx="388">
                <c:v>24.8</c:v>
              </c:pt>
              <c:pt idx="389">
                <c:v>24.81</c:v>
              </c:pt>
              <c:pt idx="390">
                <c:v>24.79</c:v>
              </c:pt>
              <c:pt idx="391">
                <c:v>24.81</c:v>
              </c:pt>
              <c:pt idx="392">
                <c:v>24.83</c:v>
              </c:pt>
              <c:pt idx="393">
                <c:v>24.84</c:v>
              </c:pt>
              <c:pt idx="394">
                <c:v>24.86</c:v>
              </c:pt>
              <c:pt idx="395">
                <c:v>24.82</c:v>
              </c:pt>
              <c:pt idx="396">
                <c:v>24.86</c:v>
              </c:pt>
              <c:pt idx="397">
                <c:v>24.87</c:v>
              </c:pt>
              <c:pt idx="398">
                <c:v>24.89</c:v>
              </c:pt>
              <c:pt idx="399">
                <c:v>24.9</c:v>
              </c:pt>
              <c:pt idx="400">
                <c:v>24.9</c:v>
              </c:pt>
              <c:pt idx="401">
                <c:v>24.91</c:v>
              </c:pt>
              <c:pt idx="402">
                <c:v>24.92</c:v>
              </c:pt>
              <c:pt idx="403">
                <c:v>24.92</c:v>
              </c:pt>
              <c:pt idx="404">
                <c:v>24.92</c:v>
              </c:pt>
              <c:pt idx="405">
                <c:v>24.89</c:v>
              </c:pt>
              <c:pt idx="406">
                <c:v>24.89</c:v>
              </c:pt>
              <c:pt idx="407">
                <c:v>24.92</c:v>
              </c:pt>
              <c:pt idx="408">
                <c:v>24.93</c:v>
              </c:pt>
              <c:pt idx="409">
                <c:v>24.94</c:v>
              </c:pt>
              <c:pt idx="410">
                <c:v>24.89</c:v>
              </c:pt>
              <c:pt idx="411">
                <c:v>24.91</c:v>
              </c:pt>
              <c:pt idx="412">
                <c:v>24.88</c:v>
              </c:pt>
              <c:pt idx="413">
                <c:v>24.88</c:v>
              </c:pt>
              <c:pt idx="414">
                <c:v>24.9</c:v>
              </c:pt>
              <c:pt idx="415">
                <c:v>24.91</c:v>
              </c:pt>
              <c:pt idx="416">
                <c:v>24.9</c:v>
              </c:pt>
              <c:pt idx="417">
                <c:v>24.91</c:v>
              </c:pt>
              <c:pt idx="418">
                <c:v>24.9</c:v>
              </c:pt>
              <c:pt idx="419">
                <c:v>24.91</c:v>
              </c:pt>
              <c:pt idx="420">
                <c:v>24.89</c:v>
              </c:pt>
              <c:pt idx="421">
                <c:v>24.85</c:v>
              </c:pt>
              <c:pt idx="422">
                <c:v>24.88</c:v>
              </c:pt>
              <c:pt idx="423">
                <c:v>24.88</c:v>
              </c:pt>
              <c:pt idx="424">
                <c:v>24.89</c:v>
              </c:pt>
              <c:pt idx="425">
                <c:v>24.92</c:v>
              </c:pt>
              <c:pt idx="426">
                <c:v>24.89</c:v>
              </c:pt>
              <c:pt idx="427">
                <c:v>24.87</c:v>
              </c:pt>
              <c:pt idx="428">
                <c:v>24.87</c:v>
              </c:pt>
              <c:pt idx="429">
                <c:v>24.87</c:v>
              </c:pt>
              <c:pt idx="430">
                <c:v>24.85</c:v>
              </c:pt>
              <c:pt idx="431">
                <c:v>24.86</c:v>
              </c:pt>
              <c:pt idx="432">
                <c:v>24.85</c:v>
              </c:pt>
              <c:pt idx="433">
                <c:v>24.83</c:v>
              </c:pt>
              <c:pt idx="434">
                <c:v>24.84</c:v>
              </c:pt>
              <c:pt idx="435">
                <c:v>24.83</c:v>
              </c:pt>
              <c:pt idx="436">
                <c:v>24.84</c:v>
              </c:pt>
              <c:pt idx="437">
                <c:v>24.83</c:v>
              </c:pt>
              <c:pt idx="438">
                <c:v>24.79</c:v>
              </c:pt>
              <c:pt idx="439">
                <c:v>24.82</c:v>
              </c:pt>
              <c:pt idx="440">
                <c:v>24.86</c:v>
              </c:pt>
              <c:pt idx="441">
                <c:v>24.85</c:v>
              </c:pt>
              <c:pt idx="442">
                <c:v>24.88</c:v>
              </c:pt>
              <c:pt idx="443">
                <c:v>24.86</c:v>
              </c:pt>
              <c:pt idx="444">
                <c:v>24.86</c:v>
              </c:pt>
              <c:pt idx="445">
                <c:v>24.85</c:v>
              </c:pt>
              <c:pt idx="446">
                <c:v>24.89</c:v>
              </c:pt>
              <c:pt idx="447">
                <c:v>24.89</c:v>
              </c:pt>
              <c:pt idx="448">
                <c:v>24.89</c:v>
              </c:pt>
              <c:pt idx="449">
                <c:v>24.88</c:v>
              </c:pt>
              <c:pt idx="450">
                <c:v>24.87</c:v>
              </c:pt>
              <c:pt idx="451">
                <c:v>24.86</c:v>
              </c:pt>
              <c:pt idx="452">
                <c:v>24.88</c:v>
              </c:pt>
              <c:pt idx="453">
                <c:v>24.87</c:v>
              </c:pt>
              <c:pt idx="454">
                <c:v>24.87</c:v>
              </c:pt>
              <c:pt idx="455">
                <c:v>24.83</c:v>
              </c:pt>
              <c:pt idx="456">
                <c:v>24.83</c:v>
              </c:pt>
              <c:pt idx="457">
                <c:v>24.86</c:v>
              </c:pt>
              <c:pt idx="458">
                <c:v>24.86</c:v>
              </c:pt>
              <c:pt idx="459">
                <c:v>24.87</c:v>
              </c:pt>
              <c:pt idx="460">
                <c:v>24.86</c:v>
              </c:pt>
              <c:pt idx="461">
                <c:v>24.88</c:v>
              </c:pt>
              <c:pt idx="462">
                <c:v>24.92</c:v>
              </c:pt>
              <c:pt idx="463">
                <c:v>24.92</c:v>
              </c:pt>
              <c:pt idx="464">
                <c:v>24.89</c:v>
              </c:pt>
              <c:pt idx="465">
                <c:v>24.87</c:v>
              </c:pt>
              <c:pt idx="466">
                <c:v>24.8</c:v>
              </c:pt>
              <c:pt idx="467">
                <c:v>24.8</c:v>
              </c:pt>
              <c:pt idx="468">
                <c:v>24.79</c:v>
              </c:pt>
              <c:pt idx="469">
                <c:v>24.84</c:v>
              </c:pt>
              <c:pt idx="470">
                <c:v>24.8</c:v>
              </c:pt>
              <c:pt idx="471">
                <c:v>24.81</c:v>
              </c:pt>
              <c:pt idx="472">
                <c:v>24.81</c:v>
              </c:pt>
              <c:pt idx="473">
                <c:v>24.8</c:v>
              </c:pt>
              <c:pt idx="474">
                <c:v>24.79</c:v>
              </c:pt>
              <c:pt idx="475">
                <c:v>24.84</c:v>
              </c:pt>
              <c:pt idx="476">
                <c:v>24.85</c:v>
              </c:pt>
              <c:pt idx="477">
                <c:v>24.85</c:v>
              </c:pt>
              <c:pt idx="478">
                <c:v>24.82</c:v>
              </c:pt>
              <c:pt idx="479">
                <c:v>24.82</c:v>
              </c:pt>
              <c:pt idx="480">
                <c:v>24.8</c:v>
              </c:pt>
              <c:pt idx="481">
                <c:v>24.82</c:v>
              </c:pt>
              <c:pt idx="482">
                <c:v>24.86</c:v>
              </c:pt>
              <c:pt idx="483">
                <c:v>24.86</c:v>
              </c:pt>
              <c:pt idx="484">
                <c:v>24.79</c:v>
              </c:pt>
              <c:pt idx="485">
                <c:v>24.78</c:v>
              </c:pt>
              <c:pt idx="486">
                <c:v>24.78</c:v>
              </c:pt>
              <c:pt idx="487">
                <c:v>24.77</c:v>
              </c:pt>
              <c:pt idx="488">
                <c:v>24.79</c:v>
              </c:pt>
              <c:pt idx="489">
                <c:v>24.78</c:v>
              </c:pt>
              <c:pt idx="490">
                <c:v>24.79</c:v>
              </c:pt>
              <c:pt idx="491">
                <c:v>24.76</c:v>
              </c:pt>
              <c:pt idx="492">
                <c:v>24.77</c:v>
              </c:pt>
              <c:pt idx="493">
                <c:v>24.78</c:v>
              </c:pt>
              <c:pt idx="494">
                <c:v>24.84</c:v>
              </c:pt>
              <c:pt idx="495">
                <c:v>24.87</c:v>
              </c:pt>
              <c:pt idx="496">
                <c:v>24.9</c:v>
              </c:pt>
              <c:pt idx="497">
                <c:v>24.87</c:v>
              </c:pt>
              <c:pt idx="498">
                <c:v>24.88</c:v>
              </c:pt>
              <c:pt idx="499">
                <c:v>24.88</c:v>
              </c:pt>
              <c:pt idx="500">
                <c:v>24.9</c:v>
              </c:pt>
              <c:pt idx="501">
                <c:v>24.95</c:v>
              </c:pt>
              <c:pt idx="502">
                <c:v>24.96</c:v>
              </c:pt>
              <c:pt idx="503">
                <c:v>24.98</c:v>
              </c:pt>
              <c:pt idx="504">
                <c:v>25.03</c:v>
              </c:pt>
              <c:pt idx="505">
                <c:v>25.01</c:v>
              </c:pt>
              <c:pt idx="506">
                <c:v>25</c:v>
              </c:pt>
              <c:pt idx="507">
                <c:v>24.99</c:v>
              </c:pt>
              <c:pt idx="508">
                <c:v>25</c:v>
              </c:pt>
              <c:pt idx="509">
                <c:v>24.99</c:v>
              </c:pt>
              <c:pt idx="510">
                <c:v>25.01</c:v>
              </c:pt>
              <c:pt idx="511">
                <c:v>25.07</c:v>
              </c:pt>
              <c:pt idx="512">
                <c:v>25.07</c:v>
              </c:pt>
              <c:pt idx="513">
                <c:v>25.08</c:v>
              </c:pt>
              <c:pt idx="514">
                <c:v>25.13</c:v>
              </c:pt>
              <c:pt idx="515">
                <c:v>25.12</c:v>
              </c:pt>
              <c:pt idx="516">
                <c:v>25.15</c:v>
              </c:pt>
              <c:pt idx="517">
                <c:v>25.15</c:v>
              </c:pt>
              <c:pt idx="518">
                <c:v>25.2</c:v>
              </c:pt>
              <c:pt idx="519">
                <c:v>25.22</c:v>
              </c:pt>
              <c:pt idx="520">
                <c:v>25.25</c:v>
              </c:pt>
              <c:pt idx="521">
                <c:v>25.31</c:v>
              </c:pt>
              <c:pt idx="522">
                <c:v>25.29</c:v>
              </c:pt>
              <c:pt idx="523">
                <c:v>25.4</c:v>
              </c:pt>
              <c:pt idx="524">
                <c:v>25.34</c:v>
              </c:pt>
              <c:pt idx="525">
                <c:v>25.36</c:v>
              </c:pt>
              <c:pt idx="526">
                <c:v>25.35</c:v>
              </c:pt>
              <c:pt idx="527">
                <c:v>25.32</c:v>
              </c:pt>
              <c:pt idx="528">
                <c:v>25.42</c:v>
              </c:pt>
              <c:pt idx="529">
                <c:v>25.4</c:v>
              </c:pt>
              <c:pt idx="530">
                <c:v>25.45</c:v>
              </c:pt>
              <c:pt idx="531">
                <c:v>25.46</c:v>
              </c:pt>
              <c:pt idx="532">
                <c:v>25.52</c:v>
              </c:pt>
              <c:pt idx="533">
                <c:v>25.49</c:v>
              </c:pt>
              <c:pt idx="534">
                <c:v>25.42</c:v>
              </c:pt>
              <c:pt idx="535">
                <c:v>25.4</c:v>
              </c:pt>
              <c:pt idx="536">
                <c:v>25.45</c:v>
              </c:pt>
              <c:pt idx="537">
                <c:v>25.46</c:v>
              </c:pt>
              <c:pt idx="538">
                <c:v>25.47</c:v>
              </c:pt>
              <c:pt idx="539">
                <c:v>25.46</c:v>
              </c:pt>
              <c:pt idx="540">
                <c:v>25.44</c:v>
              </c:pt>
              <c:pt idx="541">
                <c:v>25.5</c:v>
              </c:pt>
              <c:pt idx="542">
                <c:v>25.46</c:v>
              </c:pt>
              <c:pt idx="543">
                <c:v>25.5</c:v>
              </c:pt>
              <c:pt idx="544">
                <c:v>25.51</c:v>
              </c:pt>
              <c:pt idx="545">
                <c:v>25.57</c:v>
              </c:pt>
              <c:pt idx="546">
                <c:v>25.62</c:v>
              </c:pt>
              <c:pt idx="547">
                <c:v>25.63</c:v>
              </c:pt>
              <c:pt idx="548">
                <c:v>25.65</c:v>
              </c:pt>
              <c:pt idx="549">
                <c:v>25.65</c:v>
              </c:pt>
              <c:pt idx="550">
                <c:v>25.64</c:v>
              </c:pt>
              <c:pt idx="551">
                <c:v>25.63</c:v>
              </c:pt>
              <c:pt idx="552">
                <c:v>25.63</c:v>
              </c:pt>
              <c:pt idx="553">
                <c:v>25.65</c:v>
              </c:pt>
              <c:pt idx="554">
                <c:v>25.68</c:v>
              </c:pt>
              <c:pt idx="555">
                <c:v>25.62</c:v>
              </c:pt>
              <c:pt idx="556">
                <c:v>25.63</c:v>
              </c:pt>
              <c:pt idx="557">
                <c:v>25.63</c:v>
              </c:pt>
              <c:pt idx="558">
                <c:v>25.62</c:v>
              </c:pt>
              <c:pt idx="559">
                <c:v>25.63</c:v>
              </c:pt>
              <c:pt idx="560">
                <c:v>25.56</c:v>
              </c:pt>
              <c:pt idx="561">
                <c:v>25.6</c:v>
              </c:pt>
              <c:pt idx="562">
                <c:v>25.52</c:v>
              </c:pt>
              <c:pt idx="563">
                <c:v>25.47</c:v>
              </c:pt>
              <c:pt idx="564">
                <c:v>25.45</c:v>
              </c:pt>
              <c:pt idx="565">
                <c:v>25.39</c:v>
              </c:pt>
              <c:pt idx="566">
                <c:v>25.35</c:v>
              </c:pt>
              <c:pt idx="567">
                <c:v>25.3</c:v>
              </c:pt>
              <c:pt idx="568">
                <c:v>25.28</c:v>
              </c:pt>
              <c:pt idx="569">
                <c:v>25.29</c:v>
              </c:pt>
              <c:pt idx="570">
                <c:v>25.32</c:v>
              </c:pt>
              <c:pt idx="571">
                <c:v>25.25</c:v>
              </c:pt>
              <c:pt idx="572">
                <c:v>25.23</c:v>
              </c:pt>
              <c:pt idx="573">
                <c:v>25.23</c:v>
              </c:pt>
              <c:pt idx="574">
                <c:v>25.18</c:v>
              </c:pt>
              <c:pt idx="575">
                <c:v>25.2</c:v>
              </c:pt>
              <c:pt idx="576">
                <c:v>25.22</c:v>
              </c:pt>
              <c:pt idx="577">
                <c:v>25.15</c:v>
              </c:pt>
              <c:pt idx="578">
                <c:v>25.21</c:v>
              </c:pt>
              <c:pt idx="579">
                <c:v>25.2</c:v>
              </c:pt>
              <c:pt idx="580">
                <c:v>25.21</c:v>
              </c:pt>
              <c:pt idx="581">
                <c:v>25.23</c:v>
              </c:pt>
              <c:pt idx="582">
                <c:v>25.25</c:v>
              </c:pt>
              <c:pt idx="583">
                <c:v>25.28</c:v>
              </c:pt>
              <c:pt idx="584">
                <c:v>25.3</c:v>
              </c:pt>
              <c:pt idx="585">
                <c:v>25.33</c:v>
              </c:pt>
              <c:pt idx="586">
                <c:v>25.29</c:v>
              </c:pt>
              <c:pt idx="587">
                <c:v>25.33</c:v>
              </c:pt>
              <c:pt idx="588">
                <c:v>25.41</c:v>
              </c:pt>
              <c:pt idx="589">
                <c:v>25.44</c:v>
              </c:pt>
              <c:pt idx="590">
                <c:v>25.36</c:v>
              </c:pt>
              <c:pt idx="591">
                <c:v>25.39</c:v>
              </c:pt>
              <c:pt idx="592">
                <c:v>25.41</c:v>
              </c:pt>
              <c:pt idx="593">
                <c:v>25.43</c:v>
              </c:pt>
              <c:pt idx="594">
                <c:v>25.51</c:v>
              </c:pt>
              <c:pt idx="595">
                <c:v>25.51</c:v>
              </c:pt>
              <c:pt idx="596">
                <c:v>25.56</c:v>
              </c:pt>
              <c:pt idx="597">
                <c:v>25.65</c:v>
              </c:pt>
              <c:pt idx="598">
                <c:v>25.67</c:v>
              </c:pt>
              <c:pt idx="599">
                <c:v>25.73</c:v>
              </c:pt>
              <c:pt idx="600">
                <c:v>25.73</c:v>
              </c:pt>
              <c:pt idx="601">
                <c:v>25.72</c:v>
              </c:pt>
              <c:pt idx="602">
                <c:v>25.76</c:v>
              </c:pt>
              <c:pt idx="603">
                <c:v>25.76</c:v>
              </c:pt>
              <c:pt idx="604">
                <c:v>25.78</c:v>
              </c:pt>
              <c:pt idx="605">
                <c:v>25.83</c:v>
              </c:pt>
              <c:pt idx="606">
                <c:v>25.84</c:v>
              </c:pt>
              <c:pt idx="607">
                <c:v>25.88</c:v>
              </c:pt>
              <c:pt idx="608">
                <c:v>25.9</c:v>
              </c:pt>
              <c:pt idx="609">
                <c:v>25.96</c:v>
              </c:pt>
              <c:pt idx="610">
                <c:v>26.04</c:v>
              </c:pt>
              <c:pt idx="611">
                <c:v>26.11</c:v>
              </c:pt>
              <c:pt idx="612">
                <c:v>26.06</c:v>
              </c:pt>
              <c:pt idx="613">
                <c:v>26.08</c:v>
              </c:pt>
              <c:pt idx="614">
                <c:v>26.17</c:v>
              </c:pt>
              <c:pt idx="615">
                <c:v>26.19</c:v>
              </c:pt>
              <c:pt idx="616">
                <c:v>26.18</c:v>
              </c:pt>
              <c:pt idx="617">
                <c:v>26.18</c:v>
              </c:pt>
              <c:pt idx="618">
                <c:v>26.12</c:v>
              </c:pt>
              <c:pt idx="619">
                <c:v>26.12</c:v>
              </c:pt>
              <c:pt idx="620">
                <c:v>26.13</c:v>
              </c:pt>
              <c:pt idx="621">
                <c:v>26.23</c:v>
              </c:pt>
              <c:pt idx="622">
                <c:v>26.31</c:v>
              </c:pt>
              <c:pt idx="623">
                <c:v>26.31</c:v>
              </c:pt>
              <c:pt idx="624">
                <c:v>26.34</c:v>
              </c:pt>
              <c:pt idx="625">
                <c:v>26.35</c:v>
              </c:pt>
              <c:pt idx="626">
                <c:v>26.38</c:v>
              </c:pt>
              <c:pt idx="627">
                <c:v>26.36</c:v>
              </c:pt>
              <c:pt idx="628">
                <c:v>26.42</c:v>
              </c:pt>
              <c:pt idx="629">
                <c:v>26.42</c:v>
              </c:pt>
              <c:pt idx="630">
                <c:v>26.47</c:v>
              </c:pt>
              <c:pt idx="631">
                <c:v>26.42</c:v>
              </c:pt>
              <c:pt idx="632">
                <c:v>26.44</c:v>
              </c:pt>
              <c:pt idx="633">
                <c:v>26.48</c:v>
              </c:pt>
              <c:pt idx="634">
                <c:v>26.45</c:v>
              </c:pt>
              <c:pt idx="635">
                <c:v>26.5</c:v>
              </c:pt>
              <c:pt idx="636">
                <c:v>26.6</c:v>
              </c:pt>
              <c:pt idx="637">
                <c:v>26.54</c:v>
              </c:pt>
              <c:pt idx="638">
                <c:v>26.54</c:v>
              </c:pt>
              <c:pt idx="639">
                <c:v>26.48</c:v>
              </c:pt>
              <c:pt idx="640">
                <c:v>26.59</c:v>
              </c:pt>
              <c:pt idx="641">
                <c:v>26.71</c:v>
              </c:pt>
              <c:pt idx="642">
                <c:v>26.72</c:v>
              </c:pt>
              <c:pt idx="643">
                <c:v>26.71</c:v>
              </c:pt>
              <c:pt idx="644">
                <c:v>26.71</c:v>
              </c:pt>
              <c:pt idx="645">
                <c:v>26.66</c:v>
              </c:pt>
              <c:pt idx="646">
                <c:v>26.66</c:v>
              </c:pt>
              <c:pt idx="647">
                <c:v>26.76</c:v>
              </c:pt>
              <c:pt idx="648">
                <c:v>26.82</c:v>
              </c:pt>
              <c:pt idx="649">
                <c:v>26.74</c:v>
              </c:pt>
              <c:pt idx="650">
                <c:v>26.72</c:v>
              </c:pt>
              <c:pt idx="651">
                <c:v>26.75</c:v>
              </c:pt>
              <c:pt idx="652">
                <c:v>26.87</c:v>
              </c:pt>
              <c:pt idx="653">
                <c:v>26.88</c:v>
              </c:pt>
              <c:pt idx="654">
                <c:v>26.9</c:v>
              </c:pt>
              <c:pt idx="655">
                <c:v>26.9</c:v>
              </c:pt>
              <c:pt idx="656">
                <c:v>27.03</c:v>
              </c:pt>
              <c:pt idx="657">
                <c:v>27.12</c:v>
              </c:pt>
              <c:pt idx="658">
                <c:v>27.1</c:v>
              </c:pt>
              <c:pt idx="659">
                <c:v>27.19</c:v>
              </c:pt>
              <c:pt idx="660">
                <c:v>27.13</c:v>
              </c:pt>
              <c:pt idx="661">
                <c:v>27.23</c:v>
              </c:pt>
              <c:pt idx="662">
                <c:v>27.39</c:v>
              </c:pt>
              <c:pt idx="663">
                <c:v>27.59</c:v>
              </c:pt>
              <c:pt idx="664">
                <c:v>27.69</c:v>
              </c:pt>
              <c:pt idx="665">
                <c:v>27.48</c:v>
              </c:pt>
              <c:pt idx="666">
                <c:v>27.41</c:v>
              </c:pt>
              <c:pt idx="667">
                <c:v>27.45</c:v>
              </c:pt>
              <c:pt idx="668">
                <c:v>27.33</c:v>
              </c:pt>
              <c:pt idx="669">
                <c:v>27.34</c:v>
              </c:pt>
              <c:pt idx="670">
                <c:v>27.49</c:v>
              </c:pt>
              <c:pt idx="671">
                <c:v>27.51</c:v>
              </c:pt>
              <c:pt idx="672">
                <c:v>27.57</c:v>
              </c:pt>
              <c:pt idx="673">
                <c:v>27.57</c:v>
              </c:pt>
              <c:pt idx="674">
                <c:v>27.51</c:v>
              </c:pt>
              <c:pt idx="675">
                <c:v>27.42</c:v>
              </c:pt>
              <c:pt idx="676">
                <c:v>27.31</c:v>
              </c:pt>
              <c:pt idx="677">
                <c:v>27.39</c:v>
              </c:pt>
              <c:pt idx="678">
                <c:v>27.32</c:v>
              </c:pt>
              <c:pt idx="679">
                <c:v>27.34</c:v>
              </c:pt>
              <c:pt idx="680">
                <c:v>27.34</c:v>
              </c:pt>
              <c:pt idx="681">
                <c:v>27.41</c:v>
              </c:pt>
              <c:pt idx="682">
                <c:v>27.37</c:v>
              </c:pt>
              <c:pt idx="683">
                <c:v>27.5</c:v>
              </c:pt>
              <c:pt idx="684">
                <c:v>27.34</c:v>
              </c:pt>
              <c:pt idx="685">
                <c:v>27.29</c:v>
              </c:pt>
              <c:pt idx="686">
                <c:v>27.31</c:v>
              </c:pt>
              <c:pt idx="687">
                <c:v>27.42</c:v>
              </c:pt>
              <c:pt idx="688">
                <c:v>27.52</c:v>
              </c:pt>
              <c:pt idx="689">
                <c:v>27.45</c:v>
              </c:pt>
              <c:pt idx="690">
                <c:v>27.4</c:v>
              </c:pt>
              <c:pt idx="691">
                <c:v>27.36</c:v>
              </c:pt>
              <c:pt idx="692">
                <c:v>27.33</c:v>
              </c:pt>
              <c:pt idx="693">
                <c:v>27.34</c:v>
              </c:pt>
              <c:pt idx="694">
                <c:v>27.28</c:v>
              </c:pt>
              <c:pt idx="695">
                <c:v>27.31</c:v>
              </c:pt>
              <c:pt idx="696">
                <c:v>27.24</c:v>
              </c:pt>
              <c:pt idx="697">
                <c:v>27.22</c:v>
              </c:pt>
              <c:pt idx="698">
                <c:v>27.28</c:v>
              </c:pt>
              <c:pt idx="699">
                <c:v>27.21</c:v>
              </c:pt>
              <c:pt idx="700">
                <c:v>27.33</c:v>
              </c:pt>
              <c:pt idx="701">
                <c:v>27.48</c:v>
              </c:pt>
              <c:pt idx="702">
                <c:v>27.5</c:v>
              </c:pt>
              <c:pt idx="703">
                <c:v>27.46</c:v>
              </c:pt>
              <c:pt idx="704">
                <c:v>27.5</c:v>
              </c:pt>
              <c:pt idx="705">
                <c:v>27.73</c:v>
              </c:pt>
              <c:pt idx="706">
                <c:v>27.61</c:v>
              </c:pt>
              <c:pt idx="707">
                <c:v>27.58</c:v>
              </c:pt>
              <c:pt idx="708">
                <c:v>27.66</c:v>
              </c:pt>
              <c:pt idx="709">
                <c:v>27.86</c:v>
              </c:pt>
              <c:pt idx="710">
                <c:v>28.07</c:v>
              </c:pt>
              <c:pt idx="711">
                <c:v>28.09</c:v>
              </c:pt>
              <c:pt idx="712">
                <c:v>28.14</c:v>
              </c:pt>
              <c:pt idx="713">
                <c:v>28.07</c:v>
              </c:pt>
              <c:pt idx="714">
                <c:v>27.75</c:v>
              </c:pt>
              <c:pt idx="715">
                <c:v>27.67</c:v>
              </c:pt>
              <c:pt idx="716">
                <c:v>27.79</c:v>
              </c:pt>
              <c:pt idx="717">
                <c:v>27.77</c:v>
              </c:pt>
              <c:pt idx="718">
                <c:v>27.7</c:v>
              </c:pt>
              <c:pt idx="719">
                <c:v>27.88</c:v>
              </c:pt>
              <c:pt idx="720">
                <c:v>27.9</c:v>
              </c:pt>
              <c:pt idx="721">
                <c:v>27.67</c:v>
              </c:pt>
              <c:pt idx="722">
                <c:v>27.69</c:v>
              </c:pt>
              <c:pt idx="723">
                <c:v>27.72</c:v>
              </c:pt>
              <c:pt idx="724">
                <c:v>27.66</c:v>
              </c:pt>
              <c:pt idx="725">
                <c:v>27.45</c:v>
              </c:pt>
              <c:pt idx="726">
                <c:v>27.46</c:v>
              </c:pt>
              <c:pt idx="727">
                <c:v>27.49</c:v>
              </c:pt>
              <c:pt idx="728">
                <c:v>27.33</c:v>
              </c:pt>
              <c:pt idx="729">
                <c:v>27.3</c:v>
              </c:pt>
              <c:pt idx="730">
                <c:v>27.29</c:v>
              </c:pt>
              <c:pt idx="731">
                <c:v>27.35</c:v>
              </c:pt>
              <c:pt idx="732">
                <c:v>27.58</c:v>
              </c:pt>
              <c:pt idx="733">
                <c:v>27.63</c:v>
              </c:pt>
              <c:pt idx="734">
                <c:v>27.48</c:v>
              </c:pt>
              <c:pt idx="735">
                <c:v>27.43</c:v>
              </c:pt>
              <c:pt idx="736">
                <c:v>27.36</c:v>
              </c:pt>
              <c:pt idx="737">
                <c:v>27.4</c:v>
              </c:pt>
              <c:pt idx="738">
                <c:v>27.52</c:v>
              </c:pt>
              <c:pt idx="739">
                <c:v>27.48</c:v>
              </c:pt>
              <c:pt idx="740">
                <c:v>27.54</c:v>
              </c:pt>
              <c:pt idx="741">
                <c:v>27.61</c:v>
              </c:pt>
              <c:pt idx="742">
                <c:v>27.49</c:v>
              </c:pt>
              <c:pt idx="743">
                <c:v>27.56</c:v>
              </c:pt>
              <c:pt idx="744">
                <c:v>27.7</c:v>
              </c:pt>
              <c:pt idx="745">
                <c:v>27.62</c:v>
              </c:pt>
              <c:pt idx="746">
                <c:v>27.53</c:v>
              </c:pt>
              <c:pt idx="747">
                <c:v>27.63</c:v>
              </c:pt>
              <c:pt idx="748">
                <c:v>27.56</c:v>
              </c:pt>
              <c:pt idx="749">
                <c:v>27.57</c:v>
              </c:pt>
              <c:pt idx="750">
                <c:v>27.7</c:v>
              </c:pt>
              <c:pt idx="751">
                <c:v>27.71</c:v>
              </c:pt>
              <c:pt idx="752">
                <c:v>27.82</c:v>
              </c:pt>
              <c:pt idx="753">
                <c:v>27.79</c:v>
              </c:pt>
              <c:pt idx="754">
                <c:v>27.69</c:v>
              </c:pt>
              <c:pt idx="755">
                <c:v>27.59</c:v>
              </c:pt>
              <c:pt idx="756">
                <c:v>27.62</c:v>
              </c:pt>
              <c:pt idx="757">
                <c:v>27.7</c:v>
              </c:pt>
              <c:pt idx="758">
                <c:v>27.58</c:v>
              </c:pt>
              <c:pt idx="759">
                <c:v>27.55</c:v>
              </c:pt>
              <c:pt idx="760">
                <c:v>27.47</c:v>
              </c:pt>
              <c:pt idx="761">
                <c:v>27.38</c:v>
              </c:pt>
              <c:pt idx="762">
                <c:v>27.3</c:v>
              </c:pt>
              <c:pt idx="763">
                <c:v>27.27</c:v>
              </c:pt>
              <c:pt idx="764">
                <c:v>27.24</c:v>
              </c:pt>
              <c:pt idx="765">
                <c:v>27.25</c:v>
              </c:pt>
              <c:pt idx="766">
                <c:v>27.33</c:v>
              </c:pt>
              <c:pt idx="767">
                <c:v>27.35</c:v>
              </c:pt>
              <c:pt idx="768">
                <c:v>27.31</c:v>
              </c:pt>
              <c:pt idx="769">
                <c:v>27.24</c:v>
              </c:pt>
              <c:pt idx="770">
                <c:v>27.25</c:v>
              </c:pt>
              <c:pt idx="771">
                <c:v>27.34</c:v>
              </c:pt>
              <c:pt idx="772">
                <c:v>27.23</c:v>
              </c:pt>
              <c:pt idx="773">
                <c:v>27.13</c:v>
              </c:pt>
              <c:pt idx="774">
                <c:v>27.17</c:v>
              </c:pt>
              <c:pt idx="775">
                <c:v>27.18</c:v>
              </c:pt>
              <c:pt idx="776">
                <c:v>27.18</c:v>
              </c:pt>
              <c:pt idx="777">
                <c:v>27.08</c:v>
              </c:pt>
              <c:pt idx="778">
                <c:v>27.04</c:v>
              </c:pt>
              <c:pt idx="779">
                <c:v>27.06</c:v>
              </c:pt>
              <c:pt idx="780">
                <c:v>27.03</c:v>
              </c:pt>
              <c:pt idx="781">
                <c:v>26.96</c:v>
              </c:pt>
              <c:pt idx="782">
                <c:v>26.83</c:v>
              </c:pt>
              <c:pt idx="783">
                <c:v>26.81</c:v>
              </c:pt>
              <c:pt idx="784">
                <c:v>26.8</c:v>
              </c:pt>
              <c:pt idx="785">
                <c:v>26.78</c:v>
              </c:pt>
              <c:pt idx="786">
                <c:v>26.71</c:v>
              </c:pt>
              <c:pt idx="787">
                <c:v>26.65</c:v>
              </c:pt>
              <c:pt idx="788">
                <c:v>26.69</c:v>
              </c:pt>
              <c:pt idx="789">
                <c:v>26.74</c:v>
              </c:pt>
              <c:pt idx="790">
                <c:v>26.65</c:v>
              </c:pt>
              <c:pt idx="791">
                <c:v>26.65</c:v>
              </c:pt>
              <c:pt idx="792">
                <c:v>26.74</c:v>
              </c:pt>
              <c:pt idx="793">
                <c:v>26.59</c:v>
              </c:pt>
              <c:pt idx="794">
                <c:v>26.67</c:v>
              </c:pt>
              <c:pt idx="795">
                <c:v>26.71</c:v>
              </c:pt>
              <c:pt idx="796">
                <c:v>26.65</c:v>
              </c:pt>
              <c:pt idx="797">
                <c:v>26.6</c:v>
              </c:pt>
              <c:pt idx="798">
                <c:v>26.62</c:v>
              </c:pt>
              <c:pt idx="799">
                <c:v>26.65</c:v>
              </c:pt>
              <c:pt idx="800">
                <c:v>26.59</c:v>
              </c:pt>
              <c:pt idx="801">
                <c:v>26.6</c:v>
              </c:pt>
              <c:pt idx="802">
                <c:v>26.58</c:v>
              </c:pt>
              <c:pt idx="803">
                <c:v>26.59</c:v>
              </c:pt>
              <c:pt idx="804">
                <c:v>26.63</c:v>
              </c:pt>
              <c:pt idx="805">
                <c:v>26.62</c:v>
              </c:pt>
              <c:pt idx="806">
                <c:v>26.65</c:v>
              </c:pt>
              <c:pt idx="807">
                <c:v>26.62</c:v>
              </c:pt>
              <c:pt idx="808">
                <c:v>26.64</c:v>
              </c:pt>
              <c:pt idx="809">
                <c:v>26.67</c:v>
              </c:pt>
              <c:pt idx="810">
                <c:v>26.62</c:v>
              </c:pt>
              <c:pt idx="811">
                <c:v>26.65</c:v>
              </c:pt>
              <c:pt idx="812">
                <c:v>26.64</c:v>
              </c:pt>
              <c:pt idx="813">
                <c:v>26.81</c:v>
              </c:pt>
              <c:pt idx="814">
                <c:v>26.89</c:v>
              </c:pt>
              <c:pt idx="815">
                <c:v>26.92</c:v>
              </c:pt>
              <c:pt idx="816">
                <c:v>26.93</c:v>
              </c:pt>
              <c:pt idx="817">
                <c:v>26.91</c:v>
              </c:pt>
              <c:pt idx="818">
                <c:v>26.91</c:v>
              </c:pt>
              <c:pt idx="819">
                <c:v>26.85</c:v>
              </c:pt>
              <c:pt idx="820">
                <c:v>26.84</c:v>
              </c:pt>
              <c:pt idx="821">
                <c:v>26.83</c:v>
              </c:pt>
              <c:pt idx="822">
                <c:v>26.82</c:v>
              </c:pt>
              <c:pt idx="823">
                <c:v>26.8</c:v>
              </c:pt>
              <c:pt idx="824">
                <c:v>26.8</c:v>
              </c:pt>
              <c:pt idx="825">
                <c:v>26.82</c:v>
              </c:pt>
              <c:pt idx="826">
                <c:v>26.8</c:v>
              </c:pt>
              <c:pt idx="827">
                <c:v>26.76</c:v>
              </c:pt>
              <c:pt idx="828">
                <c:v>26.78</c:v>
              </c:pt>
              <c:pt idx="829">
                <c:v>26.78</c:v>
              </c:pt>
              <c:pt idx="830">
                <c:v>26.82</c:v>
              </c:pt>
              <c:pt idx="831">
                <c:v>26.79</c:v>
              </c:pt>
              <c:pt idx="832">
                <c:v>26.79</c:v>
              </c:pt>
              <c:pt idx="833">
                <c:v>26.78</c:v>
              </c:pt>
              <c:pt idx="834">
                <c:v>26.8</c:v>
              </c:pt>
              <c:pt idx="835">
                <c:v>26.89</c:v>
              </c:pt>
              <c:pt idx="836">
                <c:v>26.96</c:v>
              </c:pt>
              <c:pt idx="837">
                <c:v>26.98</c:v>
              </c:pt>
              <c:pt idx="838">
                <c:v>27.08</c:v>
              </c:pt>
              <c:pt idx="839">
                <c:v>27.1</c:v>
              </c:pt>
              <c:pt idx="840">
                <c:v>27.15</c:v>
              </c:pt>
              <c:pt idx="841">
                <c:v>27.32</c:v>
              </c:pt>
              <c:pt idx="842">
                <c:v>27.35</c:v>
              </c:pt>
              <c:pt idx="843">
                <c:v>27.37</c:v>
              </c:pt>
              <c:pt idx="844">
                <c:v>27.32</c:v>
              </c:pt>
              <c:pt idx="845">
                <c:v>27.44</c:v>
              </c:pt>
              <c:pt idx="846">
                <c:v>27.45</c:v>
              </c:pt>
              <c:pt idx="847">
                <c:v>27.48</c:v>
              </c:pt>
              <c:pt idx="848">
                <c:v>27.46</c:v>
              </c:pt>
              <c:pt idx="849">
                <c:v>27.57</c:v>
              </c:pt>
              <c:pt idx="850">
                <c:v>27.6</c:v>
              </c:pt>
              <c:pt idx="851">
                <c:v>27.56</c:v>
              </c:pt>
              <c:pt idx="852">
                <c:v>27.48</c:v>
              </c:pt>
              <c:pt idx="853">
                <c:v>27.47</c:v>
              </c:pt>
              <c:pt idx="854">
                <c:v>27.46</c:v>
              </c:pt>
              <c:pt idx="855">
                <c:v>27.42</c:v>
              </c:pt>
              <c:pt idx="856">
                <c:v>27.52</c:v>
              </c:pt>
              <c:pt idx="857">
                <c:v>27.45</c:v>
              </c:pt>
              <c:pt idx="858">
                <c:v>27.5</c:v>
              </c:pt>
              <c:pt idx="859">
                <c:v>27.47</c:v>
              </c:pt>
              <c:pt idx="860">
                <c:v>27.48</c:v>
              </c:pt>
              <c:pt idx="861">
                <c:v>27.37</c:v>
              </c:pt>
              <c:pt idx="862">
                <c:v>27.4</c:v>
              </c:pt>
              <c:pt idx="863">
                <c:v>27.4</c:v>
              </c:pt>
              <c:pt idx="864">
                <c:v>27.56</c:v>
              </c:pt>
              <c:pt idx="865">
                <c:v>27.55</c:v>
              </c:pt>
              <c:pt idx="866">
                <c:v>27.51</c:v>
              </c:pt>
              <c:pt idx="867">
                <c:v>27.56</c:v>
              </c:pt>
              <c:pt idx="868">
                <c:v>27.55</c:v>
              </c:pt>
              <c:pt idx="869">
                <c:v>27.5</c:v>
              </c:pt>
              <c:pt idx="870">
                <c:v>27.52</c:v>
              </c:pt>
              <c:pt idx="871">
                <c:v>27.51</c:v>
              </c:pt>
              <c:pt idx="872">
                <c:v>27.51</c:v>
              </c:pt>
              <c:pt idx="873">
                <c:v>27.52</c:v>
              </c:pt>
              <c:pt idx="874">
                <c:v>27.5</c:v>
              </c:pt>
              <c:pt idx="875">
                <c:v>27.46</c:v>
              </c:pt>
              <c:pt idx="876">
                <c:v>27.42</c:v>
              </c:pt>
              <c:pt idx="877">
                <c:v>27.34</c:v>
              </c:pt>
              <c:pt idx="878">
                <c:v>27.27</c:v>
              </c:pt>
              <c:pt idx="879">
                <c:v>27.24</c:v>
              </c:pt>
              <c:pt idx="880">
                <c:v>27.18</c:v>
              </c:pt>
              <c:pt idx="881">
                <c:v>27.23</c:v>
              </c:pt>
              <c:pt idx="882">
                <c:v>27.3</c:v>
              </c:pt>
              <c:pt idx="883">
                <c:v>27.43</c:v>
              </c:pt>
              <c:pt idx="884">
                <c:v>27.55</c:v>
              </c:pt>
              <c:pt idx="885">
                <c:v>27.59</c:v>
              </c:pt>
              <c:pt idx="886">
                <c:v>27.65</c:v>
              </c:pt>
              <c:pt idx="887">
                <c:v>27.78</c:v>
              </c:pt>
              <c:pt idx="888">
                <c:v>27.82</c:v>
              </c:pt>
              <c:pt idx="889">
                <c:v>27.71</c:v>
              </c:pt>
              <c:pt idx="890">
                <c:v>27.78</c:v>
              </c:pt>
              <c:pt idx="891">
                <c:v>27.94</c:v>
              </c:pt>
              <c:pt idx="892">
                <c:v>28.08</c:v>
              </c:pt>
              <c:pt idx="893">
                <c:v>28.18</c:v>
              </c:pt>
              <c:pt idx="894">
                <c:v>28.19</c:v>
              </c:pt>
              <c:pt idx="895">
                <c:v>28.08</c:v>
              </c:pt>
              <c:pt idx="896">
                <c:v>28.01</c:v>
              </c:pt>
              <c:pt idx="897">
                <c:v>28.05</c:v>
              </c:pt>
              <c:pt idx="898">
                <c:v>27.94</c:v>
              </c:pt>
              <c:pt idx="899">
                <c:v>27.96</c:v>
              </c:pt>
              <c:pt idx="900">
                <c:v>27.99</c:v>
              </c:pt>
              <c:pt idx="901">
                <c:v>28.14</c:v>
              </c:pt>
              <c:pt idx="902">
                <c:v>27.96</c:v>
              </c:pt>
              <c:pt idx="903">
                <c:v>27.91</c:v>
              </c:pt>
              <c:pt idx="904">
                <c:v>27.82</c:v>
              </c:pt>
              <c:pt idx="905">
                <c:v>27.68</c:v>
              </c:pt>
              <c:pt idx="906">
                <c:v>27.7</c:v>
              </c:pt>
              <c:pt idx="907">
                <c:v>27.54</c:v>
              </c:pt>
              <c:pt idx="908">
                <c:v>27.65</c:v>
              </c:pt>
              <c:pt idx="909">
                <c:v>27.56</c:v>
              </c:pt>
              <c:pt idx="910">
                <c:v>27.58</c:v>
              </c:pt>
              <c:pt idx="911">
                <c:v>27.54</c:v>
              </c:pt>
              <c:pt idx="912">
                <c:v>27.34</c:v>
              </c:pt>
              <c:pt idx="913">
                <c:v>27.19</c:v>
              </c:pt>
              <c:pt idx="914">
                <c:v>27.12</c:v>
              </c:pt>
              <c:pt idx="915">
                <c:v>27.03</c:v>
              </c:pt>
              <c:pt idx="916">
                <c:v>26.96</c:v>
              </c:pt>
              <c:pt idx="917">
                <c:v>27.01</c:v>
              </c:pt>
              <c:pt idx="918">
                <c:v>26.99</c:v>
              </c:pt>
              <c:pt idx="919">
                <c:v>26.93</c:v>
              </c:pt>
              <c:pt idx="920">
                <c:v>26.91</c:v>
              </c:pt>
              <c:pt idx="921">
                <c:v>26.94</c:v>
              </c:pt>
              <c:pt idx="922">
                <c:v>27</c:v>
              </c:pt>
              <c:pt idx="923">
                <c:v>27.01</c:v>
              </c:pt>
              <c:pt idx="924">
                <c:v>27.02</c:v>
              </c:pt>
              <c:pt idx="925">
                <c:v>27.03</c:v>
              </c:pt>
              <c:pt idx="926">
                <c:v>27.09</c:v>
              </c:pt>
              <c:pt idx="927">
                <c:v>27.1</c:v>
              </c:pt>
              <c:pt idx="928">
                <c:v>27.13</c:v>
              </c:pt>
              <c:pt idx="929">
                <c:v>27.13</c:v>
              </c:pt>
              <c:pt idx="930">
                <c:v>27.17</c:v>
              </c:pt>
              <c:pt idx="931">
                <c:v>27.2</c:v>
              </c:pt>
              <c:pt idx="932">
                <c:v>27.25</c:v>
              </c:pt>
              <c:pt idx="933">
                <c:v>27.3</c:v>
              </c:pt>
              <c:pt idx="934">
                <c:v>27.38</c:v>
              </c:pt>
              <c:pt idx="935">
                <c:v>27.42</c:v>
              </c:pt>
              <c:pt idx="936">
                <c:v>27.43</c:v>
              </c:pt>
              <c:pt idx="937">
                <c:v>27.33</c:v>
              </c:pt>
              <c:pt idx="938">
                <c:v>27.31</c:v>
              </c:pt>
              <c:pt idx="939">
                <c:v>27.35</c:v>
              </c:pt>
              <c:pt idx="940">
                <c:v>27.45</c:v>
              </c:pt>
              <c:pt idx="941">
                <c:v>27.47</c:v>
              </c:pt>
              <c:pt idx="942">
                <c:v>27.52</c:v>
              </c:pt>
              <c:pt idx="943">
                <c:v>27.52</c:v>
              </c:pt>
              <c:pt idx="944">
                <c:v>27.53</c:v>
              </c:pt>
              <c:pt idx="945">
                <c:v>27.57</c:v>
              </c:pt>
              <c:pt idx="946">
                <c:v>27.62</c:v>
              </c:pt>
              <c:pt idx="947">
                <c:v>27.64</c:v>
              </c:pt>
              <c:pt idx="948">
                <c:v>27.58</c:v>
              </c:pt>
              <c:pt idx="949">
                <c:v>27.52</c:v>
              </c:pt>
              <c:pt idx="950">
                <c:v>27.54</c:v>
              </c:pt>
              <c:pt idx="951">
                <c:v>27.58</c:v>
              </c:pt>
              <c:pt idx="952">
                <c:v>27.58</c:v>
              </c:pt>
              <c:pt idx="953">
                <c:v>27.57</c:v>
              </c:pt>
              <c:pt idx="954">
                <c:v>27.6</c:v>
              </c:pt>
              <c:pt idx="955">
                <c:v>27.64</c:v>
              </c:pt>
              <c:pt idx="956">
                <c:v>27.72</c:v>
              </c:pt>
              <c:pt idx="957">
                <c:v>27.77</c:v>
              </c:pt>
              <c:pt idx="958">
                <c:v>27.75</c:v>
              </c:pt>
              <c:pt idx="959">
                <c:v>27.8</c:v>
              </c:pt>
              <c:pt idx="960">
                <c:v>27.79</c:v>
              </c:pt>
              <c:pt idx="961">
                <c:v>27.83</c:v>
              </c:pt>
              <c:pt idx="962">
                <c:v>27.95</c:v>
              </c:pt>
              <c:pt idx="963">
                <c:v>27.97</c:v>
              </c:pt>
              <c:pt idx="964">
                <c:v>28.07</c:v>
              </c:pt>
              <c:pt idx="965">
                <c:v>28.14</c:v>
              </c:pt>
              <c:pt idx="966">
                <c:v>28.08</c:v>
              </c:pt>
              <c:pt idx="967">
                <c:v>28.07</c:v>
              </c:pt>
              <c:pt idx="968">
                <c:v>28.15</c:v>
              </c:pt>
              <c:pt idx="969">
                <c:v>28.23</c:v>
              </c:pt>
              <c:pt idx="970">
                <c:v>28.29</c:v>
              </c:pt>
              <c:pt idx="971">
                <c:v>28.31</c:v>
              </c:pt>
              <c:pt idx="972">
                <c:v>28.23</c:v>
              </c:pt>
              <c:pt idx="973">
                <c:v>28.23</c:v>
              </c:pt>
              <c:pt idx="974">
                <c:v>28.24</c:v>
              </c:pt>
              <c:pt idx="975">
                <c:v>28.3</c:v>
              </c:pt>
              <c:pt idx="976">
                <c:v>28.32</c:v>
              </c:pt>
              <c:pt idx="977">
                <c:v>28.28</c:v>
              </c:pt>
              <c:pt idx="978">
                <c:v>28.22</c:v>
              </c:pt>
              <c:pt idx="979">
                <c:v>28.17</c:v>
              </c:pt>
              <c:pt idx="980">
                <c:v>28.11</c:v>
              </c:pt>
              <c:pt idx="981">
                <c:v>28.11</c:v>
              </c:pt>
              <c:pt idx="982">
                <c:v>28.1</c:v>
              </c:pt>
              <c:pt idx="983">
                <c:v>28.1</c:v>
              </c:pt>
              <c:pt idx="984">
                <c:v>28.02</c:v>
              </c:pt>
              <c:pt idx="985">
                <c:v>28.05</c:v>
              </c:pt>
              <c:pt idx="986">
                <c:v>28.03</c:v>
              </c:pt>
              <c:pt idx="987">
                <c:v>28.04</c:v>
              </c:pt>
              <c:pt idx="988">
                <c:v>28.08</c:v>
              </c:pt>
              <c:pt idx="989">
                <c:v>28.11</c:v>
              </c:pt>
              <c:pt idx="990">
                <c:v>28.17</c:v>
              </c:pt>
              <c:pt idx="991">
                <c:v>28.3</c:v>
              </c:pt>
              <c:pt idx="992">
                <c:v>28.35</c:v>
              </c:pt>
              <c:pt idx="993">
                <c:v>28.46</c:v>
              </c:pt>
              <c:pt idx="994">
                <c:v>28.55</c:v>
              </c:pt>
              <c:pt idx="995">
                <c:v>28.49</c:v>
              </c:pt>
              <c:pt idx="996">
                <c:v>28.45</c:v>
              </c:pt>
              <c:pt idx="997">
                <c:v>28.55</c:v>
              </c:pt>
              <c:pt idx="998">
                <c:v>28.43</c:v>
              </c:pt>
              <c:pt idx="999">
                <c:v>28.52</c:v>
              </c:pt>
              <c:pt idx="1000">
                <c:v>28.63</c:v>
              </c:pt>
              <c:pt idx="1001">
                <c:v>28.53</c:v>
              </c:pt>
              <c:pt idx="1002">
                <c:v>28.52</c:v>
              </c:pt>
              <c:pt idx="1003">
                <c:v>28.54</c:v>
              </c:pt>
              <c:pt idx="1004">
                <c:v>28.5</c:v>
              </c:pt>
              <c:pt idx="1005">
                <c:v>28.56</c:v>
              </c:pt>
              <c:pt idx="1006">
                <c:v>28.54</c:v>
              </c:pt>
              <c:pt idx="1007">
                <c:v>28.56</c:v>
              </c:pt>
              <c:pt idx="1008">
                <c:v>28.57</c:v>
              </c:pt>
              <c:pt idx="1009">
                <c:v>28.58</c:v>
              </c:pt>
              <c:pt idx="1010">
                <c:v>28.63</c:v>
              </c:pt>
              <c:pt idx="1011">
                <c:v>28.63</c:v>
              </c:pt>
              <c:pt idx="1012">
                <c:v>28.56</c:v>
              </c:pt>
              <c:pt idx="1013">
                <c:v>28.4</c:v>
              </c:pt>
              <c:pt idx="1014">
                <c:v>28.4</c:v>
              </c:pt>
              <c:pt idx="1015">
                <c:v>28.38</c:v>
              </c:pt>
              <c:pt idx="1016">
                <c:v>28.28</c:v>
              </c:pt>
              <c:pt idx="1017">
                <c:v>28.11</c:v>
              </c:pt>
              <c:pt idx="1018">
                <c:v>28.06</c:v>
              </c:pt>
              <c:pt idx="1019">
                <c:v>28.03</c:v>
              </c:pt>
              <c:pt idx="1020">
                <c:v>27.95</c:v>
              </c:pt>
              <c:pt idx="1021">
                <c:v>27.94</c:v>
              </c:pt>
              <c:pt idx="1022">
                <c:v>27.8</c:v>
              </c:pt>
              <c:pt idx="1023">
                <c:v>27.71</c:v>
              </c:pt>
              <c:pt idx="1024">
                <c:v>27.67</c:v>
              </c:pt>
              <c:pt idx="1025">
                <c:v>27.64</c:v>
              </c:pt>
              <c:pt idx="1026">
                <c:v>27.63</c:v>
              </c:pt>
              <c:pt idx="1027">
                <c:v>27.51</c:v>
              </c:pt>
              <c:pt idx="1028">
                <c:v>27.46</c:v>
              </c:pt>
              <c:pt idx="1029">
                <c:v>27.41</c:v>
              </c:pt>
              <c:pt idx="1030">
                <c:v>27.38</c:v>
              </c:pt>
              <c:pt idx="1031">
                <c:v>27.32</c:v>
              </c:pt>
              <c:pt idx="1032">
                <c:v>27.29</c:v>
              </c:pt>
              <c:pt idx="1033">
                <c:v>27.32</c:v>
              </c:pt>
              <c:pt idx="1034">
                <c:v>27.34</c:v>
              </c:pt>
              <c:pt idx="1035">
                <c:v>27.34</c:v>
              </c:pt>
              <c:pt idx="1036">
                <c:v>27.39</c:v>
              </c:pt>
              <c:pt idx="1037">
                <c:v>27.46</c:v>
              </c:pt>
              <c:pt idx="1038">
                <c:v>27.49</c:v>
              </c:pt>
              <c:pt idx="1039">
                <c:v>27.5</c:v>
              </c:pt>
              <c:pt idx="1040">
                <c:v>27.59</c:v>
              </c:pt>
              <c:pt idx="1041">
                <c:v>27.67</c:v>
              </c:pt>
              <c:pt idx="1042">
                <c:v>27.78</c:v>
              </c:pt>
              <c:pt idx="1043">
                <c:v>27.86</c:v>
              </c:pt>
              <c:pt idx="1044">
                <c:v>27.94</c:v>
              </c:pt>
              <c:pt idx="1045">
                <c:v>28.02</c:v>
              </c:pt>
              <c:pt idx="1046">
                <c:v>28.11</c:v>
              </c:pt>
              <c:pt idx="1047">
                <c:v>28.22</c:v>
              </c:pt>
              <c:pt idx="1048">
                <c:v>28.21</c:v>
              </c:pt>
              <c:pt idx="1049">
                <c:v>28.23</c:v>
              </c:pt>
              <c:pt idx="1050">
                <c:v>28.25</c:v>
              </c:pt>
              <c:pt idx="1051">
                <c:v>28.23</c:v>
              </c:pt>
              <c:pt idx="1052">
                <c:v>28.21</c:v>
              </c:pt>
              <c:pt idx="1053">
                <c:v>28.15</c:v>
              </c:pt>
              <c:pt idx="1054">
                <c:v>28.17</c:v>
              </c:pt>
              <c:pt idx="1055">
                <c:v>28.16</c:v>
              </c:pt>
              <c:pt idx="1056">
                <c:v>28.15</c:v>
              </c:pt>
              <c:pt idx="1057">
                <c:v>28.15</c:v>
              </c:pt>
              <c:pt idx="1058">
                <c:v>28.11</c:v>
              </c:pt>
              <c:pt idx="1059">
                <c:v>28.15</c:v>
              </c:pt>
              <c:pt idx="1060">
                <c:v>28.1</c:v>
              </c:pt>
              <c:pt idx="1061">
                <c:v>28.13</c:v>
              </c:pt>
              <c:pt idx="1062">
                <c:v>28.21</c:v>
              </c:pt>
              <c:pt idx="1063">
                <c:v>28.13</c:v>
              </c:pt>
              <c:pt idx="1064">
                <c:v>28.06</c:v>
              </c:pt>
              <c:pt idx="1065">
                <c:v>28.02</c:v>
              </c:pt>
              <c:pt idx="1066">
                <c:v>28.03</c:v>
              </c:pt>
              <c:pt idx="1067">
                <c:v>28.13</c:v>
              </c:pt>
              <c:pt idx="1068">
                <c:v>28.15</c:v>
              </c:pt>
              <c:pt idx="1069">
                <c:v>28.12</c:v>
              </c:pt>
              <c:pt idx="1070">
                <c:v>28.09</c:v>
              </c:pt>
              <c:pt idx="1071">
                <c:v>28.12</c:v>
              </c:pt>
              <c:pt idx="1072">
                <c:v>28.13</c:v>
              </c:pt>
              <c:pt idx="1073">
                <c:v>28.19</c:v>
              </c:pt>
              <c:pt idx="1074">
                <c:v>28.2</c:v>
              </c:pt>
              <c:pt idx="1075">
                <c:v>28.21</c:v>
              </c:pt>
              <c:pt idx="1076">
                <c:v>28.19</c:v>
              </c:pt>
              <c:pt idx="1077">
                <c:v>28.16</c:v>
              </c:pt>
              <c:pt idx="1078">
                <c:v>28.17</c:v>
              </c:pt>
              <c:pt idx="1079">
                <c:v>28.2</c:v>
              </c:pt>
              <c:pt idx="1080">
                <c:v>28.22</c:v>
              </c:pt>
              <c:pt idx="1081">
                <c:v>28.25</c:v>
              </c:pt>
              <c:pt idx="1082">
                <c:v>28.3</c:v>
              </c:pt>
              <c:pt idx="1083">
                <c:v>28.29</c:v>
              </c:pt>
              <c:pt idx="1084">
                <c:v>28.24</c:v>
              </c:pt>
              <c:pt idx="1085">
                <c:v>28.25</c:v>
              </c:pt>
              <c:pt idx="1086">
                <c:v>28.22</c:v>
              </c:pt>
              <c:pt idx="1087">
                <c:v>28.23</c:v>
              </c:pt>
              <c:pt idx="1088">
                <c:v>28.2</c:v>
              </c:pt>
              <c:pt idx="1089">
                <c:v>28.22</c:v>
              </c:pt>
              <c:pt idx="1090">
                <c:v>28.11</c:v>
              </c:pt>
              <c:pt idx="1091">
                <c:v>28.06</c:v>
              </c:pt>
              <c:pt idx="1092">
                <c:v>28.01</c:v>
              </c:pt>
              <c:pt idx="1093">
                <c:v>27.96</c:v>
              </c:pt>
              <c:pt idx="1094">
                <c:v>27.93</c:v>
              </c:pt>
              <c:pt idx="1095">
                <c:v>27.92</c:v>
              </c:pt>
              <c:pt idx="1096">
                <c:v>27.94</c:v>
              </c:pt>
              <c:pt idx="1097">
                <c:v>27.88</c:v>
              </c:pt>
              <c:pt idx="1098">
                <c:v>27.86</c:v>
              </c:pt>
              <c:pt idx="1099">
                <c:v>27.86</c:v>
              </c:pt>
              <c:pt idx="1100">
                <c:v>27.85</c:v>
              </c:pt>
              <c:pt idx="1101">
                <c:v>27.83</c:v>
              </c:pt>
              <c:pt idx="1102">
                <c:v>27.86</c:v>
              </c:pt>
              <c:pt idx="1103">
                <c:v>27.86</c:v>
              </c:pt>
              <c:pt idx="1104">
                <c:v>27.86</c:v>
              </c:pt>
              <c:pt idx="1105">
                <c:v>27.84</c:v>
              </c:pt>
              <c:pt idx="1106">
                <c:v>27.85</c:v>
              </c:pt>
              <c:pt idx="1107">
                <c:v>27.82</c:v>
              </c:pt>
              <c:pt idx="1108">
                <c:v>27.84</c:v>
              </c:pt>
              <c:pt idx="1109">
                <c:v>27.84</c:v>
              </c:pt>
              <c:pt idx="1110">
                <c:v>27.85</c:v>
              </c:pt>
              <c:pt idx="1111">
                <c:v>27.82</c:v>
              </c:pt>
              <c:pt idx="1112">
                <c:v>27.86</c:v>
              </c:pt>
              <c:pt idx="1113">
                <c:v>27.89</c:v>
              </c:pt>
              <c:pt idx="1114">
                <c:v>27.83</c:v>
              </c:pt>
              <c:pt idx="1115">
                <c:v>27.82</c:v>
              </c:pt>
              <c:pt idx="1116">
                <c:v>27.82</c:v>
              </c:pt>
              <c:pt idx="1117">
                <c:v>27.82</c:v>
              </c:pt>
              <c:pt idx="1118">
                <c:v>27.84</c:v>
              </c:pt>
              <c:pt idx="1119">
                <c:v>27.86</c:v>
              </c:pt>
              <c:pt idx="1120">
                <c:v>27.89</c:v>
              </c:pt>
              <c:pt idx="1121">
                <c:v>27.87</c:v>
              </c:pt>
              <c:pt idx="1122">
                <c:v>27.83</c:v>
              </c:pt>
              <c:pt idx="1123">
                <c:v>27.81</c:v>
              </c:pt>
              <c:pt idx="1124">
                <c:v>27.8</c:v>
              </c:pt>
              <c:pt idx="1125">
                <c:v>27.81</c:v>
              </c:pt>
              <c:pt idx="1126">
                <c:v>27.8</c:v>
              </c:pt>
              <c:pt idx="1127">
                <c:v>27.77</c:v>
              </c:pt>
              <c:pt idx="1128">
                <c:v>27.78</c:v>
              </c:pt>
              <c:pt idx="1129">
                <c:v>27.79</c:v>
              </c:pt>
              <c:pt idx="1130">
                <c:v>27.77</c:v>
              </c:pt>
              <c:pt idx="1131">
                <c:v>27.79</c:v>
              </c:pt>
              <c:pt idx="1132">
                <c:v>27.76</c:v>
              </c:pt>
              <c:pt idx="1133">
                <c:v>27.73</c:v>
              </c:pt>
              <c:pt idx="1134">
                <c:v>27.74</c:v>
              </c:pt>
              <c:pt idx="1135">
                <c:v>27.76</c:v>
              </c:pt>
              <c:pt idx="1136">
                <c:v>27.75</c:v>
              </c:pt>
              <c:pt idx="1137">
                <c:v>27.72</c:v>
              </c:pt>
              <c:pt idx="1138">
                <c:v>27.7</c:v>
              </c:pt>
              <c:pt idx="1139">
                <c:v>27.7</c:v>
              </c:pt>
              <c:pt idx="1140">
                <c:v>27.69</c:v>
              </c:pt>
              <c:pt idx="1141">
                <c:v>27.7</c:v>
              </c:pt>
              <c:pt idx="1142">
                <c:v>27.69</c:v>
              </c:pt>
              <c:pt idx="1143">
                <c:v>27.7</c:v>
              </c:pt>
              <c:pt idx="1144">
                <c:v>27.68</c:v>
              </c:pt>
              <c:pt idx="1145">
                <c:v>27.69</c:v>
              </c:pt>
              <c:pt idx="1146">
                <c:v>27.68</c:v>
              </c:pt>
              <c:pt idx="1147">
                <c:v>27.67</c:v>
              </c:pt>
              <c:pt idx="1148">
                <c:v>27.64</c:v>
              </c:pt>
              <c:pt idx="1149">
                <c:v>27.65</c:v>
              </c:pt>
              <c:pt idx="1150">
                <c:v>27.66</c:v>
              </c:pt>
              <c:pt idx="1151">
                <c:v>27.63</c:v>
              </c:pt>
              <c:pt idx="1152">
                <c:v>27.64</c:v>
              </c:pt>
              <c:pt idx="1153">
                <c:v>27.61</c:v>
              </c:pt>
              <c:pt idx="1154">
                <c:v>27.6</c:v>
              </c:pt>
              <c:pt idx="1155">
                <c:v>27.58</c:v>
              </c:pt>
              <c:pt idx="1156">
                <c:v>27.6</c:v>
              </c:pt>
              <c:pt idx="1157">
                <c:v>27.63</c:v>
              </c:pt>
              <c:pt idx="1158">
                <c:v>27.61</c:v>
              </c:pt>
              <c:pt idx="1159">
                <c:v>27.62</c:v>
              </c:pt>
              <c:pt idx="1160">
                <c:v>27.59</c:v>
              </c:pt>
              <c:pt idx="1161">
                <c:v>27.58</c:v>
              </c:pt>
              <c:pt idx="1162">
                <c:v>27.59</c:v>
              </c:pt>
              <c:pt idx="1163">
                <c:v>27.54</c:v>
              </c:pt>
              <c:pt idx="1164">
                <c:v>27.57</c:v>
              </c:pt>
              <c:pt idx="1165">
                <c:v>27.56</c:v>
              </c:pt>
              <c:pt idx="1166">
                <c:v>27.53</c:v>
              </c:pt>
              <c:pt idx="1167">
                <c:v>27.53</c:v>
              </c:pt>
              <c:pt idx="1168">
                <c:v>27.54</c:v>
              </c:pt>
              <c:pt idx="1169">
                <c:v>27.51</c:v>
              </c:pt>
              <c:pt idx="1170">
                <c:v>27.54</c:v>
              </c:pt>
              <c:pt idx="1171">
                <c:v>27.56</c:v>
              </c:pt>
              <c:pt idx="1172">
                <c:v>27.56</c:v>
              </c:pt>
              <c:pt idx="1173">
                <c:v>27.58</c:v>
              </c:pt>
              <c:pt idx="1174">
                <c:v>27.59</c:v>
              </c:pt>
              <c:pt idx="1175">
                <c:v>27.55</c:v>
              </c:pt>
              <c:pt idx="1176">
                <c:v>27.56</c:v>
              </c:pt>
              <c:pt idx="1177">
                <c:v>27.57</c:v>
              </c:pt>
              <c:pt idx="1178">
                <c:v>27.55</c:v>
              </c:pt>
              <c:pt idx="1179">
                <c:v>27.55</c:v>
              </c:pt>
              <c:pt idx="1180">
                <c:v>27.58</c:v>
              </c:pt>
              <c:pt idx="1181">
                <c:v>27.57</c:v>
              </c:pt>
              <c:pt idx="1182">
                <c:v>27.55</c:v>
              </c:pt>
              <c:pt idx="1183">
                <c:v>27.52</c:v>
              </c:pt>
              <c:pt idx="1184">
                <c:v>27.53</c:v>
              </c:pt>
              <c:pt idx="1185">
                <c:v>27.56</c:v>
              </c:pt>
              <c:pt idx="1186">
                <c:v>27.57</c:v>
              </c:pt>
              <c:pt idx="1187">
                <c:v>27.57</c:v>
              </c:pt>
              <c:pt idx="1188">
                <c:v>27.54</c:v>
              </c:pt>
              <c:pt idx="1189">
                <c:v>27.52</c:v>
              </c:pt>
              <c:pt idx="1190">
                <c:v>27.52</c:v>
              </c:pt>
              <c:pt idx="1191">
                <c:v>27.52</c:v>
              </c:pt>
              <c:pt idx="1192">
                <c:v>27.54</c:v>
              </c:pt>
              <c:pt idx="1193">
                <c:v>27.55</c:v>
              </c:pt>
              <c:pt idx="1194">
                <c:v>27.55</c:v>
              </c:pt>
              <c:pt idx="1195">
                <c:v>27.53</c:v>
              </c:pt>
              <c:pt idx="1196">
                <c:v>27.53</c:v>
              </c:pt>
              <c:pt idx="1197">
                <c:v>27.54</c:v>
              </c:pt>
              <c:pt idx="1198">
                <c:v>27.5</c:v>
              </c:pt>
              <c:pt idx="1199">
                <c:v>27.49</c:v>
              </c:pt>
              <c:pt idx="1200">
                <c:v>27.49</c:v>
              </c:pt>
              <c:pt idx="1201">
                <c:v>27.49</c:v>
              </c:pt>
              <c:pt idx="1202">
                <c:v>27.48</c:v>
              </c:pt>
              <c:pt idx="1203">
                <c:v>27.47</c:v>
              </c:pt>
              <c:pt idx="1204">
                <c:v>27.45</c:v>
              </c:pt>
              <c:pt idx="1205">
                <c:v>27.44</c:v>
              </c:pt>
              <c:pt idx="1206">
                <c:v>27.45</c:v>
              </c:pt>
              <c:pt idx="1207">
                <c:v>27.46</c:v>
              </c:pt>
              <c:pt idx="1208">
                <c:v>27.48</c:v>
              </c:pt>
              <c:pt idx="1209">
                <c:v>27.46</c:v>
              </c:pt>
              <c:pt idx="1210">
                <c:v>27.46</c:v>
              </c:pt>
              <c:pt idx="1211">
                <c:v>27.47</c:v>
              </c:pt>
              <c:pt idx="1212">
                <c:v>27.49</c:v>
              </c:pt>
              <c:pt idx="1213">
                <c:v>27.46</c:v>
              </c:pt>
              <c:pt idx="1214">
                <c:v>27.48</c:v>
              </c:pt>
              <c:pt idx="1215">
                <c:v>27.48</c:v>
              </c:pt>
              <c:pt idx="1216">
                <c:v>27.48</c:v>
              </c:pt>
              <c:pt idx="1217">
                <c:v>27.47</c:v>
              </c:pt>
              <c:pt idx="1218">
                <c:v>27.49</c:v>
              </c:pt>
              <c:pt idx="1219">
                <c:v>27.48</c:v>
              </c:pt>
              <c:pt idx="1220">
                <c:v>27.45</c:v>
              </c:pt>
              <c:pt idx="1221">
                <c:v>27.45</c:v>
              </c:pt>
              <c:pt idx="1222">
                <c:v>27.45</c:v>
              </c:pt>
              <c:pt idx="1223">
                <c:v>27.44</c:v>
              </c:pt>
              <c:pt idx="1224">
                <c:v>27.46</c:v>
              </c:pt>
              <c:pt idx="1225">
                <c:v>27.45</c:v>
              </c:pt>
              <c:pt idx="1226">
                <c:v>27.43</c:v>
              </c:pt>
              <c:pt idx="1227">
                <c:v>27.46</c:v>
              </c:pt>
              <c:pt idx="1228">
                <c:v>27.46</c:v>
              </c:pt>
              <c:pt idx="1229">
                <c:v>27.46</c:v>
              </c:pt>
              <c:pt idx="1230">
                <c:v>27.44</c:v>
              </c:pt>
              <c:pt idx="1231">
                <c:v>27.43</c:v>
              </c:pt>
              <c:pt idx="1232">
                <c:v>27.45</c:v>
              </c:pt>
              <c:pt idx="1233">
                <c:v>27.46</c:v>
              </c:pt>
              <c:pt idx="1234">
                <c:v>27.44</c:v>
              </c:pt>
              <c:pt idx="1235">
                <c:v>27.45</c:v>
              </c:pt>
              <c:pt idx="1236">
                <c:v>27.45</c:v>
              </c:pt>
              <c:pt idx="1237">
                <c:v>27.45</c:v>
              </c:pt>
              <c:pt idx="1238">
                <c:v>27.45</c:v>
              </c:pt>
              <c:pt idx="1239">
                <c:v>27.45</c:v>
              </c:pt>
              <c:pt idx="1240">
                <c:v>27.45</c:v>
              </c:pt>
              <c:pt idx="1241">
                <c:v>27.43</c:v>
              </c:pt>
              <c:pt idx="1242">
                <c:v>27.42</c:v>
              </c:pt>
              <c:pt idx="1243">
                <c:v>27.42</c:v>
              </c:pt>
              <c:pt idx="1244">
                <c:v>27.42</c:v>
              </c:pt>
              <c:pt idx="1245">
                <c:v>27.42</c:v>
              </c:pt>
              <c:pt idx="1246">
                <c:v>27.42</c:v>
              </c:pt>
              <c:pt idx="1247">
                <c:v>27.42</c:v>
              </c:pt>
              <c:pt idx="1248">
                <c:v>27.42</c:v>
              </c:pt>
              <c:pt idx="1249">
                <c:v>27.42</c:v>
              </c:pt>
              <c:pt idx="1250">
                <c:v>27.38</c:v>
              </c:pt>
              <c:pt idx="1251">
                <c:v>27.39</c:v>
              </c:pt>
              <c:pt idx="1252">
                <c:v>27.39</c:v>
              </c:pt>
              <c:pt idx="1253">
                <c:v>27.37</c:v>
              </c:pt>
              <c:pt idx="1254">
                <c:v>27.36</c:v>
              </c:pt>
              <c:pt idx="1255">
                <c:v>27.34</c:v>
              </c:pt>
              <c:pt idx="1256">
                <c:v>27.35</c:v>
              </c:pt>
              <c:pt idx="1257">
                <c:v>27.37</c:v>
              </c:pt>
              <c:pt idx="1258">
                <c:v>27.36</c:v>
              </c:pt>
              <c:pt idx="1259">
                <c:v>27.34</c:v>
              </c:pt>
              <c:pt idx="1260">
                <c:v>27.31</c:v>
              </c:pt>
              <c:pt idx="1261">
                <c:v>27.33</c:v>
              </c:pt>
              <c:pt idx="1262">
                <c:v>27.34</c:v>
              </c:pt>
              <c:pt idx="1263">
                <c:v>27.31</c:v>
              </c:pt>
              <c:pt idx="1264">
                <c:v>27.32</c:v>
              </c:pt>
              <c:pt idx="1265">
                <c:v>27.33</c:v>
              </c:pt>
              <c:pt idx="1266">
                <c:v>27.31</c:v>
              </c:pt>
              <c:pt idx="1267">
                <c:v>27.31</c:v>
              </c:pt>
              <c:pt idx="1268">
                <c:v>27.31</c:v>
              </c:pt>
              <c:pt idx="1269">
                <c:v>27.32</c:v>
              </c:pt>
              <c:pt idx="1270">
                <c:v>27.32</c:v>
              </c:pt>
              <c:pt idx="1271">
                <c:v>27.33</c:v>
              </c:pt>
              <c:pt idx="1272">
                <c:v>27.33</c:v>
              </c:pt>
              <c:pt idx="1273">
                <c:v>27.33</c:v>
              </c:pt>
              <c:pt idx="1274">
                <c:v>27.33</c:v>
              </c:pt>
              <c:pt idx="1275">
                <c:v>27.3</c:v>
              </c:pt>
              <c:pt idx="1276">
                <c:v>27.31</c:v>
              </c:pt>
              <c:pt idx="1277">
                <c:v>27.31</c:v>
              </c:pt>
              <c:pt idx="1278">
                <c:v>27.3</c:v>
              </c:pt>
              <c:pt idx="1279">
                <c:v>27.3</c:v>
              </c:pt>
              <c:pt idx="1280">
                <c:v>27.31</c:v>
              </c:pt>
              <c:pt idx="1281">
                <c:v>27.3</c:v>
              </c:pt>
              <c:pt idx="1282">
                <c:v>27.31</c:v>
              </c:pt>
              <c:pt idx="1283">
                <c:v>27.31</c:v>
              </c:pt>
              <c:pt idx="1284">
                <c:v>27.3</c:v>
              </c:pt>
              <c:pt idx="1285">
                <c:v>27.31</c:v>
              </c:pt>
              <c:pt idx="1286">
                <c:v>27.29</c:v>
              </c:pt>
              <c:pt idx="1287">
                <c:v>27.31</c:v>
              </c:pt>
              <c:pt idx="1288">
                <c:v>27.33</c:v>
              </c:pt>
              <c:pt idx="1289">
                <c:v>27.33</c:v>
              </c:pt>
              <c:pt idx="1290">
                <c:v>27.34</c:v>
              </c:pt>
              <c:pt idx="1291">
                <c:v>27.35</c:v>
              </c:pt>
              <c:pt idx="1292">
                <c:v>27.37</c:v>
              </c:pt>
              <c:pt idx="1293">
                <c:v>27.34</c:v>
              </c:pt>
              <c:pt idx="1294">
                <c:v>27.37</c:v>
              </c:pt>
              <c:pt idx="1295">
                <c:v>27.37</c:v>
              </c:pt>
              <c:pt idx="1296">
                <c:v>27.37</c:v>
              </c:pt>
              <c:pt idx="1297">
                <c:v>27.38</c:v>
              </c:pt>
              <c:pt idx="1298">
                <c:v>27.38</c:v>
              </c:pt>
              <c:pt idx="1299">
                <c:v>27.37</c:v>
              </c:pt>
              <c:pt idx="1300">
                <c:v>27.39</c:v>
              </c:pt>
              <c:pt idx="1301">
                <c:v>27.38</c:v>
              </c:pt>
              <c:pt idx="1302">
                <c:v>27.36</c:v>
              </c:pt>
              <c:pt idx="1303">
                <c:v>27.35</c:v>
              </c:pt>
              <c:pt idx="1304">
                <c:v>27.33</c:v>
              </c:pt>
              <c:pt idx="1305">
                <c:v>27.34</c:v>
              </c:pt>
              <c:pt idx="1306">
                <c:v>27.33</c:v>
              </c:pt>
              <c:pt idx="1307">
                <c:v>27.33</c:v>
              </c:pt>
              <c:pt idx="1308">
                <c:v>27.34</c:v>
              </c:pt>
              <c:pt idx="1309">
                <c:v>27.36</c:v>
              </c:pt>
              <c:pt idx="1310">
                <c:v>27.34</c:v>
              </c:pt>
              <c:pt idx="1311">
                <c:v>27.36</c:v>
              </c:pt>
              <c:pt idx="1312">
                <c:v>27.37</c:v>
              </c:pt>
              <c:pt idx="1313">
                <c:v>27.4</c:v>
              </c:pt>
              <c:pt idx="1314">
                <c:v>27.4</c:v>
              </c:pt>
              <c:pt idx="1315">
                <c:v>27.39</c:v>
              </c:pt>
              <c:pt idx="1316">
                <c:v>27.39</c:v>
              </c:pt>
              <c:pt idx="1317">
                <c:v>27.37</c:v>
              </c:pt>
              <c:pt idx="1318">
                <c:v>27.38</c:v>
              </c:pt>
              <c:pt idx="1319">
                <c:v>27.36</c:v>
              </c:pt>
              <c:pt idx="1320">
                <c:v>27.39</c:v>
              </c:pt>
              <c:pt idx="1321">
                <c:v>27.4</c:v>
              </c:pt>
              <c:pt idx="1322">
                <c:v>27.4</c:v>
              </c:pt>
              <c:pt idx="1323">
                <c:v>27.41</c:v>
              </c:pt>
              <c:pt idx="1324">
                <c:v>27.37</c:v>
              </c:pt>
              <c:pt idx="1325">
                <c:v>27.38</c:v>
              </c:pt>
              <c:pt idx="1326">
                <c:v>27.37</c:v>
              </c:pt>
              <c:pt idx="1327">
                <c:v>27.37</c:v>
              </c:pt>
              <c:pt idx="1328">
                <c:v>27.38</c:v>
              </c:pt>
              <c:pt idx="1329">
                <c:v>27.35</c:v>
              </c:pt>
              <c:pt idx="1330">
                <c:v>27.35</c:v>
              </c:pt>
              <c:pt idx="1331">
                <c:v>27.32</c:v>
              </c:pt>
              <c:pt idx="1332">
                <c:v>27.32</c:v>
              </c:pt>
              <c:pt idx="1333">
                <c:v>27.31</c:v>
              </c:pt>
              <c:pt idx="1334">
                <c:v>27.33</c:v>
              </c:pt>
              <c:pt idx="1335">
                <c:v>27.29</c:v>
              </c:pt>
              <c:pt idx="1336">
                <c:v>27.33</c:v>
              </c:pt>
              <c:pt idx="1337">
                <c:v>27.31</c:v>
              </c:pt>
              <c:pt idx="1338">
                <c:v>27.29</c:v>
              </c:pt>
              <c:pt idx="1339">
                <c:v>27.25</c:v>
              </c:pt>
              <c:pt idx="1340">
                <c:v>27.24</c:v>
              </c:pt>
              <c:pt idx="1341">
                <c:v>27.23</c:v>
              </c:pt>
              <c:pt idx="1342">
                <c:v>27.25</c:v>
              </c:pt>
              <c:pt idx="1343">
                <c:v>27.24</c:v>
              </c:pt>
              <c:pt idx="1344">
                <c:v>27.2</c:v>
              </c:pt>
              <c:pt idx="1345">
                <c:v>27.22</c:v>
              </c:pt>
              <c:pt idx="1346">
                <c:v>27.22</c:v>
              </c:pt>
              <c:pt idx="1347">
                <c:v>27.24</c:v>
              </c:pt>
              <c:pt idx="1348">
                <c:v>27.21</c:v>
              </c:pt>
              <c:pt idx="1349">
                <c:v>27.23</c:v>
              </c:pt>
              <c:pt idx="1350">
                <c:v>27.26</c:v>
              </c:pt>
              <c:pt idx="1351">
                <c:v>27.27</c:v>
              </c:pt>
              <c:pt idx="1352">
                <c:v>27.25</c:v>
              </c:pt>
              <c:pt idx="1353">
                <c:v>27.25</c:v>
              </c:pt>
              <c:pt idx="1354">
                <c:v>27.25</c:v>
              </c:pt>
              <c:pt idx="1355">
                <c:v>27.26</c:v>
              </c:pt>
              <c:pt idx="1356">
                <c:v>27.3</c:v>
              </c:pt>
              <c:pt idx="1357">
                <c:v>27.29</c:v>
              </c:pt>
              <c:pt idx="1358">
                <c:v>27.25</c:v>
              </c:pt>
              <c:pt idx="1359">
                <c:v>27.26</c:v>
              </c:pt>
              <c:pt idx="1360">
                <c:v>27.24</c:v>
              </c:pt>
              <c:pt idx="1361">
                <c:v>27.25</c:v>
              </c:pt>
              <c:pt idx="1362">
                <c:v>27.23</c:v>
              </c:pt>
              <c:pt idx="1363">
                <c:v>27.23</c:v>
              </c:pt>
              <c:pt idx="1364">
                <c:v>27.24</c:v>
              </c:pt>
              <c:pt idx="1365">
                <c:v>27.23</c:v>
              </c:pt>
              <c:pt idx="1366">
                <c:v>27.27</c:v>
              </c:pt>
              <c:pt idx="1367">
                <c:v>27.26</c:v>
              </c:pt>
              <c:pt idx="1368">
                <c:v>27.29</c:v>
              </c:pt>
              <c:pt idx="1369">
                <c:v>27.27</c:v>
              </c:pt>
              <c:pt idx="1370">
                <c:v>27.3</c:v>
              </c:pt>
              <c:pt idx="1371">
                <c:v>27.29</c:v>
              </c:pt>
              <c:pt idx="1372">
                <c:v>27.26</c:v>
              </c:pt>
              <c:pt idx="1373">
                <c:v>27.27</c:v>
              </c:pt>
              <c:pt idx="1374">
                <c:v>27.24</c:v>
              </c:pt>
              <c:pt idx="1375">
                <c:v>27.26</c:v>
              </c:pt>
              <c:pt idx="1376">
                <c:v>27.28</c:v>
              </c:pt>
              <c:pt idx="1377">
                <c:v>27.24</c:v>
              </c:pt>
              <c:pt idx="1378">
                <c:v>27.23</c:v>
              </c:pt>
              <c:pt idx="1379">
                <c:v>27.24</c:v>
              </c:pt>
              <c:pt idx="1380">
                <c:v>27.24</c:v>
              </c:pt>
              <c:pt idx="1381">
                <c:v>27.2</c:v>
              </c:pt>
              <c:pt idx="1382">
                <c:v>27.23</c:v>
              </c:pt>
              <c:pt idx="1383">
                <c:v>27.22</c:v>
              </c:pt>
              <c:pt idx="1384">
                <c:v>27.22</c:v>
              </c:pt>
              <c:pt idx="1385">
                <c:v>27.21</c:v>
              </c:pt>
              <c:pt idx="1386">
                <c:v>27.21</c:v>
              </c:pt>
              <c:pt idx="1387">
                <c:v>27.2</c:v>
              </c:pt>
              <c:pt idx="1388">
                <c:v>27.19</c:v>
              </c:pt>
              <c:pt idx="1389">
                <c:v>27.15</c:v>
              </c:pt>
              <c:pt idx="1390">
                <c:v>27.15</c:v>
              </c:pt>
              <c:pt idx="1391">
                <c:v>27.16</c:v>
              </c:pt>
              <c:pt idx="1392">
                <c:v>27.13</c:v>
              </c:pt>
              <c:pt idx="1393">
                <c:v>27.1</c:v>
              </c:pt>
              <c:pt idx="1394">
                <c:v>27.09</c:v>
              </c:pt>
              <c:pt idx="1395">
                <c:v>27.12</c:v>
              </c:pt>
              <c:pt idx="1396">
                <c:v>27.12</c:v>
              </c:pt>
              <c:pt idx="1397">
                <c:v>27.12</c:v>
              </c:pt>
              <c:pt idx="1398">
                <c:v>27.06</c:v>
              </c:pt>
              <c:pt idx="1399">
                <c:v>27.08</c:v>
              </c:pt>
              <c:pt idx="1400">
                <c:v>27.08</c:v>
              </c:pt>
              <c:pt idx="1401">
                <c:v>27.07</c:v>
              </c:pt>
              <c:pt idx="1402">
                <c:v>27.07</c:v>
              </c:pt>
              <c:pt idx="1403">
                <c:v>27.04</c:v>
              </c:pt>
              <c:pt idx="1404">
                <c:v>27.05</c:v>
              </c:pt>
              <c:pt idx="1405">
                <c:v>27.02</c:v>
              </c:pt>
              <c:pt idx="1406">
                <c:v>27.05</c:v>
              </c:pt>
              <c:pt idx="1407">
                <c:v>27.02</c:v>
              </c:pt>
              <c:pt idx="1408">
                <c:v>27.04</c:v>
              </c:pt>
              <c:pt idx="1409">
                <c:v>27.04</c:v>
              </c:pt>
              <c:pt idx="1410">
                <c:v>27.04</c:v>
              </c:pt>
              <c:pt idx="1411">
                <c:v>27.04</c:v>
              </c:pt>
              <c:pt idx="1412">
                <c:v>27.03</c:v>
              </c:pt>
              <c:pt idx="1413">
                <c:v>27.03</c:v>
              </c:pt>
              <c:pt idx="1414">
                <c:v>27</c:v>
              </c:pt>
              <c:pt idx="1415">
                <c:v>27.02</c:v>
              </c:pt>
              <c:pt idx="1416">
                <c:v>27.06</c:v>
              </c:pt>
              <c:pt idx="1417">
                <c:v>27.08</c:v>
              </c:pt>
              <c:pt idx="1418">
                <c:v>27.07</c:v>
              </c:pt>
              <c:pt idx="1419">
                <c:v>27.05</c:v>
              </c:pt>
              <c:pt idx="1420">
                <c:v>27.05</c:v>
              </c:pt>
              <c:pt idx="1421">
                <c:v>27.03</c:v>
              </c:pt>
              <c:pt idx="1422">
                <c:v>27.02</c:v>
              </c:pt>
              <c:pt idx="1423">
                <c:v>27</c:v>
              </c:pt>
              <c:pt idx="1424">
                <c:v>26.99</c:v>
              </c:pt>
              <c:pt idx="1425">
                <c:v>26.98</c:v>
              </c:pt>
              <c:pt idx="1426">
                <c:v>26.95</c:v>
              </c:pt>
              <c:pt idx="1427">
                <c:v>26.96</c:v>
              </c:pt>
              <c:pt idx="1428">
                <c:v>26.97</c:v>
              </c:pt>
              <c:pt idx="1429">
                <c:v>26.96</c:v>
              </c:pt>
              <c:pt idx="1430">
                <c:v>26.97</c:v>
              </c:pt>
              <c:pt idx="1431">
                <c:v>26.99</c:v>
              </c:pt>
              <c:pt idx="1432">
                <c:v>26.96</c:v>
              </c:pt>
              <c:pt idx="1433">
                <c:v>26.99</c:v>
              </c:pt>
              <c:pt idx="1434">
                <c:v>26.95</c:v>
              </c:pt>
              <c:pt idx="1435">
                <c:v>26.95</c:v>
              </c:pt>
              <c:pt idx="1436">
                <c:v>26.97</c:v>
              </c:pt>
              <c:pt idx="1437">
                <c:v>26.94</c:v>
              </c:pt>
              <c:pt idx="1438">
                <c:v>26.96</c:v>
              </c:pt>
              <c:pt idx="1439">
                <c:v>26.94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25.294331125827831</c:v>
              </c:pt>
            </c:numLit>
          </c:val>
          <c:smooth val="0"/>
          <c:extLst>
            <c:ext xmlns:c16="http://schemas.microsoft.com/office/drawing/2014/chart" uri="{C3380CC4-5D6E-409C-BE32-E72D297353CC}">
              <c16:uniqueId val="{00000002-1A6C-4F36-8BD6-8906B90145C2}"/>
            </c:ext>
          </c:extLst>
        </c:ser>
        <c:ser>
          <c:idx val="3"/>
          <c:order val="3"/>
          <c:tx>
            <c:v>27.07087417 25.48008609 IS9 WMS Ambient Temperature(Â°C)</c:v>
          </c:tx>
          <c:spPr>
            <a:ln w="28575" cap="rnd">
              <a:solidFill>
                <a:schemeClr val="accent4"/>
              </a:solidFill>
              <a:round/>
            </a:ln>
            <a:effectLst/>
          </c:spPr>
          <c:marker>
            <c:symbol val="none"/>
          </c:marker>
          <c:val>
            <c:numLit>
              <c:formatCode>General</c:formatCode>
              <c:ptCount val="1512"/>
              <c:pt idx="0">
                <c:v>25.85</c:v>
              </c:pt>
              <c:pt idx="1">
                <c:v>25.87</c:v>
              </c:pt>
              <c:pt idx="2">
                <c:v>25.88</c:v>
              </c:pt>
              <c:pt idx="3">
                <c:v>25.88</c:v>
              </c:pt>
              <c:pt idx="4">
                <c:v>25.84</c:v>
              </c:pt>
              <c:pt idx="5">
                <c:v>25.85</c:v>
              </c:pt>
              <c:pt idx="6">
                <c:v>25.87</c:v>
              </c:pt>
              <c:pt idx="7">
                <c:v>25.88</c:v>
              </c:pt>
              <c:pt idx="8">
                <c:v>25.87</c:v>
              </c:pt>
              <c:pt idx="9">
                <c:v>25.84</c:v>
              </c:pt>
              <c:pt idx="10">
                <c:v>25.87</c:v>
              </c:pt>
              <c:pt idx="11">
                <c:v>25.87</c:v>
              </c:pt>
              <c:pt idx="12">
                <c:v>25.88</c:v>
              </c:pt>
              <c:pt idx="13">
                <c:v>25.89</c:v>
              </c:pt>
              <c:pt idx="14">
                <c:v>25.86</c:v>
              </c:pt>
              <c:pt idx="15">
                <c:v>25.86</c:v>
              </c:pt>
              <c:pt idx="16">
                <c:v>25.88</c:v>
              </c:pt>
              <c:pt idx="17">
                <c:v>25.88</c:v>
              </c:pt>
              <c:pt idx="18">
                <c:v>25.88</c:v>
              </c:pt>
              <c:pt idx="19">
                <c:v>25.86</c:v>
              </c:pt>
              <c:pt idx="20">
                <c:v>25.86</c:v>
              </c:pt>
              <c:pt idx="21">
                <c:v>25.87</c:v>
              </c:pt>
              <c:pt idx="22">
                <c:v>25.87</c:v>
              </c:pt>
              <c:pt idx="23">
                <c:v>25.87</c:v>
              </c:pt>
              <c:pt idx="24">
                <c:v>25.84</c:v>
              </c:pt>
              <c:pt idx="25">
                <c:v>25.87</c:v>
              </c:pt>
              <c:pt idx="26">
                <c:v>25.89</c:v>
              </c:pt>
              <c:pt idx="27">
                <c:v>25.91</c:v>
              </c:pt>
              <c:pt idx="28">
                <c:v>25.92</c:v>
              </c:pt>
              <c:pt idx="29">
                <c:v>25.89</c:v>
              </c:pt>
              <c:pt idx="30">
                <c:v>25.9</c:v>
              </c:pt>
              <c:pt idx="31">
                <c:v>25.91</c:v>
              </c:pt>
              <c:pt idx="32">
                <c:v>25.91</c:v>
              </c:pt>
              <c:pt idx="33">
                <c:v>25.91</c:v>
              </c:pt>
              <c:pt idx="34">
                <c:v>25.89</c:v>
              </c:pt>
              <c:pt idx="35">
                <c:v>25.91</c:v>
              </c:pt>
              <c:pt idx="36">
                <c:v>25.91</c:v>
              </c:pt>
              <c:pt idx="37">
                <c:v>25.93</c:v>
              </c:pt>
              <c:pt idx="38">
                <c:v>25.93</c:v>
              </c:pt>
              <c:pt idx="39">
                <c:v>25.9</c:v>
              </c:pt>
              <c:pt idx="40">
                <c:v>25.92</c:v>
              </c:pt>
              <c:pt idx="41">
                <c:v>25.95</c:v>
              </c:pt>
              <c:pt idx="42">
                <c:v>25.96</c:v>
              </c:pt>
              <c:pt idx="43">
                <c:v>25.95</c:v>
              </c:pt>
              <c:pt idx="44">
                <c:v>25.92</c:v>
              </c:pt>
              <c:pt idx="45">
                <c:v>25.91</c:v>
              </c:pt>
              <c:pt idx="46">
                <c:v>25.93</c:v>
              </c:pt>
              <c:pt idx="47">
                <c:v>25.95</c:v>
              </c:pt>
              <c:pt idx="48">
                <c:v>25.93</c:v>
              </c:pt>
              <c:pt idx="49">
                <c:v>25.89</c:v>
              </c:pt>
              <c:pt idx="50">
                <c:v>25.89</c:v>
              </c:pt>
              <c:pt idx="51">
                <c:v>25.92</c:v>
              </c:pt>
              <c:pt idx="52">
                <c:v>25.93</c:v>
              </c:pt>
              <c:pt idx="53">
                <c:v>25.9</c:v>
              </c:pt>
              <c:pt idx="54">
                <c:v>25.85</c:v>
              </c:pt>
              <c:pt idx="55">
                <c:v>25.88</c:v>
              </c:pt>
              <c:pt idx="56">
                <c:v>25.87</c:v>
              </c:pt>
              <c:pt idx="57">
                <c:v>25.89</c:v>
              </c:pt>
              <c:pt idx="58">
                <c:v>25.88</c:v>
              </c:pt>
              <c:pt idx="59">
                <c:v>25.88</c:v>
              </c:pt>
              <c:pt idx="60">
                <c:v>25.91</c:v>
              </c:pt>
              <c:pt idx="61">
                <c:v>25.91</c:v>
              </c:pt>
              <c:pt idx="62">
                <c:v>25.91</c:v>
              </c:pt>
              <c:pt idx="63">
                <c:v>25.85</c:v>
              </c:pt>
              <c:pt idx="64">
                <c:v>25.85</c:v>
              </c:pt>
              <c:pt idx="65">
                <c:v>25.86</c:v>
              </c:pt>
              <c:pt idx="66">
                <c:v>25.85</c:v>
              </c:pt>
              <c:pt idx="67">
                <c:v>25.88</c:v>
              </c:pt>
              <c:pt idx="68">
                <c:v>25.85</c:v>
              </c:pt>
              <c:pt idx="69">
                <c:v>25.85</c:v>
              </c:pt>
              <c:pt idx="70">
                <c:v>25.85</c:v>
              </c:pt>
              <c:pt idx="71">
                <c:v>25.89</c:v>
              </c:pt>
              <c:pt idx="72">
                <c:v>25.88</c:v>
              </c:pt>
              <c:pt idx="73">
                <c:v>25.86</c:v>
              </c:pt>
              <c:pt idx="74">
                <c:v>25.85</c:v>
              </c:pt>
              <c:pt idx="75">
                <c:v>25.89</c:v>
              </c:pt>
              <c:pt idx="76">
                <c:v>25.89</c:v>
              </c:pt>
              <c:pt idx="77">
                <c:v>25.9</c:v>
              </c:pt>
              <c:pt idx="78">
                <c:v>25.87</c:v>
              </c:pt>
              <c:pt idx="79">
                <c:v>25.89</c:v>
              </c:pt>
              <c:pt idx="80">
                <c:v>25.9</c:v>
              </c:pt>
              <c:pt idx="81">
                <c:v>25.92</c:v>
              </c:pt>
              <c:pt idx="82">
                <c:v>25.91</c:v>
              </c:pt>
              <c:pt idx="83">
                <c:v>25.9</c:v>
              </c:pt>
              <c:pt idx="84">
                <c:v>25.9</c:v>
              </c:pt>
              <c:pt idx="85">
                <c:v>25.91</c:v>
              </c:pt>
              <c:pt idx="86">
                <c:v>25.92</c:v>
              </c:pt>
              <c:pt idx="87">
                <c:v>25.88</c:v>
              </c:pt>
              <c:pt idx="88">
                <c:v>25.85</c:v>
              </c:pt>
              <c:pt idx="89">
                <c:v>25.86</c:v>
              </c:pt>
              <c:pt idx="90">
                <c:v>25.84</c:v>
              </c:pt>
              <c:pt idx="91">
                <c:v>25.85</c:v>
              </c:pt>
              <c:pt idx="92">
                <c:v>25.83</c:v>
              </c:pt>
              <c:pt idx="93">
                <c:v>25.82</c:v>
              </c:pt>
              <c:pt idx="94">
                <c:v>25.84</c:v>
              </c:pt>
              <c:pt idx="95">
                <c:v>25.84</c:v>
              </c:pt>
              <c:pt idx="96">
                <c:v>25.86</c:v>
              </c:pt>
              <c:pt idx="97">
                <c:v>25.85</c:v>
              </c:pt>
              <c:pt idx="98">
                <c:v>25.84</c:v>
              </c:pt>
              <c:pt idx="99">
                <c:v>25.86</c:v>
              </c:pt>
              <c:pt idx="100">
                <c:v>25.86</c:v>
              </c:pt>
              <c:pt idx="101">
                <c:v>25.86</c:v>
              </c:pt>
              <c:pt idx="102">
                <c:v>25.83</c:v>
              </c:pt>
              <c:pt idx="103">
                <c:v>25.8</c:v>
              </c:pt>
              <c:pt idx="104">
                <c:v>25.83</c:v>
              </c:pt>
              <c:pt idx="105">
                <c:v>25.82</c:v>
              </c:pt>
              <c:pt idx="106">
                <c:v>25.84</c:v>
              </c:pt>
              <c:pt idx="107">
                <c:v>25.81</c:v>
              </c:pt>
              <c:pt idx="108">
                <c:v>25.8</c:v>
              </c:pt>
              <c:pt idx="109">
                <c:v>25.82</c:v>
              </c:pt>
              <c:pt idx="110">
                <c:v>25.83</c:v>
              </c:pt>
              <c:pt idx="111">
                <c:v>25.82</c:v>
              </c:pt>
              <c:pt idx="112">
                <c:v>25.78</c:v>
              </c:pt>
              <c:pt idx="113">
                <c:v>25.76</c:v>
              </c:pt>
              <c:pt idx="114">
                <c:v>25.78</c:v>
              </c:pt>
              <c:pt idx="115">
                <c:v>25.79</c:v>
              </c:pt>
              <c:pt idx="116">
                <c:v>25.78</c:v>
              </c:pt>
              <c:pt idx="117">
                <c:v>25.74</c:v>
              </c:pt>
              <c:pt idx="118">
                <c:v>25.76</c:v>
              </c:pt>
              <c:pt idx="119">
                <c:v>25.78</c:v>
              </c:pt>
              <c:pt idx="120">
                <c:v>25.78</c:v>
              </c:pt>
              <c:pt idx="121">
                <c:v>25.79</c:v>
              </c:pt>
              <c:pt idx="122">
                <c:v>25.76</c:v>
              </c:pt>
              <c:pt idx="123">
                <c:v>25.76</c:v>
              </c:pt>
              <c:pt idx="124">
                <c:v>25.78</c:v>
              </c:pt>
              <c:pt idx="125">
                <c:v>25.79</c:v>
              </c:pt>
              <c:pt idx="126">
                <c:v>25.79</c:v>
              </c:pt>
              <c:pt idx="127">
                <c:v>25.75</c:v>
              </c:pt>
              <c:pt idx="128">
                <c:v>25.76</c:v>
              </c:pt>
              <c:pt idx="129">
                <c:v>25.77</c:v>
              </c:pt>
              <c:pt idx="130">
                <c:v>25.78</c:v>
              </c:pt>
              <c:pt idx="131">
                <c:v>25.74</c:v>
              </c:pt>
              <c:pt idx="132">
                <c:v>25.73</c:v>
              </c:pt>
              <c:pt idx="133">
                <c:v>25.74</c:v>
              </c:pt>
              <c:pt idx="134">
                <c:v>25.73</c:v>
              </c:pt>
              <c:pt idx="135">
                <c:v>25.74</c:v>
              </c:pt>
              <c:pt idx="136">
                <c:v>25.71</c:v>
              </c:pt>
              <c:pt idx="137">
                <c:v>25.72</c:v>
              </c:pt>
              <c:pt idx="138">
                <c:v>25.73</c:v>
              </c:pt>
              <c:pt idx="139">
                <c:v>25.73</c:v>
              </c:pt>
              <c:pt idx="140">
                <c:v>25.72</c:v>
              </c:pt>
              <c:pt idx="141">
                <c:v>25.71</c:v>
              </c:pt>
              <c:pt idx="142">
                <c:v>25.72</c:v>
              </c:pt>
              <c:pt idx="143">
                <c:v>25.73</c:v>
              </c:pt>
              <c:pt idx="144">
                <c:v>25.75</c:v>
              </c:pt>
              <c:pt idx="145">
                <c:v>25.7</c:v>
              </c:pt>
              <c:pt idx="146">
                <c:v>25.7</c:v>
              </c:pt>
              <c:pt idx="147">
                <c:v>25.72</c:v>
              </c:pt>
              <c:pt idx="148">
                <c:v>25.72</c:v>
              </c:pt>
              <c:pt idx="149">
                <c:v>25.75</c:v>
              </c:pt>
              <c:pt idx="150">
                <c:v>25.71</c:v>
              </c:pt>
              <c:pt idx="151">
                <c:v>25.7</c:v>
              </c:pt>
              <c:pt idx="152">
                <c:v>25.68</c:v>
              </c:pt>
              <c:pt idx="153">
                <c:v>25.69</c:v>
              </c:pt>
              <c:pt idx="154">
                <c:v>25.71</c:v>
              </c:pt>
              <c:pt idx="155">
                <c:v>25.67</c:v>
              </c:pt>
              <c:pt idx="156">
                <c:v>25.65</c:v>
              </c:pt>
              <c:pt idx="157">
                <c:v>25.68</c:v>
              </c:pt>
              <c:pt idx="158">
                <c:v>25.68</c:v>
              </c:pt>
              <c:pt idx="159">
                <c:v>25.69</c:v>
              </c:pt>
              <c:pt idx="160">
                <c:v>25.64</c:v>
              </c:pt>
              <c:pt idx="161">
                <c:v>25.65</c:v>
              </c:pt>
              <c:pt idx="162">
                <c:v>25.68</c:v>
              </c:pt>
              <c:pt idx="163">
                <c:v>25.68</c:v>
              </c:pt>
              <c:pt idx="164">
                <c:v>25.65</c:v>
              </c:pt>
              <c:pt idx="165">
                <c:v>25.63</c:v>
              </c:pt>
              <c:pt idx="166">
                <c:v>25.63</c:v>
              </c:pt>
              <c:pt idx="167">
                <c:v>25.63</c:v>
              </c:pt>
              <c:pt idx="168">
                <c:v>25.61</c:v>
              </c:pt>
              <c:pt idx="169">
                <c:v>25.59</c:v>
              </c:pt>
              <c:pt idx="170">
                <c:v>25.56</c:v>
              </c:pt>
              <c:pt idx="171">
                <c:v>25.57</c:v>
              </c:pt>
              <c:pt idx="172">
                <c:v>25.55</c:v>
              </c:pt>
              <c:pt idx="173">
                <c:v>25.56</c:v>
              </c:pt>
              <c:pt idx="174">
                <c:v>25.54</c:v>
              </c:pt>
              <c:pt idx="175">
                <c:v>25.52</c:v>
              </c:pt>
              <c:pt idx="176">
                <c:v>25.52</c:v>
              </c:pt>
              <c:pt idx="177">
                <c:v>25.52</c:v>
              </c:pt>
              <c:pt idx="178">
                <c:v>25.52</c:v>
              </c:pt>
              <c:pt idx="179">
                <c:v>25.49</c:v>
              </c:pt>
              <c:pt idx="180">
                <c:v>25.49</c:v>
              </c:pt>
              <c:pt idx="181">
                <c:v>25.52</c:v>
              </c:pt>
              <c:pt idx="182">
                <c:v>25.51</c:v>
              </c:pt>
              <c:pt idx="183">
                <c:v>25.51</c:v>
              </c:pt>
              <c:pt idx="184">
                <c:v>25.47</c:v>
              </c:pt>
              <c:pt idx="185">
                <c:v>25.47</c:v>
              </c:pt>
              <c:pt idx="186">
                <c:v>25.5</c:v>
              </c:pt>
              <c:pt idx="187">
                <c:v>25.51</c:v>
              </c:pt>
              <c:pt idx="188">
                <c:v>25.5</c:v>
              </c:pt>
              <c:pt idx="189">
                <c:v>25.48</c:v>
              </c:pt>
              <c:pt idx="190">
                <c:v>25.48</c:v>
              </c:pt>
              <c:pt idx="191">
                <c:v>25.51</c:v>
              </c:pt>
              <c:pt idx="192">
                <c:v>25.52</c:v>
              </c:pt>
              <c:pt idx="193">
                <c:v>25.52</c:v>
              </c:pt>
              <c:pt idx="194">
                <c:v>25.51</c:v>
              </c:pt>
              <c:pt idx="195">
                <c:v>25.49</c:v>
              </c:pt>
              <c:pt idx="196">
                <c:v>25.51</c:v>
              </c:pt>
              <c:pt idx="197">
                <c:v>25.53</c:v>
              </c:pt>
              <c:pt idx="198">
                <c:v>25.53</c:v>
              </c:pt>
              <c:pt idx="199">
                <c:v>25.5</c:v>
              </c:pt>
              <c:pt idx="200">
                <c:v>25.5</c:v>
              </c:pt>
              <c:pt idx="201">
                <c:v>25.52</c:v>
              </c:pt>
              <c:pt idx="202">
                <c:v>25.54</c:v>
              </c:pt>
              <c:pt idx="203">
                <c:v>25.55</c:v>
              </c:pt>
              <c:pt idx="204">
                <c:v>25.52</c:v>
              </c:pt>
              <c:pt idx="205">
                <c:v>25.49</c:v>
              </c:pt>
              <c:pt idx="206">
                <c:v>25.47</c:v>
              </c:pt>
              <c:pt idx="207">
                <c:v>25.49</c:v>
              </c:pt>
              <c:pt idx="208">
                <c:v>25.5</c:v>
              </c:pt>
              <c:pt idx="209">
                <c:v>25.48</c:v>
              </c:pt>
              <c:pt idx="210">
                <c:v>25.47</c:v>
              </c:pt>
              <c:pt idx="211">
                <c:v>25.48</c:v>
              </c:pt>
              <c:pt idx="212">
                <c:v>25.48</c:v>
              </c:pt>
              <c:pt idx="213">
                <c:v>25.46</c:v>
              </c:pt>
              <c:pt idx="214">
                <c:v>25.46</c:v>
              </c:pt>
              <c:pt idx="215">
                <c:v>25.48</c:v>
              </c:pt>
              <c:pt idx="216">
                <c:v>25.48</c:v>
              </c:pt>
              <c:pt idx="217">
                <c:v>25.47</c:v>
              </c:pt>
              <c:pt idx="218">
                <c:v>25.44</c:v>
              </c:pt>
              <c:pt idx="219">
                <c:v>25.41</c:v>
              </c:pt>
              <c:pt idx="220">
                <c:v>25.41</c:v>
              </c:pt>
              <c:pt idx="221">
                <c:v>25.42</c:v>
              </c:pt>
              <c:pt idx="222">
                <c:v>25.42</c:v>
              </c:pt>
              <c:pt idx="223">
                <c:v>25.4</c:v>
              </c:pt>
              <c:pt idx="224">
                <c:v>25.42</c:v>
              </c:pt>
              <c:pt idx="225">
                <c:v>25.42</c:v>
              </c:pt>
              <c:pt idx="226">
                <c:v>25.45</c:v>
              </c:pt>
              <c:pt idx="227">
                <c:v>25.45</c:v>
              </c:pt>
              <c:pt idx="228">
                <c:v>25.42</c:v>
              </c:pt>
              <c:pt idx="229">
                <c:v>25.41</c:v>
              </c:pt>
              <c:pt idx="230">
                <c:v>25.4</c:v>
              </c:pt>
              <c:pt idx="231">
                <c:v>25.42</c:v>
              </c:pt>
              <c:pt idx="232">
                <c:v>25.41</c:v>
              </c:pt>
              <c:pt idx="233">
                <c:v>25.41</c:v>
              </c:pt>
              <c:pt idx="234">
                <c:v>25.41</c:v>
              </c:pt>
              <c:pt idx="235">
                <c:v>25.38</c:v>
              </c:pt>
              <c:pt idx="236">
                <c:v>25.41</c:v>
              </c:pt>
              <c:pt idx="237">
                <c:v>25.39</c:v>
              </c:pt>
              <c:pt idx="238">
                <c:v>25.35</c:v>
              </c:pt>
              <c:pt idx="239">
                <c:v>25.36</c:v>
              </c:pt>
              <c:pt idx="240">
                <c:v>25.35</c:v>
              </c:pt>
              <c:pt idx="241">
                <c:v>25.38</c:v>
              </c:pt>
              <c:pt idx="242">
                <c:v>25.33</c:v>
              </c:pt>
              <c:pt idx="243">
                <c:v>25.36</c:v>
              </c:pt>
              <c:pt idx="244">
                <c:v>25.39</c:v>
              </c:pt>
              <c:pt idx="245">
                <c:v>25.38</c:v>
              </c:pt>
              <c:pt idx="246">
                <c:v>25.36</c:v>
              </c:pt>
              <c:pt idx="247">
                <c:v>25.35</c:v>
              </c:pt>
              <c:pt idx="248">
                <c:v>25.36</c:v>
              </c:pt>
              <c:pt idx="249">
                <c:v>25.37</c:v>
              </c:pt>
              <c:pt idx="250">
                <c:v>25.4</c:v>
              </c:pt>
              <c:pt idx="251">
                <c:v>25.37</c:v>
              </c:pt>
              <c:pt idx="252">
                <c:v>25.35</c:v>
              </c:pt>
              <c:pt idx="253">
                <c:v>25.36</c:v>
              </c:pt>
              <c:pt idx="254">
                <c:v>25.37</c:v>
              </c:pt>
              <c:pt idx="255">
                <c:v>25.41</c:v>
              </c:pt>
              <c:pt idx="256">
                <c:v>25.36</c:v>
              </c:pt>
              <c:pt idx="257">
                <c:v>25.35</c:v>
              </c:pt>
              <c:pt idx="258">
                <c:v>25.37</c:v>
              </c:pt>
              <c:pt idx="259">
                <c:v>25.35</c:v>
              </c:pt>
              <c:pt idx="260">
                <c:v>25.36</c:v>
              </c:pt>
              <c:pt idx="261">
                <c:v>25.33</c:v>
              </c:pt>
              <c:pt idx="262">
                <c:v>25.33</c:v>
              </c:pt>
              <c:pt idx="263">
                <c:v>25.36</c:v>
              </c:pt>
              <c:pt idx="264">
                <c:v>25.37</c:v>
              </c:pt>
              <c:pt idx="265">
                <c:v>25.39</c:v>
              </c:pt>
              <c:pt idx="266">
                <c:v>25.36</c:v>
              </c:pt>
              <c:pt idx="267">
                <c:v>25.33</c:v>
              </c:pt>
              <c:pt idx="268">
                <c:v>25.37</c:v>
              </c:pt>
              <c:pt idx="269">
                <c:v>25.36</c:v>
              </c:pt>
              <c:pt idx="270">
                <c:v>25.38</c:v>
              </c:pt>
              <c:pt idx="271">
                <c:v>25.36</c:v>
              </c:pt>
              <c:pt idx="272">
                <c:v>25.37</c:v>
              </c:pt>
              <c:pt idx="273">
                <c:v>25.38</c:v>
              </c:pt>
              <c:pt idx="274">
                <c:v>25.35</c:v>
              </c:pt>
              <c:pt idx="275">
                <c:v>25.35</c:v>
              </c:pt>
              <c:pt idx="276">
                <c:v>25.34</c:v>
              </c:pt>
              <c:pt idx="277">
                <c:v>25.33</c:v>
              </c:pt>
              <c:pt idx="278">
                <c:v>25.35</c:v>
              </c:pt>
              <c:pt idx="279">
                <c:v>25.37</c:v>
              </c:pt>
              <c:pt idx="280">
                <c:v>25.39</c:v>
              </c:pt>
              <c:pt idx="281">
                <c:v>25.36</c:v>
              </c:pt>
              <c:pt idx="282">
                <c:v>25.32</c:v>
              </c:pt>
              <c:pt idx="283">
                <c:v>25.35</c:v>
              </c:pt>
              <c:pt idx="284">
                <c:v>25.35</c:v>
              </c:pt>
              <c:pt idx="285">
                <c:v>25.35</c:v>
              </c:pt>
              <c:pt idx="286">
                <c:v>25.31</c:v>
              </c:pt>
              <c:pt idx="287">
                <c:v>25.32</c:v>
              </c:pt>
              <c:pt idx="288">
                <c:v>25.34</c:v>
              </c:pt>
              <c:pt idx="289">
                <c:v>25.34</c:v>
              </c:pt>
              <c:pt idx="290">
                <c:v>25.35</c:v>
              </c:pt>
              <c:pt idx="291">
                <c:v>25.33</c:v>
              </c:pt>
              <c:pt idx="292">
                <c:v>25.33</c:v>
              </c:pt>
              <c:pt idx="293">
                <c:v>25.36</c:v>
              </c:pt>
              <c:pt idx="294">
                <c:v>25.38</c:v>
              </c:pt>
              <c:pt idx="295">
                <c:v>25.37</c:v>
              </c:pt>
              <c:pt idx="296">
                <c:v>25.34</c:v>
              </c:pt>
              <c:pt idx="297">
                <c:v>25.37</c:v>
              </c:pt>
              <c:pt idx="298">
                <c:v>25.35</c:v>
              </c:pt>
              <c:pt idx="299">
                <c:v>25.35</c:v>
              </c:pt>
              <c:pt idx="300">
                <c:v>25.31</c:v>
              </c:pt>
              <c:pt idx="301">
                <c:v>25.27</c:v>
              </c:pt>
              <c:pt idx="302">
                <c:v>25.27</c:v>
              </c:pt>
              <c:pt idx="303">
                <c:v>25.27</c:v>
              </c:pt>
              <c:pt idx="304">
                <c:v>25.27</c:v>
              </c:pt>
              <c:pt idx="305">
                <c:v>25.21</c:v>
              </c:pt>
              <c:pt idx="306">
                <c:v>25.16</c:v>
              </c:pt>
              <c:pt idx="307">
                <c:v>25.17</c:v>
              </c:pt>
              <c:pt idx="308">
                <c:v>25.18</c:v>
              </c:pt>
              <c:pt idx="309">
                <c:v>25.2</c:v>
              </c:pt>
              <c:pt idx="310">
                <c:v>25.2</c:v>
              </c:pt>
              <c:pt idx="311">
                <c:v>25.14</c:v>
              </c:pt>
              <c:pt idx="312">
                <c:v>25.14</c:v>
              </c:pt>
              <c:pt idx="313">
                <c:v>25.13</c:v>
              </c:pt>
              <c:pt idx="314">
                <c:v>25.13</c:v>
              </c:pt>
              <c:pt idx="315">
                <c:v>25.11</c:v>
              </c:pt>
              <c:pt idx="316">
                <c:v>25.08</c:v>
              </c:pt>
              <c:pt idx="317">
                <c:v>25.08</c:v>
              </c:pt>
              <c:pt idx="318">
                <c:v>25.09</c:v>
              </c:pt>
              <c:pt idx="319">
                <c:v>25.07</c:v>
              </c:pt>
              <c:pt idx="320">
                <c:v>25.08</c:v>
              </c:pt>
              <c:pt idx="321">
                <c:v>25.04</c:v>
              </c:pt>
              <c:pt idx="322">
                <c:v>25.05</c:v>
              </c:pt>
              <c:pt idx="323">
                <c:v>25.05</c:v>
              </c:pt>
              <c:pt idx="324">
                <c:v>25.08</c:v>
              </c:pt>
              <c:pt idx="325">
                <c:v>25.08</c:v>
              </c:pt>
              <c:pt idx="326">
                <c:v>25.06</c:v>
              </c:pt>
              <c:pt idx="327">
                <c:v>25.07</c:v>
              </c:pt>
              <c:pt idx="328">
                <c:v>25.07</c:v>
              </c:pt>
              <c:pt idx="329">
                <c:v>25.05</c:v>
              </c:pt>
              <c:pt idx="330">
                <c:v>25.06</c:v>
              </c:pt>
              <c:pt idx="331">
                <c:v>25.03</c:v>
              </c:pt>
              <c:pt idx="332">
                <c:v>25.04</c:v>
              </c:pt>
              <c:pt idx="333">
                <c:v>25.05</c:v>
              </c:pt>
              <c:pt idx="334">
                <c:v>25.04</c:v>
              </c:pt>
              <c:pt idx="335">
                <c:v>25.07</c:v>
              </c:pt>
              <c:pt idx="336">
                <c:v>25.05</c:v>
              </c:pt>
              <c:pt idx="337">
                <c:v>25.01</c:v>
              </c:pt>
              <c:pt idx="338">
                <c:v>25.04</c:v>
              </c:pt>
              <c:pt idx="339">
                <c:v>25.03</c:v>
              </c:pt>
              <c:pt idx="340">
                <c:v>25.06</c:v>
              </c:pt>
              <c:pt idx="341">
                <c:v>25.03</c:v>
              </c:pt>
              <c:pt idx="342">
                <c:v>25.02</c:v>
              </c:pt>
              <c:pt idx="343">
                <c:v>25.04</c:v>
              </c:pt>
              <c:pt idx="344">
                <c:v>25.02</c:v>
              </c:pt>
              <c:pt idx="345">
                <c:v>25.05</c:v>
              </c:pt>
              <c:pt idx="346">
                <c:v>25.04</c:v>
              </c:pt>
              <c:pt idx="347">
                <c:v>25.01</c:v>
              </c:pt>
              <c:pt idx="348">
                <c:v>25.03</c:v>
              </c:pt>
              <c:pt idx="349">
                <c:v>25.02</c:v>
              </c:pt>
              <c:pt idx="350">
                <c:v>25.04</c:v>
              </c:pt>
              <c:pt idx="351">
                <c:v>25.01</c:v>
              </c:pt>
              <c:pt idx="352">
                <c:v>24.98</c:v>
              </c:pt>
              <c:pt idx="353">
                <c:v>25</c:v>
              </c:pt>
              <c:pt idx="354">
                <c:v>24.99</c:v>
              </c:pt>
              <c:pt idx="355">
                <c:v>25.03</c:v>
              </c:pt>
              <c:pt idx="356">
                <c:v>25</c:v>
              </c:pt>
              <c:pt idx="357">
                <c:v>24.99</c:v>
              </c:pt>
              <c:pt idx="358">
                <c:v>24.98</c:v>
              </c:pt>
              <c:pt idx="359">
                <c:v>24.98</c:v>
              </c:pt>
              <c:pt idx="360">
                <c:v>25</c:v>
              </c:pt>
              <c:pt idx="361">
                <c:v>24.99</c:v>
              </c:pt>
              <c:pt idx="362">
                <c:v>24.97</c:v>
              </c:pt>
              <c:pt idx="363">
                <c:v>24.97</c:v>
              </c:pt>
              <c:pt idx="364">
                <c:v>24.96</c:v>
              </c:pt>
              <c:pt idx="365">
                <c:v>24.96</c:v>
              </c:pt>
              <c:pt idx="366">
                <c:v>24.95</c:v>
              </c:pt>
              <c:pt idx="367">
                <c:v>24.93</c:v>
              </c:pt>
              <c:pt idx="368">
                <c:v>24.94</c:v>
              </c:pt>
              <c:pt idx="369">
                <c:v>24.96</c:v>
              </c:pt>
              <c:pt idx="370">
                <c:v>24.99</c:v>
              </c:pt>
              <c:pt idx="371">
                <c:v>24.96</c:v>
              </c:pt>
              <c:pt idx="372">
                <c:v>24.96</c:v>
              </c:pt>
              <c:pt idx="373">
                <c:v>24.95</c:v>
              </c:pt>
              <c:pt idx="374">
                <c:v>24.94</c:v>
              </c:pt>
              <c:pt idx="375">
                <c:v>24.94</c:v>
              </c:pt>
              <c:pt idx="376">
                <c:v>24.94</c:v>
              </c:pt>
              <c:pt idx="377">
                <c:v>24.91</c:v>
              </c:pt>
              <c:pt idx="378">
                <c:v>24.92</c:v>
              </c:pt>
              <c:pt idx="379">
                <c:v>24.96</c:v>
              </c:pt>
              <c:pt idx="380">
                <c:v>24.96</c:v>
              </c:pt>
              <c:pt idx="381">
                <c:v>24.98</c:v>
              </c:pt>
              <c:pt idx="382">
                <c:v>24.94</c:v>
              </c:pt>
              <c:pt idx="383">
                <c:v>24.97</c:v>
              </c:pt>
              <c:pt idx="384">
                <c:v>24.99</c:v>
              </c:pt>
              <c:pt idx="385">
                <c:v>25.02</c:v>
              </c:pt>
              <c:pt idx="386">
                <c:v>25.03</c:v>
              </c:pt>
              <c:pt idx="387">
                <c:v>25.02</c:v>
              </c:pt>
              <c:pt idx="388">
                <c:v>25.03</c:v>
              </c:pt>
              <c:pt idx="389">
                <c:v>25.06</c:v>
              </c:pt>
              <c:pt idx="390">
                <c:v>25.07</c:v>
              </c:pt>
              <c:pt idx="391">
                <c:v>25.05</c:v>
              </c:pt>
              <c:pt idx="392">
                <c:v>25.01</c:v>
              </c:pt>
              <c:pt idx="393">
                <c:v>25.03</c:v>
              </c:pt>
              <c:pt idx="394">
                <c:v>25.07</c:v>
              </c:pt>
              <c:pt idx="395">
                <c:v>25.06</c:v>
              </c:pt>
              <c:pt idx="396">
                <c:v>25.06</c:v>
              </c:pt>
              <c:pt idx="397">
                <c:v>25.05</c:v>
              </c:pt>
              <c:pt idx="398">
                <c:v>25.03</c:v>
              </c:pt>
              <c:pt idx="399">
                <c:v>25.07</c:v>
              </c:pt>
              <c:pt idx="400">
                <c:v>25.09</c:v>
              </c:pt>
              <c:pt idx="401">
                <c:v>25.07</c:v>
              </c:pt>
              <c:pt idx="402">
                <c:v>25.08</c:v>
              </c:pt>
              <c:pt idx="403">
                <c:v>25.04</c:v>
              </c:pt>
              <c:pt idx="404">
                <c:v>25.06</c:v>
              </c:pt>
              <c:pt idx="405">
                <c:v>25.09</c:v>
              </c:pt>
              <c:pt idx="406">
                <c:v>25.05</c:v>
              </c:pt>
              <c:pt idx="407">
                <c:v>25.02</c:v>
              </c:pt>
              <c:pt idx="408">
                <c:v>25.04</c:v>
              </c:pt>
              <c:pt idx="409">
                <c:v>25.07</c:v>
              </c:pt>
              <c:pt idx="410">
                <c:v>25.08</c:v>
              </c:pt>
              <c:pt idx="411">
                <c:v>25.04</c:v>
              </c:pt>
              <c:pt idx="412">
                <c:v>25.03</c:v>
              </c:pt>
              <c:pt idx="413">
                <c:v>25</c:v>
              </c:pt>
              <c:pt idx="414">
                <c:v>25.01</c:v>
              </c:pt>
              <c:pt idx="415">
                <c:v>25.04</c:v>
              </c:pt>
              <c:pt idx="416">
                <c:v>25.06</c:v>
              </c:pt>
              <c:pt idx="417">
                <c:v>25.04</c:v>
              </c:pt>
              <c:pt idx="418">
                <c:v>25.03</c:v>
              </c:pt>
              <c:pt idx="419">
                <c:v>25.04</c:v>
              </c:pt>
              <c:pt idx="420">
                <c:v>25.05</c:v>
              </c:pt>
              <c:pt idx="421">
                <c:v>25</c:v>
              </c:pt>
              <c:pt idx="422">
                <c:v>24.97</c:v>
              </c:pt>
              <c:pt idx="423">
                <c:v>25</c:v>
              </c:pt>
              <c:pt idx="424">
                <c:v>25.01</c:v>
              </c:pt>
              <c:pt idx="425">
                <c:v>25.04</c:v>
              </c:pt>
              <c:pt idx="426">
                <c:v>25.01</c:v>
              </c:pt>
              <c:pt idx="427">
                <c:v>24.96</c:v>
              </c:pt>
              <c:pt idx="428">
                <c:v>24.98</c:v>
              </c:pt>
              <c:pt idx="429">
                <c:v>25.02</c:v>
              </c:pt>
              <c:pt idx="430">
                <c:v>25.01</c:v>
              </c:pt>
              <c:pt idx="431">
                <c:v>25.01</c:v>
              </c:pt>
              <c:pt idx="432">
                <c:v>25</c:v>
              </c:pt>
              <c:pt idx="433">
                <c:v>25.02</c:v>
              </c:pt>
              <c:pt idx="434">
                <c:v>25.01</c:v>
              </c:pt>
              <c:pt idx="435">
                <c:v>25.05</c:v>
              </c:pt>
              <c:pt idx="436">
                <c:v>25.02</c:v>
              </c:pt>
              <c:pt idx="437">
                <c:v>25.01</c:v>
              </c:pt>
              <c:pt idx="438">
                <c:v>25.03</c:v>
              </c:pt>
              <c:pt idx="439">
                <c:v>25.03</c:v>
              </c:pt>
              <c:pt idx="440">
                <c:v>25.03</c:v>
              </c:pt>
              <c:pt idx="441">
                <c:v>25.01</c:v>
              </c:pt>
              <c:pt idx="442">
                <c:v>25</c:v>
              </c:pt>
              <c:pt idx="443">
                <c:v>25.04</c:v>
              </c:pt>
              <c:pt idx="444">
                <c:v>25.06</c:v>
              </c:pt>
              <c:pt idx="445">
                <c:v>25.07</c:v>
              </c:pt>
              <c:pt idx="446">
                <c:v>25.05</c:v>
              </c:pt>
              <c:pt idx="447">
                <c:v>25.06</c:v>
              </c:pt>
              <c:pt idx="448">
                <c:v>25.05</c:v>
              </c:pt>
              <c:pt idx="449">
                <c:v>25.05</c:v>
              </c:pt>
              <c:pt idx="450">
                <c:v>25.08</c:v>
              </c:pt>
              <c:pt idx="451">
                <c:v>25.07</c:v>
              </c:pt>
              <c:pt idx="452">
                <c:v>25.07</c:v>
              </c:pt>
              <c:pt idx="453">
                <c:v>25.06</c:v>
              </c:pt>
              <c:pt idx="454">
                <c:v>25.05</c:v>
              </c:pt>
              <c:pt idx="455">
                <c:v>25.06</c:v>
              </c:pt>
              <c:pt idx="456">
                <c:v>25.06</c:v>
              </c:pt>
              <c:pt idx="457">
                <c:v>25.06</c:v>
              </c:pt>
              <c:pt idx="458">
                <c:v>25.04</c:v>
              </c:pt>
              <c:pt idx="459">
                <c:v>25.05</c:v>
              </c:pt>
              <c:pt idx="460">
                <c:v>25.05</c:v>
              </c:pt>
              <c:pt idx="461">
                <c:v>25.03</c:v>
              </c:pt>
              <c:pt idx="462">
                <c:v>25.05</c:v>
              </c:pt>
              <c:pt idx="463">
                <c:v>25.07</c:v>
              </c:pt>
              <c:pt idx="464">
                <c:v>25.08</c:v>
              </c:pt>
              <c:pt idx="465">
                <c:v>25.04</c:v>
              </c:pt>
              <c:pt idx="466">
                <c:v>25</c:v>
              </c:pt>
              <c:pt idx="467">
                <c:v>25.02</c:v>
              </c:pt>
              <c:pt idx="468">
                <c:v>25.05</c:v>
              </c:pt>
              <c:pt idx="469">
                <c:v>25.06</c:v>
              </c:pt>
              <c:pt idx="470">
                <c:v>25.04</c:v>
              </c:pt>
              <c:pt idx="471">
                <c:v>25.01</c:v>
              </c:pt>
              <c:pt idx="472">
                <c:v>24.97</c:v>
              </c:pt>
              <c:pt idx="473">
                <c:v>24.95</c:v>
              </c:pt>
              <c:pt idx="474">
                <c:v>24.97</c:v>
              </c:pt>
              <c:pt idx="475">
                <c:v>24.92</c:v>
              </c:pt>
              <c:pt idx="476">
                <c:v>24.92</c:v>
              </c:pt>
              <c:pt idx="477">
                <c:v>24.93</c:v>
              </c:pt>
              <c:pt idx="478">
                <c:v>24.93</c:v>
              </c:pt>
              <c:pt idx="479">
                <c:v>24.97</c:v>
              </c:pt>
              <c:pt idx="480">
                <c:v>24.94</c:v>
              </c:pt>
              <c:pt idx="481">
                <c:v>24.94</c:v>
              </c:pt>
              <c:pt idx="482">
                <c:v>24.94</c:v>
              </c:pt>
              <c:pt idx="483">
                <c:v>24.97</c:v>
              </c:pt>
              <c:pt idx="484">
                <c:v>24.97</c:v>
              </c:pt>
              <c:pt idx="485">
                <c:v>24.92</c:v>
              </c:pt>
              <c:pt idx="486">
                <c:v>24.94</c:v>
              </c:pt>
              <c:pt idx="487">
                <c:v>24.95</c:v>
              </c:pt>
              <c:pt idx="488">
                <c:v>24.95</c:v>
              </c:pt>
              <c:pt idx="489">
                <c:v>24.97</c:v>
              </c:pt>
              <c:pt idx="490">
                <c:v>24.9</c:v>
              </c:pt>
              <c:pt idx="491">
                <c:v>24.9</c:v>
              </c:pt>
              <c:pt idx="492">
                <c:v>24.91</c:v>
              </c:pt>
              <c:pt idx="493">
                <c:v>24.94</c:v>
              </c:pt>
              <c:pt idx="494">
                <c:v>24.94</c:v>
              </c:pt>
              <c:pt idx="495">
                <c:v>24.91</c:v>
              </c:pt>
              <c:pt idx="496">
                <c:v>24.94</c:v>
              </c:pt>
              <c:pt idx="497">
                <c:v>24.99</c:v>
              </c:pt>
              <c:pt idx="498">
                <c:v>25.02</c:v>
              </c:pt>
              <c:pt idx="499">
                <c:v>25.04</c:v>
              </c:pt>
              <c:pt idx="500">
                <c:v>25.03</c:v>
              </c:pt>
              <c:pt idx="501">
                <c:v>25.06</c:v>
              </c:pt>
              <c:pt idx="502">
                <c:v>25.12</c:v>
              </c:pt>
              <c:pt idx="503">
                <c:v>25.13</c:v>
              </c:pt>
              <c:pt idx="504">
                <c:v>25.17</c:v>
              </c:pt>
              <c:pt idx="505">
                <c:v>25.17</c:v>
              </c:pt>
              <c:pt idx="506">
                <c:v>25.2</c:v>
              </c:pt>
              <c:pt idx="507">
                <c:v>25.27</c:v>
              </c:pt>
              <c:pt idx="508">
                <c:v>25.31</c:v>
              </c:pt>
              <c:pt idx="509">
                <c:v>25.35</c:v>
              </c:pt>
              <c:pt idx="510">
                <c:v>25.29</c:v>
              </c:pt>
              <c:pt idx="511">
                <c:v>25.36</c:v>
              </c:pt>
              <c:pt idx="512">
                <c:v>25.39</c:v>
              </c:pt>
              <c:pt idx="513">
                <c:v>25.38</c:v>
              </c:pt>
              <c:pt idx="514">
                <c:v>25.43</c:v>
              </c:pt>
              <c:pt idx="515">
                <c:v>25.42</c:v>
              </c:pt>
              <c:pt idx="516">
                <c:v>25.49</c:v>
              </c:pt>
              <c:pt idx="517">
                <c:v>25.5</c:v>
              </c:pt>
              <c:pt idx="518">
                <c:v>25.6</c:v>
              </c:pt>
              <c:pt idx="519">
                <c:v>25.61</c:v>
              </c:pt>
              <c:pt idx="520">
                <c:v>25.56</c:v>
              </c:pt>
              <c:pt idx="521">
                <c:v>25.67</c:v>
              </c:pt>
              <c:pt idx="522">
                <c:v>25.65</c:v>
              </c:pt>
              <c:pt idx="523">
                <c:v>25.7</c:v>
              </c:pt>
              <c:pt idx="524">
                <c:v>25.62</c:v>
              </c:pt>
              <c:pt idx="525">
                <c:v>25.67</c:v>
              </c:pt>
              <c:pt idx="526">
                <c:v>25.7</c:v>
              </c:pt>
              <c:pt idx="527">
                <c:v>25.69</c:v>
              </c:pt>
              <c:pt idx="528">
                <c:v>25.66</c:v>
              </c:pt>
              <c:pt idx="529">
                <c:v>25.68</c:v>
              </c:pt>
              <c:pt idx="530">
                <c:v>25.7</c:v>
              </c:pt>
              <c:pt idx="531">
                <c:v>25.69</c:v>
              </c:pt>
              <c:pt idx="532">
                <c:v>25.71</c:v>
              </c:pt>
              <c:pt idx="533">
                <c:v>25.69</c:v>
              </c:pt>
              <c:pt idx="534">
                <c:v>25.64</c:v>
              </c:pt>
              <c:pt idx="535">
                <c:v>25.72</c:v>
              </c:pt>
              <c:pt idx="536">
                <c:v>25.68</c:v>
              </c:pt>
              <c:pt idx="537">
                <c:v>25.72</c:v>
              </c:pt>
              <c:pt idx="538">
                <c:v>25.7</c:v>
              </c:pt>
              <c:pt idx="539">
                <c:v>25.67</c:v>
              </c:pt>
              <c:pt idx="540">
                <c:v>25.7</c:v>
              </c:pt>
              <c:pt idx="541">
                <c:v>25.73</c:v>
              </c:pt>
              <c:pt idx="542">
                <c:v>25.74</c:v>
              </c:pt>
              <c:pt idx="543">
                <c:v>25.76</c:v>
              </c:pt>
              <c:pt idx="544">
                <c:v>25.78</c:v>
              </c:pt>
              <c:pt idx="545">
                <c:v>25.86</c:v>
              </c:pt>
              <c:pt idx="546">
                <c:v>25.93</c:v>
              </c:pt>
              <c:pt idx="547">
                <c:v>25.87</c:v>
              </c:pt>
              <c:pt idx="548">
                <c:v>25.82</c:v>
              </c:pt>
              <c:pt idx="549">
                <c:v>25.74</c:v>
              </c:pt>
              <c:pt idx="550">
                <c:v>25.74</c:v>
              </c:pt>
              <c:pt idx="551">
                <c:v>25.77</c:v>
              </c:pt>
              <c:pt idx="552">
                <c:v>25.85</c:v>
              </c:pt>
              <c:pt idx="553">
                <c:v>25.83</c:v>
              </c:pt>
              <c:pt idx="554">
                <c:v>25.78</c:v>
              </c:pt>
              <c:pt idx="555">
                <c:v>25.81</c:v>
              </c:pt>
              <c:pt idx="556">
                <c:v>25.8</c:v>
              </c:pt>
              <c:pt idx="557">
                <c:v>25.78</c:v>
              </c:pt>
              <c:pt idx="558">
                <c:v>25.86</c:v>
              </c:pt>
              <c:pt idx="559">
                <c:v>25.84</c:v>
              </c:pt>
              <c:pt idx="560">
                <c:v>25.84</c:v>
              </c:pt>
              <c:pt idx="561">
                <c:v>25.83</c:v>
              </c:pt>
              <c:pt idx="562">
                <c:v>25.77</c:v>
              </c:pt>
              <c:pt idx="563">
                <c:v>25.77</c:v>
              </c:pt>
              <c:pt idx="564">
                <c:v>25.73</c:v>
              </c:pt>
              <c:pt idx="565">
                <c:v>25.71</c:v>
              </c:pt>
              <c:pt idx="566">
                <c:v>25.79</c:v>
              </c:pt>
              <c:pt idx="567">
                <c:v>25.84</c:v>
              </c:pt>
              <c:pt idx="568">
                <c:v>25.81</c:v>
              </c:pt>
              <c:pt idx="569">
                <c:v>25.77</c:v>
              </c:pt>
              <c:pt idx="570">
                <c:v>25.77</c:v>
              </c:pt>
              <c:pt idx="571">
                <c:v>25.78</c:v>
              </c:pt>
              <c:pt idx="572">
                <c:v>25.77</c:v>
              </c:pt>
              <c:pt idx="573">
                <c:v>25.71</c:v>
              </c:pt>
              <c:pt idx="574">
                <c:v>25.58</c:v>
              </c:pt>
              <c:pt idx="575">
                <c:v>25.57</c:v>
              </c:pt>
              <c:pt idx="576">
                <c:v>25.56</c:v>
              </c:pt>
              <c:pt idx="577">
                <c:v>25.54</c:v>
              </c:pt>
              <c:pt idx="578">
                <c:v>25.54</c:v>
              </c:pt>
              <c:pt idx="579">
                <c:v>25.48</c:v>
              </c:pt>
              <c:pt idx="580">
                <c:v>25.49</c:v>
              </c:pt>
              <c:pt idx="581">
                <c:v>25.48</c:v>
              </c:pt>
              <c:pt idx="582">
                <c:v>25.52</c:v>
              </c:pt>
              <c:pt idx="583">
                <c:v>25.52</c:v>
              </c:pt>
              <c:pt idx="584">
                <c:v>25.51</c:v>
              </c:pt>
              <c:pt idx="585">
                <c:v>25.55</c:v>
              </c:pt>
              <c:pt idx="586">
                <c:v>25.6</c:v>
              </c:pt>
              <c:pt idx="587">
                <c:v>25.67</c:v>
              </c:pt>
              <c:pt idx="588">
                <c:v>25.55</c:v>
              </c:pt>
              <c:pt idx="589">
                <c:v>25.6</c:v>
              </c:pt>
              <c:pt idx="590">
                <c:v>25.64</c:v>
              </c:pt>
              <c:pt idx="591">
                <c:v>25.71</c:v>
              </c:pt>
              <c:pt idx="592">
                <c:v>25.75</c:v>
              </c:pt>
              <c:pt idx="593">
                <c:v>25.67</c:v>
              </c:pt>
              <c:pt idx="594">
                <c:v>25.68</c:v>
              </c:pt>
              <c:pt idx="595">
                <c:v>25.76</c:v>
              </c:pt>
              <c:pt idx="596">
                <c:v>25.81</c:v>
              </c:pt>
              <c:pt idx="597">
                <c:v>25.84</c:v>
              </c:pt>
              <c:pt idx="598">
                <c:v>25.76</c:v>
              </c:pt>
              <c:pt idx="599">
                <c:v>25.81</c:v>
              </c:pt>
              <c:pt idx="600">
                <c:v>25.88</c:v>
              </c:pt>
              <c:pt idx="601">
                <c:v>25.82</c:v>
              </c:pt>
              <c:pt idx="602">
                <c:v>25.89</c:v>
              </c:pt>
              <c:pt idx="603">
                <c:v>25.9</c:v>
              </c:pt>
              <c:pt idx="604">
                <c:v>26</c:v>
              </c:pt>
              <c:pt idx="605">
                <c:v>26.06</c:v>
              </c:pt>
              <c:pt idx="606">
                <c:v>26.15</c:v>
              </c:pt>
              <c:pt idx="607">
                <c:v>26.19</c:v>
              </c:pt>
              <c:pt idx="608">
                <c:v>26.12</c:v>
              </c:pt>
              <c:pt idx="609">
                <c:v>26.13</c:v>
              </c:pt>
              <c:pt idx="610">
                <c:v>26.21</c:v>
              </c:pt>
              <c:pt idx="611">
                <c:v>26.2</c:v>
              </c:pt>
              <c:pt idx="612">
                <c:v>26.22</c:v>
              </c:pt>
              <c:pt idx="613">
                <c:v>26.34</c:v>
              </c:pt>
              <c:pt idx="614">
                <c:v>26.32</c:v>
              </c:pt>
              <c:pt idx="615">
                <c:v>26.3</c:v>
              </c:pt>
              <c:pt idx="616">
                <c:v>26.35</c:v>
              </c:pt>
              <c:pt idx="617">
                <c:v>26.36</c:v>
              </c:pt>
              <c:pt idx="618">
                <c:v>26.46</c:v>
              </c:pt>
              <c:pt idx="619">
                <c:v>26.58</c:v>
              </c:pt>
              <c:pt idx="620">
                <c:v>26.62</c:v>
              </c:pt>
              <c:pt idx="621">
                <c:v>26.64</c:v>
              </c:pt>
              <c:pt idx="622">
                <c:v>26.63</c:v>
              </c:pt>
              <c:pt idx="623">
                <c:v>26.59</c:v>
              </c:pt>
              <c:pt idx="624">
                <c:v>26.56</c:v>
              </c:pt>
              <c:pt idx="625">
                <c:v>26.64</c:v>
              </c:pt>
              <c:pt idx="626">
                <c:v>26.7</c:v>
              </c:pt>
              <c:pt idx="627">
                <c:v>26.72</c:v>
              </c:pt>
              <c:pt idx="628">
                <c:v>26.76</c:v>
              </c:pt>
              <c:pt idx="629">
                <c:v>26.79</c:v>
              </c:pt>
              <c:pt idx="630">
                <c:v>26.81</c:v>
              </c:pt>
              <c:pt idx="631">
                <c:v>26.86</c:v>
              </c:pt>
              <c:pt idx="632">
                <c:v>26.9</c:v>
              </c:pt>
              <c:pt idx="633">
                <c:v>26.93</c:v>
              </c:pt>
              <c:pt idx="634">
                <c:v>26.93</c:v>
              </c:pt>
              <c:pt idx="635">
                <c:v>26.87</c:v>
              </c:pt>
              <c:pt idx="636">
                <c:v>26.81</c:v>
              </c:pt>
              <c:pt idx="637">
                <c:v>26.89</c:v>
              </c:pt>
              <c:pt idx="638">
                <c:v>26.94</c:v>
              </c:pt>
              <c:pt idx="639">
                <c:v>26.89</c:v>
              </c:pt>
              <c:pt idx="640">
                <c:v>26.95</c:v>
              </c:pt>
              <c:pt idx="641">
                <c:v>26.96</c:v>
              </c:pt>
              <c:pt idx="642">
                <c:v>26.94</c:v>
              </c:pt>
              <c:pt idx="643">
                <c:v>26.96</c:v>
              </c:pt>
              <c:pt idx="644">
                <c:v>27.05</c:v>
              </c:pt>
              <c:pt idx="645">
                <c:v>27.17</c:v>
              </c:pt>
              <c:pt idx="646">
                <c:v>27.14</c:v>
              </c:pt>
              <c:pt idx="647">
                <c:v>27.09</c:v>
              </c:pt>
              <c:pt idx="648">
                <c:v>27.01</c:v>
              </c:pt>
              <c:pt idx="649">
                <c:v>27.03</c:v>
              </c:pt>
              <c:pt idx="650">
                <c:v>27.06</c:v>
              </c:pt>
              <c:pt idx="651">
                <c:v>27.02</c:v>
              </c:pt>
              <c:pt idx="652">
                <c:v>27.1</c:v>
              </c:pt>
              <c:pt idx="653">
                <c:v>27.18</c:v>
              </c:pt>
              <c:pt idx="654">
                <c:v>27.33</c:v>
              </c:pt>
              <c:pt idx="655">
                <c:v>27.43</c:v>
              </c:pt>
              <c:pt idx="656">
                <c:v>27.38</c:v>
              </c:pt>
              <c:pt idx="657">
                <c:v>27.43</c:v>
              </c:pt>
              <c:pt idx="658">
                <c:v>27.42</c:v>
              </c:pt>
              <c:pt idx="659">
                <c:v>27.4</c:v>
              </c:pt>
              <c:pt idx="660">
                <c:v>27.42</c:v>
              </c:pt>
              <c:pt idx="661">
                <c:v>27.55</c:v>
              </c:pt>
              <c:pt idx="662">
                <c:v>27.72</c:v>
              </c:pt>
              <c:pt idx="663">
                <c:v>27.9</c:v>
              </c:pt>
              <c:pt idx="664">
                <c:v>27.93</c:v>
              </c:pt>
              <c:pt idx="665">
                <c:v>27.95</c:v>
              </c:pt>
              <c:pt idx="666">
                <c:v>28.08</c:v>
              </c:pt>
              <c:pt idx="667">
                <c:v>28.05</c:v>
              </c:pt>
              <c:pt idx="668">
                <c:v>27.97</c:v>
              </c:pt>
              <c:pt idx="669">
                <c:v>28</c:v>
              </c:pt>
              <c:pt idx="670">
                <c:v>28.14</c:v>
              </c:pt>
              <c:pt idx="671">
                <c:v>28.17</c:v>
              </c:pt>
              <c:pt idx="672">
                <c:v>28.18</c:v>
              </c:pt>
              <c:pt idx="673">
                <c:v>28.2</c:v>
              </c:pt>
              <c:pt idx="674">
                <c:v>28.07</c:v>
              </c:pt>
              <c:pt idx="675">
                <c:v>27.92</c:v>
              </c:pt>
              <c:pt idx="676">
                <c:v>27.95</c:v>
              </c:pt>
              <c:pt idx="677">
                <c:v>27.87</c:v>
              </c:pt>
              <c:pt idx="678">
                <c:v>27.91</c:v>
              </c:pt>
              <c:pt idx="679">
                <c:v>27.93</c:v>
              </c:pt>
              <c:pt idx="680">
                <c:v>27.94</c:v>
              </c:pt>
              <c:pt idx="681">
                <c:v>27.88</c:v>
              </c:pt>
              <c:pt idx="682">
                <c:v>27.84</c:v>
              </c:pt>
              <c:pt idx="683">
                <c:v>27.89</c:v>
              </c:pt>
              <c:pt idx="684">
                <c:v>27.95</c:v>
              </c:pt>
              <c:pt idx="685">
                <c:v>28.04</c:v>
              </c:pt>
              <c:pt idx="686">
                <c:v>28.12</c:v>
              </c:pt>
              <c:pt idx="687">
                <c:v>28.08</c:v>
              </c:pt>
              <c:pt idx="688">
                <c:v>28.16</c:v>
              </c:pt>
              <c:pt idx="689">
                <c:v>28.22</c:v>
              </c:pt>
              <c:pt idx="690">
                <c:v>28.18</c:v>
              </c:pt>
              <c:pt idx="691">
                <c:v>28.08</c:v>
              </c:pt>
              <c:pt idx="692">
                <c:v>27.99</c:v>
              </c:pt>
              <c:pt idx="693">
                <c:v>27.87</c:v>
              </c:pt>
              <c:pt idx="694">
                <c:v>27.89</c:v>
              </c:pt>
              <c:pt idx="695">
                <c:v>27.94</c:v>
              </c:pt>
              <c:pt idx="696">
                <c:v>28.06</c:v>
              </c:pt>
              <c:pt idx="697">
                <c:v>28.05</c:v>
              </c:pt>
              <c:pt idx="698">
                <c:v>28.01</c:v>
              </c:pt>
              <c:pt idx="699">
                <c:v>28.04</c:v>
              </c:pt>
              <c:pt idx="700">
                <c:v>28.16</c:v>
              </c:pt>
              <c:pt idx="701">
                <c:v>28.13</c:v>
              </c:pt>
              <c:pt idx="702">
                <c:v>28.26</c:v>
              </c:pt>
              <c:pt idx="703">
                <c:v>28.43</c:v>
              </c:pt>
              <c:pt idx="704">
                <c:v>28.63</c:v>
              </c:pt>
              <c:pt idx="705">
                <c:v>28.59</c:v>
              </c:pt>
              <c:pt idx="706">
                <c:v>28.51</c:v>
              </c:pt>
              <c:pt idx="707">
                <c:v>28.56</c:v>
              </c:pt>
              <c:pt idx="708">
                <c:v>28.52</c:v>
              </c:pt>
              <c:pt idx="709">
                <c:v>28.57</c:v>
              </c:pt>
              <c:pt idx="710">
                <c:v>28.59</c:v>
              </c:pt>
              <c:pt idx="711">
                <c:v>28.55</c:v>
              </c:pt>
              <c:pt idx="712">
                <c:v>28.48</c:v>
              </c:pt>
              <c:pt idx="713">
                <c:v>28.49</c:v>
              </c:pt>
              <c:pt idx="714">
                <c:v>28.4</c:v>
              </c:pt>
              <c:pt idx="715">
                <c:v>28.41</c:v>
              </c:pt>
              <c:pt idx="716">
                <c:v>28.4</c:v>
              </c:pt>
              <c:pt idx="717">
                <c:v>28.39</c:v>
              </c:pt>
              <c:pt idx="718">
                <c:v>28.42</c:v>
              </c:pt>
              <c:pt idx="719">
                <c:v>28.46</c:v>
              </c:pt>
              <c:pt idx="720">
                <c:v>28.43</c:v>
              </c:pt>
              <c:pt idx="721">
                <c:v>28.37</c:v>
              </c:pt>
              <c:pt idx="722">
                <c:v>28.27</c:v>
              </c:pt>
              <c:pt idx="723">
                <c:v>28.22</c:v>
              </c:pt>
              <c:pt idx="724">
                <c:v>28.19</c:v>
              </c:pt>
              <c:pt idx="725">
                <c:v>28.21</c:v>
              </c:pt>
              <c:pt idx="726">
                <c:v>28.29</c:v>
              </c:pt>
              <c:pt idx="727">
                <c:v>28.25</c:v>
              </c:pt>
              <c:pt idx="728">
                <c:v>28.23</c:v>
              </c:pt>
              <c:pt idx="729">
                <c:v>28.28</c:v>
              </c:pt>
              <c:pt idx="730">
                <c:v>28.17</c:v>
              </c:pt>
              <c:pt idx="731">
                <c:v>28.07</c:v>
              </c:pt>
              <c:pt idx="732">
                <c:v>28.06</c:v>
              </c:pt>
              <c:pt idx="733">
                <c:v>28.05</c:v>
              </c:pt>
              <c:pt idx="734">
                <c:v>28.08</c:v>
              </c:pt>
              <c:pt idx="735">
                <c:v>28.07</c:v>
              </c:pt>
              <c:pt idx="736">
                <c:v>28.04</c:v>
              </c:pt>
              <c:pt idx="737">
                <c:v>28.08</c:v>
              </c:pt>
              <c:pt idx="738">
                <c:v>28.09</c:v>
              </c:pt>
              <c:pt idx="739">
                <c:v>28.01</c:v>
              </c:pt>
              <c:pt idx="740">
                <c:v>27.97</c:v>
              </c:pt>
              <c:pt idx="741">
                <c:v>27.99</c:v>
              </c:pt>
              <c:pt idx="742">
                <c:v>28.01</c:v>
              </c:pt>
              <c:pt idx="743">
                <c:v>28.08</c:v>
              </c:pt>
              <c:pt idx="744">
                <c:v>28.06</c:v>
              </c:pt>
              <c:pt idx="745">
                <c:v>27.96</c:v>
              </c:pt>
              <c:pt idx="746">
                <c:v>27.94</c:v>
              </c:pt>
              <c:pt idx="747">
                <c:v>28.01</c:v>
              </c:pt>
              <c:pt idx="748">
                <c:v>28.06</c:v>
              </c:pt>
              <c:pt idx="749">
                <c:v>28.07</c:v>
              </c:pt>
              <c:pt idx="750">
                <c:v>28.11</c:v>
              </c:pt>
              <c:pt idx="751">
                <c:v>28.01</c:v>
              </c:pt>
              <c:pt idx="752">
                <c:v>27.91</c:v>
              </c:pt>
              <c:pt idx="753">
                <c:v>27.84</c:v>
              </c:pt>
              <c:pt idx="754">
                <c:v>27.76</c:v>
              </c:pt>
              <c:pt idx="755">
                <c:v>27.77</c:v>
              </c:pt>
              <c:pt idx="756">
                <c:v>27.73</c:v>
              </c:pt>
              <c:pt idx="757">
                <c:v>27.76</c:v>
              </c:pt>
              <c:pt idx="758">
                <c:v>27.76</c:v>
              </c:pt>
              <c:pt idx="759">
                <c:v>27.68</c:v>
              </c:pt>
              <c:pt idx="760">
                <c:v>27.7</c:v>
              </c:pt>
              <c:pt idx="761">
                <c:v>27.65</c:v>
              </c:pt>
              <c:pt idx="762">
                <c:v>27.62</c:v>
              </c:pt>
              <c:pt idx="763">
                <c:v>27.56</c:v>
              </c:pt>
              <c:pt idx="764">
                <c:v>27.57</c:v>
              </c:pt>
              <c:pt idx="765">
                <c:v>27.55</c:v>
              </c:pt>
              <c:pt idx="766">
                <c:v>27.47</c:v>
              </c:pt>
              <c:pt idx="767">
                <c:v>27.49</c:v>
              </c:pt>
              <c:pt idx="768">
                <c:v>27.51</c:v>
              </c:pt>
              <c:pt idx="769">
                <c:v>27.59</c:v>
              </c:pt>
              <c:pt idx="770">
                <c:v>27.62</c:v>
              </c:pt>
              <c:pt idx="771">
                <c:v>27.59</c:v>
              </c:pt>
              <c:pt idx="772">
                <c:v>27.62</c:v>
              </c:pt>
              <c:pt idx="773">
                <c:v>27.63</c:v>
              </c:pt>
              <c:pt idx="774">
                <c:v>27.53</c:v>
              </c:pt>
              <c:pt idx="775">
                <c:v>27.51</c:v>
              </c:pt>
              <c:pt idx="776">
                <c:v>27.51</c:v>
              </c:pt>
              <c:pt idx="777">
                <c:v>27.57</c:v>
              </c:pt>
              <c:pt idx="778">
                <c:v>27.56</c:v>
              </c:pt>
              <c:pt idx="779">
                <c:v>27.62</c:v>
              </c:pt>
              <c:pt idx="780">
                <c:v>27.54</c:v>
              </c:pt>
              <c:pt idx="781">
                <c:v>27.6</c:v>
              </c:pt>
              <c:pt idx="782">
                <c:v>27.55</c:v>
              </c:pt>
              <c:pt idx="783">
                <c:v>27.55</c:v>
              </c:pt>
              <c:pt idx="784">
                <c:v>27.55</c:v>
              </c:pt>
              <c:pt idx="785">
                <c:v>27.51</c:v>
              </c:pt>
              <c:pt idx="786">
                <c:v>27.33</c:v>
              </c:pt>
              <c:pt idx="787">
                <c:v>27.28</c:v>
              </c:pt>
              <c:pt idx="788">
                <c:v>27.32</c:v>
              </c:pt>
              <c:pt idx="789">
                <c:v>27.28</c:v>
              </c:pt>
              <c:pt idx="790">
                <c:v>27.25</c:v>
              </c:pt>
              <c:pt idx="791">
                <c:v>27.21</c:v>
              </c:pt>
              <c:pt idx="792">
                <c:v>27.19</c:v>
              </c:pt>
              <c:pt idx="793">
                <c:v>27.13</c:v>
              </c:pt>
              <c:pt idx="794">
                <c:v>27.13</c:v>
              </c:pt>
              <c:pt idx="795">
                <c:v>27.04</c:v>
              </c:pt>
              <c:pt idx="796">
                <c:v>27.09</c:v>
              </c:pt>
              <c:pt idx="797">
                <c:v>27.16</c:v>
              </c:pt>
              <c:pt idx="798">
                <c:v>27.24</c:v>
              </c:pt>
              <c:pt idx="799">
                <c:v>27.12</c:v>
              </c:pt>
              <c:pt idx="800">
                <c:v>27.14</c:v>
              </c:pt>
              <c:pt idx="801">
                <c:v>27.15</c:v>
              </c:pt>
              <c:pt idx="802">
                <c:v>27.19</c:v>
              </c:pt>
              <c:pt idx="803">
                <c:v>27.26</c:v>
              </c:pt>
              <c:pt idx="804">
                <c:v>27.23</c:v>
              </c:pt>
              <c:pt idx="805">
                <c:v>27.24</c:v>
              </c:pt>
              <c:pt idx="806">
                <c:v>27.33</c:v>
              </c:pt>
              <c:pt idx="807">
                <c:v>27.44</c:v>
              </c:pt>
              <c:pt idx="808">
                <c:v>27.54</c:v>
              </c:pt>
              <c:pt idx="809">
                <c:v>27.7</c:v>
              </c:pt>
              <c:pt idx="810">
                <c:v>27.71</c:v>
              </c:pt>
              <c:pt idx="811">
                <c:v>27.61</c:v>
              </c:pt>
              <c:pt idx="812">
                <c:v>27.58</c:v>
              </c:pt>
              <c:pt idx="813">
                <c:v>27.52</c:v>
              </c:pt>
              <c:pt idx="814">
                <c:v>27.64</c:v>
              </c:pt>
              <c:pt idx="815">
                <c:v>27.51</c:v>
              </c:pt>
              <c:pt idx="816">
                <c:v>27.49</c:v>
              </c:pt>
              <c:pt idx="817">
                <c:v>27.53</c:v>
              </c:pt>
              <c:pt idx="818">
                <c:v>27.64</c:v>
              </c:pt>
              <c:pt idx="819">
                <c:v>27.55</c:v>
              </c:pt>
              <c:pt idx="820">
                <c:v>27.52</c:v>
              </c:pt>
              <c:pt idx="821">
                <c:v>27.52</c:v>
              </c:pt>
              <c:pt idx="822">
                <c:v>27.58</c:v>
              </c:pt>
              <c:pt idx="823">
                <c:v>27.41</c:v>
              </c:pt>
              <c:pt idx="824">
                <c:v>27.35</c:v>
              </c:pt>
              <c:pt idx="825">
                <c:v>27.34</c:v>
              </c:pt>
              <c:pt idx="826">
                <c:v>27.44</c:v>
              </c:pt>
              <c:pt idx="827">
                <c:v>27.48</c:v>
              </c:pt>
              <c:pt idx="828">
                <c:v>27.44</c:v>
              </c:pt>
              <c:pt idx="829">
                <c:v>27.4</c:v>
              </c:pt>
              <c:pt idx="830">
                <c:v>27.5</c:v>
              </c:pt>
              <c:pt idx="831">
                <c:v>27.61</c:v>
              </c:pt>
              <c:pt idx="832">
                <c:v>27.65</c:v>
              </c:pt>
              <c:pt idx="833">
                <c:v>27.65</c:v>
              </c:pt>
              <c:pt idx="834">
                <c:v>27.69</c:v>
              </c:pt>
              <c:pt idx="835">
                <c:v>27.87</c:v>
              </c:pt>
              <c:pt idx="836">
                <c:v>28.01</c:v>
              </c:pt>
              <c:pt idx="837">
                <c:v>27.98</c:v>
              </c:pt>
              <c:pt idx="838">
                <c:v>27.95</c:v>
              </c:pt>
              <c:pt idx="839">
                <c:v>27.94</c:v>
              </c:pt>
              <c:pt idx="840">
                <c:v>28.01</c:v>
              </c:pt>
              <c:pt idx="841">
                <c:v>28</c:v>
              </c:pt>
              <c:pt idx="842">
                <c:v>28.03</c:v>
              </c:pt>
              <c:pt idx="843">
                <c:v>28</c:v>
              </c:pt>
              <c:pt idx="844">
                <c:v>28.08</c:v>
              </c:pt>
              <c:pt idx="845">
                <c:v>28.12</c:v>
              </c:pt>
              <c:pt idx="846">
                <c:v>28.19</c:v>
              </c:pt>
              <c:pt idx="847">
                <c:v>28.25</c:v>
              </c:pt>
              <c:pt idx="848">
                <c:v>28.16</c:v>
              </c:pt>
              <c:pt idx="849">
                <c:v>28.15</c:v>
              </c:pt>
              <c:pt idx="850">
                <c:v>28.03</c:v>
              </c:pt>
              <c:pt idx="851">
                <c:v>28.01</c:v>
              </c:pt>
              <c:pt idx="852">
                <c:v>28.03</c:v>
              </c:pt>
              <c:pt idx="853">
                <c:v>28.05</c:v>
              </c:pt>
              <c:pt idx="854">
                <c:v>27.9</c:v>
              </c:pt>
              <c:pt idx="855">
                <c:v>27.78</c:v>
              </c:pt>
              <c:pt idx="856">
                <c:v>27.71</c:v>
              </c:pt>
              <c:pt idx="857">
                <c:v>27.61</c:v>
              </c:pt>
              <c:pt idx="858">
                <c:v>27.51</c:v>
              </c:pt>
              <c:pt idx="859">
                <c:v>27.4</c:v>
              </c:pt>
              <c:pt idx="860">
                <c:v>27.46</c:v>
              </c:pt>
              <c:pt idx="861">
                <c:v>27.32</c:v>
              </c:pt>
              <c:pt idx="862">
                <c:v>27.29</c:v>
              </c:pt>
              <c:pt idx="863">
                <c:v>27.24</c:v>
              </c:pt>
              <c:pt idx="864">
                <c:v>27.24</c:v>
              </c:pt>
              <c:pt idx="865">
                <c:v>27.1</c:v>
              </c:pt>
              <c:pt idx="866">
                <c:v>27.07</c:v>
              </c:pt>
              <c:pt idx="867">
                <c:v>27.02</c:v>
              </c:pt>
              <c:pt idx="868">
                <c:v>27.12</c:v>
              </c:pt>
              <c:pt idx="869">
                <c:v>27.05</c:v>
              </c:pt>
              <c:pt idx="870">
                <c:v>27.08</c:v>
              </c:pt>
              <c:pt idx="871">
                <c:v>27.09</c:v>
              </c:pt>
              <c:pt idx="872">
                <c:v>27.06</c:v>
              </c:pt>
              <c:pt idx="873">
                <c:v>27.04</c:v>
              </c:pt>
              <c:pt idx="874">
                <c:v>27.04</c:v>
              </c:pt>
              <c:pt idx="875">
                <c:v>26.97</c:v>
              </c:pt>
              <c:pt idx="876">
                <c:v>26.95</c:v>
              </c:pt>
              <c:pt idx="877">
                <c:v>27.04</c:v>
              </c:pt>
              <c:pt idx="878">
                <c:v>26.87</c:v>
              </c:pt>
              <c:pt idx="879">
                <c:v>26.89</c:v>
              </c:pt>
              <c:pt idx="880">
                <c:v>26.94</c:v>
              </c:pt>
              <c:pt idx="881">
                <c:v>27.05</c:v>
              </c:pt>
              <c:pt idx="882">
                <c:v>27.09</c:v>
              </c:pt>
              <c:pt idx="883">
                <c:v>26.76</c:v>
              </c:pt>
              <c:pt idx="884">
                <c:v>26.96</c:v>
              </c:pt>
              <c:pt idx="885">
                <c:v>26.96</c:v>
              </c:pt>
              <c:pt idx="886">
                <c:v>26.8</c:v>
              </c:pt>
              <c:pt idx="887">
                <c:v>26.81</c:v>
              </c:pt>
              <c:pt idx="888">
                <c:v>26.87</c:v>
              </c:pt>
              <c:pt idx="889">
                <c:v>26.99</c:v>
              </c:pt>
              <c:pt idx="890">
                <c:v>26.95</c:v>
              </c:pt>
              <c:pt idx="891">
                <c:v>26.88</c:v>
              </c:pt>
              <c:pt idx="892">
                <c:v>26.84</c:v>
              </c:pt>
              <c:pt idx="893">
                <c:v>26.85</c:v>
              </c:pt>
              <c:pt idx="894">
                <c:v>26.87</c:v>
              </c:pt>
              <c:pt idx="895">
                <c:v>26.88</c:v>
              </c:pt>
              <c:pt idx="896">
                <c:v>26.89</c:v>
              </c:pt>
              <c:pt idx="897">
                <c:v>26.84</c:v>
              </c:pt>
              <c:pt idx="898">
                <c:v>26.95</c:v>
              </c:pt>
              <c:pt idx="899">
                <c:v>26.97</c:v>
              </c:pt>
              <c:pt idx="900">
                <c:v>26.92</c:v>
              </c:pt>
              <c:pt idx="901">
                <c:v>26.83</c:v>
              </c:pt>
              <c:pt idx="902">
                <c:v>26.7</c:v>
              </c:pt>
              <c:pt idx="903">
                <c:v>26.82</c:v>
              </c:pt>
              <c:pt idx="904">
                <c:v>26.8</c:v>
              </c:pt>
              <c:pt idx="905">
                <c:v>26.75</c:v>
              </c:pt>
              <c:pt idx="906">
                <c:v>26.76</c:v>
              </c:pt>
              <c:pt idx="907">
                <c:v>26.71</c:v>
              </c:pt>
              <c:pt idx="908">
                <c:v>26.71</c:v>
              </c:pt>
              <c:pt idx="909">
                <c:v>26.73</c:v>
              </c:pt>
              <c:pt idx="910">
                <c:v>26.74</c:v>
              </c:pt>
              <c:pt idx="911">
                <c:v>26.78</c:v>
              </c:pt>
              <c:pt idx="912">
                <c:v>26.78</c:v>
              </c:pt>
              <c:pt idx="913">
                <c:v>26.83</c:v>
              </c:pt>
              <c:pt idx="914">
                <c:v>26.81</c:v>
              </c:pt>
              <c:pt idx="915">
                <c:v>26.74</c:v>
              </c:pt>
              <c:pt idx="916">
                <c:v>26.77</c:v>
              </c:pt>
              <c:pt idx="917">
                <c:v>26.73</c:v>
              </c:pt>
              <c:pt idx="918">
                <c:v>26.76</c:v>
              </c:pt>
              <c:pt idx="919">
                <c:v>26.78</c:v>
              </c:pt>
              <c:pt idx="920">
                <c:v>26.86</c:v>
              </c:pt>
              <c:pt idx="921">
                <c:v>26.85</c:v>
              </c:pt>
              <c:pt idx="922">
                <c:v>26.8</c:v>
              </c:pt>
              <c:pt idx="923">
                <c:v>26.78</c:v>
              </c:pt>
              <c:pt idx="924">
                <c:v>26.79</c:v>
              </c:pt>
              <c:pt idx="925">
                <c:v>26.83</c:v>
              </c:pt>
              <c:pt idx="926">
                <c:v>26.86</c:v>
              </c:pt>
              <c:pt idx="927">
                <c:v>26.8</c:v>
              </c:pt>
              <c:pt idx="928">
                <c:v>26.74</c:v>
              </c:pt>
              <c:pt idx="929">
                <c:v>26.75</c:v>
              </c:pt>
              <c:pt idx="930">
                <c:v>26.81</c:v>
              </c:pt>
              <c:pt idx="931">
                <c:v>26.75</c:v>
              </c:pt>
              <c:pt idx="932">
                <c:v>26.83</c:v>
              </c:pt>
              <c:pt idx="933">
                <c:v>26.9</c:v>
              </c:pt>
              <c:pt idx="934">
                <c:v>26.91</c:v>
              </c:pt>
              <c:pt idx="935">
                <c:v>26.9</c:v>
              </c:pt>
              <c:pt idx="936">
                <c:v>26.84</c:v>
              </c:pt>
              <c:pt idx="937">
                <c:v>26.89</c:v>
              </c:pt>
              <c:pt idx="938">
                <c:v>26.88</c:v>
              </c:pt>
              <c:pt idx="939">
                <c:v>26.92</c:v>
              </c:pt>
              <c:pt idx="940">
                <c:v>26.91</c:v>
              </c:pt>
              <c:pt idx="941">
                <c:v>26.93</c:v>
              </c:pt>
              <c:pt idx="942">
                <c:v>26.97</c:v>
              </c:pt>
              <c:pt idx="943">
                <c:v>27</c:v>
              </c:pt>
              <c:pt idx="944">
                <c:v>27.06</c:v>
              </c:pt>
              <c:pt idx="945">
                <c:v>26.99</c:v>
              </c:pt>
              <c:pt idx="946">
                <c:v>26.99</c:v>
              </c:pt>
              <c:pt idx="947">
                <c:v>27.02</c:v>
              </c:pt>
              <c:pt idx="948">
                <c:v>27.03</c:v>
              </c:pt>
              <c:pt idx="949">
                <c:v>27.01</c:v>
              </c:pt>
              <c:pt idx="950">
                <c:v>27.08</c:v>
              </c:pt>
              <c:pt idx="951">
                <c:v>27.17</c:v>
              </c:pt>
              <c:pt idx="952">
                <c:v>27.25</c:v>
              </c:pt>
              <c:pt idx="953">
                <c:v>27.26</c:v>
              </c:pt>
              <c:pt idx="954">
                <c:v>27.26</c:v>
              </c:pt>
              <c:pt idx="955">
                <c:v>27.38</c:v>
              </c:pt>
              <c:pt idx="956">
                <c:v>27.42</c:v>
              </c:pt>
              <c:pt idx="957">
                <c:v>27.55</c:v>
              </c:pt>
              <c:pt idx="958">
                <c:v>27.61</c:v>
              </c:pt>
              <c:pt idx="959">
                <c:v>27.66</c:v>
              </c:pt>
              <c:pt idx="960">
                <c:v>27.67</c:v>
              </c:pt>
              <c:pt idx="961">
                <c:v>27.75</c:v>
              </c:pt>
              <c:pt idx="962">
                <c:v>27.82</c:v>
              </c:pt>
              <c:pt idx="963">
                <c:v>27.85</c:v>
              </c:pt>
              <c:pt idx="964">
                <c:v>27.81</c:v>
              </c:pt>
              <c:pt idx="965">
                <c:v>27.86</c:v>
              </c:pt>
              <c:pt idx="966">
                <c:v>27.91</c:v>
              </c:pt>
              <c:pt idx="967">
                <c:v>27.95</c:v>
              </c:pt>
              <c:pt idx="968">
                <c:v>27.97</c:v>
              </c:pt>
              <c:pt idx="969">
                <c:v>27.98</c:v>
              </c:pt>
              <c:pt idx="970">
                <c:v>27.99</c:v>
              </c:pt>
              <c:pt idx="971">
                <c:v>28</c:v>
              </c:pt>
              <c:pt idx="972">
                <c:v>28.02</c:v>
              </c:pt>
              <c:pt idx="973">
                <c:v>28.04</c:v>
              </c:pt>
              <c:pt idx="974">
                <c:v>28.05</c:v>
              </c:pt>
              <c:pt idx="975">
                <c:v>28.07</c:v>
              </c:pt>
              <c:pt idx="976">
                <c:v>28.07</c:v>
              </c:pt>
              <c:pt idx="977">
                <c:v>28.08</c:v>
              </c:pt>
              <c:pt idx="978">
                <c:v>28.14</c:v>
              </c:pt>
              <c:pt idx="979">
                <c:v>28.1</c:v>
              </c:pt>
              <c:pt idx="980">
                <c:v>28.16</c:v>
              </c:pt>
              <c:pt idx="981">
                <c:v>28.16</c:v>
              </c:pt>
              <c:pt idx="982">
                <c:v>28.22</c:v>
              </c:pt>
              <c:pt idx="983">
                <c:v>28.24</c:v>
              </c:pt>
              <c:pt idx="984">
                <c:v>28.26</c:v>
              </c:pt>
              <c:pt idx="985">
                <c:v>28.27</c:v>
              </c:pt>
              <c:pt idx="986">
                <c:v>28.24</c:v>
              </c:pt>
              <c:pt idx="987">
                <c:v>28.28</c:v>
              </c:pt>
              <c:pt idx="988">
                <c:v>28.39</c:v>
              </c:pt>
              <c:pt idx="989">
                <c:v>28.43</c:v>
              </c:pt>
              <c:pt idx="990">
                <c:v>28.44</c:v>
              </c:pt>
              <c:pt idx="991">
                <c:v>28.45</c:v>
              </c:pt>
              <c:pt idx="992">
                <c:v>28.39</c:v>
              </c:pt>
              <c:pt idx="993">
                <c:v>28.4</c:v>
              </c:pt>
              <c:pt idx="994">
                <c:v>28.36</c:v>
              </c:pt>
              <c:pt idx="995">
                <c:v>28.39</c:v>
              </c:pt>
              <c:pt idx="996">
                <c:v>28.36</c:v>
              </c:pt>
              <c:pt idx="997">
                <c:v>28.31</c:v>
              </c:pt>
              <c:pt idx="998">
                <c:v>28.36</c:v>
              </c:pt>
              <c:pt idx="999">
                <c:v>28.31</c:v>
              </c:pt>
              <c:pt idx="1000">
                <c:v>28.42</c:v>
              </c:pt>
              <c:pt idx="1001">
                <c:v>28.46</c:v>
              </c:pt>
              <c:pt idx="1002">
                <c:v>28.33</c:v>
              </c:pt>
              <c:pt idx="1003">
                <c:v>28.35</c:v>
              </c:pt>
              <c:pt idx="1004">
                <c:v>28.35</c:v>
              </c:pt>
              <c:pt idx="1005">
                <c:v>28.29</c:v>
              </c:pt>
              <c:pt idx="1006">
                <c:v>28.24</c:v>
              </c:pt>
              <c:pt idx="1007">
                <c:v>28.28</c:v>
              </c:pt>
              <c:pt idx="1008">
                <c:v>28.32</c:v>
              </c:pt>
              <c:pt idx="1009">
                <c:v>28.37</c:v>
              </c:pt>
              <c:pt idx="1010">
                <c:v>28.38</c:v>
              </c:pt>
              <c:pt idx="1011">
                <c:v>28.35</c:v>
              </c:pt>
              <c:pt idx="1012">
                <c:v>28.27</c:v>
              </c:pt>
              <c:pt idx="1013">
                <c:v>28.19</c:v>
              </c:pt>
              <c:pt idx="1014">
                <c:v>28.19</c:v>
              </c:pt>
              <c:pt idx="1015">
                <c:v>28.19</c:v>
              </c:pt>
              <c:pt idx="1016">
                <c:v>28.18</c:v>
              </c:pt>
              <c:pt idx="1017">
                <c:v>28.19</c:v>
              </c:pt>
              <c:pt idx="1018">
                <c:v>28.18</c:v>
              </c:pt>
              <c:pt idx="1019">
                <c:v>28.1</c:v>
              </c:pt>
              <c:pt idx="1020">
                <c:v>28.07</c:v>
              </c:pt>
              <c:pt idx="1021">
                <c:v>28.09</c:v>
              </c:pt>
              <c:pt idx="1022">
                <c:v>28.04</c:v>
              </c:pt>
              <c:pt idx="1023">
                <c:v>28.02</c:v>
              </c:pt>
              <c:pt idx="1024">
                <c:v>27.93</c:v>
              </c:pt>
              <c:pt idx="1025">
                <c:v>27.88</c:v>
              </c:pt>
              <c:pt idx="1026">
                <c:v>27.85</c:v>
              </c:pt>
              <c:pt idx="1027">
                <c:v>27.81</c:v>
              </c:pt>
              <c:pt idx="1028">
                <c:v>27.81</c:v>
              </c:pt>
              <c:pt idx="1029">
                <c:v>27.81</c:v>
              </c:pt>
              <c:pt idx="1030">
                <c:v>27.84</c:v>
              </c:pt>
              <c:pt idx="1031">
                <c:v>27.87</c:v>
              </c:pt>
              <c:pt idx="1032">
                <c:v>27.93</c:v>
              </c:pt>
              <c:pt idx="1033">
                <c:v>27.98</c:v>
              </c:pt>
              <c:pt idx="1034">
                <c:v>28.01</c:v>
              </c:pt>
              <c:pt idx="1035">
                <c:v>27.95</c:v>
              </c:pt>
              <c:pt idx="1036">
                <c:v>27.97</c:v>
              </c:pt>
              <c:pt idx="1037">
                <c:v>28.02</c:v>
              </c:pt>
              <c:pt idx="1038">
                <c:v>28.09</c:v>
              </c:pt>
              <c:pt idx="1039">
                <c:v>28.15</c:v>
              </c:pt>
              <c:pt idx="1040">
                <c:v>28.22</c:v>
              </c:pt>
              <c:pt idx="1041">
                <c:v>28.25</c:v>
              </c:pt>
              <c:pt idx="1042">
                <c:v>28.29</c:v>
              </c:pt>
              <c:pt idx="1043">
                <c:v>28.36</c:v>
              </c:pt>
              <c:pt idx="1044">
                <c:v>28.33</c:v>
              </c:pt>
              <c:pt idx="1045">
                <c:v>28.35</c:v>
              </c:pt>
              <c:pt idx="1046">
                <c:v>28.35</c:v>
              </c:pt>
              <c:pt idx="1047">
                <c:v>28.36</c:v>
              </c:pt>
              <c:pt idx="1048">
                <c:v>28.34</c:v>
              </c:pt>
              <c:pt idx="1049">
                <c:v>28.22</c:v>
              </c:pt>
              <c:pt idx="1050">
                <c:v>28.2</c:v>
              </c:pt>
              <c:pt idx="1051">
                <c:v>28.17</c:v>
              </c:pt>
              <c:pt idx="1052">
                <c:v>28.15</c:v>
              </c:pt>
              <c:pt idx="1053">
                <c:v>28.11</c:v>
              </c:pt>
              <c:pt idx="1054">
                <c:v>28.14</c:v>
              </c:pt>
              <c:pt idx="1055">
                <c:v>28.18</c:v>
              </c:pt>
              <c:pt idx="1056">
                <c:v>28.18</c:v>
              </c:pt>
              <c:pt idx="1057">
                <c:v>28.19</c:v>
              </c:pt>
              <c:pt idx="1058">
                <c:v>28.26</c:v>
              </c:pt>
              <c:pt idx="1059">
                <c:v>28.35</c:v>
              </c:pt>
              <c:pt idx="1060">
                <c:v>28.39</c:v>
              </c:pt>
              <c:pt idx="1061">
                <c:v>28.43</c:v>
              </c:pt>
              <c:pt idx="1062">
                <c:v>28.44</c:v>
              </c:pt>
              <c:pt idx="1063">
                <c:v>28.48</c:v>
              </c:pt>
              <c:pt idx="1064">
                <c:v>28.51</c:v>
              </c:pt>
              <c:pt idx="1065">
                <c:v>28.48</c:v>
              </c:pt>
              <c:pt idx="1066">
                <c:v>28.52</c:v>
              </c:pt>
              <c:pt idx="1067">
                <c:v>28.44</c:v>
              </c:pt>
              <c:pt idx="1068">
                <c:v>28.5</c:v>
              </c:pt>
              <c:pt idx="1069">
                <c:v>28.59</c:v>
              </c:pt>
              <c:pt idx="1070">
                <c:v>28.62</c:v>
              </c:pt>
              <c:pt idx="1071">
                <c:v>28.64</c:v>
              </c:pt>
              <c:pt idx="1072">
                <c:v>28.66</c:v>
              </c:pt>
              <c:pt idx="1073">
                <c:v>28.64</c:v>
              </c:pt>
              <c:pt idx="1074">
                <c:v>28.67</c:v>
              </c:pt>
              <c:pt idx="1075">
                <c:v>28.67</c:v>
              </c:pt>
              <c:pt idx="1076">
                <c:v>28.64</c:v>
              </c:pt>
              <c:pt idx="1077">
                <c:v>28.64</c:v>
              </c:pt>
              <c:pt idx="1078">
                <c:v>28.59</c:v>
              </c:pt>
              <c:pt idx="1079">
                <c:v>28.54</c:v>
              </c:pt>
              <c:pt idx="1080">
                <c:v>28.5</c:v>
              </c:pt>
              <c:pt idx="1081">
                <c:v>28.51</c:v>
              </c:pt>
              <c:pt idx="1082">
                <c:v>28.5</c:v>
              </c:pt>
              <c:pt idx="1083">
                <c:v>28.48</c:v>
              </c:pt>
              <c:pt idx="1084">
                <c:v>28.38</c:v>
              </c:pt>
              <c:pt idx="1085">
                <c:v>28.29</c:v>
              </c:pt>
              <c:pt idx="1086">
                <c:v>28.26</c:v>
              </c:pt>
              <c:pt idx="1087">
                <c:v>28.23</c:v>
              </c:pt>
              <c:pt idx="1088">
                <c:v>28.21</c:v>
              </c:pt>
              <c:pt idx="1089">
                <c:v>28.18</c:v>
              </c:pt>
              <c:pt idx="1090">
                <c:v>28.2</c:v>
              </c:pt>
              <c:pt idx="1091">
                <c:v>28.18</c:v>
              </c:pt>
              <c:pt idx="1092">
                <c:v>28.2</c:v>
              </c:pt>
              <c:pt idx="1093">
                <c:v>28.14</c:v>
              </c:pt>
              <c:pt idx="1094">
                <c:v>28.14</c:v>
              </c:pt>
              <c:pt idx="1095">
                <c:v>28.18</c:v>
              </c:pt>
              <c:pt idx="1096">
                <c:v>28.18</c:v>
              </c:pt>
              <c:pt idx="1097">
                <c:v>28.16</c:v>
              </c:pt>
              <c:pt idx="1098">
                <c:v>28.09</c:v>
              </c:pt>
              <c:pt idx="1099">
                <c:v>28.06</c:v>
              </c:pt>
              <c:pt idx="1100">
                <c:v>28.08</c:v>
              </c:pt>
              <c:pt idx="1101">
                <c:v>28.09</c:v>
              </c:pt>
              <c:pt idx="1102">
                <c:v>28.05</c:v>
              </c:pt>
              <c:pt idx="1103">
                <c:v>28.05</c:v>
              </c:pt>
              <c:pt idx="1104">
                <c:v>28.06</c:v>
              </c:pt>
              <c:pt idx="1105">
                <c:v>28.07</c:v>
              </c:pt>
              <c:pt idx="1106">
                <c:v>28.07</c:v>
              </c:pt>
              <c:pt idx="1107">
                <c:v>28.11</c:v>
              </c:pt>
              <c:pt idx="1108">
                <c:v>28.12</c:v>
              </c:pt>
              <c:pt idx="1109">
                <c:v>28.14</c:v>
              </c:pt>
              <c:pt idx="1110">
                <c:v>28.16</c:v>
              </c:pt>
              <c:pt idx="1111">
                <c:v>28.14</c:v>
              </c:pt>
              <c:pt idx="1112">
                <c:v>28.14</c:v>
              </c:pt>
              <c:pt idx="1113">
                <c:v>28.1</c:v>
              </c:pt>
              <c:pt idx="1114">
                <c:v>28.05</c:v>
              </c:pt>
              <c:pt idx="1115">
                <c:v>28.08</c:v>
              </c:pt>
              <c:pt idx="1116">
                <c:v>28.15</c:v>
              </c:pt>
              <c:pt idx="1117">
                <c:v>28.14</c:v>
              </c:pt>
              <c:pt idx="1118">
                <c:v>28.14</c:v>
              </c:pt>
              <c:pt idx="1119">
                <c:v>28.17</c:v>
              </c:pt>
              <c:pt idx="1120">
                <c:v>28.17</c:v>
              </c:pt>
              <c:pt idx="1121">
                <c:v>28.19</c:v>
              </c:pt>
              <c:pt idx="1122">
                <c:v>28.12</c:v>
              </c:pt>
              <c:pt idx="1123">
                <c:v>28.12</c:v>
              </c:pt>
              <c:pt idx="1124">
                <c:v>28.09</c:v>
              </c:pt>
              <c:pt idx="1125">
                <c:v>28.1</c:v>
              </c:pt>
              <c:pt idx="1126">
                <c:v>28.09</c:v>
              </c:pt>
              <c:pt idx="1127">
                <c:v>28.04</c:v>
              </c:pt>
              <c:pt idx="1128">
                <c:v>28.06</c:v>
              </c:pt>
              <c:pt idx="1129">
                <c:v>28.05</c:v>
              </c:pt>
              <c:pt idx="1130">
                <c:v>28.05</c:v>
              </c:pt>
              <c:pt idx="1131">
                <c:v>28.06</c:v>
              </c:pt>
              <c:pt idx="1132">
                <c:v>28.08</c:v>
              </c:pt>
              <c:pt idx="1133">
                <c:v>28.05</c:v>
              </c:pt>
              <c:pt idx="1134">
                <c:v>28.01</c:v>
              </c:pt>
              <c:pt idx="1135">
                <c:v>28.07</c:v>
              </c:pt>
              <c:pt idx="1136">
                <c:v>28.05</c:v>
              </c:pt>
              <c:pt idx="1137">
                <c:v>28.07</c:v>
              </c:pt>
              <c:pt idx="1138">
                <c:v>28.04</c:v>
              </c:pt>
              <c:pt idx="1139">
                <c:v>28.02</c:v>
              </c:pt>
              <c:pt idx="1140">
                <c:v>27.96</c:v>
              </c:pt>
              <c:pt idx="1141">
                <c:v>27.99</c:v>
              </c:pt>
              <c:pt idx="1142">
                <c:v>28.01</c:v>
              </c:pt>
              <c:pt idx="1143">
                <c:v>28.02</c:v>
              </c:pt>
              <c:pt idx="1144">
                <c:v>27.96</c:v>
              </c:pt>
              <c:pt idx="1145">
                <c:v>27.97</c:v>
              </c:pt>
              <c:pt idx="1146">
                <c:v>27.95</c:v>
              </c:pt>
              <c:pt idx="1147">
                <c:v>27.95</c:v>
              </c:pt>
              <c:pt idx="1148">
                <c:v>27.96</c:v>
              </c:pt>
              <c:pt idx="1149">
                <c:v>27.96</c:v>
              </c:pt>
              <c:pt idx="1150">
                <c:v>27.92</c:v>
              </c:pt>
              <c:pt idx="1151">
                <c:v>27.92</c:v>
              </c:pt>
              <c:pt idx="1152">
                <c:v>27.91</c:v>
              </c:pt>
              <c:pt idx="1153">
                <c:v>27.94</c:v>
              </c:pt>
              <c:pt idx="1154">
                <c:v>27.95</c:v>
              </c:pt>
              <c:pt idx="1155">
                <c:v>27.92</c:v>
              </c:pt>
              <c:pt idx="1156">
                <c:v>27.86</c:v>
              </c:pt>
              <c:pt idx="1157">
                <c:v>27.88</c:v>
              </c:pt>
              <c:pt idx="1158">
                <c:v>27.88</c:v>
              </c:pt>
              <c:pt idx="1159">
                <c:v>27.86</c:v>
              </c:pt>
              <c:pt idx="1160">
                <c:v>27.88</c:v>
              </c:pt>
              <c:pt idx="1161">
                <c:v>27.89</c:v>
              </c:pt>
              <c:pt idx="1162">
                <c:v>27.9</c:v>
              </c:pt>
              <c:pt idx="1163">
                <c:v>27.88</c:v>
              </c:pt>
              <c:pt idx="1164">
                <c:v>27.86</c:v>
              </c:pt>
              <c:pt idx="1165">
                <c:v>27.87</c:v>
              </c:pt>
              <c:pt idx="1166">
                <c:v>27.88</c:v>
              </c:pt>
              <c:pt idx="1167">
                <c:v>27.86</c:v>
              </c:pt>
              <c:pt idx="1168">
                <c:v>27.88</c:v>
              </c:pt>
              <c:pt idx="1169">
                <c:v>27.89</c:v>
              </c:pt>
              <c:pt idx="1170">
                <c:v>27.87</c:v>
              </c:pt>
              <c:pt idx="1171">
                <c:v>27.86</c:v>
              </c:pt>
              <c:pt idx="1172">
                <c:v>27.87</c:v>
              </c:pt>
              <c:pt idx="1173">
                <c:v>27.88</c:v>
              </c:pt>
              <c:pt idx="1174">
                <c:v>27.83</c:v>
              </c:pt>
              <c:pt idx="1175">
                <c:v>27.84</c:v>
              </c:pt>
              <c:pt idx="1176">
                <c:v>27.82</c:v>
              </c:pt>
              <c:pt idx="1177">
                <c:v>27.85</c:v>
              </c:pt>
              <c:pt idx="1178">
                <c:v>27.86</c:v>
              </c:pt>
              <c:pt idx="1179">
                <c:v>27.84</c:v>
              </c:pt>
              <c:pt idx="1180">
                <c:v>27.84</c:v>
              </c:pt>
              <c:pt idx="1181">
                <c:v>27.84</c:v>
              </c:pt>
              <c:pt idx="1182">
                <c:v>27.83</c:v>
              </c:pt>
              <c:pt idx="1183">
                <c:v>27.81</c:v>
              </c:pt>
              <c:pt idx="1184">
                <c:v>27.79</c:v>
              </c:pt>
              <c:pt idx="1185">
                <c:v>27.8</c:v>
              </c:pt>
              <c:pt idx="1186">
                <c:v>27.79</c:v>
              </c:pt>
              <c:pt idx="1187">
                <c:v>27.79</c:v>
              </c:pt>
              <c:pt idx="1188">
                <c:v>27.8</c:v>
              </c:pt>
              <c:pt idx="1189">
                <c:v>27.79</c:v>
              </c:pt>
              <c:pt idx="1190">
                <c:v>27.77</c:v>
              </c:pt>
              <c:pt idx="1191">
                <c:v>27.77</c:v>
              </c:pt>
              <c:pt idx="1192">
                <c:v>27.79</c:v>
              </c:pt>
              <c:pt idx="1193">
                <c:v>27.76</c:v>
              </c:pt>
              <c:pt idx="1194">
                <c:v>27.76</c:v>
              </c:pt>
              <c:pt idx="1195">
                <c:v>27.75</c:v>
              </c:pt>
              <c:pt idx="1196">
                <c:v>27.76</c:v>
              </c:pt>
              <c:pt idx="1197">
                <c:v>27.7</c:v>
              </c:pt>
              <c:pt idx="1198">
                <c:v>27.71</c:v>
              </c:pt>
              <c:pt idx="1199">
                <c:v>27.71</c:v>
              </c:pt>
              <c:pt idx="1200">
                <c:v>27.73</c:v>
              </c:pt>
              <c:pt idx="1201">
                <c:v>27.73</c:v>
              </c:pt>
              <c:pt idx="1202">
                <c:v>27.74</c:v>
              </c:pt>
              <c:pt idx="1203">
                <c:v>27.72</c:v>
              </c:pt>
              <c:pt idx="1204">
                <c:v>27.73</c:v>
              </c:pt>
              <c:pt idx="1205">
                <c:v>27.7</c:v>
              </c:pt>
              <c:pt idx="1206">
                <c:v>27.73</c:v>
              </c:pt>
              <c:pt idx="1207">
                <c:v>27.74</c:v>
              </c:pt>
              <c:pt idx="1208">
                <c:v>27.68</c:v>
              </c:pt>
              <c:pt idx="1209">
                <c:v>27.73</c:v>
              </c:pt>
              <c:pt idx="1210">
                <c:v>27.74</c:v>
              </c:pt>
              <c:pt idx="1211">
                <c:v>27.72</c:v>
              </c:pt>
              <c:pt idx="1212">
                <c:v>27.72</c:v>
              </c:pt>
              <c:pt idx="1213">
                <c:v>27.73</c:v>
              </c:pt>
              <c:pt idx="1214">
                <c:v>27.74</c:v>
              </c:pt>
              <c:pt idx="1215">
                <c:v>27.7</c:v>
              </c:pt>
              <c:pt idx="1216">
                <c:v>27.7</c:v>
              </c:pt>
              <c:pt idx="1217">
                <c:v>27.72</c:v>
              </c:pt>
              <c:pt idx="1218">
                <c:v>27.72</c:v>
              </c:pt>
              <c:pt idx="1219">
                <c:v>27.71</c:v>
              </c:pt>
              <c:pt idx="1220">
                <c:v>27.65</c:v>
              </c:pt>
              <c:pt idx="1221">
                <c:v>27.71</c:v>
              </c:pt>
              <c:pt idx="1222">
                <c:v>27.7</c:v>
              </c:pt>
              <c:pt idx="1223">
                <c:v>27.7</c:v>
              </c:pt>
              <c:pt idx="1224">
                <c:v>27.67</c:v>
              </c:pt>
              <c:pt idx="1225">
                <c:v>27.68</c:v>
              </c:pt>
              <c:pt idx="1226">
                <c:v>27.69</c:v>
              </c:pt>
              <c:pt idx="1227">
                <c:v>27.66</c:v>
              </c:pt>
              <c:pt idx="1228">
                <c:v>27.63</c:v>
              </c:pt>
              <c:pt idx="1229">
                <c:v>27.64</c:v>
              </c:pt>
              <c:pt idx="1230">
                <c:v>27.66</c:v>
              </c:pt>
              <c:pt idx="1231">
                <c:v>27.6</c:v>
              </c:pt>
              <c:pt idx="1232">
                <c:v>27.63</c:v>
              </c:pt>
              <c:pt idx="1233">
                <c:v>27.64</c:v>
              </c:pt>
              <c:pt idx="1234">
                <c:v>27.62</c:v>
              </c:pt>
              <c:pt idx="1235">
                <c:v>27.62</c:v>
              </c:pt>
              <c:pt idx="1236">
                <c:v>27.61</c:v>
              </c:pt>
              <c:pt idx="1237">
                <c:v>27.6</c:v>
              </c:pt>
              <c:pt idx="1238">
                <c:v>27.6</c:v>
              </c:pt>
              <c:pt idx="1239">
                <c:v>27.62</c:v>
              </c:pt>
              <c:pt idx="1240">
                <c:v>27.62</c:v>
              </c:pt>
              <c:pt idx="1241">
                <c:v>27.58</c:v>
              </c:pt>
              <c:pt idx="1242">
                <c:v>27.6</c:v>
              </c:pt>
              <c:pt idx="1243">
                <c:v>27.59</c:v>
              </c:pt>
              <c:pt idx="1244">
                <c:v>27.59</c:v>
              </c:pt>
              <c:pt idx="1245">
                <c:v>27.57</c:v>
              </c:pt>
              <c:pt idx="1246">
                <c:v>27.58</c:v>
              </c:pt>
              <c:pt idx="1247">
                <c:v>27.62</c:v>
              </c:pt>
              <c:pt idx="1248">
                <c:v>27.58</c:v>
              </c:pt>
              <c:pt idx="1249">
                <c:v>27.57</c:v>
              </c:pt>
              <c:pt idx="1250">
                <c:v>27.61</c:v>
              </c:pt>
              <c:pt idx="1251">
                <c:v>27.62</c:v>
              </c:pt>
              <c:pt idx="1252">
                <c:v>27.59</c:v>
              </c:pt>
              <c:pt idx="1253">
                <c:v>27.57</c:v>
              </c:pt>
              <c:pt idx="1254">
                <c:v>27.6</c:v>
              </c:pt>
              <c:pt idx="1255">
                <c:v>27.61</c:v>
              </c:pt>
              <c:pt idx="1256">
                <c:v>27.58</c:v>
              </c:pt>
              <c:pt idx="1257">
                <c:v>27.58</c:v>
              </c:pt>
              <c:pt idx="1258">
                <c:v>27.6</c:v>
              </c:pt>
              <c:pt idx="1259">
                <c:v>27.61</c:v>
              </c:pt>
              <c:pt idx="1260">
                <c:v>27.56</c:v>
              </c:pt>
              <c:pt idx="1261">
                <c:v>27.58</c:v>
              </c:pt>
              <c:pt idx="1262">
                <c:v>27.6</c:v>
              </c:pt>
              <c:pt idx="1263">
                <c:v>27.62</c:v>
              </c:pt>
              <c:pt idx="1264">
                <c:v>27.58</c:v>
              </c:pt>
              <c:pt idx="1265">
                <c:v>27.58</c:v>
              </c:pt>
              <c:pt idx="1266">
                <c:v>27.63</c:v>
              </c:pt>
              <c:pt idx="1267">
                <c:v>27.62</c:v>
              </c:pt>
              <c:pt idx="1268">
                <c:v>27.63</c:v>
              </c:pt>
              <c:pt idx="1269">
                <c:v>27.66</c:v>
              </c:pt>
              <c:pt idx="1270">
                <c:v>27.69</c:v>
              </c:pt>
              <c:pt idx="1271">
                <c:v>27.7</c:v>
              </c:pt>
              <c:pt idx="1272">
                <c:v>27.7</c:v>
              </c:pt>
              <c:pt idx="1273">
                <c:v>27.68</c:v>
              </c:pt>
              <c:pt idx="1274">
                <c:v>27.72</c:v>
              </c:pt>
              <c:pt idx="1275">
                <c:v>27.73</c:v>
              </c:pt>
              <c:pt idx="1276">
                <c:v>27.69</c:v>
              </c:pt>
              <c:pt idx="1277">
                <c:v>27.69</c:v>
              </c:pt>
              <c:pt idx="1278">
                <c:v>27.68</c:v>
              </c:pt>
              <c:pt idx="1279">
                <c:v>27.71</c:v>
              </c:pt>
              <c:pt idx="1280">
                <c:v>27.7</c:v>
              </c:pt>
              <c:pt idx="1281">
                <c:v>27.66</c:v>
              </c:pt>
              <c:pt idx="1282">
                <c:v>27.67</c:v>
              </c:pt>
              <c:pt idx="1283">
                <c:v>27.68</c:v>
              </c:pt>
              <c:pt idx="1284">
                <c:v>27.68</c:v>
              </c:pt>
              <c:pt idx="1285">
                <c:v>27.68</c:v>
              </c:pt>
              <c:pt idx="1286">
                <c:v>27.69</c:v>
              </c:pt>
              <c:pt idx="1287">
                <c:v>27.68</c:v>
              </c:pt>
              <c:pt idx="1288">
                <c:v>27.64</c:v>
              </c:pt>
              <c:pt idx="1289">
                <c:v>27.63</c:v>
              </c:pt>
              <c:pt idx="1290">
                <c:v>27.64</c:v>
              </c:pt>
              <c:pt idx="1291">
                <c:v>27.62</c:v>
              </c:pt>
              <c:pt idx="1292">
                <c:v>27.61</c:v>
              </c:pt>
              <c:pt idx="1293">
                <c:v>27.62</c:v>
              </c:pt>
              <c:pt idx="1294">
                <c:v>27.65</c:v>
              </c:pt>
              <c:pt idx="1295">
                <c:v>27.61</c:v>
              </c:pt>
              <c:pt idx="1296">
                <c:v>27.61</c:v>
              </c:pt>
              <c:pt idx="1297">
                <c:v>27.62</c:v>
              </c:pt>
              <c:pt idx="1298">
                <c:v>27.64</c:v>
              </c:pt>
              <c:pt idx="1299">
                <c:v>27.66</c:v>
              </c:pt>
              <c:pt idx="1300">
                <c:v>27.68</c:v>
              </c:pt>
              <c:pt idx="1301">
                <c:v>27.67</c:v>
              </c:pt>
              <c:pt idx="1302">
                <c:v>27.65</c:v>
              </c:pt>
              <c:pt idx="1303">
                <c:v>27.61</c:v>
              </c:pt>
              <c:pt idx="1304">
                <c:v>27.63</c:v>
              </c:pt>
              <c:pt idx="1305">
                <c:v>27.66</c:v>
              </c:pt>
              <c:pt idx="1306">
                <c:v>27.68</c:v>
              </c:pt>
              <c:pt idx="1307">
                <c:v>27.62</c:v>
              </c:pt>
              <c:pt idx="1308">
                <c:v>27.65</c:v>
              </c:pt>
              <c:pt idx="1309">
                <c:v>27.69</c:v>
              </c:pt>
              <c:pt idx="1310">
                <c:v>27.68</c:v>
              </c:pt>
              <c:pt idx="1311">
                <c:v>27.67</c:v>
              </c:pt>
              <c:pt idx="1312">
                <c:v>27.63</c:v>
              </c:pt>
              <c:pt idx="1313">
                <c:v>27.6</c:v>
              </c:pt>
              <c:pt idx="1314">
                <c:v>27.6</c:v>
              </c:pt>
              <c:pt idx="1315">
                <c:v>27.6</c:v>
              </c:pt>
              <c:pt idx="1316">
                <c:v>27.63</c:v>
              </c:pt>
              <c:pt idx="1317">
                <c:v>27.6</c:v>
              </c:pt>
              <c:pt idx="1318">
                <c:v>27.61</c:v>
              </c:pt>
              <c:pt idx="1319">
                <c:v>27.55</c:v>
              </c:pt>
              <c:pt idx="1320">
                <c:v>27.58</c:v>
              </c:pt>
              <c:pt idx="1321">
                <c:v>27.58</c:v>
              </c:pt>
              <c:pt idx="1322">
                <c:v>27.56</c:v>
              </c:pt>
              <c:pt idx="1323">
                <c:v>27.55</c:v>
              </c:pt>
              <c:pt idx="1324">
                <c:v>27.56</c:v>
              </c:pt>
              <c:pt idx="1325">
                <c:v>27.52</c:v>
              </c:pt>
              <c:pt idx="1326">
                <c:v>27.5</c:v>
              </c:pt>
              <c:pt idx="1327">
                <c:v>27.51</c:v>
              </c:pt>
              <c:pt idx="1328">
                <c:v>27.52</c:v>
              </c:pt>
              <c:pt idx="1329">
                <c:v>27.47</c:v>
              </c:pt>
              <c:pt idx="1330">
                <c:v>27.5</c:v>
              </c:pt>
              <c:pt idx="1331">
                <c:v>27.51</c:v>
              </c:pt>
              <c:pt idx="1332">
                <c:v>27.51</c:v>
              </c:pt>
              <c:pt idx="1333">
                <c:v>27.51</c:v>
              </c:pt>
              <c:pt idx="1334">
                <c:v>27.45</c:v>
              </c:pt>
              <c:pt idx="1335">
                <c:v>27.46</c:v>
              </c:pt>
              <c:pt idx="1336">
                <c:v>27.48</c:v>
              </c:pt>
              <c:pt idx="1337">
                <c:v>27.47</c:v>
              </c:pt>
              <c:pt idx="1338">
                <c:v>27.46</c:v>
              </c:pt>
              <c:pt idx="1339">
                <c:v>27.5</c:v>
              </c:pt>
              <c:pt idx="1340">
                <c:v>27.5</c:v>
              </c:pt>
              <c:pt idx="1341">
                <c:v>27.49</c:v>
              </c:pt>
              <c:pt idx="1342">
                <c:v>27.47</c:v>
              </c:pt>
              <c:pt idx="1343">
                <c:v>27.48</c:v>
              </c:pt>
              <c:pt idx="1344">
                <c:v>27.49</c:v>
              </c:pt>
              <c:pt idx="1345">
                <c:v>27.45</c:v>
              </c:pt>
              <c:pt idx="1346">
                <c:v>27.45</c:v>
              </c:pt>
              <c:pt idx="1347">
                <c:v>27.46</c:v>
              </c:pt>
              <c:pt idx="1348">
                <c:v>27.47</c:v>
              </c:pt>
              <c:pt idx="1349">
                <c:v>27.43</c:v>
              </c:pt>
              <c:pt idx="1350">
                <c:v>27.44</c:v>
              </c:pt>
              <c:pt idx="1351">
                <c:v>27.45</c:v>
              </c:pt>
              <c:pt idx="1352">
                <c:v>27.46</c:v>
              </c:pt>
              <c:pt idx="1353">
                <c:v>27.43</c:v>
              </c:pt>
              <c:pt idx="1354">
                <c:v>27.42</c:v>
              </c:pt>
              <c:pt idx="1355">
                <c:v>27.44</c:v>
              </c:pt>
              <c:pt idx="1356">
                <c:v>27.45</c:v>
              </c:pt>
              <c:pt idx="1357">
                <c:v>27.46</c:v>
              </c:pt>
              <c:pt idx="1358">
                <c:v>27.42</c:v>
              </c:pt>
              <c:pt idx="1359">
                <c:v>27.42</c:v>
              </c:pt>
              <c:pt idx="1360">
                <c:v>27.42</c:v>
              </c:pt>
              <c:pt idx="1361">
                <c:v>27.45</c:v>
              </c:pt>
              <c:pt idx="1362">
                <c:v>27.43</c:v>
              </c:pt>
              <c:pt idx="1363">
                <c:v>27.42</c:v>
              </c:pt>
              <c:pt idx="1364">
                <c:v>27.44</c:v>
              </c:pt>
              <c:pt idx="1365">
                <c:v>27.46</c:v>
              </c:pt>
              <c:pt idx="1366">
                <c:v>27.44</c:v>
              </c:pt>
              <c:pt idx="1367">
                <c:v>27.43</c:v>
              </c:pt>
              <c:pt idx="1368">
                <c:v>27.44</c:v>
              </c:pt>
              <c:pt idx="1369">
                <c:v>27.45</c:v>
              </c:pt>
              <c:pt idx="1370">
                <c:v>27.47</c:v>
              </c:pt>
              <c:pt idx="1371">
                <c:v>27.42</c:v>
              </c:pt>
              <c:pt idx="1372">
                <c:v>27.44</c:v>
              </c:pt>
              <c:pt idx="1373">
                <c:v>27.45</c:v>
              </c:pt>
              <c:pt idx="1374">
                <c:v>27.45</c:v>
              </c:pt>
              <c:pt idx="1375">
                <c:v>27.42</c:v>
              </c:pt>
              <c:pt idx="1376">
                <c:v>27.41</c:v>
              </c:pt>
              <c:pt idx="1377">
                <c:v>27.41</c:v>
              </c:pt>
              <c:pt idx="1378">
                <c:v>27.4</c:v>
              </c:pt>
              <c:pt idx="1379">
                <c:v>27.4</c:v>
              </c:pt>
              <c:pt idx="1380">
                <c:v>27.37</c:v>
              </c:pt>
              <c:pt idx="1381">
                <c:v>27.36</c:v>
              </c:pt>
              <c:pt idx="1382">
                <c:v>27.35</c:v>
              </c:pt>
              <c:pt idx="1383">
                <c:v>27.37</c:v>
              </c:pt>
              <c:pt idx="1384">
                <c:v>27.34</c:v>
              </c:pt>
              <c:pt idx="1385">
                <c:v>27.31</c:v>
              </c:pt>
              <c:pt idx="1386">
                <c:v>27.31</c:v>
              </c:pt>
              <c:pt idx="1387">
                <c:v>27.32</c:v>
              </c:pt>
              <c:pt idx="1388">
                <c:v>27.33</c:v>
              </c:pt>
              <c:pt idx="1389">
                <c:v>27.28</c:v>
              </c:pt>
              <c:pt idx="1390">
                <c:v>27.28</c:v>
              </c:pt>
              <c:pt idx="1391">
                <c:v>27.28</c:v>
              </c:pt>
              <c:pt idx="1392">
                <c:v>27.31</c:v>
              </c:pt>
              <c:pt idx="1393">
                <c:v>27.27</c:v>
              </c:pt>
              <c:pt idx="1394">
                <c:v>27.26</c:v>
              </c:pt>
              <c:pt idx="1395">
                <c:v>27.26</c:v>
              </c:pt>
              <c:pt idx="1396">
                <c:v>27.26</c:v>
              </c:pt>
              <c:pt idx="1397">
                <c:v>27.24</c:v>
              </c:pt>
              <c:pt idx="1398">
                <c:v>27.2</c:v>
              </c:pt>
              <c:pt idx="1399">
                <c:v>27.21</c:v>
              </c:pt>
              <c:pt idx="1400">
                <c:v>27.2</c:v>
              </c:pt>
              <c:pt idx="1401">
                <c:v>27.22</c:v>
              </c:pt>
              <c:pt idx="1402">
                <c:v>27.19</c:v>
              </c:pt>
              <c:pt idx="1403">
                <c:v>27.17</c:v>
              </c:pt>
              <c:pt idx="1404">
                <c:v>27.19</c:v>
              </c:pt>
              <c:pt idx="1405">
                <c:v>27.2</c:v>
              </c:pt>
              <c:pt idx="1406">
                <c:v>27.19</c:v>
              </c:pt>
              <c:pt idx="1407">
                <c:v>27.16</c:v>
              </c:pt>
              <c:pt idx="1408">
                <c:v>27.19</c:v>
              </c:pt>
              <c:pt idx="1409">
                <c:v>27.19</c:v>
              </c:pt>
              <c:pt idx="1410">
                <c:v>27.21</c:v>
              </c:pt>
              <c:pt idx="1411">
                <c:v>27.18</c:v>
              </c:pt>
              <c:pt idx="1412">
                <c:v>27.18</c:v>
              </c:pt>
              <c:pt idx="1413">
                <c:v>27.19</c:v>
              </c:pt>
              <c:pt idx="1414">
                <c:v>27.21</c:v>
              </c:pt>
              <c:pt idx="1415">
                <c:v>27.18</c:v>
              </c:pt>
              <c:pt idx="1416">
                <c:v>27.16</c:v>
              </c:pt>
              <c:pt idx="1417">
                <c:v>27.17</c:v>
              </c:pt>
              <c:pt idx="1418">
                <c:v>27.16</c:v>
              </c:pt>
              <c:pt idx="1419">
                <c:v>27.19</c:v>
              </c:pt>
              <c:pt idx="1420">
                <c:v>27.15</c:v>
              </c:pt>
              <c:pt idx="1421">
                <c:v>27.15</c:v>
              </c:pt>
              <c:pt idx="1422">
                <c:v>27.16</c:v>
              </c:pt>
              <c:pt idx="1423">
                <c:v>27.17</c:v>
              </c:pt>
              <c:pt idx="1424">
                <c:v>27.17</c:v>
              </c:pt>
              <c:pt idx="1425">
                <c:v>27.15</c:v>
              </c:pt>
              <c:pt idx="1426">
                <c:v>27.17</c:v>
              </c:pt>
              <c:pt idx="1427">
                <c:v>27.17</c:v>
              </c:pt>
              <c:pt idx="1428">
                <c:v>27.21</c:v>
              </c:pt>
              <c:pt idx="1429">
                <c:v>27.19</c:v>
              </c:pt>
              <c:pt idx="1430">
                <c:v>27.2</c:v>
              </c:pt>
              <c:pt idx="1431">
                <c:v>27.21</c:v>
              </c:pt>
              <c:pt idx="1432">
                <c:v>27.23</c:v>
              </c:pt>
              <c:pt idx="1433">
                <c:v>27.22</c:v>
              </c:pt>
              <c:pt idx="1434">
                <c:v>27.18</c:v>
              </c:pt>
              <c:pt idx="1435">
                <c:v>27.19</c:v>
              </c:pt>
              <c:pt idx="1436">
                <c:v>27.22</c:v>
              </c:pt>
              <c:pt idx="1437">
                <c:v>27.21</c:v>
              </c:pt>
              <c:pt idx="1438">
                <c:v>27.19</c:v>
              </c:pt>
              <c:pt idx="1439">
                <c:v>27.16</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25.480086092715258</c:v>
              </c:pt>
            </c:numLit>
          </c:val>
          <c:smooth val="0"/>
          <c:extLst>
            <c:ext xmlns:c16="http://schemas.microsoft.com/office/drawing/2014/chart" uri="{C3380CC4-5D6E-409C-BE32-E72D297353CC}">
              <c16:uniqueId val="{00000003-1A6C-4F36-8BD6-8906B90145C2}"/>
            </c:ext>
          </c:extLst>
        </c:ser>
        <c:ser>
          <c:idx val="4"/>
          <c:order val="4"/>
          <c:tx>
            <c:v>26.86054305 25.33106623 IS15 WMS Ambient Temperature(Â°C)</c:v>
          </c:tx>
          <c:spPr>
            <a:ln w="28575" cap="rnd">
              <a:solidFill>
                <a:schemeClr val="accent5"/>
              </a:solidFill>
              <a:round/>
            </a:ln>
            <a:effectLst/>
          </c:spPr>
          <c:marker>
            <c:symbol val="none"/>
          </c:marker>
          <c:val>
            <c:numLit>
              <c:formatCode>General</c:formatCode>
              <c:ptCount val="1512"/>
              <c:pt idx="0">
                <c:v>25.76</c:v>
              </c:pt>
              <c:pt idx="1">
                <c:v>25.75</c:v>
              </c:pt>
              <c:pt idx="2">
                <c:v>25.74</c:v>
              </c:pt>
              <c:pt idx="3">
                <c:v>25.73</c:v>
              </c:pt>
              <c:pt idx="4">
                <c:v>25.75</c:v>
              </c:pt>
              <c:pt idx="5">
                <c:v>25.73</c:v>
              </c:pt>
              <c:pt idx="6">
                <c:v>25.76</c:v>
              </c:pt>
              <c:pt idx="7">
                <c:v>25.74</c:v>
              </c:pt>
              <c:pt idx="8">
                <c:v>25.75</c:v>
              </c:pt>
              <c:pt idx="9">
                <c:v>25.74</c:v>
              </c:pt>
              <c:pt idx="10">
                <c:v>25.75</c:v>
              </c:pt>
              <c:pt idx="11">
                <c:v>25.75</c:v>
              </c:pt>
              <c:pt idx="12">
                <c:v>25.75</c:v>
              </c:pt>
              <c:pt idx="13">
                <c:v>25.74</c:v>
              </c:pt>
              <c:pt idx="14">
                <c:v>25.76</c:v>
              </c:pt>
              <c:pt idx="15">
                <c:v>25.75</c:v>
              </c:pt>
              <c:pt idx="16">
                <c:v>25.73</c:v>
              </c:pt>
              <c:pt idx="17">
                <c:v>25.74</c:v>
              </c:pt>
              <c:pt idx="18">
                <c:v>25.74</c:v>
              </c:pt>
              <c:pt idx="19">
                <c:v>25.75</c:v>
              </c:pt>
              <c:pt idx="20">
                <c:v>25.77</c:v>
              </c:pt>
              <c:pt idx="21">
                <c:v>25.8</c:v>
              </c:pt>
              <c:pt idx="22">
                <c:v>25.78</c:v>
              </c:pt>
              <c:pt idx="23">
                <c:v>25.79</c:v>
              </c:pt>
              <c:pt idx="24">
                <c:v>25.77</c:v>
              </c:pt>
              <c:pt idx="25">
                <c:v>25.78</c:v>
              </c:pt>
              <c:pt idx="26">
                <c:v>25.79</c:v>
              </c:pt>
              <c:pt idx="27">
                <c:v>25.8</c:v>
              </c:pt>
              <c:pt idx="28">
                <c:v>25.84</c:v>
              </c:pt>
              <c:pt idx="29">
                <c:v>25.88</c:v>
              </c:pt>
              <c:pt idx="30">
                <c:v>25.89</c:v>
              </c:pt>
              <c:pt idx="31">
                <c:v>25.9</c:v>
              </c:pt>
              <c:pt idx="32">
                <c:v>25.86</c:v>
              </c:pt>
              <c:pt idx="33">
                <c:v>25.89</c:v>
              </c:pt>
              <c:pt idx="34">
                <c:v>25.89</c:v>
              </c:pt>
              <c:pt idx="35">
                <c:v>25.89</c:v>
              </c:pt>
              <c:pt idx="36">
                <c:v>25.86</c:v>
              </c:pt>
              <c:pt idx="37">
                <c:v>25.88</c:v>
              </c:pt>
              <c:pt idx="38">
                <c:v>25.88</c:v>
              </c:pt>
              <c:pt idx="39">
                <c:v>25.89</c:v>
              </c:pt>
              <c:pt idx="40">
                <c:v>25.89</c:v>
              </c:pt>
              <c:pt idx="41">
                <c:v>25.92</c:v>
              </c:pt>
              <c:pt idx="42">
                <c:v>25.88</c:v>
              </c:pt>
              <c:pt idx="43">
                <c:v>25.87</c:v>
              </c:pt>
              <c:pt idx="44">
                <c:v>25.88</c:v>
              </c:pt>
              <c:pt idx="45">
                <c:v>25.89</c:v>
              </c:pt>
              <c:pt idx="46">
                <c:v>25.83</c:v>
              </c:pt>
              <c:pt idx="47">
                <c:v>25.87</c:v>
              </c:pt>
              <c:pt idx="48">
                <c:v>25.9</c:v>
              </c:pt>
              <c:pt idx="49">
                <c:v>25.9</c:v>
              </c:pt>
              <c:pt idx="50">
                <c:v>25.88</c:v>
              </c:pt>
              <c:pt idx="51">
                <c:v>25.89</c:v>
              </c:pt>
              <c:pt idx="52">
                <c:v>25.88</c:v>
              </c:pt>
              <c:pt idx="53">
                <c:v>25.89</c:v>
              </c:pt>
              <c:pt idx="54">
                <c:v>25.9</c:v>
              </c:pt>
              <c:pt idx="55">
                <c:v>25.85</c:v>
              </c:pt>
              <c:pt idx="56">
                <c:v>25.86</c:v>
              </c:pt>
              <c:pt idx="57">
                <c:v>25.85</c:v>
              </c:pt>
              <c:pt idx="58">
                <c:v>25.87</c:v>
              </c:pt>
              <c:pt idx="59">
                <c:v>25.84</c:v>
              </c:pt>
              <c:pt idx="60">
                <c:v>25.85</c:v>
              </c:pt>
              <c:pt idx="61">
                <c:v>25.85</c:v>
              </c:pt>
              <c:pt idx="62">
                <c:v>25.86</c:v>
              </c:pt>
              <c:pt idx="63">
                <c:v>25.86</c:v>
              </c:pt>
              <c:pt idx="64">
                <c:v>25.86</c:v>
              </c:pt>
              <c:pt idx="65">
                <c:v>25.86</c:v>
              </c:pt>
              <c:pt idx="66">
                <c:v>25.86</c:v>
              </c:pt>
              <c:pt idx="67">
                <c:v>25.84</c:v>
              </c:pt>
              <c:pt idx="68">
                <c:v>25.84</c:v>
              </c:pt>
              <c:pt idx="69">
                <c:v>25.84</c:v>
              </c:pt>
              <c:pt idx="70">
                <c:v>25.85</c:v>
              </c:pt>
              <c:pt idx="71">
                <c:v>25.86</c:v>
              </c:pt>
              <c:pt idx="72">
                <c:v>25.85</c:v>
              </c:pt>
              <c:pt idx="73">
                <c:v>25.85</c:v>
              </c:pt>
              <c:pt idx="74">
                <c:v>25.81</c:v>
              </c:pt>
              <c:pt idx="75">
                <c:v>25.8</c:v>
              </c:pt>
              <c:pt idx="76">
                <c:v>25.76</c:v>
              </c:pt>
              <c:pt idx="77">
                <c:v>25.76</c:v>
              </c:pt>
              <c:pt idx="78">
                <c:v>25.74</c:v>
              </c:pt>
              <c:pt idx="79">
                <c:v>25.73</c:v>
              </c:pt>
              <c:pt idx="80">
                <c:v>25.74</c:v>
              </c:pt>
              <c:pt idx="81">
                <c:v>25.75</c:v>
              </c:pt>
              <c:pt idx="82">
                <c:v>25.73</c:v>
              </c:pt>
              <c:pt idx="83">
                <c:v>25.76</c:v>
              </c:pt>
              <c:pt idx="84">
                <c:v>25.77</c:v>
              </c:pt>
              <c:pt idx="85">
                <c:v>25.78</c:v>
              </c:pt>
              <c:pt idx="86">
                <c:v>25.78</c:v>
              </c:pt>
              <c:pt idx="87">
                <c:v>25.76</c:v>
              </c:pt>
              <c:pt idx="88">
                <c:v>25.78</c:v>
              </c:pt>
              <c:pt idx="89">
                <c:v>25.75</c:v>
              </c:pt>
              <c:pt idx="90">
                <c:v>25.74</c:v>
              </c:pt>
              <c:pt idx="91">
                <c:v>25.73</c:v>
              </c:pt>
              <c:pt idx="92">
                <c:v>25.74</c:v>
              </c:pt>
              <c:pt idx="93">
                <c:v>25.72</c:v>
              </c:pt>
              <c:pt idx="94">
                <c:v>25.72</c:v>
              </c:pt>
              <c:pt idx="95">
                <c:v>25.72</c:v>
              </c:pt>
              <c:pt idx="96">
                <c:v>25.71</c:v>
              </c:pt>
              <c:pt idx="97">
                <c:v>25.71</c:v>
              </c:pt>
              <c:pt idx="98">
                <c:v>25.75</c:v>
              </c:pt>
              <c:pt idx="99">
                <c:v>25.72</c:v>
              </c:pt>
              <c:pt idx="100">
                <c:v>25.73</c:v>
              </c:pt>
              <c:pt idx="101">
                <c:v>25.7</c:v>
              </c:pt>
              <c:pt idx="102">
                <c:v>25.74</c:v>
              </c:pt>
              <c:pt idx="103">
                <c:v>25.72</c:v>
              </c:pt>
              <c:pt idx="104">
                <c:v>25.73</c:v>
              </c:pt>
              <c:pt idx="105">
                <c:v>25.72</c:v>
              </c:pt>
              <c:pt idx="106">
                <c:v>25.72</c:v>
              </c:pt>
              <c:pt idx="107">
                <c:v>25.71</c:v>
              </c:pt>
              <c:pt idx="108">
                <c:v>25.71</c:v>
              </c:pt>
              <c:pt idx="109">
                <c:v>25.69</c:v>
              </c:pt>
              <c:pt idx="110">
                <c:v>25.71</c:v>
              </c:pt>
              <c:pt idx="111">
                <c:v>25.67</c:v>
              </c:pt>
              <c:pt idx="112">
                <c:v>25.71</c:v>
              </c:pt>
              <c:pt idx="113">
                <c:v>25.7</c:v>
              </c:pt>
              <c:pt idx="114">
                <c:v>25.69</c:v>
              </c:pt>
              <c:pt idx="115">
                <c:v>25.66</c:v>
              </c:pt>
              <c:pt idx="116">
                <c:v>25.66</c:v>
              </c:pt>
              <c:pt idx="117">
                <c:v>25.65</c:v>
              </c:pt>
              <c:pt idx="118">
                <c:v>25.64</c:v>
              </c:pt>
              <c:pt idx="119">
                <c:v>25.64</c:v>
              </c:pt>
              <c:pt idx="120">
                <c:v>25.63</c:v>
              </c:pt>
              <c:pt idx="121">
                <c:v>25.62</c:v>
              </c:pt>
              <c:pt idx="122">
                <c:v>25.61</c:v>
              </c:pt>
              <c:pt idx="123">
                <c:v>25.62</c:v>
              </c:pt>
              <c:pt idx="124">
                <c:v>25.61</c:v>
              </c:pt>
              <c:pt idx="125">
                <c:v>25.6</c:v>
              </c:pt>
              <c:pt idx="126">
                <c:v>25.6</c:v>
              </c:pt>
              <c:pt idx="127">
                <c:v>25.61</c:v>
              </c:pt>
              <c:pt idx="128">
                <c:v>25.61</c:v>
              </c:pt>
              <c:pt idx="129">
                <c:v>25.61</c:v>
              </c:pt>
              <c:pt idx="130">
                <c:v>25.58</c:v>
              </c:pt>
              <c:pt idx="131">
                <c:v>25.58</c:v>
              </c:pt>
              <c:pt idx="132">
                <c:v>25.58</c:v>
              </c:pt>
              <c:pt idx="133">
                <c:v>25.58</c:v>
              </c:pt>
              <c:pt idx="134">
                <c:v>25.57</c:v>
              </c:pt>
              <c:pt idx="135">
                <c:v>25.57</c:v>
              </c:pt>
              <c:pt idx="136">
                <c:v>25.57</c:v>
              </c:pt>
              <c:pt idx="137">
                <c:v>25.58</c:v>
              </c:pt>
              <c:pt idx="138">
                <c:v>25.55</c:v>
              </c:pt>
              <c:pt idx="139">
                <c:v>25.57</c:v>
              </c:pt>
              <c:pt idx="140">
                <c:v>25.55</c:v>
              </c:pt>
              <c:pt idx="141">
                <c:v>25.56</c:v>
              </c:pt>
              <c:pt idx="142">
                <c:v>25.56</c:v>
              </c:pt>
              <c:pt idx="143">
                <c:v>25.59</c:v>
              </c:pt>
              <c:pt idx="144">
                <c:v>25.58</c:v>
              </c:pt>
              <c:pt idx="145">
                <c:v>25.58</c:v>
              </c:pt>
              <c:pt idx="146">
                <c:v>25.59</c:v>
              </c:pt>
              <c:pt idx="147">
                <c:v>25.56</c:v>
              </c:pt>
              <c:pt idx="148">
                <c:v>25.55</c:v>
              </c:pt>
              <c:pt idx="149">
                <c:v>25.57</c:v>
              </c:pt>
              <c:pt idx="150">
                <c:v>25.56</c:v>
              </c:pt>
              <c:pt idx="151">
                <c:v>25.55</c:v>
              </c:pt>
              <c:pt idx="152">
                <c:v>25.56</c:v>
              </c:pt>
              <c:pt idx="153">
                <c:v>25.54</c:v>
              </c:pt>
              <c:pt idx="154">
                <c:v>25.54</c:v>
              </c:pt>
              <c:pt idx="155">
                <c:v>25.54</c:v>
              </c:pt>
              <c:pt idx="156">
                <c:v>25.56</c:v>
              </c:pt>
              <c:pt idx="157">
                <c:v>25.54</c:v>
              </c:pt>
              <c:pt idx="158">
                <c:v>25.53</c:v>
              </c:pt>
              <c:pt idx="159">
                <c:v>25.53</c:v>
              </c:pt>
              <c:pt idx="160">
                <c:v>25.53</c:v>
              </c:pt>
              <c:pt idx="161">
                <c:v>25.52</c:v>
              </c:pt>
              <c:pt idx="162">
                <c:v>25.49</c:v>
              </c:pt>
              <c:pt idx="163">
                <c:v>25.47</c:v>
              </c:pt>
              <c:pt idx="164">
                <c:v>25.48</c:v>
              </c:pt>
              <c:pt idx="165">
                <c:v>25.48</c:v>
              </c:pt>
              <c:pt idx="166">
                <c:v>25.49</c:v>
              </c:pt>
              <c:pt idx="167">
                <c:v>25.5</c:v>
              </c:pt>
              <c:pt idx="168">
                <c:v>25.5</c:v>
              </c:pt>
              <c:pt idx="169">
                <c:v>25.5</c:v>
              </c:pt>
              <c:pt idx="170">
                <c:v>25.5</c:v>
              </c:pt>
              <c:pt idx="171">
                <c:v>25.48</c:v>
              </c:pt>
              <c:pt idx="172">
                <c:v>25.45</c:v>
              </c:pt>
              <c:pt idx="173">
                <c:v>25.45</c:v>
              </c:pt>
              <c:pt idx="174">
                <c:v>25.42</c:v>
              </c:pt>
              <c:pt idx="175">
                <c:v>25.43</c:v>
              </c:pt>
              <c:pt idx="176">
                <c:v>25.44</c:v>
              </c:pt>
              <c:pt idx="177">
                <c:v>25.39</c:v>
              </c:pt>
              <c:pt idx="178">
                <c:v>25.39</c:v>
              </c:pt>
              <c:pt idx="179">
                <c:v>25.39</c:v>
              </c:pt>
              <c:pt idx="180">
                <c:v>25.41</c:v>
              </c:pt>
              <c:pt idx="181">
                <c:v>25.41</c:v>
              </c:pt>
              <c:pt idx="182">
                <c:v>25.41</c:v>
              </c:pt>
              <c:pt idx="183">
                <c:v>25.39</c:v>
              </c:pt>
              <c:pt idx="184">
                <c:v>25.42</c:v>
              </c:pt>
              <c:pt idx="185">
                <c:v>25.42</c:v>
              </c:pt>
              <c:pt idx="186">
                <c:v>25.41</c:v>
              </c:pt>
              <c:pt idx="187">
                <c:v>25.42</c:v>
              </c:pt>
              <c:pt idx="188">
                <c:v>25.43</c:v>
              </c:pt>
              <c:pt idx="189">
                <c:v>25.44</c:v>
              </c:pt>
              <c:pt idx="190">
                <c:v>25.44</c:v>
              </c:pt>
              <c:pt idx="191">
                <c:v>25.43</c:v>
              </c:pt>
              <c:pt idx="192">
                <c:v>25.43</c:v>
              </c:pt>
              <c:pt idx="193">
                <c:v>25.42</c:v>
              </c:pt>
              <c:pt idx="194">
                <c:v>25.38</c:v>
              </c:pt>
              <c:pt idx="195">
                <c:v>25.37</c:v>
              </c:pt>
              <c:pt idx="196">
                <c:v>25.4</c:v>
              </c:pt>
              <c:pt idx="197">
                <c:v>25.42</c:v>
              </c:pt>
              <c:pt idx="198">
                <c:v>25.45</c:v>
              </c:pt>
              <c:pt idx="199">
                <c:v>25.43</c:v>
              </c:pt>
              <c:pt idx="200">
                <c:v>25.5</c:v>
              </c:pt>
              <c:pt idx="201">
                <c:v>25.5</c:v>
              </c:pt>
              <c:pt idx="202">
                <c:v>25.51</c:v>
              </c:pt>
              <c:pt idx="203">
                <c:v>25.49</c:v>
              </c:pt>
              <c:pt idx="204">
                <c:v>25.49</c:v>
              </c:pt>
              <c:pt idx="205">
                <c:v>25.5</c:v>
              </c:pt>
              <c:pt idx="206">
                <c:v>25.52</c:v>
              </c:pt>
              <c:pt idx="207">
                <c:v>25.46</c:v>
              </c:pt>
              <c:pt idx="208">
                <c:v>25.44</c:v>
              </c:pt>
              <c:pt idx="209">
                <c:v>25.45</c:v>
              </c:pt>
              <c:pt idx="210">
                <c:v>25.43</c:v>
              </c:pt>
              <c:pt idx="211">
                <c:v>25.38</c:v>
              </c:pt>
              <c:pt idx="212">
                <c:v>25.41</c:v>
              </c:pt>
              <c:pt idx="213">
                <c:v>25.39</c:v>
              </c:pt>
              <c:pt idx="214">
                <c:v>25.4</c:v>
              </c:pt>
              <c:pt idx="215">
                <c:v>25.4</c:v>
              </c:pt>
              <c:pt idx="216">
                <c:v>25.43</c:v>
              </c:pt>
              <c:pt idx="217">
                <c:v>25.41</c:v>
              </c:pt>
              <c:pt idx="218">
                <c:v>25.4</c:v>
              </c:pt>
              <c:pt idx="219">
                <c:v>25.37</c:v>
              </c:pt>
              <c:pt idx="220">
                <c:v>25.41</c:v>
              </c:pt>
              <c:pt idx="221">
                <c:v>25.4</c:v>
              </c:pt>
              <c:pt idx="222">
                <c:v>25.4</c:v>
              </c:pt>
              <c:pt idx="223">
                <c:v>25.38</c:v>
              </c:pt>
              <c:pt idx="224">
                <c:v>25.39</c:v>
              </c:pt>
              <c:pt idx="225">
                <c:v>25.37</c:v>
              </c:pt>
              <c:pt idx="226">
                <c:v>25.34</c:v>
              </c:pt>
              <c:pt idx="227">
                <c:v>25.35</c:v>
              </c:pt>
              <c:pt idx="228">
                <c:v>25.34</c:v>
              </c:pt>
              <c:pt idx="229">
                <c:v>25.35</c:v>
              </c:pt>
              <c:pt idx="230">
                <c:v>25.35</c:v>
              </c:pt>
              <c:pt idx="231">
                <c:v>25.35</c:v>
              </c:pt>
              <c:pt idx="232">
                <c:v>25.3</c:v>
              </c:pt>
              <c:pt idx="233">
                <c:v>25.3</c:v>
              </c:pt>
              <c:pt idx="234">
                <c:v>25.32</c:v>
              </c:pt>
              <c:pt idx="235">
                <c:v>25.35</c:v>
              </c:pt>
              <c:pt idx="236">
                <c:v>25.35</c:v>
              </c:pt>
              <c:pt idx="237">
                <c:v>25.34</c:v>
              </c:pt>
              <c:pt idx="238">
                <c:v>25.38</c:v>
              </c:pt>
              <c:pt idx="239">
                <c:v>25.36</c:v>
              </c:pt>
              <c:pt idx="240">
                <c:v>25.34</c:v>
              </c:pt>
              <c:pt idx="241">
                <c:v>25.33</c:v>
              </c:pt>
              <c:pt idx="242">
                <c:v>25.35</c:v>
              </c:pt>
              <c:pt idx="243">
                <c:v>25.33</c:v>
              </c:pt>
              <c:pt idx="244">
                <c:v>25.33</c:v>
              </c:pt>
              <c:pt idx="245">
                <c:v>25.33</c:v>
              </c:pt>
              <c:pt idx="246">
                <c:v>25.36</c:v>
              </c:pt>
              <c:pt idx="247">
                <c:v>25.33</c:v>
              </c:pt>
              <c:pt idx="248">
                <c:v>25.33</c:v>
              </c:pt>
              <c:pt idx="249">
                <c:v>25.33</c:v>
              </c:pt>
              <c:pt idx="250">
                <c:v>25.33</c:v>
              </c:pt>
              <c:pt idx="251">
                <c:v>25.3</c:v>
              </c:pt>
              <c:pt idx="252">
                <c:v>25.31</c:v>
              </c:pt>
              <c:pt idx="253">
                <c:v>25.29</c:v>
              </c:pt>
              <c:pt idx="254">
                <c:v>25.29</c:v>
              </c:pt>
              <c:pt idx="255">
                <c:v>25.28</c:v>
              </c:pt>
              <c:pt idx="256">
                <c:v>25.3</c:v>
              </c:pt>
              <c:pt idx="257">
                <c:v>25.3</c:v>
              </c:pt>
              <c:pt idx="258">
                <c:v>25.31</c:v>
              </c:pt>
              <c:pt idx="259">
                <c:v>25.32</c:v>
              </c:pt>
              <c:pt idx="260">
                <c:v>25.34</c:v>
              </c:pt>
              <c:pt idx="261">
                <c:v>25.31</c:v>
              </c:pt>
              <c:pt idx="262">
                <c:v>25.29</c:v>
              </c:pt>
              <c:pt idx="263">
                <c:v>25.27</c:v>
              </c:pt>
              <c:pt idx="264">
                <c:v>25.26</c:v>
              </c:pt>
              <c:pt idx="265">
                <c:v>25.23</c:v>
              </c:pt>
              <c:pt idx="266">
                <c:v>25.23</c:v>
              </c:pt>
              <c:pt idx="267">
                <c:v>25.25</c:v>
              </c:pt>
              <c:pt idx="268">
                <c:v>25.23</c:v>
              </c:pt>
              <c:pt idx="269">
                <c:v>25.23</c:v>
              </c:pt>
              <c:pt idx="270">
                <c:v>25.22</c:v>
              </c:pt>
              <c:pt idx="271">
                <c:v>25.22</c:v>
              </c:pt>
              <c:pt idx="272">
                <c:v>25.22</c:v>
              </c:pt>
              <c:pt idx="273">
                <c:v>25.2</c:v>
              </c:pt>
              <c:pt idx="274">
                <c:v>25.21</c:v>
              </c:pt>
              <c:pt idx="275">
                <c:v>25.21</c:v>
              </c:pt>
              <c:pt idx="276">
                <c:v>25.22</c:v>
              </c:pt>
              <c:pt idx="277">
                <c:v>25.22</c:v>
              </c:pt>
              <c:pt idx="278">
                <c:v>25.22</c:v>
              </c:pt>
              <c:pt idx="279">
                <c:v>25.24</c:v>
              </c:pt>
              <c:pt idx="280">
                <c:v>25.23</c:v>
              </c:pt>
              <c:pt idx="281">
                <c:v>25.24</c:v>
              </c:pt>
              <c:pt idx="282">
                <c:v>25.21</c:v>
              </c:pt>
              <c:pt idx="283">
                <c:v>25.23</c:v>
              </c:pt>
              <c:pt idx="284">
                <c:v>25.24</c:v>
              </c:pt>
              <c:pt idx="285">
                <c:v>25.22</c:v>
              </c:pt>
              <c:pt idx="286">
                <c:v>25.22</c:v>
              </c:pt>
              <c:pt idx="287">
                <c:v>25.19</c:v>
              </c:pt>
              <c:pt idx="288">
                <c:v>25.2</c:v>
              </c:pt>
              <c:pt idx="289">
                <c:v>25.2</c:v>
              </c:pt>
              <c:pt idx="290">
                <c:v>25.22</c:v>
              </c:pt>
              <c:pt idx="291">
                <c:v>25.2</c:v>
              </c:pt>
              <c:pt idx="292">
                <c:v>25.22</c:v>
              </c:pt>
              <c:pt idx="293">
                <c:v>25.21</c:v>
              </c:pt>
              <c:pt idx="294">
                <c:v>25.22</c:v>
              </c:pt>
              <c:pt idx="295">
                <c:v>25.22</c:v>
              </c:pt>
              <c:pt idx="296">
                <c:v>25.21</c:v>
              </c:pt>
              <c:pt idx="297">
                <c:v>25.2</c:v>
              </c:pt>
              <c:pt idx="298">
                <c:v>25.19</c:v>
              </c:pt>
              <c:pt idx="299">
                <c:v>25.19</c:v>
              </c:pt>
              <c:pt idx="300">
                <c:v>25.18</c:v>
              </c:pt>
              <c:pt idx="301">
                <c:v>25.19</c:v>
              </c:pt>
              <c:pt idx="302">
                <c:v>25.2</c:v>
              </c:pt>
              <c:pt idx="303">
                <c:v>25.18</c:v>
              </c:pt>
              <c:pt idx="304">
                <c:v>25.1</c:v>
              </c:pt>
              <c:pt idx="305">
                <c:v>25.09</c:v>
              </c:pt>
              <c:pt idx="306">
                <c:v>25.07</c:v>
              </c:pt>
              <c:pt idx="307">
                <c:v>25.05</c:v>
              </c:pt>
              <c:pt idx="308">
                <c:v>25.08</c:v>
              </c:pt>
              <c:pt idx="309">
                <c:v>25.07</c:v>
              </c:pt>
              <c:pt idx="310">
                <c:v>25.06</c:v>
              </c:pt>
              <c:pt idx="311">
                <c:v>25.03</c:v>
              </c:pt>
              <c:pt idx="312">
                <c:v>25</c:v>
              </c:pt>
              <c:pt idx="313">
                <c:v>25.01</c:v>
              </c:pt>
              <c:pt idx="314">
                <c:v>25.03</c:v>
              </c:pt>
              <c:pt idx="315">
                <c:v>25</c:v>
              </c:pt>
              <c:pt idx="316">
                <c:v>25</c:v>
              </c:pt>
              <c:pt idx="317">
                <c:v>24.99</c:v>
              </c:pt>
              <c:pt idx="318">
                <c:v>24.99</c:v>
              </c:pt>
              <c:pt idx="319">
                <c:v>24.99</c:v>
              </c:pt>
              <c:pt idx="320">
                <c:v>25</c:v>
              </c:pt>
              <c:pt idx="321">
                <c:v>25</c:v>
              </c:pt>
              <c:pt idx="322">
                <c:v>25</c:v>
              </c:pt>
              <c:pt idx="323">
                <c:v>24.99</c:v>
              </c:pt>
              <c:pt idx="324">
                <c:v>24.97</c:v>
              </c:pt>
              <c:pt idx="325">
                <c:v>25</c:v>
              </c:pt>
              <c:pt idx="326">
                <c:v>25</c:v>
              </c:pt>
              <c:pt idx="327">
                <c:v>24.98</c:v>
              </c:pt>
              <c:pt idx="328">
                <c:v>25.01</c:v>
              </c:pt>
              <c:pt idx="329">
                <c:v>24.99</c:v>
              </c:pt>
              <c:pt idx="330">
                <c:v>25</c:v>
              </c:pt>
              <c:pt idx="331">
                <c:v>25.01</c:v>
              </c:pt>
              <c:pt idx="332">
                <c:v>25.01</c:v>
              </c:pt>
              <c:pt idx="333">
                <c:v>24.98</c:v>
              </c:pt>
              <c:pt idx="334">
                <c:v>24.97</c:v>
              </c:pt>
              <c:pt idx="335">
                <c:v>24.98</c:v>
              </c:pt>
              <c:pt idx="336">
                <c:v>24.96</c:v>
              </c:pt>
              <c:pt idx="337">
                <c:v>24.98</c:v>
              </c:pt>
              <c:pt idx="338">
                <c:v>24.97</c:v>
              </c:pt>
              <c:pt idx="339">
                <c:v>24.95</c:v>
              </c:pt>
              <c:pt idx="340">
                <c:v>24.94</c:v>
              </c:pt>
              <c:pt idx="341">
                <c:v>24.95</c:v>
              </c:pt>
              <c:pt idx="342">
                <c:v>24.96</c:v>
              </c:pt>
              <c:pt idx="343">
                <c:v>24.96</c:v>
              </c:pt>
              <c:pt idx="344">
                <c:v>24.97</c:v>
              </c:pt>
              <c:pt idx="345">
                <c:v>24.96</c:v>
              </c:pt>
              <c:pt idx="346">
                <c:v>24.95</c:v>
              </c:pt>
              <c:pt idx="347">
                <c:v>24.96</c:v>
              </c:pt>
              <c:pt idx="348">
                <c:v>24.93</c:v>
              </c:pt>
              <c:pt idx="349">
                <c:v>24.92</c:v>
              </c:pt>
              <c:pt idx="350">
                <c:v>24.91</c:v>
              </c:pt>
              <c:pt idx="351">
                <c:v>24.91</c:v>
              </c:pt>
              <c:pt idx="352">
                <c:v>24.94</c:v>
              </c:pt>
              <c:pt idx="353">
                <c:v>24.91</c:v>
              </c:pt>
              <c:pt idx="354">
                <c:v>24.94</c:v>
              </c:pt>
              <c:pt idx="355">
                <c:v>24.93</c:v>
              </c:pt>
              <c:pt idx="356">
                <c:v>24.94</c:v>
              </c:pt>
              <c:pt idx="357">
                <c:v>24.94</c:v>
              </c:pt>
              <c:pt idx="358">
                <c:v>24.92</c:v>
              </c:pt>
              <c:pt idx="359">
                <c:v>24.91</c:v>
              </c:pt>
              <c:pt idx="360">
                <c:v>24.9</c:v>
              </c:pt>
              <c:pt idx="361">
                <c:v>24.85</c:v>
              </c:pt>
              <c:pt idx="362">
                <c:v>24.87</c:v>
              </c:pt>
              <c:pt idx="363">
                <c:v>24.86</c:v>
              </c:pt>
              <c:pt idx="364">
                <c:v>24.82</c:v>
              </c:pt>
              <c:pt idx="365">
                <c:v>24.82</c:v>
              </c:pt>
              <c:pt idx="366">
                <c:v>24.8</c:v>
              </c:pt>
              <c:pt idx="367">
                <c:v>24.78</c:v>
              </c:pt>
              <c:pt idx="368">
                <c:v>24.79</c:v>
              </c:pt>
              <c:pt idx="369">
                <c:v>24.82</c:v>
              </c:pt>
              <c:pt idx="370">
                <c:v>24.82</c:v>
              </c:pt>
              <c:pt idx="371">
                <c:v>24.79</c:v>
              </c:pt>
              <c:pt idx="372">
                <c:v>24.82</c:v>
              </c:pt>
              <c:pt idx="373">
                <c:v>24.8</c:v>
              </c:pt>
              <c:pt idx="374">
                <c:v>24.82</c:v>
              </c:pt>
              <c:pt idx="375">
                <c:v>24.82</c:v>
              </c:pt>
              <c:pt idx="376">
                <c:v>24.84</c:v>
              </c:pt>
              <c:pt idx="377">
                <c:v>24.85</c:v>
              </c:pt>
              <c:pt idx="378">
                <c:v>24.87</c:v>
              </c:pt>
              <c:pt idx="379">
                <c:v>24.88</c:v>
              </c:pt>
              <c:pt idx="380">
                <c:v>24.87</c:v>
              </c:pt>
              <c:pt idx="381">
                <c:v>24.88</c:v>
              </c:pt>
              <c:pt idx="382">
                <c:v>24.88</c:v>
              </c:pt>
              <c:pt idx="383">
                <c:v>24.89</c:v>
              </c:pt>
              <c:pt idx="384">
                <c:v>24.9</c:v>
              </c:pt>
              <c:pt idx="385">
                <c:v>24.89</c:v>
              </c:pt>
              <c:pt idx="386">
                <c:v>24.89</c:v>
              </c:pt>
              <c:pt idx="387">
                <c:v>24.9</c:v>
              </c:pt>
              <c:pt idx="388">
                <c:v>24.91</c:v>
              </c:pt>
              <c:pt idx="389">
                <c:v>24.88</c:v>
              </c:pt>
              <c:pt idx="390">
                <c:v>24.91</c:v>
              </c:pt>
              <c:pt idx="391">
                <c:v>24.92</c:v>
              </c:pt>
              <c:pt idx="392">
                <c:v>24.92</c:v>
              </c:pt>
              <c:pt idx="393">
                <c:v>24.93</c:v>
              </c:pt>
              <c:pt idx="394">
                <c:v>24.96</c:v>
              </c:pt>
              <c:pt idx="395">
                <c:v>24.97</c:v>
              </c:pt>
              <c:pt idx="396">
                <c:v>24.97</c:v>
              </c:pt>
              <c:pt idx="397">
                <c:v>24.98</c:v>
              </c:pt>
              <c:pt idx="398">
                <c:v>24.97</c:v>
              </c:pt>
              <c:pt idx="399">
                <c:v>24.99</c:v>
              </c:pt>
              <c:pt idx="400">
                <c:v>24.99</c:v>
              </c:pt>
              <c:pt idx="401">
                <c:v>24.98</c:v>
              </c:pt>
              <c:pt idx="402">
                <c:v>24.97</c:v>
              </c:pt>
              <c:pt idx="403">
                <c:v>24.96</c:v>
              </c:pt>
              <c:pt idx="404">
                <c:v>24.95</c:v>
              </c:pt>
              <c:pt idx="405">
                <c:v>24.95</c:v>
              </c:pt>
              <c:pt idx="406">
                <c:v>24.93</c:v>
              </c:pt>
              <c:pt idx="407">
                <c:v>24.96</c:v>
              </c:pt>
              <c:pt idx="408">
                <c:v>24.96</c:v>
              </c:pt>
              <c:pt idx="409">
                <c:v>24.91</c:v>
              </c:pt>
              <c:pt idx="410">
                <c:v>24.92</c:v>
              </c:pt>
              <c:pt idx="411">
                <c:v>24.92</c:v>
              </c:pt>
              <c:pt idx="412">
                <c:v>24.95</c:v>
              </c:pt>
              <c:pt idx="413">
                <c:v>24.96</c:v>
              </c:pt>
              <c:pt idx="414">
                <c:v>24.93</c:v>
              </c:pt>
              <c:pt idx="415">
                <c:v>24.9</c:v>
              </c:pt>
              <c:pt idx="416">
                <c:v>24.9</c:v>
              </c:pt>
              <c:pt idx="417">
                <c:v>24.86</c:v>
              </c:pt>
              <c:pt idx="418">
                <c:v>24.84</c:v>
              </c:pt>
              <c:pt idx="419">
                <c:v>24.87</c:v>
              </c:pt>
              <c:pt idx="420">
                <c:v>24.85</c:v>
              </c:pt>
              <c:pt idx="421">
                <c:v>24.85</c:v>
              </c:pt>
              <c:pt idx="422">
                <c:v>24.85</c:v>
              </c:pt>
              <c:pt idx="423">
                <c:v>24.87</c:v>
              </c:pt>
              <c:pt idx="424">
                <c:v>24.86</c:v>
              </c:pt>
              <c:pt idx="425">
                <c:v>24.88</c:v>
              </c:pt>
              <c:pt idx="426">
                <c:v>24.9</c:v>
              </c:pt>
              <c:pt idx="427">
                <c:v>24.91</c:v>
              </c:pt>
              <c:pt idx="428">
                <c:v>24.89</c:v>
              </c:pt>
              <c:pt idx="429">
                <c:v>24.87</c:v>
              </c:pt>
              <c:pt idx="430">
                <c:v>24.86</c:v>
              </c:pt>
              <c:pt idx="431">
                <c:v>24.87</c:v>
              </c:pt>
              <c:pt idx="432">
                <c:v>24.88</c:v>
              </c:pt>
              <c:pt idx="433">
                <c:v>24.85</c:v>
              </c:pt>
              <c:pt idx="434">
                <c:v>24.85</c:v>
              </c:pt>
              <c:pt idx="435">
                <c:v>24.86</c:v>
              </c:pt>
              <c:pt idx="436">
                <c:v>24.9</c:v>
              </c:pt>
              <c:pt idx="437">
                <c:v>24.93</c:v>
              </c:pt>
              <c:pt idx="438">
                <c:v>24.91</c:v>
              </c:pt>
              <c:pt idx="439">
                <c:v>24.94</c:v>
              </c:pt>
              <c:pt idx="440">
                <c:v>24.92</c:v>
              </c:pt>
              <c:pt idx="441">
                <c:v>24.92</c:v>
              </c:pt>
              <c:pt idx="442">
                <c:v>24.9</c:v>
              </c:pt>
              <c:pt idx="443">
                <c:v>24.88</c:v>
              </c:pt>
              <c:pt idx="444">
                <c:v>24.92</c:v>
              </c:pt>
              <c:pt idx="445">
                <c:v>24.91</c:v>
              </c:pt>
              <c:pt idx="446">
                <c:v>24.91</c:v>
              </c:pt>
              <c:pt idx="447">
                <c:v>24.94</c:v>
              </c:pt>
              <c:pt idx="448">
                <c:v>24.97</c:v>
              </c:pt>
              <c:pt idx="449">
                <c:v>24.92</c:v>
              </c:pt>
              <c:pt idx="450">
                <c:v>24.92</c:v>
              </c:pt>
              <c:pt idx="451">
                <c:v>24.9</c:v>
              </c:pt>
              <c:pt idx="452">
                <c:v>24.87</c:v>
              </c:pt>
              <c:pt idx="453">
                <c:v>24.88</c:v>
              </c:pt>
              <c:pt idx="454">
                <c:v>24.86</c:v>
              </c:pt>
              <c:pt idx="455">
                <c:v>24.87</c:v>
              </c:pt>
              <c:pt idx="456">
                <c:v>24.92</c:v>
              </c:pt>
              <c:pt idx="457">
                <c:v>24.89</c:v>
              </c:pt>
              <c:pt idx="458">
                <c:v>24.92</c:v>
              </c:pt>
              <c:pt idx="459">
                <c:v>24.93</c:v>
              </c:pt>
              <c:pt idx="460">
                <c:v>24.86</c:v>
              </c:pt>
              <c:pt idx="461">
                <c:v>24.91</c:v>
              </c:pt>
              <c:pt idx="462">
                <c:v>24.89</c:v>
              </c:pt>
              <c:pt idx="463">
                <c:v>24.86</c:v>
              </c:pt>
              <c:pt idx="464">
                <c:v>24.85</c:v>
              </c:pt>
              <c:pt idx="465">
                <c:v>24.85</c:v>
              </c:pt>
              <c:pt idx="466">
                <c:v>24.81</c:v>
              </c:pt>
              <c:pt idx="467">
                <c:v>24.85</c:v>
              </c:pt>
              <c:pt idx="468">
                <c:v>24.86</c:v>
              </c:pt>
              <c:pt idx="469">
                <c:v>24.84</c:v>
              </c:pt>
              <c:pt idx="470">
                <c:v>24.82</c:v>
              </c:pt>
              <c:pt idx="471">
                <c:v>24.82</c:v>
              </c:pt>
              <c:pt idx="472">
                <c:v>24.81</c:v>
              </c:pt>
              <c:pt idx="473">
                <c:v>24.84</c:v>
              </c:pt>
              <c:pt idx="474">
                <c:v>24.82</c:v>
              </c:pt>
              <c:pt idx="475">
                <c:v>24.8</c:v>
              </c:pt>
              <c:pt idx="476">
                <c:v>24.82</c:v>
              </c:pt>
              <c:pt idx="477">
                <c:v>24.81</c:v>
              </c:pt>
              <c:pt idx="478">
                <c:v>24.81</c:v>
              </c:pt>
              <c:pt idx="479">
                <c:v>24.87</c:v>
              </c:pt>
              <c:pt idx="480">
                <c:v>24.89</c:v>
              </c:pt>
              <c:pt idx="481">
                <c:v>24.82</c:v>
              </c:pt>
              <c:pt idx="482">
                <c:v>24.79</c:v>
              </c:pt>
              <c:pt idx="483">
                <c:v>24.83</c:v>
              </c:pt>
              <c:pt idx="484">
                <c:v>24.81</c:v>
              </c:pt>
              <c:pt idx="485">
                <c:v>24.8</c:v>
              </c:pt>
              <c:pt idx="486">
                <c:v>24.81</c:v>
              </c:pt>
              <c:pt idx="487">
                <c:v>24.82</c:v>
              </c:pt>
              <c:pt idx="488">
                <c:v>24.87</c:v>
              </c:pt>
              <c:pt idx="489">
                <c:v>24.79</c:v>
              </c:pt>
              <c:pt idx="490">
                <c:v>24.79</c:v>
              </c:pt>
              <c:pt idx="491">
                <c:v>24.81</c:v>
              </c:pt>
              <c:pt idx="492">
                <c:v>24.8</c:v>
              </c:pt>
              <c:pt idx="493">
                <c:v>24.83</c:v>
              </c:pt>
              <c:pt idx="494">
                <c:v>24.83</c:v>
              </c:pt>
              <c:pt idx="495">
                <c:v>24.89</c:v>
              </c:pt>
              <c:pt idx="496">
                <c:v>24.9</c:v>
              </c:pt>
              <c:pt idx="497">
                <c:v>24.92</c:v>
              </c:pt>
              <c:pt idx="498">
                <c:v>24.94</c:v>
              </c:pt>
              <c:pt idx="499">
                <c:v>24.98</c:v>
              </c:pt>
              <c:pt idx="500">
                <c:v>25</c:v>
              </c:pt>
              <c:pt idx="501">
                <c:v>25.02</c:v>
              </c:pt>
              <c:pt idx="502">
                <c:v>25.06</c:v>
              </c:pt>
              <c:pt idx="503">
                <c:v>25</c:v>
              </c:pt>
              <c:pt idx="504">
                <c:v>24.99</c:v>
              </c:pt>
              <c:pt idx="505">
                <c:v>25.02</c:v>
              </c:pt>
              <c:pt idx="506">
                <c:v>24.99</c:v>
              </c:pt>
              <c:pt idx="507">
                <c:v>25.04</c:v>
              </c:pt>
              <c:pt idx="508">
                <c:v>25.04</c:v>
              </c:pt>
              <c:pt idx="509">
                <c:v>25.03</c:v>
              </c:pt>
              <c:pt idx="510">
                <c:v>25.04</c:v>
              </c:pt>
              <c:pt idx="511">
                <c:v>25.09</c:v>
              </c:pt>
              <c:pt idx="512">
                <c:v>25.1</c:v>
              </c:pt>
              <c:pt idx="513">
                <c:v>25.1</c:v>
              </c:pt>
              <c:pt idx="514">
                <c:v>25.13</c:v>
              </c:pt>
              <c:pt idx="515">
                <c:v>25.18</c:v>
              </c:pt>
              <c:pt idx="516">
                <c:v>25.19</c:v>
              </c:pt>
              <c:pt idx="517">
                <c:v>25.23</c:v>
              </c:pt>
              <c:pt idx="518">
                <c:v>25.22</c:v>
              </c:pt>
              <c:pt idx="519">
                <c:v>25.22</c:v>
              </c:pt>
              <c:pt idx="520">
                <c:v>25.28</c:v>
              </c:pt>
              <c:pt idx="521">
                <c:v>25.42</c:v>
              </c:pt>
              <c:pt idx="522">
                <c:v>25.35</c:v>
              </c:pt>
              <c:pt idx="523">
                <c:v>25.41</c:v>
              </c:pt>
              <c:pt idx="524">
                <c:v>25.4</c:v>
              </c:pt>
              <c:pt idx="525">
                <c:v>25.39</c:v>
              </c:pt>
              <c:pt idx="526">
                <c:v>25.43</c:v>
              </c:pt>
              <c:pt idx="527">
                <c:v>25.43</c:v>
              </c:pt>
              <c:pt idx="528">
                <c:v>25.45</c:v>
              </c:pt>
              <c:pt idx="529">
                <c:v>25.46</c:v>
              </c:pt>
              <c:pt idx="530">
                <c:v>25.44</c:v>
              </c:pt>
              <c:pt idx="531">
                <c:v>25.43</c:v>
              </c:pt>
              <c:pt idx="532">
                <c:v>25.49</c:v>
              </c:pt>
              <c:pt idx="533">
                <c:v>25.49</c:v>
              </c:pt>
              <c:pt idx="534">
                <c:v>25.45</c:v>
              </c:pt>
              <c:pt idx="535">
                <c:v>25.42</c:v>
              </c:pt>
              <c:pt idx="536">
                <c:v>25.4</c:v>
              </c:pt>
              <c:pt idx="537">
                <c:v>25.44</c:v>
              </c:pt>
              <c:pt idx="538">
                <c:v>25.46</c:v>
              </c:pt>
              <c:pt idx="539">
                <c:v>25.43</c:v>
              </c:pt>
              <c:pt idx="540">
                <c:v>25.47</c:v>
              </c:pt>
              <c:pt idx="541">
                <c:v>25.43</c:v>
              </c:pt>
              <c:pt idx="542">
                <c:v>25.44</c:v>
              </c:pt>
              <c:pt idx="543">
                <c:v>25.5</c:v>
              </c:pt>
              <c:pt idx="544">
                <c:v>25.51</c:v>
              </c:pt>
              <c:pt idx="545">
                <c:v>25.49</c:v>
              </c:pt>
              <c:pt idx="546">
                <c:v>25.48</c:v>
              </c:pt>
              <c:pt idx="547">
                <c:v>25.47</c:v>
              </c:pt>
              <c:pt idx="548">
                <c:v>25.53</c:v>
              </c:pt>
              <c:pt idx="549">
                <c:v>25.49</c:v>
              </c:pt>
              <c:pt idx="550">
                <c:v>25.48</c:v>
              </c:pt>
              <c:pt idx="551">
                <c:v>25.51</c:v>
              </c:pt>
              <c:pt idx="552">
                <c:v>25.56</c:v>
              </c:pt>
              <c:pt idx="553">
                <c:v>25.58</c:v>
              </c:pt>
              <c:pt idx="554">
                <c:v>25.57</c:v>
              </c:pt>
              <c:pt idx="555">
                <c:v>25.64</c:v>
              </c:pt>
              <c:pt idx="556">
                <c:v>25.59</c:v>
              </c:pt>
              <c:pt idx="557">
                <c:v>25.57</c:v>
              </c:pt>
              <c:pt idx="558">
                <c:v>25.56</c:v>
              </c:pt>
              <c:pt idx="559">
                <c:v>25.55</c:v>
              </c:pt>
              <c:pt idx="560">
                <c:v>25.6</c:v>
              </c:pt>
              <c:pt idx="561">
                <c:v>25.61</c:v>
              </c:pt>
              <c:pt idx="562">
                <c:v>25.61</c:v>
              </c:pt>
              <c:pt idx="563">
                <c:v>25.57</c:v>
              </c:pt>
              <c:pt idx="564">
                <c:v>25.59</c:v>
              </c:pt>
              <c:pt idx="565">
                <c:v>25.5</c:v>
              </c:pt>
              <c:pt idx="566">
                <c:v>25.47</c:v>
              </c:pt>
              <c:pt idx="567">
                <c:v>25.46</c:v>
              </c:pt>
              <c:pt idx="568">
                <c:v>25.42</c:v>
              </c:pt>
              <c:pt idx="569">
                <c:v>25.36</c:v>
              </c:pt>
              <c:pt idx="570">
                <c:v>25.32</c:v>
              </c:pt>
              <c:pt idx="571">
                <c:v>25.3</c:v>
              </c:pt>
              <c:pt idx="572">
                <c:v>25.35</c:v>
              </c:pt>
              <c:pt idx="573">
                <c:v>25.31</c:v>
              </c:pt>
              <c:pt idx="574">
                <c:v>25.21</c:v>
              </c:pt>
              <c:pt idx="575">
                <c:v>25.28</c:v>
              </c:pt>
              <c:pt idx="576">
                <c:v>25.29</c:v>
              </c:pt>
              <c:pt idx="577">
                <c:v>25.3</c:v>
              </c:pt>
              <c:pt idx="578">
                <c:v>25.34</c:v>
              </c:pt>
              <c:pt idx="579">
                <c:v>25.29</c:v>
              </c:pt>
              <c:pt idx="580">
                <c:v>25.31</c:v>
              </c:pt>
              <c:pt idx="581">
                <c:v>25.28</c:v>
              </c:pt>
              <c:pt idx="582">
                <c:v>25.32</c:v>
              </c:pt>
              <c:pt idx="583">
                <c:v>25.37</c:v>
              </c:pt>
              <c:pt idx="584">
                <c:v>25.37</c:v>
              </c:pt>
              <c:pt idx="585">
                <c:v>25.39</c:v>
              </c:pt>
              <c:pt idx="586">
                <c:v>25.38</c:v>
              </c:pt>
              <c:pt idx="587">
                <c:v>25.38</c:v>
              </c:pt>
              <c:pt idx="588">
                <c:v>25.36</c:v>
              </c:pt>
              <c:pt idx="589">
                <c:v>25.34</c:v>
              </c:pt>
              <c:pt idx="590">
                <c:v>25.41</c:v>
              </c:pt>
              <c:pt idx="591">
                <c:v>25.43</c:v>
              </c:pt>
              <c:pt idx="592">
                <c:v>25.45</c:v>
              </c:pt>
              <c:pt idx="593">
                <c:v>25.5</c:v>
              </c:pt>
              <c:pt idx="594">
                <c:v>25.54</c:v>
              </c:pt>
              <c:pt idx="595">
                <c:v>25.51</c:v>
              </c:pt>
              <c:pt idx="596">
                <c:v>25.71</c:v>
              </c:pt>
              <c:pt idx="597">
                <c:v>25.66</c:v>
              </c:pt>
              <c:pt idx="598">
                <c:v>25.71</c:v>
              </c:pt>
              <c:pt idx="599">
                <c:v>25.74</c:v>
              </c:pt>
              <c:pt idx="600">
                <c:v>25.64</c:v>
              </c:pt>
              <c:pt idx="601">
                <c:v>25.76</c:v>
              </c:pt>
              <c:pt idx="602">
                <c:v>25.79</c:v>
              </c:pt>
              <c:pt idx="603">
                <c:v>25.87</c:v>
              </c:pt>
              <c:pt idx="604">
                <c:v>25.85</c:v>
              </c:pt>
              <c:pt idx="605">
                <c:v>25.86</c:v>
              </c:pt>
              <c:pt idx="606">
                <c:v>25.9</c:v>
              </c:pt>
              <c:pt idx="607">
                <c:v>25.86</c:v>
              </c:pt>
              <c:pt idx="608">
                <c:v>25.96</c:v>
              </c:pt>
              <c:pt idx="609">
                <c:v>25.95</c:v>
              </c:pt>
              <c:pt idx="610">
                <c:v>26.04</c:v>
              </c:pt>
              <c:pt idx="611">
                <c:v>26.11</c:v>
              </c:pt>
              <c:pt idx="612">
                <c:v>26.16</c:v>
              </c:pt>
              <c:pt idx="613">
                <c:v>26.14</c:v>
              </c:pt>
              <c:pt idx="614">
                <c:v>26.2</c:v>
              </c:pt>
              <c:pt idx="615">
                <c:v>26.22</c:v>
              </c:pt>
              <c:pt idx="616">
                <c:v>26.28</c:v>
              </c:pt>
              <c:pt idx="617">
                <c:v>26.32</c:v>
              </c:pt>
              <c:pt idx="618">
                <c:v>26.38</c:v>
              </c:pt>
              <c:pt idx="619">
                <c:v>26.35</c:v>
              </c:pt>
              <c:pt idx="620">
                <c:v>26.36</c:v>
              </c:pt>
              <c:pt idx="621">
                <c:v>26.45</c:v>
              </c:pt>
              <c:pt idx="622">
                <c:v>26.61</c:v>
              </c:pt>
              <c:pt idx="623">
                <c:v>26.62</c:v>
              </c:pt>
              <c:pt idx="624">
                <c:v>26.6</c:v>
              </c:pt>
              <c:pt idx="625">
                <c:v>26.58</c:v>
              </c:pt>
              <c:pt idx="626">
                <c:v>26.57</c:v>
              </c:pt>
              <c:pt idx="627">
                <c:v>26.59</c:v>
              </c:pt>
              <c:pt idx="628">
                <c:v>26.66</c:v>
              </c:pt>
              <c:pt idx="629">
                <c:v>26.67</c:v>
              </c:pt>
              <c:pt idx="630">
                <c:v>26.68</c:v>
              </c:pt>
              <c:pt idx="631">
                <c:v>26.76</c:v>
              </c:pt>
              <c:pt idx="632">
                <c:v>26.88</c:v>
              </c:pt>
              <c:pt idx="633">
                <c:v>26.93</c:v>
              </c:pt>
              <c:pt idx="634">
                <c:v>26.88</c:v>
              </c:pt>
              <c:pt idx="635">
                <c:v>26.88</c:v>
              </c:pt>
              <c:pt idx="636">
                <c:v>26.97</c:v>
              </c:pt>
              <c:pt idx="637">
                <c:v>26.95</c:v>
              </c:pt>
              <c:pt idx="638">
                <c:v>26.9</c:v>
              </c:pt>
              <c:pt idx="639">
                <c:v>26.89</c:v>
              </c:pt>
              <c:pt idx="640">
                <c:v>26.93</c:v>
              </c:pt>
              <c:pt idx="641">
                <c:v>26.9</c:v>
              </c:pt>
              <c:pt idx="642">
                <c:v>26.99</c:v>
              </c:pt>
              <c:pt idx="643">
                <c:v>27.03</c:v>
              </c:pt>
              <c:pt idx="644">
                <c:v>27.16</c:v>
              </c:pt>
              <c:pt idx="645">
                <c:v>27.07</c:v>
              </c:pt>
              <c:pt idx="646">
                <c:v>27.04</c:v>
              </c:pt>
              <c:pt idx="647">
                <c:v>26.97</c:v>
              </c:pt>
              <c:pt idx="648">
                <c:v>27.05</c:v>
              </c:pt>
              <c:pt idx="649">
                <c:v>27.16</c:v>
              </c:pt>
              <c:pt idx="650">
                <c:v>27.35</c:v>
              </c:pt>
              <c:pt idx="651">
                <c:v>27.42</c:v>
              </c:pt>
              <c:pt idx="652">
                <c:v>27.5</c:v>
              </c:pt>
              <c:pt idx="653">
                <c:v>27.48</c:v>
              </c:pt>
              <c:pt idx="654">
                <c:v>27.51</c:v>
              </c:pt>
              <c:pt idx="655">
                <c:v>27.51</c:v>
              </c:pt>
              <c:pt idx="656">
                <c:v>27.47</c:v>
              </c:pt>
              <c:pt idx="657">
                <c:v>27.49</c:v>
              </c:pt>
              <c:pt idx="658">
                <c:v>27.66</c:v>
              </c:pt>
              <c:pt idx="659">
                <c:v>27.84</c:v>
              </c:pt>
              <c:pt idx="660">
                <c:v>27.96</c:v>
              </c:pt>
              <c:pt idx="661">
                <c:v>27.96</c:v>
              </c:pt>
              <c:pt idx="662">
                <c:v>28</c:v>
              </c:pt>
              <c:pt idx="663">
                <c:v>27.99</c:v>
              </c:pt>
              <c:pt idx="664">
                <c:v>28.03</c:v>
              </c:pt>
              <c:pt idx="665">
                <c:v>28.09</c:v>
              </c:pt>
              <c:pt idx="666">
                <c:v>28.01</c:v>
              </c:pt>
              <c:pt idx="667">
                <c:v>27.95</c:v>
              </c:pt>
              <c:pt idx="668">
                <c:v>28.11</c:v>
              </c:pt>
              <c:pt idx="669">
                <c:v>28.25</c:v>
              </c:pt>
              <c:pt idx="670">
                <c:v>28.3</c:v>
              </c:pt>
              <c:pt idx="671">
                <c:v>27.99</c:v>
              </c:pt>
              <c:pt idx="672">
                <c:v>27.83</c:v>
              </c:pt>
              <c:pt idx="673">
                <c:v>27.79</c:v>
              </c:pt>
              <c:pt idx="674">
                <c:v>27.89</c:v>
              </c:pt>
              <c:pt idx="675">
                <c:v>27.87</c:v>
              </c:pt>
              <c:pt idx="676">
                <c:v>27.83</c:v>
              </c:pt>
              <c:pt idx="677">
                <c:v>27.82</c:v>
              </c:pt>
              <c:pt idx="678">
                <c:v>27.72</c:v>
              </c:pt>
              <c:pt idx="679">
                <c:v>27.7</c:v>
              </c:pt>
              <c:pt idx="680">
                <c:v>27.75</c:v>
              </c:pt>
              <c:pt idx="681">
                <c:v>27.73</c:v>
              </c:pt>
              <c:pt idx="682">
                <c:v>27.65</c:v>
              </c:pt>
              <c:pt idx="683">
                <c:v>27.67</c:v>
              </c:pt>
              <c:pt idx="684">
                <c:v>27.72</c:v>
              </c:pt>
              <c:pt idx="685">
                <c:v>27.82</c:v>
              </c:pt>
              <c:pt idx="686">
                <c:v>27.93</c:v>
              </c:pt>
              <c:pt idx="687">
                <c:v>27.96</c:v>
              </c:pt>
              <c:pt idx="688">
                <c:v>27.8</c:v>
              </c:pt>
              <c:pt idx="689">
                <c:v>27.75</c:v>
              </c:pt>
              <c:pt idx="690">
                <c:v>27.71</c:v>
              </c:pt>
              <c:pt idx="691">
                <c:v>27.84</c:v>
              </c:pt>
              <c:pt idx="692">
                <c:v>27.78</c:v>
              </c:pt>
              <c:pt idx="693">
                <c:v>27.7</c:v>
              </c:pt>
              <c:pt idx="694">
                <c:v>27.77</c:v>
              </c:pt>
              <c:pt idx="695">
                <c:v>27.75</c:v>
              </c:pt>
              <c:pt idx="696">
                <c:v>27.81</c:v>
              </c:pt>
              <c:pt idx="697">
                <c:v>27.79</c:v>
              </c:pt>
              <c:pt idx="698">
                <c:v>27.89</c:v>
              </c:pt>
              <c:pt idx="699">
                <c:v>27.88</c:v>
              </c:pt>
              <c:pt idx="700">
                <c:v>27.85</c:v>
              </c:pt>
              <c:pt idx="701">
                <c:v>27.93</c:v>
              </c:pt>
              <c:pt idx="702">
                <c:v>27.94</c:v>
              </c:pt>
              <c:pt idx="703">
                <c:v>27.99</c:v>
              </c:pt>
              <c:pt idx="704">
                <c:v>28.12</c:v>
              </c:pt>
              <c:pt idx="705">
                <c:v>28.14</c:v>
              </c:pt>
              <c:pt idx="706">
                <c:v>28.43</c:v>
              </c:pt>
              <c:pt idx="707">
                <c:v>28.63</c:v>
              </c:pt>
              <c:pt idx="708">
                <c:v>28.4</c:v>
              </c:pt>
              <c:pt idx="709">
                <c:v>28.25</c:v>
              </c:pt>
              <c:pt idx="710">
                <c:v>28.26</c:v>
              </c:pt>
              <c:pt idx="711">
                <c:v>28.25</c:v>
              </c:pt>
              <c:pt idx="712">
                <c:v>28.34</c:v>
              </c:pt>
              <c:pt idx="713">
                <c:v>28.31</c:v>
              </c:pt>
              <c:pt idx="714">
                <c:v>28.35</c:v>
              </c:pt>
              <c:pt idx="715">
                <c:v>28.38</c:v>
              </c:pt>
              <c:pt idx="716">
                <c:v>28.31</c:v>
              </c:pt>
              <c:pt idx="717">
                <c:v>28.31</c:v>
              </c:pt>
              <c:pt idx="718">
                <c:v>28.29</c:v>
              </c:pt>
              <c:pt idx="719">
                <c:v>28.21</c:v>
              </c:pt>
              <c:pt idx="720">
                <c:v>28.09</c:v>
              </c:pt>
              <c:pt idx="721">
                <c:v>28.07</c:v>
              </c:pt>
              <c:pt idx="722">
                <c:v>28.17</c:v>
              </c:pt>
              <c:pt idx="723">
                <c:v>28.2</c:v>
              </c:pt>
              <c:pt idx="724">
                <c:v>28.25</c:v>
              </c:pt>
              <c:pt idx="725">
                <c:v>28.18</c:v>
              </c:pt>
              <c:pt idx="726">
                <c:v>27.94</c:v>
              </c:pt>
              <c:pt idx="727">
                <c:v>27.86</c:v>
              </c:pt>
              <c:pt idx="728">
                <c:v>27.9</c:v>
              </c:pt>
              <c:pt idx="729">
                <c:v>28.01</c:v>
              </c:pt>
              <c:pt idx="730">
                <c:v>27.92</c:v>
              </c:pt>
              <c:pt idx="731">
                <c:v>27.91</c:v>
              </c:pt>
              <c:pt idx="732">
                <c:v>27.95</c:v>
              </c:pt>
              <c:pt idx="733">
                <c:v>27.95</c:v>
              </c:pt>
              <c:pt idx="734">
                <c:v>27.94</c:v>
              </c:pt>
              <c:pt idx="735">
                <c:v>27.9</c:v>
              </c:pt>
              <c:pt idx="736">
                <c:v>27.86</c:v>
              </c:pt>
              <c:pt idx="737">
                <c:v>27.66</c:v>
              </c:pt>
              <c:pt idx="738">
                <c:v>27.64</c:v>
              </c:pt>
              <c:pt idx="739">
                <c:v>27.69</c:v>
              </c:pt>
              <c:pt idx="740">
                <c:v>27.72</c:v>
              </c:pt>
              <c:pt idx="741">
                <c:v>27.72</c:v>
              </c:pt>
              <c:pt idx="742">
                <c:v>27.75</c:v>
              </c:pt>
              <c:pt idx="743">
                <c:v>27.85</c:v>
              </c:pt>
              <c:pt idx="744">
                <c:v>27.92</c:v>
              </c:pt>
              <c:pt idx="745">
                <c:v>27.75</c:v>
              </c:pt>
              <c:pt idx="746">
                <c:v>27.87</c:v>
              </c:pt>
              <c:pt idx="747">
                <c:v>27.81</c:v>
              </c:pt>
              <c:pt idx="748">
                <c:v>27.81</c:v>
              </c:pt>
              <c:pt idx="749">
                <c:v>27.75</c:v>
              </c:pt>
              <c:pt idx="750">
                <c:v>27.76</c:v>
              </c:pt>
              <c:pt idx="751">
                <c:v>27.8</c:v>
              </c:pt>
              <c:pt idx="752">
                <c:v>27.76</c:v>
              </c:pt>
              <c:pt idx="753">
                <c:v>27.82</c:v>
              </c:pt>
              <c:pt idx="754">
                <c:v>27.81</c:v>
              </c:pt>
              <c:pt idx="755">
                <c:v>27.73</c:v>
              </c:pt>
              <c:pt idx="756">
                <c:v>27.67</c:v>
              </c:pt>
              <c:pt idx="757">
                <c:v>27.64</c:v>
              </c:pt>
              <c:pt idx="758">
                <c:v>27.66</c:v>
              </c:pt>
              <c:pt idx="759">
                <c:v>27.57</c:v>
              </c:pt>
              <c:pt idx="760">
                <c:v>27.51</c:v>
              </c:pt>
              <c:pt idx="761">
                <c:v>27.45</c:v>
              </c:pt>
              <c:pt idx="762">
                <c:v>27.49</c:v>
              </c:pt>
              <c:pt idx="763">
                <c:v>27.57</c:v>
              </c:pt>
              <c:pt idx="764">
                <c:v>27.67</c:v>
              </c:pt>
              <c:pt idx="765">
                <c:v>27.71</c:v>
              </c:pt>
              <c:pt idx="766">
                <c:v>27.75</c:v>
              </c:pt>
              <c:pt idx="767">
                <c:v>27.76</c:v>
              </c:pt>
              <c:pt idx="768">
                <c:v>27.67</c:v>
              </c:pt>
              <c:pt idx="769">
                <c:v>27.61</c:v>
              </c:pt>
              <c:pt idx="770">
                <c:v>27.53</c:v>
              </c:pt>
              <c:pt idx="771">
                <c:v>27.53</c:v>
              </c:pt>
              <c:pt idx="772">
                <c:v>27.57</c:v>
              </c:pt>
              <c:pt idx="773">
                <c:v>27.59</c:v>
              </c:pt>
              <c:pt idx="774">
                <c:v>27.61</c:v>
              </c:pt>
              <c:pt idx="775">
                <c:v>27.57</c:v>
              </c:pt>
              <c:pt idx="776">
                <c:v>27.47</c:v>
              </c:pt>
              <c:pt idx="777">
                <c:v>27.41</c:v>
              </c:pt>
              <c:pt idx="778">
                <c:v>27.37</c:v>
              </c:pt>
              <c:pt idx="779">
                <c:v>27.32</c:v>
              </c:pt>
              <c:pt idx="780">
                <c:v>27.35</c:v>
              </c:pt>
              <c:pt idx="781">
                <c:v>27.32</c:v>
              </c:pt>
              <c:pt idx="782">
                <c:v>27.32</c:v>
              </c:pt>
              <c:pt idx="783">
                <c:v>27.45</c:v>
              </c:pt>
              <c:pt idx="784">
                <c:v>27.45</c:v>
              </c:pt>
              <c:pt idx="785">
                <c:v>27.45</c:v>
              </c:pt>
              <c:pt idx="786">
                <c:v>27.45</c:v>
              </c:pt>
              <c:pt idx="787">
                <c:v>27.54</c:v>
              </c:pt>
              <c:pt idx="788">
                <c:v>27.57</c:v>
              </c:pt>
              <c:pt idx="789">
                <c:v>27.39</c:v>
              </c:pt>
              <c:pt idx="790">
                <c:v>27.33</c:v>
              </c:pt>
              <c:pt idx="791">
                <c:v>27.41</c:v>
              </c:pt>
              <c:pt idx="792">
                <c:v>27.51</c:v>
              </c:pt>
              <c:pt idx="793">
                <c:v>27.49</c:v>
              </c:pt>
              <c:pt idx="794">
                <c:v>27.42</c:v>
              </c:pt>
              <c:pt idx="795">
                <c:v>27.32</c:v>
              </c:pt>
              <c:pt idx="796">
                <c:v>27.36</c:v>
              </c:pt>
              <c:pt idx="797">
                <c:v>27.33</c:v>
              </c:pt>
              <c:pt idx="798">
                <c:v>27.27</c:v>
              </c:pt>
              <c:pt idx="799">
                <c:v>27.28</c:v>
              </c:pt>
              <c:pt idx="800">
                <c:v>27.33</c:v>
              </c:pt>
              <c:pt idx="801">
                <c:v>27.3</c:v>
              </c:pt>
              <c:pt idx="802">
                <c:v>27.29</c:v>
              </c:pt>
              <c:pt idx="803">
                <c:v>27.3</c:v>
              </c:pt>
              <c:pt idx="804">
                <c:v>27.34</c:v>
              </c:pt>
              <c:pt idx="805">
                <c:v>27.45</c:v>
              </c:pt>
              <c:pt idx="806">
                <c:v>27.5</c:v>
              </c:pt>
              <c:pt idx="807">
                <c:v>27.42</c:v>
              </c:pt>
              <c:pt idx="808">
                <c:v>27.41</c:v>
              </c:pt>
              <c:pt idx="809">
                <c:v>27.42</c:v>
              </c:pt>
              <c:pt idx="810">
                <c:v>27.28</c:v>
              </c:pt>
              <c:pt idx="811">
                <c:v>27.27</c:v>
              </c:pt>
              <c:pt idx="812">
                <c:v>27.14</c:v>
              </c:pt>
              <c:pt idx="813">
                <c:v>27.09</c:v>
              </c:pt>
              <c:pt idx="814">
                <c:v>27.02</c:v>
              </c:pt>
              <c:pt idx="815">
                <c:v>26.98</c:v>
              </c:pt>
              <c:pt idx="816">
                <c:v>27.04</c:v>
              </c:pt>
              <c:pt idx="817">
                <c:v>27.15</c:v>
              </c:pt>
              <c:pt idx="818">
                <c:v>27.01</c:v>
              </c:pt>
              <c:pt idx="819">
                <c:v>27.04</c:v>
              </c:pt>
              <c:pt idx="820">
                <c:v>27.11</c:v>
              </c:pt>
              <c:pt idx="821">
                <c:v>27.07</c:v>
              </c:pt>
              <c:pt idx="822">
                <c:v>27.11</c:v>
              </c:pt>
              <c:pt idx="823">
                <c:v>27.14</c:v>
              </c:pt>
              <c:pt idx="824">
                <c:v>27.1</c:v>
              </c:pt>
              <c:pt idx="825">
                <c:v>27.12</c:v>
              </c:pt>
              <c:pt idx="826">
                <c:v>27.18</c:v>
              </c:pt>
              <c:pt idx="827">
                <c:v>27.21</c:v>
              </c:pt>
              <c:pt idx="828">
                <c:v>27.16</c:v>
              </c:pt>
              <c:pt idx="829">
                <c:v>27.11</c:v>
              </c:pt>
              <c:pt idx="830">
                <c:v>27.07</c:v>
              </c:pt>
              <c:pt idx="831">
                <c:v>27.08</c:v>
              </c:pt>
              <c:pt idx="832">
                <c:v>27.02</c:v>
              </c:pt>
              <c:pt idx="833">
                <c:v>26.98</c:v>
              </c:pt>
              <c:pt idx="834">
                <c:v>27.02</c:v>
              </c:pt>
              <c:pt idx="835">
                <c:v>27.13</c:v>
              </c:pt>
              <c:pt idx="836">
                <c:v>27.09</c:v>
              </c:pt>
              <c:pt idx="837">
                <c:v>27.22</c:v>
              </c:pt>
              <c:pt idx="838">
                <c:v>27.34</c:v>
              </c:pt>
              <c:pt idx="839">
                <c:v>27.38</c:v>
              </c:pt>
              <c:pt idx="840">
                <c:v>27.38</c:v>
              </c:pt>
              <c:pt idx="841">
                <c:v>27.43</c:v>
              </c:pt>
              <c:pt idx="842">
                <c:v>27.51</c:v>
              </c:pt>
              <c:pt idx="843">
                <c:v>27.55</c:v>
              </c:pt>
              <c:pt idx="844">
                <c:v>27.45</c:v>
              </c:pt>
              <c:pt idx="845">
                <c:v>27.38</c:v>
              </c:pt>
              <c:pt idx="846">
                <c:v>27.39</c:v>
              </c:pt>
              <c:pt idx="847">
                <c:v>27.3</c:v>
              </c:pt>
              <c:pt idx="848">
                <c:v>27.28</c:v>
              </c:pt>
              <c:pt idx="849">
                <c:v>27.21</c:v>
              </c:pt>
              <c:pt idx="850">
                <c:v>27.19</c:v>
              </c:pt>
              <c:pt idx="851">
                <c:v>27.19</c:v>
              </c:pt>
              <c:pt idx="852">
                <c:v>27.29</c:v>
              </c:pt>
              <c:pt idx="853">
                <c:v>27.11</c:v>
              </c:pt>
              <c:pt idx="854">
                <c:v>27.02</c:v>
              </c:pt>
              <c:pt idx="855">
                <c:v>27.05</c:v>
              </c:pt>
              <c:pt idx="856">
                <c:v>26.85</c:v>
              </c:pt>
              <c:pt idx="857">
                <c:v>26.79</c:v>
              </c:pt>
              <c:pt idx="858">
                <c:v>26.72</c:v>
              </c:pt>
              <c:pt idx="859">
                <c:v>26.81</c:v>
              </c:pt>
              <c:pt idx="860">
                <c:v>26.67</c:v>
              </c:pt>
              <c:pt idx="861">
                <c:v>26.67</c:v>
              </c:pt>
              <c:pt idx="862">
                <c:v>26.65</c:v>
              </c:pt>
              <c:pt idx="863">
                <c:v>26.72</c:v>
              </c:pt>
              <c:pt idx="864">
                <c:v>26.63</c:v>
              </c:pt>
              <c:pt idx="865">
                <c:v>26.72</c:v>
              </c:pt>
              <c:pt idx="866">
                <c:v>26.75</c:v>
              </c:pt>
              <c:pt idx="867">
                <c:v>26.73</c:v>
              </c:pt>
              <c:pt idx="868">
                <c:v>26.77</c:v>
              </c:pt>
              <c:pt idx="869">
                <c:v>26.68</c:v>
              </c:pt>
              <c:pt idx="870">
                <c:v>26.63</c:v>
              </c:pt>
              <c:pt idx="871">
                <c:v>26.59</c:v>
              </c:pt>
              <c:pt idx="872">
                <c:v>26.52</c:v>
              </c:pt>
              <c:pt idx="873">
                <c:v>26.49</c:v>
              </c:pt>
              <c:pt idx="874">
                <c:v>26.49</c:v>
              </c:pt>
              <c:pt idx="875">
                <c:v>26.47</c:v>
              </c:pt>
              <c:pt idx="876">
                <c:v>26.47</c:v>
              </c:pt>
              <c:pt idx="877">
                <c:v>26.49</c:v>
              </c:pt>
              <c:pt idx="878">
                <c:v>26.48</c:v>
              </c:pt>
              <c:pt idx="879">
                <c:v>26.39</c:v>
              </c:pt>
              <c:pt idx="880">
                <c:v>26.49</c:v>
              </c:pt>
              <c:pt idx="881">
                <c:v>26.57</c:v>
              </c:pt>
              <c:pt idx="882">
                <c:v>26.6</c:v>
              </c:pt>
              <c:pt idx="883">
                <c:v>26.68</c:v>
              </c:pt>
              <c:pt idx="884">
                <c:v>26.57</c:v>
              </c:pt>
              <c:pt idx="885">
                <c:v>26.62</c:v>
              </c:pt>
              <c:pt idx="886">
                <c:v>26.66</c:v>
              </c:pt>
              <c:pt idx="887">
                <c:v>26.76</c:v>
              </c:pt>
              <c:pt idx="888">
                <c:v>26.73</c:v>
              </c:pt>
              <c:pt idx="889">
                <c:v>26.7</c:v>
              </c:pt>
              <c:pt idx="890">
                <c:v>26.75</c:v>
              </c:pt>
              <c:pt idx="891">
                <c:v>26.8</c:v>
              </c:pt>
              <c:pt idx="892">
                <c:v>26.82</c:v>
              </c:pt>
              <c:pt idx="893">
                <c:v>26.67</c:v>
              </c:pt>
              <c:pt idx="894">
                <c:v>26.76</c:v>
              </c:pt>
              <c:pt idx="895">
                <c:v>26.77</c:v>
              </c:pt>
              <c:pt idx="896">
                <c:v>26.79</c:v>
              </c:pt>
              <c:pt idx="897">
                <c:v>26.74</c:v>
              </c:pt>
              <c:pt idx="898">
                <c:v>26.75</c:v>
              </c:pt>
              <c:pt idx="899">
                <c:v>26.6</c:v>
              </c:pt>
              <c:pt idx="900">
                <c:v>26.65</c:v>
              </c:pt>
              <c:pt idx="901">
                <c:v>26.65</c:v>
              </c:pt>
              <c:pt idx="902">
                <c:v>26.67</c:v>
              </c:pt>
              <c:pt idx="903">
                <c:v>26.6</c:v>
              </c:pt>
              <c:pt idx="904">
                <c:v>26.6</c:v>
              </c:pt>
              <c:pt idx="905">
                <c:v>26.56</c:v>
              </c:pt>
              <c:pt idx="906">
                <c:v>26.52</c:v>
              </c:pt>
              <c:pt idx="907">
                <c:v>26.56</c:v>
              </c:pt>
              <c:pt idx="908">
                <c:v>26.48</c:v>
              </c:pt>
              <c:pt idx="909">
                <c:v>26.52</c:v>
              </c:pt>
              <c:pt idx="910">
                <c:v>26.48</c:v>
              </c:pt>
              <c:pt idx="911">
                <c:v>26.5</c:v>
              </c:pt>
              <c:pt idx="912">
                <c:v>26.53</c:v>
              </c:pt>
              <c:pt idx="913">
                <c:v>26.6</c:v>
              </c:pt>
              <c:pt idx="914">
                <c:v>26.59</c:v>
              </c:pt>
              <c:pt idx="915">
                <c:v>26.53</c:v>
              </c:pt>
              <c:pt idx="916">
                <c:v>26.58</c:v>
              </c:pt>
              <c:pt idx="917">
                <c:v>26.6</c:v>
              </c:pt>
              <c:pt idx="918">
                <c:v>26.52</c:v>
              </c:pt>
              <c:pt idx="919">
                <c:v>26.51</c:v>
              </c:pt>
              <c:pt idx="920">
                <c:v>26.52</c:v>
              </c:pt>
              <c:pt idx="921">
                <c:v>26.56</c:v>
              </c:pt>
              <c:pt idx="922">
                <c:v>26.6</c:v>
              </c:pt>
              <c:pt idx="923">
                <c:v>26.67</c:v>
              </c:pt>
              <c:pt idx="924">
                <c:v>26.6</c:v>
              </c:pt>
              <c:pt idx="925">
                <c:v>26.69</c:v>
              </c:pt>
              <c:pt idx="926">
                <c:v>26.68</c:v>
              </c:pt>
              <c:pt idx="927">
                <c:v>26.73</c:v>
              </c:pt>
              <c:pt idx="928">
                <c:v>26.72</c:v>
              </c:pt>
              <c:pt idx="929">
                <c:v>26.78</c:v>
              </c:pt>
              <c:pt idx="930">
                <c:v>26.77</c:v>
              </c:pt>
              <c:pt idx="931">
                <c:v>26.76</c:v>
              </c:pt>
              <c:pt idx="932">
                <c:v>26.74</c:v>
              </c:pt>
              <c:pt idx="933">
                <c:v>26.75</c:v>
              </c:pt>
              <c:pt idx="934">
                <c:v>26.75</c:v>
              </c:pt>
              <c:pt idx="935">
                <c:v>26.77</c:v>
              </c:pt>
              <c:pt idx="936">
                <c:v>26.78</c:v>
              </c:pt>
              <c:pt idx="937">
                <c:v>26.84</c:v>
              </c:pt>
              <c:pt idx="938">
                <c:v>26.85</c:v>
              </c:pt>
              <c:pt idx="939">
                <c:v>26.89</c:v>
              </c:pt>
              <c:pt idx="940">
                <c:v>26.98</c:v>
              </c:pt>
              <c:pt idx="941">
                <c:v>26.97</c:v>
              </c:pt>
              <c:pt idx="942">
                <c:v>26.99</c:v>
              </c:pt>
              <c:pt idx="943">
                <c:v>27.03</c:v>
              </c:pt>
              <c:pt idx="944">
                <c:v>27.03</c:v>
              </c:pt>
              <c:pt idx="945">
                <c:v>27.11</c:v>
              </c:pt>
              <c:pt idx="946">
                <c:v>27.11</c:v>
              </c:pt>
              <c:pt idx="947">
                <c:v>27.18</c:v>
              </c:pt>
              <c:pt idx="948">
                <c:v>27.22</c:v>
              </c:pt>
              <c:pt idx="949">
                <c:v>27.27</c:v>
              </c:pt>
              <c:pt idx="950">
                <c:v>27.32</c:v>
              </c:pt>
              <c:pt idx="951">
                <c:v>27.43</c:v>
              </c:pt>
              <c:pt idx="952">
                <c:v>27.46</c:v>
              </c:pt>
              <c:pt idx="953">
                <c:v>27.47</c:v>
              </c:pt>
              <c:pt idx="954">
                <c:v>27.51</c:v>
              </c:pt>
              <c:pt idx="955">
                <c:v>27.57</c:v>
              </c:pt>
              <c:pt idx="956">
                <c:v>27.59</c:v>
              </c:pt>
              <c:pt idx="957">
                <c:v>27.62</c:v>
              </c:pt>
              <c:pt idx="958">
                <c:v>27.63</c:v>
              </c:pt>
              <c:pt idx="959">
                <c:v>27.68</c:v>
              </c:pt>
              <c:pt idx="960">
                <c:v>27.72</c:v>
              </c:pt>
              <c:pt idx="961">
                <c:v>27.75</c:v>
              </c:pt>
              <c:pt idx="962">
                <c:v>27.77</c:v>
              </c:pt>
              <c:pt idx="963">
                <c:v>27.78</c:v>
              </c:pt>
              <c:pt idx="964">
                <c:v>27.78</c:v>
              </c:pt>
              <c:pt idx="965">
                <c:v>27.8</c:v>
              </c:pt>
              <c:pt idx="966">
                <c:v>27.79</c:v>
              </c:pt>
              <c:pt idx="967">
                <c:v>27.81</c:v>
              </c:pt>
              <c:pt idx="968">
                <c:v>27.85</c:v>
              </c:pt>
              <c:pt idx="969">
                <c:v>27.84</c:v>
              </c:pt>
              <c:pt idx="970">
                <c:v>27.85</c:v>
              </c:pt>
              <c:pt idx="971">
                <c:v>27.85</c:v>
              </c:pt>
              <c:pt idx="972">
                <c:v>27.86</c:v>
              </c:pt>
              <c:pt idx="973">
                <c:v>27.84</c:v>
              </c:pt>
              <c:pt idx="974">
                <c:v>27.85</c:v>
              </c:pt>
              <c:pt idx="975">
                <c:v>27.86</c:v>
              </c:pt>
              <c:pt idx="976">
                <c:v>27.9</c:v>
              </c:pt>
              <c:pt idx="977">
                <c:v>27.91</c:v>
              </c:pt>
              <c:pt idx="978">
                <c:v>27.9</c:v>
              </c:pt>
              <c:pt idx="979">
                <c:v>27.92</c:v>
              </c:pt>
              <c:pt idx="980">
                <c:v>27.93</c:v>
              </c:pt>
              <c:pt idx="981">
                <c:v>27.96</c:v>
              </c:pt>
              <c:pt idx="982">
                <c:v>28</c:v>
              </c:pt>
              <c:pt idx="983">
                <c:v>28.06</c:v>
              </c:pt>
              <c:pt idx="984">
                <c:v>28.09</c:v>
              </c:pt>
              <c:pt idx="985">
                <c:v>28.05</c:v>
              </c:pt>
              <c:pt idx="986">
                <c:v>28.01</c:v>
              </c:pt>
              <c:pt idx="987">
                <c:v>28.02</c:v>
              </c:pt>
              <c:pt idx="988">
                <c:v>28.04</c:v>
              </c:pt>
              <c:pt idx="989">
                <c:v>28.09</c:v>
              </c:pt>
              <c:pt idx="990">
                <c:v>28.13</c:v>
              </c:pt>
              <c:pt idx="991">
                <c:v>28.14</c:v>
              </c:pt>
              <c:pt idx="992">
                <c:v>28.18</c:v>
              </c:pt>
              <c:pt idx="993">
                <c:v>28.27</c:v>
              </c:pt>
              <c:pt idx="994">
                <c:v>28.18</c:v>
              </c:pt>
              <c:pt idx="995">
                <c:v>28.18</c:v>
              </c:pt>
              <c:pt idx="996">
                <c:v>28.13</c:v>
              </c:pt>
              <c:pt idx="997">
                <c:v>28.16</c:v>
              </c:pt>
              <c:pt idx="998">
                <c:v>28.19</c:v>
              </c:pt>
              <c:pt idx="999">
                <c:v>28.29</c:v>
              </c:pt>
              <c:pt idx="1000">
                <c:v>28.32</c:v>
              </c:pt>
              <c:pt idx="1001">
                <c:v>28.28</c:v>
              </c:pt>
              <c:pt idx="1002">
                <c:v>28.25</c:v>
              </c:pt>
              <c:pt idx="1003">
                <c:v>28.25</c:v>
              </c:pt>
              <c:pt idx="1004">
                <c:v>28.23</c:v>
              </c:pt>
              <c:pt idx="1005">
                <c:v>28.21</c:v>
              </c:pt>
              <c:pt idx="1006">
                <c:v>28.14</c:v>
              </c:pt>
              <c:pt idx="1007">
                <c:v>28.04</c:v>
              </c:pt>
              <c:pt idx="1008">
                <c:v>28</c:v>
              </c:pt>
              <c:pt idx="1009">
                <c:v>27.97</c:v>
              </c:pt>
              <c:pt idx="1010">
                <c:v>27.94</c:v>
              </c:pt>
              <c:pt idx="1011">
                <c:v>27.91</c:v>
              </c:pt>
              <c:pt idx="1012">
                <c:v>27.91</c:v>
              </c:pt>
              <c:pt idx="1013">
                <c:v>27.82</c:v>
              </c:pt>
              <c:pt idx="1014">
                <c:v>27.79</c:v>
              </c:pt>
              <c:pt idx="1015">
                <c:v>27.69</c:v>
              </c:pt>
              <c:pt idx="1016">
                <c:v>27.67</c:v>
              </c:pt>
              <c:pt idx="1017">
                <c:v>27.64</c:v>
              </c:pt>
              <c:pt idx="1018">
                <c:v>27.6</c:v>
              </c:pt>
              <c:pt idx="1019">
                <c:v>27.49</c:v>
              </c:pt>
              <c:pt idx="1020">
                <c:v>27.42</c:v>
              </c:pt>
              <c:pt idx="1021">
                <c:v>27.35</c:v>
              </c:pt>
              <c:pt idx="1022">
                <c:v>27.32</c:v>
              </c:pt>
              <c:pt idx="1023">
                <c:v>27.29</c:v>
              </c:pt>
              <c:pt idx="1024">
                <c:v>27.31</c:v>
              </c:pt>
              <c:pt idx="1025">
                <c:v>27.3</c:v>
              </c:pt>
              <c:pt idx="1026">
                <c:v>27.3</c:v>
              </c:pt>
              <c:pt idx="1027">
                <c:v>27.35</c:v>
              </c:pt>
              <c:pt idx="1028">
                <c:v>27.37</c:v>
              </c:pt>
              <c:pt idx="1029">
                <c:v>27.4</c:v>
              </c:pt>
              <c:pt idx="1030">
                <c:v>27.36</c:v>
              </c:pt>
              <c:pt idx="1031">
                <c:v>27.43</c:v>
              </c:pt>
              <c:pt idx="1032">
                <c:v>27.5</c:v>
              </c:pt>
              <c:pt idx="1033">
                <c:v>27.58</c:v>
              </c:pt>
              <c:pt idx="1034">
                <c:v>27.67</c:v>
              </c:pt>
              <c:pt idx="1035">
                <c:v>27.72</c:v>
              </c:pt>
              <c:pt idx="1036">
                <c:v>27.75</c:v>
              </c:pt>
              <c:pt idx="1037">
                <c:v>27.89</c:v>
              </c:pt>
              <c:pt idx="1038">
                <c:v>27.86</c:v>
              </c:pt>
              <c:pt idx="1039">
                <c:v>27.93</c:v>
              </c:pt>
              <c:pt idx="1040">
                <c:v>27.99</c:v>
              </c:pt>
              <c:pt idx="1041">
                <c:v>28.03</c:v>
              </c:pt>
              <c:pt idx="1042">
                <c:v>28.09</c:v>
              </c:pt>
              <c:pt idx="1043">
                <c:v>28.1</c:v>
              </c:pt>
              <c:pt idx="1044">
                <c:v>28.13</c:v>
              </c:pt>
              <c:pt idx="1045">
                <c:v>28.13</c:v>
              </c:pt>
              <c:pt idx="1046">
                <c:v>28.12</c:v>
              </c:pt>
              <c:pt idx="1047">
                <c:v>28.06</c:v>
              </c:pt>
              <c:pt idx="1048">
                <c:v>28</c:v>
              </c:pt>
              <c:pt idx="1049">
                <c:v>28</c:v>
              </c:pt>
              <c:pt idx="1050">
                <c:v>28.02</c:v>
              </c:pt>
              <c:pt idx="1051">
                <c:v>28.05</c:v>
              </c:pt>
              <c:pt idx="1052">
                <c:v>28.06</c:v>
              </c:pt>
              <c:pt idx="1053">
                <c:v>28.08</c:v>
              </c:pt>
              <c:pt idx="1054">
                <c:v>28.07</c:v>
              </c:pt>
              <c:pt idx="1055">
                <c:v>28.07</c:v>
              </c:pt>
              <c:pt idx="1056">
                <c:v>28.06</c:v>
              </c:pt>
              <c:pt idx="1057">
                <c:v>28.07</c:v>
              </c:pt>
              <c:pt idx="1058">
                <c:v>28.1</c:v>
              </c:pt>
              <c:pt idx="1059">
                <c:v>28.1</c:v>
              </c:pt>
              <c:pt idx="1060">
                <c:v>28.08</c:v>
              </c:pt>
              <c:pt idx="1061">
                <c:v>28.14</c:v>
              </c:pt>
              <c:pt idx="1062">
                <c:v>28.16</c:v>
              </c:pt>
              <c:pt idx="1063">
                <c:v>28.21</c:v>
              </c:pt>
              <c:pt idx="1064">
                <c:v>28.21</c:v>
              </c:pt>
              <c:pt idx="1065">
                <c:v>28.22</c:v>
              </c:pt>
              <c:pt idx="1066">
                <c:v>28.22</c:v>
              </c:pt>
              <c:pt idx="1067">
                <c:v>28.22</c:v>
              </c:pt>
              <c:pt idx="1068">
                <c:v>28.26</c:v>
              </c:pt>
              <c:pt idx="1069">
                <c:v>28.23</c:v>
              </c:pt>
              <c:pt idx="1070">
                <c:v>28.24</c:v>
              </c:pt>
              <c:pt idx="1071">
                <c:v>28.22</c:v>
              </c:pt>
              <c:pt idx="1072">
                <c:v>28.26</c:v>
              </c:pt>
              <c:pt idx="1073">
                <c:v>28.29</c:v>
              </c:pt>
              <c:pt idx="1074">
                <c:v>28.32</c:v>
              </c:pt>
              <c:pt idx="1075">
                <c:v>28.29</c:v>
              </c:pt>
              <c:pt idx="1076">
                <c:v>28.26</c:v>
              </c:pt>
              <c:pt idx="1077">
                <c:v>28.23</c:v>
              </c:pt>
              <c:pt idx="1078">
                <c:v>28.21</c:v>
              </c:pt>
              <c:pt idx="1079">
                <c:v>28.22</c:v>
              </c:pt>
              <c:pt idx="1080">
                <c:v>28.16</c:v>
              </c:pt>
              <c:pt idx="1081">
                <c:v>28.09</c:v>
              </c:pt>
              <c:pt idx="1082">
                <c:v>27.98</c:v>
              </c:pt>
              <c:pt idx="1083">
                <c:v>27.95</c:v>
              </c:pt>
              <c:pt idx="1084">
                <c:v>27.87</c:v>
              </c:pt>
              <c:pt idx="1085">
                <c:v>27.84</c:v>
              </c:pt>
              <c:pt idx="1086">
                <c:v>27.79</c:v>
              </c:pt>
              <c:pt idx="1087">
                <c:v>27.77</c:v>
              </c:pt>
              <c:pt idx="1088">
                <c:v>27.77</c:v>
              </c:pt>
              <c:pt idx="1089">
                <c:v>27.75</c:v>
              </c:pt>
              <c:pt idx="1090">
                <c:v>27.71</c:v>
              </c:pt>
              <c:pt idx="1091">
                <c:v>27.7</c:v>
              </c:pt>
              <c:pt idx="1092">
                <c:v>27.74</c:v>
              </c:pt>
              <c:pt idx="1093">
                <c:v>27.74</c:v>
              </c:pt>
              <c:pt idx="1094">
                <c:v>27.75</c:v>
              </c:pt>
              <c:pt idx="1095">
                <c:v>27.71</c:v>
              </c:pt>
              <c:pt idx="1096">
                <c:v>27.73</c:v>
              </c:pt>
              <c:pt idx="1097">
                <c:v>27.74</c:v>
              </c:pt>
              <c:pt idx="1098">
                <c:v>27.76</c:v>
              </c:pt>
              <c:pt idx="1099">
                <c:v>27.75</c:v>
              </c:pt>
              <c:pt idx="1100">
                <c:v>27.77</c:v>
              </c:pt>
              <c:pt idx="1101">
                <c:v>27.76</c:v>
              </c:pt>
              <c:pt idx="1102">
                <c:v>27.79</c:v>
              </c:pt>
              <c:pt idx="1103">
                <c:v>27.78</c:v>
              </c:pt>
              <c:pt idx="1104">
                <c:v>27.82</c:v>
              </c:pt>
              <c:pt idx="1105">
                <c:v>27.81</c:v>
              </c:pt>
              <c:pt idx="1106">
                <c:v>27.82</c:v>
              </c:pt>
              <c:pt idx="1107">
                <c:v>27.8</c:v>
              </c:pt>
              <c:pt idx="1108">
                <c:v>27.82</c:v>
              </c:pt>
              <c:pt idx="1109">
                <c:v>27.82</c:v>
              </c:pt>
              <c:pt idx="1110">
                <c:v>27.83</c:v>
              </c:pt>
              <c:pt idx="1111">
                <c:v>27.83</c:v>
              </c:pt>
              <c:pt idx="1112">
                <c:v>27.83</c:v>
              </c:pt>
              <c:pt idx="1113">
                <c:v>27.81</c:v>
              </c:pt>
              <c:pt idx="1114">
                <c:v>27.8</c:v>
              </c:pt>
              <c:pt idx="1115">
                <c:v>27.78</c:v>
              </c:pt>
              <c:pt idx="1116">
                <c:v>27.78</c:v>
              </c:pt>
              <c:pt idx="1117">
                <c:v>27.77</c:v>
              </c:pt>
              <c:pt idx="1118">
                <c:v>27.79</c:v>
              </c:pt>
              <c:pt idx="1119">
                <c:v>27.77</c:v>
              </c:pt>
              <c:pt idx="1120">
                <c:v>27.78</c:v>
              </c:pt>
              <c:pt idx="1121">
                <c:v>27.78</c:v>
              </c:pt>
              <c:pt idx="1122">
                <c:v>27.77</c:v>
              </c:pt>
              <c:pt idx="1123">
                <c:v>27.77</c:v>
              </c:pt>
              <c:pt idx="1124">
                <c:v>27.76</c:v>
              </c:pt>
              <c:pt idx="1125">
                <c:v>27.75</c:v>
              </c:pt>
              <c:pt idx="1126">
                <c:v>27.77</c:v>
              </c:pt>
              <c:pt idx="1127">
                <c:v>27.76</c:v>
              </c:pt>
              <c:pt idx="1128">
                <c:v>27.77</c:v>
              </c:pt>
              <c:pt idx="1129">
                <c:v>27.75</c:v>
              </c:pt>
              <c:pt idx="1130">
                <c:v>27.77</c:v>
              </c:pt>
              <c:pt idx="1131">
                <c:v>27.76</c:v>
              </c:pt>
              <c:pt idx="1132">
                <c:v>27.77</c:v>
              </c:pt>
              <c:pt idx="1133">
                <c:v>27.76</c:v>
              </c:pt>
              <c:pt idx="1134">
                <c:v>27.76</c:v>
              </c:pt>
              <c:pt idx="1135">
                <c:v>27.73</c:v>
              </c:pt>
              <c:pt idx="1136">
                <c:v>27.76</c:v>
              </c:pt>
              <c:pt idx="1137">
                <c:v>27.77</c:v>
              </c:pt>
              <c:pt idx="1138">
                <c:v>27.75</c:v>
              </c:pt>
              <c:pt idx="1139">
                <c:v>27.76</c:v>
              </c:pt>
              <c:pt idx="1140">
                <c:v>27.76</c:v>
              </c:pt>
              <c:pt idx="1141">
                <c:v>27.77</c:v>
              </c:pt>
              <c:pt idx="1142">
                <c:v>27.76</c:v>
              </c:pt>
              <c:pt idx="1143">
                <c:v>27.76</c:v>
              </c:pt>
              <c:pt idx="1144">
                <c:v>27.75</c:v>
              </c:pt>
              <c:pt idx="1145">
                <c:v>27.76</c:v>
              </c:pt>
              <c:pt idx="1146">
                <c:v>27.75</c:v>
              </c:pt>
              <c:pt idx="1147">
                <c:v>27.73</c:v>
              </c:pt>
              <c:pt idx="1148">
                <c:v>27.73</c:v>
              </c:pt>
              <c:pt idx="1149">
                <c:v>27.75</c:v>
              </c:pt>
              <c:pt idx="1150">
                <c:v>27.71</c:v>
              </c:pt>
              <c:pt idx="1151">
                <c:v>27.71</c:v>
              </c:pt>
              <c:pt idx="1152">
                <c:v>27.68</c:v>
              </c:pt>
              <c:pt idx="1153">
                <c:v>27.7</c:v>
              </c:pt>
              <c:pt idx="1154">
                <c:v>27.69</c:v>
              </c:pt>
              <c:pt idx="1155">
                <c:v>27.7</c:v>
              </c:pt>
              <c:pt idx="1156">
                <c:v>27.71</c:v>
              </c:pt>
              <c:pt idx="1157">
                <c:v>27.73</c:v>
              </c:pt>
              <c:pt idx="1158">
                <c:v>27.71</c:v>
              </c:pt>
              <c:pt idx="1159">
                <c:v>27.72</c:v>
              </c:pt>
              <c:pt idx="1160">
                <c:v>27.73</c:v>
              </c:pt>
              <c:pt idx="1161">
                <c:v>27.73</c:v>
              </c:pt>
              <c:pt idx="1162">
                <c:v>27.74</c:v>
              </c:pt>
              <c:pt idx="1163">
                <c:v>27.72</c:v>
              </c:pt>
              <c:pt idx="1164">
                <c:v>27.73</c:v>
              </c:pt>
              <c:pt idx="1165">
                <c:v>27.71</c:v>
              </c:pt>
              <c:pt idx="1166">
                <c:v>27.71</c:v>
              </c:pt>
              <c:pt idx="1167">
                <c:v>27.69</c:v>
              </c:pt>
              <c:pt idx="1168">
                <c:v>27.72</c:v>
              </c:pt>
              <c:pt idx="1169">
                <c:v>27.71</c:v>
              </c:pt>
              <c:pt idx="1170">
                <c:v>27.71</c:v>
              </c:pt>
              <c:pt idx="1171">
                <c:v>27.7</c:v>
              </c:pt>
              <c:pt idx="1172">
                <c:v>27.72</c:v>
              </c:pt>
              <c:pt idx="1173">
                <c:v>27.71</c:v>
              </c:pt>
              <c:pt idx="1174">
                <c:v>27.7</c:v>
              </c:pt>
              <c:pt idx="1175">
                <c:v>27.71</c:v>
              </c:pt>
              <c:pt idx="1176">
                <c:v>27.7</c:v>
              </c:pt>
              <c:pt idx="1177">
                <c:v>27.68</c:v>
              </c:pt>
              <c:pt idx="1178">
                <c:v>27.66</c:v>
              </c:pt>
              <c:pt idx="1179">
                <c:v>27.68</c:v>
              </c:pt>
              <c:pt idx="1180">
                <c:v>27.67</c:v>
              </c:pt>
              <c:pt idx="1181">
                <c:v>27.67</c:v>
              </c:pt>
              <c:pt idx="1182">
                <c:v>27.65</c:v>
              </c:pt>
              <c:pt idx="1183">
                <c:v>27.69</c:v>
              </c:pt>
              <c:pt idx="1184">
                <c:v>27.7</c:v>
              </c:pt>
              <c:pt idx="1185">
                <c:v>27.69</c:v>
              </c:pt>
              <c:pt idx="1186">
                <c:v>27.68</c:v>
              </c:pt>
              <c:pt idx="1187">
                <c:v>27.67</c:v>
              </c:pt>
              <c:pt idx="1188">
                <c:v>27.65</c:v>
              </c:pt>
              <c:pt idx="1189">
                <c:v>27.64</c:v>
              </c:pt>
              <c:pt idx="1190">
                <c:v>27.62</c:v>
              </c:pt>
              <c:pt idx="1191">
                <c:v>27.64</c:v>
              </c:pt>
              <c:pt idx="1192">
                <c:v>27.63</c:v>
              </c:pt>
              <c:pt idx="1193">
                <c:v>27.6</c:v>
              </c:pt>
              <c:pt idx="1194">
                <c:v>27.61</c:v>
              </c:pt>
              <c:pt idx="1195">
                <c:v>27.6</c:v>
              </c:pt>
              <c:pt idx="1196">
                <c:v>27.58</c:v>
              </c:pt>
              <c:pt idx="1197">
                <c:v>27.57</c:v>
              </c:pt>
              <c:pt idx="1198">
                <c:v>27.58</c:v>
              </c:pt>
              <c:pt idx="1199">
                <c:v>27.57</c:v>
              </c:pt>
              <c:pt idx="1200">
                <c:v>27.58</c:v>
              </c:pt>
              <c:pt idx="1201">
                <c:v>27.56</c:v>
              </c:pt>
              <c:pt idx="1202">
                <c:v>27.6</c:v>
              </c:pt>
              <c:pt idx="1203">
                <c:v>27.6</c:v>
              </c:pt>
              <c:pt idx="1204">
                <c:v>27.64</c:v>
              </c:pt>
              <c:pt idx="1205">
                <c:v>27.61</c:v>
              </c:pt>
              <c:pt idx="1206">
                <c:v>27.62</c:v>
              </c:pt>
              <c:pt idx="1207">
                <c:v>27.6</c:v>
              </c:pt>
              <c:pt idx="1208">
                <c:v>27.61</c:v>
              </c:pt>
              <c:pt idx="1209">
                <c:v>27.61</c:v>
              </c:pt>
              <c:pt idx="1210">
                <c:v>27.59</c:v>
              </c:pt>
              <c:pt idx="1211">
                <c:v>27.58</c:v>
              </c:pt>
              <c:pt idx="1212">
                <c:v>27.57</c:v>
              </c:pt>
              <c:pt idx="1213">
                <c:v>27.6</c:v>
              </c:pt>
              <c:pt idx="1214">
                <c:v>27.57</c:v>
              </c:pt>
              <c:pt idx="1215">
                <c:v>27.57</c:v>
              </c:pt>
              <c:pt idx="1216">
                <c:v>27.54</c:v>
              </c:pt>
              <c:pt idx="1217">
                <c:v>27.56</c:v>
              </c:pt>
              <c:pt idx="1218">
                <c:v>27.55</c:v>
              </c:pt>
              <c:pt idx="1219">
                <c:v>27.54</c:v>
              </c:pt>
              <c:pt idx="1220">
                <c:v>27.55</c:v>
              </c:pt>
              <c:pt idx="1221">
                <c:v>27.55</c:v>
              </c:pt>
              <c:pt idx="1222">
                <c:v>27.55</c:v>
              </c:pt>
              <c:pt idx="1223">
                <c:v>27.54</c:v>
              </c:pt>
              <c:pt idx="1224">
                <c:v>27.53</c:v>
              </c:pt>
              <c:pt idx="1225">
                <c:v>27.55</c:v>
              </c:pt>
              <c:pt idx="1226">
                <c:v>27.54</c:v>
              </c:pt>
              <c:pt idx="1227">
                <c:v>27.54</c:v>
              </c:pt>
              <c:pt idx="1228">
                <c:v>27.54</c:v>
              </c:pt>
              <c:pt idx="1229">
                <c:v>27.54</c:v>
              </c:pt>
              <c:pt idx="1230">
                <c:v>27.53</c:v>
              </c:pt>
              <c:pt idx="1231">
                <c:v>27.53</c:v>
              </c:pt>
              <c:pt idx="1232">
                <c:v>27.54</c:v>
              </c:pt>
              <c:pt idx="1233">
                <c:v>27.54</c:v>
              </c:pt>
              <c:pt idx="1234">
                <c:v>27.53</c:v>
              </c:pt>
              <c:pt idx="1235">
                <c:v>27.54</c:v>
              </c:pt>
              <c:pt idx="1236">
                <c:v>27.54</c:v>
              </c:pt>
              <c:pt idx="1237">
                <c:v>27.53</c:v>
              </c:pt>
              <c:pt idx="1238">
                <c:v>27.52</c:v>
              </c:pt>
              <c:pt idx="1239">
                <c:v>27.5</c:v>
              </c:pt>
              <c:pt idx="1240">
                <c:v>27.52</c:v>
              </c:pt>
              <c:pt idx="1241">
                <c:v>27.51</c:v>
              </c:pt>
              <c:pt idx="1242">
                <c:v>27.52</c:v>
              </c:pt>
              <c:pt idx="1243">
                <c:v>27.5</c:v>
              </c:pt>
              <c:pt idx="1244">
                <c:v>27.51</c:v>
              </c:pt>
              <c:pt idx="1245">
                <c:v>27.52</c:v>
              </c:pt>
              <c:pt idx="1246">
                <c:v>27.51</c:v>
              </c:pt>
              <c:pt idx="1247">
                <c:v>27.51</c:v>
              </c:pt>
              <c:pt idx="1248">
                <c:v>27.5</c:v>
              </c:pt>
              <c:pt idx="1249">
                <c:v>27.5</c:v>
              </c:pt>
              <c:pt idx="1250">
                <c:v>27.48</c:v>
              </c:pt>
              <c:pt idx="1251">
                <c:v>27.49</c:v>
              </c:pt>
              <c:pt idx="1252">
                <c:v>27.49</c:v>
              </c:pt>
              <c:pt idx="1253">
                <c:v>27.5</c:v>
              </c:pt>
              <c:pt idx="1254">
                <c:v>27.49</c:v>
              </c:pt>
              <c:pt idx="1255">
                <c:v>27.5</c:v>
              </c:pt>
              <c:pt idx="1256">
                <c:v>27.48</c:v>
              </c:pt>
              <c:pt idx="1257">
                <c:v>27.49</c:v>
              </c:pt>
              <c:pt idx="1258">
                <c:v>27.48</c:v>
              </c:pt>
              <c:pt idx="1259">
                <c:v>27.47</c:v>
              </c:pt>
              <c:pt idx="1260">
                <c:v>27.47</c:v>
              </c:pt>
              <c:pt idx="1261">
                <c:v>27.44</c:v>
              </c:pt>
              <c:pt idx="1262">
                <c:v>27.47</c:v>
              </c:pt>
              <c:pt idx="1263">
                <c:v>27.45</c:v>
              </c:pt>
              <c:pt idx="1264">
                <c:v>27.48</c:v>
              </c:pt>
              <c:pt idx="1265">
                <c:v>27.46</c:v>
              </c:pt>
              <c:pt idx="1266">
                <c:v>27.47</c:v>
              </c:pt>
              <c:pt idx="1267">
                <c:v>27.47</c:v>
              </c:pt>
              <c:pt idx="1268">
                <c:v>27.48</c:v>
              </c:pt>
              <c:pt idx="1269">
                <c:v>27.49</c:v>
              </c:pt>
              <c:pt idx="1270">
                <c:v>27.49</c:v>
              </c:pt>
              <c:pt idx="1271">
                <c:v>27.5</c:v>
              </c:pt>
              <c:pt idx="1272">
                <c:v>27.5</c:v>
              </c:pt>
              <c:pt idx="1273">
                <c:v>27.51</c:v>
              </c:pt>
              <c:pt idx="1274">
                <c:v>27.49</c:v>
              </c:pt>
              <c:pt idx="1275">
                <c:v>27.51</c:v>
              </c:pt>
              <c:pt idx="1276">
                <c:v>27.49</c:v>
              </c:pt>
              <c:pt idx="1277">
                <c:v>27.51</c:v>
              </c:pt>
              <c:pt idx="1278">
                <c:v>27.53</c:v>
              </c:pt>
              <c:pt idx="1279">
                <c:v>27.52</c:v>
              </c:pt>
              <c:pt idx="1280">
                <c:v>27.52</c:v>
              </c:pt>
              <c:pt idx="1281">
                <c:v>27.51</c:v>
              </c:pt>
              <c:pt idx="1282">
                <c:v>27.51</c:v>
              </c:pt>
              <c:pt idx="1283">
                <c:v>27.5</c:v>
              </c:pt>
              <c:pt idx="1284">
                <c:v>27.52</c:v>
              </c:pt>
              <c:pt idx="1285">
                <c:v>27.53</c:v>
              </c:pt>
              <c:pt idx="1286">
                <c:v>27.54</c:v>
              </c:pt>
              <c:pt idx="1287">
                <c:v>27.51</c:v>
              </c:pt>
              <c:pt idx="1288">
                <c:v>27.49</c:v>
              </c:pt>
              <c:pt idx="1289">
                <c:v>27.51</c:v>
              </c:pt>
              <c:pt idx="1290">
                <c:v>27.48</c:v>
              </c:pt>
              <c:pt idx="1291">
                <c:v>27.5</c:v>
              </c:pt>
              <c:pt idx="1292">
                <c:v>27.49</c:v>
              </c:pt>
              <c:pt idx="1293">
                <c:v>27.52</c:v>
              </c:pt>
              <c:pt idx="1294">
                <c:v>27.51</c:v>
              </c:pt>
              <c:pt idx="1295">
                <c:v>27.52</c:v>
              </c:pt>
              <c:pt idx="1296">
                <c:v>27.53</c:v>
              </c:pt>
              <c:pt idx="1297">
                <c:v>27.53</c:v>
              </c:pt>
              <c:pt idx="1298">
                <c:v>27.53</c:v>
              </c:pt>
              <c:pt idx="1299">
                <c:v>27.51</c:v>
              </c:pt>
              <c:pt idx="1300">
                <c:v>27.5</c:v>
              </c:pt>
              <c:pt idx="1301">
                <c:v>27.48</c:v>
              </c:pt>
              <c:pt idx="1302">
                <c:v>27.48</c:v>
              </c:pt>
              <c:pt idx="1303">
                <c:v>27.45</c:v>
              </c:pt>
              <c:pt idx="1304">
                <c:v>27.46</c:v>
              </c:pt>
              <c:pt idx="1305">
                <c:v>27.46</c:v>
              </c:pt>
              <c:pt idx="1306">
                <c:v>27.46</c:v>
              </c:pt>
              <c:pt idx="1307">
                <c:v>27.48</c:v>
              </c:pt>
              <c:pt idx="1308">
                <c:v>27.51</c:v>
              </c:pt>
              <c:pt idx="1309">
                <c:v>27.49</c:v>
              </c:pt>
              <c:pt idx="1310">
                <c:v>27.52</c:v>
              </c:pt>
              <c:pt idx="1311">
                <c:v>27.51</c:v>
              </c:pt>
              <c:pt idx="1312">
                <c:v>27.5</c:v>
              </c:pt>
              <c:pt idx="1313">
                <c:v>27.47</c:v>
              </c:pt>
              <c:pt idx="1314">
                <c:v>27.51</c:v>
              </c:pt>
              <c:pt idx="1315">
                <c:v>27.5</c:v>
              </c:pt>
              <c:pt idx="1316">
                <c:v>27.5</c:v>
              </c:pt>
              <c:pt idx="1317">
                <c:v>27.49</c:v>
              </c:pt>
              <c:pt idx="1318">
                <c:v>27.5</c:v>
              </c:pt>
              <c:pt idx="1319">
                <c:v>27.51</c:v>
              </c:pt>
              <c:pt idx="1320">
                <c:v>27.5</c:v>
              </c:pt>
              <c:pt idx="1321">
                <c:v>27.5</c:v>
              </c:pt>
              <c:pt idx="1322">
                <c:v>27.52</c:v>
              </c:pt>
              <c:pt idx="1323">
                <c:v>27.49</c:v>
              </c:pt>
              <c:pt idx="1324">
                <c:v>27.48</c:v>
              </c:pt>
              <c:pt idx="1325">
                <c:v>27.46</c:v>
              </c:pt>
              <c:pt idx="1326">
                <c:v>27.47</c:v>
              </c:pt>
              <c:pt idx="1327">
                <c:v>27.45</c:v>
              </c:pt>
              <c:pt idx="1328">
                <c:v>27.45</c:v>
              </c:pt>
              <c:pt idx="1329">
                <c:v>27.44</c:v>
              </c:pt>
              <c:pt idx="1330">
                <c:v>27.44</c:v>
              </c:pt>
              <c:pt idx="1331">
                <c:v>27.42</c:v>
              </c:pt>
              <c:pt idx="1332">
                <c:v>27.42</c:v>
              </c:pt>
              <c:pt idx="1333">
                <c:v>27.41</c:v>
              </c:pt>
              <c:pt idx="1334">
                <c:v>27.43</c:v>
              </c:pt>
              <c:pt idx="1335">
                <c:v>27.43</c:v>
              </c:pt>
              <c:pt idx="1336">
                <c:v>27.42</c:v>
              </c:pt>
              <c:pt idx="1337">
                <c:v>27.4</c:v>
              </c:pt>
              <c:pt idx="1338">
                <c:v>27.41</c:v>
              </c:pt>
              <c:pt idx="1339">
                <c:v>27.39</c:v>
              </c:pt>
              <c:pt idx="1340">
                <c:v>27.42</c:v>
              </c:pt>
              <c:pt idx="1341">
                <c:v>27.44</c:v>
              </c:pt>
              <c:pt idx="1342">
                <c:v>27.42</c:v>
              </c:pt>
              <c:pt idx="1343">
                <c:v>27.41</c:v>
              </c:pt>
              <c:pt idx="1344">
                <c:v>27.4</c:v>
              </c:pt>
              <c:pt idx="1345">
                <c:v>27.38</c:v>
              </c:pt>
              <c:pt idx="1346">
                <c:v>27.39</c:v>
              </c:pt>
              <c:pt idx="1347">
                <c:v>27.4</c:v>
              </c:pt>
              <c:pt idx="1348">
                <c:v>27.38</c:v>
              </c:pt>
              <c:pt idx="1349">
                <c:v>27.39</c:v>
              </c:pt>
              <c:pt idx="1350">
                <c:v>27.4</c:v>
              </c:pt>
              <c:pt idx="1351">
                <c:v>27.4</c:v>
              </c:pt>
              <c:pt idx="1352">
                <c:v>27.4</c:v>
              </c:pt>
              <c:pt idx="1353">
                <c:v>27.45</c:v>
              </c:pt>
              <c:pt idx="1354">
                <c:v>27.46</c:v>
              </c:pt>
              <c:pt idx="1355">
                <c:v>27.46</c:v>
              </c:pt>
              <c:pt idx="1356">
                <c:v>27.47</c:v>
              </c:pt>
              <c:pt idx="1357">
                <c:v>27.43</c:v>
              </c:pt>
              <c:pt idx="1358">
                <c:v>27.45</c:v>
              </c:pt>
              <c:pt idx="1359">
                <c:v>27.42</c:v>
              </c:pt>
              <c:pt idx="1360">
                <c:v>27.45</c:v>
              </c:pt>
              <c:pt idx="1361">
                <c:v>27.44</c:v>
              </c:pt>
              <c:pt idx="1362">
                <c:v>27.45</c:v>
              </c:pt>
              <c:pt idx="1363">
                <c:v>27.48</c:v>
              </c:pt>
              <c:pt idx="1364">
                <c:v>27.45</c:v>
              </c:pt>
              <c:pt idx="1365">
                <c:v>27.46</c:v>
              </c:pt>
              <c:pt idx="1366">
                <c:v>27.42</c:v>
              </c:pt>
              <c:pt idx="1367">
                <c:v>27.43</c:v>
              </c:pt>
              <c:pt idx="1368">
                <c:v>27.41</c:v>
              </c:pt>
              <c:pt idx="1369">
                <c:v>27.42</c:v>
              </c:pt>
              <c:pt idx="1370">
                <c:v>27.39</c:v>
              </c:pt>
              <c:pt idx="1371">
                <c:v>27.38</c:v>
              </c:pt>
              <c:pt idx="1372">
                <c:v>27.37</c:v>
              </c:pt>
              <c:pt idx="1373">
                <c:v>27.37</c:v>
              </c:pt>
              <c:pt idx="1374">
                <c:v>27.39</c:v>
              </c:pt>
              <c:pt idx="1375">
                <c:v>27.36</c:v>
              </c:pt>
              <c:pt idx="1376">
                <c:v>27.36</c:v>
              </c:pt>
              <c:pt idx="1377">
                <c:v>27.35</c:v>
              </c:pt>
              <c:pt idx="1378">
                <c:v>27.36</c:v>
              </c:pt>
              <c:pt idx="1379">
                <c:v>27.35</c:v>
              </c:pt>
              <c:pt idx="1380">
                <c:v>27.35</c:v>
              </c:pt>
              <c:pt idx="1381">
                <c:v>27.35</c:v>
              </c:pt>
              <c:pt idx="1382">
                <c:v>27.34</c:v>
              </c:pt>
              <c:pt idx="1383">
                <c:v>27.34</c:v>
              </c:pt>
              <c:pt idx="1384">
                <c:v>27.28</c:v>
              </c:pt>
              <c:pt idx="1385">
                <c:v>27.27</c:v>
              </c:pt>
              <c:pt idx="1386">
                <c:v>27.25</c:v>
              </c:pt>
              <c:pt idx="1387">
                <c:v>27.24</c:v>
              </c:pt>
              <c:pt idx="1388">
                <c:v>27.22</c:v>
              </c:pt>
              <c:pt idx="1389">
                <c:v>27.23</c:v>
              </c:pt>
              <c:pt idx="1390">
                <c:v>27.23</c:v>
              </c:pt>
              <c:pt idx="1391">
                <c:v>27.23</c:v>
              </c:pt>
              <c:pt idx="1392">
                <c:v>27.23</c:v>
              </c:pt>
              <c:pt idx="1393">
                <c:v>27.23</c:v>
              </c:pt>
              <c:pt idx="1394">
                <c:v>27.2</c:v>
              </c:pt>
              <c:pt idx="1395">
                <c:v>27.2</c:v>
              </c:pt>
              <c:pt idx="1396">
                <c:v>27.19</c:v>
              </c:pt>
              <c:pt idx="1397">
                <c:v>27.17</c:v>
              </c:pt>
              <c:pt idx="1398">
                <c:v>27.15</c:v>
              </c:pt>
              <c:pt idx="1399">
                <c:v>27.14</c:v>
              </c:pt>
              <c:pt idx="1400">
                <c:v>27.13</c:v>
              </c:pt>
              <c:pt idx="1401">
                <c:v>27.13</c:v>
              </c:pt>
              <c:pt idx="1402">
                <c:v>27.17</c:v>
              </c:pt>
              <c:pt idx="1403">
                <c:v>27.18</c:v>
              </c:pt>
              <c:pt idx="1404">
                <c:v>27.19</c:v>
              </c:pt>
              <c:pt idx="1405">
                <c:v>27.19</c:v>
              </c:pt>
              <c:pt idx="1406">
                <c:v>27.19</c:v>
              </c:pt>
              <c:pt idx="1407">
                <c:v>27.21</c:v>
              </c:pt>
              <c:pt idx="1408">
                <c:v>27.23</c:v>
              </c:pt>
              <c:pt idx="1409">
                <c:v>27.23</c:v>
              </c:pt>
              <c:pt idx="1410">
                <c:v>27.23</c:v>
              </c:pt>
              <c:pt idx="1411">
                <c:v>27.21</c:v>
              </c:pt>
              <c:pt idx="1412">
                <c:v>27.19</c:v>
              </c:pt>
              <c:pt idx="1413">
                <c:v>27.18</c:v>
              </c:pt>
              <c:pt idx="1414">
                <c:v>27.18</c:v>
              </c:pt>
              <c:pt idx="1415">
                <c:v>27.15</c:v>
              </c:pt>
              <c:pt idx="1416">
                <c:v>27.13</c:v>
              </c:pt>
              <c:pt idx="1417">
                <c:v>27.1</c:v>
              </c:pt>
              <c:pt idx="1418">
                <c:v>27.09</c:v>
              </c:pt>
              <c:pt idx="1419">
                <c:v>27.1</c:v>
              </c:pt>
              <c:pt idx="1420">
                <c:v>27.09</c:v>
              </c:pt>
              <c:pt idx="1421">
                <c:v>27.09</c:v>
              </c:pt>
              <c:pt idx="1422">
                <c:v>27.08</c:v>
              </c:pt>
              <c:pt idx="1423">
                <c:v>27.09</c:v>
              </c:pt>
              <c:pt idx="1424">
                <c:v>27.08</c:v>
              </c:pt>
              <c:pt idx="1425">
                <c:v>27.09</c:v>
              </c:pt>
              <c:pt idx="1426">
                <c:v>27.06</c:v>
              </c:pt>
              <c:pt idx="1427">
                <c:v>27.07</c:v>
              </c:pt>
              <c:pt idx="1428">
                <c:v>27.07</c:v>
              </c:pt>
              <c:pt idx="1429">
                <c:v>27.05</c:v>
              </c:pt>
              <c:pt idx="1430">
                <c:v>27.07</c:v>
              </c:pt>
              <c:pt idx="1431">
                <c:v>27.07</c:v>
              </c:pt>
              <c:pt idx="1432">
                <c:v>27.06</c:v>
              </c:pt>
              <c:pt idx="1433">
                <c:v>27.05</c:v>
              </c:pt>
              <c:pt idx="1434">
                <c:v>27.06</c:v>
              </c:pt>
              <c:pt idx="1435">
                <c:v>27.05</c:v>
              </c:pt>
              <c:pt idx="1436">
                <c:v>27.04</c:v>
              </c:pt>
              <c:pt idx="1437">
                <c:v>27.03</c:v>
              </c:pt>
              <c:pt idx="1438">
                <c:v>27.05</c:v>
              </c:pt>
              <c:pt idx="1439">
                <c:v>27.04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25.331066225165525</c:v>
              </c:pt>
            </c:numLit>
          </c:val>
          <c:smooth val="0"/>
          <c:extLst>
            <c:ext xmlns:c16="http://schemas.microsoft.com/office/drawing/2014/chart" uri="{C3380CC4-5D6E-409C-BE32-E72D297353CC}">
              <c16:uniqueId val="{00000004-1A6C-4F36-8BD6-8906B90145C2}"/>
            </c:ext>
          </c:extLst>
        </c:ser>
        <c:ser>
          <c:idx val="5"/>
          <c:order val="5"/>
          <c:tx>
            <c:v>27.08209272 25.47465563 IS19 WMS Ambient Temperature(Â°C)</c:v>
          </c:tx>
          <c:spPr>
            <a:ln w="28575" cap="rnd">
              <a:solidFill>
                <a:schemeClr val="accent6"/>
              </a:solidFill>
              <a:round/>
            </a:ln>
            <a:effectLst/>
          </c:spPr>
          <c:marker>
            <c:symbol val="none"/>
          </c:marker>
          <c:val>
            <c:numLit>
              <c:formatCode>General</c:formatCode>
              <c:ptCount val="1512"/>
              <c:pt idx="0">
                <c:v>25.74</c:v>
              </c:pt>
              <c:pt idx="1">
                <c:v>25.75</c:v>
              </c:pt>
              <c:pt idx="2">
                <c:v>25.75</c:v>
              </c:pt>
              <c:pt idx="3">
                <c:v>25.76</c:v>
              </c:pt>
              <c:pt idx="4">
                <c:v>25.78</c:v>
              </c:pt>
              <c:pt idx="5">
                <c:v>25.77</c:v>
              </c:pt>
              <c:pt idx="6">
                <c:v>25.75</c:v>
              </c:pt>
              <c:pt idx="7">
                <c:v>25.74</c:v>
              </c:pt>
              <c:pt idx="8">
                <c:v>25.74</c:v>
              </c:pt>
              <c:pt idx="9">
                <c:v>25.76</c:v>
              </c:pt>
              <c:pt idx="10">
                <c:v>25.78</c:v>
              </c:pt>
              <c:pt idx="11">
                <c:v>25.76</c:v>
              </c:pt>
              <c:pt idx="12">
                <c:v>25.77</c:v>
              </c:pt>
              <c:pt idx="13">
                <c:v>25.78</c:v>
              </c:pt>
              <c:pt idx="14">
                <c:v>25.78</c:v>
              </c:pt>
              <c:pt idx="15">
                <c:v>25.8</c:v>
              </c:pt>
              <c:pt idx="16">
                <c:v>25.81</c:v>
              </c:pt>
              <c:pt idx="17">
                <c:v>25.81</c:v>
              </c:pt>
              <c:pt idx="18">
                <c:v>25.82</c:v>
              </c:pt>
              <c:pt idx="19">
                <c:v>25.8</c:v>
              </c:pt>
              <c:pt idx="20">
                <c:v>25.84</c:v>
              </c:pt>
              <c:pt idx="21">
                <c:v>25.83</c:v>
              </c:pt>
              <c:pt idx="22">
                <c:v>25.84</c:v>
              </c:pt>
              <c:pt idx="23">
                <c:v>25.85</c:v>
              </c:pt>
              <c:pt idx="24">
                <c:v>25.85</c:v>
              </c:pt>
              <c:pt idx="25">
                <c:v>25.86</c:v>
              </c:pt>
              <c:pt idx="26">
                <c:v>25.85</c:v>
              </c:pt>
              <c:pt idx="27">
                <c:v>25.84</c:v>
              </c:pt>
              <c:pt idx="28">
                <c:v>25.81</c:v>
              </c:pt>
              <c:pt idx="29">
                <c:v>25.81</c:v>
              </c:pt>
              <c:pt idx="30">
                <c:v>25.83</c:v>
              </c:pt>
              <c:pt idx="31">
                <c:v>25.82</c:v>
              </c:pt>
              <c:pt idx="32">
                <c:v>25.82</c:v>
              </c:pt>
              <c:pt idx="33">
                <c:v>25.83</c:v>
              </c:pt>
              <c:pt idx="34">
                <c:v>25.86</c:v>
              </c:pt>
              <c:pt idx="35">
                <c:v>25.87</c:v>
              </c:pt>
              <c:pt idx="36">
                <c:v>25.86</c:v>
              </c:pt>
              <c:pt idx="37">
                <c:v>25.86</c:v>
              </c:pt>
              <c:pt idx="38">
                <c:v>25.86</c:v>
              </c:pt>
              <c:pt idx="39">
                <c:v>25.85</c:v>
              </c:pt>
              <c:pt idx="40">
                <c:v>25.89</c:v>
              </c:pt>
              <c:pt idx="41">
                <c:v>25.87</c:v>
              </c:pt>
              <c:pt idx="42">
                <c:v>25.89</c:v>
              </c:pt>
              <c:pt idx="43">
                <c:v>25.89</c:v>
              </c:pt>
              <c:pt idx="44">
                <c:v>25.84</c:v>
              </c:pt>
              <c:pt idx="45">
                <c:v>25.82</c:v>
              </c:pt>
              <c:pt idx="46">
                <c:v>25.86</c:v>
              </c:pt>
              <c:pt idx="47">
                <c:v>25.85</c:v>
              </c:pt>
              <c:pt idx="48">
                <c:v>25.84</c:v>
              </c:pt>
              <c:pt idx="49">
                <c:v>25.87</c:v>
              </c:pt>
              <c:pt idx="50">
                <c:v>25.86</c:v>
              </c:pt>
              <c:pt idx="51">
                <c:v>25.87</c:v>
              </c:pt>
              <c:pt idx="52">
                <c:v>25.87</c:v>
              </c:pt>
              <c:pt idx="53">
                <c:v>25.89</c:v>
              </c:pt>
              <c:pt idx="54">
                <c:v>25.88</c:v>
              </c:pt>
              <c:pt idx="55">
                <c:v>25.87</c:v>
              </c:pt>
              <c:pt idx="56">
                <c:v>25.87</c:v>
              </c:pt>
              <c:pt idx="57">
                <c:v>25.83</c:v>
              </c:pt>
              <c:pt idx="58">
                <c:v>25.86</c:v>
              </c:pt>
              <c:pt idx="59">
                <c:v>25.84</c:v>
              </c:pt>
              <c:pt idx="60">
                <c:v>25.91</c:v>
              </c:pt>
              <c:pt idx="61">
                <c:v>25.88</c:v>
              </c:pt>
              <c:pt idx="62">
                <c:v>25.86</c:v>
              </c:pt>
              <c:pt idx="63">
                <c:v>25.84</c:v>
              </c:pt>
              <c:pt idx="64">
                <c:v>25.87</c:v>
              </c:pt>
              <c:pt idx="65">
                <c:v>25.84</c:v>
              </c:pt>
              <c:pt idx="66">
                <c:v>25.88</c:v>
              </c:pt>
              <c:pt idx="67">
                <c:v>25.91</c:v>
              </c:pt>
              <c:pt idx="68">
                <c:v>25.89</c:v>
              </c:pt>
              <c:pt idx="69">
                <c:v>25.9</c:v>
              </c:pt>
              <c:pt idx="70">
                <c:v>25.86</c:v>
              </c:pt>
              <c:pt idx="71">
                <c:v>25.9</c:v>
              </c:pt>
              <c:pt idx="72">
                <c:v>25.87</c:v>
              </c:pt>
              <c:pt idx="73">
                <c:v>25.9</c:v>
              </c:pt>
              <c:pt idx="74">
                <c:v>25.91</c:v>
              </c:pt>
              <c:pt idx="75">
                <c:v>25.91</c:v>
              </c:pt>
              <c:pt idx="76">
                <c:v>25.9</c:v>
              </c:pt>
              <c:pt idx="77">
                <c:v>25.88</c:v>
              </c:pt>
              <c:pt idx="78">
                <c:v>25.85</c:v>
              </c:pt>
              <c:pt idx="79">
                <c:v>25.87</c:v>
              </c:pt>
              <c:pt idx="80">
                <c:v>25.86</c:v>
              </c:pt>
              <c:pt idx="81">
                <c:v>25.83</c:v>
              </c:pt>
              <c:pt idx="82">
                <c:v>25.85</c:v>
              </c:pt>
              <c:pt idx="83">
                <c:v>25.87</c:v>
              </c:pt>
              <c:pt idx="84">
                <c:v>25.89</c:v>
              </c:pt>
              <c:pt idx="85">
                <c:v>25.89</c:v>
              </c:pt>
              <c:pt idx="86">
                <c:v>25.88</c:v>
              </c:pt>
              <c:pt idx="87">
                <c:v>25.88</c:v>
              </c:pt>
              <c:pt idx="88">
                <c:v>25.82</c:v>
              </c:pt>
              <c:pt idx="89">
                <c:v>25.8</c:v>
              </c:pt>
              <c:pt idx="90">
                <c:v>25.81</c:v>
              </c:pt>
              <c:pt idx="91">
                <c:v>25.79</c:v>
              </c:pt>
              <c:pt idx="92">
                <c:v>25.8</c:v>
              </c:pt>
              <c:pt idx="93">
                <c:v>25.79</c:v>
              </c:pt>
              <c:pt idx="94">
                <c:v>25.78</c:v>
              </c:pt>
              <c:pt idx="95">
                <c:v>25.79</c:v>
              </c:pt>
              <c:pt idx="96">
                <c:v>25.77</c:v>
              </c:pt>
              <c:pt idx="97">
                <c:v>25.76</c:v>
              </c:pt>
              <c:pt idx="98">
                <c:v>25.77</c:v>
              </c:pt>
              <c:pt idx="99">
                <c:v>25.76</c:v>
              </c:pt>
              <c:pt idx="100">
                <c:v>25.77</c:v>
              </c:pt>
              <c:pt idx="101">
                <c:v>25.76</c:v>
              </c:pt>
              <c:pt idx="102">
                <c:v>25.76</c:v>
              </c:pt>
              <c:pt idx="103">
                <c:v>25.75</c:v>
              </c:pt>
              <c:pt idx="104">
                <c:v>25.77</c:v>
              </c:pt>
              <c:pt idx="105">
                <c:v>25.78</c:v>
              </c:pt>
              <c:pt idx="106">
                <c:v>25.76</c:v>
              </c:pt>
              <c:pt idx="107">
                <c:v>25.76</c:v>
              </c:pt>
              <c:pt idx="108">
                <c:v>25.79</c:v>
              </c:pt>
              <c:pt idx="109">
                <c:v>25.78</c:v>
              </c:pt>
              <c:pt idx="110">
                <c:v>25.79</c:v>
              </c:pt>
              <c:pt idx="111">
                <c:v>25.77</c:v>
              </c:pt>
              <c:pt idx="112">
                <c:v>25.76</c:v>
              </c:pt>
              <c:pt idx="113">
                <c:v>25.79</c:v>
              </c:pt>
              <c:pt idx="114">
                <c:v>25.8</c:v>
              </c:pt>
              <c:pt idx="115">
                <c:v>25.79</c:v>
              </c:pt>
              <c:pt idx="116">
                <c:v>25.78</c:v>
              </c:pt>
              <c:pt idx="117">
                <c:v>25.78</c:v>
              </c:pt>
              <c:pt idx="118">
                <c:v>25.77</c:v>
              </c:pt>
              <c:pt idx="119">
                <c:v>25.77</c:v>
              </c:pt>
              <c:pt idx="120">
                <c:v>25.76</c:v>
              </c:pt>
              <c:pt idx="121">
                <c:v>25.75</c:v>
              </c:pt>
              <c:pt idx="122">
                <c:v>25.74</c:v>
              </c:pt>
              <c:pt idx="123">
                <c:v>25.75</c:v>
              </c:pt>
              <c:pt idx="124">
                <c:v>25.75</c:v>
              </c:pt>
              <c:pt idx="125">
                <c:v>25.74</c:v>
              </c:pt>
              <c:pt idx="126">
                <c:v>25.73</c:v>
              </c:pt>
              <c:pt idx="127">
                <c:v>25.74</c:v>
              </c:pt>
              <c:pt idx="128">
                <c:v>25.72</c:v>
              </c:pt>
              <c:pt idx="129">
                <c:v>25.71</c:v>
              </c:pt>
              <c:pt idx="130">
                <c:v>25.7</c:v>
              </c:pt>
              <c:pt idx="131">
                <c:v>25.73</c:v>
              </c:pt>
              <c:pt idx="132">
                <c:v>25.72</c:v>
              </c:pt>
              <c:pt idx="133">
                <c:v>25.72</c:v>
              </c:pt>
              <c:pt idx="134">
                <c:v>25.76</c:v>
              </c:pt>
              <c:pt idx="135">
                <c:v>25.73</c:v>
              </c:pt>
              <c:pt idx="136">
                <c:v>25.74</c:v>
              </c:pt>
              <c:pt idx="137">
                <c:v>25.75</c:v>
              </c:pt>
              <c:pt idx="138">
                <c:v>25.73</c:v>
              </c:pt>
              <c:pt idx="139">
                <c:v>25.73</c:v>
              </c:pt>
              <c:pt idx="140">
                <c:v>25.74</c:v>
              </c:pt>
              <c:pt idx="141">
                <c:v>25.73</c:v>
              </c:pt>
              <c:pt idx="142">
                <c:v>25.76</c:v>
              </c:pt>
              <c:pt idx="143">
                <c:v>25.76</c:v>
              </c:pt>
              <c:pt idx="144">
                <c:v>25.74</c:v>
              </c:pt>
              <c:pt idx="145">
                <c:v>25.69</c:v>
              </c:pt>
              <c:pt idx="146">
                <c:v>25.69</c:v>
              </c:pt>
              <c:pt idx="147">
                <c:v>25.67</c:v>
              </c:pt>
              <c:pt idx="148">
                <c:v>25.69</c:v>
              </c:pt>
              <c:pt idx="149">
                <c:v>25.67</c:v>
              </c:pt>
              <c:pt idx="150">
                <c:v>25.63</c:v>
              </c:pt>
              <c:pt idx="151">
                <c:v>25.64</c:v>
              </c:pt>
              <c:pt idx="152">
                <c:v>25.63</c:v>
              </c:pt>
              <c:pt idx="153">
                <c:v>25.62</c:v>
              </c:pt>
              <c:pt idx="154">
                <c:v>25.62</c:v>
              </c:pt>
              <c:pt idx="155">
                <c:v>25.62</c:v>
              </c:pt>
              <c:pt idx="156">
                <c:v>25.64</c:v>
              </c:pt>
              <c:pt idx="157">
                <c:v>25.64</c:v>
              </c:pt>
              <c:pt idx="158">
                <c:v>25.64</c:v>
              </c:pt>
              <c:pt idx="159">
                <c:v>25.63</c:v>
              </c:pt>
              <c:pt idx="160">
                <c:v>25.64</c:v>
              </c:pt>
              <c:pt idx="161">
                <c:v>25.65</c:v>
              </c:pt>
              <c:pt idx="162">
                <c:v>25.63</c:v>
              </c:pt>
              <c:pt idx="163">
                <c:v>25.6</c:v>
              </c:pt>
              <c:pt idx="164">
                <c:v>25.59</c:v>
              </c:pt>
              <c:pt idx="165">
                <c:v>25.54</c:v>
              </c:pt>
              <c:pt idx="166">
                <c:v>25.55</c:v>
              </c:pt>
              <c:pt idx="167">
                <c:v>25.55</c:v>
              </c:pt>
              <c:pt idx="168">
                <c:v>25.51</c:v>
              </c:pt>
              <c:pt idx="169">
                <c:v>25.5</c:v>
              </c:pt>
              <c:pt idx="170">
                <c:v>25.47</c:v>
              </c:pt>
              <c:pt idx="171">
                <c:v>25.47</c:v>
              </c:pt>
              <c:pt idx="172">
                <c:v>25.48</c:v>
              </c:pt>
              <c:pt idx="173">
                <c:v>25.47</c:v>
              </c:pt>
              <c:pt idx="174">
                <c:v>25.46</c:v>
              </c:pt>
              <c:pt idx="175">
                <c:v>25.46</c:v>
              </c:pt>
              <c:pt idx="176">
                <c:v>25.46</c:v>
              </c:pt>
              <c:pt idx="177">
                <c:v>25.51</c:v>
              </c:pt>
              <c:pt idx="178">
                <c:v>25.5</c:v>
              </c:pt>
              <c:pt idx="179">
                <c:v>25.47</c:v>
              </c:pt>
              <c:pt idx="180">
                <c:v>25.47</c:v>
              </c:pt>
              <c:pt idx="181">
                <c:v>25.5</c:v>
              </c:pt>
              <c:pt idx="182">
                <c:v>25.46</c:v>
              </c:pt>
              <c:pt idx="183">
                <c:v>25.48</c:v>
              </c:pt>
              <c:pt idx="184">
                <c:v>25.49</c:v>
              </c:pt>
              <c:pt idx="185">
                <c:v>25.47</c:v>
              </c:pt>
              <c:pt idx="186">
                <c:v>25.46</c:v>
              </c:pt>
              <c:pt idx="187">
                <c:v>25.49</c:v>
              </c:pt>
              <c:pt idx="188">
                <c:v>25.47</c:v>
              </c:pt>
              <c:pt idx="189">
                <c:v>25.5</c:v>
              </c:pt>
              <c:pt idx="190">
                <c:v>25.5</c:v>
              </c:pt>
              <c:pt idx="191">
                <c:v>25.46</c:v>
              </c:pt>
              <c:pt idx="192">
                <c:v>25.48</c:v>
              </c:pt>
              <c:pt idx="193">
                <c:v>25.5</c:v>
              </c:pt>
              <c:pt idx="194">
                <c:v>25.49</c:v>
              </c:pt>
              <c:pt idx="195">
                <c:v>25.51</c:v>
              </c:pt>
              <c:pt idx="196">
                <c:v>25.49</c:v>
              </c:pt>
              <c:pt idx="197">
                <c:v>25.5</c:v>
              </c:pt>
              <c:pt idx="198">
                <c:v>25.48</c:v>
              </c:pt>
              <c:pt idx="199">
                <c:v>25.5</c:v>
              </c:pt>
              <c:pt idx="200">
                <c:v>25.49</c:v>
              </c:pt>
              <c:pt idx="201">
                <c:v>25.51</c:v>
              </c:pt>
              <c:pt idx="202">
                <c:v>25.51</c:v>
              </c:pt>
              <c:pt idx="203">
                <c:v>25.48</c:v>
              </c:pt>
              <c:pt idx="204">
                <c:v>25.43</c:v>
              </c:pt>
              <c:pt idx="205">
                <c:v>25.35</c:v>
              </c:pt>
              <c:pt idx="206">
                <c:v>25.35</c:v>
              </c:pt>
              <c:pt idx="207">
                <c:v>25.36</c:v>
              </c:pt>
              <c:pt idx="208">
                <c:v>25.36</c:v>
              </c:pt>
              <c:pt idx="209">
                <c:v>25.35</c:v>
              </c:pt>
              <c:pt idx="210">
                <c:v>25.37</c:v>
              </c:pt>
              <c:pt idx="211">
                <c:v>25.37</c:v>
              </c:pt>
              <c:pt idx="212">
                <c:v>25.37</c:v>
              </c:pt>
              <c:pt idx="213">
                <c:v>25.38</c:v>
              </c:pt>
              <c:pt idx="214">
                <c:v>25.38</c:v>
              </c:pt>
              <c:pt idx="215">
                <c:v>25.39</c:v>
              </c:pt>
              <c:pt idx="216">
                <c:v>25.38</c:v>
              </c:pt>
              <c:pt idx="217">
                <c:v>25.36</c:v>
              </c:pt>
              <c:pt idx="218">
                <c:v>25.36</c:v>
              </c:pt>
              <c:pt idx="219">
                <c:v>25.36</c:v>
              </c:pt>
              <c:pt idx="220">
                <c:v>25.36</c:v>
              </c:pt>
              <c:pt idx="221">
                <c:v>25.39</c:v>
              </c:pt>
              <c:pt idx="222">
                <c:v>25.42</c:v>
              </c:pt>
              <c:pt idx="223">
                <c:v>25.38</c:v>
              </c:pt>
              <c:pt idx="224">
                <c:v>25.37</c:v>
              </c:pt>
              <c:pt idx="225">
                <c:v>25.35</c:v>
              </c:pt>
              <c:pt idx="226">
                <c:v>25.35</c:v>
              </c:pt>
              <c:pt idx="227">
                <c:v>25.37</c:v>
              </c:pt>
              <c:pt idx="228">
                <c:v>25.38</c:v>
              </c:pt>
              <c:pt idx="229">
                <c:v>25.4</c:v>
              </c:pt>
              <c:pt idx="230">
                <c:v>25.38</c:v>
              </c:pt>
              <c:pt idx="231">
                <c:v>25.36</c:v>
              </c:pt>
              <c:pt idx="232">
                <c:v>25.38</c:v>
              </c:pt>
              <c:pt idx="233">
                <c:v>25.37</c:v>
              </c:pt>
              <c:pt idx="234">
                <c:v>25.37</c:v>
              </c:pt>
              <c:pt idx="235">
                <c:v>25.37</c:v>
              </c:pt>
              <c:pt idx="236">
                <c:v>25.38</c:v>
              </c:pt>
              <c:pt idx="237">
                <c:v>25.37</c:v>
              </c:pt>
              <c:pt idx="238">
                <c:v>25.37</c:v>
              </c:pt>
              <c:pt idx="239">
                <c:v>25.37</c:v>
              </c:pt>
              <c:pt idx="240">
                <c:v>25.42</c:v>
              </c:pt>
              <c:pt idx="241">
                <c:v>25.41</c:v>
              </c:pt>
              <c:pt idx="242">
                <c:v>25.41</c:v>
              </c:pt>
              <c:pt idx="243">
                <c:v>25.39</c:v>
              </c:pt>
              <c:pt idx="244">
                <c:v>25.37</c:v>
              </c:pt>
              <c:pt idx="245">
                <c:v>25.38</c:v>
              </c:pt>
              <c:pt idx="246">
                <c:v>25.39</c:v>
              </c:pt>
              <c:pt idx="247">
                <c:v>25.36</c:v>
              </c:pt>
              <c:pt idx="248">
                <c:v>25.37</c:v>
              </c:pt>
              <c:pt idx="249">
                <c:v>25.35</c:v>
              </c:pt>
              <c:pt idx="250">
                <c:v>25.35</c:v>
              </c:pt>
              <c:pt idx="251">
                <c:v>25.34</c:v>
              </c:pt>
              <c:pt idx="252">
                <c:v>25.36</c:v>
              </c:pt>
              <c:pt idx="253">
                <c:v>25.35</c:v>
              </c:pt>
              <c:pt idx="254">
                <c:v>25.33</c:v>
              </c:pt>
              <c:pt idx="255">
                <c:v>25.33</c:v>
              </c:pt>
              <c:pt idx="256">
                <c:v>25.32</c:v>
              </c:pt>
              <c:pt idx="257">
                <c:v>25.35</c:v>
              </c:pt>
              <c:pt idx="258">
                <c:v>25.36</c:v>
              </c:pt>
              <c:pt idx="259">
                <c:v>25.34</c:v>
              </c:pt>
              <c:pt idx="260">
                <c:v>25.31</c:v>
              </c:pt>
              <c:pt idx="261">
                <c:v>25.3</c:v>
              </c:pt>
              <c:pt idx="262">
                <c:v>25.29</c:v>
              </c:pt>
              <c:pt idx="263">
                <c:v>25.3</c:v>
              </c:pt>
              <c:pt idx="264">
                <c:v>25.31</c:v>
              </c:pt>
              <c:pt idx="265">
                <c:v>25.3</c:v>
              </c:pt>
              <c:pt idx="266">
                <c:v>25.36</c:v>
              </c:pt>
              <c:pt idx="267">
                <c:v>25.36</c:v>
              </c:pt>
              <c:pt idx="268">
                <c:v>25.34</c:v>
              </c:pt>
              <c:pt idx="269">
                <c:v>25.37</c:v>
              </c:pt>
              <c:pt idx="270">
                <c:v>25.36</c:v>
              </c:pt>
              <c:pt idx="271">
                <c:v>25.35</c:v>
              </c:pt>
              <c:pt idx="272">
                <c:v>25.35</c:v>
              </c:pt>
              <c:pt idx="273">
                <c:v>25.35</c:v>
              </c:pt>
              <c:pt idx="274">
                <c:v>25.36</c:v>
              </c:pt>
              <c:pt idx="275">
                <c:v>25.35</c:v>
              </c:pt>
              <c:pt idx="276">
                <c:v>25.36</c:v>
              </c:pt>
              <c:pt idx="277">
                <c:v>25.35</c:v>
              </c:pt>
              <c:pt idx="278">
                <c:v>25.33</c:v>
              </c:pt>
              <c:pt idx="279">
                <c:v>25.31</c:v>
              </c:pt>
              <c:pt idx="280">
                <c:v>25.35</c:v>
              </c:pt>
              <c:pt idx="281">
                <c:v>25.32</c:v>
              </c:pt>
              <c:pt idx="282">
                <c:v>25.31</c:v>
              </c:pt>
              <c:pt idx="283">
                <c:v>25.3</c:v>
              </c:pt>
              <c:pt idx="284">
                <c:v>25.29</c:v>
              </c:pt>
              <c:pt idx="285">
                <c:v>25.29</c:v>
              </c:pt>
              <c:pt idx="286">
                <c:v>25.31</c:v>
              </c:pt>
              <c:pt idx="287">
                <c:v>25.34</c:v>
              </c:pt>
              <c:pt idx="288">
                <c:v>25.3</c:v>
              </c:pt>
              <c:pt idx="289">
                <c:v>25.26</c:v>
              </c:pt>
              <c:pt idx="290">
                <c:v>25.28</c:v>
              </c:pt>
              <c:pt idx="291">
                <c:v>25.27</c:v>
              </c:pt>
              <c:pt idx="292">
                <c:v>25.24</c:v>
              </c:pt>
              <c:pt idx="293">
                <c:v>25.24</c:v>
              </c:pt>
              <c:pt idx="294">
                <c:v>25.21</c:v>
              </c:pt>
              <c:pt idx="295">
                <c:v>25.18</c:v>
              </c:pt>
              <c:pt idx="296">
                <c:v>25.16</c:v>
              </c:pt>
              <c:pt idx="297">
                <c:v>25.16</c:v>
              </c:pt>
              <c:pt idx="298">
                <c:v>25.18</c:v>
              </c:pt>
              <c:pt idx="299">
                <c:v>25.19</c:v>
              </c:pt>
              <c:pt idx="300">
                <c:v>25.18</c:v>
              </c:pt>
              <c:pt idx="301">
                <c:v>25.19</c:v>
              </c:pt>
              <c:pt idx="302">
                <c:v>25.19</c:v>
              </c:pt>
              <c:pt idx="303">
                <c:v>25.15</c:v>
              </c:pt>
              <c:pt idx="304">
                <c:v>25.14</c:v>
              </c:pt>
              <c:pt idx="305">
                <c:v>25.15</c:v>
              </c:pt>
              <c:pt idx="306">
                <c:v>25.12</c:v>
              </c:pt>
              <c:pt idx="307">
                <c:v>25.1</c:v>
              </c:pt>
              <c:pt idx="308">
                <c:v>25.08</c:v>
              </c:pt>
              <c:pt idx="309">
                <c:v>25.03</c:v>
              </c:pt>
              <c:pt idx="310">
                <c:v>25.06</c:v>
              </c:pt>
              <c:pt idx="311">
                <c:v>25.09</c:v>
              </c:pt>
              <c:pt idx="312">
                <c:v>25.07</c:v>
              </c:pt>
              <c:pt idx="313">
                <c:v>25.06</c:v>
              </c:pt>
              <c:pt idx="314">
                <c:v>25.05</c:v>
              </c:pt>
              <c:pt idx="315">
                <c:v>25.02</c:v>
              </c:pt>
              <c:pt idx="316">
                <c:v>25.02</c:v>
              </c:pt>
              <c:pt idx="317">
                <c:v>25.02</c:v>
              </c:pt>
              <c:pt idx="318">
                <c:v>25.04</c:v>
              </c:pt>
              <c:pt idx="319">
                <c:v>25.04</c:v>
              </c:pt>
              <c:pt idx="320">
                <c:v>25.01</c:v>
              </c:pt>
              <c:pt idx="321">
                <c:v>25.01</c:v>
              </c:pt>
              <c:pt idx="322">
                <c:v>25</c:v>
              </c:pt>
              <c:pt idx="323">
                <c:v>24.98</c:v>
              </c:pt>
              <c:pt idx="324">
                <c:v>25</c:v>
              </c:pt>
              <c:pt idx="325">
                <c:v>25</c:v>
              </c:pt>
              <c:pt idx="326">
                <c:v>24.99</c:v>
              </c:pt>
              <c:pt idx="327">
                <c:v>25.01</c:v>
              </c:pt>
              <c:pt idx="328">
                <c:v>24.98</c:v>
              </c:pt>
              <c:pt idx="329">
                <c:v>24.99</c:v>
              </c:pt>
              <c:pt idx="330">
                <c:v>25.01</c:v>
              </c:pt>
              <c:pt idx="331">
                <c:v>24.96</c:v>
              </c:pt>
              <c:pt idx="332">
                <c:v>25</c:v>
              </c:pt>
              <c:pt idx="333">
                <c:v>25</c:v>
              </c:pt>
              <c:pt idx="334">
                <c:v>24.98</c:v>
              </c:pt>
              <c:pt idx="335">
                <c:v>24.98</c:v>
              </c:pt>
              <c:pt idx="336">
                <c:v>24.99</c:v>
              </c:pt>
              <c:pt idx="337">
                <c:v>25.01</c:v>
              </c:pt>
              <c:pt idx="338">
                <c:v>24.98</c:v>
              </c:pt>
              <c:pt idx="339">
                <c:v>24.98</c:v>
              </c:pt>
              <c:pt idx="340">
                <c:v>24.97</c:v>
              </c:pt>
              <c:pt idx="341">
                <c:v>24.96</c:v>
              </c:pt>
              <c:pt idx="342">
                <c:v>24.95</c:v>
              </c:pt>
              <c:pt idx="343">
                <c:v>24.98</c:v>
              </c:pt>
              <c:pt idx="344">
                <c:v>24.98</c:v>
              </c:pt>
              <c:pt idx="345">
                <c:v>24.97</c:v>
              </c:pt>
              <c:pt idx="346">
                <c:v>24.97</c:v>
              </c:pt>
              <c:pt idx="347">
                <c:v>24.97</c:v>
              </c:pt>
              <c:pt idx="348">
                <c:v>24.98</c:v>
              </c:pt>
              <c:pt idx="349">
                <c:v>24.95</c:v>
              </c:pt>
              <c:pt idx="350">
                <c:v>24.92</c:v>
              </c:pt>
              <c:pt idx="351">
                <c:v>24.92</c:v>
              </c:pt>
              <c:pt idx="352">
                <c:v>24.93</c:v>
              </c:pt>
              <c:pt idx="353">
                <c:v>24.93</c:v>
              </c:pt>
              <c:pt idx="354">
                <c:v>24.94</c:v>
              </c:pt>
              <c:pt idx="355">
                <c:v>24.92</c:v>
              </c:pt>
              <c:pt idx="356">
                <c:v>24.94</c:v>
              </c:pt>
              <c:pt idx="357">
                <c:v>24.92</c:v>
              </c:pt>
              <c:pt idx="358">
                <c:v>24.88</c:v>
              </c:pt>
              <c:pt idx="359">
                <c:v>24.9</c:v>
              </c:pt>
              <c:pt idx="360">
                <c:v>24.92</c:v>
              </c:pt>
              <c:pt idx="361">
                <c:v>24.87</c:v>
              </c:pt>
              <c:pt idx="362">
                <c:v>24.88</c:v>
              </c:pt>
              <c:pt idx="363">
                <c:v>24.89</c:v>
              </c:pt>
              <c:pt idx="364">
                <c:v>24.88</c:v>
              </c:pt>
              <c:pt idx="365">
                <c:v>24.9</c:v>
              </c:pt>
              <c:pt idx="366">
                <c:v>24.9</c:v>
              </c:pt>
              <c:pt idx="367">
                <c:v>24.85</c:v>
              </c:pt>
              <c:pt idx="368">
                <c:v>24.88</c:v>
              </c:pt>
              <c:pt idx="369">
                <c:v>24.89</c:v>
              </c:pt>
              <c:pt idx="370">
                <c:v>24.88</c:v>
              </c:pt>
              <c:pt idx="371">
                <c:v>24.86</c:v>
              </c:pt>
              <c:pt idx="372">
                <c:v>24.84</c:v>
              </c:pt>
              <c:pt idx="373">
                <c:v>24.87</c:v>
              </c:pt>
              <c:pt idx="374">
                <c:v>24.85</c:v>
              </c:pt>
              <c:pt idx="375">
                <c:v>24.86</c:v>
              </c:pt>
              <c:pt idx="376">
                <c:v>24.89</c:v>
              </c:pt>
              <c:pt idx="377">
                <c:v>24.88</c:v>
              </c:pt>
              <c:pt idx="378">
                <c:v>24.91</c:v>
              </c:pt>
              <c:pt idx="379">
                <c:v>24.93</c:v>
              </c:pt>
              <c:pt idx="380">
                <c:v>24.88</c:v>
              </c:pt>
              <c:pt idx="381">
                <c:v>24.9</c:v>
              </c:pt>
              <c:pt idx="382">
                <c:v>24.89</c:v>
              </c:pt>
              <c:pt idx="383">
                <c:v>24.91</c:v>
              </c:pt>
              <c:pt idx="384">
                <c:v>24.93</c:v>
              </c:pt>
              <c:pt idx="385">
                <c:v>24.91</c:v>
              </c:pt>
              <c:pt idx="386">
                <c:v>24.93</c:v>
              </c:pt>
              <c:pt idx="387">
                <c:v>24.97</c:v>
              </c:pt>
              <c:pt idx="388">
                <c:v>24.93</c:v>
              </c:pt>
              <c:pt idx="389">
                <c:v>24.93</c:v>
              </c:pt>
              <c:pt idx="390">
                <c:v>24.92</c:v>
              </c:pt>
              <c:pt idx="391">
                <c:v>24.88</c:v>
              </c:pt>
              <c:pt idx="392">
                <c:v>24.92</c:v>
              </c:pt>
              <c:pt idx="393">
                <c:v>24.95</c:v>
              </c:pt>
              <c:pt idx="394">
                <c:v>24.95</c:v>
              </c:pt>
              <c:pt idx="395">
                <c:v>24.96</c:v>
              </c:pt>
              <c:pt idx="396">
                <c:v>24.95</c:v>
              </c:pt>
              <c:pt idx="397">
                <c:v>24.92</c:v>
              </c:pt>
              <c:pt idx="398">
                <c:v>24.94</c:v>
              </c:pt>
              <c:pt idx="399">
                <c:v>24.91</c:v>
              </c:pt>
              <c:pt idx="400">
                <c:v>24.96</c:v>
              </c:pt>
              <c:pt idx="401">
                <c:v>24.99</c:v>
              </c:pt>
              <c:pt idx="402">
                <c:v>24.97</c:v>
              </c:pt>
              <c:pt idx="403">
                <c:v>24.96</c:v>
              </c:pt>
              <c:pt idx="404">
                <c:v>24.98</c:v>
              </c:pt>
              <c:pt idx="405">
                <c:v>24.98</c:v>
              </c:pt>
              <c:pt idx="406">
                <c:v>24.95</c:v>
              </c:pt>
              <c:pt idx="407">
                <c:v>24.96</c:v>
              </c:pt>
              <c:pt idx="408">
                <c:v>24.96</c:v>
              </c:pt>
              <c:pt idx="409">
                <c:v>24.93</c:v>
              </c:pt>
              <c:pt idx="410">
                <c:v>24.93</c:v>
              </c:pt>
              <c:pt idx="411">
                <c:v>24.92</c:v>
              </c:pt>
              <c:pt idx="412">
                <c:v>24.93</c:v>
              </c:pt>
              <c:pt idx="413">
                <c:v>24.91</c:v>
              </c:pt>
              <c:pt idx="414">
                <c:v>24.93</c:v>
              </c:pt>
              <c:pt idx="415">
                <c:v>24.97</c:v>
              </c:pt>
              <c:pt idx="416">
                <c:v>24.96</c:v>
              </c:pt>
              <c:pt idx="417">
                <c:v>24.96</c:v>
              </c:pt>
              <c:pt idx="418">
                <c:v>24.99</c:v>
              </c:pt>
              <c:pt idx="419">
                <c:v>24.98</c:v>
              </c:pt>
              <c:pt idx="420">
                <c:v>24.99</c:v>
              </c:pt>
              <c:pt idx="421">
                <c:v>24.96</c:v>
              </c:pt>
              <c:pt idx="422">
                <c:v>25</c:v>
              </c:pt>
              <c:pt idx="423">
                <c:v>24.97</c:v>
              </c:pt>
              <c:pt idx="424">
                <c:v>24.93</c:v>
              </c:pt>
              <c:pt idx="425">
                <c:v>24.93</c:v>
              </c:pt>
              <c:pt idx="426">
                <c:v>24.94</c:v>
              </c:pt>
              <c:pt idx="427">
                <c:v>24.98</c:v>
              </c:pt>
              <c:pt idx="428">
                <c:v>25</c:v>
              </c:pt>
              <c:pt idx="429">
                <c:v>24.98</c:v>
              </c:pt>
              <c:pt idx="430">
                <c:v>24.95</c:v>
              </c:pt>
              <c:pt idx="431">
                <c:v>24.96</c:v>
              </c:pt>
              <c:pt idx="432">
                <c:v>24.97</c:v>
              </c:pt>
              <c:pt idx="433">
                <c:v>24.96</c:v>
              </c:pt>
              <c:pt idx="434">
                <c:v>24.94</c:v>
              </c:pt>
              <c:pt idx="435">
                <c:v>24.93</c:v>
              </c:pt>
              <c:pt idx="436">
                <c:v>24.97</c:v>
              </c:pt>
              <c:pt idx="437">
                <c:v>25</c:v>
              </c:pt>
              <c:pt idx="438">
                <c:v>24.98</c:v>
              </c:pt>
              <c:pt idx="439">
                <c:v>24.98</c:v>
              </c:pt>
              <c:pt idx="440">
                <c:v>25.02</c:v>
              </c:pt>
              <c:pt idx="441">
                <c:v>25.02</c:v>
              </c:pt>
              <c:pt idx="442">
                <c:v>25</c:v>
              </c:pt>
              <c:pt idx="443">
                <c:v>24.98</c:v>
              </c:pt>
              <c:pt idx="444">
                <c:v>24.98</c:v>
              </c:pt>
              <c:pt idx="445">
                <c:v>25.02</c:v>
              </c:pt>
              <c:pt idx="446">
                <c:v>25.02</c:v>
              </c:pt>
              <c:pt idx="447">
                <c:v>25.02</c:v>
              </c:pt>
              <c:pt idx="448">
                <c:v>25.02</c:v>
              </c:pt>
              <c:pt idx="449">
                <c:v>25.06</c:v>
              </c:pt>
              <c:pt idx="450">
                <c:v>25.1</c:v>
              </c:pt>
              <c:pt idx="451">
                <c:v>25.07</c:v>
              </c:pt>
              <c:pt idx="452">
                <c:v>25.05</c:v>
              </c:pt>
              <c:pt idx="453">
                <c:v>25.03</c:v>
              </c:pt>
              <c:pt idx="454">
                <c:v>25.08</c:v>
              </c:pt>
              <c:pt idx="455">
                <c:v>25.1</c:v>
              </c:pt>
              <c:pt idx="456">
                <c:v>25.09</c:v>
              </c:pt>
              <c:pt idx="457">
                <c:v>25.06</c:v>
              </c:pt>
              <c:pt idx="458">
                <c:v>25.06</c:v>
              </c:pt>
              <c:pt idx="459">
                <c:v>25.09</c:v>
              </c:pt>
              <c:pt idx="460">
                <c:v>25.08</c:v>
              </c:pt>
              <c:pt idx="461">
                <c:v>25.13</c:v>
              </c:pt>
              <c:pt idx="462">
                <c:v>25.13</c:v>
              </c:pt>
              <c:pt idx="463">
                <c:v>25.13</c:v>
              </c:pt>
              <c:pt idx="464">
                <c:v>25.13</c:v>
              </c:pt>
              <c:pt idx="465">
                <c:v>25.1</c:v>
              </c:pt>
              <c:pt idx="466">
                <c:v>25.06</c:v>
              </c:pt>
              <c:pt idx="467">
                <c:v>25.06</c:v>
              </c:pt>
              <c:pt idx="468">
                <c:v>25.03</c:v>
              </c:pt>
              <c:pt idx="469">
                <c:v>25.01</c:v>
              </c:pt>
              <c:pt idx="470">
                <c:v>24.99</c:v>
              </c:pt>
              <c:pt idx="471">
                <c:v>25</c:v>
              </c:pt>
              <c:pt idx="472">
                <c:v>24.99</c:v>
              </c:pt>
              <c:pt idx="473">
                <c:v>24.97</c:v>
              </c:pt>
              <c:pt idx="474">
                <c:v>24.98</c:v>
              </c:pt>
              <c:pt idx="475">
                <c:v>24.99</c:v>
              </c:pt>
              <c:pt idx="476">
                <c:v>25.01</c:v>
              </c:pt>
              <c:pt idx="477">
                <c:v>24.96</c:v>
              </c:pt>
              <c:pt idx="478">
                <c:v>24.96</c:v>
              </c:pt>
              <c:pt idx="479">
                <c:v>24.96</c:v>
              </c:pt>
              <c:pt idx="480">
                <c:v>24.99</c:v>
              </c:pt>
              <c:pt idx="481">
                <c:v>25.01</c:v>
              </c:pt>
              <c:pt idx="482">
                <c:v>24.97</c:v>
              </c:pt>
              <c:pt idx="483">
                <c:v>24.97</c:v>
              </c:pt>
              <c:pt idx="484">
                <c:v>24.97</c:v>
              </c:pt>
              <c:pt idx="485">
                <c:v>24.95</c:v>
              </c:pt>
              <c:pt idx="486">
                <c:v>24.94</c:v>
              </c:pt>
              <c:pt idx="487">
                <c:v>24.89</c:v>
              </c:pt>
              <c:pt idx="488">
                <c:v>24.92</c:v>
              </c:pt>
              <c:pt idx="489">
                <c:v>24.91</c:v>
              </c:pt>
              <c:pt idx="490">
                <c:v>24.9</c:v>
              </c:pt>
              <c:pt idx="491">
                <c:v>24.9</c:v>
              </c:pt>
              <c:pt idx="492">
                <c:v>24.91</c:v>
              </c:pt>
              <c:pt idx="493">
                <c:v>24.9</c:v>
              </c:pt>
              <c:pt idx="494">
                <c:v>24.94</c:v>
              </c:pt>
              <c:pt idx="495">
                <c:v>24.95</c:v>
              </c:pt>
              <c:pt idx="496">
                <c:v>24.93</c:v>
              </c:pt>
              <c:pt idx="497">
                <c:v>24.98</c:v>
              </c:pt>
              <c:pt idx="498">
                <c:v>25.03</c:v>
              </c:pt>
              <c:pt idx="499">
                <c:v>24.96</c:v>
              </c:pt>
              <c:pt idx="500">
                <c:v>25.03</c:v>
              </c:pt>
              <c:pt idx="501">
                <c:v>25.06</c:v>
              </c:pt>
              <c:pt idx="502">
                <c:v>25.08</c:v>
              </c:pt>
              <c:pt idx="503">
                <c:v>25.11</c:v>
              </c:pt>
              <c:pt idx="504">
                <c:v>25.05</c:v>
              </c:pt>
              <c:pt idx="505">
                <c:v>25.11</c:v>
              </c:pt>
              <c:pt idx="506">
                <c:v>25.18</c:v>
              </c:pt>
              <c:pt idx="507">
                <c:v>25.19</c:v>
              </c:pt>
              <c:pt idx="508">
                <c:v>25.22</c:v>
              </c:pt>
              <c:pt idx="509">
                <c:v>25.25</c:v>
              </c:pt>
              <c:pt idx="510">
                <c:v>25.19</c:v>
              </c:pt>
              <c:pt idx="511">
                <c:v>25.27</c:v>
              </c:pt>
              <c:pt idx="512">
                <c:v>25.32</c:v>
              </c:pt>
              <c:pt idx="513">
                <c:v>25.35</c:v>
              </c:pt>
              <c:pt idx="514">
                <c:v>25.3</c:v>
              </c:pt>
              <c:pt idx="515">
                <c:v>25.31</c:v>
              </c:pt>
              <c:pt idx="516">
                <c:v>25.34</c:v>
              </c:pt>
              <c:pt idx="517">
                <c:v>25.36</c:v>
              </c:pt>
              <c:pt idx="518">
                <c:v>25.4</c:v>
              </c:pt>
              <c:pt idx="519">
                <c:v>25.43</c:v>
              </c:pt>
              <c:pt idx="520">
                <c:v>25.46</c:v>
              </c:pt>
              <c:pt idx="521">
                <c:v>25.51</c:v>
              </c:pt>
              <c:pt idx="522">
                <c:v>25.55</c:v>
              </c:pt>
              <c:pt idx="523">
                <c:v>25.61</c:v>
              </c:pt>
              <c:pt idx="524">
                <c:v>25.62</c:v>
              </c:pt>
              <c:pt idx="525">
                <c:v>25.63</c:v>
              </c:pt>
              <c:pt idx="526">
                <c:v>25.61</c:v>
              </c:pt>
              <c:pt idx="527">
                <c:v>25.71</c:v>
              </c:pt>
              <c:pt idx="528">
                <c:v>25.71</c:v>
              </c:pt>
              <c:pt idx="529">
                <c:v>25.74</c:v>
              </c:pt>
              <c:pt idx="530">
                <c:v>25.77</c:v>
              </c:pt>
              <c:pt idx="531">
                <c:v>25.78</c:v>
              </c:pt>
              <c:pt idx="532">
                <c:v>25.72</c:v>
              </c:pt>
              <c:pt idx="533">
                <c:v>25.8</c:v>
              </c:pt>
              <c:pt idx="534">
                <c:v>25.79</c:v>
              </c:pt>
              <c:pt idx="535">
                <c:v>25.8</c:v>
              </c:pt>
              <c:pt idx="536">
                <c:v>25.74</c:v>
              </c:pt>
              <c:pt idx="537">
                <c:v>25.77</c:v>
              </c:pt>
              <c:pt idx="538">
                <c:v>25.83</c:v>
              </c:pt>
              <c:pt idx="539">
                <c:v>25.83</c:v>
              </c:pt>
              <c:pt idx="540">
                <c:v>25.95</c:v>
              </c:pt>
              <c:pt idx="541">
                <c:v>25.92</c:v>
              </c:pt>
              <c:pt idx="542">
                <c:v>25.88</c:v>
              </c:pt>
              <c:pt idx="543">
                <c:v>25.86</c:v>
              </c:pt>
              <c:pt idx="544">
                <c:v>25.83</c:v>
              </c:pt>
              <c:pt idx="545">
                <c:v>25.87</c:v>
              </c:pt>
              <c:pt idx="546">
                <c:v>25.91</c:v>
              </c:pt>
              <c:pt idx="547">
                <c:v>25.96</c:v>
              </c:pt>
              <c:pt idx="548">
                <c:v>25.94</c:v>
              </c:pt>
              <c:pt idx="549">
                <c:v>25.89</c:v>
              </c:pt>
              <c:pt idx="550">
                <c:v>25.94</c:v>
              </c:pt>
              <c:pt idx="551">
                <c:v>26.02</c:v>
              </c:pt>
              <c:pt idx="552">
                <c:v>26.05</c:v>
              </c:pt>
              <c:pt idx="553">
                <c:v>26.03</c:v>
              </c:pt>
              <c:pt idx="554">
                <c:v>26.07</c:v>
              </c:pt>
              <c:pt idx="555">
                <c:v>26.05</c:v>
              </c:pt>
              <c:pt idx="556">
                <c:v>25.95</c:v>
              </c:pt>
              <c:pt idx="557">
                <c:v>25.96</c:v>
              </c:pt>
              <c:pt idx="558">
                <c:v>25.97</c:v>
              </c:pt>
              <c:pt idx="559">
                <c:v>25.95</c:v>
              </c:pt>
              <c:pt idx="560">
                <c:v>25.96</c:v>
              </c:pt>
              <c:pt idx="561">
                <c:v>25.93</c:v>
              </c:pt>
              <c:pt idx="562">
                <c:v>25.83</c:v>
              </c:pt>
              <c:pt idx="563">
                <c:v>25.89</c:v>
              </c:pt>
              <c:pt idx="564">
                <c:v>25.85</c:v>
              </c:pt>
              <c:pt idx="565">
                <c:v>25.86</c:v>
              </c:pt>
              <c:pt idx="566">
                <c:v>25.85</c:v>
              </c:pt>
              <c:pt idx="567">
                <c:v>25.85</c:v>
              </c:pt>
              <c:pt idx="568">
                <c:v>25.77</c:v>
              </c:pt>
              <c:pt idx="569">
                <c:v>25.77</c:v>
              </c:pt>
              <c:pt idx="570">
                <c:v>25.76</c:v>
              </c:pt>
              <c:pt idx="571">
                <c:v>25.73</c:v>
              </c:pt>
              <c:pt idx="572">
                <c:v>25.71</c:v>
              </c:pt>
              <c:pt idx="573">
                <c:v>25.69</c:v>
              </c:pt>
              <c:pt idx="574">
                <c:v>25.65</c:v>
              </c:pt>
              <c:pt idx="575">
                <c:v>25.69</c:v>
              </c:pt>
              <c:pt idx="576">
                <c:v>25.72</c:v>
              </c:pt>
              <c:pt idx="577">
                <c:v>25.71</c:v>
              </c:pt>
              <c:pt idx="578">
                <c:v>25.66</c:v>
              </c:pt>
              <c:pt idx="579">
                <c:v>25.57</c:v>
              </c:pt>
              <c:pt idx="580">
                <c:v>25.59</c:v>
              </c:pt>
              <c:pt idx="581">
                <c:v>25.57</c:v>
              </c:pt>
              <c:pt idx="582">
                <c:v>25.5</c:v>
              </c:pt>
              <c:pt idx="583">
                <c:v>25.58</c:v>
              </c:pt>
              <c:pt idx="584">
                <c:v>25.56</c:v>
              </c:pt>
              <c:pt idx="585">
                <c:v>25.55</c:v>
              </c:pt>
              <c:pt idx="586">
                <c:v>25.55</c:v>
              </c:pt>
              <c:pt idx="587">
                <c:v>25.62</c:v>
              </c:pt>
              <c:pt idx="588">
                <c:v>25.59</c:v>
              </c:pt>
              <c:pt idx="589">
                <c:v>25.71</c:v>
              </c:pt>
              <c:pt idx="590">
                <c:v>25.73</c:v>
              </c:pt>
              <c:pt idx="591">
                <c:v>25.64</c:v>
              </c:pt>
              <c:pt idx="592">
                <c:v>25.62</c:v>
              </c:pt>
              <c:pt idx="593">
                <c:v>25.66</c:v>
              </c:pt>
              <c:pt idx="594">
                <c:v>25.65</c:v>
              </c:pt>
              <c:pt idx="595">
                <c:v>25.7</c:v>
              </c:pt>
              <c:pt idx="596">
                <c:v>25.77</c:v>
              </c:pt>
              <c:pt idx="597">
                <c:v>25.8</c:v>
              </c:pt>
              <c:pt idx="598">
                <c:v>25.83</c:v>
              </c:pt>
              <c:pt idx="599">
                <c:v>25.86</c:v>
              </c:pt>
              <c:pt idx="600">
                <c:v>25.86</c:v>
              </c:pt>
              <c:pt idx="601">
                <c:v>25.98</c:v>
              </c:pt>
              <c:pt idx="602">
                <c:v>25.88</c:v>
              </c:pt>
              <c:pt idx="603">
                <c:v>25.91</c:v>
              </c:pt>
              <c:pt idx="604">
                <c:v>25.96</c:v>
              </c:pt>
              <c:pt idx="605">
                <c:v>25.94</c:v>
              </c:pt>
              <c:pt idx="606">
                <c:v>25.99</c:v>
              </c:pt>
              <c:pt idx="607">
                <c:v>26.22</c:v>
              </c:pt>
              <c:pt idx="608">
                <c:v>26.07</c:v>
              </c:pt>
              <c:pt idx="609">
                <c:v>26.07</c:v>
              </c:pt>
              <c:pt idx="610">
                <c:v>26.1</c:v>
              </c:pt>
              <c:pt idx="611">
                <c:v>26.2</c:v>
              </c:pt>
              <c:pt idx="612">
                <c:v>26.11</c:v>
              </c:pt>
              <c:pt idx="613">
                <c:v>26.18</c:v>
              </c:pt>
              <c:pt idx="614">
                <c:v>26.34</c:v>
              </c:pt>
              <c:pt idx="615">
                <c:v>26.39</c:v>
              </c:pt>
              <c:pt idx="616">
                <c:v>26.25</c:v>
              </c:pt>
              <c:pt idx="617">
                <c:v>26.41</c:v>
              </c:pt>
              <c:pt idx="618">
                <c:v>26.51</c:v>
              </c:pt>
              <c:pt idx="619">
                <c:v>26.54</c:v>
              </c:pt>
              <c:pt idx="620">
                <c:v>26.57</c:v>
              </c:pt>
              <c:pt idx="621">
                <c:v>26.6</c:v>
              </c:pt>
              <c:pt idx="622">
                <c:v>26.7</c:v>
              </c:pt>
              <c:pt idx="623">
                <c:v>26.73</c:v>
              </c:pt>
              <c:pt idx="624">
                <c:v>26.72</c:v>
              </c:pt>
              <c:pt idx="625">
                <c:v>26.69</c:v>
              </c:pt>
              <c:pt idx="626">
                <c:v>26.78</c:v>
              </c:pt>
              <c:pt idx="627">
                <c:v>26.81</c:v>
              </c:pt>
              <c:pt idx="628">
                <c:v>26.75</c:v>
              </c:pt>
              <c:pt idx="629">
                <c:v>26.77</c:v>
              </c:pt>
              <c:pt idx="630">
                <c:v>26.78</c:v>
              </c:pt>
              <c:pt idx="631">
                <c:v>26.77</c:v>
              </c:pt>
              <c:pt idx="632">
                <c:v>26.88</c:v>
              </c:pt>
              <c:pt idx="633">
                <c:v>26.94</c:v>
              </c:pt>
              <c:pt idx="634">
                <c:v>26.92</c:v>
              </c:pt>
              <c:pt idx="635">
                <c:v>26.94</c:v>
              </c:pt>
              <c:pt idx="636">
                <c:v>27.07</c:v>
              </c:pt>
              <c:pt idx="637">
                <c:v>27.09</c:v>
              </c:pt>
              <c:pt idx="638">
                <c:v>27.13</c:v>
              </c:pt>
              <c:pt idx="639">
                <c:v>27.05</c:v>
              </c:pt>
              <c:pt idx="640">
                <c:v>26.92</c:v>
              </c:pt>
              <c:pt idx="641">
                <c:v>26.93</c:v>
              </c:pt>
              <c:pt idx="642">
                <c:v>26.99</c:v>
              </c:pt>
              <c:pt idx="643">
                <c:v>27.02</c:v>
              </c:pt>
              <c:pt idx="644">
                <c:v>27.01</c:v>
              </c:pt>
              <c:pt idx="645">
                <c:v>27.09</c:v>
              </c:pt>
              <c:pt idx="646">
                <c:v>27.16</c:v>
              </c:pt>
              <c:pt idx="647">
                <c:v>27.12</c:v>
              </c:pt>
              <c:pt idx="648">
                <c:v>27.2</c:v>
              </c:pt>
              <c:pt idx="649">
                <c:v>27.25</c:v>
              </c:pt>
              <c:pt idx="650">
                <c:v>27.24</c:v>
              </c:pt>
              <c:pt idx="651">
                <c:v>27.23</c:v>
              </c:pt>
              <c:pt idx="652">
                <c:v>27.34</c:v>
              </c:pt>
              <c:pt idx="653">
                <c:v>27.45</c:v>
              </c:pt>
              <c:pt idx="654">
                <c:v>27.41</c:v>
              </c:pt>
              <c:pt idx="655">
                <c:v>27.35</c:v>
              </c:pt>
              <c:pt idx="656">
                <c:v>27.34</c:v>
              </c:pt>
              <c:pt idx="657">
                <c:v>27.26</c:v>
              </c:pt>
              <c:pt idx="658">
                <c:v>27.29</c:v>
              </c:pt>
              <c:pt idx="659">
                <c:v>27.31</c:v>
              </c:pt>
              <c:pt idx="660">
                <c:v>27.43</c:v>
              </c:pt>
              <c:pt idx="661">
                <c:v>27.53</c:v>
              </c:pt>
              <c:pt idx="662">
                <c:v>27.52</c:v>
              </c:pt>
              <c:pt idx="663">
                <c:v>27.45</c:v>
              </c:pt>
              <c:pt idx="664">
                <c:v>27.37</c:v>
              </c:pt>
              <c:pt idx="665">
                <c:v>27.43</c:v>
              </c:pt>
              <c:pt idx="666">
                <c:v>27.46</c:v>
              </c:pt>
              <c:pt idx="667">
                <c:v>27.49</c:v>
              </c:pt>
              <c:pt idx="668">
                <c:v>27.52</c:v>
              </c:pt>
              <c:pt idx="669">
                <c:v>27.77</c:v>
              </c:pt>
              <c:pt idx="670">
                <c:v>27.96</c:v>
              </c:pt>
              <c:pt idx="671">
                <c:v>27.92</c:v>
              </c:pt>
              <c:pt idx="672">
                <c:v>27.96</c:v>
              </c:pt>
              <c:pt idx="673">
                <c:v>27.95</c:v>
              </c:pt>
              <c:pt idx="674">
                <c:v>27.92</c:v>
              </c:pt>
              <c:pt idx="675">
                <c:v>28.01</c:v>
              </c:pt>
              <c:pt idx="676">
                <c:v>28.11</c:v>
              </c:pt>
              <c:pt idx="677">
                <c:v>28.14</c:v>
              </c:pt>
              <c:pt idx="678">
                <c:v>27.91</c:v>
              </c:pt>
              <c:pt idx="679">
                <c:v>27.89</c:v>
              </c:pt>
              <c:pt idx="680">
                <c:v>27.98</c:v>
              </c:pt>
              <c:pt idx="681">
                <c:v>28.02</c:v>
              </c:pt>
              <c:pt idx="682">
                <c:v>28.06</c:v>
              </c:pt>
              <c:pt idx="683">
                <c:v>28.1</c:v>
              </c:pt>
              <c:pt idx="684">
                <c:v>28.09</c:v>
              </c:pt>
              <c:pt idx="685">
                <c:v>28.16</c:v>
              </c:pt>
              <c:pt idx="686">
                <c:v>28.15</c:v>
              </c:pt>
              <c:pt idx="687">
                <c:v>28.14</c:v>
              </c:pt>
              <c:pt idx="688">
                <c:v>28.01</c:v>
              </c:pt>
              <c:pt idx="689">
                <c:v>28.05</c:v>
              </c:pt>
              <c:pt idx="690">
                <c:v>27.93</c:v>
              </c:pt>
              <c:pt idx="691">
                <c:v>27.93</c:v>
              </c:pt>
              <c:pt idx="692">
                <c:v>27.98</c:v>
              </c:pt>
              <c:pt idx="693">
                <c:v>27.89</c:v>
              </c:pt>
              <c:pt idx="694">
                <c:v>27.84</c:v>
              </c:pt>
              <c:pt idx="695">
                <c:v>27.89</c:v>
              </c:pt>
              <c:pt idx="696">
                <c:v>28.04</c:v>
              </c:pt>
              <c:pt idx="697">
                <c:v>28.16</c:v>
              </c:pt>
              <c:pt idx="698">
                <c:v>28.28</c:v>
              </c:pt>
              <c:pt idx="699">
                <c:v>28.13</c:v>
              </c:pt>
              <c:pt idx="700">
                <c:v>28.12</c:v>
              </c:pt>
              <c:pt idx="701">
                <c:v>28.29</c:v>
              </c:pt>
              <c:pt idx="702">
                <c:v>28.24</c:v>
              </c:pt>
              <c:pt idx="703">
                <c:v>28.39</c:v>
              </c:pt>
              <c:pt idx="704">
                <c:v>28.6</c:v>
              </c:pt>
              <c:pt idx="705">
                <c:v>28.56</c:v>
              </c:pt>
              <c:pt idx="706">
                <c:v>28.67</c:v>
              </c:pt>
              <c:pt idx="707">
                <c:v>28.71</c:v>
              </c:pt>
              <c:pt idx="708">
                <c:v>28.61</c:v>
              </c:pt>
              <c:pt idx="709">
                <c:v>28.59</c:v>
              </c:pt>
              <c:pt idx="710">
                <c:v>28.54</c:v>
              </c:pt>
              <c:pt idx="711">
                <c:v>28.58</c:v>
              </c:pt>
              <c:pt idx="712">
                <c:v>28.66</c:v>
              </c:pt>
              <c:pt idx="713">
                <c:v>28.58</c:v>
              </c:pt>
              <c:pt idx="714">
                <c:v>28.54</c:v>
              </c:pt>
              <c:pt idx="715">
                <c:v>28.52</c:v>
              </c:pt>
              <c:pt idx="716">
                <c:v>28.39</c:v>
              </c:pt>
              <c:pt idx="717">
                <c:v>28.55</c:v>
              </c:pt>
              <c:pt idx="718">
                <c:v>28.47</c:v>
              </c:pt>
              <c:pt idx="719">
                <c:v>28.46</c:v>
              </c:pt>
              <c:pt idx="720">
                <c:v>28.61</c:v>
              </c:pt>
              <c:pt idx="721">
                <c:v>28.52</c:v>
              </c:pt>
              <c:pt idx="722">
                <c:v>28.45</c:v>
              </c:pt>
              <c:pt idx="723">
                <c:v>28.49</c:v>
              </c:pt>
              <c:pt idx="724">
                <c:v>28.55</c:v>
              </c:pt>
              <c:pt idx="725">
                <c:v>28.58</c:v>
              </c:pt>
              <c:pt idx="726">
                <c:v>28.48</c:v>
              </c:pt>
              <c:pt idx="727">
                <c:v>28.32</c:v>
              </c:pt>
              <c:pt idx="728">
                <c:v>28.23</c:v>
              </c:pt>
              <c:pt idx="729">
                <c:v>28.3</c:v>
              </c:pt>
              <c:pt idx="730">
                <c:v>28.24</c:v>
              </c:pt>
              <c:pt idx="731">
                <c:v>28.26</c:v>
              </c:pt>
              <c:pt idx="732">
                <c:v>28.22</c:v>
              </c:pt>
              <c:pt idx="733">
                <c:v>28.23</c:v>
              </c:pt>
              <c:pt idx="734">
                <c:v>28.28</c:v>
              </c:pt>
              <c:pt idx="735">
                <c:v>28.24</c:v>
              </c:pt>
              <c:pt idx="736">
                <c:v>28.12</c:v>
              </c:pt>
              <c:pt idx="737">
                <c:v>28.12</c:v>
              </c:pt>
              <c:pt idx="738">
                <c:v>28.29</c:v>
              </c:pt>
              <c:pt idx="739">
                <c:v>28.29</c:v>
              </c:pt>
              <c:pt idx="740">
                <c:v>28.4</c:v>
              </c:pt>
              <c:pt idx="741">
                <c:v>28.41</c:v>
              </c:pt>
              <c:pt idx="742">
                <c:v>28.46</c:v>
              </c:pt>
              <c:pt idx="743">
                <c:v>28.65</c:v>
              </c:pt>
              <c:pt idx="744">
                <c:v>28.61</c:v>
              </c:pt>
              <c:pt idx="745">
                <c:v>28.44</c:v>
              </c:pt>
              <c:pt idx="746">
                <c:v>28.11</c:v>
              </c:pt>
              <c:pt idx="747">
                <c:v>28.03</c:v>
              </c:pt>
              <c:pt idx="748">
                <c:v>28.08</c:v>
              </c:pt>
              <c:pt idx="749">
                <c:v>28.02</c:v>
              </c:pt>
              <c:pt idx="750">
                <c:v>27.87</c:v>
              </c:pt>
              <c:pt idx="751">
                <c:v>27.9</c:v>
              </c:pt>
              <c:pt idx="752">
                <c:v>27.98</c:v>
              </c:pt>
              <c:pt idx="753">
                <c:v>28.03</c:v>
              </c:pt>
              <c:pt idx="754">
                <c:v>27.99</c:v>
              </c:pt>
              <c:pt idx="755">
                <c:v>27.89</c:v>
              </c:pt>
              <c:pt idx="756">
                <c:v>27.9</c:v>
              </c:pt>
              <c:pt idx="757">
                <c:v>27.93</c:v>
              </c:pt>
              <c:pt idx="758">
                <c:v>27.9</c:v>
              </c:pt>
              <c:pt idx="759">
                <c:v>27.95</c:v>
              </c:pt>
              <c:pt idx="760">
                <c:v>27.88</c:v>
              </c:pt>
              <c:pt idx="761">
                <c:v>27.88</c:v>
              </c:pt>
              <c:pt idx="762">
                <c:v>27.98</c:v>
              </c:pt>
              <c:pt idx="763">
                <c:v>28.03</c:v>
              </c:pt>
              <c:pt idx="764">
                <c:v>28.04</c:v>
              </c:pt>
              <c:pt idx="765">
                <c:v>28.03</c:v>
              </c:pt>
              <c:pt idx="766">
                <c:v>27.98</c:v>
              </c:pt>
              <c:pt idx="767">
                <c:v>27.86</c:v>
              </c:pt>
              <c:pt idx="768">
                <c:v>27.82</c:v>
              </c:pt>
              <c:pt idx="769">
                <c:v>27.85</c:v>
              </c:pt>
              <c:pt idx="770">
                <c:v>27.95</c:v>
              </c:pt>
              <c:pt idx="771">
                <c:v>27.85</c:v>
              </c:pt>
              <c:pt idx="772">
                <c:v>27.78</c:v>
              </c:pt>
              <c:pt idx="773">
                <c:v>27.76</c:v>
              </c:pt>
              <c:pt idx="774">
                <c:v>27.77</c:v>
              </c:pt>
              <c:pt idx="775">
                <c:v>27.82</c:v>
              </c:pt>
              <c:pt idx="776">
                <c:v>27.81</c:v>
              </c:pt>
              <c:pt idx="777">
                <c:v>27.83</c:v>
              </c:pt>
              <c:pt idx="778">
                <c:v>27.79</c:v>
              </c:pt>
              <c:pt idx="779">
                <c:v>27.74</c:v>
              </c:pt>
              <c:pt idx="780">
                <c:v>27.79</c:v>
              </c:pt>
              <c:pt idx="781">
                <c:v>27.81</c:v>
              </c:pt>
              <c:pt idx="782">
                <c:v>27.8</c:v>
              </c:pt>
              <c:pt idx="783">
                <c:v>27.76</c:v>
              </c:pt>
              <c:pt idx="784">
                <c:v>27.79</c:v>
              </c:pt>
              <c:pt idx="785">
                <c:v>27.76</c:v>
              </c:pt>
              <c:pt idx="786">
                <c:v>27.75</c:v>
              </c:pt>
              <c:pt idx="787">
                <c:v>27.68</c:v>
              </c:pt>
              <c:pt idx="788">
                <c:v>27.57</c:v>
              </c:pt>
              <c:pt idx="789">
                <c:v>27.61</c:v>
              </c:pt>
              <c:pt idx="790">
                <c:v>27.7</c:v>
              </c:pt>
              <c:pt idx="791">
                <c:v>27.56</c:v>
              </c:pt>
              <c:pt idx="792">
                <c:v>27.52</c:v>
              </c:pt>
              <c:pt idx="793">
                <c:v>27.55</c:v>
              </c:pt>
              <c:pt idx="794">
                <c:v>27.56</c:v>
              </c:pt>
              <c:pt idx="795">
                <c:v>27.6</c:v>
              </c:pt>
              <c:pt idx="796">
                <c:v>27.66</c:v>
              </c:pt>
              <c:pt idx="797">
                <c:v>27.62</c:v>
              </c:pt>
              <c:pt idx="798">
                <c:v>27.69</c:v>
              </c:pt>
              <c:pt idx="799">
                <c:v>27.68</c:v>
              </c:pt>
              <c:pt idx="800">
                <c:v>27.65</c:v>
              </c:pt>
              <c:pt idx="801">
                <c:v>27.46</c:v>
              </c:pt>
              <c:pt idx="802">
                <c:v>27.23</c:v>
              </c:pt>
              <c:pt idx="803">
                <c:v>27.17</c:v>
              </c:pt>
              <c:pt idx="804">
                <c:v>27.18</c:v>
              </c:pt>
              <c:pt idx="805">
                <c:v>27.11</c:v>
              </c:pt>
              <c:pt idx="806">
                <c:v>27.09</c:v>
              </c:pt>
              <c:pt idx="807">
                <c:v>27.24</c:v>
              </c:pt>
              <c:pt idx="808">
                <c:v>27.23</c:v>
              </c:pt>
              <c:pt idx="809">
                <c:v>27.29</c:v>
              </c:pt>
              <c:pt idx="810">
                <c:v>27.3</c:v>
              </c:pt>
              <c:pt idx="811">
                <c:v>27.31</c:v>
              </c:pt>
              <c:pt idx="812">
                <c:v>27.42</c:v>
              </c:pt>
              <c:pt idx="813">
                <c:v>27.33</c:v>
              </c:pt>
              <c:pt idx="814">
                <c:v>27.34</c:v>
              </c:pt>
              <c:pt idx="815">
                <c:v>27.65</c:v>
              </c:pt>
              <c:pt idx="816">
                <c:v>27.6</c:v>
              </c:pt>
              <c:pt idx="817">
                <c:v>27.53</c:v>
              </c:pt>
              <c:pt idx="818">
                <c:v>27.54</c:v>
              </c:pt>
              <c:pt idx="819">
                <c:v>27.6</c:v>
              </c:pt>
              <c:pt idx="820">
                <c:v>27.61</c:v>
              </c:pt>
              <c:pt idx="821">
                <c:v>27.45</c:v>
              </c:pt>
              <c:pt idx="822">
                <c:v>27.32</c:v>
              </c:pt>
              <c:pt idx="823">
                <c:v>27.38</c:v>
              </c:pt>
              <c:pt idx="824">
                <c:v>27.38</c:v>
              </c:pt>
              <c:pt idx="825">
                <c:v>27.4</c:v>
              </c:pt>
              <c:pt idx="826">
                <c:v>27.4</c:v>
              </c:pt>
              <c:pt idx="827">
                <c:v>27.46</c:v>
              </c:pt>
              <c:pt idx="828">
                <c:v>27.43</c:v>
              </c:pt>
              <c:pt idx="829">
                <c:v>27.25</c:v>
              </c:pt>
              <c:pt idx="830">
                <c:v>27.18</c:v>
              </c:pt>
              <c:pt idx="831">
                <c:v>27.18</c:v>
              </c:pt>
              <c:pt idx="832">
                <c:v>27.16</c:v>
              </c:pt>
              <c:pt idx="833">
                <c:v>27.08</c:v>
              </c:pt>
              <c:pt idx="834">
                <c:v>27.14</c:v>
              </c:pt>
              <c:pt idx="835">
                <c:v>27.27</c:v>
              </c:pt>
              <c:pt idx="836">
                <c:v>27.29</c:v>
              </c:pt>
              <c:pt idx="837">
                <c:v>27.24</c:v>
              </c:pt>
              <c:pt idx="838">
                <c:v>27.31</c:v>
              </c:pt>
              <c:pt idx="839">
                <c:v>27.19</c:v>
              </c:pt>
              <c:pt idx="840">
                <c:v>27.09</c:v>
              </c:pt>
              <c:pt idx="841">
                <c:v>27.19</c:v>
              </c:pt>
              <c:pt idx="842">
                <c:v>27.25</c:v>
              </c:pt>
              <c:pt idx="843">
                <c:v>27.38</c:v>
              </c:pt>
              <c:pt idx="844">
                <c:v>27.35</c:v>
              </c:pt>
              <c:pt idx="845">
                <c:v>27.36</c:v>
              </c:pt>
              <c:pt idx="846">
                <c:v>27.36</c:v>
              </c:pt>
              <c:pt idx="847">
                <c:v>27.41</c:v>
              </c:pt>
              <c:pt idx="848">
                <c:v>27.5</c:v>
              </c:pt>
              <c:pt idx="849">
                <c:v>27.39</c:v>
              </c:pt>
              <c:pt idx="850">
                <c:v>27.39</c:v>
              </c:pt>
              <c:pt idx="851">
                <c:v>27.36</c:v>
              </c:pt>
              <c:pt idx="852">
                <c:v>27.32</c:v>
              </c:pt>
              <c:pt idx="853">
                <c:v>27.24</c:v>
              </c:pt>
              <c:pt idx="854">
                <c:v>27.26</c:v>
              </c:pt>
              <c:pt idx="855">
                <c:v>27.25</c:v>
              </c:pt>
              <c:pt idx="856">
                <c:v>27.13</c:v>
              </c:pt>
              <c:pt idx="857">
                <c:v>27.03</c:v>
              </c:pt>
              <c:pt idx="858">
                <c:v>26.93</c:v>
              </c:pt>
              <c:pt idx="859">
                <c:v>26.76</c:v>
              </c:pt>
              <c:pt idx="860">
                <c:v>26.73</c:v>
              </c:pt>
              <c:pt idx="861">
                <c:v>26.75</c:v>
              </c:pt>
              <c:pt idx="862">
                <c:v>26.84</c:v>
              </c:pt>
              <c:pt idx="863">
                <c:v>26.89</c:v>
              </c:pt>
              <c:pt idx="864">
                <c:v>26.72</c:v>
              </c:pt>
              <c:pt idx="865">
                <c:v>26.71</c:v>
              </c:pt>
              <c:pt idx="866">
                <c:v>26.8</c:v>
              </c:pt>
              <c:pt idx="867">
                <c:v>26.76</c:v>
              </c:pt>
              <c:pt idx="868">
                <c:v>26.7</c:v>
              </c:pt>
              <c:pt idx="869">
                <c:v>26.81</c:v>
              </c:pt>
              <c:pt idx="870">
                <c:v>26.79</c:v>
              </c:pt>
              <c:pt idx="871">
                <c:v>26.81</c:v>
              </c:pt>
              <c:pt idx="872">
                <c:v>26.77</c:v>
              </c:pt>
              <c:pt idx="873">
                <c:v>26.75</c:v>
              </c:pt>
              <c:pt idx="874">
                <c:v>26.77</c:v>
              </c:pt>
              <c:pt idx="875">
                <c:v>26.73</c:v>
              </c:pt>
              <c:pt idx="876">
                <c:v>26.78</c:v>
              </c:pt>
              <c:pt idx="877">
                <c:v>26.78</c:v>
              </c:pt>
              <c:pt idx="878">
                <c:v>26.83</c:v>
              </c:pt>
              <c:pt idx="879">
                <c:v>26.86</c:v>
              </c:pt>
              <c:pt idx="880">
                <c:v>26.98</c:v>
              </c:pt>
              <c:pt idx="881">
                <c:v>26.96</c:v>
              </c:pt>
              <c:pt idx="882">
                <c:v>26.89</c:v>
              </c:pt>
              <c:pt idx="883">
                <c:v>27.02</c:v>
              </c:pt>
              <c:pt idx="884">
                <c:v>27.02</c:v>
              </c:pt>
              <c:pt idx="885">
                <c:v>27.18</c:v>
              </c:pt>
              <c:pt idx="886">
                <c:v>27.07</c:v>
              </c:pt>
              <c:pt idx="887">
                <c:v>27.07</c:v>
              </c:pt>
              <c:pt idx="888">
                <c:v>27.09</c:v>
              </c:pt>
              <c:pt idx="889">
                <c:v>27.11</c:v>
              </c:pt>
              <c:pt idx="890">
                <c:v>27.19</c:v>
              </c:pt>
              <c:pt idx="891">
                <c:v>27.19</c:v>
              </c:pt>
              <c:pt idx="892">
                <c:v>27.22</c:v>
              </c:pt>
              <c:pt idx="893">
                <c:v>27.27</c:v>
              </c:pt>
              <c:pt idx="894">
                <c:v>27.23</c:v>
              </c:pt>
              <c:pt idx="895">
                <c:v>27.21</c:v>
              </c:pt>
              <c:pt idx="896">
                <c:v>27.25</c:v>
              </c:pt>
              <c:pt idx="897">
                <c:v>27.28</c:v>
              </c:pt>
              <c:pt idx="898">
                <c:v>27.27</c:v>
              </c:pt>
              <c:pt idx="899">
                <c:v>27.14</c:v>
              </c:pt>
              <c:pt idx="900">
                <c:v>27.09</c:v>
              </c:pt>
              <c:pt idx="901">
                <c:v>27.12</c:v>
              </c:pt>
              <c:pt idx="902">
                <c:v>27.15</c:v>
              </c:pt>
              <c:pt idx="903">
                <c:v>27.14</c:v>
              </c:pt>
              <c:pt idx="904">
                <c:v>27.18</c:v>
              </c:pt>
              <c:pt idx="905">
                <c:v>27.22</c:v>
              </c:pt>
              <c:pt idx="906">
                <c:v>27.16</c:v>
              </c:pt>
              <c:pt idx="907">
                <c:v>27.21</c:v>
              </c:pt>
              <c:pt idx="908">
                <c:v>27.16</c:v>
              </c:pt>
              <c:pt idx="909">
                <c:v>27.18</c:v>
              </c:pt>
              <c:pt idx="910">
                <c:v>27.23</c:v>
              </c:pt>
              <c:pt idx="911">
                <c:v>27.18</c:v>
              </c:pt>
              <c:pt idx="912">
                <c:v>27.24</c:v>
              </c:pt>
              <c:pt idx="913">
                <c:v>27.24</c:v>
              </c:pt>
              <c:pt idx="914">
                <c:v>27.32</c:v>
              </c:pt>
              <c:pt idx="915">
                <c:v>27.26</c:v>
              </c:pt>
              <c:pt idx="916">
                <c:v>27.15</c:v>
              </c:pt>
              <c:pt idx="917">
                <c:v>27.18</c:v>
              </c:pt>
              <c:pt idx="918">
                <c:v>27.3</c:v>
              </c:pt>
              <c:pt idx="919">
                <c:v>27.29</c:v>
              </c:pt>
              <c:pt idx="920">
                <c:v>27.29</c:v>
              </c:pt>
              <c:pt idx="921">
                <c:v>27.21</c:v>
              </c:pt>
              <c:pt idx="922">
                <c:v>27.28</c:v>
              </c:pt>
              <c:pt idx="923">
                <c:v>27.21</c:v>
              </c:pt>
              <c:pt idx="924">
                <c:v>27.22</c:v>
              </c:pt>
              <c:pt idx="925">
                <c:v>27.32</c:v>
              </c:pt>
              <c:pt idx="926">
                <c:v>27.28</c:v>
              </c:pt>
              <c:pt idx="927">
                <c:v>27.29</c:v>
              </c:pt>
              <c:pt idx="928">
                <c:v>27.31</c:v>
              </c:pt>
              <c:pt idx="929">
                <c:v>27.31</c:v>
              </c:pt>
              <c:pt idx="930">
                <c:v>27.29</c:v>
              </c:pt>
              <c:pt idx="931">
                <c:v>27.36</c:v>
              </c:pt>
              <c:pt idx="932">
                <c:v>27.37</c:v>
              </c:pt>
              <c:pt idx="933">
                <c:v>27.4</c:v>
              </c:pt>
              <c:pt idx="934">
                <c:v>27.41</c:v>
              </c:pt>
              <c:pt idx="935">
                <c:v>27.42</c:v>
              </c:pt>
              <c:pt idx="936">
                <c:v>27.4</c:v>
              </c:pt>
              <c:pt idx="937">
                <c:v>27.29</c:v>
              </c:pt>
              <c:pt idx="938">
                <c:v>27.33</c:v>
              </c:pt>
              <c:pt idx="939">
                <c:v>27.34</c:v>
              </c:pt>
              <c:pt idx="940">
                <c:v>27.33</c:v>
              </c:pt>
              <c:pt idx="941">
                <c:v>27.33</c:v>
              </c:pt>
              <c:pt idx="942">
                <c:v>27.34</c:v>
              </c:pt>
              <c:pt idx="943">
                <c:v>27.36</c:v>
              </c:pt>
              <c:pt idx="944">
                <c:v>27.4</c:v>
              </c:pt>
              <c:pt idx="945">
                <c:v>27.45</c:v>
              </c:pt>
              <c:pt idx="946">
                <c:v>27.46</c:v>
              </c:pt>
              <c:pt idx="947">
                <c:v>27.5</c:v>
              </c:pt>
              <c:pt idx="948">
                <c:v>27.54</c:v>
              </c:pt>
              <c:pt idx="949">
                <c:v>27.55</c:v>
              </c:pt>
              <c:pt idx="950">
                <c:v>27.61</c:v>
              </c:pt>
              <c:pt idx="951">
                <c:v>27.62</c:v>
              </c:pt>
              <c:pt idx="952">
                <c:v>27.66</c:v>
              </c:pt>
              <c:pt idx="953">
                <c:v>27.71</c:v>
              </c:pt>
              <c:pt idx="954">
                <c:v>27.74</c:v>
              </c:pt>
              <c:pt idx="955">
                <c:v>27.74</c:v>
              </c:pt>
              <c:pt idx="956">
                <c:v>27.79</c:v>
              </c:pt>
              <c:pt idx="957">
                <c:v>27.89</c:v>
              </c:pt>
              <c:pt idx="958">
                <c:v>27.88</c:v>
              </c:pt>
              <c:pt idx="959">
                <c:v>27.96</c:v>
              </c:pt>
              <c:pt idx="960">
                <c:v>27.97</c:v>
              </c:pt>
              <c:pt idx="961">
                <c:v>28.01</c:v>
              </c:pt>
              <c:pt idx="962">
                <c:v>27.99</c:v>
              </c:pt>
              <c:pt idx="963">
                <c:v>27.97</c:v>
              </c:pt>
              <c:pt idx="964">
                <c:v>27.98</c:v>
              </c:pt>
              <c:pt idx="965">
                <c:v>28.02</c:v>
              </c:pt>
              <c:pt idx="966">
                <c:v>27.98</c:v>
              </c:pt>
              <c:pt idx="967">
                <c:v>27.96</c:v>
              </c:pt>
              <c:pt idx="968">
                <c:v>27.93</c:v>
              </c:pt>
              <c:pt idx="969">
                <c:v>27.91</c:v>
              </c:pt>
              <c:pt idx="970">
                <c:v>27.94</c:v>
              </c:pt>
              <c:pt idx="971">
                <c:v>27.98</c:v>
              </c:pt>
              <c:pt idx="972">
                <c:v>28.02</c:v>
              </c:pt>
              <c:pt idx="973">
                <c:v>28.02</c:v>
              </c:pt>
              <c:pt idx="974">
                <c:v>28.04</c:v>
              </c:pt>
              <c:pt idx="975">
                <c:v>28.09</c:v>
              </c:pt>
              <c:pt idx="976">
                <c:v>28.13</c:v>
              </c:pt>
              <c:pt idx="977">
                <c:v>28.09</c:v>
              </c:pt>
              <c:pt idx="978">
                <c:v>28.13</c:v>
              </c:pt>
              <c:pt idx="979">
                <c:v>28.12</c:v>
              </c:pt>
              <c:pt idx="980">
                <c:v>28.12</c:v>
              </c:pt>
              <c:pt idx="981">
                <c:v>28.11</c:v>
              </c:pt>
              <c:pt idx="982">
                <c:v>28.11</c:v>
              </c:pt>
              <c:pt idx="983">
                <c:v>28.12</c:v>
              </c:pt>
              <c:pt idx="984">
                <c:v>28.1</c:v>
              </c:pt>
              <c:pt idx="985">
                <c:v>28.14</c:v>
              </c:pt>
              <c:pt idx="986">
                <c:v>28.1</c:v>
              </c:pt>
              <c:pt idx="987">
                <c:v>28.12</c:v>
              </c:pt>
              <c:pt idx="988">
                <c:v>28.17</c:v>
              </c:pt>
              <c:pt idx="989">
                <c:v>28.16</c:v>
              </c:pt>
              <c:pt idx="990">
                <c:v>28.15</c:v>
              </c:pt>
              <c:pt idx="991">
                <c:v>28.21</c:v>
              </c:pt>
              <c:pt idx="992">
                <c:v>28.14</c:v>
              </c:pt>
              <c:pt idx="993">
                <c:v>28.11</c:v>
              </c:pt>
              <c:pt idx="994">
                <c:v>28.12</c:v>
              </c:pt>
              <c:pt idx="995">
                <c:v>28.14</c:v>
              </c:pt>
              <c:pt idx="996">
                <c:v>28.17</c:v>
              </c:pt>
              <c:pt idx="997">
                <c:v>28.25</c:v>
              </c:pt>
              <c:pt idx="998">
                <c:v>28.24</c:v>
              </c:pt>
              <c:pt idx="999">
                <c:v>28.2</c:v>
              </c:pt>
              <c:pt idx="1000">
                <c:v>28.19</c:v>
              </c:pt>
              <c:pt idx="1001">
                <c:v>28.27</c:v>
              </c:pt>
              <c:pt idx="1002">
                <c:v>28.3</c:v>
              </c:pt>
              <c:pt idx="1003">
                <c:v>28.35</c:v>
              </c:pt>
              <c:pt idx="1004">
                <c:v>28.34</c:v>
              </c:pt>
              <c:pt idx="1005">
                <c:v>28.25</c:v>
              </c:pt>
              <c:pt idx="1006">
                <c:v>28.24</c:v>
              </c:pt>
              <c:pt idx="1007">
                <c:v>28.26</c:v>
              </c:pt>
              <c:pt idx="1008">
                <c:v>28.24</c:v>
              </c:pt>
              <c:pt idx="1009">
                <c:v>28.25</c:v>
              </c:pt>
              <c:pt idx="1010">
                <c:v>28.21</c:v>
              </c:pt>
              <c:pt idx="1011">
                <c:v>28.1</c:v>
              </c:pt>
              <c:pt idx="1012">
                <c:v>28.09</c:v>
              </c:pt>
              <c:pt idx="1013">
                <c:v>28.1</c:v>
              </c:pt>
              <c:pt idx="1014">
                <c:v>28.07</c:v>
              </c:pt>
              <c:pt idx="1015">
                <c:v>28.06</c:v>
              </c:pt>
              <c:pt idx="1016">
                <c:v>28.06</c:v>
              </c:pt>
              <c:pt idx="1017">
                <c:v>28.06</c:v>
              </c:pt>
              <c:pt idx="1018">
                <c:v>28.06</c:v>
              </c:pt>
              <c:pt idx="1019">
                <c:v>28.09</c:v>
              </c:pt>
              <c:pt idx="1020">
                <c:v>28.03</c:v>
              </c:pt>
              <c:pt idx="1021">
                <c:v>27.94</c:v>
              </c:pt>
              <c:pt idx="1022">
                <c:v>27.84</c:v>
              </c:pt>
              <c:pt idx="1023">
                <c:v>27.86</c:v>
              </c:pt>
              <c:pt idx="1024">
                <c:v>27.83</c:v>
              </c:pt>
              <c:pt idx="1025">
                <c:v>27.9</c:v>
              </c:pt>
              <c:pt idx="1026">
                <c:v>27.88</c:v>
              </c:pt>
              <c:pt idx="1027">
                <c:v>27.91</c:v>
              </c:pt>
              <c:pt idx="1028">
                <c:v>27.88</c:v>
              </c:pt>
              <c:pt idx="1029">
                <c:v>27.9</c:v>
              </c:pt>
              <c:pt idx="1030">
                <c:v>27.94</c:v>
              </c:pt>
              <c:pt idx="1031">
                <c:v>27.95</c:v>
              </c:pt>
              <c:pt idx="1032">
                <c:v>28.02</c:v>
              </c:pt>
              <c:pt idx="1033">
                <c:v>28.1</c:v>
              </c:pt>
              <c:pt idx="1034">
                <c:v>28.22</c:v>
              </c:pt>
              <c:pt idx="1035">
                <c:v>28.36</c:v>
              </c:pt>
              <c:pt idx="1036">
                <c:v>28.53</c:v>
              </c:pt>
              <c:pt idx="1037">
                <c:v>28.63</c:v>
              </c:pt>
              <c:pt idx="1038">
                <c:v>28.69</c:v>
              </c:pt>
              <c:pt idx="1039">
                <c:v>28.66</c:v>
              </c:pt>
              <c:pt idx="1040">
                <c:v>28.58</c:v>
              </c:pt>
              <c:pt idx="1041">
                <c:v>28.6</c:v>
              </c:pt>
              <c:pt idx="1042">
                <c:v>28.54</c:v>
              </c:pt>
              <c:pt idx="1043">
                <c:v>28.43</c:v>
              </c:pt>
              <c:pt idx="1044">
                <c:v>28.39</c:v>
              </c:pt>
              <c:pt idx="1045">
                <c:v>28.34</c:v>
              </c:pt>
              <c:pt idx="1046">
                <c:v>28.3</c:v>
              </c:pt>
              <c:pt idx="1047">
                <c:v>28.26</c:v>
              </c:pt>
              <c:pt idx="1048">
                <c:v>28.24</c:v>
              </c:pt>
              <c:pt idx="1049">
                <c:v>28.21</c:v>
              </c:pt>
              <c:pt idx="1050">
                <c:v>28.2</c:v>
              </c:pt>
              <c:pt idx="1051">
                <c:v>28.15</c:v>
              </c:pt>
              <c:pt idx="1052">
                <c:v>28.14</c:v>
              </c:pt>
              <c:pt idx="1053">
                <c:v>28.18</c:v>
              </c:pt>
              <c:pt idx="1054">
                <c:v>28.19</c:v>
              </c:pt>
              <c:pt idx="1055">
                <c:v>28.23</c:v>
              </c:pt>
              <c:pt idx="1056">
                <c:v>28.25</c:v>
              </c:pt>
              <c:pt idx="1057">
                <c:v>28.26</c:v>
              </c:pt>
              <c:pt idx="1058">
                <c:v>28.3</c:v>
              </c:pt>
              <c:pt idx="1059">
                <c:v>28.33</c:v>
              </c:pt>
              <c:pt idx="1060">
                <c:v>28.37</c:v>
              </c:pt>
              <c:pt idx="1061">
                <c:v>28.39</c:v>
              </c:pt>
              <c:pt idx="1062">
                <c:v>28.4</c:v>
              </c:pt>
              <c:pt idx="1063">
                <c:v>28.4</c:v>
              </c:pt>
              <c:pt idx="1064">
                <c:v>28.43</c:v>
              </c:pt>
              <c:pt idx="1065">
                <c:v>28.45</c:v>
              </c:pt>
              <c:pt idx="1066">
                <c:v>28.48</c:v>
              </c:pt>
              <c:pt idx="1067">
                <c:v>28.45</c:v>
              </c:pt>
              <c:pt idx="1068">
                <c:v>28.47</c:v>
              </c:pt>
              <c:pt idx="1069">
                <c:v>28.5</c:v>
              </c:pt>
              <c:pt idx="1070">
                <c:v>28.53</c:v>
              </c:pt>
              <c:pt idx="1071">
                <c:v>28.51</c:v>
              </c:pt>
              <c:pt idx="1072">
                <c:v>28.47</c:v>
              </c:pt>
              <c:pt idx="1073">
                <c:v>28.48</c:v>
              </c:pt>
              <c:pt idx="1074">
                <c:v>28.5</c:v>
              </c:pt>
              <c:pt idx="1075">
                <c:v>28.46</c:v>
              </c:pt>
              <c:pt idx="1076">
                <c:v>28.47</c:v>
              </c:pt>
              <c:pt idx="1077">
                <c:v>28.46</c:v>
              </c:pt>
              <c:pt idx="1078">
                <c:v>28.38</c:v>
              </c:pt>
              <c:pt idx="1079">
                <c:v>28.32</c:v>
              </c:pt>
              <c:pt idx="1080">
                <c:v>28.25</c:v>
              </c:pt>
              <c:pt idx="1081">
                <c:v>28.17</c:v>
              </c:pt>
              <c:pt idx="1082">
                <c:v>28.13</c:v>
              </c:pt>
              <c:pt idx="1083">
                <c:v>28.07</c:v>
              </c:pt>
              <c:pt idx="1084">
                <c:v>28.05</c:v>
              </c:pt>
              <c:pt idx="1085">
                <c:v>28.03</c:v>
              </c:pt>
              <c:pt idx="1086">
                <c:v>28.01</c:v>
              </c:pt>
              <c:pt idx="1087">
                <c:v>27.98</c:v>
              </c:pt>
              <c:pt idx="1088">
                <c:v>27.93</c:v>
              </c:pt>
              <c:pt idx="1089">
                <c:v>27.9</c:v>
              </c:pt>
              <c:pt idx="1090">
                <c:v>27.86</c:v>
              </c:pt>
              <c:pt idx="1091">
                <c:v>27.84</c:v>
              </c:pt>
              <c:pt idx="1092">
                <c:v>27.83</c:v>
              </c:pt>
              <c:pt idx="1093">
                <c:v>27.83</c:v>
              </c:pt>
              <c:pt idx="1094">
                <c:v>27.79</c:v>
              </c:pt>
              <c:pt idx="1095">
                <c:v>27.84</c:v>
              </c:pt>
              <c:pt idx="1096">
                <c:v>27.87</c:v>
              </c:pt>
              <c:pt idx="1097">
                <c:v>27.86</c:v>
              </c:pt>
              <c:pt idx="1098">
                <c:v>27.89</c:v>
              </c:pt>
              <c:pt idx="1099">
                <c:v>27.95</c:v>
              </c:pt>
              <c:pt idx="1100">
                <c:v>27.94</c:v>
              </c:pt>
              <c:pt idx="1101">
                <c:v>27.88</c:v>
              </c:pt>
              <c:pt idx="1102">
                <c:v>27.88</c:v>
              </c:pt>
              <c:pt idx="1103">
                <c:v>27.87</c:v>
              </c:pt>
              <c:pt idx="1104">
                <c:v>27.89</c:v>
              </c:pt>
              <c:pt idx="1105">
                <c:v>27.89</c:v>
              </c:pt>
              <c:pt idx="1106">
                <c:v>27.88</c:v>
              </c:pt>
              <c:pt idx="1107">
                <c:v>27.89</c:v>
              </c:pt>
              <c:pt idx="1108">
                <c:v>27.91</c:v>
              </c:pt>
              <c:pt idx="1109">
                <c:v>27.88</c:v>
              </c:pt>
              <c:pt idx="1110">
                <c:v>27.92</c:v>
              </c:pt>
              <c:pt idx="1111">
                <c:v>27.92</c:v>
              </c:pt>
              <c:pt idx="1112">
                <c:v>27.93</c:v>
              </c:pt>
              <c:pt idx="1113">
                <c:v>27.95</c:v>
              </c:pt>
              <c:pt idx="1114">
                <c:v>27.99</c:v>
              </c:pt>
              <c:pt idx="1115">
                <c:v>27.98</c:v>
              </c:pt>
              <c:pt idx="1116">
                <c:v>28.01</c:v>
              </c:pt>
              <c:pt idx="1117">
                <c:v>28.01</c:v>
              </c:pt>
              <c:pt idx="1118">
                <c:v>27.96</c:v>
              </c:pt>
              <c:pt idx="1119">
                <c:v>27.97</c:v>
              </c:pt>
              <c:pt idx="1120">
                <c:v>27.98</c:v>
              </c:pt>
              <c:pt idx="1121">
                <c:v>27.97</c:v>
              </c:pt>
              <c:pt idx="1122">
                <c:v>27.99</c:v>
              </c:pt>
              <c:pt idx="1123">
                <c:v>27.97</c:v>
              </c:pt>
              <c:pt idx="1124">
                <c:v>27.98</c:v>
              </c:pt>
              <c:pt idx="1125">
                <c:v>27.99</c:v>
              </c:pt>
              <c:pt idx="1126">
                <c:v>27.98</c:v>
              </c:pt>
              <c:pt idx="1127">
                <c:v>27.93</c:v>
              </c:pt>
              <c:pt idx="1128">
                <c:v>27.95</c:v>
              </c:pt>
              <c:pt idx="1129">
                <c:v>27.94</c:v>
              </c:pt>
              <c:pt idx="1130">
                <c:v>27.95</c:v>
              </c:pt>
              <c:pt idx="1131">
                <c:v>27.89</c:v>
              </c:pt>
              <c:pt idx="1132">
                <c:v>27.9</c:v>
              </c:pt>
              <c:pt idx="1133">
                <c:v>27.95</c:v>
              </c:pt>
              <c:pt idx="1134">
                <c:v>27.97</c:v>
              </c:pt>
              <c:pt idx="1135">
                <c:v>27.95</c:v>
              </c:pt>
              <c:pt idx="1136">
                <c:v>27.95</c:v>
              </c:pt>
              <c:pt idx="1137">
                <c:v>27.91</c:v>
              </c:pt>
              <c:pt idx="1138">
                <c:v>27.89</c:v>
              </c:pt>
              <c:pt idx="1139">
                <c:v>27.92</c:v>
              </c:pt>
              <c:pt idx="1140">
                <c:v>27.92</c:v>
              </c:pt>
              <c:pt idx="1141">
                <c:v>27.91</c:v>
              </c:pt>
              <c:pt idx="1142">
                <c:v>27.93</c:v>
              </c:pt>
              <c:pt idx="1143">
                <c:v>27.9</c:v>
              </c:pt>
              <c:pt idx="1144">
                <c:v>27.89</c:v>
              </c:pt>
              <c:pt idx="1145">
                <c:v>27.92</c:v>
              </c:pt>
              <c:pt idx="1146">
                <c:v>27.91</c:v>
              </c:pt>
              <c:pt idx="1147">
                <c:v>27.93</c:v>
              </c:pt>
              <c:pt idx="1148">
                <c:v>27.89</c:v>
              </c:pt>
              <c:pt idx="1149">
                <c:v>27.87</c:v>
              </c:pt>
              <c:pt idx="1150">
                <c:v>27.9</c:v>
              </c:pt>
              <c:pt idx="1151">
                <c:v>27.87</c:v>
              </c:pt>
              <c:pt idx="1152">
                <c:v>27.89</c:v>
              </c:pt>
              <c:pt idx="1153">
                <c:v>27.91</c:v>
              </c:pt>
              <c:pt idx="1154">
                <c:v>27.89</c:v>
              </c:pt>
              <c:pt idx="1155">
                <c:v>27.87</c:v>
              </c:pt>
              <c:pt idx="1156">
                <c:v>27.89</c:v>
              </c:pt>
              <c:pt idx="1157">
                <c:v>27.91</c:v>
              </c:pt>
              <c:pt idx="1158">
                <c:v>27.92</c:v>
              </c:pt>
              <c:pt idx="1159">
                <c:v>27.92</c:v>
              </c:pt>
              <c:pt idx="1160">
                <c:v>27.9</c:v>
              </c:pt>
              <c:pt idx="1161">
                <c:v>27.92</c:v>
              </c:pt>
              <c:pt idx="1162">
                <c:v>27.92</c:v>
              </c:pt>
              <c:pt idx="1163">
                <c:v>27.94</c:v>
              </c:pt>
              <c:pt idx="1164">
                <c:v>27.9</c:v>
              </c:pt>
              <c:pt idx="1165">
                <c:v>27.89</c:v>
              </c:pt>
              <c:pt idx="1166">
                <c:v>27.88</c:v>
              </c:pt>
              <c:pt idx="1167">
                <c:v>27.9</c:v>
              </c:pt>
              <c:pt idx="1168">
                <c:v>27.88</c:v>
              </c:pt>
              <c:pt idx="1169">
                <c:v>27.84</c:v>
              </c:pt>
              <c:pt idx="1170">
                <c:v>27.84</c:v>
              </c:pt>
              <c:pt idx="1171">
                <c:v>27.85</c:v>
              </c:pt>
              <c:pt idx="1172">
                <c:v>27.85</c:v>
              </c:pt>
              <c:pt idx="1173">
                <c:v>27.83</c:v>
              </c:pt>
              <c:pt idx="1174">
                <c:v>27.82</c:v>
              </c:pt>
              <c:pt idx="1175">
                <c:v>27.82</c:v>
              </c:pt>
              <c:pt idx="1176">
                <c:v>27.83</c:v>
              </c:pt>
              <c:pt idx="1177">
                <c:v>27.81</c:v>
              </c:pt>
              <c:pt idx="1178">
                <c:v>27.82</c:v>
              </c:pt>
              <c:pt idx="1179">
                <c:v>27.79</c:v>
              </c:pt>
              <c:pt idx="1180">
                <c:v>27.79</c:v>
              </c:pt>
              <c:pt idx="1181">
                <c:v>27.79</c:v>
              </c:pt>
              <c:pt idx="1182">
                <c:v>27.81</c:v>
              </c:pt>
              <c:pt idx="1183">
                <c:v>27.77</c:v>
              </c:pt>
              <c:pt idx="1184">
                <c:v>27.75</c:v>
              </c:pt>
              <c:pt idx="1185">
                <c:v>27.77</c:v>
              </c:pt>
              <c:pt idx="1186">
                <c:v>27.76</c:v>
              </c:pt>
              <c:pt idx="1187">
                <c:v>27.76</c:v>
              </c:pt>
              <c:pt idx="1188">
                <c:v>27.78</c:v>
              </c:pt>
              <c:pt idx="1189">
                <c:v>27.76</c:v>
              </c:pt>
              <c:pt idx="1190">
                <c:v>27.77</c:v>
              </c:pt>
              <c:pt idx="1191">
                <c:v>27.78</c:v>
              </c:pt>
              <c:pt idx="1192">
                <c:v>27.76</c:v>
              </c:pt>
              <c:pt idx="1193">
                <c:v>27.75</c:v>
              </c:pt>
              <c:pt idx="1194">
                <c:v>27.72</c:v>
              </c:pt>
              <c:pt idx="1195">
                <c:v>27.74</c:v>
              </c:pt>
              <c:pt idx="1196">
                <c:v>27.75</c:v>
              </c:pt>
              <c:pt idx="1197">
                <c:v>27.73</c:v>
              </c:pt>
              <c:pt idx="1198">
                <c:v>27.73</c:v>
              </c:pt>
              <c:pt idx="1199">
                <c:v>27.73</c:v>
              </c:pt>
              <c:pt idx="1200">
                <c:v>27.74</c:v>
              </c:pt>
              <c:pt idx="1201">
                <c:v>27.72</c:v>
              </c:pt>
              <c:pt idx="1202">
                <c:v>27.71</c:v>
              </c:pt>
              <c:pt idx="1203">
                <c:v>27.73</c:v>
              </c:pt>
              <c:pt idx="1204">
                <c:v>27.71</c:v>
              </c:pt>
              <c:pt idx="1205">
                <c:v>27.7</c:v>
              </c:pt>
              <c:pt idx="1206">
                <c:v>27.71</c:v>
              </c:pt>
              <c:pt idx="1207">
                <c:v>27.7</c:v>
              </c:pt>
              <c:pt idx="1208">
                <c:v>27.7</c:v>
              </c:pt>
              <c:pt idx="1209">
                <c:v>27.72</c:v>
              </c:pt>
              <c:pt idx="1210">
                <c:v>27.73</c:v>
              </c:pt>
              <c:pt idx="1211">
                <c:v>27.71</c:v>
              </c:pt>
              <c:pt idx="1212">
                <c:v>27.7</c:v>
              </c:pt>
              <c:pt idx="1213">
                <c:v>27.7</c:v>
              </c:pt>
              <c:pt idx="1214">
                <c:v>27.71</c:v>
              </c:pt>
              <c:pt idx="1215">
                <c:v>27.73</c:v>
              </c:pt>
              <c:pt idx="1216">
                <c:v>27.73</c:v>
              </c:pt>
              <c:pt idx="1217">
                <c:v>27.73</c:v>
              </c:pt>
              <c:pt idx="1218">
                <c:v>27.7</c:v>
              </c:pt>
              <c:pt idx="1219">
                <c:v>27.7</c:v>
              </c:pt>
              <c:pt idx="1220">
                <c:v>27.71</c:v>
              </c:pt>
              <c:pt idx="1221">
                <c:v>27.73</c:v>
              </c:pt>
              <c:pt idx="1222">
                <c:v>27.74</c:v>
              </c:pt>
              <c:pt idx="1223">
                <c:v>27.69</c:v>
              </c:pt>
              <c:pt idx="1224">
                <c:v>27.7</c:v>
              </c:pt>
              <c:pt idx="1225">
                <c:v>27.72</c:v>
              </c:pt>
              <c:pt idx="1226">
                <c:v>27.73</c:v>
              </c:pt>
              <c:pt idx="1227">
                <c:v>27.72</c:v>
              </c:pt>
              <c:pt idx="1228">
                <c:v>27.69</c:v>
              </c:pt>
              <c:pt idx="1229">
                <c:v>27.71</c:v>
              </c:pt>
              <c:pt idx="1230">
                <c:v>27.7</c:v>
              </c:pt>
              <c:pt idx="1231">
                <c:v>27.72</c:v>
              </c:pt>
              <c:pt idx="1232">
                <c:v>27.71</c:v>
              </c:pt>
              <c:pt idx="1233">
                <c:v>27.71</c:v>
              </c:pt>
              <c:pt idx="1234">
                <c:v>27.7</c:v>
              </c:pt>
              <c:pt idx="1235">
                <c:v>27.69</c:v>
              </c:pt>
              <c:pt idx="1236">
                <c:v>27.71</c:v>
              </c:pt>
              <c:pt idx="1237">
                <c:v>27.72</c:v>
              </c:pt>
              <c:pt idx="1238">
                <c:v>27.69</c:v>
              </c:pt>
              <c:pt idx="1239">
                <c:v>27.7</c:v>
              </c:pt>
              <c:pt idx="1240">
                <c:v>27.7</c:v>
              </c:pt>
              <c:pt idx="1241">
                <c:v>27.74</c:v>
              </c:pt>
              <c:pt idx="1242">
                <c:v>27.7</c:v>
              </c:pt>
              <c:pt idx="1243">
                <c:v>27.73</c:v>
              </c:pt>
              <c:pt idx="1244">
                <c:v>27.72</c:v>
              </c:pt>
              <c:pt idx="1245">
                <c:v>27.7</c:v>
              </c:pt>
              <c:pt idx="1246">
                <c:v>27.67</c:v>
              </c:pt>
              <c:pt idx="1247">
                <c:v>27.69</c:v>
              </c:pt>
              <c:pt idx="1248">
                <c:v>27.69</c:v>
              </c:pt>
              <c:pt idx="1249">
                <c:v>27.68</c:v>
              </c:pt>
              <c:pt idx="1250">
                <c:v>27.7</c:v>
              </c:pt>
              <c:pt idx="1251">
                <c:v>27.7</c:v>
              </c:pt>
              <c:pt idx="1252">
                <c:v>27.71</c:v>
              </c:pt>
              <c:pt idx="1253">
                <c:v>27.69</c:v>
              </c:pt>
              <c:pt idx="1254">
                <c:v>27.7</c:v>
              </c:pt>
              <c:pt idx="1255">
                <c:v>27.7</c:v>
              </c:pt>
              <c:pt idx="1256">
                <c:v>27.71</c:v>
              </c:pt>
              <c:pt idx="1257">
                <c:v>27.66</c:v>
              </c:pt>
              <c:pt idx="1258">
                <c:v>27.68</c:v>
              </c:pt>
              <c:pt idx="1259">
                <c:v>27.67</c:v>
              </c:pt>
              <c:pt idx="1260">
                <c:v>27.65</c:v>
              </c:pt>
              <c:pt idx="1261">
                <c:v>27.62</c:v>
              </c:pt>
              <c:pt idx="1262">
                <c:v>27.63</c:v>
              </c:pt>
              <c:pt idx="1263">
                <c:v>27.61</c:v>
              </c:pt>
              <c:pt idx="1264">
                <c:v>27.64</c:v>
              </c:pt>
              <c:pt idx="1265">
                <c:v>27.62</c:v>
              </c:pt>
              <c:pt idx="1266">
                <c:v>27.63</c:v>
              </c:pt>
              <c:pt idx="1267">
                <c:v>27.65</c:v>
              </c:pt>
              <c:pt idx="1268">
                <c:v>27.64</c:v>
              </c:pt>
              <c:pt idx="1269">
                <c:v>27.61</c:v>
              </c:pt>
              <c:pt idx="1270">
                <c:v>27.62</c:v>
              </c:pt>
              <c:pt idx="1271">
                <c:v>27.63</c:v>
              </c:pt>
              <c:pt idx="1272">
                <c:v>27.64</c:v>
              </c:pt>
              <c:pt idx="1273">
                <c:v>27.62</c:v>
              </c:pt>
              <c:pt idx="1274">
                <c:v>27.61</c:v>
              </c:pt>
              <c:pt idx="1275">
                <c:v>27.64</c:v>
              </c:pt>
              <c:pt idx="1276">
                <c:v>27.63</c:v>
              </c:pt>
              <c:pt idx="1277">
                <c:v>27.64</c:v>
              </c:pt>
              <c:pt idx="1278">
                <c:v>27.62</c:v>
              </c:pt>
              <c:pt idx="1279">
                <c:v>27.63</c:v>
              </c:pt>
              <c:pt idx="1280">
                <c:v>27.63</c:v>
              </c:pt>
              <c:pt idx="1281">
                <c:v>27.65</c:v>
              </c:pt>
              <c:pt idx="1282">
                <c:v>27.63</c:v>
              </c:pt>
              <c:pt idx="1283">
                <c:v>27.65</c:v>
              </c:pt>
              <c:pt idx="1284">
                <c:v>27.65</c:v>
              </c:pt>
              <c:pt idx="1285">
                <c:v>27.65</c:v>
              </c:pt>
              <c:pt idx="1286">
                <c:v>27.69</c:v>
              </c:pt>
              <c:pt idx="1287">
                <c:v>27.69</c:v>
              </c:pt>
              <c:pt idx="1288">
                <c:v>27.7</c:v>
              </c:pt>
              <c:pt idx="1289">
                <c:v>27.67</c:v>
              </c:pt>
              <c:pt idx="1290">
                <c:v>27.65</c:v>
              </c:pt>
              <c:pt idx="1291">
                <c:v>27.67</c:v>
              </c:pt>
              <c:pt idx="1292">
                <c:v>27.66</c:v>
              </c:pt>
              <c:pt idx="1293">
                <c:v>27.66</c:v>
              </c:pt>
              <c:pt idx="1294">
                <c:v>27.66</c:v>
              </c:pt>
              <c:pt idx="1295">
                <c:v>27.66</c:v>
              </c:pt>
              <c:pt idx="1296">
                <c:v>27.64</c:v>
              </c:pt>
              <c:pt idx="1297">
                <c:v>27.65</c:v>
              </c:pt>
              <c:pt idx="1298">
                <c:v>27.68</c:v>
              </c:pt>
              <c:pt idx="1299">
                <c:v>27.7</c:v>
              </c:pt>
              <c:pt idx="1300">
                <c:v>27.71</c:v>
              </c:pt>
              <c:pt idx="1301">
                <c:v>27.7</c:v>
              </c:pt>
              <c:pt idx="1302">
                <c:v>27.69</c:v>
              </c:pt>
              <c:pt idx="1303">
                <c:v>27.71</c:v>
              </c:pt>
              <c:pt idx="1304">
                <c:v>27.67</c:v>
              </c:pt>
              <c:pt idx="1305">
                <c:v>27.65</c:v>
              </c:pt>
              <c:pt idx="1306">
                <c:v>27.62</c:v>
              </c:pt>
              <c:pt idx="1307">
                <c:v>27.64</c:v>
              </c:pt>
              <c:pt idx="1308">
                <c:v>27.64</c:v>
              </c:pt>
              <c:pt idx="1309">
                <c:v>27.62</c:v>
              </c:pt>
              <c:pt idx="1310">
                <c:v>27.63</c:v>
              </c:pt>
              <c:pt idx="1311">
                <c:v>27.6</c:v>
              </c:pt>
              <c:pt idx="1312">
                <c:v>27.64</c:v>
              </c:pt>
              <c:pt idx="1313">
                <c:v>27.62</c:v>
              </c:pt>
              <c:pt idx="1314">
                <c:v>27.6</c:v>
              </c:pt>
              <c:pt idx="1315">
                <c:v>27.58</c:v>
              </c:pt>
              <c:pt idx="1316">
                <c:v>27.55</c:v>
              </c:pt>
              <c:pt idx="1317">
                <c:v>27.57</c:v>
              </c:pt>
              <c:pt idx="1318">
                <c:v>27.58</c:v>
              </c:pt>
              <c:pt idx="1319">
                <c:v>27.57</c:v>
              </c:pt>
              <c:pt idx="1320">
                <c:v>27.5</c:v>
              </c:pt>
              <c:pt idx="1321">
                <c:v>27.51</c:v>
              </c:pt>
              <c:pt idx="1322">
                <c:v>27.5</c:v>
              </c:pt>
              <c:pt idx="1323">
                <c:v>27.48</c:v>
              </c:pt>
              <c:pt idx="1324">
                <c:v>27.47</c:v>
              </c:pt>
              <c:pt idx="1325">
                <c:v>27.51</c:v>
              </c:pt>
              <c:pt idx="1326">
                <c:v>27.51</c:v>
              </c:pt>
              <c:pt idx="1327">
                <c:v>27.47</c:v>
              </c:pt>
              <c:pt idx="1328">
                <c:v>27.47</c:v>
              </c:pt>
              <c:pt idx="1329">
                <c:v>27.46</c:v>
              </c:pt>
              <c:pt idx="1330">
                <c:v>27.46</c:v>
              </c:pt>
              <c:pt idx="1331">
                <c:v>27.44</c:v>
              </c:pt>
              <c:pt idx="1332">
                <c:v>27.41</c:v>
              </c:pt>
              <c:pt idx="1333">
                <c:v>27.43</c:v>
              </c:pt>
              <c:pt idx="1334">
                <c:v>27.43</c:v>
              </c:pt>
              <c:pt idx="1335">
                <c:v>27.46</c:v>
              </c:pt>
              <c:pt idx="1336">
                <c:v>27.47</c:v>
              </c:pt>
              <c:pt idx="1337">
                <c:v>27.44</c:v>
              </c:pt>
              <c:pt idx="1338">
                <c:v>27.46</c:v>
              </c:pt>
              <c:pt idx="1339">
                <c:v>27.46</c:v>
              </c:pt>
              <c:pt idx="1340">
                <c:v>27.46</c:v>
              </c:pt>
              <c:pt idx="1341">
                <c:v>27.47</c:v>
              </c:pt>
              <c:pt idx="1342">
                <c:v>27.48</c:v>
              </c:pt>
              <c:pt idx="1343">
                <c:v>27.49</c:v>
              </c:pt>
              <c:pt idx="1344">
                <c:v>27.5</c:v>
              </c:pt>
              <c:pt idx="1345">
                <c:v>27.49</c:v>
              </c:pt>
              <c:pt idx="1346">
                <c:v>27.48</c:v>
              </c:pt>
              <c:pt idx="1347">
                <c:v>27.48</c:v>
              </c:pt>
              <c:pt idx="1348">
                <c:v>27.48</c:v>
              </c:pt>
              <c:pt idx="1349">
                <c:v>27.47</c:v>
              </c:pt>
              <c:pt idx="1350">
                <c:v>27.46</c:v>
              </c:pt>
              <c:pt idx="1351">
                <c:v>27.48</c:v>
              </c:pt>
              <c:pt idx="1352">
                <c:v>27.47</c:v>
              </c:pt>
              <c:pt idx="1353">
                <c:v>27.44</c:v>
              </c:pt>
              <c:pt idx="1354">
                <c:v>27.44</c:v>
              </c:pt>
              <c:pt idx="1355">
                <c:v>27.46</c:v>
              </c:pt>
              <c:pt idx="1356">
                <c:v>27.45</c:v>
              </c:pt>
              <c:pt idx="1357">
                <c:v>27.45</c:v>
              </c:pt>
              <c:pt idx="1358">
                <c:v>27.47</c:v>
              </c:pt>
              <c:pt idx="1359">
                <c:v>27.48</c:v>
              </c:pt>
              <c:pt idx="1360">
                <c:v>27.44</c:v>
              </c:pt>
              <c:pt idx="1361">
                <c:v>27.46</c:v>
              </c:pt>
              <c:pt idx="1362">
                <c:v>27.48</c:v>
              </c:pt>
              <c:pt idx="1363">
                <c:v>27.46</c:v>
              </c:pt>
              <c:pt idx="1364">
                <c:v>27.46</c:v>
              </c:pt>
              <c:pt idx="1365">
                <c:v>27.46</c:v>
              </c:pt>
              <c:pt idx="1366">
                <c:v>27.47</c:v>
              </c:pt>
              <c:pt idx="1367">
                <c:v>27.45</c:v>
              </c:pt>
              <c:pt idx="1368">
                <c:v>27.46</c:v>
              </c:pt>
              <c:pt idx="1369">
                <c:v>27.47</c:v>
              </c:pt>
              <c:pt idx="1370">
                <c:v>27.48</c:v>
              </c:pt>
              <c:pt idx="1371">
                <c:v>27.45</c:v>
              </c:pt>
              <c:pt idx="1372">
                <c:v>27.45</c:v>
              </c:pt>
              <c:pt idx="1373">
                <c:v>27.46</c:v>
              </c:pt>
              <c:pt idx="1374">
                <c:v>27.45</c:v>
              </c:pt>
              <c:pt idx="1375">
                <c:v>27.43</c:v>
              </c:pt>
              <c:pt idx="1376">
                <c:v>27.44</c:v>
              </c:pt>
              <c:pt idx="1377">
                <c:v>27.44</c:v>
              </c:pt>
              <c:pt idx="1378">
                <c:v>27.43</c:v>
              </c:pt>
              <c:pt idx="1379">
                <c:v>27.39</c:v>
              </c:pt>
              <c:pt idx="1380">
                <c:v>27.39</c:v>
              </c:pt>
              <c:pt idx="1381">
                <c:v>27.39</c:v>
              </c:pt>
              <c:pt idx="1382">
                <c:v>27.37</c:v>
              </c:pt>
              <c:pt idx="1383">
                <c:v>27.4</c:v>
              </c:pt>
              <c:pt idx="1384">
                <c:v>27.41</c:v>
              </c:pt>
              <c:pt idx="1385">
                <c:v>27.35</c:v>
              </c:pt>
              <c:pt idx="1386">
                <c:v>27.37</c:v>
              </c:pt>
              <c:pt idx="1387">
                <c:v>27.35</c:v>
              </c:pt>
              <c:pt idx="1388">
                <c:v>27.34</c:v>
              </c:pt>
              <c:pt idx="1389">
                <c:v>27.32</c:v>
              </c:pt>
              <c:pt idx="1390">
                <c:v>27.36</c:v>
              </c:pt>
              <c:pt idx="1391">
                <c:v>27.34</c:v>
              </c:pt>
              <c:pt idx="1392">
                <c:v>27.32</c:v>
              </c:pt>
              <c:pt idx="1393">
                <c:v>27.3</c:v>
              </c:pt>
              <c:pt idx="1394">
                <c:v>27.3</c:v>
              </c:pt>
              <c:pt idx="1395">
                <c:v>27.31</c:v>
              </c:pt>
              <c:pt idx="1396">
                <c:v>27.28</c:v>
              </c:pt>
              <c:pt idx="1397">
                <c:v>27.29</c:v>
              </c:pt>
              <c:pt idx="1398">
                <c:v>27.31</c:v>
              </c:pt>
              <c:pt idx="1399">
                <c:v>27.28</c:v>
              </c:pt>
              <c:pt idx="1400">
                <c:v>27.26</c:v>
              </c:pt>
              <c:pt idx="1401">
                <c:v>27.28</c:v>
              </c:pt>
              <c:pt idx="1402">
                <c:v>27.29</c:v>
              </c:pt>
              <c:pt idx="1403">
                <c:v>27.24</c:v>
              </c:pt>
              <c:pt idx="1404">
                <c:v>27.28</c:v>
              </c:pt>
              <c:pt idx="1405">
                <c:v>27.28</c:v>
              </c:pt>
              <c:pt idx="1406">
                <c:v>27.28</c:v>
              </c:pt>
              <c:pt idx="1407">
                <c:v>27.25</c:v>
              </c:pt>
              <c:pt idx="1408">
                <c:v>27.27</c:v>
              </c:pt>
              <c:pt idx="1409">
                <c:v>27.28</c:v>
              </c:pt>
              <c:pt idx="1410">
                <c:v>27.26</c:v>
              </c:pt>
              <c:pt idx="1411">
                <c:v>27.24</c:v>
              </c:pt>
              <c:pt idx="1412">
                <c:v>27.23</c:v>
              </c:pt>
              <c:pt idx="1413">
                <c:v>27.24</c:v>
              </c:pt>
              <c:pt idx="1414">
                <c:v>27.2</c:v>
              </c:pt>
              <c:pt idx="1415">
                <c:v>27.23</c:v>
              </c:pt>
              <c:pt idx="1416">
                <c:v>27.23</c:v>
              </c:pt>
              <c:pt idx="1417">
                <c:v>27.22</c:v>
              </c:pt>
              <c:pt idx="1418">
                <c:v>27.2</c:v>
              </c:pt>
              <c:pt idx="1419">
                <c:v>27.21</c:v>
              </c:pt>
              <c:pt idx="1420">
                <c:v>27.23</c:v>
              </c:pt>
              <c:pt idx="1421">
                <c:v>27.21</c:v>
              </c:pt>
              <c:pt idx="1422">
                <c:v>27.22</c:v>
              </c:pt>
              <c:pt idx="1423">
                <c:v>27.22</c:v>
              </c:pt>
              <c:pt idx="1424">
                <c:v>27.2</c:v>
              </c:pt>
              <c:pt idx="1425">
                <c:v>27.22</c:v>
              </c:pt>
              <c:pt idx="1426">
                <c:v>27.21</c:v>
              </c:pt>
              <c:pt idx="1427">
                <c:v>27.21</c:v>
              </c:pt>
              <c:pt idx="1428">
                <c:v>27.17</c:v>
              </c:pt>
              <c:pt idx="1429">
                <c:v>27.21</c:v>
              </c:pt>
              <c:pt idx="1430">
                <c:v>27.19</c:v>
              </c:pt>
              <c:pt idx="1431">
                <c:v>27.18</c:v>
              </c:pt>
              <c:pt idx="1432">
                <c:v>27.18</c:v>
              </c:pt>
              <c:pt idx="1433">
                <c:v>27.15</c:v>
              </c:pt>
              <c:pt idx="1434">
                <c:v>27.15</c:v>
              </c:pt>
              <c:pt idx="1435">
                <c:v>27.15</c:v>
              </c:pt>
              <c:pt idx="1436">
                <c:v>27.16</c:v>
              </c:pt>
              <c:pt idx="1437">
                <c:v>27.13</c:v>
              </c:pt>
              <c:pt idx="1438">
                <c:v>27.12</c:v>
              </c:pt>
              <c:pt idx="1439">
                <c:v>27.09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25.4746556291391</c:v>
              </c:pt>
            </c:numLit>
          </c:val>
          <c:smooth val="0"/>
          <c:extLst>
            <c:ext xmlns:c16="http://schemas.microsoft.com/office/drawing/2014/chart" uri="{C3380CC4-5D6E-409C-BE32-E72D297353CC}">
              <c16:uniqueId val="{00000005-1A6C-4F36-8BD6-8906B90145C2}"/>
            </c:ext>
          </c:extLst>
        </c:ser>
        <c:dLbls>
          <c:showLegendKey val="0"/>
          <c:showVal val="0"/>
          <c:showCatName val="0"/>
          <c:showSerName val="0"/>
          <c:showPercent val="0"/>
          <c:showBubbleSize val="0"/>
        </c:dLbls>
        <c:smooth val="0"/>
        <c:axId val="929549055"/>
        <c:axId val="106852672"/>
      </c:lineChart>
      <c:catAx>
        <c:axId val="9295490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52672"/>
        <c:crosses val="autoZero"/>
        <c:auto val="1"/>
        <c:lblAlgn val="ctr"/>
        <c:lblOffset val="100"/>
        <c:noMultiLvlLbl val="0"/>
      </c:catAx>
      <c:valAx>
        <c:axId val="1068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549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2.091783563 3.785 IS2 WMS Wind Speed(m/s)</c:v>
          </c:tx>
          <c:spPr>
            <a:ln w="28575" cap="rnd">
              <a:solidFill>
                <a:schemeClr val="accent1"/>
              </a:solidFill>
              <a:round/>
            </a:ln>
            <a:effectLst/>
          </c:spPr>
          <c:marker>
            <c:symbol val="none"/>
          </c:marker>
          <c:val>
            <c:numLit>
              <c:formatCode>General</c:formatCode>
              <c:ptCount val="1687"/>
              <c:pt idx="0">
                <c:v>2.68</c:v>
              </c:pt>
              <c:pt idx="1">
                <c:v>3.4283329999999999</c:v>
              </c:pt>
              <c:pt idx="2">
                <c:v>2.946666</c:v>
              </c:pt>
              <c:pt idx="3">
                <c:v>3.0116670000000001</c:v>
              </c:pt>
              <c:pt idx="4">
                <c:v>3.1066669999999998</c:v>
              </c:pt>
              <c:pt idx="5">
                <c:v>3.34</c:v>
              </c:pt>
              <c:pt idx="6">
                <c:v>2.7816670000000001</c:v>
              </c:pt>
              <c:pt idx="7">
                <c:v>2.7516660000000002</c:v>
              </c:pt>
              <c:pt idx="8">
                <c:v>2.6783329999999999</c:v>
              </c:pt>
              <c:pt idx="9">
                <c:v>3.0216669999999999</c:v>
              </c:pt>
              <c:pt idx="10">
                <c:v>3.2883330000000002</c:v>
              </c:pt>
              <c:pt idx="11">
                <c:v>2.9916670000000001</c:v>
              </c:pt>
              <c:pt idx="12">
                <c:v>2.946666</c:v>
              </c:pt>
              <c:pt idx="13">
                <c:v>2.898333</c:v>
              </c:pt>
              <c:pt idx="14">
                <c:v>2.7316669999999998</c:v>
              </c:pt>
              <c:pt idx="15">
                <c:v>2.4583330000000001</c:v>
              </c:pt>
              <c:pt idx="16">
                <c:v>2.5316670000000001</c:v>
              </c:pt>
              <c:pt idx="17">
                <c:v>2.7283330000000001</c:v>
              </c:pt>
              <c:pt idx="18">
                <c:v>2.4950000000000001</c:v>
              </c:pt>
              <c:pt idx="19">
                <c:v>2.585</c:v>
              </c:pt>
              <c:pt idx="20">
                <c:v>2.4666670000000002</c:v>
              </c:pt>
              <c:pt idx="21">
                <c:v>2.3533330000000001</c:v>
              </c:pt>
              <c:pt idx="22">
                <c:v>2.1833330000000002</c:v>
              </c:pt>
              <c:pt idx="23">
                <c:v>2.5133329999999998</c:v>
              </c:pt>
              <c:pt idx="24">
                <c:v>2.463333</c:v>
              </c:pt>
              <c:pt idx="25">
                <c:v>2.1549999999999998</c:v>
              </c:pt>
              <c:pt idx="26">
                <c:v>2.6583329999999998</c:v>
              </c:pt>
              <c:pt idx="27">
                <c:v>2.3316669999999999</c:v>
              </c:pt>
              <c:pt idx="28">
                <c:v>2.0533329999999999</c:v>
              </c:pt>
              <c:pt idx="29">
                <c:v>2.5116670000000001</c:v>
              </c:pt>
              <c:pt idx="30">
                <c:v>2.2450000000000001</c:v>
              </c:pt>
              <c:pt idx="31">
                <c:v>2.1866669999999999</c:v>
              </c:pt>
              <c:pt idx="32">
                <c:v>2.173333</c:v>
              </c:pt>
              <c:pt idx="33">
                <c:v>2.2616670000000001</c:v>
              </c:pt>
              <c:pt idx="34">
                <c:v>1.9650000000000001</c:v>
              </c:pt>
              <c:pt idx="35">
                <c:v>2.9983330000000001</c:v>
              </c:pt>
              <c:pt idx="36">
                <c:v>2.5633330000000001</c:v>
              </c:pt>
              <c:pt idx="37">
                <c:v>2.4583330000000001</c:v>
              </c:pt>
              <c:pt idx="38">
                <c:v>2.2683330000000002</c:v>
              </c:pt>
              <c:pt idx="39">
                <c:v>2.3566669999999998</c:v>
              </c:pt>
              <c:pt idx="40">
                <c:v>2.645</c:v>
              </c:pt>
              <c:pt idx="41">
                <c:v>2.701667</c:v>
              </c:pt>
              <c:pt idx="42">
                <c:v>2.4500000000000002</c:v>
              </c:pt>
              <c:pt idx="43">
                <c:v>2.6883330000000001</c:v>
              </c:pt>
              <c:pt idx="44">
                <c:v>2.588333</c:v>
              </c:pt>
              <c:pt idx="45">
                <c:v>2.7883330000000002</c:v>
              </c:pt>
              <c:pt idx="46">
                <c:v>2.46</c:v>
              </c:pt>
              <c:pt idx="47">
                <c:v>2.38</c:v>
              </c:pt>
              <c:pt idx="48">
                <c:v>2.335</c:v>
              </c:pt>
              <c:pt idx="49">
                <c:v>2.4700000000000002</c:v>
              </c:pt>
              <c:pt idx="50">
                <c:v>2.375</c:v>
              </c:pt>
              <c:pt idx="51">
                <c:v>2.37</c:v>
              </c:pt>
              <c:pt idx="52">
                <c:v>2.2200000000000002</c:v>
              </c:pt>
              <c:pt idx="53">
                <c:v>2.2216670000000001</c:v>
              </c:pt>
              <c:pt idx="54">
                <c:v>2.415</c:v>
              </c:pt>
              <c:pt idx="55">
                <c:v>2.6066669999999998</c:v>
              </c:pt>
              <c:pt idx="56">
                <c:v>4.0283329999999999</c:v>
              </c:pt>
              <c:pt idx="57">
                <c:v>3.8116660000000002</c:v>
              </c:pt>
              <c:pt idx="58">
                <c:v>3.36</c:v>
              </c:pt>
              <c:pt idx="59">
                <c:v>3.2633329999999998</c:v>
              </c:pt>
              <c:pt idx="60">
                <c:v>3.216666</c:v>
              </c:pt>
              <c:pt idx="61">
                <c:v>3.8033329999999999</c:v>
              </c:pt>
              <c:pt idx="62">
                <c:v>4.1533329999999999</c:v>
              </c:pt>
              <c:pt idx="63">
                <c:v>2.9916670000000001</c:v>
              </c:pt>
              <c:pt idx="64">
                <c:v>3.1949999999999998</c:v>
              </c:pt>
              <c:pt idx="65">
                <c:v>3.3566660000000001</c:v>
              </c:pt>
              <c:pt idx="66">
                <c:v>2.838333</c:v>
              </c:pt>
              <c:pt idx="67">
                <c:v>2.8316669999999999</c:v>
              </c:pt>
              <c:pt idx="68">
                <c:v>2.556667</c:v>
              </c:pt>
              <c:pt idx="69">
                <c:v>2.5133329999999998</c:v>
              </c:pt>
              <c:pt idx="70">
                <c:v>2.1533329999999999</c:v>
              </c:pt>
              <c:pt idx="71">
                <c:v>2.1800000000000002</c:v>
              </c:pt>
              <c:pt idx="72">
                <c:v>2.73</c:v>
              </c:pt>
              <c:pt idx="73">
                <c:v>3.0750000000000002</c:v>
              </c:pt>
              <c:pt idx="74">
                <c:v>2.2749999999999999</c:v>
              </c:pt>
              <c:pt idx="75">
                <c:v>2.2166670000000002</c:v>
              </c:pt>
              <c:pt idx="76">
                <c:v>2.71</c:v>
              </c:pt>
              <c:pt idx="77">
                <c:v>2.6</c:v>
              </c:pt>
              <c:pt idx="78">
                <c:v>2.7233329999999998</c:v>
              </c:pt>
              <c:pt idx="79">
                <c:v>2.576667</c:v>
              </c:pt>
              <c:pt idx="80">
                <c:v>2.3316669999999999</c:v>
              </c:pt>
              <c:pt idx="81">
                <c:v>2.5099999999999998</c:v>
              </c:pt>
              <c:pt idx="82">
                <c:v>2.701667</c:v>
              </c:pt>
              <c:pt idx="83">
                <c:v>2.318333</c:v>
              </c:pt>
              <c:pt idx="84">
                <c:v>2.1516670000000002</c:v>
              </c:pt>
              <c:pt idx="85">
                <c:v>2.5983329999999998</c:v>
              </c:pt>
              <c:pt idx="86">
                <c:v>2.2833329999999998</c:v>
              </c:pt>
              <c:pt idx="87">
                <c:v>1.825</c:v>
              </c:pt>
              <c:pt idx="88">
                <c:v>1.996667</c:v>
              </c:pt>
              <c:pt idx="89">
                <c:v>2.591666</c:v>
              </c:pt>
              <c:pt idx="90">
                <c:v>2.786667</c:v>
              </c:pt>
              <c:pt idx="91">
                <c:v>2.77</c:v>
              </c:pt>
              <c:pt idx="92">
                <c:v>2.966666</c:v>
              </c:pt>
              <c:pt idx="93">
                <c:v>3.2783329999999999</c:v>
              </c:pt>
              <c:pt idx="94">
                <c:v>2.4216669999999998</c:v>
              </c:pt>
              <c:pt idx="95">
                <c:v>2.661667</c:v>
              </c:pt>
              <c:pt idx="96">
                <c:v>2.8866670000000001</c:v>
              </c:pt>
              <c:pt idx="97">
                <c:v>3.1383329999999998</c:v>
              </c:pt>
              <c:pt idx="98">
                <c:v>2.79</c:v>
              </c:pt>
              <c:pt idx="99">
                <c:v>2.4249999999999998</c:v>
              </c:pt>
              <c:pt idx="100">
                <c:v>2.523333</c:v>
              </c:pt>
              <c:pt idx="101">
                <c:v>2.716666</c:v>
              </c:pt>
              <c:pt idx="102">
                <c:v>2.79</c:v>
              </c:pt>
              <c:pt idx="103">
                <c:v>2.69</c:v>
              </c:pt>
              <c:pt idx="104">
                <c:v>2.6549999999999998</c:v>
              </c:pt>
              <c:pt idx="105">
                <c:v>2.443333</c:v>
              </c:pt>
              <c:pt idx="106">
                <c:v>2.4366669999999999</c:v>
              </c:pt>
              <c:pt idx="107">
                <c:v>2.5950000000000002</c:v>
              </c:pt>
              <c:pt idx="108">
                <c:v>2.6466669999999999</c:v>
              </c:pt>
              <c:pt idx="109">
                <c:v>2.29</c:v>
              </c:pt>
              <c:pt idx="110">
                <c:v>2.3416670000000002</c:v>
              </c:pt>
              <c:pt idx="111">
                <c:v>1.77</c:v>
              </c:pt>
              <c:pt idx="112">
                <c:v>0.1166667</c:v>
              </c:pt>
              <c:pt idx="113">
                <c:v>0.33666669999999999</c:v>
              </c:pt>
              <c:pt idx="114">
                <c:v>0</c:v>
              </c:pt>
              <c:pt idx="115">
                <c:v>0</c:v>
              </c:pt>
              <c:pt idx="116">
                <c:v>0.27</c:v>
              </c:pt>
              <c:pt idx="117">
                <c:v>0</c:v>
              </c:pt>
              <c:pt idx="118">
                <c:v>0.8199999</c:v>
              </c:pt>
              <c:pt idx="119">
                <c:v>1.8066660000000001</c:v>
              </c:pt>
              <c:pt idx="120">
                <c:v>0.42666660000000001</c:v>
              </c:pt>
              <c:pt idx="121">
                <c:v>0.1316667</c:v>
              </c:pt>
              <c:pt idx="122">
                <c:v>5.5E-2</c:v>
              </c:pt>
              <c:pt idx="123">
                <c:v>0.1133333</c:v>
              </c:pt>
              <c:pt idx="124">
                <c:v>0.315</c:v>
              </c:pt>
              <c:pt idx="125">
                <c:v>0.14166670000000001</c:v>
              </c:pt>
              <c:pt idx="126">
                <c:v>0.54833339999999997</c:v>
              </c:pt>
              <c:pt idx="127">
                <c:v>0.69</c:v>
              </c:pt>
              <c:pt idx="128">
                <c:v>0.58333330000000005</c:v>
              </c:pt>
              <c:pt idx="129">
                <c:v>0.33166669999999998</c:v>
              </c:pt>
              <c:pt idx="130">
                <c:v>0.34833330000000001</c:v>
              </c:pt>
              <c:pt idx="131">
                <c:v>1.131667</c:v>
              </c:pt>
              <c:pt idx="132">
                <c:v>0.77166659999999998</c:v>
              </c:pt>
              <c:pt idx="133">
                <c:v>0.56333330000000004</c:v>
              </c:pt>
              <c:pt idx="134">
                <c:v>0.4866666</c:v>
              </c:pt>
              <c:pt idx="135">
                <c:v>0.49833329999999998</c:v>
              </c:pt>
              <c:pt idx="136">
                <c:v>0.90666659999999999</c:v>
              </c:pt>
              <c:pt idx="137">
                <c:v>0.3333333</c:v>
              </c:pt>
              <c:pt idx="138">
                <c:v>0.34499999999999997</c:v>
              </c:pt>
              <c:pt idx="139">
                <c:v>0.25666670000000003</c:v>
              </c:pt>
              <c:pt idx="140">
                <c:v>0.12666669999999999</c:v>
              </c:pt>
              <c:pt idx="141">
                <c:v>5.6666670000000002E-2</c:v>
              </c:pt>
              <c:pt idx="142">
                <c:v>0.63166670000000003</c:v>
              </c:pt>
              <c:pt idx="143">
                <c:v>0.315</c:v>
              </c:pt>
              <c:pt idx="144">
                <c:v>0.42333330000000002</c:v>
              </c:pt>
              <c:pt idx="145">
                <c:v>0.43</c:v>
              </c:pt>
              <c:pt idx="146">
                <c:v>2.101667</c:v>
              </c:pt>
              <c:pt idx="147">
                <c:v>2.1666669999999999</c:v>
              </c:pt>
              <c:pt idx="148">
                <c:v>0.24666669999999999</c:v>
              </c:pt>
              <c:pt idx="149">
                <c:v>0.40333330000000001</c:v>
              </c:pt>
              <c:pt idx="150">
                <c:v>0.3383333</c:v>
              </c:pt>
              <c:pt idx="151">
                <c:v>0.18833330000000001</c:v>
              </c:pt>
              <c:pt idx="152">
                <c:v>0.17666670000000001</c:v>
              </c:pt>
              <c:pt idx="153">
                <c:v>0.19333330000000001</c:v>
              </c:pt>
              <c:pt idx="154">
                <c:v>5.6666670000000002E-2</c:v>
              </c:pt>
              <c:pt idx="155">
                <c:v>0.12333330000000001</c:v>
              </c:pt>
              <c:pt idx="156">
                <c:v>0.31333329999999998</c:v>
              </c:pt>
              <c:pt idx="157">
                <c:v>0.2733333</c:v>
              </c:pt>
              <c:pt idx="158">
                <c:v>0.49166660000000001</c:v>
              </c:pt>
              <c:pt idx="159">
                <c:v>0.21</c:v>
              </c:pt>
              <c:pt idx="160">
                <c:v>0.44500000000000001</c:v>
              </c:pt>
              <c:pt idx="161">
                <c:v>0.41333330000000001</c:v>
              </c:pt>
              <c:pt idx="162">
                <c:v>0.48833330000000003</c:v>
              </c:pt>
              <c:pt idx="163">
                <c:v>0.7</c:v>
              </c:pt>
              <c:pt idx="164">
                <c:v>0.67333319999999997</c:v>
              </c:pt>
              <c:pt idx="165">
                <c:v>0.3566666</c:v>
              </c:pt>
              <c:pt idx="166">
                <c:v>0.37833329999999998</c:v>
              </c:pt>
              <c:pt idx="167">
                <c:v>0.46</c:v>
              </c:pt>
              <c:pt idx="168">
                <c:v>0.45500000000000002</c:v>
              </c:pt>
              <c:pt idx="169">
                <c:v>0.13333329999999999</c:v>
              </c:pt>
              <c:pt idx="170">
                <c:v>5.6666670000000002E-2</c:v>
              </c:pt>
              <c:pt idx="171">
                <c:v>0.19</c:v>
              </c:pt>
              <c:pt idx="172">
                <c:v>0.30833329999999998</c:v>
              </c:pt>
              <c:pt idx="173">
                <c:v>0.32833329999999999</c:v>
              </c:pt>
              <c:pt idx="174">
                <c:v>0.27166659999999998</c:v>
              </c:pt>
              <c:pt idx="175">
                <c:v>0.40666659999999999</c:v>
              </c:pt>
              <c:pt idx="176">
                <c:v>0.3933333</c:v>
              </c:pt>
              <c:pt idx="177">
                <c:v>0.46166669999999999</c:v>
              </c:pt>
              <c:pt idx="178">
                <c:v>0.375</c:v>
              </c:pt>
              <c:pt idx="179">
                <c:v>0.3</c:v>
              </c:pt>
              <c:pt idx="180">
                <c:v>0.435</c:v>
              </c:pt>
              <c:pt idx="181">
                <c:v>0.33500000000000002</c:v>
              </c:pt>
              <c:pt idx="182">
                <c:v>0.31</c:v>
              </c:pt>
              <c:pt idx="183">
                <c:v>0.30666660000000001</c:v>
              </c:pt>
              <c:pt idx="184">
                <c:v>0.32333329999999999</c:v>
              </c:pt>
              <c:pt idx="185">
                <c:v>0.245</c:v>
              </c:pt>
              <c:pt idx="186">
                <c:v>0.14666670000000001</c:v>
              </c:pt>
              <c:pt idx="187">
                <c:v>0.30333329999999997</c:v>
              </c:pt>
              <c:pt idx="188">
                <c:v>6.5000000000000002E-2</c:v>
              </c:pt>
              <c:pt idx="189">
                <c:v>7.4999990000000002E-2</c:v>
              </c:pt>
              <c:pt idx="190">
                <c:v>0</c:v>
              </c:pt>
              <c:pt idx="191">
                <c:v>0</c:v>
              </c:pt>
              <c:pt idx="192">
                <c:v>0.26166669999999997</c:v>
              </c:pt>
              <c:pt idx="193">
                <c:v>0.1966667</c:v>
              </c:pt>
              <c:pt idx="194">
                <c:v>0.115</c:v>
              </c:pt>
              <c:pt idx="195">
                <c:v>0.34</c:v>
              </c:pt>
              <c:pt idx="196">
                <c:v>0.3383333</c:v>
              </c:pt>
              <c:pt idx="197">
                <c:v>0.43333329999999998</c:v>
              </c:pt>
              <c:pt idx="198">
                <c:v>0.36</c:v>
              </c:pt>
              <c:pt idx="199">
                <c:v>0.4216666</c:v>
              </c:pt>
              <c:pt idx="200">
                <c:v>0.45500000000000002</c:v>
              </c:pt>
              <c:pt idx="201">
                <c:v>0.42499999999999999</c:v>
              </c:pt>
              <c:pt idx="202">
                <c:v>0.48</c:v>
              </c:pt>
              <c:pt idx="203">
                <c:v>0.48499999999999999</c:v>
              </c:pt>
              <c:pt idx="204">
                <c:v>0.30333329999999997</c:v>
              </c:pt>
              <c:pt idx="205">
                <c:v>0.35499999999999998</c:v>
              </c:pt>
              <c:pt idx="206">
                <c:v>0.40833330000000001</c:v>
              </c:pt>
              <c:pt idx="207">
                <c:v>0.38500000000000001</c:v>
              </c:pt>
              <c:pt idx="208">
                <c:v>0.39666659999999998</c:v>
              </c:pt>
              <c:pt idx="209">
                <c:v>0.3616666</c:v>
              </c:pt>
              <c:pt idx="210">
                <c:v>0.34166669999999999</c:v>
              </c:pt>
              <c:pt idx="211">
                <c:v>6.8333340000000006E-2</c:v>
              </c:pt>
              <c:pt idx="212">
                <c:v>8.3333340000000006E-2</c:v>
              </c:pt>
              <c:pt idx="213">
                <c:v>0.17499999999999999</c:v>
              </c:pt>
              <c:pt idx="214">
                <c:v>0.81333339999999998</c:v>
              </c:pt>
              <c:pt idx="215">
                <c:v>2.33</c:v>
              </c:pt>
              <c:pt idx="216">
                <c:v>1.8666670000000001</c:v>
              </c:pt>
              <c:pt idx="217">
                <c:v>1.85</c:v>
              </c:pt>
              <c:pt idx="218">
                <c:v>1.9783329999999999</c:v>
              </c:pt>
              <c:pt idx="219">
                <c:v>1.77</c:v>
              </c:pt>
              <c:pt idx="220">
                <c:v>1.9266669999999999</c:v>
              </c:pt>
              <c:pt idx="221">
                <c:v>1.9883329999999999</c:v>
              </c:pt>
              <c:pt idx="222">
                <c:v>2.105</c:v>
              </c:pt>
              <c:pt idx="223">
                <c:v>1.9066669999999999</c:v>
              </c:pt>
              <c:pt idx="224">
                <c:v>1.851667</c:v>
              </c:pt>
              <c:pt idx="225">
                <c:v>1.98</c:v>
              </c:pt>
              <c:pt idx="226">
                <c:v>1.69</c:v>
              </c:pt>
              <c:pt idx="227">
                <c:v>1.6783330000000001</c:v>
              </c:pt>
              <c:pt idx="228">
                <c:v>2.19</c:v>
              </c:pt>
              <c:pt idx="229">
                <c:v>2.4049999999999998</c:v>
              </c:pt>
              <c:pt idx="230">
                <c:v>2.3316669999999999</c:v>
              </c:pt>
              <c:pt idx="231">
                <c:v>2.1633330000000002</c:v>
              </c:pt>
              <c:pt idx="232">
                <c:v>2.2366670000000002</c:v>
              </c:pt>
              <c:pt idx="233">
                <c:v>2.5183330000000002</c:v>
              </c:pt>
              <c:pt idx="234">
                <c:v>2.0333329999999998</c:v>
              </c:pt>
              <c:pt idx="235">
                <c:v>1.828333</c:v>
              </c:pt>
              <c:pt idx="236">
                <c:v>2.09</c:v>
              </c:pt>
              <c:pt idx="237">
                <c:v>2.2250000000000001</c:v>
              </c:pt>
              <c:pt idx="238">
                <c:v>2.2766670000000002</c:v>
              </c:pt>
              <c:pt idx="239">
                <c:v>2.2566670000000002</c:v>
              </c:pt>
              <c:pt idx="240">
                <c:v>2.5433330000000001</c:v>
              </c:pt>
              <c:pt idx="241">
                <c:v>1.2316670000000001</c:v>
              </c:pt>
              <c:pt idx="242">
                <c:v>0.12</c:v>
              </c:pt>
              <c:pt idx="243">
                <c:v>0.28499999999999998</c:v>
              </c:pt>
              <c:pt idx="244">
                <c:v>0</c:v>
              </c:pt>
              <c:pt idx="245">
                <c:v>0.34</c:v>
              </c:pt>
              <c:pt idx="246">
                <c:v>0.41333330000000001</c:v>
              </c:pt>
              <c:pt idx="247">
                <c:v>0.25166670000000002</c:v>
              </c:pt>
              <c:pt idx="248">
                <c:v>0.18833330000000001</c:v>
              </c:pt>
              <c:pt idx="249">
                <c:v>0.62833329999999998</c:v>
              </c:pt>
              <c:pt idx="250">
                <c:v>0.42833329999999997</c:v>
              </c:pt>
              <c:pt idx="251">
                <c:v>0.27833330000000001</c:v>
              </c:pt>
              <c:pt idx="252">
                <c:v>0.19500000000000001</c:v>
              </c:pt>
              <c:pt idx="253">
                <c:v>0.40333330000000001</c:v>
              </c:pt>
              <c:pt idx="254">
                <c:v>0.43666660000000002</c:v>
              </c:pt>
              <c:pt idx="255">
                <c:v>0.44666660000000002</c:v>
              </c:pt>
              <c:pt idx="256">
                <c:v>0.65833330000000001</c:v>
              </c:pt>
              <c:pt idx="257">
                <c:v>0</c:v>
              </c:pt>
              <c:pt idx="258">
                <c:v>0.28999999999999998</c:v>
              </c:pt>
              <c:pt idx="259">
                <c:v>0.115</c:v>
              </c:pt>
              <c:pt idx="260">
                <c:v>5.8333330000000003E-2</c:v>
              </c:pt>
              <c:pt idx="261">
                <c:v>0.24166670000000001</c:v>
              </c:pt>
              <c:pt idx="262">
                <c:v>2.0449999999999999</c:v>
              </c:pt>
              <c:pt idx="263">
                <c:v>2.9416669999999998</c:v>
              </c:pt>
              <c:pt idx="264">
                <c:v>0.53333330000000001</c:v>
              </c:pt>
              <c:pt idx="265">
                <c:v>5.6666670000000002E-2</c:v>
              </c:pt>
              <c:pt idx="266">
                <c:v>0.18666669999999999</c:v>
              </c:pt>
              <c:pt idx="267">
                <c:v>0.1166667</c:v>
              </c:pt>
              <c:pt idx="268">
                <c:v>0.21</c:v>
              </c:pt>
              <c:pt idx="269">
                <c:v>0.2016667</c:v>
              </c:pt>
              <c:pt idx="270">
                <c:v>0.20333329999999999</c:v>
              </c:pt>
              <c:pt idx="271">
                <c:v>0.4166666</c:v>
              </c:pt>
              <c:pt idx="272">
                <c:v>0.37333329999999998</c:v>
              </c:pt>
              <c:pt idx="273">
                <c:v>0.26</c:v>
              </c:pt>
              <c:pt idx="274">
                <c:v>0.19500000000000001</c:v>
              </c:pt>
              <c:pt idx="275">
                <c:v>0.39</c:v>
              </c:pt>
              <c:pt idx="276">
                <c:v>0.3516666</c:v>
              </c:pt>
              <c:pt idx="277">
                <c:v>0.24166670000000001</c:v>
              </c:pt>
              <c:pt idx="278">
                <c:v>0.3616666</c:v>
              </c:pt>
              <c:pt idx="279">
                <c:v>0.18666669999999999</c:v>
              </c:pt>
              <c:pt idx="280">
                <c:v>0</c:v>
              </c:pt>
              <c:pt idx="281">
                <c:v>5.5E-2</c:v>
              </c:pt>
              <c:pt idx="282">
                <c:v>0</c:v>
              </c:pt>
              <c:pt idx="283">
                <c:v>0.1133333</c:v>
              </c:pt>
              <c:pt idx="284">
                <c:v>0.44666660000000002</c:v>
              </c:pt>
              <c:pt idx="285">
                <c:v>0.36833329999999997</c:v>
              </c:pt>
              <c:pt idx="286">
                <c:v>0.38666660000000003</c:v>
              </c:pt>
              <c:pt idx="287">
                <c:v>0.2</c:v>
              </c:pt>
              <c:pt idx="288">
                <c:v>0.26333329999999999</c:v>
              </c:pt>
              <c:pt idx="289">
                <c:v>0.1316667</c:v>
              </c:pt>
              <c:pt idx="290">
                <c:v>0.36833329999999997</c:v>
              </c:pt>
              <c:pt idx="291">
                <c:v>0.1183333</c:v>
              </c:pt>
              <c:pt idx="292">
                <c:v>6.8333340000000006E-2</c:v>
              </c:pt>
              <c:pt idx="293">
                <c:v>0</c:v>
              </c:pt>
              <c:pt idx="294">
                <c:v>0.16833329999999999</c:v>
              </c:pt>
              <c:pt idx="295">
                <c:v>5.6666670000000002E-2</c:v>
              </c:pt>
              <c:pt idx="296">
                <c:v>0</c:v>
              </c:pt>
              <c:pt idx="297">
                <c:v>0.25</c:v>
              </c:pt>
              <c:pt idx="298">
                <c:v>5.6666670000000002E-2</c:v>
              </c:pt>
              <c:pt idx="299">
                <c:v>0.24166670000000001</c:v>
              </c:pt>
              <c:pt idx="300">
                <c:v>0.30499999999999999</c:v>
              </c:pt>
              <c:pt idx="301">
                <c:v>0.34833330000000001</c:v>
              </c:pt>
              <c:pt idx="302">
                <c:v>0.26166669999999997</c:v>
              </c:pt>
              <c:pt idx="303">
                <c:v>0.35499999999999998</c:v>
              </c:pt>
              <c:pt idx="304">
                <c:v>0.31333329999999998</c:v>
              </c:pt>
              <c:pt idx="305">
                <c:v>0.35333330000000002</c:v>
              </c:pt>
              <c:pt idx="306">
                <c:v>0.30333329999999997</c:v>
              </c:pt>
              <c:pt idx="307">
                <c:v>0.21166670000000001</c:v>
              </c:pt>
              <c:pt idx="308">
                <c:v>0.37</c:v>
              </c:pt>
              <c:pt idx="309">
                <c:v>0.30499999999999999</c:v>
              </c:pt>
              <c:pt idx="310">
                <c:v>0.3333333</c:v>
              </c:pt>
              <c:pt idx="311">
                <c:v>0.2</c:v>
              </c:pt>
              <c:pt idx="312">
                <c:v>0.25166670000000002</c:v>
              </c:pt>
              <c:pt idx="313">
                <c:v>0.32333329999999999</c:v>
              </c:pt>
              <c:pt idx="314">
                <c:v>0.42833329999999997</c:v>
              </c:pt>
              <c:pt idx="315">
                <c:v>0.32333329999999999</c:v>
              </c:pt>
              <c:pt idx="316">
                <c:v>0.46500000000000002</c:v>
              </c:pt>
              <c:pt idx="317">
                <c:v>0.43166660000000001</c:v>
              </c:pt>
              <c:pt idx="318">
                <c:v>0.1916667</c:v>
              </c:pt>
              <c:pt idx="319">
                <c:v>0.46</c:v>
              </c:pt>
              <c:pt idx="320">
                <c:v>0.4166666</c:v>
              </c:pt>
              <c:pt idx="321">
                <c:v>0.40833330000000001</c:v>
              </c:pt>
              <c:pt idx="322">
                <c:v>0.36333330000000003</c:v>
              </c:pt>
              <c:pt idx="323">
                <c:v>0.32</c:v>
              </c:pt>
              <c:pt idx="324">
                <c:v>0.27166669999999998</c:v>
              </c:pt>
              <c:pt idx="325">
                <c:v>0.24833330000000001</c:v>
              </c:pt>
              <c:pt idx="326">
                <c:v>0.27500000000000002</c:v>
              </c:pt>
              <c:pt idx="327">
                <c:v>0.36333330000000003</c:v>
              </c:pt>
              <c:pt idx="328">
                <c:v>0.1916667</c:v>
              </c:pt>
              <c:pt idx="329">
                <c:v>0.27666669999999999</c:v>
              </c:pt>
              <c:pt idx="330">
                <c:v>6.3333329999999993E-2</c:v>
              </c:pt>
              <c:pt idx="331">
                <c:v>0.11</c:v>
              </c:pt>
              <c:pt idx="332">
                <c:v>0.18166669999999999</c:v>
              </c:pt>
              <c:pt idx="333">
                <c:v>0</c:v>
              </c:pt>
              <c:pt idx="334">
                <c:v>0.22500000000000001</c:v>
              </c:pt>
              <c:pt idx="335">
                <c:v>5.8333330000000003E-2</c:v>
              </c:pt>
              <c:pt idx="336">
                <c:v>0.34</c:v>
              </c:pt>
              <c:pt idx="337">
                <c:v>0.71499999999999997</c:v>
              </c:pt>
              <c:pt idx="338">
                <c:v>0.4166666</c:v>
              </c:pt>
              <c:pt idx="339">
                <c:v>0.31166670000000002</c:v>
              </c:pt>
              <c:pt idx="340">
                <c:v>0.315</c:v>
              </c:pt>
              <c:pt idx="341">
                <c:v>0.27833330000000001</c:v>
              </c:pt>
              <c:pt idx="342">
                <c:v>0.34833330000000001</c:v>
              </c:pt>
              <c:pt idx="343">
                <c:v>0.43333329999999998</c:v>
              </c:pt>
              <c:pt idx="344">
                <c:v>0.38333329999999999</c:v>
              </c:pt>
              <c:pt idx="345">
                <c:v>0.2866667</c:v>
              </c:pt>
              <c:pt idx="346">
                <c:v>0.2433333</c:v>
              </c:pt>
              <c:pt idx="347">
                <c:v>0.1316667</c:v>
              </c:pt>
              <c:pt idx="348">
                <c:v>0.50833329999999999</c:v>
              </c:pt>
              <c:pt idx="349">
                <c:v>0.3333333</c:v>
              </c:pt>
              <c:pt idx="350">
                <c:v>0.46833330000000001</c:v>
              </c:pt>
              <c:pt idx="351">
                <c:v>0.28833330000000001</c:v>
              </c:pt>
              <c:pt idx="352">
                <c:v>0.4766666</c:v>
              </c:pt>
              <c:pt idx="353">
                <c:v>0.45</c:v>
              </c:pt>
              <c:pt idx="354">
                <c:v>0.32666669999999998</c:v>
              </c:pt>
              <c:pt idx="355">
                <c:v>0.37</c:v>
              </c:pt>
              <c:pt idx="356">
                <c:v>0.2266667</c:v>
              </c:pt>
              <c:pt idx="357">
                <c:v>0.1833333</c:v>
              </c:pt>
              <c:pt idx="358">
                <c:v>0.68333339999999998</c:v>
              </c:pt>
              <c:pt idx="359">
                <c:v>0.47</c:v>
              </c:pt>
              <c:pt idx="360">
                <c:v>0.42333330000000002</c:v>
              </c:pt>
              <c:pt idx="361">
                <c:v>0.47166669999999999</c:v>
              </c:pt>
              <c:pt idx="362">
                <c:v>0.53666659999999999</c:v>
              </c:pt>
              <c:pt idx="363">
                <c:v>0.41166659999999999</c:v>
              </c:pt>
              <c:pt idx="364">
                <c:v>0.38333329999999999</c:v>
              </c:pt>
              <c:pt idx="365">
                <c:v>0.58666660000000004</c:v>
              </c:pt>
              <c:pt idx="366">
                <c:v>0.32666669999999998</c:v>
              </c:pt>
              <c:pt idx="367">
                <c:v>0.35833330000000002</c:v>
              </c:pt>
              <c:pt idx="368">
                <c:v>0.85499999999999998</c:v>
              </c:pt>
              <c:pt idx="369">
                <c:v>0.49333329999999997</c:v>
              </c:pt>
              <c:pt idx="370">
                <c:v>0.9166666</c:v>
              </c:pt>
              <c:pt idx="371">
                <c:v>0.33166669999999998</c:v>
              </c:pt>
              <c:pt idx="372">
                <c:v>0.19</c:v>
              </c:pt>
              <c:pt idx="373">
                <c:v>0.115</c:v>
              </c:pt>
              <c:pt idx="374">
                <c:v>0.40500000000000003</c:v>
              </c:pt>
              <c:pt idx="375">
                <c:v>0</c:v>
              </c:pt>
              <c:pt idx="376">
                <c:v>0</c:v>
              </c:pt>
              <c:pt idx="377">
                <c:v>0.40166659999999998</c:v>
              </c:pt>
              <c:pt idx="378">
                <c:v>6.166667E-2</c:v>
              </c:pt>
              <c:pt idx="379">
                <c:v>0.31</c:v>
              </c:pt>
              <c:pt idx="380">
                <c:v>0.24666669999999999</c:v>
              </c:pt>
              <c:pt idx="381">
                <c:v>0.32333329999999999</c:v>
              </c:pt>
              <c:pt idx="382">
                <c:v>0.34333330000000001</c:v>
              </c:pt>
              <c:pt idx="383">
                <c:v>0.28333330000000001</c:v>
              </c:pt>
              <c:pt idx="384">
                <c:v>0.38666660000000003</c:v>
              </c:pt>
              <c:pt idx="385">
                <c:v>0.2733333</c:v>
              </c:pt>
              <c:pt idx="386">
                <c:v>0.47499999999999998</c:v>
              </c:pt>
              <c:pt idx="387">
                <c:v>0.18666669999999999</c:v>
              </c:pt>
              <c:pt idx="388">
                <c:v>0.12333330000000001</c:v>
              </c:pt>
              <c:pt idx="389">
                <c:v>0.27</c:v>
              </c:pt>
              <c:pt idx="390">
                <c:v>0.3</c:v>
              </c:pt>
              <c:pt idx="391">
                <c:v>0.20333329999999999</c:v>
              </c:pt>
              <c:pt idx="392">
                <c:v>0.14000000000000001</c:v>
              </c:pt>
              <c:pt idx="393">
                <c:v>0.31</c:v>
              </c:pt>
              <c:pt idx="394">
                <c:v>7.1666659999999993E-2</c:v>
              </c:pt>
              <c:pt idx="395">
                <c:v>0</c:v>
              </c:pt>
              <c:pt idx="396">
                <c:v>5.5E-2</c:v>
              </c:pt>
              <c:pt idx="397">
                <c:v>0.30166660000000001</c:v>
              </c:pt>
              <c:pt idx="398">
                <c:v>0.06</c:v>
              </c:pt>
              <c:pt idx="399">
                <c:v>0</c:v>
              </c:pt>
              <c:pt idx="400">
                <c:v>0.20333329999999999</c:v>
              </c:pt>
              <c:pt idx="401">
                <c:v>0.18166669999999999</c:v>
              </c:pt>
              <c:pt idx="402">
                <c:v>0.2016667</c:v>
              </c:pt>
              <c:pt idx="403">
                <c:v>0.37833329999999998</c:v>
              </c:pt>
              <c:pt idx="404">
                <c:v>0.36833329999999997</c:v>
              </c:pt>
              <c:pt idx="405">
                <c:v>0.42666660000000001</c:v>
              </c:pt>
              <c:pt idx="406">
                <c:v>0.32500000000000001</c:v>
              </c:pt>
              <c:pt idx="407">
                <c:v>0.3616666</c:v>
              </c:pt>
              <c:pt idx="408">
                <c:v>0.55000000000000004</c:v>
              </c:pt>
              <c:pt idx="409">
                <c:v>0.4166666</c:v>
              </c:pt>
              <c:pt idx="410">
                <c:v>0.38333329999999999</c:v>
              </c:pt>
              <c:pt idx="411">
                <c:v>0.30333329999999997</c:v>
              </c:pt>
              <c:pt idx="412">
                <c:v>0.26</c:v>
              </c:pt>
              <c:pt idx="413">
                <c:v>0.26500000000000001</c:v>
              </c:pt>
              <c:pt idx="414">
                <c:v>0.43</c:v>
              </c:pt>
              <c:pt idx="415">
                <c:v>0.42333330000000002</c:v>
              </c:pt>
              <c:pt idx="416">
                <c:v>0.38666660000000003</c:v>
              </c:pt>
              <c:pt idx="417">
                <c:v>0.86333329999999997</c:v>
              </c:pt>
              <c:pt idx="418">
                <c:v>0.46500000000000002</c:v>
              </c:pt>
              <c:pt idx="419">
                <c:v>0.35833330000000002</c:v>
              </c:pt>
              <c:pt idx="420">
                <c:v>0.43166660000000001</c:v>
              </c:pt>
              <c:pt idx="421">
                <c:v>0.22500000000000001</c:v>
              </c:pt>
              <c:pt idx="422">
                <c:v>0.2733333</c:v>
              </c:pt>
              <c:pt idx="423">
                <c:v>0.35</c:v>
              </c:pt>
              <c:pt idx="424">
                <c:v>0.7733333</c:v>
              </c:pt>
              <c:pt idx="425">
                <c:v>6.3333329999999993E-2</c:v>
              </c:pt>
              <c:pt idx="426">
                <c:v>0.215</c:v>
              </c:pt>
              <c:pt idx="427">
                <c:v>2.1166670000000001</c:v>
              </c:pt>
              <c:pt idx="428">
                <c:v>3.4333330000000002</c:v>
              </c:pt>
              <c:pt idx="429">
                <c:v>3.6783329999999999</c:v>
              </c:pt>
              <c:pt idx="430">
                <c:v>3.4883329999999999</c:v>
              </c:pt>
              <c:pt idx="431">
                <c:v>1.411667</c:v>
              </c:pt>
              <c:pt idx="432">
                <c:v>0.26333329999999999</c:v>
              </c:pt>
              <c:pt idx="433">
                <c:v>0.25</c:v>
              </c:pt>
              <c:pt idx="434">
                <c:v>0.1433333</c:v>
              </c:pt>
              <c:pt idx="435">
                <c:v>0.435</c:v>
              </c:pt>
              <c:pt idx="436">
                <c:v>1.056667</c:v>
              </c:pt>
              <c:pt idx="437">
                <c:v>0.59166660000000004</c:v>
              </c:pt>
              <c:pt idx="438">
                <c:v>1.0216670000000001</c:v>
              </c:pt>
              <c:pt idx="439">
                <c:v>0.77666659999999998</c:v>
              </c:pt>
              <c:pt idx="440">
                <c:v>0.1166667</c:v>
              </c:pt>
              <c:pt idx="441">
                <c:v>2.5016669999999999</c:v>
              </c:pt>
              <c:pt idx="442">
                <c:v>3.4649999999999999</c:v>
              </c:pt>
              <c:pt idx="443">
                <c:v>3.3250000000000002</c:v>
              </c:pt>
              <c:pt idx="444">
                <c:v>0.99166659999999995</c:v>
              </c:pt>
              <c:pt idx="445">
                <c:v>0.4866666</c:v>
              </c:pt>
              <c:pt idx="446">
                <c:v>6.3333329999999993E-2</c:v>
              </c:pt>
              <c:pt idx="447">
                <c:v>0</c:v>
              </c:pt>
              <c:pt idx="448">
                <c:v>0</c:v>
              </c:pt>
              <c:pt idx="449">
                <c:v>0</c:v>
              </c:pt>
              <c:pt idx="450">
                <c:v>0.11</c:v>
              </c:pt>
              <c:pt idx="451">
                <c:v>0.17</c:v>
              </c:pt>
              <c:pt idx="452">
                <c:v>0</c:v>
              </c:pt>
              <c:pt idx="453">
                <c:v>0</c:v>
              </c:pt>
              <c:pt idx="454">
                <c:v>0.115</c:v>
              </c:pt>
              <c:pt idx="455">
                <c:v>3.26</c:v>
              </c:pt>
              <c:pt idx="456">
                <c:v>3.73</c:v>
              </c:pt>
              <c:pt idx="457">
                <c:v>3.33</c:v>
              </c:pt>
              <c:pt idx="458">
                <c:v>3.818333</c:v>
              </c:pt>
              <c:pt idx="459">
                <c:v>3.5950000000000002</c:v>
              </c:pt>
              <c:pt idx="460">
                <c:v>3.1850000000000001</c:v>
              </c:pt>
              <c:pt idx="461">
                <c:v>3.7933330000000001</c:v>
              </c:pt>
              <c:pt idx="462">
                <c:v>4.0133330000000003</c:v>
              </c:pt>
              <c:pt idx="463">
                <c:v>3.786667</c:v>
              </c:pt>
              <c:pt idx="464">
                <c:v>4.1133329999999999</c:v>
              </c:pt>
              <c:pt idx="465">
                <c:v>4.3316660000000002</c:v>
              </c:pt>
              <c:pt idx="466">
                <c:v>4.3766660000000002</c:v>
              </c:pt>
              <c:pt idx="467">
                <c:v>4.0433329999999996</c:v>
              </c:pt>
              <c:pt idx="468">
                <c:v>4.68</c:v>
              </c:pt>
              <c:pt idx="469">
                <c:v>4.0116670000000001</c:v>
              </c:pt>
              <c:pt idx="470">
                <c:v>2.0733329999999999</c:v>
              </c:pt>
              <c:pt idx="471">
                <c:v>0</c:v>
              </c:pt>
              <c:pt idx="472">
                <c:v>0</c:v>
              </c:pt>
              <c:pt idx="473">
                <c:v>0</c:v>
              </c:pt>
              <c:pt idx="474">
                <c:v>0.11166669999999999</c:v>
              </c:pt>
              <c:pt idx="475">
                <c:v>5.6666670000000002E-2</c:v>
              </c:pt>
              <c:pt idx="476">
                <c:v>0</c:v>
              </c:pt>
              <c:pt idx="477">
                <c:v>0</c:v>
              </c:pt>
              <c:pt idx="478">
                <c:v>0</c:v>
              </c:pt>
              <c:pt idx="479">
                <c:v>0.25166670000000002</c:v>
              </c:pt>
              <c:pt idx="480">
                <c:v>0</c:v>
              </c:pt>
              <c:pt idx="481">
                <c:v>0</c:v>
              </c:pt>
              <c:pt idx="482">
                <c:v>0.1833333</c:v>
              </c:pt>
              <c:pt idx="483">
                <c:v>0</c:v>
              </c:pt>
              <c:pt idx="484">
                <c:v>7.4999990000000002E-2</c:v>
              </c:pt>
              <c:pt idx="485">
                <c:v>0</c:v>
              </c:pt>
              <c:pt idx="486">
                <c:v>0</c:v>
              </c:pt>
              <c:pt idx="487">
                <c:v>6.6666669999999997E-2</c:v>
              </c:pt>
              <c:pt idx="488">
                <c:v>5.5E-2</c:v>
              </c:pt>
              <c:pt idx="489">
                <c:v>5.6666670000000002E-2</c:v>
              </c:pt>
              <c:pt idx="490">
                <c:v>0</c:v>
              </c:pt>
              <c:pt idx="491">
                <c:v>0</c:v>
              </c:pt>
              <c:pt idx="492">
                <c:v>0</c:v>
              </c:pt>
              <c:pt idx="493">
                <c:v>0.11166669999999999</c:v>
              </c:pt>
              <c:pt idx="494">
                <c:v>0</c:v>
              </c:pt>
              <c:pt idx="495">
                <c:v>0</c:v>
              </c:pt>
              <c:pt idx="496">
                <c:v>0</c:v>
              </c:pt>
              <c:pt idx="497">
                <c:v>0</c:v>
              </c:pt>
              <c:pt idx="498">
                <c:v>0</c:v>
              </c:pt>
              <c:pt idx="499">
                <c:v>0</c:v>
              </c:pt>
              <c:pt idx="500">
                <c:v>0</c:v>
              </c:pt>
              <c:pt idx="501">
                <c:v>0</c:v>
              </c:pt>
              <c:pt idx="502">
                <c:v>0</c:v>
              </c:pt>
              <c:pt idx="503">
                <c:v>0</c:v>
              </c:pt>
              <c:pt idx="504">
                <c:v>0</c:v>
              </c:pt>
              <c:pt idx="505">
                <c:v>5.5E-2</c:v>
              </c:pt>
              <c:pt idx="506">
                <c:v>0</c:v>
              </c:pt>
              <c:pt idx="507">
                <c:v>0</c:v>
              </c:pt>
              <c:pt idx="508">
                <c:v>0</c:v>
              </c:pt>
              <c:pt idx="509">
                <c:v>5.5E-2</c:v>
              </c:pt>
              <c:pt idx="510">
                <c:v>0</c:v>
              </c:pt>
              <c:pt idx="511">
                <c:v>5.5E-2</c:v>
              </c:pt>
              <c:pt idx="512">
                <c:v>0</c:v>
              </c:pt>
              <c:pt idx="513">
                <c:v>0</c:v>
              </c:pt>
              <c:pt idx="514">
                <c:v>0.115</c:v>
              </c:pt>
              <c:pt idx="515">
                <c:v>0</c:v>
              </c:pt>
              <c:pt idx="516">
                <c:v>0</c:v>
              </c:pt>
              <c:pt idx="517">
                <c:v>0.11</c:v>
              </c:pt>
              <c:pt idx="518">
                <c:v>0</c:v>
              </c:pt>
              <c:pt idx="519">
                <c:v>0</c:v>
              </c:pt>
              <c:pt idx="520">
                <c:v>5.5E-2</c:v>
              </c:pt>
              <c:pt idx="521">
                <c:v>0.1133333</c:v>
              </c:pt>
              <c:pt idx="522">
                <c:v>0</c:v>
              </c:pt>
              <c:pt idx="523">
                <c:v>5.5E-2</c:v>
              </c:pt>
              <c:pt idx="524">
                <c:v>0.11</c:v>
              </c:pt>
              <c:pt idx="525">
                <c:v>0.28166669999999999</c:v>
              </c:pt>
              <c:pt idx="526">
                <c:v>6.166667E-2</c:v>
              </c:pt>
              <c:pt idx="527">
                <c:v>0.1133333</c:v>
              </c:pt>
              <c:pt idx="528">
                <c:v>0.1833333</c:v>
              </c:pt>
              <c:pt idx="529">
                <c:v>5.6666670000000002E-2</c:v>
              </c:pt>
              <c:pt idx="530">
                <c:v>0</c:v>
              </c:pt>
              <c:pt idx="531">
                <c:v>0.11166669999999999</c:v>
              </c:pt>
              <c:pt idx="532">
                <c:v>0</c:v>
              </c:pt>
              <c:pt idx="533">
                <c:v>0.115</c:v>
              </c:pt>
              <c:pt idx="534">
                <c:v>0.1166667</c:v>
              </c:pt>
              <c:pt idx="535">
                <c:v>0</c:v>
              </c:pt>
              <c:pt idx="536">
                <c:v>5.5E-2</c:v>
              </c:pt>
              <c:pt idx="537">
                <c:v>0</c:v>
              </c:pt>
              <c:pt idx="538">
                <c:v>5.5E-2</c:v>
              </c:pt>
              <c:pt idx="539">
                <c:v>0.18</c:v>
              </c:pt>
              <c:pt idx="540">
                <c:v>0.1133333</c:v>
              </c:pt>
              <c:pt idx="541">
                <c:v>0.1216667</c:v>
              </c:pt>
              <c:pt idx="542">
                <c:v>0.1183333</c:v>
              </c:pt>
              <c:pt idx="543">
                <c:v>5.8333330000000003E-2</c:v>
              </c:pt>
              <c:pt idx="544">
                <c:v>0</c:v>
              </c:pt>
              <c:pt idx="545">
                <c:v>0.08</c:v>
              </c:pt>
              <c:pt idx="546">
                <c:v>5.5E-2</c:v>
              </c:pt>
              <c:pt idx="547">
                <c:v>5.6666670000000002E-2</c:v>
              </c:pt>
              <c:pt idx="548">
                <c:v>5.8333330000000003E-2</c:v>
              </c:pt>
              <c:pt idx="549">
                <c:v>0</c:v>
              </c:pt>
              <c:pt idx="550">
                <c:v>0</c:v>
              </c:pt>
              <c:pt idx="551">
                <c:v>0</c:v>
              </c:pt>
              <c:pt idx="552">
                <c:v>0</c:v>
              </c:pt>
              <c:pt idx="553">
                <c:v>0</c:v>
              </c:pt>
              <c:pt idx="554">
                <c:v>0</c:v>
              </c:pt>
              <c:pt idx="555">
                <c:v>0</c:v>
              </c:pt>
              <c:pt idx="556">
                <c:v>5.5E-2</c:v>
              </c:pt>
              <c:pt idx="557">
                <c:v>5.6666670000000002E-2</c:v>
              </c:pt>
              <c:pt idx="558">
                <c:v>0</c:v>
              </c:pt>
              <c:pt idx="559">
                <c:v>2.1316670000000002</c:v>
              </c:pt>
              <c:pt idx="560">
                <c:v>3.8366660000000001</c:v>
              </c:pt>
              <c:pt idx="561">
                <c:v>3.7933330000000001</c:v>
              </c:pt>
              <c:pt idx="562">
                <c:v>4.0316660000000004</c:v>
              </c:pt>
              <c:pt idx="563">
                <c:v>4</c:v>
              </c:pt>
              <c:pt idx="564">
                <c:v>3.93</c:v>
              </c:pt>
              <c:pt idx="565">
                <c:v>3.5083329999999999</c:v>
              </c:pt>
              <c:pt idx="566">
                <c:v>3.548333</c:v>
              </c:pt>
              <c:pt idx="567">
                <c:v>3.858333</c:v>
              </c:pt>
              <c:pt idx="568">
                <c:v>4.57</c:v>
              </c:pt>
              <c:pt idx="569">
                <c:v>3.6</c:v>
              </c:pt>
              <c:pt idx="570">
                <c:v>4.4450000000000003</c:v>
              </c:pt>
              <c:pt idx="571">
                <c:v>4.6950000000000003</c:v>
              </c:pt>
              <c:pt idx="572">
                <c:v>4.4050000000000002</c:v>
              </c:pt>
              <c:pt idx="573">
                <c:v>3.7250000000000001</c:v>
              </c:pt>
              <c:pt idx="574">
                <c:v>3.7933330000000001</c:v>
              </c:pt>
              <c:pt idx="575">
                <c:v>3.9516659999999999</c:v>
              </c:pt>
              <c:pt idx="576">
                <c:v>4.0583330000000002</c:v>
              </c:pt>
              <c:pt idx="577">
                <c:v>4.0283329999999999</c:v>
              </c:pt>
              <c:pt idx="578">
                <c:v>4.1166660000000004</c:v>
              </c:pt>
              <c:pt idx="579">
                <c:v>3.886666</c:v>
              </c:pt>
              <c:pt idx="580">
                <c:v>4.2566670000000002</c:v>
              </c:pt>
              <c:pt idx="581">
                <c:v>4.4116660000000003</c:v>
              </c:pt>
              <c:pt idx="582">
                <c:v>4.4349999999999996</c:v>
              </c:pt>
              <c:pt idx="583">
                <c:v>3.8433329999999999</c:v>
              </c:pt>
              <c:pt idx="584">
                <c:v>3.9083329999999998</c:v>
              </c:pt>
              <c:pt idx="585">
                <c:v>3.5633330000000001</c:v>
              </c:pt>
              <c:pt idx="586">
                <c:v>4.3899999999999997</c:v>
              </c:pt>
              <c:pt idx="587">
                <c:v>4.3533330000000001</c:v>
              </c:pt>
              <c:pt idx="588">
                <c:v>4.0183330000000002</c:v>
              </c:pt>
              <c:pt idx="589">
                <c:v>4.0466670000000002</c:v>
              </c:pt>
              <c:pt idx="590">
                <c:v>4.6550000000000002</c:v>
              </c:pt>
              <c:pt idx="591">
                <c:v>4.6533329999999999</c:v>
              </c:pt>
              <c:pt idx="592">
                <c:v>4.2283330000000001</c:v>
              </c:pt>
              <c:pt idx="593">
                <c:v>3.0633330000000001</c:v>
              </c:pt>
              <c:pt idx="594">
                <c:v>3.67</c:v>
              </c:pt>
              <c:pt idx="595">
                <c:v>3.57</c:v>
              </c:pt>
              <c:pt idx="596">
                <c:v>3.5083329999999999</c:v>
              </c:pt>
              <c:pt idx="597">
                <c:v>4.1749999999999998</c:v>
              </c:pt>
              <c:pt idx="598">
                <c:v>3.3033329999999999</c:v>
              </c:pt>
              <c:pt idx="599">
                <c:v>4.13</c:v>
              </c:pt>
              <c:pt idx="600">
                <c:v>3.0266670000000002</c:v>
              </c:pt>
              <c:pt idx="601">
                <c:v>3.59</c:v>
              </c:pt>
              <c:pt idx="602">
                <c:v>3.04</c:v>
              </c:pt>
              <c:pt idx="603">
                <c:v>3.3250000000000002</c:v>
              </c:pt>
              <c:pt idx="604">
                <c:v>3.4516659999999999</c:v>
              </c:pt>
              <c:pt idx="605">
                <c:v>4.1166660000000004</c:v>
              </c:pt>
              <c:pt idx="606">
                <c:v>3.371667</c:v>
              </c:pt>
              <c:pt idx="607">
                <c:v>4.3099999999999996</c:v>
              </c:pt>
              <c:pt idx="608">
                <c:v>4.3716660000000003</c:v>
              </c:pt>
              <c:pt idx="609">
                <c:v>4.0999999999999996</c:v>
              </c:pt>
              <c:pt idx="610">
                <c:v>3.5016660000000002</c:v>
              </c:pt>
              <c:pt idx="611">
                <c:v>3.8033329999999999</c:v>
              </c:pt>
              <c:pt idx="612">
                <c:v>4.056667</c:v>
              </c:pt>
              <c:pt idx="613">
                <c:v>4.5766660000000003</c:v>
              </c:pt>
              <c:pt idx="614">
                <c:v>3.915</c:v>
              </c:pt>
              <c:pt idx="615">
                <c:v>4.0383339999999999</c:v>
              </c:pt>
              <c:pt idx="616">
                <c:v>3.863334</c:v>
              </c:pt>
              <c:pt idx="617">
                <c:v>3.8633329999999999</c:v>
              </c:pt>
              <c:pt idx="618">
                <c:v>3.91</c:v>
              </c:pt>
              <c:pt idx="619">
                <c:v>4.4349999999999996</c:v>
              </c:pt>
              <c:pt idx="620">
                <c:v>4.5316669999999997</c:v>
              </c:pt>
              <c:pt idx="621">
                <c:v>4.3216659999999996</c:v>
              </c:pt>
              <c:pt idx="622">
                <c:v>4.625</c:v>
              </c:pt>
              <c:pt idx="623">
                <c:v>4.3166669999999998</c:v>
              </c:pt>
              <c:pt idx="624">
                <c:v>3.878333</c:v>
              </c:pt>
              <c:pt idx="625">
                <c:v>4.3766660000000002</c:v>
              </c:pt>
              <c:pt idx="626">
                <c:v>4.2833329999999998</c:v>
              </c:pt>
              <c:pt idx="627">
                <c:v>3.8766669999999999</c:v>
              </c:pt>
              <c:pt idx="628">
                <c:v>4.415</c:v>
              </c:pt>
              <c:pt idx="629">
                <c:v>3.923333</c:v>
              </c:pt>
              <c:pt idx="630">
                <c:v>3.878333</c:v>
              </c:pt>
              <c:pt idx="631">
                <c:v>4.12</c:v>
              </c:pt>
              <c:pt idx="632">
                <c:v>4.1333330000000004</c:v>
              </c:pt>
              <c:pt idx="633">
                <c:v>4.4516660000000003</c:v>
              </c:pt>
              <c:pt idx="634">
                <c:v>3.915</c:v>
              </c:pt>
              <c:pt idx="635">
                <c:v>4.0199999999999996</c:v>
              </c:pt>
              <c:pt idx="636">
                <c:v>3.8333330000000001</c:v>
              </c:pt>
              <c:pt idx="637">
                <c:v>3.7450000000000001</c:v>
              </c:pt>
              <c:pt idx="638">
                <c:v>3.5049999999999999</c:v>
              </c:pt>
              <c:pt idx="639">
                <c:v>3.7149999999999999</c:v>
              </c:pt>
              <c:pt idx="640">
                <c:v>4.5650000000000004</c:v>
              </c:pt>
              <c:pt idx="641">
                <c:v>4.0883330000000004</c:v>
              </c:pt>
              <c:pt idx="642">
                <c:v>4.2716659999999997</c:v>
              </c:pt>
              <c:pt idx="643">
                <c:v>3.76</c:v>
              </c:pt>
              <c:pt idx="644">
                <c:v>3.6416659999999998</c:v>
              </c:pt>
              <c:pt idx="645">
                <c:v>4.41</c:v>
              </c:pt>
              <c:pt idx="646">
                <c:v>4.8499999999999996</c:v>
              </c:pt>
              <c:pt idx="647">
                <c:v>3.9333330000000002</c:v>
              </c:pt>
              <c:pt idx="648">
                <c:v>3.78</c:v>
              </c:pt>
              <c:pt idx="649">
                <c:v>4.2016660000000003</c:v>
              </c:pt>
              <c:pt idx="650">
                <c:v>3.861666</c:v>
              </c:pt>
              <c:pt idx="651">
                <c:v>4.165</c:v>
              </c:pt>
              <c:pt idx="652">
                <c:v>4.0166659999999998</c:v>
              </c:pt>
              <c:pt idx="653">
                <c:v>3.2583329999999999</c:v>
              </c:pt>
              <c:pt idx="654">
                <c:v>3.5383330000000002</c:v>
              </c:pt>
              <c:pt idx="655">
                <c:v>4.085</c:v>
              </c:pt>
              <c:pt idx="656">
                <c:v>3.8516659999999998</c:v>
              </c:pt>
              <c:pt idx="657">
                <c:v>4.7583330000000004</c:v>
              </c:pt>
              <c:pt idx="658">
                <c:v>4.2783329999999999</c:v>
              </c:pt>
              <c:pt idx="659">
                <c:v>4.2666659999999998</c:v>
              </c:pt>
              <c:pt idx="660">
                <c:v>4.1066659999999997</c:v>
              </c:pt>
              <c:pt idx="661">
                <c:v>3.5766659999999999</c:v>
              </c:pt>
              <c:pt idx="662">
                <c:v>3.2433329999999998</c:v>
              </c:pt>
              <c:pt idx="663">
                <c:v>3.9649999999999999</c:v>
              </c:pt>
              <c:pt idx="664">
                <c:v>3.7683330000000002</c:v>
              </c:pt>
              <c:pt idx="665">
                <c:v>3.75</c:v>
              </c:pt>
              <c:pt idx="666">
                <c:v>3.97</c:v>
              </c:pt>
              <c:pt idx="667">
                <c:v>3.99</c:v>
              </c:pt>
              <c:pt idx="668">
                <c:v>3.5133329999999998</c:v>
              </c:pt>
              <c:pt idx="669">
                <c:v>4.3383330000000004</c:v>
              </c:pt>
              <c:pt idx="670">
                <c:v>4.085</c:v>
              </c:pt>
              <c:pt idx="671">
                <c:v>4.9866669999999997</c:v>
              </c:pt>
              <c:pt idx="672">
                <c:v>3.548333</c:v>
              </c:pt>
              <c:pt idx="673">
                <c:v>4.0383339999999999</c:v>
              </c:pt>
              <c:pt idx="674">
                <c:v>4.7816660000000004</c:v>
              </c:pt>
              <c:pt idx="675">
                <c:v>4.835</c:v>
              </c:pt>
              <c:pt idx="676">
                <c:v>4.8150000000000004</c:v>
              </c:pt>
              <c:pt idx="677">
                <c:v>5.4583339999999998</c:v>
              </c:pt>
              <c:pt idx="678">
                <c:v>5.2916660000000002</c:v>
              </c:pt>
              <c:pt idx="679">
                <c:v>4.1916669999999998</c:v>
              </c:pt>
              <c:pt idx="680">
                <c:v>4.8216659999999996</c:v>
              </c:pt>
              <c:pt idx="681">
                <c:v>4.8899999999999997</c:v>
              </c:pt>
              <c:pt idx="682">
                <c:v>5.4749999999999996</c:v>
              </c:pt>
              <c:pt idx="683">
                <c:v>3.7016659999999999</c:v>
              </c:pt>
              <c:pt idx="684">
                <c:v>3.7316660000000001</c:v>
              </c:pt>
              <c:pt idx="685">
                <c:v>4.0350000000000001</c:v>
              </c:pt>
              <c:pt idx="686">
                <c:v>4.1833330000000002</c:v>
              </c:pt>
              <c:pt idx="687">
                <c:v>4.5949999999999998</c:v>
              </c:pt>
              <c:pt idx="688">
                <c:v>4.4516660000000003</c:v>
              </c:pt>
              <c:pt idx="689">
                <c:v>3.551666</c:v>
              </c:pt>
              <c:pt idx="690">
                <c:v>3.858333</c:v>
              </c:pt>
              <c:pt idx="691">
                <c:v>3.645</c:v>
              </c:pt>
              <c:pt idx="692">
                <c:v>3.7966660000000001</c:v>
              </c:pt>
              <c:pt idx="693">
                <c:v>3.608333</c:v>
              </c:pt>
              <c:pt idx="694">
                <c:v>4.023333</c:v>
              </c:pt>
              <c:pt idx="695">
                <c:v>3.411667</c:v>
              </c:pt>
              <c:pt idx="696">
                <c:v>3.7283330000000001</c:v>
              </c:pt>
              <c:pt idx="697">
                <c:v>4.34</c:v>
              </c:pt>
              <c:pt idx="698">
                <c:v>3.7516669999999999</c:v>
              </c:pt>
              <c:pt idx="699">
                <c:v>4.4066660000000004</c:v>
              </c:pt>
              <c:pt idx="700">
                <c:v>4.226667</c:v>
              </c:pt>
              <c:pt idx="701">
                <c:v>3.588333</c:v>
              </c:pt>
              <c:pt idx="702">
                <c:v>3.7416659999999999</c:v>
              </c:pt>
              <c:pt idx="703">
                <c:v>3.6416659999999998</c:v>
              </c:pt>
              <c:pt idx="704">
                <c:v>3.4816660000000001</c:v>
              </c:pt>
              <c:pt idx="705">
                <c:v>4.5066670000000002</c:v>
              </c:pt>
              <c:pt idx="706">
                <c:v>4.2983330000000004</c:v>
              </c:pt>
              <c:pt idx="707">
                <c:v>4.8933330000000002</c:v>
              </c:pt>
              <c:pt idx="708">
                <c:v>3.4533330000000002</c:v>
              </c:pt>
              <c:pt idx="709">
                <c:v>4.056667</c:v>
              </c:pt>
              <c:pt idx="710">
                <c:v>4.0533330000000003</c:v>
              </c:pt>
              <c:pt idx="711">
                <c:v>3.7349999999999999</c:v>
              </c:pt>
              <c:pt idx="712">
                <c:v>4.0933330000000003</c:v>
              </c:pt>
              <c:pt idx="713">
                <c:v>3.8933330000000002</c:v>
              </c:pt>
              <c:pt idx="714">
                <c:v>3.4</c:v>
              </c:pt>
              <c:pt idx="715">
                <c:v>4.0083330000000004</c:v>
              </c:pt>
              <c:pt idx="716">
                <c:v>4.6316670000000002</c:v>
              </c:pt>
              <c:pt idx="717">
                <c:v>4.9349999999999996</c:v>
              </c:pt>
              <c:pt idx="718">
                <c:v>4.76</c:v>
              </c:pt>
              <c:pt idx="719">
                <c:v>4.1583329999999998</c:v>
              </c:pt>
              <c:pt idx="720">
                <c:v>3.9033340000000001</c:v>
              </c:pt>
              <c:pt idx="721">
                <c:v>4.4649999999999999</c:v>
              </c:pt>
              <c:pt idx="722">
                <c:v>4.96</c:v>
              </c:pt>
              <c:pt idx="723">
                <c:v>5.8733329999999997</c:v>
              </c:pt>
              <c:pt idx="724">
                <c:v>4.49</c:v>
              </c:pt>
              <c:pt idx="725">
                <c:v>4.4766659999999998</c:v>
              </c:pt>
              <c:pt idx="726">
                <c:v>4.915</c:v>
              </c:pt>
              <c:pt idx="727">
                <c:v>5.0166659999999998</c:v>
              </c:pt>
              <c:pt idx="728">
                <c:v>4.6533329999999999</c:v>
              </c:pt>
              <c:pt idx="729">
                <c:v>5.5733329999999999</c:v>
              </c:pt>
              <c:pt idx="730">
                <c:v>5.1550000000000002</c:v>
              </c:pt>
              <c:pt idx="731">
                <c:v>4.3099999999999996</c:v>
              </c:pt>
              <c:pt idx="732">
                <c:v>4.9716659999999999</c:v>
              </c:pt>
              <c:pt idx="733">
                <c:v>4.5466670000000002</c:v>
              </c:pt>
              <c:pt idx="734">
                <c:v>4.4183329999999996</c:v>
              </c:pt>
              <c:pt idx="735">
                <c:v>4.8316660000000002</c:v>
              </c:pt>
              <c:pt idx="736">
                <c:v>4.5750000000000002</c:v>
              </c:pt>
              <c:pt idx="737">
                <c:v>4.1466659999999997</c:v>
              </c:pt>
              <c:pt idx="738">
                <c:v>4.3449999999999998</c:v>
              </c:pt>
              <c:pt idx="739">
                <c:v>4.8133330000000001</c:v>
              </c:pt>
              <c:pt idx="740">
                <c:v>4.8366660000000001</c:v>
              </c:pt>
              <c:pt idx="741">
                <c:v>4.7533329999999996</c:v>
              </c:pt>
              <c:pt idx="742">
                <c:v>4.3016670000000001</c:v>
              </c:pt>
              <c:pt idx="743">
                <c:v>3.7583329999999999</c:v>
              </c:pt>
              <c:pt idx="744">
                <c:v>3.9333330000000002</c:v>
              </c:pt>
              <c:pt idx="745">
                <c:v>4.8600000000000003</c:v>
              </c:pt>
              <c:pt idx="746">
                <c:v>5.4950000000000001</c:v>
              </c:pt>
              <c:pt idx="747">
                <c:v>5.14</c:v>
              </c:pt>
              <c:pt idx="748">
                <c:v>4.8616659999999996</c:v>
              </c:pt>
              <c:pt idx="749">
                <c:v>5.0083330000000004</c:v>
              </c:pt>
              <c:pt idx="750">
                <c:v>4.1366670000000001</c:v>
              </c:pt>
              <c:pt idx="751">
                <c:v>4.3666660000000004</c:v>
              </c:pt>
              <c:pt idx="752">
                <c:v>3.8666659999999999</c:v>
              </c:pt>
              <c:pt idx="753">
                <c:v>3.3050000000000002</c:v>
              </c:pt>
              <c:pt idx="754">
                <c:v>3.6183329999999998</c:v>
              </c:pt>
              <c:pt idx="755">
                <c:v>4.2916660000000002</c:v>
              </c:pt>
              <c:pt idx="756">
                <c:v>3.6850000000000001</c:v>
              </c:pt>
              <c:pt idx="757">
                <c:v>3.38</c:v>
              </c:pt>
              <c:pt idx="758">
                <c:v>3.5550000000000002</c:v>
              </c:pt>
              <c:pt idx="759">
                <c:v>4.0333329999999998</c:v>
              </c:pt>
              <c:pt idx="760">
                <c:v>4.5133330000000003</c:v>
              </c:pt>
              <c:pt idx="761">
                <c:v>4.0183330000000002</c:v>
              </c:pt>
              <c:pt idx="762">
                <c:v>3.5983329999999998</c:v>
              </c:pt>
              <c:pt idx="763">
                <c:v>4.3816670000000002</c:v>
              </c:pt>
              <c:pt idx="764">
                <c:v>4.5833329999999997</c:v>
              </c:pt>
              <c:pt idx="765">
                <c:v>4</c:v>
              </c:pt>
              <c:pt idx="766">
                <c:v>3.83</c:v>
              </c:pt>
              <c:pt idx="767">
                <c:v>3.5733329999999999</c:v>
              </c:pt>
              <c:pt idx="768">
                <c:v>3.7183329999999999</c:v>
              </c:pt>
              <c:pt idx="769">
                <c:v>3.9350000000000001</c:v>
              </c:pt>
              <c:pt idx="770">
                <c:v>3.3283330000000002</c:v>
              </c:pt>
              <c:pt idx="771">
                <c:v>3.8966660000000002</c:v>
              </c:pt>
              <c:pt idx="772">
                <c:v>3.946666</c:v>
              </c:pt>
              <c:pt idx="773">
                <c:v>3.713333</c:v>
              </c:pt>
              <c:pt idx="774">
                <c:v>3.8516659999999998</c:v>
              </c:pt>
              <c:pt idx="775">
                <c:v>4.3966659999999997</c:v>
              </c:pt>
              <c:pt idx="776">
                <c:v>4.2766669999999998</c:v>
              </c:pt>
              <c:pt idx="777">
                <c:v>5.0983330000000002</c:v>
              </c:pt>
              <c:pt idx="778">
                <c:v>4.8449999999999998</c:v>
              </c:pt>
              <c:pt idx="779">
                <c:v>3.8650000000000002</c:v>
              </c:pt>
              <c:pt idx="780">
                <c:v>4.0733329999999999</c:v>
              </c:pt>
              <c:pt idx="781">
                <c:v>3.483333</c:v>
              </c:pt>
              <c:pt idx="782">
                <c:v>4.2666659999999998</c:v>
              </c:pt>
              <c:pt idx="783">
                <c:v>4.2816660000000004</c:v>
              </c:pt>
              <c:pt idx="784">
                <c:v>3.661667</c:v>
              </c:pt>
              <c:pt idx="785">
                <c:v>3.8666659999999999</c:v>
              </c:pt>
              <c:pt idx="786">
                <c:v>4.2633330000000003</c:v>
              </c:pt>
              <c:pt idx="787">
                <c:v>3.7549999999999999</c:v>
              </c:pt>
              <c:pt idx="788">
                <c:v>3.415</c:v>
              </c:pt>
              <c:pt idx="789">
                <c:v>4.0883330000000004</c:v>
              </c:pt>
              <c:pt idx="790">
                <c:v>3.7850000000000001</c:v>
              </c:pt>
              <c:pt idx="791">
                <c:v>4.415</c:v>
              </c:pt>
              <c:pt idx="792">
                <c:v>4.18</c:v>
              </c:pt>
              <c:pt idx="793">
                <c:v>4.1433330000000002</c:v>
              </c:pt>
              <c:pt idx="794">
                <c:v>3.7266659999999998</c:v>
              </c:pt>
              <c:pt idx="795">
                <c:v>3.7766660000000001</c:v>
              </c:pt>
              <c:pt idx="796">
                <c:v>2.8483329999999998</c:v>
              </c:pt>
              <c:pt idx="797">
                <c:v>3.7766670000000002</c:v>
              </c:pt>
              <c:pt idx="798">
                <c:v>3.4033340000000001</c:v>
              </c:pt>
              <c:pt idx="799">
                <c:v>4.2066660000000002</c:v>
              </c:pt>
              <c:pt idx="800">
                <c:v>3.7033330000000002</c:v>
              </c:pt>
              <c:pt idx="801">
                <c:v>4.21</c:v>
              </c:pt>
              <c:pt idx="802">
                <c:v>3.7966660000000001</c:v>
              </c:pt>
              <c:pt idx="803">
                <c:v>3.95</c:v>
              </c:pt>
              <c:pt idx="804">
                <c:v>3.375</c:v>
              </c:pt>
              <c:pt idx="805">
                <c:v>3.97</c:v>
              </c:pt>
              <c:pt idx="806">
                <c:v>4.2483339999999998</c:v>
              </c:pt>
              <c:pt idx="807">
                <c:v>3.9166669999999999</c:v>
              </c:pt>
              <c:pt idx="808">
                <c:v>3.9416669999999998</c:v>
              </c:pt>
              <c:pt idx="809">
                <c:v>3.7116660000000001</c:v>
              </c:pt>
              <c:pt idx="810">
                <c:v>2.9733329999999998</c:v>
              </c:pt>
              <c:pt idx="811">
                <c:v>3.8566660000000001</c:v>
              </c:pt>
              <c:pt idx="812">
                <c:v>3.5866660000000001</c:v>
              </c:pt>
              <c:pt idx="813">
                <c:v>3.585</c:v>
              </c:pt>
              <c:pt idx="814">
                <c:v>3.761666</c:v>
              </c:pt>
              <c:pt idx="815">
                <c:v>3.105</c:v>
              </c:pt>
              <c:pt idx="816">
                <c:v>3.96</c:v>
              </c:pt>
              <c:pt idx="817">
                <c:v>3.6466660000000002</c:v>
              </c:pt>
              <c:pt idx="818">
                <c:v>3.4950000000000001</c:v>
              </c:pt>
              <c:pt idx="819">
                <c:v>3.9916659999999999</c:v>
              </c:pt>
              <c:pt idx="820">
                <c:v>3.8033329999999999</c:v>
              </c:pt>
              <c:pt idx="821">
                <c:v>3.9783330000000001</c:v>
              </c:pt>
              <c:pt idx="822">
                <c:v>4.0049999999999999</c:v>
              </c:pt>
              <c:pt idx="823">
                <c:v>4.2216670000000001</c:v>
              </c:pt>
              <c:pt idx="824">
                <c:v>4.29</c:v>
              </c:pt>
              <c:pt idx="825">
                <c:v>3.6883330000000001</c:v>
              </c:pt>
              <c:pt idx="826">
                <c:v>4.6183329999999998</c:v>
              </c:pt>
              <c:pt idx="827">
                <c:v>4.3166669999999998</c:v>
              </c:pt>
              <c:pt idx="828">
                <c:v>3.746667</c:v>
              </c:pt>
              <c:pt idx="829">
                <c:v>3.4566669999999999</c:v>
              </c:pt>
              <c:pt idx="830">
                <c:v>4.0466670000000002</c:v>
              </c:pt>
              <c:pt idx="831">
                <c:v>3.895</c:v>
              </c:pt>
              <c:pt idx="832">
                <c:v>4.0816660000000002</c:v>
              </c:pt>
              <c:pt idx="833">
                <c:v>3.9333330000000002</c:v>
              </c:pt>
              <c:pt idx="834">
                <c:v>4.0949999999999998</c:v>
              </c:pt>
              <c:pt idx="835">
                <c:v>4.1066659999999997</c:v>
              </c:pt>
              <c:pt idx="836">
                <c:v>3.7549999999999999</c:v>
              </c:pt>
              <c:pt idx="837">
                <c:v>3.8450000000000002</c:v>
              </c:pt>
              <c:pt idx="838">
                <c:v>3.68</c:v>
              </c:pt>
              <c:pt idx="839">
                <c:v>3.6983329999999999</c:v>
              </c:pt>
              <c:pt idx="840">
                <c:v>4.0750000000000002</c:v>
              </c:pt>
              <c:pt idx="841">
                <c:v>4.2066660000000002</c:v>
              </c:pt>
              <c:pt idx="842">
                <c:v>3.7850000000000001</c:v>
              </c:pt>
              <c:pt idx="843">
                <c:v>3.608333</c:v>
              </c:pt>
              <c:pt idx="844">
                <c:v>3.79</c:v>
              </c:pt>
              <c:pt idx="845">
                <c:v>4.3816670000000002</c:v>
              </c:pt>
              <c:pt idx="846">
                <c:v>4.3283329999999998</c:v>
              </c:pt>
              <c:pt idx="847">
                <c:v>4.7466660000000003</c:v>
              </c:pt>
              <c:pt idx="848">
                <c:v>4.2366669999999997</c:v>
              </c:pt>
              <c:pt idx="849">
                <c:v>4.12</c:v>
              </c:pt>
              <c:pt idx="850">
                <c:v>4.2033329999999998</c:v>
              </c:pt>
              <c:pt idx="851">
                <c:v>3.7416659999999999</c:v>
              </c:pt>
              <c:pt idx="852">
                <c:v>3.676666</c:v>
              </c:pt>
              <c:pt idx="853">
                <c:v>4.0716659999999996</c:v>
              </c:pt>
              <c:pt idx="854">
                <c:v>3.91</c:v>
              </c:pt>
              <c:pt idx="855">
                <c:v>4.2416660000000004</c:v>
              </c:pt>
              <c:pt idx="856">
                <c:v>3.9733329999999998</c:v>
              </c:pt>
              <c:pt idx="857">
                <c:v>3.7716660000000002</c:v>
              </c:pt>
              <c:pt idx="858">
                <c:v>3.9283329999999999</c:v>
              </c:pt>
              <c:pt idx="859">
                <c:v>4.7133330000000004</c:v>
              </c:pt>
              <c:pt idx="860">
                <c:v>4.5116670000000001</c:v>
              </c:pt>
              <c:pt idx="861">
                <c:v>4.2366669999999997</c:v>
              </c:pt>
              <c:pt idx="862">
                <c:v>4.2699999999999996</c:v>
              </c:pt>
              <c:pt idx="863">
                <c:v>4.2883339999999999</c:v>
              </c:pt>
              <c:pt idx="864">
                <c:v>4.3766660000000002</c:v>
              </c:pt>
              <c:pt idx="865">
                <c:v>3.5266670000000002</c:v>
              </c:pt>
              <c:pt idx="866">
                <c:v>4.2183330000000003</c:v>
              </c:pt>
              <c:pt idx="867">
                <c:v>4.0016660000000002</c:v>
              </c:pt>
              <c:pt idx="868">
                <c:v>2.6949999999999998</c:v>
              </c:pt>
              <c:pt idx="869">
                <c:v>0.14666670000000001</c:v>
              </c:pt>
              <c:pt idx="870">
                <c:v>6.8333340000000006E-2</c:v>
              </c:pt>
              <c:pt idx="871">
                <c:v>0.37333329999999998</c:v>
              </c:pt>
              <c:pt idx="872">
                <c:v>0.23666670000000001</c:v>
              </c:pt>
              <c:pt idx="873">
                <c:v>0.58166660000000003</c:v>
              </c:pt>
              <c:pt idx="874">
                <c:v>4.898333</c:v>
              </c:pt>
              <c:pt idx="875">
                <c:v>3.0416660000000002</c:v>
              </c:pt>
              <c:pt idx="876">
                <c:v>5.6666670000000002E-2</c:v>
              </c:pt>
              <c:pt idx="877">
                <c:v>0</c:v>
              </c:pt>
              <c:pt idx="878">
                <c:v>2.8849999999999998</c:v>
              </c:pt>
              <c:pt idx="879">
                <c:v>1.0283329999999999</c:v>
              </c:pt>
              <c:pt idx="880">
                <c:v>4.3150000000000004</c:v>
              </c:pt>
              <c:pt idx="881">
                <c:v>3.551666</c:v>
              </c:pt>
              <c:pt idx="882">
                <c:v>0.3566666</c:v>
              </c:pt>
              <c:pt idx="883">
                <c:v>0.60666659999999994</c:v>
              </c:pt>
              <c:pt idx="884">
                <c:v>5.6666670000000002E-2</c:v>
              </c:pt>
              <c:pt idx="885">
                <c:v>0.185</c:v>
              </c:pt>
              <c:pt idx="886">
                <c:v>0.27833330000000001</c:v>
              </c:pt>
              <c:pt idx="887">
                <c:v>0.63666659999999997</c:v>
              </c:pt>
              <c:pt idx="888">
                <c:v>1.345</c:v>
              </c:pt>
              <c:pt idx="889">
                <c:v>3.5383330000000002</c:v>
              </c:pt>
              <c:pt idx="890">
                <c:v>3.0533329999999999</c:v>
              </c:pt>
              <c:pt idx="891">
                <c:v>0.83833329999999995</c:v>
              </c:pt>
              <c:pt idx="892">
                <c:v>0.06</c:v>
              </c:pt>
              <c:pt idx="893">
                <c:v>0.115</c:v>
              </c:pt>
              <c:pt idx="894">
                <c:v>0.41</c:v>
              </c:pt>
              <c:pt idx="895">
                <c:v>0.42333330000000002</c:v>
              </c:pt>
              <c:pt idx="896">
                <c:v>0.22833329999999999</c:v>
              </c:pt>
              <c:pt idx="897">
                <c:v>6.6666669999999997E-2</c:v>
              </c:pt>
              <c:pt idx="898">
                <c:v>5.5E-2</c:v>
              </c:pt>
              <c:pt idx="899">
                <c:v>0</c:v>
              </c:pt>
              <c:pt idx="900">
                <c:v>0</c:v>
              </c:pt>
              <c:pt idx="901">
                <c:v>0</c:v>
              </c:pt>
              <c:pt idx="902">
                <c:v>0.11</c:v>
              </c:pt>
              <c:pt idx="903">
                <c:v>0</c:v>
              </c:pt>
              <c:pt idx="904">
                <c:v>0</c:v>
              </c:pt>
              <c:pt idx="905">
                <c:v>0.1733333</c:v>
              </c:pt>
              <c:pt idx="906">
                <c:v>0.12833330000000001</c:v>
              </c:pt>
              <c:pt idx="907">
                <c:v>0</c:v>
              </c:pt>
              <c:pt idx="908">
                <c:v>5.5E-2</c:v>
              </c:pt>
              <c:pt idx="909">
                <c:v>0.50333329999999998</c:v>
              </c:pt>
              <c:pt idx="910">
                <c:v>3.386666</c:v>
              </c:pt>
              <c:pt idx="911">
                <c:v>4.7283330000000001</c:v>
              </c:pt>
              <c:pt idx="912">
                <c:v>4.54</c:v>
              </c:pt>
              <c:pt idx="913">
                <c:v>3.605</c:v>
              </c:pt>
              <c:pt idx="914">
                <c:v>3.4350000000000001</c:v>
              </c:pt>
              <c:pt idx="915">
                <c:v>3.5333329999999998</c:v>
              </c:pt>
              <c:pt idx="916">
                <c:v>3.0166659999999998</c:v>
              </c:pt>
              <c:pt idx="917">
                <c:v>2.8033329999999999</c:v>
              </c:pt>
              <c:pt idx="918">
                <c:v>3.6183329999999998</c:v>
              </c:pt>
              <c:pt idx="919">
                <c:v>3.4716659999999999</c:v>
              </c:pt>
              <c:pt idx="920">
                <c:v>3.605</c:v>
              </c:pt>
              <c:pt idx="921">
                <c:v>4.0983330000000002</c:v>
              </c:pt>
              <c:pt idx="922">
                <c:v>4.0166659999999998</c:v>
              </c:pt>
              <c:pt idx="923">
                <c:v>3.4216660000000001</c:v>
              </c:pt>
              <c:pt idx="924">
                <c:v>2.7383329999999999</c:v>
              </c:pt>
              <c:pt idx="925">
                <c:v>2.3366669999999998</c:v>
              </c:pt>
              <c:pt idx="926">
                <c:v>3.0816669999999999</c:v>
              </c:pt>
              <c:pt idx="927">
                <c:v>2.56</c:v>
              </c:pt>
              <c:pt idx="928">
                <c:v>3.621667</c:v>
              </c:pt>
              <c:pt idx="929">
                <c:v>3.7216659999999999</c:v>
              </c:pt>
              <c:pt idx="930">
                <c:v>2.4916670000000001</c:v>
              </c:pt>
              <c:pt idx="931">
                <c:v>2.2349999999999999</c:v>
              </c:pt>
              <c:pt idx="932">
                <c:v>2.786667</c:v>
              </c:pt>
              <c:pt idx="933">
                <c:v>2.858333</c:v>
              </c:pt>
              <c:pt idx="934">
                <c:v>2.5150000000000001</c:v>
              </c:pt>
              <c:pt idx="935">
                <c:v>3.2633329999999998</c:v>
              </c:pt>
              <c:pt idx="936">
                <c:v>2.9166669999999999</c:v>
              </c:pt>
              <c:pt idx="937">
                <c:v>2.858333</c:v>
              </c:pt>
              <c:pt idx="938">
                <c:v>3.3033329999999999</c:v>
              </c:pt>
              <c:pt idx="939">
                <c:v>3.8133330000000001</c:v>
              </c:pt>
              <c:pt idx="940">
                <c:v>3.051666</c:v>
              </c:pt>
              <c:pt idx="941">
                <c:v>3.2</c:v>
              </c:pt>
              <c:pt idx="942">
                <c:v>3.246667</c:v>
              </c:pt>
              <c:pt idx="943">
                <c:v>3.82</c:v>
              </c:pt>
              <c:pt idx="944">
                <c:v>3.8483329999999998</c:v>
              </c:pt>
              <c:pt idx="945">
                <c:v>3.8516659999999998</c:v>
              </c:pt>
              <c:pt idx="946">
                <c:v>4.0383339999999999</c:v>
              </c:pt>
              <c:pt idx="947">
                <c:v>3.371667</c:v>
              </c:pt>
              <c:pt idx="948">
                <c:v>3.3633329999999999</c:v>
              </c:pt>
              <c:pt idx="949">
                <c:v>2.9249999999999998</c:v>
              </c:pt>
              <c:pt idx="950">
                <c:v>2.841666</c:v>
              </c:pt>
              <c:pt idx="951">
                <c:v>3.0016660000000002</c:v>
              </c:pt>
              <c:pt idx="952">
                <c:v>3.1533329999999999</c:v>
              </c:pt>
              <c:pt idx="953">
                <c:v>3.2216670000000001</c:v>
              </c:pt>
              <c:pt idx="954">
                <c:v>3.15</c:v>
              </c:pt>
              <c:pt idx="955">
                <c:v>2.3133330000000001</c:v>
              </c:pt>
              <c:pt idx="956">
                <c:v>1.9983329999999999</c:v>
              </c:pt>
              <c:pt idx="957">
                <c:v>0.43</c:v>
              </c:pt>
              <c:pt idx="958">
                <c:v>0</c:v>
              </c:pt>
              <c:pt idx="959">
                <c:v>0.26500000000000001</c:v>
              </c:pt>
              <c:pt idx="960">
                <c:v>0.34499999999999997</c:v>
              </c:pt>
              <c:pt idx="961">
                <c:v>5.6666670000000002E-2</c:v>
              </c:pt>
              <c:pt idx="962">
                <c:v>0.23</c:v>
              </c:pt>
              <c:pt idx="963">
                <c:v>0.31833329999999999</c:v>
              </c:pt>
              <c:pt idx="964">
                <c:v>0.37333329999999998</c:v>
              </c:pt>
              <c:pt idx="965">
                <c:v>0.4216666</c:v>
              </c:pt>
              <c:pt idx="966">
                <c:v>0.54333339999999997</c:v>
              </c:pt>
              <c:pt idx="967">
                <c:v>0.64500000000000002</c:v>
              </c:pt>
              <c:pt idx="968">
                <c:v>0.97166660000000005</c:v>
              </c:pt>
              <c:pt idx="969">
                <c:v>1.641667</c:v>
              </c:pt>
              <c:pt idx="970">
                <c:v>0.26166669999999997</c:v>
              </c:pt>
              <c:pt idx="971">
                <c:v>0.44333329999999999</c:v>
              </c:pt>
              <c:pt idx="972">
                <c:v>0.47166669999999999</c:v>
              </c:pt>
              <c:pt idx="973">
                <c:v>0.7683333</c:v>
              </c:pt>
              <c:pt idx="974">
                <c:v>0.34166669999999999</c:v>
              </c:pt>
              <c:pt idx="975">
                <c:v>0.40333330000000001</c:v>
              </c:pt>
              <c:pt idx="976">
                <c:v>0.13333329999999999</c:v>
              </c:pt>
              <c:pt idx="977">
                <c:v>0.61333329999999997</c:v>
              </c:pt>
              <c:pt idx="978">
                <c:v>0.40666659999999999</c:v>
              </c:pt>
              <c:pt idx="979">
                <c:v>0.38833329999999999</c:v>
              </c:pt>
              <c:pt idx="980">
                <c:v>0.34499999999999997</c:v>
              </c:pt>
              <c:pt idx="981">
                <c:v>0.43166660000000001</c:v>
              </c:pt>
              <c:pt idx="982">
                <c:v>0.47333330000000001</c:v>
              </c:pt>
              <c:pt idx="983">
                <c:v>0.22833329999999999</c:v>
              </c:pt>
              <c:pt idx="984">
                <c:v>0.1833333</c:v>
              </c:pt>
              <c:pt idx="985">
                <c:v>0.33500000000000002</c:v>
              </c:pt>
              <c:pt idx="986">
                <c:v>0.245</c:v>
              </c:pt>
              <c:pt idx="987">
                <c:v>0.49333329999999997</c:v>
              </c:pt>
              <c:pt idx="988">
                <c:v>0.13333329999999999</c:v>
              </c:pt>
              <c:pt idx="989">
                <c:v>0.28166669999999999</c:v>
              </c:pt>
              <c:pt idx="990">
                <c:v>0.12833330000000001</c:v>
              </c:pt>
              <c:pt idx="991">
                <c:v>0.1216667</c:v>
              </c:pt>
              <c:pt idx="992">
                <c:v>0.53500000000000003</c:v>
              </c:pt>
              <c:pt idx="993">
                <c:v>5.6666670000000002E-2</c:v>
              </c:pt>
              <c:pt idx="994">
                <c:v>0.13500000000000001</c:v>
              </c:pt>
              <c:pt idx="995">
                <c:v>0.74999990000000005</c:v>
              </c:pt>
              <c:pt idx="996">
                <c:v>0.12</c:v>
              </c:pt>
              <c:pt idx="997">
                <c:v>0</c:v>
              </c:pt>
              <c:pt idx="998">
                <c:v>0</c:v>
              </c:pt>
              <c:pt idx="999">
                <c:v>5.5E-2</c:v>
              </c:pt>
              <c:pt idx="1000">
                <c:v>0.1166667</c:v>
              </c:pt>
              <c:pt idx="1001">
                <c:v>5.6666670000000002E-2</c:v>
              </c:pt>
              <c:pt idx="1002">
                <c:v>0.20666660000000001</c:v>
              </c:pt>
              <c:pt idx="1003">
                <c:v>0.315</c:v>
              </c:pt>
              <c:pt idx="1004">
                <c:v>5.6666670000000002E-2</c:v>
              </c:pt>
              <c:pt idx="1005">
                <c:v>6.5000000000000002E-2</c:v>
              </c:pt>
              <c:pt idx="1006">
                <c:v>5.5E-2</c:v>
              </c:pt>
              <c:pt idx="1007">
                <c:v>0</c:v>
              </c:pt>
              <c:pt idx="1008">
                <c:v>0</c:v>
              </c:pt>
              <c:pt idx="1009">
                <c:v>5.5E-2</c:v>
              </c:pt>
              <c:pt idx="1010">
                <c:v>0</c:v>
              </c:pt>
              <c:pt idx="1011">
                <c:v>5.5E-2</c:v>
              </c:pt>
              <c:pt idx="1012">
                <c:v>0</c:v>
              </c:pt>
              <c:pt idx="1013">
                <c:v>0</c:v>
              </c:pt>
              <c:pt idx="1014">
                <c:v>0</c:v>
              </c:pt>
              <c:pt idx="1015">
                <c:v>0</c:v>
              </c:pt>
              <c:pt idx="1016">
                <c:v>0.12</c:v>
              </c:pt>
              <c:pt idx="1017">
                <c:v>5.8333330000000003E-2</c:v>
              </c:pt>
              <c:pt idx="1018">
                <c:v>0</c:v>
              </c:pt>
              <c:pt idx="1019">
                <c:v>0</c:v>
              </c:pt>
              <c:pt idx="1020">
                <c:v>0</c:v>
              </c:pt>
              <c:pt idx="1021">
                <c:v>0</c:v>
              </c:pt>
              <c:pt idx="1022">
                <c:v>5.5E-2</c:v>
              </c:pt>
              <c:pt idx="1023">
                <c:v>0</c:v>
              </c:pt>
              <c:pt idx="1024">
                <c:v>0</c:v>
              </c:pt>
              <c:pt idx="1025">
                <c:v>0</c:v>
              </c:pt>
              <c:pt idx="1026">
                <c:v>0</c:v>
              </c:pt>
              <c:pt idx="1027">
                <c:v>5.5E-2</c:v>
              </c:pt>
              <c:pt idx="1028">
                <c:v>0</c:v>
              </c:pt>
              <c:pt idx="1029">
                <c:v>0</c:v>
              </c:pt>
              <c:pt idx="1030">
                <c:v>0</c:v>
              </c:pt>
              <c:pt idx="1031">
                <c:v>0</c:v>
              </c:pt>
              <c:pt idx="1032">
                <c:v>0</c:v>
              </c:pt>
              <c:pt idx="1033">
                <c:v>0.1133333</c:v>
              </c:pt>
              <c:pt idx="1034">
                <c:v>0.24666669999999999</c:v>
              </c:pt>
              <c:pt idx="1035">
                <c:v>0</c:v>
              </c:pt>
              <c:pt idx="1036">
                <c:v>0.57999999999999996</c:v>
              </c:pt>
              <c:pt idx="1037">
                <c:v>0.32500000000000001</c:v>
              </c:pt>
              <c:pt idx="1038">
                <c:v>0.20666660000000001</c:v>
              </c:pt>
              <c:pt idx="1039">
                <c:v>0.39666659999999998</c:v>
              </c:pt>
              <c:pt idx="1040">
                <c:v>0.20666670000000001</c:v>
              </c:pt>
              <c:pt idx="1041">
                <c:v>0.18166669999999999</c:v>
              </c:pt>
              <c:pt idx="1042">
                <c:v>0</c:v>
              </c:pt>
              <c:pt idx="1043">
                <c:v>0.12</c:v>
              </c:pt>
              <c:pt idx="1044">
                <c:v>0.15</c:v>
              </c:pt>
              <c:pt idx="1045">
                <c:v>0.26166669999999997</c:v>
              </c:pt>
              <c:pt idx="1046">
                <c:v>0.2866667</c:v>
              </c:pt>
              <c:pt idx="1047">
                <c:v>2.37</c:v>
              </c:pt>
              <c:pt idx="1048">
                <c:v>0.66500000000000004</c:v>
              </c:pt>
              <c:pt idx="1049">
                <c:v>0.85833340000000002</c:v>
              </c:pt>
              <c:pt idx="1050">
                <c:v>0.34333330000000001</c:v>
              </c:pt>
              <c:pt idx="1051">
                <c:v>0.29499999999999998</c:v>
              </c:pt>
              <c:pt idx="1052">
                <c:v>0.12</c:v>
              </c:pt>
              <c:pt idx="1053">
                <c:v>0.33500000000000002</c:v>
              </c:pt>
              <c:pt idx="1054">
                <c:v>0.18833330000000001</c:v>
              </c:pt>
              <c:pt idx="1055">
                <c:v>0.1916667</c:v>
              </c:pt>
              <c:pt idx="1056">
                <c:v>0</c:v>
              </c:pt>
              <c:pt idx="1057">
                <c:v>0</c:v>
              </c:pt>
              <c:pt idx="1058">
                <c:v>0</c:v>
              </c:pt>
              <c:pt idx="1059">
                <c:v>0</c:v>
              </c:pt>
              <c:pt idx="1060">
                <c:v>0</c:v>
              </c:pt>
              <c:pt idx="1061">
                <c:v>0</c:v>
              </c:pt>
              <c:pt idx="1062">
                <c:v>0</c:v>
              </c:pt>
              <c:pt idx="1063">
                <c:v>0</c:v>
              </c:pt>
              <c:pt idx="1064">
                <c:v>5.5E-2</c:v>
              </c:pt>
              <c:pt idx="1065">
                <c:v>0</c:v>
              </c:pt>
              <c:pt idx="1066">
                <c:v>0</c:v>
              </c:pt>
              <c:pt idx="1067">
                <c:v>0</c:v>
              </c:pt>
              <c:pt idx="1068">
                <c:v>0</c:v>
              </c:pt>
              <c:pt idx="1069">
                <c:v>0</c:v>
              </c:pt>
              <c:pt idx="1070">
                <c:v>0</c:v>
              </c:pt>
              <c:pt idx="1071">
                <c:v>0</c:v>
              </c:pt>
              <c:pt idx="1072">
                <c:v>0</c:v>
              </c:pt>
              <c:pt idx="1073">
                <c:v>0</c:v>
              </c:pt>
              <c:pt idx="1074">
                <c:v>0.1183333</c:v>
              </c:pt>
              <c:pt idx="1075">
                <c:v>0</c:v>
              </c:pt>
              <c:pt idx="1076">
                <c:v>0.1783333</c:v>
              </c:pt>
              <c:pt idx="1077">
                <c:v>0</c:v>
              </c:pt>
              <c:pt idx="1078">
                <c:v>5.5E-2</c:v>
              </c:pt>
              <c:pt idx="1079">
                <c:v>0</c:v>
              </c:pt>
              <c:pt idx="1080">
                <c:v>0</c:v>
              </c:pt>
              <c:pt idx="1081">
                <c:v>0</c:v>
              </c:pt>
              <c:pt idx="1082">
                <c:v>0</c:v>
              </c:pt>
              <c:pt idx="1083">
                <c:v>0</c:v>
              </c:pt>
              <c:pt idx="1084">
                <c:v>0</c:v>
              </c:pt>
              <c:pt idx="1085">
                <c:v>0</c:v>
              </c:pt>
              <c:pt idx="1086">
                <c:v>0</c:v>
              </c:pt>
              <c:pt idx="1087">
                <c:v>5.5E-2</c:v>
              </c:pt>
              <c:pt idx="1088">
                <c:v>0.1316667</c:v>
              </c:pt>
              <c:pt idx="1089">
                <c:v>0.2683333</c:v>
              </c:pt>
              <c:pt idx="1090">
                <c:v>6.5000000000000002E-2</c:v>
              </c:pt>
              <c:pt idx="1091">
                <c:v>0.1433333</c:v>
              </c:pt>
              <c:pt idx="1092">
                <c:v>0.30666670000000001</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0.1316667</c:v>
              </c:pt>
              <c:pt idx="1111">
                <c:v>0</c:v>
              </c:pt>
              <c:pt idx="1112">
                <c:v>0</c:v>
              </c:pt>
              <c:pt idx="1113">
                <c:v>0</c:v>
              </c:pt>
              <c:pt idx="1114">
                <c:v>0</c:v>
              </c:pt>
              <c:pt idx="1115">
                <c:v>0</c:v>
              </c:pt>
              <c:pt idx="1116">
                <c:v>0</c:v>
              </c:pt>
              <c:pt idx="1117">
                <c:v>0</c:v>
              </c:pt>
              <c:pt idx="1118">
                <c:v>0</c:v>
              </c:pt>
              <c:pt idx="1119">
                <c:v>0</c:v>
              </c:pt>
              <c:pt idx="1120">
                <c:v>5.5E-2</c:v>
              </c:pt>
              <c:pt idx="1121">
                <c:v>0.32</c:v>
              </c:pt>
              <c:pt idx="1122">
                <c:v>0.29333330000000002</c:v>
              </c:pt>
              <c:pt idx="1123">
                <c:v>0.255</c:v>
              </c:pt>
              <c:pt idx="1124">
                <c:v>0</c:v>
              </c:pt>
              <c:pt idx="1125">
                <c:v>5.5E-2</c:v>
              </c:pt>
              <c:pt idx="1126">
                <c:v>5.6666670000000002E-2</c:v>
              </c:pt>
              <c:pt idx="1127">
                <c:v>0</c:v>
              </c:pt>
              <c:pt idx="1128">
                <c:v>0</c:v>
              </c:pt>
              <c:pt idx="1129">
                <c:v>5.5E-2</c:v>
              </c:pt>
              <c:pt idx="1130">
                <c:v>0.18666669999999999</c:v>
              </c:pt>
              <c:pt idx="1131">
                <c:v>0.28000000000000003</c:v>
              </c:pt>
              <c:pt idx="1132">
                <c:v>0.1133333</c:v>
              </c:pt>
              <c:pt idx="1133">
                <c:v>0.19333330000000001</c:v>
              </c:pt>
              <c:pt idx="1134">
                <c:v>0</c:v>
              </c:pt>
              <c:pt idx="1135">
                <c:v>9.5000000000000001E-2</c:v>
              </c:pt>
              <c:pt idx="1136">
                <c:v>5.6666670000000002E-2</c:v>
              </c:pt>
              <c:pt idx="1137">
                <c:v>5.6666670000000002E-2</c:v>
              </c:pt>
              <c:pt idx="1138">
                <c:v>0</c:v>
              </c:pt>
              <c:pt idx="1139">
                <c:v>0.17499999999999999</c:v>
              </c:pt>
              <c:pt idx="1140">
                <c:v>0.18833330000000001</c:v>
              </c:pt>
              <c:pt idx="1141">
                <c:v>0</c:v>
              </c:pt>
              <c:pt idx="1142">
                <c:v>0.13500000000000001</c:v>
              </c:pt>
              <c:pt idx="1143">
                <c:v>0.25833329999999999</c:v>
              </c:pt>
              <c:pt idx="1144">
                <c:v>0</c:v>
              </c:pt>
              <c:pt idx="1145">
                <c:v>0.11</c:v>
              </c:pt>
              <c:pt idx="1146">
                <c:v>0.06</c:v>
              </c:pt>
              <c:pt idx="1147">
                <c:v>0</c:v>
              </c:pt>
              <c:pt idx="1148">
                <c:v>0.1133333</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0.1133333</c:v>
              </c:pt>
              <c:pt idx="1170">
                <c:v>0.17499999999999999</c:v>
              </c:pt>
              <c:pt idx="1171">
                <c:v>0</c:v>
              </c:pt>
              <c:pt idx="1172">
                <c:v>0.21</c:v>
              </c:pt>
              <c:pt idx="1173">
                <c:v>0</c:v>
              </c:pt>
              <c:pt idx="1174">
                <c:v>0</c:v>
              </c:pt>
              <c:pt idx="1175">
                <c:v>0.115</c:v>
              </c:pt>
              <c:pt idx="1176">
                <c:v>0</c:v>
              </c:pt>
              <c:pt idx="1177">
                <c:v>0</c:v>
              </c:pt>
              <c:pt idx="1178">
                <c:v>0</c:v>
              </c:pt>
              <c:pt idx="1179">
                <c:v>0</c:v>
              </c:pt>
              <c:pt idx="1180">
                <c:v>0</c:v>
              </c:pt>
              <c:pt idx="1181">
                <c:v>0</c:v>
              </c:pt>
              <c:pt idx="1182">
                <c:v>0</c:v>
              </c:pt>
              <c:pt idx="1183">
                <c:v>0</c:v>
              </c:pt>
              <c:pt idx="1184">
                <c:v>5.5E-2</c:v>
              </c:pt>
              <c:pt idx="1185">
                <c:v>5.5E-2</c:v>
              </c:pt>
              <c:pt idx="1186">
                <c:v>0</c:v>
              </c:pt>
              <c:pt idx="1187">
                <c:v>0</c:v>
              </c:pt>
              <c:pt idx="1188">
                <c:v>0</c:v>
              </c:pt>
              <c:pt idx="1189">
                <c:v>0</c:v>
              </c:pt>
              <c:pt idx="1190">
                <c:v>0</c:v>
              </c:pt>
              <c:pt idx="1191">
                <c:v>0</c:v>
              </c:pt>
              <c:pt idx="1192">
                <c:v>0</c:v>
              </c:pt>
              <c:pt idx="1193">
                <c:v>5.5E-2</c:v>
              </c:pt>
              <c:pt idx="1194">
                <c:v>0.1133333</c:v>
              </c:pt>
              <c:pt idx="1195">
                <c:v>0</c:v>
              </c:pt>
              <c:pt idx="1196">
                <c:v>0</c:v>
              </c:pt>
              <c:pt idx="1197">
                <c:v>0</c:v>
              </c:pt>
              <c:pt idx="1198">
                <c:v>0</c:v>
              </c:pt>
              <c:pt idx="1199">
                <c:v>0.11166669999999999</c:v>
              </c:pt>
              <c:pt idx="1200">
                <c:v>5.6666670000000002E-2</c:v>
              </c:pt>
              <c:pt idx="1201">
                <c:v>5.6666670000000002E-2</c:v>
              </c:pt>
              <c:pt idx="1202">
                <c:v>5.6666670000000002E-2</c:v>
              </c:pt>
              <c:pt idx="1203">
                <c:v>0.1133333</c:v>
              </c:pt>
              <c:pt idx="1204">
                <c:v>0</c:v>
              </c:pt>
              <c:pt idx="1205">
                <c:v>5.5E-2</c:v>
              </c:pt>
              <c:pt idx="1206">
                <c:v>0</c:v>
              </c:pt>
              <c:pt idx="1207">
                <c:v>0</c:v>
              </c:pt>
              <c:pt idx="1208">
                <c:v>0</c:v>
              </c:pt>
              <c:pt idx="1209">
                <c:v>0</c:v>
              </c:pt>
              <c:pt idx="1210">
                <c:v>0.1183333</c:v>
              </c:pt>
              <c:pt idx="1211">
                <c:v>0</c:v>
              </c:pt>
              <c:pt idx="1212">
                <c:v>5.6666670000000002E-2</c:v>
              </c:pt>
              <c:pt idx="1213">
                <c:v>0</c:v>
              </c:pt>
              <c:pt idx="1214">
                <c:v>0</c:v>
              </c:pt>
              <c:pt idx="1215">
                <c:v>0.11</c:v>
              </c:pt>
              <c:pt idx="1216">
                <c:v>0</c:v>
              </c:pt>
              <c:pt idx="1217">
                <c:v>5.5E-2</c:v>
              </c:pt>
              <c:pt idx="1218">
                <c:v>0</c:v>
              </c:pt>
              <c:pt idx="1219">
                <c:v>0</c:v>
              </c:pt>
              <c:pt idx="1220">
                <c:v>0.1133333</c:v>
              </c:pt>
              <c:pt idx="1221">
                <c:v>7.6666670000000006E-2</c:v>
              </c:pt>
              <c:pt idx="1222">
                <c:v>0.39500000000000002</c:v>
              </c:pt>
              <c:pt idx="1223">
                <c:v>0.32166670000000003</c:v>
              </c:pt>
              <c:pt idx="1224">
                <c:v>0.48499999999999999</c:v>
              </c:pt>
              <c:pt idx="1225">
                <c:v>0.21833330000000001</c:v>
              </c:pt>
              <c:pt idx="1226">
                <c:v>0.33166659999999998</c:v>
              </c:pt>
              <c:pt idx="1227">
                <c:v>0.46500000000000002</c:v>
              </c:pt>
              <c:pt idx="1228">
                <c:v>0.42499999999999999</c:v>
              </c:pt>
              <c:pt idx="1229">
                <c:v>0.50166670000000002</c:v>
              </c:pt>
              <c:pt idx="1230">
                <c:v>0.45166659999999997</c:v>
              </c:pt>
              <c:pt idx="1231">
                <c:v>0.48333330000000002</c:v>
              </c:pt>
              <c:pt idx="1232">
                <c:v>0.4583334</c:v>
              </c:pt>
              <c:pt idx="1233">
                <c:v>0.4633333</c:v>
              </c:pt>
              <c:pt idx="1234">
                <c:v>0.4816666</c:v>
              </c:pt>
              <c:pt idx="1235">
                <c:v>0.45500000000000002</c:v>
              </c:pt>
              <c:pt idx="1236">
                <c:v>0.27500000000000002</c:v>
              </c:pt>
              <c:pt idx="1237">
                <c:v>0</c:v>
              </c:pt>
              <c:pt idx="1238">
                <c:v>0</c:v>
              </c:pt>
              <c:pt idx="1239">
                <c:v>0</c:v>
              </c:pt>
              <c:pt idx="1240">
                <c:v>5.5E-2</c:v>
              </c:pt>
              <c:pt idx="1241">
                <c:v>0.17166670000000001</c:v>
              </c:pt>
              <c:pt idx="1242">
                <c:v>0.12666669999999999</c:v>
              </c:pt>
              <c:pt idx="1243">
                <c:v>0</c:v>
              </c:pt>
              <c:pt idx="1244">
                <c:v>0.30666660000000001</c:v>
              </c:pt>
              <c:pt idx="1245">
                <c:v>0.24833330000000001</c:v>
              </c:pt>
              <c:pt idx="1246">
                <c:v>0.2016667</c:v>
              </c:pt>
              <c:pt idx="1247">
                <c:v>0.41</c:v>
              </c:pt>
              <c:pt idx="1248">
                <c:v>0.49333329999999997</c:v>
              </c:pt>
              <c:pt idx="1249">
                <c:v>6.3333329999999993E-2</c:v>
              </c:pt>
              <c:pt idx="1250">
                <c:v>7.6666670000000006E-2</c:v>
              </c:pt>
              <c:pt idx="1251">
                <c:v>0.26500000000000001</c:v>
              </c:pt>
              <c:pt idx="1252">
                <c:v>0.1166667</c:v>
              </c:pt>
              <c:pt idx="1253">
                <c:v>6.6666669999999997E-2</c:v>
              </c:pt>
              <c:pt idx="1254">
                <c:v>0.17</c:v>
              </c:pt>
              <c:pt idx="1255">
                <c:v>0</c:v>
              </c:pt>
              <c:pt idx="1256">
                <c:v>0</c:v>
              </c:pt>
              <c:pt idx="1257">
                <c:v>5.5E-2</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5.5E-2</c:v>
              </c:pt>
              <c:pt idx="1288">
                <c:v>0</c:v>
              </c:pt>
              <c:pt idx="1289">
                <c:v>5.6666670000000002E-2</c:v>
              </c:pt>
              <c:pt idx="1290">
                <c:v>0.1166667</c:v>
              </c:pt>
              <c:pt idx="1291">
                <c:v>0</c:v>
              </c:pt>
              <c:pt idx="1292">
                <c:v>0</c:v>
              </c:pt>
              <c:pt idx="1293">
                <c:v>0</c:v>
              </c:pt>
              <c:pt idx="1294">
                <c:v>5.5E-2</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5.5E-2</c:v>
              </c:pt>
              <c:pt idx="1326">
                <c:v>0</c:v>
              </c:pt>
              <c:pt idx="1327">
                <c:v>0</c:v>
              </c:pt>
              <c:pt idx="1328">
                <c:v>0</c:v>
              </c:pt>
              <c:pt idx="1329">
                <c:v>0</c:v>
              </c:pt>
              <c:pt idx="1330">
                <c:v>0</c:v>
              </c:pt>
              <c:pt idx="1331">
                <c:v>0</c:v>
              </c:pt>
              <c:pt idx="1332">
                <c:v>0</c:v>
              </c:pt>
              <c:pt idx="1333">
                <c:v>0</c:v>
              </c:pt>
              <c:pt idx="1334">
                <c:v>5.5E-2</c:v>
              </c:pt>
              <c:pt idx="1335">
                <c:v>0</c:v>
              </c:pt>
              <c:pt idx="1336">
                <c:v>5.5E-2</c:v>
              </c:pt>
              <c:pt idx="1337">
                <c:v>0</c:v>
              </c:pt>
              <c:pt idx="1338">
                <c:v>0</c:v>
              </c:pt>
              <c:pt idx="1339">
                <c:v>0</c:v>
              </c:pt>
              <c:pt idx="1340">
                <c:v>0</c:v>
              </c:pt>
              <c:pt idx="1341">
                <c:v>0</c:v>
              </c:pt>
              <c:pt idx="1342">
                <c:v>0</c:v>
              </c:pt>
              <c:pt idx="1343">
                <c:v>5.5E-2</c:v>
              </c:pt>
              <c:pt idx="1344">
                <c:v>0</c:v>
              </c:pt>
              <c:pt idx="1345">
                <c:v>0</c:v>
              </c:pt>
              <c:pt idx="1346">
                <c:v>5.5E-2</c:v>
              </c:pt>
              <c:pt idx="1347">
                <c:v>5.5E-2</c:v>
              </c:pt>
              <c:pt idx="1348">
                <c:v>0</c:v>
              </c:pt>
              <c:pt idx="1349">
                <c:v>5.5E-2</c:v>
              </c:pt>
              <c:pt idx="1350">
                <c:v>0</c:v>
              </c:pt>
              <c:pt idx="1351">
                <c:v>5.5E-2</c:v>
              </c:pt>
              <c:pt idx="1352">
                <c:v>0</c:v>
              </c:pt>
              <c:pt idx="1353">
                <c:v>0</c:v>
              </c:pt>
              <c:pt idx="1354">
                <c:v>0</c:v>
              </c:pt>
              <c:pt idx="1355">
                <c:v>0</c:v>
              </c:pt>
              <c:pt idx="1356">
                <c:v>0</c:v>
              </c:pt>
              <c:pt idx="1357">
                <c:v>0</c:v>
              </c:pt>
              <c:pt idx="1358">
                <c:v>0</c:v>
              </c:pt>
              <c:pt idx="1359">
                <c:v>0</c:v>
              </c:pt>
              <c:pt idx="1360">
                <c:v>5.5E-2</c:v>
              </c:pt>
              <c:pt idx="1361">
                <c:v>0</c:v>
              </c:pt>
              <c:pt idx="1362">
                <c:v>0</c:v>
              </c:pt>
              <c:pt idx="1363">
                <c:v>0</c:v>
              </c:pt>
              <c:pt idx="1364">
                <c:v>5.5E-2</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5.5E-2</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5.5E-2</c:v>
              </c:pt>
              <c:pt idx="1404">
                <c:v>5.6666670000000002E-2</c:v>
              </c:pt>
              <c:pt idx="1405">
                <c:v>0</c:v>
              </c:pt>
              <c:pt idx="1406">
                <c:v>0</c:v>
              </c:pt>
              <c:pt idx="1407">
                <c:v>0</c:v>
              </c:pt>
              <c:pt idx="1408">
                <c:v>5.5E-2</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5.5E-2</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0-0587-4D2D-AD37-15C310B27EC5}"/>
            </c:ext>
          </c:extLst>
        </c:ser>
        <c:ser>
          <c:idx val="1"/>
          <c:order val="1"/>
          <c:tx>
            <c:v>4.017957923 4.121666 IS4 WMS Wind Speed(m/s)</c:v>
          </c:tx>
          <c:spPr>
            <a:ln w="28575" cap="rnd">
              <a:solidFill>
                <a:schemeClr val="accent2"/>
              </a:solidFill>
              <a:round/>
            </a:ln>
            <a:effectLst/>
          </c:spPr>
          <c:marker>
            <c:symbol val="none"/>
          </c:marker>
          <c:val>
            <c:numLit>
              <c:formatCode>General</c:formatCode>
              <c:ptCount val="1687"/>
              <c:pt idx="0">
                <c:v>3.5966670000000001</c:v>
              </c:pt>
              <c:pt idx="1">
                <c:v>3.5633330000000001</c:v>
              </c:pt>
              <c:pt idx="2">
                <c:v>2.8450000000000002</c:v>
              </c:pt>
              <c:pt idx="3">
                <c:v>3.0833330000000001</c:v>
              </c:pt>
              <c:pt idx="4">
                <c:v>3.318333</c:v>
              </c:pt>
              <c:pt idx="5">
                <c:v>3.8883329999999998</c:v>
              </c:pt>
              <c:pt idx="6">
                <c:v>3.7283330000000001</c:v>
              </c:pt>
              <c:pt idx="7">
                <c:v>4.2066660000000002</c:v>
              </c:pt>
              <c:pt idx="8">
                <c:v>3.536667</c:v>
              </c:pt>
              <c:pt idx="9">
                <c:v>3.4583330000000001</c:v>
              </c:pt>
              <c:pt idx="10">
                <c:v>3.7966660000000001</c:v>
              </c:pt>
              <c:pt idx="11">
                <c:v>3.7149999999999999</c:v>
              </c:pt>
              <c:pt idx="12">
                <c:v>3.22</c:v>
              </c:pt>
              <c:pt idx="13">
                <c:v>3.2633329999999998</c:v>
              </c:pt>
              <c:pt idx="14">
                <c:v>2.8833329999999999</c:v>
              </c:pt>
              <c:pt idx="15">
                <c:v>3.3733330000000001</c:v>
              </c:pt>
              <c:pt idx="16">
                <c:v>3.4416669999999998</c:v>
              </c:pt>
              <c:pt idx="17">
                <c:v>3.2033330000000002</c:v>
              </c:pt>
              <c:pt idx="18">
                <c:v>2.8149999999999999</c:v>
              </c:pt>
              <c:pt idx="19">
                <c:v>3.5216669999999999</c:v>
              </c:pt>
              <c:pt idx="20">
                <c:v>2.9916670000000001</c:v>
              </c:pt>
              <c:pt idx="21">
                <c:v>3.1150000000000002</c:v>
              </c:pt>
              <c:pt idx="22">
                <c:v>2.9483329999999999</c:v>
              </c:pt>
              <c:pt idx="23">
                <c:v>3.1633330000000002</c:v>
              </c:pt>
              <c:pt idx="24">
                <c:v>3.1516670000000002</c:v>
              </c:pt>
              <c:pt idx="25">
                <c:v>2.5283329999999999</c:v>
              </c:pt>
              <c:pt idx="26">
                <c:v>3.1366670000000001</c:v>
              </c:pt>
              <c:pt idx="27">
                <c:v>2.85</c:v>
              </c:pt>
              <c:pt idx="28">
                <c:v>3.27</c:v>
              </c:pt>
              <c:pt idx="29">
                <c:v>2.97</c:v>
              </c:pt>
              <c:pt idx="30">
                <c:v>2.7583329999999999</c:v>
              </c:pt>
              <c:pt idx="31">
                <c:v>3.3916659999999998</c:v>
              </c:pt>
              <c:pt idx="32">
                <c:v>3.088333</c:v>
              </c:pt>
              <c:pt idx="33">
                <c:v>2.9816669999999998</c:v>
              </c:pt>
              <c:pt idx="34">
                <c:v>2.9816669999999998</c:v>
              </c:pt>
              <c:pt idx="35">
                <c:v>3.0466660000000001</c:v>
              </c:pt>
              <c:pt idx="36">
                <c:v>2.963333</c:v>
              </c:pt>
              <c:pt idx="37">
                <c:v>2.963333</c:v>
              </c:pt>
              <c:pt idx="38">
                <c:v>2.8149999999999999</c:v>
              </c:pt>
              <c:pt idx="39">
                <c:v>3.1516670000000002</c:v>
              </c:pt>
              <c:pt idx="40">
                <c:v>3.3866670000000001</c:v>
              </c:pt>
              <c:pt idx="41">
                <c:v>2.9066670000000001</c:v>
              </c:pt>
              <c:pt idx="42">
                <c:v>2.7716669999999999</c:v>
              </c:pt>
              <c:pt idx="43">
                <c:v>2.5966670000000001</c:v>
              </c:pt>
              <c:pt idx="44">
                <c:v>2.466666</c:v>
              </c:pt>
              <c:pt idx="45">
                <c:v>2.6333329999999999</c:v>
              </c:pt>
              <c:pt idx="46">
                <c:v>2.5</c:v>
              </c:pt>
              <c:pt idx="47">
                <c:v>2.7266659999999998</c:v>
              </c:pt>
              <c:pt idx="48">
                <c:v>2.523333</c:v>
              </c:pt>
              <c:pt idx="49">
                <c:v>2.8483329999999998</c:v>
              </c:pt>
              <c:pt idx="50">
                <c:v>3.6416659999999998</c:v>
              </c:pt>
              <c:pt idx="51">
                <c:v>3.2716669999999999</c:v>
              </c:pt>
              <c:pt idx="52">
                <c:v>3.3933330000000002</c:v>
              </c:pt>
              <c:pt idx="53">
                <c:v>4.0266669999999998</c:v>
              </c:pt>
              <c:pt idx="54">
                <c:v>4.4966660000000003</c:v>
              </c:pt>
              <c:pt idx="55">
                <c:v>4.4050000000000002</c:v>
              </c:pt>
              <c:pt idx="56">
                <c:v>4.6916669999999998</c:v>
              </c:pt>
              <c:pt idx="57">
                <c:v>4.1966669999999997</c:v>
              </c:pt>
              <c:pt idx="58">
                <c:v>3.4583330000000001</c:v>
              </c:pt>
              <c:pt idx="59">
                <c:v>3.716666</c:v>
              </c:pt>
              <c:pt idx="60">
                <c:v>3.858333</c:v>
              </c:pt>
              <c:pt idx="61">
                <c:v>3.871667</c:v>
              </c:pt>
              <c:pt idx="62">
                <c:v>3.0866660000000001</c:v>
              </c:pt>
              <c:pt idx="63">
                <c:v>3.0433330000000001</c:v>
              </c:pt>
              <c:pt idx="64">
                <c:v>2.7816670000000001</c:v>
              </c:pt>
              <c:pt idx="65">
                <c:v>2.66</c:v>
              </c:pt>
              <c:pt idx="66">
                <c:v>2.6333329999999999</c:v>
              </c:pt>
              <c:pt idx="67">
                <c:v>3.1583329999999998</c:v>
              </c:pt>
              <c:pt idx="68">
                <c:v>3.201667</c:v>
              </c:pt>
              <c:pt idx="69">
                <c:v>2.9950000000000001</c:v>
              </c:pt>
              <c:pt idx="70">
                <c:v>2.5616669999999999</c:v>
              </c:pt>
              <c:pt idx="71">
                <c:v>2.4649999999999999</c:v>
              </c:pt>
              <c:pt idx="72">
                <c:v>2.701667</c:v>
              </c:pt>
              <c:pt idx="73">
                <c:v>2.5249999999999999</c:v>
              </c:pt>
              <c:pt idx="74">
                <c:v>2.2783329999999999</c:v>
              </c:pt>
              <c:pt idx="75">
                <c:v>2.5816669999999999</c:v>
              </c:pt>
              <c:pt idx="76">
                <c:v>2.7033330000000002</c:v>
              </c:pt>
              <c:pt idx="77">
                <c:v>2.8083330000000002</c:v>
              </c:pt>
              <c:pt idx="78">
                <c:v>2.628333</c:v>
              </c:pt>
              <c:pt idx="79">
                <c:v>2.9883329999999999</c:v>
              </c:pt>
              <c:pt idx="80">
                <c:v>2.5733329999999999</c:v>
              </c:pt>
              <c:pt idx="81">
                <c:v>2.496667</c:v>
              </c:pt>
              <c:pt idx="82">
                <c:v>2.7066669999999999</c:v>
              </c:pt>
              <c:pt idx="83">
                <c:v>2.611666</c:v>
              </c:pt>
              <c:pt idx="84">
                <c:v>3.0083329999999999</c:v>
              </c:pt>
              <c:pt idx="85">
                <c:v>3.236666</c:v>
              </c:pt>
              <c:pt idx="86">
                <c:v>3.0466660000000001</c:v>
              </c:pt>
              <c:pt idx="87">
                <c:v>2.5099999999999998</c:v>
              </c:pt>
              <c:pt idx="88">
                <c:v>2.713333</c:v>
              </c:pt>
              <c:pt idx="89">
                <c:v>2.8533330000000001</c:v>
              </c:pt>
              <c:pt idx="90">
                <c:v>2.7316669999999998</c:v>
              </c:pt>
              <c:pt idx="91">
                <c:v>3.2316669999999998</c:v>
              </c:pt>
              <c:pt idx="92">
                <c:v>3.32</c:v>
              </c:pt>
              <c:pt idx="93">
                <c:v>3.1066669999999998</c:v>
              </c:pt>
              <c:pt idx="94">
                <c:v>2.878333</c:v>
              </c:pt>
              <c:pt idx="95">
                <c:v>3.0116670000000001</c:v>
              </c:pt>
              <c:pt idx="96">
                <c:v>3.4550000000000001</c:v>
              </c:pt>
              <c:pt idx="97">
                <c:v>3.355</c:v>
              </c:pt>
              <c:pt idx="98">
                <c:v>3.51</c:v>
              </c:pt>
              <c:pt idx="99">
                <c:v>3.93</c:v>
              </c:pt>
              <c:pt idx="100">
                <c:v>3.161667</c:v>
              </c:pt>
              <c:pt idx="101">
                <c:v>3.1749999999999998</c:v>
              </c:pt>
              <c:pt idx="102">
                <c:v>3.3166669999999998</c:v>
              </c:pt>
              <c:pt idx="103">
                <c:v>3.6433330000000002</c:v>
              </c:pt>
              <c:pt idx="104">
                <c:v>3.5433330000000001</c:v>
              </c:pt>
              <c:pt idx="105">
                <c:v>2.88</c:v>
              </c:pt>
              <c:pt idx="106">
                <c:v>2.696666</c:v>
              </c:pt>
              <c:pt idx="107">
                <c:v>2.48</c:v>
              </c:pt>
              <c:pt idx="108">
                <c:v>2.57</c:v>
              </c:pt>
              <c:pt idx="109">
                <c:v>2.86</c:v>
              </c:pt>
              <c:pt idx="110">
                <c:v>2.753333</c:v>
              </c:pt>
              <c:pt idx="111">
                <c:v>2.87</c:v>
              </c:pt>
              <c:pt idx="112">
                <c:v>3.01</c:v>
              </c:pt>
              <c:pt idx="113">
                <c:v>2.6383329999999998</c:v>
              </c:pt>
              <c:pt idx="114">
                <c:v>2.73</c:v>
              </c:pt>
              <c:pt idx="115">
                <c:v>2.943333</c:v>
              </c:pt>
              <c:pt idx="116">
                <c:v>2.5550000000000002</c:v>
              </c:pt>
              <c:pt idx="117">
                <c:v>2.7383329999999999</c:v>
              </c:pt>
              <c:pt idx="118">
                <c:v>2.621667</c:v>
              </c:pt>
              <c:pt idx="119">
                <c:v>2.4983330000000001</c:v>
              </c:pt>
              <c:pt idx="120">
                <c:v>2.176666</c:v>
              </c:pt>
              <c:pt idx="121">
                <c:v>2.1633330000000002</c:v>
              </c:pt>
              <c:pt idx="122">
                <c:v>2.68</c:v>
              </c:pt>
              <c:pt idx="123">
                <c:v>2.2716669999999999</c:v>
              </c:pt>
              <c:pt idx="124">
                <c:v>2.27</c:v>
              </c:pt>
              <c:pt idx="125">
                <c:v>2.2149999999999999</c:v>
              </c:pt>
              <c:pt idx="126">
                <c:v>2.318333</c:v>
              </c:pt>
              <c:pt idx="127">
                <c:v>2.8816660000000001</c:v>
              </c:pt>
              <c:pt idx="128">
                <c:v>2.871667</c:v>
              </c:pt>
              <c:pt idx="129">
                <c:v>2.661667</c:v>
              </c:pt>
              <c:pt idx="130">
                <c:v>2.9216660000000001</c:v>
              </c:pt>
              <c:pt idx="131">
                <c:v>3.2483330000000001</c:v>
              </c:pt>
              <c:pt idx="132">
                <c:v>2.7366670000000002</c:v>
              </c:pt>
              <c:pt idx="133">
                <c:v>2.76</c:v>
              </c:pt>
              <c:pt idx="134">
                <c:v>2.861666</c:v>
              </c:pt>
              <c:pt idx="135">
                <c:v>3.1633330000000002</c:v>
              </c:pt>
              <c:pt idx="136">
                <c:v>3.2933330000000001</c:v>
              </c:pt>
              <c:pt idx="137">
                <c:v>3.173333</c:v>
              </c:pt>
              <c:pt idx="138">
                <c:v>3.2349999999999999</c:v>
              </c:pt>
              <c:pt idx="139">
                <c:v>2.4066670000000001</c:v>
              </c:pt>
              <c:pt idx="140">
                <c:v>2.7566660000000001</c:v>
              </c:pt>
              <c:pt idx="141">
                <c:v>3.11</c:v>
              </c:pt>
              <c:pt idx="142">
                <c:v>3.4350000000000001</c:v>
              </c:pt>
              <c:pt idx="143">
                <c:v>3.0183330000000002</c:v>
              </c:pt>
              <c:pt idx="144">
                <c:v>2.9649999999999999</c:v>
              </c:pt>
              <c:pt idx="145">
                <c:v>3.23</c:v>
              </c:pt>
              <c:pt idx="146">
                <c:v>3.6316660000000001</c:v>
              </c:pt>
              <c:pt idx="147">
                <c:v>3.8650000000000002</c:v>
              </c:pt>
              <c:pt idx="148">
                <c:v>3.5583330000000002</c:v>
              </c:pt>
              <c:pt idx="149">
                <c:v>3.4316659999999999</c:v>
              </c:pt>
              <c:pt idx="150">
                <c:v>3.0783330000000002</c:v>
              </c:pt>
              <c:pt idx="151">
                <c:v>3.1816659999999999</c:v>
              </c:pt>
              <c:pt idx="152">
                <c:v>3.3816660000000001</c:v>
              </c:pt>
              <c:pt idx="153">
                <c:v>3.5133329999999998</c:v>
              </c:pt>
              <c:pt idx="154">
                <c:v>3.0333329999999998</c:v>
              </c:pt>
              <c:pt idx="155">
                <c:v>2.7383329999999999</c:v>
              </c:pt>
              <c:pt idx="156">
                <c:v>2.7416670000000001</c:v>
              </c:pt>
              <c:pt idx="157">
                <c:v>2.371667</c:v>
              </c:pt>
              <c:pt idx="158">
                <c:v>2.2433329999999998</c:v>
              </c:pt>
              <c:pt idx="159">
                <c:v>2.5333329999999998</c:v>
              </c:pt>
              <c:pt idx="160">
                <c:v>2.5150000000000001</c:v>
              </c:pt>
              <c:pt idx="161">
                <c:v>2.2933330000000001</c:v>
              </c:pt>
              <c:pt idx="162">
                <c:v>2.4</c:v>
              </c:pt>
              <c:pt idx="163">
                <c:v>2.4449999999999998</c:v>
              </c:pt>
              <c:pt idx="164">
                <c:v>1.99</c:v>
              </c:pt>
              <c:pt idx="165">
                <c:v>2.4133330000000002</c:v>
              </c:pt>
              <c:pt idx="166">
                <c:v>1.895</c:v>
              </c:pt>
              <c:pt idx="167">
                <c:v>2.1983329999999999</c:v>
              </c:pt>
              <c:pt idx="168">
                <c:v>1.8333330000000001</c:v>
              </c:pt>
              <c:pt idx="169">
                <c:v>2.33</c:v>
              </c:pt>
              <c:pt idx="170">
                <c:v>2.4533330000000002</c:v>
              </c:pt>
              <c:pt idx="171">
                <c:v>2.5216669999999999</c:v>
              </c:pt>
              <c:pt idx="172">
                <c:v>2.713333</c:v>
              </c:pt>
              <c:pt idx="173">
                <c:v>2.5350000000000001</c:v>
              </c:pt>
              <c:pt idx="174">
                <c:v>2.57</c:v>
              </c:pt>
              <c:pt idx="175">
                <c:v>2.4950000000000001</c:v>
              </c:pt>
              <c:pt idx="176">
                <c:v>2.8683329999999998</c:v>
              </c:pt>
              <c:pt idx="177">
                <c:v>2.95</c:v>
              </c:pt>
              <c:pt idx="178">
                <c:v>2.7783329999999999</c:v>
              </c:pt>
              <c:pt idx="179">
                <c:v>2.426666</c:v>
              </c:pt>
              <c:pt idx="180">
                <c:v>2.585</c:v>
              </c:pt>
              <c:pt idx="181">
                <c:v>2.31</c:v>
              </c:pt>
              <c:pt idx="182">
                <c:v>2.1566670000000001</c:v>
              </c:pt>
              <c:pt idx="183">
                <c:v>1.8066660000000001</c:v>
              </c:pt>
              <c:pt idx="184">
                <c:v>1.4983329999999999</c:v>
              </c:pt>
              <c:pt idx="185">
                <c:v>1.325</c:v>
              </c:pt>
              <c:pt idx="186">
                <c:v>1.1866669999999999</c:v>
              </c:pt>
              <c:pt idx="187">
                <c:v>1.3</c:v>
              </c:pt>
              <c:pt idx="188">
                <c:v>1.115</c:v>
              </c:pt>
              <c:pt idx="189">
                <c:v>1.181667</c:v>
              </c:pt>
              <c:pt idx="190">
                <c:v>1.131667</c:v>
              </c:pt>
              <c:pt idx="191">
                <c:v>1.3316669999999999</c:v>
              </c:pt>
              <c:pt idx="192">
                <c:v>1.3633329999999999</c:v>
              </c:pt>
              <c:pt idx="193">
                <c:v>1.753333</c:v>
              </c:pt>
              <c:pt idx="194">
                <c:v>1.8233330000000001</c:v>
              </c:pt>
              <c:pt idx="195">
                <c:v>2.0816669999999999</c:v>
              </c:pt>
              <c:pt idx="196">
                <c:v>1.878333</c:v>
              </c:pt>
              <c:pt idx="197">
                <c:v>2.0916670000000002</c:v>
              </c:pt>
              <c:pt idx="198">
                <c:v>2.443333</c:v>
              </c:pt>
              <c:pt idx="199">
                <c:v>2.3883329999999998</c:v>
              </c:pt>
              <c:pt idx="200">
                <c:v>2.1633330000000002</c:v>
              </c:pt>
              <c:pt idx="201">
                <c:v>2.2683330000000002</c:v>
              </c:pt>
              <c:pt idx="202">
                <c:v>2.173333</c:v>
              </c:pt>
              <c:pt idx="203">
                <c:v>2.02</c:v>
              </c:pt>
              <c:pt idx="204">
                <c:v>2.301666</c:v>
              </c:pt>
              <c:pt idx="205">
                <c:v>2.54</c:v>
              </c:pt>
              <c:pt idx="206">
                <c:v>2.39</c:v>
              </c:pt>
              <c:pt idx="207">
                <c:v>2.6349999999999998</c:v>
              </c:pt>
              <c:pt idx="208">
                <c:v>2.7749999999999999</c:v>
              </c:pt>
              <c:pt idx="209">
                <c:v>2.6866660000000002</c:v>
              </c:pt>
              <c:pt idx="210">
                <c:v>2.6783329999999999</c:v>
              </c:pt>
              <c:pt idx="211">
                <c:v>2.798333</c:v>
              </c:pt>
              <c:pt idx="212">
                <c:v>2.5733329999999999</c:v>
              </c:pt>
              <c:pt idx="213">
                <c:v>2.7233329999999998</c:v>
              </c:pt>
              <c:pt idx="214">
                <c:v>2.8666670000000001</c:v>
              </c:pt>
              <c:pt idx="215">
                <c:v>2.9950000000000001</c:v>
              </c:pt>
              <c:pt idx="216">
                <c:v>2.71</c:v>
              </c:pt>
              <c:pt idx="217">
                <c:v>2.676666</c:v>
              </c:pt>
              <c:pt idx="218">
                <c:v>2.31</c:v>
              </c:pt>
              <c:pt idx="219">
                <c:v>2.6116670000000002</c:v>
              </c:pt>
              <c:pt idx="220">
                <c:v>2.4616669999999998</c:v>
              </c:pt>
              <c:pt idx="221">
                <c:v>2.0016669999999999</c:v>
              </c:pt>
              <c:pt idx="222">
                <c:v>2.4083329999999998</c:v>
              </c:pt>
              <c:pt idx="223">
                <c:v>2.5449999999999999</c:v>
              </c:pt>
              <c:pt idx="224">
                <c:v>2.4916670000000001</c:v>
              </c:pt>
              <c:pt idx="225">
                <c:v>2.818333</c:v>
              </c:pt>
              <c:pt idx="226">
                <c:v>2.5216669999999999</c:v>
              </c:pt>
              <c:pt idx="227">
                <c:v>2.4933329999999998</c:v>
              </c:pt>
              <c:pt idx="228">
                <c:v>2.7949999999999999</c:v>
              </c:pt>
              <c:pt idx="229">
                <c:v>2.6983329999999999</c:v>
              </c:pt>
              <c:pt idx="230">
                <c:v>2.6383329999999998</c:v>
              </c:pt>
              <c:pt idx="231">
                <c:v>2.7250000000000001</c:v>
              </c:pt>
              <c:pt idx="232">
                <c:v>2.5733329999999999</c:v>
              </c:pt>
              <c:pt idx="233">
                <c:v>2.4566669999999999</c:v>
              </c:pt>
              <c:pt idx="234">
                <c:v>2.4933329999999998</c:v>
              </c:pt>
              <c:pt idx="235">
                <c:v>2.036667</c:v>
              </c:pt>
              <c:pt idx="236">
                <c:v>2.5266670000000002</c:v>
              </c:pt>
              <c:pt idx="237">
                <c:v>2.78</c:v>
              </c:pt>
              <c:pt idx="238">
                <c:v>2.7749999999999999</c:v>
              </c:pt>
              <c:pt idx="239">
                <c:v>2.861666</c:v>
              </c:pt>
              <c:pt idx="240">
                <c:v>2.5583330000000002</c:v>
              </c:pt>
              <c:pt idx="241">
                <c:v>2.2883330000000002</c:v>
              </c:pt>
              <c:pt idx="242">
                <c:v>2.548333</c:v>
              </c:pt>
              <c:pt idx="243">
                <c:v>2.301666</c:v>
              </c:pt>
              <c:pt idx="244">
                <c:v>2.0066670000000002</c:v>
              </c:pt>
              <c:pt idx="245">
                <c:v>2.1800000000000002</c:v>
              </c:pt>
              <c:pt idx="246">
                <c:v>1.93</c:v>
              </c:pt>
              <c:pt idx="247">
                <c:v>1.961667</c:v>
              </c:pt>
              <c:pt idx="248">
                <c:v>2.023333</c:v>
              </c:pt>
              <c:pt idx="249">
                <c:v>1.7849999999999999</c:v>
              </c:pt>
              <c:pt idx="250">
                <c:v>1.5566660000000001</c:v>
              </c:pt>
              <c:pt idx="251">
                <c:v>2.1316670000000002</c:v>
              </c:pt>
              <c:pt idx="252">
                <c:v>2.37</c:v>
              </c:pt>
              <c:pt idx="253">
                <c:v>2.023333</c:v>
              </c:pt>
              <c:pt idx="254">
                <c:v>2.1</c:v>
              </c:pt>
              <c:pt idx="255">
                <c:v>1.9850000000000001</c:v>
              </c:pt>
              <c:pt idx="256">
                <c:v>2.2200000000000002</c:v>
              </c:pt>
              <c:pt idx="257">
                <c:v>2.8883329999999998</c:v>
              </c:pt>
              <c:pt idx="258">
                <c:v>2.5550000000000002</c:v>
              </c:pt>
              <c:pt idx="259">
                <c:v>2.071666</c:v>
              </c:pt>
              <c:pt idx="260">
                <c:v>2.466666</c:v>
              </c:pt>
              <c:pt idx="261">
                <c:v>2.5066670000000002</c:v>
              </c:pt>
              <c:pt idx="262">
                <c:v>2.548333</c:v>
              </c:pt>
              <c:pt idx="263">
                <c:v>2.321666</c:v>
              </c:pt>
              <c:pt idx="264">
                <c:v>2.621667</c:v>
              </c:pt>
              <c:pt idx="265">
                <c:v>2.773333</c:v>
              </c:pt>
              <c:pt idx="266">
                <c:v>2.6316670000000002</c:v>
              </c:pt>
              <c:pt idx="267">
                <c:v>2.69</c:v>
              </c:pt>
              <c:pt idx="268">
                <c:v>2.35</c:v>
              </c:pt>
              <c:pt idx="269">
                <c:v>1.6683330000000001</c:v>
              </c:pt>
              <c:pt idx="270">
                <c:v>2.1183329999999998</c:v>
              </c:pt>
              <c:pt idx="271">
                <c:v>1.9850000000000001</c:v>
              </c:pt>
              <c:pt idx="272">
                <c:v>1.8033330000000001</c:v>
              </c:pt>
              <c:pt idx="273">
                <c:v>1.756667</c:v>
              </c:pt>
              <c:pt idx="274">
                <c:v>1.743333</c:v>
              </c:pt>
              <c:pt idx="275">
                <c:v>1.34</c:v>
              </c:pt>
              <c:pt idx="276">
                <c:v>1.835</c:v>
              </c:pt>
              <c:pt idx="277">
                <c:v>2.0216669999999999</c:v>
              </c:pt>
              <c:pt idx="278">
                <c:v>1.9883329999999999</c:v>
              </c:pt>
              <c:pt idx="279">
                <c:v>1.648333</c:v>
              </c:pt>
              <c:pt idx="280">
                <c:v>1.638333</c:v>
              </c:pt>
              <c:pt idx="281">
                <c:v>1.67</c:v>
              </c:pt>
              <c:pt idx="282">
                <c:v>1.986667</c:v>
              </c:pt>
              <c:pt idx="283">
                <c:v>2.33</c:v>
              </c:pt>
              <c:pt idx="284">
                <c:v>2.1433330000000002</c:v>
              </c:pt>
              <c:pt idx="285">
                <c:v>2.4333330000000002</c:v>
              </c:pt>
              <c:pt idx="286">
                <c:v>2.35</c:v>
              </c:pt>
              <c:pt idx="287">
                <c:v>2.483333</c:v>
              </c:pt>
              <c:pt idx="288">
                <c:v>2.1033330000000001</c:v>
              </c:pt>
              <c:pt idx="289">
                <c:v>2.2583329999999999</c:v>
              </c:pt>
              <c:pt idx="290">
                <c:v>2.4</c:v>
              </c:pt>
              <c:pt idx="291">
                <c:v>2.551666</c:v>
              </c:pt>
              <c:pt idx="292">
                <c:v>2.3149999999999999</c:v>
              </c:pt>
              <c:pt idx="293">
                <c:v>1.788333</c:v>
              </c:pt>
              <c:pt idx="294">
                <c:v>2.4500000000000002</c:v>
              </c:pt>
              <c:pt idx="295">
                <c:v>2.4083329999999998</c:v>
              </c:pt>
              <c:pt idx="296">
                <c:v>2.1583329999999998</c:v>
              </c:pt>
              <c:pt idx="297">
                <c:v>1.9666669999999999</c:v>
              </c:pt>
              <c:pt idx="298">
                <c:v>1.6766669999999999</c:v>
              </c:pt>
              <c:pt idx="299">
                <c:v>2.0049999999999999</c:v>
              </c:pt>
              <c:pt idx="300">
                <c:v>2.06</c:v>
              </c:pt>
              <c:pt idx="301">
                <c:v>1.611667</c:v>
              </c:pt>
              <c:pt idx="302">
                <c:v>1.996667</c:v>
              </c:pt>
              <c:pt idx="303">
                <c:v>1.9550000000000001</c:v>
              </c:pt>
              <c:pt idx="304">
                <c:v>1.943333</c:v>
              </c:pt>
              <c:pt idx="305">
                <c:v>2</c:v>
              </c:pt>
              <c:pt idx="306">
                <c:v>1.8966670000000001</c:v>
              </c:pt>
              <c:pt idx="307">
                <c:v>1.7016659999999999</c:v>
              </c:pt>
              <c:pt idx="308">
                <c:v>1.8733329999999999</c:v>
              </c:pt>
              <c:pt idx="309">
                <c:v>2.2183329999999999</c:v>
              </c:pt>
              <c:pt idx="310">
                <c:v>3.0016660000000002</c:v>
              </c:pt>
              <c:pt idx="311">
                <c:v>2.773333</c:v>
              </c:pt>
              <c:pt idx="312">
                <c:v>3.165</c:v>
              </c:pt>
              <c:pt idx="313">
                <c:v>2.7666659999999998</c:v>
              </c:pt>
              <c:pt idx="314">
                <c:v>2.9383330000000001</c:v>
              </c:pt>
              <c:pt idx="315">
                <c:v>3.0116670000000001</c:v>
              </c:pt>
              <c:pt idx="316">
                <c:v>2.841666</c:v>
              </c:pt>
              <c:pt idx="317">
                <c:v>2.8683329999999998</c:v>
              </c:pt>
              <c:pt idx="318">
                <c:v>2.7850000000000001</c:v>
              </c:pt>
              <c:pt idx="319">
                <c:v>3.2566660000000001</c:v>
              </c:pt>
              <c:pt idx="320">
                <c:v>3.1783329999999999</c:v>
              </c:pt>
              <c:pt idx="321">
                <c:v>3.0466660000000001</c:v>
              </c:pt>
              <c:pt idx="322">
                <c:v>2.7650000000000001</c:v>
              </c:pt>
              <c:pt idx="323">
                <c:v>3.076667</c:v>
              </c:pt>
              <c:pt idx="324">
                <c:v>2.443333</c:v>
              </c:pt>
              <c:pt idx="325">
                <c:v>2.451667</c:v>
              </c:pt>
              <c:pt idx="326">
                <c:v>3.41</c:v>
              </c:pt>
              <c:pt idx="327">
                <c:v>3.0383330000000002</c:v>
              </c:pt>
              <c:pt idx="328">
                <c:v>2.91</c:v>
              </c:pt>
              <c:pt idx="329">
                <c:v>3.5166659999999998</c:v>
              </c:pt>
              <c:pt idx="330">
                <c:v>2.6133329999999999</c:v>
              </c:pt>
              <c:pt idx="331">
                <c:v>2.835</c:v>
              </c:pt>
              <c:pt idx="332">
                <c:v>2.7883330000000002</c:v>
              </c:pt>
              <c:pt idx="333">
                <c:v>3.318333</c:v>
              </c:pt>
              <c:pt idx="334">
                <c:v>3.5</c:v>
              </c:pt>
              <c:pt idx="335">
                <c:v>3.49</c:v>
              </c:pt>
              <c:pt idx="336">
                <c:v>3.0983329999999998</c:v>
              </c:pt>
              <c:pt idx="337">
                <c:v>3.6716660000000001</c:v>
              </c:pt>
              <c:pt idx="338">
                <c:v>3.3816660000000001</c:v>
              </c:pt>
              <c:pt idx="339">
                <c:v>3.2966660000000001</c:v>
              </c:pt>
              <c:pt idx="340">
                <c:v>3.4350000000000001</c:v>
              </c:pt>
              <c:pt idx="341">
                <c:v>3.2683330000000002</c:v>
              </c:pt>
              <c:pt idx="342">
                <c:v>2.3133330000000001</c:v>
              </c:pt>
              <c:pt idx="343">
                <c:v>3.47</c:v>
              </c:pt>
              <c:pt idx="344">
                <c:v>3.253333</c:v>
              </c:pt>
              <c:pt idx="345">
                <c:v>3.4016670000000002</c:v>
              </c:pt>
              <c:pt idx="346">
                <c:v>3.5666669999999998</c:v>
              </c:pt>
              <c:pt idx="347">
                <c:v>3.4950000000000001</c:v>
              </c:pt>
              <c:pt idx="348">
                <c:v>3.14</c:v>
              </c:pt>
              <c:pt idx="349">
                <c:v>3.5266670000000002</c:v>
              </c:pt>
              <c:pt idx="350">
                <c:v>3.6883330000000001</c:v>
              </c:pt>
              <c:pt idx="351">
                <c:v>3.076667</c:v>
              </c:pt>
              <c:pt idx="352">
                <c:v>3.2233329999999998</c:v>
              </c:pt>
              <c:pt idx="353">
                <c:v>3.2116660000000001</c:v>
              </c:pt>
              <c:pt idx="354">
                <c:v>3.04</c:v>
              </c:pt>
              <c:pt idx="355">
                <c:v>3.301666</c:v>
              </c:pt>
              <c:pt idx="356">
                <c:v>2.9766659999999998</c:v>
              </c:pt>
              <c:pt idx="357">
                <c:v>3.716666</c:v>
              </c:pt>
              <c:pt idx="358">
                <c:v>3.6433330000000002</c:v>
              </c:pt>
              <c:pt idx="359">
                <c:v>3.5666669999999998</c:v>
              </c:pt>
              <c:pt idx="360">
                <c:v>3.7183329999999999</c:v>
              </c:pt>
              <c:pt idx="361">
                <c:v>3.52</c:v>
              </c:pt>
              <c:pt idx="362">
                <c:v>3.1666669999999999</c:v>
              </c:pt>
              <c:pt idx="363">
                <c:v>2.858333</c:v>
              </c:pt>
              <c:pt idx="364">
                <c:v>3.3033329999999999</c:v>
              </c:pt>
              <c:pt idx="365">
                <c:v>3.3083330000000002</c:v>
              </c:pt>
              <c:pt idx="366">
                <c:v>2.8766669999999999</c:v>
              </c:pt>
              <c:pt idx="367">
                <c:v>2.7033330000000002</c:v>
              </c:pt>
              <c:pt idx="368">
                <c:v>2.983333</c:v>
              </c:pt>
              <c:pt idx="369">
                <c:v>2.9766659999999998</c:v>
              </c:pt>
              <c:pt idx="370">
                <c:v>3.1749999999999998</c:v>
              </c:pt>
              <c:pt idx="371">
                <c:v>2.6433330000000002</c:v>
              </c:pt>
              <c:pt idx="372">
                <c:v>3.11</c:v>
              </c:pt>
              <c:pt idx="373">
                <c:v>2.9566669999999999</c:v>
              </c:pt>
              <c:pt idx="374">
                <c:v>3.3133330000000001</c:v>
              </c:pt>
              <c:pt idx="375">
                <c:v>3.1516660000000001</c:v>
              </c:pt>
              <c:pt idx="376">
                <c:v>2.7850000000000001</c:v>
              </c:pt>
              <c:pt idx="377">
                <c:v>3.31</c:v>
              </c:pt>
              <c:pt idx="378">
                <c:v>3.4216660000000001</c:v>
              </c:pt>
              <c:pt idx="379">
                <c:v>3.8533330000000001</c:v>
              </c:pt>
              <c:pt idx="380">
                <c:v>3.7850000000000001</c:v>
              </c:pt>
              <c:pt idx="381">
                <c:v>4.3550000000000004</c:v>
              </c:pt>
              <c:pt idx="382">
                <c:v>4.068333</c:v>
              </c:pt>
              <c:pt idx="383">
                <c:v>3.483333</c:v>
              </c:pt>
              <c:pt idx="384">
                <c:v>3.2416670000000001</c:v>
              </c:pt>
              <c:pt idx="385">
                <c:v>3.483333</c:v>
              </c:pt>
              <c:pt idx="386">
                <c:v>3.28</c:v>
              </c:pt>
              <c:pt idx="387">
                <c:v>3.6233330000000001</c:v>
              </c:pt>
              <c:pt idx="388">
                <c:v>3.895</c:v>
              </c:pt>
              <c:pt idx="389">
                <c:v>3.4816669999999998</c:v>
              </c:pt>
              <c:pt idx="390">
                <c:v>3.52</c:v>
              </c:pt>
              <c:pt idx="391">
                <c:v>4.1449999999999996</c:v>
              </c:pt>
              <c:pt idx="392">
                <c:v>3.37</c:v>
              </c:pt>
              <c:pt idx="393">
                <c:v>3.7850000000000001</c:v>
              </c:pt>
              <c:pt idx="394">
                <c:v>4.7983330000000004</c:v>
              </c:pt>
              <c:pt idx="395">
                <c:v>4.2283330000000001</c:v>
              </c:pt>
              <c:pt idx="396">
                <c:v>4.568333</c:v>
              </c:pt>
              <c:pt idx="397">
                <c:v>3.895</c:v>
              </c:pt>
              <c:pt idx="398">
                <c:v>4.1950000000000003</c:v>
              </c:pt>
              <c:pt idx="399">
                <c:v>4.4883329999999999</c:v>
              </c:pt>
              <c:pt idx="400">
                <c:v>3.95</c:v>
              </c:pt>
              <c:pt idx="401">
                <c:v>3.82</c:v>
              </c:pt>
              <c:pt idx="402">
                <c:v>3.7316669999999998</c:v>
              </c:pt>
              <c:pt idx="403">
                <c:v>3.3466670000000001</c:v>
              </c:pt>
              <c:pt idx="404">
                <c:v>3.01</c:v>
              </c:pt>
              <c:pt idx="405">
                <c:v>2.665</c:v>
              </c:pt>
              <c:pt idx="406">
                <c:v>3.0150000000000001</c:v>
              </c:pt>
              <c:pt idx="407">
                <c:v>2.9350000000000001</c:v>
              </c:pt>
              <c:pt idx="408">
                <c:v>2.611666</c:v>
              </c:pt>
              <c:pt idx="409">
                <c:v>2.7933330000000001</c:v>
              </c:pt>
              <c:pt idx="410">
                <c:v>3.4049999999999998</c:v>
              </c:pt>
              <c:pt idx="411">
                <c:v>3.1166670000000001</c:v>
              </c:pt>
              <c:pt idx="412">
                <c:v>3.2850000000000001</c:v>
              </c:pt>
              <c:pt idx="413">
                <c:v>3.1150000000000002</c:v>
              </c:pt>
              <c:pt idx="414">
                <c:v>3.798333</c:v>
              </c:pt>
              <c:pt idx="415">
                <c:v>3.2266659999999998</c:v>
              </c:pt>
              <c:pt idx="416">
                <c:v>3.233333</c:v>
              </c:pt>
              <c:pt idx="417">
                <c:v>3.89</c:v>
              </c:pt>
              <c:pt idx="418">
                <c:v>4.1500000000000004</c:v>
              </c:pt>
              <c:pt idx="419">
                <c:v>4.1366670000000001</c:v>
              </c:pt>
              <c:pt idx="420">
                <c:v>3.625</c:v>
              </c:pt>
              <c:pt idx="421">
                <c:v>4.3383330000000004</c:v>
              </c:pt>
              <c:pt idx="422">
                <c:v>4.1283329999999996</c:v>
              </c:pt>
              <c:pt idx="423">
                <c:v>3.85</c:v>
              </c:pt>
              <c:pt idx="424">
                <c:v>4.3116659999999998</c:v>
              </c:pt>
              <c:pt idx="425">
                <c:v>3.9849999999999999</c:v>
              </c:pt>
              <c:pt idx="426">
                <c:v>4.9716670000000001</c:v>
              </c:pt>
              <c:pt idx="427">
                <c:v>3.9683329999999999</c:v>
              </c:pt>
              <c:pt idx="428">
                <c:v>3.5083329999999999</c:v>
              </c:pt>
              <c:pt idx="429">
                <c:v>3.64</c:v>
              </c:pt>
              <c:pt idx="430">
                <c:v>3.3250000000000002</c:v>
              </c:pt>
              <c:pt idx="431">
                <c:v>3.73</c:v>
              </c:pt>
              <c:pt idx="432">
                <c:v>3.47</c:v>
              </c:pt>
              <c:pt idx="433">
                <c:v>3.65</c:v>
              </c:pt>
              <c:pt idx="434">
                <c:v>3.9249999999999998</c:v>
              </c:pt>
              <c:pt idx="435">
                <c:v>3.62</c:v>
              </c:pt>
              <c:pt idx="436">
                <c:v>3.73</c:v>
              </c:pt>
              <c:pt idx="437">
                <c:v>3.483333</c:v>
              </c:pt>
              <c:pt idx="438">
                <c:v>3.8883329999999998</c:v>
              </c:pt>
              <c:pt idx="439">
                <c:v>4.62</c:v>
              </c:pt>
              <c:pt idx="440">
                <c:v>4.0016670000000003</c:v>
              </c:pt>
              <c:pt idx="441">
                <c:v>4.1683329999999996</c:v>
              </c:pt>
              <c:pt idx="442">
                <c:v>3.69</c:v>
              </c:pt>
              <c:pt idx="443">
                <c:v>3.5833330000000001</c:v>
              </c:pt>
              <c:pt idx="444">
                <c:v>4.21</c:v>
              </c:pt>
              <c:pt idx="445">
                <c:v>4.3366670000000003</c:v>
              </c:pt>
              <c:pt idx="446">
                <c:v>4.6766670000000001</c:v>
              </c:pt>
              <c:pt idx="447">
                <c:v>5.03</c:v>
              </c:pt>
              <c:pt idx="448">
                <c:v>4.9783330000000001</c:v>
              </c:pt>
              <c:pt idx="449">
                <c:v>5.0283329999999999</c:v>
              </c:pt>
              <c:pt idx="450">
                <c:v>4.5583330000000002</c:v>
              </c:pt>
              <c:pt idx="451">
                <c:v>4.3483330000000002</c:v>
              </c:pt>
              <c:pt idx="452">
                <c:v>4.3499999999999996</c:v>
              </c:pt>
              <c:pt idx="453">
                <c:v>4.6216660000000003</c:v>
              </c:pt>
              <c:pt idx="454">
                <c:v>5.2266659999999998</c:v>
              </c:pt>
              <c:pt idx="455">
                <c:v>5.148333</c:v>
              </c:pt>
              <c:pt idx="456">
                <c:v>4.6050000000000004</c:v>
              </c:pt>
              <c:pt idx="457">
                <c:v>3.6033330000000001</c:v>
              </c:pt>
              <c:pt idx="458">
                <c:v>3.35</c:v>
              </c:pt>
              <c:pt idx="459">
                <c:v>4.0616659999999998</c:v>
              </c:pt>
              <c:pt idx="460">
                <c:v>3.9033329999999999</c:v>
              </c:pt>
              <c:pt idx="461">
                <c:v>3.5316670000000001</c:v>
              </c:pt>
              <c:pt idx="462">
                <c:v>3.2833329999999998</c:v>
              </c:pt>
              <c:pt idx="463">
                <c:v>3.6983329999999999</c:v>
              </c:pt>
              <c:pt idx="464">
                <c:v>3.8166669999999998</c:v>
              </c:pt>
              <c:pt idx="465">
                <c:v>4.3266660000000003</c:v>
              </c:pt>
              <c:pt idx="466">
                <c:v>3.931667</c:v>
              </c:pt>
              <c:pt idx="467">
                <c:v>4.7133330000000004</c:v>
              </c:pt>
              <c:pt idx="468">
                <c:v>4.2816660000000004</c:v>
              </c:pt>
              <c:pt idx="469">
                <c:v>4.6916669999999998</c:v>
              </c:pt>
              <c:pt idx="470">
                <c:v>4.2766669999999998</c:v>
              </c:pt>
              <c:pt idx="471">
                <c:v>5.05</c:v>
              </c:pt>
              <c:pt idx="472">
                <c:v>4.5616659999999998</c:v>
              </c:pt>
              <c:pt idx="473">
                <c:v>4.6216660000000003</c:v>
              </c:pt>
              <c:pt idx="474">
                <c:v>3.85</c:v>
              </c:pt>
              <c:pt idx="475">
                <c:v>4.1399999999999997</c:v>
              </c:pt>
              <c:pt idx="476">
                <c:v>3.94</c:v>
              </c:pt>
              <c:pt idx="477">
                <c:v>3.713333</c:v>
              </c:pt>
              <c:pt idx="478">
                <c:v>3.97</c:v>
              </c:pt>
              <c:pt idx="479">
                <c:v>3.3866670000000001</c:v>
              </c:pt>
              <c:pt idx="480">
                <c:v>4.1616660000000003</c:v>
              </c:pt>
              <c:pt idx="481">
                <c:v>5.0716669999999997</c:v>
              </c:pt>
              <c:pt idx="482">
                <c:v>4.55</c:v>
              </c:pt>
              <c:pt idx="483">
                <c:v>3.9849999999999999</c:v>
              </c:pt>
              <c:pt idx="484">
                <c:v>4.1616660000000003</c:v>
              </c:pt>
              <c:pt idx="485">
                <c:v>3.536667</c:v>
              </c:pt>
              <c:pt idx="486">
                <c:v>4.5199999999999996</c:v>
              </c:pt>
              <c:pt idx="487">
                <c:v>4.625</c:v>
              </c:pt>
              <c:pt idx="488">
                <c:v>4.96</c:v>
              </c:pt>
              <c:pt idx="489">
                <c:v>4.8449999999999998</c:v>
              </c:pt>
              <c:pt idx="490">
                <c:v>4.1883330000000001</c:v>
              </c:pt>
              <c:pt idx="491">
                <c:v>5.0616659999999998</c:v>
              </c:pt>
              <c:pt idx="492">
                <c:v>4.3733329999999997</c:v>
              </c:pt>
              <c:pt idx="493">
                <c:v>4.0783329999999998</c:v>
              </c:pt>
              <c:pt idx="494">
                <c:v>4.4333330000000002</c:v>
              </c:pt>
              <c:pt idx="495">
                <c:v>4.1833330000000002</c:v>
              </c:pt>
              <c:pt idx="496">
                <c:v>3.88</c:v>
              </c:pt>
              <c:pt idx="497">
                <c:v>3.94</c:v>
              </c:pt>
              <c:pt idx="498">
                <c:v>3.9616669999999998</c:v>
              </c:pt>
              <c:pt idx="499">
                <c:v>3.7383329999999999</c:v>
              </c:pt>
              <c:pt idx="500">
                <c:v>4.3016670000000001</c:v>
              </c:pt>
              <c:pt idx="501">
                <c:v>4.3166669999999998</c:v>
              </c:pt>
              <c:pt idx="502">
                <c:v>3.86</c:v>
              </c:pt>
              <c:pt idx="503">
                <c:v>3.733333</c:v>
              </c:pt>
              <c:pt idx="504">
                <c:v>4.1349999999999998</c:v>
              </c:pt>
              <c:pt idx="505">
                <c:v>4.3766670000000003</c:v>
              </c:pt>
              <c:pt idx="506">
                <c:v>4.8133330000000001</c:v>
              </c:pt>
              <c:pt idx="507">
                <c:v>3.6466669999999999</c:v>
              </c:pt>
              <c:pt idx="508">
                <c:v>4.3733329999999997</c:v>
              </c:pt>
              <c:pt idx="509">
                <c:v>4.45</c:v>
              </c:pt>
              <c:pt idx="510">
                <c:v>4.0066670000000002</c:v>
              </c:pt>
              <c:pt idx="511">
                <c:v>4.3650000000000002</c:v>
              </c:pt>
              <c:pt idx="512">
                <c:v>3.91</c:v>
              </c:pt>
              <c:pt idx="513">
                <c:v>4.1866659999999998</c:v>
              </c:pt>
              <c:pt idx="514">
                <c:v>4.3266660000000003</c:v>
              </c:pt>
              <c:pt idx="515">
                <c:v>4.3083330000000002</c:v>
              </c:pt>
              <c:pt idx="516">
                <c:v>3.9066670000000001</c:v>
              </c:pt>
              <c:pt idx="517">
                <c:v>4.6116669999999997</c:v>
              </c:pt>
              <c:pt idx="518">
                <c:v>5.0049999999999999</c:v>
              </c:pt>
              <c:pt idx="519">
                <c:v>4.18</c:v>
              </c:pt>
              <c:pt idx="520">
                <c:v>4.4716670000000001</c:v>
              </c:pt>
              <c:pt idx="521">
                <c:v>5.0983330000000002</c:v>
              </c:pt>
              <c:pt idx="522">
                <c:v>4.9749999999999996</c:v>
              </c:pt>
              <c:pt idx="523">
                <c:v>4.7483329999999997</c:v>
              </c:pt>
              <c:pt idx="524">
                <c:v>4.5283329999999999</c:v>
              </c:pt>
              <c:pt idx="525">
                <c:v>4.54</c:v>
              </c:pt>
              <c:pt idx="526">
                <c:v>4.8099999999999996</c:v>
              </c:pt>
              <c:pt idx="527">
                <c:v>3.9683329999999999</c:v>
              </c:pt>
              <c:pt idx="528">
                <c:v>4.4950000000000001</c:v>
              </c:pt>
              <c:pt idx="529">
                <c:v>3.4333330000000002</c:v>
              </c:pt>
              <c:pt idx="530">
                <c:v>4.0633330000000001</c:v>
              </c:pt>
              <c:pt idx="531">
                <c:v>4.1783330000000003</c:v>
              </c:pt>
              <c:pt idx="532">
                <c:v>4.1466669999999999</c:v>
              </c:pt>
              <c:pt idx="533">
                <c:v>4.3833330000000004</c:v>
              </c:pt>
              <c:pt idx="534">
                <c:v>3.7633329999999998</c:v>
              </c:pt>
              <c:pt idx="535">
                <c:v>4.4050000000000002</c:v>
              </c:pt>
              <c:pt idx="536">
                <c:v>4.1683339999999998</c:v>
              </c:pt>
              <c:pt idx="537">
                <c:v>4.3816670000000002</c:v>
              </c:pt>
              <c:pt idx="538">
                <c:v>4.1016659999999998</c:v>
              </c:pt>
              <c:pt idx="539">
                <c:v>3.7833329999999998</c:v>
              </c:pt>
              <c:pt idx="540">
                <c:v>3.548333</c:v>
              </c:pt>
              <c:pt idx="541">
                <c:v>4.2450000000000001</c:v>
              </c:pt>
              <c:pt idx="542">
                <c:v>3.3650000000000002</c:v>
              </c:pt>
              <c:pt idx="543">
                <c:v>4.5650000000000004</c:v>
              </c:pt>
              <c:pt idx="544">
                <c:v>4.8233329999999999</c:v>
              </c:pt>
              <c:pt idx="545">
                <c:v>4.38</c:v>
              </c:pt>
              <c:pt idx="546">
                <c:v>4.1233329999999997</c:v>
              </c:pt>
              <c:pt idx="547">
                <c:v>4.1833330000000002</c:v>
              </c:pt>
              <c:pt idx="548">
                <c:v>4.3233329999999999</c:v>
              </c:pt>
              <c:pt idx="549">
                <c:v>4.4633330000000004</c:v>
              </c:pt>
              <c:pt idx="550">
                <c:v>4.1433330000000002</c:v>
              </c:pt>
              <c:pt idx="551">
                <c:v>4.733333</c:v>
              </c:pt>
              <c:pt idx="552">
                <c:v>4.4349999999999996</c:v>
              </c:pt>
              <c:pt idx="553">
                <c:v>4.3150000000000004</c:v>
              </c:pt>
              <c:pt idx="554">
                <c:v>4.5483330000000004</c:v>
              </c:pt>
              <c:pt idx="555">
                <c:v>4.7583330000000004</c:v>
              </c:pt>
              <c:pt idx="556">
                <c:v>3.8</c:v>
              </c:pt>
              <c:pt idx="557">
                <c:v>4.4183329999999996</c:v>
              </c:pt>
              <c:pt idx="558">
                <c:v>4.7350000000000003</c:v>
              </c:pt>
              <c:pt idx="559">
                <c:v>4.6833330000000002</c:v>
              </c:pt>
              <c:pt idx="560">
                <c:v>4.4400000000000004</c:v>
              </c:pt>
              <c:pt idx="561">
                <c:v>3.7083330000000001</c:v>
              </c:pt>
              <c:pt idx="562">
                <c:v>4.6566660000000004</c:v>
              </c:pt>
              <c:pt idx="563">
                <c:v>5.0250000000000004</c:v>
              </c:pt>
              <c:pt idx="564">
                <c:v>5.2366669999999997</c:v>
              </c:pt>
              <c:pt idx="565">
                <c:v>4.8783329999999996</c:v>
              </c:pt>
              <c:pt idx="566">
                <c:v>4.8433330000000003</c:v>
              </c:pt>
              <c:pt idx="567">
                <c:v>5.574999</c:v>
              </c:pt>
              <c:pt idx="568">
                <c:v>5.9233330000000004</c:v>
              </c:pt>
              <c:pt idx="569">
                <c:v>5.4349999999999996</c:v>
              </c:pt>
              <c:pt idx="570">
                <c:v>5.6283329999999996</c:v>
              </c:pt>
              <c:pt idx="571">
                <c:v>4.2933329999999996</c:v>
              </c:pt>
              <c:pt idx="572">
                <c:v>4.1833330000000002</c:v>
              </c:pt>
              <c:pt idx="573">
                <c:v>3.8933330000000002</c:v>
              </c:pt>
              <c:pt idx="574">
                <c:v>4.5783329999999998</c:v>
              </c:pt>
              <c:pt idx="575">
                <c:v>4.0466670000000002</c:v>
              </c:pt>
              <c:pt idx="576">
                <c:v>4.7300000000000004</c:v>
              </c:pt>
              <c:pt idx="577">
                <c:v>4.1449999999999996</c:v>
              </c:pt>
              <c:pt idx="578">
                <c:v>3.6183329999999998</c:v>
              </c:pt>
              <c:pt idx="579">
                <c:v>4.2266659999999998</c:v>
              </c:pt>
              <c:pt idx="580">
                <c:v>3.7633329999999998</c:v>
              </c:pt>
              <c:pt idx="581">
                <c:v>3.9733329999999998</c:v>
              </c:pt>
              <c:pt idx="582">
                <c:v>4.7683330000000002</c:v>
              </c:pt>
              <c:pt idx="583">
                <c:v>4.1466669999999999</c:v>
              </c:pt>
              <c:pt idx="584">
                <c:v>4.9033329999999999</c:v>
              </c:pt>
              <c:pt idx="585">
                <c:v>3.9750000000000001</c:v>
              </c:pt>
              <c:pt idx="586">
                <c:v>3.701667</c:v>
              </c:pt>
              <c:pt idx="587">
                <c:v>4.6749999999999998</c:v>
              </c:pt>
              <c:pt idx="588">
                <c:v>4.7949999999999999</c:v>
              </c:pt>
              <c:pt idx="589">
                <c:v>4.3866670000000001</c:v>
              </c:pt>
              <c:pt idx="590">
                <c:v>4.2816660000000004</c:v>
              </c:pt>
              <c:pt idx="591">
                <c:v>4.4283330000000003</c:v>
              </c:pt>
              <c:pt idx="592">
                <c:v>4.9366659999999998</c:v>
              </c:pt>
              <c:pt idx="593">
                <c:v>4.4800000000000004</c:v>
              </c:pt>
              <c:pt idx="594">
                <c:v>4.49</c:v>
              </c:pt>
              <c:pt idx="595">
                <c:v>4.1633329999999997</c:v>
              </c:pt>
              <c:pt idx="596">
                <c:v>4.7149999999999999</c:v>
              </c:pt>
              <c:pt idx="597">
                <c:v>4.5350000000000001</c:v>
              </c:pt>
              <c:pt idx="598">
                <c:v>4.9266670000000001</c:v>
              </c:pt>
              <c:pt idx="599">
                <c:v>4.3949999999999996</c:v>
              </c:pt>
              <c:pt idx="600">
                <c:v>5.3483330000000002</c:v>
              </c:pt>
              <c:pt idx="601">
                <c:v>4.45</c:v>
              </c:pt>
              <c:pt idx="602">
                <c:v>4.1733330000000004</c:v>
              </c:pt>
              <c:pt idx="603">
                <c:v>4.4349999999999996</c:v>
              </c:pt>
              <c:pt idx="604">
                <c:v>4.83</c:v>
              </c:pt>
              <c:pt idx="605">
                <c:v>4.4183329999999996</c:v>
              </c:pt>
              <c:pt idx="606">
                <c:v>4.51</c:v>
              </c:pt>
              <c:pt idx="607">
                <c:v>4.5316660000000004</c:v>
              </c:pt>
              <c:pt idx="608">
                <c:v>4.7266659999999998</c:v>
              </c:pt>
              <c:pt idx="609">
                <c:v>4.1116669999999997</c:v>
              </c:pt>
              <c:pt idx="610">
                <c:v>4.3616659999999996</c:v>
              </c:pt>
              <c:pt idx="611">
                <c:v>4.931667</c:v>
              </c:pt>
              <c:pt idx="612">
                <c:v>4.88</c:v>
              </c:pt>
              <c:pt idx="613">
                <c:v>4.33</c:v>
              </c:pt>
              <c:pt idx="614">
                <c:v>3.838333</c:v>
              </c:pt>
              <c:pt idx="615">
                <c:v>4.4066660000000004</c:v>
              </c:pt>
              <c:pt idx="616">
                <c:v>5.0216669999999999</c:v>
              </c:pt>
              <c:pt idx="617">
                <c:v>5.4149989999999999</c:v>
              </c:pt>
              <c:pt idx="618">
                <c:v>5.0416670000000003</c:v>
              </c:pt>
              <c:pt idx="619">
                <c:v>5.14</c:v>
              </c:pt>
              <c:pt idx="620">
                <c:v>4.858333</c:v>
              </c:pt>
              <c:pt idx="621">
                <c:v>4.766667</c:v>
              </c:pt>
              <c:pt idx="622">
                <c:v>4.3116659999999998</c:v>
              </c:pt>
              <c:pt idx="623">
                <c:v>4.6849999999999996</c:v>
              </c:pt>
              <c:pt idx="624">
                <c:v>4.3833330000000004</c:v>
              </c:pt>
              <c:pt idx="625">
                <c:v>4.773333</c:v>
              </c:pt>
              <c:pt idx="626">
                <c:v>4.63</c:v>
              </c:pt>
              <c:pt idx="627">
                <c:v>4.9649999999999999</c:v>
              </c:pt>
              <c:pt idx="628">
                <c:v>4.556667</c:v>
              </c:pt>
              <c:pt idx="629">
                <c:v>4.681667</c:v>
              </c:pt>
              <c:pt idx="630">
                <c:v>5.2716669999999999</c:v>
              </c:pt>
              <c:pt idx="631">
                <c:v>4.9749999999999996</c:v>
              </c:pt>
              <c:pt idx="632">
                <c:v>4.5149999999999997</c:v>
              </c:pt>
              <c:pt idx="633">
                <c:v>3.9983330000000001</c:v>
              </c:pt>
              <c:pt idx="634">
                <c:v>3.895</c:v>
              </c:pt>
              <c:pt idx="635">
                <c:v>4.2133330000000004</c:v>
              </c:pt>
              <c:pt idx="636">
                <c:v>4.8266660000000003</c:v>
              </c:pt>
              <c:pt idx="637">
                <c:v>5.6683329999999996</c:v>
              </c:pt>
              <c:pt idx="638">
                <c:v>4.6950000000000003</c:v>
              </c:pt>
              <c:pt idx="639">
                <c:v>4.3933330000000002</c:v>
              </c:pt>
              <c:pt idx="640">
                <c:v>4.5599999999999996</c:v>
              </c:pt>
              <c:pt idx="641">
                <c:v>4.1433330000000002</c:v>
              </c:pt>
              <c:pt idx="642">
                <c:v>3.661667</c:v>
              </c:pt>
              <c:pt idx="643">
                <c:v>3.895</c:v>
              </c:pt>
              <c:pt idx="644">
                <c:v>4.6733330000000004</c:v>
              </c:pt>
              <c:pt idx="645">
                <c:v>5.0666669999999998</c:v>
              </c:pt>
              <c:pt idx="646">
                <c:v>4.875</c:v>
              </c:pt>
              <c:pt idx="647">
                <c:v>4.443333</c:v>
              </c:pt>
              <c:pt idx="648">
                <c:v>4.7483329999999997</c:v>
              </c:pt>
              <c:pt idx="649">
                <c:v>4.2783329999999999</c:v>
              </c:pt>
              <c:pt idx="650">
                <c:v>3.6349999999999998</c:v>
              </c:pt>
              <c:pt idx="651">
                <c:v>3.8450000000000002</c:v>
              </c:pt>
              <c:pt idx="652">
                <c:v>3.9316659999999999</c:v>
              </c:pt>
              <c:pt idx="653">
                <c:v>3.83</c:v>
              </c:pt>
              <c:pt idx="654">
                <c:v>3.9449999999999998</c:v>
              </c:pt>
              <c:pt idx="655">
                <c:v>3.576667</c:v>
              </c:pt>
              <c:pt idx="656">
                <c:v>4.2</c:v>
              </c:pt>
              <c:pt idx="657">
                <c:v>3.8666670000000001</c:v>
              </c:pt>
              <c:pt idx="658">
                <c:v>3.696666</c:v>
              </c:pt>
              <c:pt idx="659">
                <c:v>3.5416669999999999</c:v>
              </c:pt>
              <c:pt idx="660">
                <c:v>4.0366660000000003</c:v>
              </c:pt>
              <c:pt idx="661">
                <c:v>3.858333</c:v>
              </c:pt>
              <c:pt idx="662">
                <c:v>3.52</c:v>
              </c:pt>
              <c:pt idx="663">
                <c:v>3.5550000000000002</c:v>
              </c:pt>
              <c:pt idx="664">
                <c:v>4.9450000000000003</c:v>
              </c:pt>
              <c:pt idx="665">
                <c:v>4.8116659999999998</c:v>
              </c:pt>
              <c:pt idx="666">
                <c:v>4.6866659999999998</c:v>
              </c:pt>
              <c:pt idx="667">
                <c:v>4.4000000000000004</c:v>
              </c:pt>
              <c:pt idx="668">
                <c:v>5.01</c:v>
              </c:pt>
              <c:pt idx="669">
                <c:v>5.0416670000000003</c:v>
              </c:pt>
              <c:pt idx="670">
                <c:v>4.8933330000000002</c:v>
              </c:pt>
              <c:pt idx="671">
                <c:v>4.5433329999999996</c:v>
              </c:pt>
              <c:pt idx="672">
                <c:v>4.4883329999999999</c:v>
              </c:pt>
              <c:pt idx="673">
                <c:v>4.7133330000000004</c:v>
              </c:pt>
              <c:pt idx="674">
                <c:v>4.7066660000000002</c:v>
              </c:pt>
              <c:pt idx="675">
                <c:v>4.7666659999999998</c:v>
              </c:pt>
              <c:pt idx="676">
                <c:v>4.1733330000000004</c:v>
              </c:pt>
              <c:pt idx="677">
                <c:v>3.6749999999999998</c:v>
              </c:pt>
              <c:pt idx="678">
                <c:v>4.16</c:v>
              </c:pt>
              <c:pt idx="679">
                <c:v>5.2916670000000003</c:v>
              </c:pt>
              <c:pt idx="680">
                <c:v>5.0116670000000001</c:v>
              </c:pt>
              <c:pt idx="681">
                <c:v>4.9749999999999996</c:v>
              </c:pt>
              <c:pt idx="682">
                <c:v>4.8666660000000004</c:v>
              </c:pt>
              <c:pt idx="683">
                <c:v>3.9583330000000001</c:v>
              </c:pt>
              <c:pt idx="684">
                <c:v>4.8899999999999997</c:v>
              </c:pt>
              <c:pt idx="685">
                <c:v>5.2716669999999999</c:v>
              </c:pt>
              <c:pt idx="686">
                <c:v>5.0216669999999999</c:v>
              </c:pt>
              <c:pt idx="687">
                <c:v>5.0049999999999999</c:v>
              </c:pt>
              <c:pt idx="688">
                <c:v>4.2383329999999999</c:v>
              </c:pt>
              <c:pt idx="689">
                <c:v>4.6900000000000004</c:v>
              </c:pt>
              <c:pt idx="690">
                <c:v>5.2683330000000002</c:v>
              </c:pt>
              <c:pt idx="691">
                <c:v>5.5016670000000003</c:v>
              </c:pt>
              <c:pt idx="692">
                <c:v>4.806667</c:v>
              </c:pt>
              <c:pt idx="693">
                <c:v>5.2866660000000003</c:v>
              </c:pt>
              <c:pt idx="694">
                <c:v>4.93</c:v>
              </c:pt>
              <c:pt idx="695">
                <c:v>4.693333</c:v>
              </c:pt>
              <c:pt idx="696">
                <c:v>4.7683330000000002</c:v>
              </c:pt>
              <c:pt idx="697">
                <c:v>4.3133330000000001</c:v>
              </c:pt>
              <c:pt idx="698">
                <c:v>4.8616659999999996</c:v>
              </c:pt>
              <c:pt idx="699">
                <c:v>5.0316669999999997</c:v>
              </c:pt>
              <c:pt idx="700">
                <c:v>5.1216660000000003</c:v>
              </c:pt>
              <c:pt idx="701">
                <c:v>4.5533330000000003</c:v>
              </c:pt>
              <c:pt idx="702">
                <c:v>4.7933339999999998</c:v>
              </c:pt>
              <c:pt idx="703">
                <c:v>4.3600000000000003</c:v>
              </c:pt>
              <c:pt idx="704">
                <c:v>3.9533330000000002</c:v>
              </c:pt>
              <c:pt idx="705">
                <c:v>3.9316659999999999</c:v>
              </c:pt>
              <c:pt idx="706">
                <c:v>4.2133330000000004</c:v>
              </c:pt>
              <c:pt idx="707">
                <c:v>4.9066660000000004</c:v>
              </c:pt>
              <c:pt idx="708">
                <c:v>4.3266660000000003</c:v>
              </c:pt>
              <c:pt idx="709">
                <c:v>4.3616659999999996</c:v>
              </c:pt>
              <c:pt idx="710">
                <c:v>4.6466669999999999</c:v>
              </c:pt>
              <c:pt idx="711">
                <c:v>4.9333330000000002</c:v>
              </c:pt>
              <c:pt idx="712">
                <c:v>5.3550000000000004</c:v>
              </c:pt>
              <c:pt idx="713">
                <c:v>4.83</c:v>
              </c:pt>
              <c:pt idx="714">
                <c:v>4.8483330000000002</c:v>
              </c:pt>
              <c:pt idx="715">
                <c:v>5.1733330000000004</c:v>
              </c:pt>
              <c:pt idx="716">
                <c:v>4.4983329999999997</c:v>
              </c:pt>
              <c:pt idx="717">
                <c:v>5.523333</c:v>
              </c:pt>
              <c:pt idx="718">
                <c:v>5.3650000000000002</c:v>
              </c:pt>
              <c:pt idx="719">
                <c:v>5.5</c:v>
              </c:pt>
              <c:pt idx="720">
                <c:v>5.2016660000000003</c:v>
              </c:pt>
              <c:pt idx="721">
                <c:v>5.3616659999999996</c:v>
              </c:pt>
              <c:pt idx="722">
                <c:v>4.7649999999999997</c:v>
              </c:pt>
              <c:pt idx="723">
                <c:v>5.2549999999999999</c:v>
              </c:pt>
              <c:pt idx="724">
                <c:v>4.9666670000000002</c:v>
              </c:pt>
              <c:pt idx="725">
                <c:v>4.5016670000000003</c:v>
              </c:pt>
              <c:pt idx="726">
                <c:v>5.2533339999999997</c:v>
              </c:pt>
              <c:pt idx="727">
                <c:v>5.7516670000000003</c:v>
              </c:pt>
              <c:pt idx="728">
                <c:v>5.1216660000000003</c:v>
              </c:pt>
              <c:pt idx="729">
                <c:v>6.1183329999999998</c:v>
              </c:pt>
              <c:pt idx="730">
                <c:v>5.2716669999999999</c:v>
              </c:pt>
              <c:pt idx="731">
                <c:v>5.0033329999999996</c:v>
              </c:pt>
              <c:pt idx="732">
                <c:v>5.5149999999999997</c:v>
              </c:pt>
              <c:pt idx="733">
                <c:v>5.31</c:v>
              </c:pt>
              <c:pt idx="734">
                <c:v>3.9133330000000002</c:v>
              </c:pt>
              <c:pt idx="735">
                <c:v>4.9783330000000001</c:v>
              </c:pt>
              <c:pt idx="736">
                <c:v>5.28</c:v>
              </c:pt>
              <c:pt idx="737">
                <c:v>6.4133329999999997</c:v>
              </c:pt>
              <c:pt idx="738">
                <c:v>5.59</c:v>
              </c:pt>
              <c:pt idx="739">
                <c:v>4.2216670000000001</c:v>
              </c:pt>
              <c:pt idx="740">
                <c:v>5.1950000000000003</c:v>
              </c:pt>
              <c:pt idx="741">
                <c:v>5.6883330000000001</c:v>
              </c:pt>
              <c:pt idx="742">
                <c:v>5.4816669999999998</c:v>
              </c:pt>
              <c:pt idx="743">
                <c:v>5.7683330000000002</c:v>
              </c:pt>
              <c:pt idx="744">
                <c:v>5.4183329999999996</c:v>
              </c:pt>
              <c:pt idx="745">
                <c:v>5.3116659999999998</c:v>
              </c:pt>
              <c:pt idx="746">
                <c:v>4.5366660000000003</c:v>
              </c:pt>
              <c:pt idx="747">
                <c:v>5.5350000000000001</c:v>
              </c:pt>
              <c:pt idx="748">
                <c:v>5.04</c:v>
              </c:pt>
              <c:pt idx="749">
                <c:v>4.57</c:v>
              </c:pt>
              <c:pt idx="750">
                <c:v>3.7883330000000002</c:v>
              </c:pt>
              <c:pt idx="751">
                <c:v>4.3633329999999999</c:v>
              </c:pt>
              <c:pt idx="752">
                <c:v>4.05</c:v>
              </c:pt>
              <c:pt idx="753">
                <c:v>5.0466670000000002</c:v>
              </c:pt>
              <c:pt idx="754">
                <c:v>4.1833330000000002</c:v>
              </c:pt>
              <c:pt idx="755">
                <c:v>4.7249999999999996</c:v>
              </c:pt>
              <c:pt idx="756">
                <c:v>4.5416670000000003</c:v>
              </c:pt>
              <c:pt idx="757">
                <c:v>4.1333330000000004</c:v>
              </c:pt>
              <c:pt idx="758">
                <c:v>4.18</c:v>
              </c:pt>
              <c:pt idx="759">
                <c:v>3.8166669999999998</c:v>
              </c:pt>
              <c:pt idx="760">
                <c:v>4.4583329999999997</c:v>
              </c:pt>
              <c:pt idx="761">
                <c:v>5.0016670000000003</c:v>
              </c:pt>
              <c:pt idx="762">
                <c:v>3.98</c:v>
              </c:pt>
              <c:pt idx="763">
                <c:v>3.6366670000000001</c:v>
              </c:pt>
              <c:pt idx="764">
                <c:v>3.76</c:v>
              </c:pt>
              <c:pt idx="765">
                <c:v>4.3099999999999996</c:v>
              </c:pt>
              <c:pt idx="766">
                <c:v>4.5616659999999998</c:v>
              </c:pt>
              <c:pt idx="767">
                <c:v>4.8250000000000002</c:v>
              </c:pt>
              <c:pt idx="768">
                <c:v>4.1900000000000004</c:v>
              </c:pt>
              <c:pt idx="769">
                <c:v>4.1216660000000003</c:v>
              </c:pt>
              <c:pt idx="770">
                <c:v>3.591666</c:v>
              </c:pt>
              <c:pt idx="771">
                <c:v>3.3083330000000002</c:v>
              </c:pt>
              <c:pt idx="772">
                <c:v>3.9816669999999998</c:v>
              </c:pt>
              <c:pt idx="773">
                <c:v>4.2433329999999998</c:v>
              </c:pt>
              <c:pt idx="774">
                <c:v>5.0449999999999999</c:v>
              </c:pt>
              <c:pt idx="775">
                <c:v>4.5416670000000003</c:v>
              </c:pt>
              <c:pt idx="776">
                <c:v>4.9850000000000003</c:v>
              </c:pt>
              <c:pt idx="777">
                <c:v>5.1349999999999998</c:v>
              </c:pt>
              <c:pt idx="778">
                <c:v>5.0316660000000004</c:v>
              </c:pt>
              <c:pt idx="779">
                <c:v>5.1216660000000003</c:v>
              </c:pt>
              <c:pt idx="780">
                <c:v>4.72</c:v>
              </c:pt>
              <c:pt idx="781">
                <c:v>4.4850000000000003</c:v>
              </c:pt>
              <c:pt idx="782">
                <c:v>4.7300000000000004</c:v>
              </c:pt>
              <c:pt idx="783">
                <c:v>4.335</c:v>
              </c:pt>
              <c:pt idx="784">
                <c:v>3.698334</c:v>
              </c:pt>
              <c:pt idx="785">
                <c:v>3.38</c:v>
              </c:pt>
              <c:pt idx="786">
                <c:v>4.16</c:v>
              </c:pt>
              <c:pt idx="787">
                <c:v>4.3266660000000003</c:v>
              </c:pt>
              <c:pt idx="788">
                <c:v>3.99</c:v>
              </c:pt>
              <c:pt idx="789">
                <c:v>4.6716670000000002</c:v>
              </c:pt>
              <c:pt idx="790">
                <c:v>3.9183330000000001</c:v>
              </c:pt>
              <c:pt idx="791">
                <c:v>3.54</c:v>
              </c:pt>
              <c:pt idx="792">
                <c:v>4.24</c:v>
              </c:pt>
              <c:pt idx="793">
                <c:v>3.3283330000000002</c:v>
              </c:pt>
              <c:pt idx="794">
                <c:v>4.1566660000000004</c:v>
              </c:pt>
              <c:pt idx="795">
                <c:v>4.7066660000000002</c:v>
              </c:pt>
              <c:pt idx="796">
                <c:v>4.4033329999999999</c:v>
              </c:pt>
              <c:pt idx="797">
                <c:v>4.4966660000000003</c:v>
              </c:pt>
              <c:pt idx="798">
                <c:v>4.5283329999999999</c:v>
              </c:pt>
              <c:pt idx="799">
                <c:v>3.7250000000000001</c:v>
              </c:pt>
              <c:pt idx="800">
                <c:v>3.9366660000000002</c:v>
              </c:pt>
              <c:pt idx="801">
                <c:v>3.753333</c:v>
              </c:pt>
              <c:pt idx="802">
                <c:v>4.0283329999999999</c:v>
              </c:pt>
              <c:pt idx="803">
                <c:v>4.68</c:v>
              </c:pt>
              <c:pt idx="804">
                <c:v>4.2283330000000001</c:v>
              </c:pt>
              <c:pt idx="805">
                <c:v>4.375</c:v>
              </c:pt>
              <c:pt idx="806">
                <c:v>3.63</c:v>
              </c:pt>
              <c:pt idx="807">
                <c:v>3.89</c:v>
              </c:pt>
              <c:pt idx="808">
                <c:v>3.7433329999999998</c:v>
              </c:pt>
              <c:pt idx="809">
                <c:v>3.733333</c:v>
              </c:pt>
              <c:pt idx="810">
                <c:v>3.568333</c:v>
              </c:pt>
              <c:pt idx="811">
                <c:v>3.6033330000000001</c:v>
              </c:pt>
              <c:pt idx="812">
                <c:v>3.9983330000000001</c:v>
              </c:pt>
              <c:pt idx="813">
                <c:v>4.2149999999999999</c:v>
              </c:pt>
              <c:pt idx="814">
                <c:v>3.6716660000000001</c:v>
              </c:pt>
              <c:pt idx="815">
                <c:v>4.068333</c:v>
              </c:pt>
              <c:pt idx="816">
                <c:v>3.5566659999999999</c:v>
              </c:pt>
              <c:pt idx="817">
                <c:v>4.0216669999999999</c:v>
              </c:pt>
              <c:pt idx="818">
                <c:v>4.3383330000000004</c:v>
              </c:pt>
              <c:pt idx="819">
                <c:v>4.4066660000000004</c:v>
              </c:pt>
              <c:pt idx="820">
                <c:v>4.5466670000000002</c:v>
              </c:pt>
              <c:pt idx="821">
                <c:v>4.1183329999999998</c:v>
              </c:pt>
              <c:pt idx="822">
                <c:v>4.4749999999999996</c:v>
              </c:pt>
              <c:pt idx="823">
                <c:v>4.2300000000000004</c:v>
              </c:pt>
              <c:pt idx="824">
                <c:v>4.5816660000000002</c:v>
              </c:pt>
              <c:pt idx="825">
                <c:v>3.9750000000000001</c:v>
              </c:pt>
              <c:pt idx="826">
                <c:v>4.2916670000000003</c:v>
              </c:pt>
              <c:pt idx="827">
                <c:v>4.0566659999999999</c:v>
              </c:pt>
              <c:pt idx="828">
                <c:v>3.79</c:v>
              </c:pt>
              <c:pt idx="829">
                <c:v>4.5199999999999996</c:v>
              </c:pt>
              <c:pt idx="830">
                <c:v>4.22</c:v>
              </c:pt>
              <c:pt idx="831">
                <c:v>3.83</c:v>
              </c:pt>
              <c:pt idx="832">
                <c:v>4.085</c:v>
              </c:pt>
              <c:pt idx="833">
                <c:v>4.1783330000000003</c:v>
              </c:pt>
              <c:pt idx="834">
                <c:v>4.1566660000000004</c:v>
              </c:pt>
              <c:pt idx="835">
                <c:v>4.4666670000000002</c:v>
              </c:pt>
              <c:pt idx="836">
                <c:v>4.2050000000000001</c:v>
              </c:pt>
              <c:pt idx="837">
                <c:v>4.3550000000000004</c:v>
              </c:pt>
              <c:pt idx="838">
                <c:v>4.4216670000000002</c:v>
              </c:pt>
              <c:pt idx="839">
                <c:v>4.2366669999999997</c:v>
              </c:pt>
              <c:pt idx="840">
                <c:v>3.6333329999999999</c:v>
              </c:pt>
              <c:pt idx="841">
                <c:v>3.94</c:v>
              </c:pt>
              <c:pt idx="842">
                <c:v>4.1216660000000003</c:v>
              </c:pt>
              <c:pt idx="843">
                <c:v>4.1283339999999997</c:v>
              </c:pt>
              <c:pt idx="844">
                <c:v>3.3516659999999998</c:v>
              </c:pt>
              <c:pt idx="845">
                <c:v>4.2649999999999997</c:v>
              </c:pt>
              <c:pt idx="846">
                <c:v>4.5199999999999996</c:v>
              </c:pt>
              <c:pt idx="847">
                <c:v>4.3899999999999997</c:v>
              </c:pt>
              <c:pt idx="848">
                <c:v>5.0949999999999998</c:v>
              </c:pt>
              <c:pt idx="849">
                <c:v>4.5250000000000004</c:v>
              </c:pt>
              <c:pt idx="850">
                <c:v>4.3250000000000002</c:v>
              </c:pt>
              <c:pt idx="851">
                <c:v>3.74</c:v>
              </c:pt>
              <c:pt idx="852">
                <c:v>4.3899999999999997</c:v>
              </c:pt>
              <c:pt idx="853">
                <c:v>4.7083329999999997</c:v>
              </c:pt>
              <c:pt idx="854">
                <c:v>5.2083329999999997</c:v>
              </c:pt>
              <c:pt idx="855">
                <c:v>4.24</c:v>
              </c:pt>
              <c:pt idx="856">
                <c:v>4.523333</c:v>
              </c:pt>
              <c:pt idx="857">
                <c:v>4.1383330000000003</c:v>
              </c:pt>
              <c:pt idx="858">
                <c:v>5.2249999999999996</c:v>
              </c:pt>
              <c:pt idx="859">
                <c:v>4.358333</c:v>
              </c:pt>
              <c:pt idx="860">
                <c:v>4.7133330000000004</c:v>
              </c:pt>
              <c:pt idx="861">
                <c:v>4.8550000000000004</c:v>
              </c:pt>
              <c:pt idx="862">
                <c:v>5.1916669999999998</c:v>
              </c:pt>
              <c:pt idx="863">
                <c:v>5.3849999999999998</c:v>
              </c:pt>
              <c:pt idx="864">
                <c:v>4.648333</c:v>
              </c:pt>
              <c:pt idx="865">
                <c:v>3.9416669999999998</c:v>
              </c:pt>
              <c:pt idx="866">
                <c:v>4.1516669999999998</c:v>
              </c:pt>
              <c:pt idx="867">
                <c:v>3.3333330000000001</c:v>
              </c:pt>
              <c:pt idx="868">
                <c:v>3.99</c:v>
              </c:pt>
              <c:pt idx="869">
                <c:v>4.5133330000000003</c:v>
              </c:pt>
              <c:pt idx="870">
                <c:v>5.0166659999999998</c:v>
              </c:pt>
              <c:pt idx="871">
                <c:v>4.4966660000000003</c:v>
              </c:pt>
              <c:pt idx="872">
                <c:v>5.4733330000000002</c:v>
              </c:pt>
              <c:pt idx="873">
                <c:v>4.3933330000000002</c:v>
              </c:pt>
              <c:pt idx="874">
                <c:v>4.05</c:v>
              </c:pt>
              <c:pt idx="875">
                <c:v>4.5333329999999998</c:v>
              </c:pt>
              <c:pt idx="876">
                <c:v>4.3883330000000003</c:v>
              </c:pt>
              <c:pt idx="877">
                <c:v>4.75</c:v>
              </c:pt>
              <c:pt idx="878">
                <c:v>4.898333</c:v>
              </c:pt>
              <c:pt idx="879">
                <c:v>4.7233330000000002</c:v>
              </c:pt>
              <c:pt idx="880">
                <c:v>4.24</c:v>
              </c:pt>
              <c:pt idx="881">
                <c:v>3.911667</c:v>
              </c:pt>
              <c:pt idx="882">
                <c:v>2.9033329999999999</c:v>
              </c:pt>
              <c:pt idx="883">
                <c:v>3.61</c:v>
              </c:pt>
              <c:pt idx="884">
                <c:v>3.5866660000000001</c:v>
              </c:pt>
              <c:pt idx="885">
                <c:v>3.7266659999999998</c:v>
              </c:pt>
              <c:pt idx="886">
                <c:v>4.4083329999999998</c:v>
              </c:pt>
              <c:pt idx="887">
                <c:v>3.746667</c:v>
              </c:pt>
              <c:pt idx="888">
                <c:v>3.443333</c:v>
              </c:pt>
              <c:pt idx="889">
                <c:v>3.1633330000000002</c:v>
              </c:pt>
              <c:pt idx="890">
                <c:v>4.1583329999999998</c:v>
              </c:pt>
              <c:pt idx="891">
                <c:v>3.7</c:v>
              </c:pt>
              <c:pt idx="892">
                <c:v>2.3566669999999998</c:v>
              </c:pt>
              <c:pt idx="893">
                <c:v>3.023333</c:v>
              </c:pt>
              <c:pt idx="894">
                <c:v>2.5133329999999998</c:v>
              </c:pt>
              <c:pt idx="895">
                <c:v>3.4033329999999999</c:v>
              </c:pt>
              <c:pt idx="896">
                <c:v>3.426666</c:v>
              </c:pt>
              <c:pt idx="897">
                <c:v>4.4416669999999998</c:v>
              </c:pt>
              <c:pt idx="898">
                <c:v>3.8816660000000001</c:v>
              </c:pt>
              <c:pt idx="899">
                <c:v>4.2533339999999997</c:v>
              </c:pt>
              <c:pt idx="900">
                <c:v>4.0416670000000003</c:v>
              </c:pt>
              <c:pt idx="901">
                <c:v>4.0466670000000002</c:v>
              </c:pt>
              <c:pt idx="902">
                <c:v>4.5216669999999999</c:v>
              </c:pt>
              <c:pt idx="903">
                <c:v>5</c:v>
              </c:pt>
              <c:pt idx="904">
                <c:v>4.0949999999999998</c:v>
              </c:pt>
              <c:pt idx="905">
                <c:v>5.1766670000000001</c:v>
              </c:pt>
              <c:pt idx="906">
                <c:v>4.3333329999999997</c:v>
              </c:pt>
              <c:pt idx="907">
                <c:v>4.2016660000000003</c:v>
              </c:pt>
              <c:pt idx="908">
                <c:v>4.6733330000000004</c:v>
              </c:pt>
              <c:pt idx="909">
                <c:v>4.431667</c:v>
              </c:pt>
              <c:pt idx="910">
                <c:v>3.13</c:v>
              </c:pt>
              <c:pt idx="911">
                <c:v>4.0599999999999996</c:v>
              </c:pt>
              <c:pt idx="912">
                <c:v>4.1733330000000004</c:v>
              </c:pt>
              <c:pt idx="913">
                <c:v>4.1383330000000003</c:v>
              </c:pt>
              <c:pt idx="914">
                <c:v>3.6150000000000002</c:v>
              </c:pt>
              <c:pt idx="915">
                <c:v>4.1916669999999998</c:v>
              </c:pt>
              <c:pt idx="916">
                <c:v>4.3066659999999999</c:v>
              </c:pt>
              <c:pt idx="917">
                <c:v>3.7583329999999999</c:v>
              </c:pt>
              <c:pt idx="918">
                <c:v>3.5716670000000001</c:v>
              </c:pt>
              <c:pt idx="919">
                <c:v>3.8633329999999999</c:v>
              </c:pt>
              <c:pt idx="920">
                <c:v>3.266667</c:v>
              </c:pt>
              <c:pt idx="921">
                <c:v>3.4383330000000001</c:v>
              </c:pt>
              <c:pt idx="922">
                <c:v>3.3433329999999999</c:v>
              </c:pt>
              <c:pt idx="923">
                <c:v>4.4766659999999998</c:v>
              </c:pt>
              <c:pt idx="924">
                <c:v>4.108333</c:v>
              </c:pt>
              <c:pt idx="925">
                <c:v>4.2283330000000001</c:v>
              </c:pt>
              <c:pt idx="926">
                <c:v>3.57</c:v>
              </c:pt>
              <c:pt idx="927">
                <c:v>4.0283329999999999</c:v>
              </c:pt>
              <c:pt idx="928">
                <c:v>3.92</c:v>
              </c:pt>
              <c:pt idx="929">
                <c:v>3.8633329999999999</c:v>
              </c:pt>
              <c:pt idx="930">
                <c:v>3.4783330000000001</c:v>
              </c:pt>
              <c:pt idx="931">
                <c:v>3.3083330000000002</c:v>
              </c:pt>
              <c:pt idx="932">
                <c:v>3.7666659999999998</c:v>
              </c:pt>
              <c:pt idx="933">
                <c:v>4</c:v>
              </c:pt>
              <c:pt idx="934">
                <c:v>3.5316670000000001</c:v>
              </c:pt>
              <c:pt idx="935">
                <c:v>4.0166659999999998</c:v>
              </c:pt>
              <c:pt idx="936">
                <c:v>4.4283330000000003</c:v>
              </c:pt>
              <c:pt idx="937">
                <c:v>4.3049999999999997</c:v>
              </c:pt>
              <c:pt idx="938">
                <c:v>3.1266660000000002</c:v>
              </c:pt>
              <c:pt idx="939">
                <c:v>3.9033329999999999</c:v>
              </c:pt>
              <c:pt idx="940">
                <c:v>4.9183329999999996</c:v>
              </c:pt>
              <c:pt idx="941">
                <c:v>4.7083329999999997</c:v>
              </c:pt>
              <c:pt idx="942">
                <c:v>4.1283329999999996</c:v>
              </c:pt>
              <c:pt idx="943">
                <c:v>3.4983330000000001</c:v>
              </c:pt>
              <c:pt idx="944">
                <c:v>3.7616670000000001</c:v>
              </c:pt>
              <c:pt idx="945">
                <c:v>3.4416669999999998</c:v>
              </c:pt>
              <c:pt idx="946">
                <c:v>3.9483329999999999</c:v>
              </c:pt>
              <c:pt idx="947">
                <c:v>2.9583330000000001</c:v>
              </c:pt>
              <c:pt idx="948">
                <c:v>3.7033330000000002</c:v>
              </c:pt>
              <c:pt idx="949">
                <c:v>3.78</c:v>
              </c:pt>
              <c:pt idx="950">
                <c:v>3.2549999999999999</c:v>
              </c:pt>
              <c:pt idx="951">
                <c:v>3.463333</c:v>
              </c:pt>
              <c:pt idx="952">
                <c:v>3.673333</c:v>
              </c:pt>
              <c:pt idx="953">
                <c:v>3.1683330000000001</c:v>
              </c:pt>
              <c:pt idx="954">
                <c:v>3.121667</c:v>
              </c:pt>
              <c:pt idx="955">
                <c:v>2.9049999999999998</c:v>
              </c:pt>
              <c:pt idx="956">
                <c:v>2.4333330000000002</c:v>
              </c:pt>
              <c:pt idx="957">
                <c:v>2.9066670000000001</c:v>
              </c:pt>
              <c:pt idx="958">
                <c:v>2.69</c:v>
              </c:pt>
              <c:pt idx="959">
                <c:v>3.1316660000000001</c:v>
              </c:pt>
              <c:pt idx="960">
                <c:v>3.5016660000000002</c:v>
              </c:pt>
              <c:pt idx="961">
                <c:v>2.8033329999999999</c:v>
              </c:pt>
              <c:pt idx="962">
                <c:v>2.7050000000000001</c:v>
              </c:pt>
              <c:pt idx="963">
                <c:v>2.7250000000000001</c:v>
              </c:pt>
              <c:pt idx="964">
                <c:v>3.1416659999999998</c:v>
              </c:pt>
              <c:pt idx="965">
                <c:v>3.2616670000000001</c:v>
              </c:pt>
              <c:pt idx="966">
                <c:v>3.426666</c:v>
              </c:pt>
              <c:pt idx="967">
                <c:v>2.9983330000000001</c:v>
              </c:pt>
              <c:pt idx="968">
                <c:v>2.996667</c:v>
              </c:pt>
              <c:pt idx="969">
                <c:v>3.0066660000000001</c:v>
              </c:pt>
              <c:pt idx="970">
                <c:v>2.4183330000000001</c:v>
              </c:pt>
              <c:pt idx="971">
                <c:v>2.5933329999999999</c:v>
              </c:pt>
              <c:pt idx="972">
                <c:v>2.496667</c:v>
              </c:pt>
              <c:pt idx="973">
                <c:v>3.1349999999999998</c:v>
              </c:pt>
              <c:pt idx="974">
                <c:v>2.9166669999999999</c:v>
              </c:pt>
              <c:pt idx="975">
                <c:v>2.5116670000000001</c:v>
              </c:pt>
              <c:pt idx="976">
                <c:v>2.2250000000000001</c:v>
              </c:pt>
              <c:pt idx="977">
                <c:v>2.7933330000000001</c:v>
              </c:pt>
              <c:pt idx="978">
                <c:v>2.95</c:v>
              </c:pt>
              <c:pt idx="979">
                <c:v>2.8966669999999999</c:v>
              </c:pt>
              <c:pt idx="980">
                <c:v>3.13</c:v>
              </c:pt>
              <c:pt idx="981">
                <c:v>2.9533330000000002</c:v>
              </c:pt>
              <c:pt idx="982">
                <c:v>2.57</c:v>
              </c:pt>
              <c:pt idx="983">
                <c:v>2.483333</c:v>
              </c:pt>
              <c:pt idx="984">
                <c:v>2.8650000000000002</c:v>
              </c:pt>
              <c:pt idx="985">
                <c:v>2.6833330000000002</c:v>
              </c:pt>
              <c:pt idx="986">
                <c:v>3.57</c:v>
              </c:pt>
              <c:pt idx="987">
                <c:v>3.7233329999999998</c:v>
              </c:pt>
              <c:pt idx="988">
                <c:v>3.7250000000000001</c:v>
              </c:pt>
              <c:pt idx="989">
                <c:v>3.0583330000000002</c:v>
              </c:pt>
              <c:pt idx="990">
                <c:v>3.5783330000000002</c:v>
              </c:pt>
              <c:pt idx="991">
                <c:v>3.2833329999999998</c:v>
              </c:pt>
              <c:pt idx="992">
                <c:v>3.8766669999999999</c:v>
              </c:pt>
              <c:pt idx="993">
                <c:v>3.78</c:v>
              </c:pt>
              <c:pt idx="994">
                <c:v>3.5616660000000002</c:v>
              </c:pt>
              <c:pt idx="995">
                <c:v>4.1883330000000001</c:v>
              </c:pt>
              <c:pt idx="996">
                <c:v>4.2766669999999998</c:v>
              </c:pt>
              <c:pt idx="997">
                <c:v>3.6566670000000001</c:v>
              </c:pt>
              <c:pt idx="998">
                <c:v>3.6066669999999998</c:v>
              </c:pt>
              <c:pt idx="999">
                <c:v>3.878333</c:v>
              </c:pt>
              <c:pt idx="1000">
                <c:v>3.576667</c:v>
              </c:pt>
              <c:pt idx="1001">
                <c:v>3.2549999999999999</c:v>
              </c:pt>
              <c:pt idx="1002">
                <c:v>3.1916669999999998</c:v>
              </c:pt>
              <c:pt idx="1003">
                <c:v>2.551666</c:v>
              </c:pt>
              <c:pt idx="1004">
                <c:v>2.4816669999999998</c:v>
              </c:pt>
              <c:pt idx="1005">
                <c:v>3.7966660000000001</c:v>
              </c:pt>
              <c:pt idx="1006">
                <c:v>2.7883330000000002</c:v>
              </c:pt>
              <c:pt idx="1007">
                <c:v>2.3433329999999999</c:v>
              </c:pt>
              <c:pt idx="1008">
                <c:v>1.993333</c:v>
              </c:pt>
              <c:pt idx="1009">
                <c:v>2.4649999999999999</c:v>
              </c:pt>
              <c:pt idx="1010">
                <c:v>2.3866670000000001</c:v>
              </c:pt>
              <c:pt idx="1011">
                <c:v>2.1583329999999998</c:v>
              </c:pt>
              <c:pt idx="1012">
                <c:v>2.8333330000000001</c:v>
              </c:pt>
              <c:pt idx="1013">
                <c:v>2.9816669999999998</c:v>
              </c:pt>
              <c:pt idx="1014">
                <c:v>3.361666</c:v>
              </c:pt>
              <c:pt idx="1015">
                <c:v>3.18</c:v>
              </c:pt>
              <c:pt idx="1016">
                <c:v>3.5449999999999999</c:v>
              </c:pt>
              <c:pt idx="1017">
                <c:v>4.0933330000000003</c:v>
              </c:pt>
              <c:pt idx="1018">
                <c:v>3.1433330000000002</c:v>
              </c:pt>
              <c:pt idx="1019">
                <c:v>2.415</c:v>
              </c:pt>
              <c:pt idx="1020">
                <c:v>3.7966660000000001</c:v>
              </c:pt>
              <c:pt idx="1021">
                <c:v>3.1749999999999998</c:v>
              </c:pt>
              <c:pt idx="1022">
                <c:v>2.2633329999999998</c:v>
              </c:pt>
              <c:pt idx="1023">
                <c:v>3.358333</c:v>
              </c:pt>
              <c:pt idx="1024">
                <c:v>3.75</c:v>
              </c:pt>
              <c:pt idx="1025">
                <c:v>3.02</c:v>
              </c:pt>
              <c:pt idx="1026">
                <c:v>2.8916659999999998</c:v>
              </c:pt>
              <c:pt idx="1027">
                <c:v>2.7116660000000001</c:v>
              </c:pt>
              <c:pt idx="1028">
                <c:v>3.676666</c:v>
              </c:pt>
              <c:pt idx="1029">
                <c:v>3.5266670000000002</c:v>
              </c:pt>
              <c:pt idx="1030">
                <c:v>3.4733329999999998</c:v>
              </c:pt>
              <c:pt idx="1031">
                <c:v>2.835</c:v>
              </c:pt>
              <c:pt idx="1032">
                <c:v>2.358333</c:v>
              </c:pt>
              <c:pt idx="1033">
                <c:v>2.58</c:v>
              </c:pt>
              <c:pt idx="1034">
                <c:v>2.64</c:v>
              </c:pt>
              <c:pt idx="1035">
                <c:v>3.6633330000000002</c:v>
              </c:pt>
              <c:pt idx="1036">
                <c:v>3.6666669999999999</c:v>
              </c:pt>
              <c:pt idx="1037">
                <c:v>3.0249999999999999</c:v>
              </c:pt>
              <c:pt idx="1038">
                <c:v>2.83</c:v>
              </c:pt>
              <c:pt idx="1039">
                <c:v>2.898333</c:v>
              </c:pt>
              <c:pt idx="1040">
                <c:v>3.3250000000000002</c:v>
              </c:pt>
              <c:pt idx="1041">
                <c:v>2.875</c:v>
              </c:pt>
              <c:pt idx="1042">
                <c:v>2.75</c:v>
              </c:pt>
              <c:pt idx="1043">
                <c:v>2.6566670000000001</c:v>
              </c:pt>
              <c:pt idx="1044">
                <c:v>1.9716670000000001</c:v>
              </c:pt>
              <c:pt idx="1045">
                <c:v>1.82</c:v>
              </c:pt>
              <c:pt idx="1046">
                <c:v>1.9750000000000001</c:v>
              </c:pt>
              <c:pt idx="1047">
                <c:v>2.5933329999999999</c:v>
              </c:pt>
              <c:pt idx="1048">
                <c:v>2.36</c:v>
              </c:pt>
              <c:pt idx="1049">
                <c:v>3.023333</c:v>
              </c:pt>
              <c:pt idx="1050">
                <c:v>3.0550000000000002</c:v>
              </c:pt>
              <c:pt idx="1051">
                <c:v>3.196666</c:v>
              </c:pt>
              <c:pt idx="1052">
                <c:v>3.5416669999999999</c:v>
              </c:pt>
              <c:pt idx="1053">
                <c:v>4.0133330000000003</c:v>
              </c:pt>
              <c:pt idx="1054">
                <c:v>3.5866660000000001</c:v>
              </c:pt>
              <c:pt idx="1055">
                <c:v>4.8083330000000002</c:v>
              </c:pt>
              <c:pt idx="1056">
                <c:v>4.5999999999999996</c:v>
              </c:pt>
              <c:pt idx="1057">
                <c:v>3.5633330000000001</c:v>
              </c:pt>
              <c:pt idx="1058">
                <c:v>4.13</c:v>
              </c:pt>
              <c:pt idx="1059">
                <c:v>3.7549999999999999</c:v>
              </c:pt>
              <c:pt idx="1060">
                <c:v>2.4166669999999999</c:v>
              </c:pt>
              <c:pt idx="1061">
                <c:v>2.7</c:v>
              </c:pt>
              <c:pt idx="1062">
                <c:v>2.6433330000000002</c:v>
              </c:pt>
              <c:pt idx="1063">
                <c:v>2.0316670000000001</c:v>
              </c:pt>
              <c:pt idx="1064">
                <c:v>1.8766670000000001</c:v>
              </c:pt>
              <c:pt idx="1065">
                <c:v>2.6850000000000001</c:v>
              </c:pt>
              <c:pt idx="1066">
                <c:v>2.2599999999999998</c:v>
              </c:pt>
              <c:pt idx="1067">
                <c:v>1.8733329999999999</c:v>
              </c:pt>
              <c:pt idx="1068">
                <c:v>1.9816670000000001</c:v>
              </c:pt>
              <c:pt idx="1069">
                <c:v>2.3433329999999999</c:v>
              </c:pt>
              <c:pt idx="1070">
                <c:v>3.4566669999999999</c:v>
              </c:pt>
              <c:pt idx="1071">
                <c:v>2.37</c:v>
              </c:pt>
              <c:pt idx="1072">
                <c:v>2.7183329999999999</c:v>
              </c:pt>
              <c:pt idx="1073">
                <c:v>3.5616660000000002</c:v>
              </c:pt>
              <c:pt idx="1074">
                <c:v>3.125</c:v>
              </c:pt>
              <c:pt idx="1075">
                <c:v>2.14</c:v>
              </c:pt>
              <c:pt idx="1076">
                <c:v>3.2749999999999999</c:v>
              </c:pt>
              <c:pt idx="1077">
                <c:v>3.0983329999999998</c:v>
              </c:pt>
              <c:pt idx="1078">
                <c:v>3.746667</c:v>
              </c:pt>
              <c:pt idx="1079">
                <c:v>3.871667</c:v>
              </c:pt>
              <c:pt idx="1080">
                <c:v>2.2916669999999999</c:v>
              </c:pt>
              <c:pt idx="1081">
                <c:v>1.9450000000000001</c:v>
              </c:pt>
              <c:pt idx="1082">
                <c:v>2.8533330000000001</c:v>
              </c:pt>
              <c:pt idx="1083">
                <c:v>4.2966670000000002</c:v>
              </c:pt>
              <c:pt idx="1084">
                <c:v>3.8450000000000002</c:v>
              </c:pt>
              <c:pt idx="1085">
                <c:v>4.6100000000000003</c:v>
              </c:pt>
              <c:pt idx="1086">
                <c:v>4.5199999999999996</c:v>
              </c:pt>
              <c:pt idx="1087">
                <c:v>5.1016659999999998</c:v>
              </c:pt>
              <c:pt idx="1088">
                <c:v>5.0549999999999997</c:v>
              </c:pt>
              <c:pt idx="1089">
                <c:v>4.6716670000000002</c:v>
              </c:pt>
              <c:pt idx="1090">
                <c:v>4.2699999999999996</c:v>
              </c:pt>
              <c:pt idx="1091">
                <c:v>4.2783329999999999</c:v>
              </c:pt>
              <c:pt idx="1092">
                <c:v>4.523333</c:v>
              </c:pt>
              <c:pt idx="1093">
                <c:v>3.9283329999999999</c:v>
              </c:pt>
              <c:pt idx="1094">
                <c:v>3.8883329999999998</c:v>
              </c:pt>
              <c:pt idx="1095">
                <c:v>3.496667</c:v>
              </c:pt>
              <c:pt idx="1096">
                <c:v>3.5466660000000001</c:v>
              </c:pt>
              <c:pt idx="1097">
                <c:v>3.76</c:v>
              </c:pt>
              <c:pt idx="1098">
                <c:v>4.6816659999999999</c:v>
              </c:pt>
              <c:pt idx="1099">
                <c:v>3.7833329999999998</c:v>
              </c:pt>
              <c:pt idx="1100">
                <c:v>4.181667</c:v>
              </c:pt>
              <c:pt idx="1101">
                <c:v>4.0483330000000004</c:v>
              </c:pt>
              <c:pt idx="1102">
                <c:v>3.4550000000000001</c:v>
              </c:pt>
              <c:pt idx="1103">
                <c:v>3.9566669999999999</c:v>
              </c:pt>
              <c:pt idx="1104">
                <c:v>3.3516659999999998</c:v>
              </c:pt>
              <c:pt idx="1105">
                <c:v>4.4166670000000003</c:v>
              </c:pt>
              <c:pt idx="1106">
                <c:v>3.2916669999999999</c:v>
              </c:pt>
              <c:pt idx="1107">
                <c:v>3.3433329999999999</c:v>
              </c:pt>
              <c:pt idx="1108">
                <c:v>3.5383330000000002</c:v>
              </c:pt>
              <c:pt idx="1109">
                <c:v>3.628333</c:v>
              </c:pt>
              <c:pt idx="1110">
                <c:v>3.8050000000000002</c:v>
              </c:pt>
              <c:pt idx="1111">
                <c:v>4.1399999999999997</c:v>
              </c:pt>
              <c:pt idx="1112">
                <c:v>3.5350000000000001</c:v>
              </c:pt>
              <c:pt idx="1113">
                <c:v>3.3433329999999999</c:v>
              </c:pt>
              <c:pt idx="1114">
                <c:v>2.7633329999999998</c:v>
              </c:pt>
              <c:pt idx="1115">
                <c:v>1.7933330000000001</c:v>
              </c:pt>
              <c:pt idx="1116">
                <c:v>2.7066669999999999</c:v>
              </c:pt>
              <c:pt idx="1117">
                <c:v>4.2699999999999996</c:v>
              </c:pt>
              <c:pt idx="1118">
                <c:v>3.4816669999999998</c:v>
              </c:pt>
              <c:pt idx="1119">
                <c:v>3.2033330000000002</c:v>
              </c:pt>
              <c:pt idx="1120">
                <c:v>2.6383329999999998</c:v>
              </c:pt>
              <c:pt idx="1121">
                <c:v>3.3133330000000001</c:v>
              </c:pt>
              <c:pt idx="1122">
                <c:v>3.65</c:v>
              </c:pt>
              <c:pt idx="1123">
                <c:v>3.21</c:v>
              </c:pt>
              <c:pt idx="1124">
                <c:v>3.28</c:v>
              </c:pt>
              <c:pt idx="1125">
                <c:v>4.358333</c:v>
              </c:pt>
              <c:pt idx="1126">
                <c:v>3.64</c:v>
              </c:pt>
              <c:pt idx="1127">
                <c:v>2.6433330000000002</c:v>
              </c:pt>
              <c:pt idx="1128">
                <c:v>1.99</c:v>
              </c:pt>
              <c:pt idx="1129">
                <c:v>2.9983330000000001</c:v>
              </c:pt>
              <c:pt idx="1130">
                <c:v>3.3450000000000002</c:v>
              </c:pt>
              <c:pt idx="1131">
                <c:v>3.1433330000000002</c:v>
              </c:pt>
              <c:pt idx="1132">
                <c:v>3.1916669999999998</c:v>
              </c:pt>
              <c:pt idx="1133">
                <c:v>3.42</c:v>
              </c:pt>
              <c:pt idx="1134">
                <c:v>3.5816669999999999</c:v>
              </c:pt>
              <c:pt idx="1135">
                <c:v>4.3016670000000001</c:v>
              </c:pt>
              <c:pt idx="1136">
                <c:v>4.4800000000000004</c:v>
              </c:pt>
              <c:pt idx="1137">
                <c:v>3.645</c:v>
              </c:pt>
              <c:pt idx="1138">
                <c:v>3.41</c:v>
              </c:pt>
              <c:pt idx="1139">
                <c:v>2.79</c:v>
              </c:pt>
              <c:pt idx="1140">
                <c:v>2.895</c:v>
              </c:pt>
              <c:pt idx="1141">
                <c:v>3.051666</c:v>
              </c:pt>
              <c:pt idx="1142">
                <c:v>3.1716660000000001</c:v>
              </c:pt>
              <c:pt idx="1143">
                <c:v>3.8450000000000002</c:v>
              </c:pt>
              <c:pt idx="1144">
                <c:v>3.7183329999999999</c:v>
              </c:pt>
              <c:pt idx="1145">
                <c:v>3.7149999999999999</c:v>
              </c:pt>
              <c:pt idx="1146">
                <c:v>2.9550000000000001</c:v>
              </c:pt>
              <c:pt idx="1147">
                <c:v>3.1233330000000001</c:v>
              </c:pt>
              <c:pt idx="1148">
                <c:v>3.24</c:v>
              </c:pt>
              <c:pt idx="1149">
                <c:v>3</c:v>
              </c:pt>
              <c:pt idx="1150">
                <c:v>2.5950000000000002</c:v>
              </c:pt>
              <c:pt idx="1151">
                <c:v>2.8866670000000001</c:v>
              </c:pt>
              <c:pt idx="1152">
                <c:v>3.1233330000000001</c:v>
              </c:pt>
              <c:pt idx="1153">
                <c:v>3.5266670000000002</c:v>
              </c:pt>
              <c:pt idx="1154">
                <c:v>2.125</c:v>
              </c:pt>
              <c:pt idx="1155">
                <c:v>3.0533329999999999</c:v>
              </c:pt>
              <c:pt idx="1156">
                <c:v>3.08</c:v>
              </c:pt>
              <c:pt idx="1157">
                <c:v>3.2933330000000001</c:v>
              </c:pt>
              <c:pt idx="1158">
                <c:v>3.0116670000000001</c:v>
              </c:pt>
              <c:pt idx="1159">
                <c:v>2.4933329999999998</c:v>
              </c:pt>
              <c:pt idx="1160">
                <c:v>2.286667</c:v>
              </c:pt>
              <c:pt idx="1161">
                <c:v>2.605</c:v>
              </c:pt>
              <c:pt idx="1162">
                <c:v>2.4916670000000001</c:v>
              </c:pt>
              <c:pt idx="1163">
                <c:v>2.446666</c:v>
              </c:pt>
              <c:pt idx="1164">
                <c:v>2.2650000000000001</c:v>
              </c:pt>
              <c:pt idx="1165">
                <c:v>2.0466669999999998</c:v>
              </c:pt>
              <c:pt idx="1166">
                <c:v>2.4383330000000001</c:v>
              </c:pt>
              <c:pt idx="1167">
                <c:v>2.5099999999999998</c:v>
              </c:pt>
              <c:pt idx="1168">
                <c:v>1.8116669999999999</c:v>
              </c:pt>
              <c:pt idx="1169">
                <c:v>2.2883330000000002</c:v>
              </c:pt>
              <c:pt idx="1170">
                <c:v>2.3116660000000002</c:v>
              </c:pt>
              <c:pt idx="1171">
                <c:v>2.048333</c:v>
              </c:pt>
              <c:pt idx="1172">
                <c:v>2.1749999999999998</c:v>
              </c:pt>
              <c:pt idx="1173">
                <c:v>1.9683330000000001</c:v>
              </c:pt>
              <c:pt idx="1174">
                <c:v>2.446666</c:v>
              </c:pt>
              <c:pt idx="1175">
                <c:v>2.1383329999999998</c:v>
              </c:pt>
              <c:pt idx="1176">
                <c:v>2.2616670000000001</c:v>
              </c:pt>
              <c:pt idx="1177">
                <c:v>2.7766670000000002</c:v>
              </c:pt>
              <c:pt idx="1178">
                <c:v>2.76</c:v>
              </c:pt>
              <c:pt idx="1179">
                <c:v>2.38</c:v>
              </c:pt>
              <c:pt idx="1180">
                <c:v>2.61</c:v>
              </c:pt>
              <c:pt idx="1181">
                <c:v>2.821666</c:v>
              </c:pt>
              <c:pt idx="1182">
                <c:v>2.97</c:v>
              </c:pt>
              <c:pt idx="1183">
                <c:v>2.9333330000000002</c:v>
              </c:pt>
              <c:pt idx="1184">
                <c:v>2.0449999999999999</c:v>
              </c:pt>
              <c:pt idx="1185">
                <c:v>2.27</c:v>
              </c:pt>
              <c:pt idx="1186">
                <c:v>2.266667</c:v>
              </c:pt>
              <c:pt idx="1187">
                <c:v>2.6066669999999998</c:v>
              </c:pt>
              <c:pt idx="1188">
                <c:v>2.641667</c:v>
              </c:pt>
              <c:pt idx="1189">
                <c:v>2.1133329999999999</c:v>
              </c:pt>
              <c:pt idx="1190">
                <c:v>2.2833329999999998</c:v>
              </c:pt>
              <c:pt idx="1191">
                <c:v>2.02</c:v>
              </c:pt>
              <c:pt idx="1192">
                <c:v>2.6233330000000001</c:v>
              </c:pt>
              <c:pt idx="1193">
                <c:v>2.2450000000000001</c:v>
              </c:pt>
              <c:pt idx="1194">
                <c:v>2.2883330000000002</c:v>
              </c:pt>
              <c:pt idx="1195">
                <c:v>2.61</c:v>
              </c:pt>
              <c:pt idx="1196">
                <c:v>2.173333</c:v>
              </c:pt>
              <c:pt idx="1197">
                <c:v>2.588333</c:v>
              </c:pt>
              <c:pt idx="1198">
                <c:v>2.105</c:v>
              </c:pt>
              <c:pt idx="1199">
                <c:v>2.7216670000000001</c:v>
              </c:pt>
              <c:pt idx="1200">
                <c:v>2.036667</c:v>
              </c:pt>
              <c:pt idx="1201">
                <c:v>2.4783330000000001</c:v>
              </c:pt>
              <c:pt idx="1202">
                <c:v>2.0750000000000002</c:v>
              </c:pt>
              <c:pt idx="1203">
                <c:v>1.9750000000000001</c:v>
              </c:pt>
              <c:pt idx="1204">
                <c:v>2.2683330000000002</c:v>
              </c:pt>
              <c:pt idx="1205">
                <c:v>2.621667</c:v>
              </c:pt>
              <c:pt idx="1206">
                <c:v>2.1749999999999998</c:v>
              </c:pt>
              <c:pt idx="1207">
                <c:v>2.091666</c:v>
              </c:pt>
              <c:pt idx="1208">
                <c:v>2.0283329999999999</c:v>
              </c:pt>
              <c:pt idx="1209">
                <c:v>2.105</c:v>
              </c:pt>
              <c:pt idx="1210">
                <c:v>1.9583330000000001</c:v>
              </c:pt>
              <c:pt idx="1211">
                <c:v>1.733333</c:v>
              </c:pt>
              <c:pt idx="1212">
                <c:v>1.358333</c:v>
              </c:pt>
              <c:pt idx="1213">
                <c:v>1.615</c:v>
              </c:pt>
              <c:pt idx="1214">
                <c:v>1.6783330000000001</c:v>
              </c:pt>
              <c:pt idx="1215">
                <c:v>1.56</c:v>
              </c:pt>
              <c:pt idx="1216">
                <c:v>1.816667</c:v>
              </c:pt>
              <c:pt idx="1217">
                <c:v>1.5416669999999999</c:v>
              </c:pt>
              <c:pt idx="1218">
                <c:v>1.5716669999999999</c:v>
              </c:pt>
              <c:pt idx="1219">
                <c:v>1.548333</c:v>
              </c:pt>
              <c:pt idx="1220">
                <c:v>1.398333</c:v>
              </c:pt>
              <c:pt idx="1221">
                <c:v>1.4750000000000001</c:v>
              </c:pt>
              <c:pt idx="1222">
                <c:v>1.4083330000000001</c:v>
              </c:pt>
              <c:pt idx="1223">
                <c:v>1.526667</c:v>
              </c:pt>
              <c:pt idx="1224">
                <c:v>1.7749999999999999</c:v>
              </c:pt>
              <c:pt idx="1225">
                <c:v>1.7183330000000001</c:v>
              </c:pt>
              <c:pt idx="1226">
                <c:v>1.736667</c:v>
              </c:pt>
              <c:pt idx="1227">
                <c:v>1.788333</c:v>
              </c:pt>
              <c:pt idx="1228">
                <c:v>1.6583330000000001</c:v>
              </c:pt>
              <c:pt idx="1229">
                <c:v>1.905</c:v>
              </c:pt>
              <c:pt idx="1230">
                <c:v>1.835</c:v>
              </c:pt>
              <c:pt idx="1231">
                <c:v>1.773333</c:v>
              </c:pt>
              <c:pt idx="1232">
                <c:v>1.7516670000000001</c:v>
              </c:pt>
              <c:pt idx="1233">
                <c:v>1.7583329999999999</c:v>
              </c:pt>
              <c:pt idx="1234">
                <c:v>1.72</c:v>
              </c:pt>
              <c:pt idx="1235">
                <c:v>1.483333</c:v>
              </c:pt>
              <c:pt idx="1236">
                <c:v>1.413333</c:v>
              </c:pt>
              <c:pt idx="1237">
                <c:v>1.683333</c:v>
              </c:pt>
              <c:pt idx="1238">
                <c:v>1.538333</c:v>
              </c:pt>
              <c:pt idx="1239">
                <c:v>1.4366669999999999</c:v>
              </c:pt>
              <c:pt idx="1240">
                <c:v>1.4916670000000001</c:v>
              </c:pt>
              <c:pt idx="1241">
                <c:v>1.608333</c:v>
              </c:pt>
              <c:pt idx="1242">
                <c:v>1.6333329999999999</c:v>
              </c:pt>
              <c:pt idx="1243">
                <c:v>1.7150000000000001</c:v>
              </c:pt>
              <c:pt idx="1244">
                <c:v>1.595</c:v>
              </c:pt>
              <c:pt idx="1245">
                <c:v>1.618333</c:v>
              </c:pt>
              <c:pt idx="1246">
                <c:v>1.433333</c:v>
              </c:pt>
              <c:pt idx="1247">
                <c:v>1.391667</c:v>
              </c:pt>
              <c:pt idx="1248">
                <c:v>1.4366669999999999</c:v>
              </c:pt>
              <c:pt idx="1249">
                <c:v>1.2683329999999999</c:v>
              </c:pt>
              <c:pt idx="1250">
                <c:v>1.38</c:v>
              </c:pt>
              <c:pt idx="1251">
                <c:v>1.4850000000000001</c:v>
              </c:pt>
              <c:pt idx="1252">
                <c:v>1.3566670000000001</c:v>
              </c:pt>
              <c:pt idx="1253">
                <c:v>1.4683330000000001</c:v>
              </c:pt>
              <c:pt idx="1254">
                <c:v>1.5</c:v>
              </c:pt>
              <c:pt idx="1255">
                <c:v>1.5183329999999999</c:v>
              </c:pt>
              <c:pt idx="1256">
                <c:v>1.5</c:v>
              </c:pt>
              <c:pt idx="1257">
                <c:v>1.6466670000000001</c:v>
              </c:pt>
              <c:pt idx="1258">
                <c:v>1.506667</c:v>
              </c:pt>
              <c:pt idx="1259">
                <c:v>1.496667</c:v>
              </c:pt>
              <c:pt idx="1260">
                <c:v>1.5633330000000001</c:v>
              </c:pt>
              <c:pt idx="1261">
                <c:v>1.58</c:v>
              </c:pt>
              <c:pt idx="1262">
                <c:v>1.4816670000000001</c:v>
              </c:pt>
              <c:pt idx="1263">
                <c:v>1.6683330000000001</c:v>
              </c:pt>
              <c:pt idx="1264">
                <c:v>1.773333</c:v>
              </c:pt>
              <c:pt idx="1265">
                <c:v>1.625</c:v>
              </c:pt>
              <c:pt idx="1266">
                <c:v>1.5833330000000001</c:v>
              </c:pt>
              <c:pt idx="1267">
                <c:v>1.59</c:v>
              </c:pt>
              <c:pt idx="1268">
                <c:v>1.441667</c:v>
              </c:pt>
              <c:pt idx="1269">
                <c:v>1.325</c:v>
              </c:pt>
              <c:pt idx="1270">
                <c:v>1.21</c:v>
              </c:pt>
              <c:pt idx="1271">
                <c:v>0.95499990000000001</c:v>
              </c:pt>
              <c:pt idx="1272">
                <c:v>0.9216666</c:v>
              </c:pt>
              <c:pt idx="1273">
                <c:v>0.94833330000000005</c:v>
              </c:pt>
              <c:pt idx="1274">
                <c:v>1.01</c:v>
              </c:pt>
              <c:pt idx="1275">
                <c:v>1.2283329999999999</c:v>
              </c:pt>
              <c:pt idx="1276">
                <c:v>1.101667</c:v>
              </c:pt>
              <c:pt idx="1277">
                <c:v>1.2483329999999999</c:v>
              </c:pt>
              <c:pt idx="1278">
                <c:v>1.1266670000000001</c:v>
              </c:pt>
              <c:pt idx="1279">
                <c:v>0.98166659999999994</c:v>
              </c:pt>
              <c:pt idx="1280">
                <c:v>1.0149999999999999</c:v>
              </c:pt>
              <c:pt idx="1281">
                <c:v>1.4033329999999999</c:v>
              </c:pt>
              <c:pt idx="1282">
                <c:v>1.128333</c:v>
              </c:pt>
              <c:pt idx="1283">
                <c:v>1.086667</c:v>
              </c:pt>
              <c:pt idx="1284">
                <c:v>1.286667</c:v>
              </c:pt>
              <c:pt idx="1285">
                <c:v>1.138333</c:v>
              </c:pt>
              <c:pt idx="1286">
                <c:v>1.28</c:v>
              </c:pt>
              <c:pt idx="1287">
                <c:v>1.358333</c:v>
              </c:pt>
              <c:pt idx="1288">
                <c:v>1.05</c:v>
              </c:pt>
              <c:pt idx="1289">
                <c:v>1.335</c:v>
              </c:pt>
              <c:pt idx="1290">
                <c:v>1.523333</c:v>
              </c:pt>
              <c:pt idx="1291">
                <c:v>1.101667</c:v>
              </c:pt>
              <c:pt idx="1292">
                <c:v>1.25</c:v>
              </c:pt>
              <c:pt idx="1293">
                <c:v>1.3433330000000001</c:v>
              </c:pt>
              <c:pt idx="1294">
                <c:v>1.3116669999999999</c:v>
              </c:pt>
              <c:pt idx="1295">
                <c:v>1.2283329999999999</c:v>
              </c:pt>
              <c:pt idx="1296">
                <c:v>1.4166669999999999</c:v>
              </c:pt>
              <c:pt idx="1297">
                <c:v>1.378333</c:v>
              </c:pt>
              <c:pt idx="1298">
                <c:v>1.5533330000000001</c:v>
              </c:pt>
              <c:pt idx="1299">
                <c:v>1.3416669999999999</c:v>
              </c:pt>
              <c:pt idx="1300">
                <c:v>1.7383329999999999</c:v>
              </c:pt>
              <c:pt idx="1301">
                <c:v>1.5633330000000001</c:v>
              </c:pt>
              <c:pt idx="1302">
                <c:v>2.1033330000000001</c:v>
              </c:pt>
              <c:pt idx="1303">
                <c:v>1.7483329999999999</c:v>
              </c:pt>
              <c:pt idx="1304">
                <c:v>1.7816669999999999</c:v>
              </c:pt>
              <c:pt idx="1305">
                <c:v>1.421667</c:v>
              </c:pt>
              <c:pt idx="1306">
                <c:v>1.55</c:v>
              </c:pt>
              <c:pt idx="1307">
                <c:v>1.4283330000000001</c:v>
              </c:pt>
              <c:pt idx="1308">
                <c:v>1.388333</c:v>
              </c:pt>
              <c:pt idx="1309">
                <c:v>1.628333</c:v>
              </c:pt>
              <c:pt idx="1310">
                <c:v>1.7416670000000001</c:v>
              </c:pt>
              <c:pt idx="1311">
                <c:v>1.5049999999999999</c:v>
              </c:pt>
              <c:pt idx="1312">
                <c:v>1.5333330000000001</c:v>
              </c:pt>
              <c:pt idx="1313">
                <c:v>1.72</c:v>
              </c:pt>
              <c:pt idx="1314">
                <c:v>1.601667</c:v>
              </c:pt>
              <c:pt idx="1315">
                <c:v>1.808333</c:v>
              </c:pt>
              <c:pt idx="1316">
                <c:v>1.9883329999999999</c:v>
              </c:pt>
              <c:pt idx="1317">
                <c:v>1.39</c:v>
              </c:pt>
              <c:pt idx="1318">
                <c:v>1.9</c:v>
              </c:pt>
              <c:pt idx="1319">
                <c:v>2.161667</c:v>
              </c:pt>
              <c:pt idx="1320">
                <c:v>2.213333</c:v>
              </c:pt>
              <c:pt idx="1321">
                <c:v>2.4883329999999999</c:v>
              </c:pt>
              <c:pt idx="1322">
                <c:v>1.75</c:v>
              </c:pt>
              <c:pt idx="1323">
                <c:v>2.0550000000000002</c:v>
              </c:pt>
              <c:pt idx="1324">
                <c:v>1.7050000000000001</c:v>
              </c:pt>
              <c:pt idx="1325">
                <c:v>1.88</c:v>
              </c:pt>
              <c:pt idx="1326">
                <c:v>1.6783330000000001</c:v>
              </c:pt>
              <c:pt idx="1327">
                <c:v>1.8016669999999999</c:v>
              </c:pt>
              <c:pt idx="1328">
                <c:v>2.0499999999999998</c:v>
              </c:pt>
              <c:pt idx="1329">
                <c:v>1.83</c:v>
              </c:pt>
              <c:pt idx="1330">
                <c:v>1.7933330000000001</c:v>
              </c:pt>
              <c:pt idx="1331">
                <c:v>1.895</c:v>
              </c:pt>
              <c:pt idx="1332">
                <c:v>1.5349999999999999</c:v>
              </c:pt>
              <c:pt idx="1333">
                <c:v>2.58</c:v>
              </c:pt>
              <c:pt idx="1334">
                <c:v>2.4283329999999999</c:v>
              </c:pt>
              <c:pt idx="1335">
                <c:v>2.3866670000000001</c:v>
              </c:pt>
              <c:pt idx="1336">
                <c:v>2.4083329999999998</c:v>
              </c:pt>
              <c:pt idx="1337">
                <c:v>3.06</c:v>
              </c:pt>
              <c:pt idx="1338">
                <c:v>2.35</c:v>
              </c:pt>
              <c:pt idx="1339">
                <c:v>2.2566670000000002</c:v>
              </c:pt>
              <c:pt idx="1340">
                <c:v>2.318333</c:v>
              </c:pt>
              <c:pt idx="1341">
                <c:v>2.4449999999999998</c:v>
              </c:pt>
              <c:pt idx="1342">
                <c:v>2.0316670000000001</c:v>
              </c:pt>
              <c:pt idx="1343">
                <c:v>2.1433330000000002</c:v>
              </c:pt>
              <c:pt idx="1344">
                <c:v>2.5299999999999998</c:v>
              </c:pt>
              <c:pt idx="1345">
                <c:v>1.9283330000000001</c:v>
              </c:pt>
              <c:pt idx="1346">
                <c:v>1.663333</c:v>
              </c:pt>
              <c:pt idx="1347">
                <c:v>2.0616669999999999</c:v>
              </c:pt>
              <c:pt idx="1348">
                <c:v>1.641667</c:v>
              </c:pt>
              <c:pt idx="1349">
                <c:v>1.3633329999999999</c:v>
              </c:pt>
              <c:pt idx="1350">
                <c:v>1.7416670000000001</c:v>
              </c:pt>
              <c:pt idx="1351">
                <c:v>2.246667</c:v>
              </c:pt>
              <c:pt idx="1352">
                <c:v>1.671667</c:v>
              </c:pt>
              <c:pt idx="1353">
                <c:v>2.696666</c:v>
              </c:pt>
              <c:pt idx="1354">
                <c:v>1.711667</c:v>
              </c:pt>
              <c:pt idx="1355">
                <c:v>1.496667</c:v>
              </c:pt>
              <c:pt idx="1356">
                <c:v>1.611667</c:v>
              </c:pt>
              <c:pt idx="1357">
                <c:v>2.266667</c:v>
              </c:pt>
              <c:pt idx="1358">
                <c:v>1.838333</c:v>
              </c:pt>
              <c:pt idx="1359">
                <c:v>2.0099999999999998</c:v>
              </c:pt>
              <c:pt idx="1360">
                <c:v>2.8933330000000002</c:v>
              </c:pt>
              <c:pt idx="1361">
                <c:v>2.2633329999999998</c:v>
              </c:pt>
              <c:pt idx="1362">
                <c:v>2.5833330000000001</c:v>
              </c:pt>
              <c:pt idx="1363">
                <c:v>2.6916669999999998</c:v>
              </c:pt>
              <c:pt idx="1364">
                <c:v>2.4550000000000001</c:v>
              </c:pt>
              <c:pt idx="1365">
                <c:v>2.7250000000000001</c:v>
              </c:pt>
              <c:pt idx="1366">
                <c:v>3.09</c:v>
              </c:pt>
              <c:pt idx="1367">
                <c:v>2.875</c:v>
              </c:pt>
              <c:pt idx="1368">
                <c:v>2.9816669999999998</c:v>
              </c:pt>
              <c:pt idx="1369">
                <c:v>3.1366670000000001</c:v>
              </c:pt>
              <c:pt idx="1370">
                <c:v>2.628333</c:v>
              </c:pt>
              <c:pt idx="1371">
                <c:v>3.023333</c:v>
              </c:pt>
              <c:pt idx="1372">
                <c:v>2.6466669999999999</c:v>
              </c:pt>
              <c:pt idx="1373">
                <c:v>2.8866670000000001</c:v>
              </c:pt>
              <c:pt idx="1374">
                <c:v>2.9183330000000001</c:v>
              </c:pt>
              <c:pt idx="1375">
                <c:v>2.871667</c:v>
              </c:pt>
              <c:pt idx="1376">
                <c:v>3.0966659999999999</c:v>
              </c:pt>
              <c:pt idx="1377">
                <c:v>3.0433330000000001</c:v>
              </c:pt>
              <c:pt idx="1378">
                <c:v>2.9</c:v>
              </c:pt>
              <c:pt idx="1379">
                <c:v>2.2183329999999999</c:v>
              </c:pt>
              <c:pt idx="1380">
                <c:v>2.8033329999999999</c:v>
              </c:pt>
              <c:pt idx="1381">
                <c:v>2.3483329999999998</c:v>
              </c:pt>
              <c:pt idx="1382">
                <c:v>2.226667</c:v>
              </c:pt>
              <c:pt idx="1383">
                <c:v>2.7749999999999999</c:v>
              </c:pt>
              <c:pt idx="1384">
                <c:v>3.1949999999999998</c:v>
              </c:pt>
              <c:pt idx="1385">
                <c:v>2.1983329999999999</c:v>
              </c:pt>
              <c:pt idx="1386">
                <c:v>2.5616669999999999</c:v>
              </c:pt>
              <c:pt idx="1387">
                <c:v>2.085</c:v>
              </c:pt>
              <c:pt idx="1388">
                <c:v>2.4783330000000001</c:v>
              </c:pt>
              <c:pt idx="1389">
                <c:v>2.4783330000000001</c:v>
              </c:pt>
              <c:pt idx="1390">
                <c:v>2.2349999999999999</c:v>
              </c:pt>
              <c:pt idx="1391">
                <c:v>2.6850000000000001</c:v>
              </c:pt>
              <c:pt idx="1392">
                <c:v>1.8533329999999999</c:v>
              </c:pt>
              <c:pt idx="1393">
                <c:v>2.193333</c:v>
              </c:pt>
              <c:pt idx="1394">
                <c:v>2.2933330000000001</c:v>
              </c:pt>
              <c:pt idx="1395">
                <c:v>2.4</c:v>
              </c:pt>
              <c:pt idx="1396">
                <c:v>3.0150000000000001</c:v>
              </c:pt>
              <c:pt idx="1397">
                <c:v>2.3566669999999998</c:v>
              </c:pt>
              <c:pt idx="1398">
                <c:v>3.298333</c:v>
              </c:pt>
              <c:pt idx="1399">
                <c:v>2.5216669999999999</c:v>
              </c:pt>
              <c:pt idx="1400">
                <c:v>3.1333329999999999</c:v>
              </c:pt>
              <c:pt idx="1401">
                <c:v>2.608333</c:v>
              </c:pt>
              <c:pt idx="1402">
                <c:v>3.5416660000000002</c:v>
              </c:pt>
              <c:pt idx="1403">
                <c:v>2.701667</c:v>
              </c:pt>
              <c:pt idx="1404">
                <c:v>2.871667</c:v>
              </c:pt>
              <c:pt idx="1405">
                <c:v>2.2416670000000001</c:v>
              </c:pt>
              <c:pt idx="1406">
                <c:v>2.121667</c:v>
              </c:pt>
              <c:pt idx="1407">
                <c:v>2.1383329999999998</c:v>
              </c:pt>
              <c:pt idx="1408">
                <c:v>2.56</c:v>
              </c:pt>
              <c:pt idx="1409">
                <c:v>2.3216670000000001</c:v>
              </c:pt>
              <c:pt idx="1410">
                <c:v>2.375</c:v>
              </c:pt>
              <c:pt idx="1411">
                <c:v>2.3450000000000002</c:v>
              </c:pt>
              <c:pt idx="1412">
                <c:v>2.7233329999999998</c:v>
              </c:pt>
              <c:pt idx="1413">
                <c:v>2.6266669999999999</c:v>
              </c:pt>
              <c:pt idx="1414">
                <c:v>2.701667</c:v>
              </c:pt>
              <c:pt idx="1415">
                <c:v>2.8333330000000001</c:v>
              </c:pt>
              <c:pt idx="1416">
                <c:v>3.463333</c:v>
              </c:pt>
              <c:pt idx="1417">
                <c:v>4.1449999999999996</c:v>
              </c:pt>
              <c:pt idx="1418">
                <c:v>4.22</c:v>
              </c:pt>
              <c:pt idx="1419">
                <c:v>3.6850000000000001</c:v>
              </c:pt>
              <c:pt idx="1420">
                <c:v>3.3250000000000002</c:v>
              </c:pt>
              <c:pt idx="1421">
                <c:v>2.7516660000000002</c:v>
              </c:pt>
              <c:pt idx="1422">
                <c:v>4.5366660000000003</c:v>
              </c:pt>
              <c:pt idx="1423">
                <c:v>3.7549999999999999</c:v>
              </c:pt>
              <c:pt idx="1424">
                <c:v>3.69</c:v>
              </c:pt>
              <c:pt idx="1425">
                <c:v>3.5533329999999999</c:v>
              </c:pt>
              <c:pt idx="1426">
                <c:v>3.58</c:v>
              </c:pt>
              <c:pt idx="1427">
                <c:v>3.78</c:v>
              </c:pt>
              <c:pt idx="1428">
                <c:v>3.3666670000000001</c:v>
              </c:pt>
              <c:pt idx="1429">
                <c:v>3.0933329999999999</c:v>
              </c:pt>
              <c:pt idx="1430">
                <c:v>4.0216669999999999</c:v>
              </c:pt>
              <c:pt idx="1431">
                <c:v>4.0416670000000003</c:v>
              </c:pt>
              <c:pt idx="1432">
                <c:v>3.8766660000000002</c:v>
              </c:pt>
              <c:pt idx="1433">
                <c:v>2.821666</c:v>
              </c:pt>
              <c:pt idx="1434">
                <c:v>4.1900000000000004</c:v>
              </c:pt>
              <c:pt idx="1435">
                <c:v>3.3283330000000002</c:v>
              </c:pt>
              <c:pt idx="1436">
                <c:v>4.5433339999999998</c:v>
              </c:pt>
              <c:pt idx="1437">
                <c:v>3.9550000000000001</c:v>
              </c:pt>
              <c:pt idx="1438">
                <c:v>4.3550000000000004</c:v>
              </c:pt>
              <c:pt idx="1439">
                <c:v>5.0116670000000001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1-0587-4D2D-AD37-15C310B27EC5}"/>
            </c:ext>
          </c:extLst>
        </c:ser>
        <c:ser>
          <c:idx val="2"/>
          <c:order val="2"/>
          <c:tx>
            <c:v>3.677880643 5.421667 IS6 WMS Wind Speed(m/s)</c:v>
          </c:tx>
          <c:spPr>
            <a:ln w="28575" cap="rnd">
              <a:solidFill>
                <a:schemeClr val="accent3"/>
              </a:solidFill>
              <a:round/>
            </a:ln>
            <a:effectLst/>
          </c:spPr>
          <c:marker>
            <c:symbol val="none"/>
          </c:marker>
          <c:val>
            <c:numLit>
              <c:formatCode>General</c:formatCode>
              <c:ptCount val="1687"/>
              <c:pt idx="0">
                <c:v>2.9883329999999999</c:v>
              </c:pt>
              <c:pt idx="1">
                <c:v>3.1949999999999998</c:v>
              </c:pt>
              <c:pt idx="2">
                <c:v>2.9733329999999998</c:v>
              </c:pt>
              <c:pt idx="3">
                <c:v>3.201667</c:v>
              </c:pt>
              <c:pt idx="4">
                <c:v>3.4533330000000002</c:v>
              </c:pt>
              <c:pt idx="5">
                <c:v>3.09</c:v>
              </c:pt>
              <c:pt idx="6">
                <c:v>3.2349999999999999</c:v>
              </c:pt>
              <c:pt idx="7">
                <c:v>3.17</c:v>
              </c:pt>
              <c:pt idx="8">
                <c:v>3.591666</c:v>
              </c:pt>
              <c:pt idx="9">
                <c:v>3.28</c:v>
              </c:pt>
              <c:pt idx="10">
                <c:v>3.7316660000000001</c:v>
              </c:pt>
              <c:pt idx="11">
                <c:v>3.2366670000000002</c:v>
              </c:pt>
              <c:pt idx="12">
                <c:v>3.4533330000000002</c:v>
              </c:pt>
              <c:pt idx="13">
                <c:v>3.4950000000000001</c:v>
              </c:pt>
              <c:pt idx="14">
                <c:v>3.085</c:v>
              </c:pt>
              <c:pt idx="15">
                <c:v>3.121667</c:v>
              </c:pt>
              <c:pt idx="16">
                <c:v>3.273333</c:v>
              </c:pt>
              <c:pt idx="17">
                <c:v>3.4583330000000001</c:v>
              </c:pt>
              <c:pt idx="18">
                <c:v>3.2216670000000001</c:v>
              </c:pt>
              <c:pt idx="19">
                <c:v>3.5383330000000002</c:v>
              </c:pt>
              <c:pt idx="20">
                <c:v>3.5866660000000001</c:v>
              </c:pt>
              <c:pt idx="21">
                <c:v>3.818333</c:v>
              </c:pt>
              <c:pt idx="22">
                <c:v>2.9566669999999999</c:v>
              </c:pt>
              <c:pt idx="23">
                <c:v>2.79</c:v>
              </c:pt>
              <c:pt idx="24">
                <c:v>2.94</c:v>
              </c:pt>
              <c:pt idx="25">
                <c:v>3.4849999999999999</c:v>
              </c:pt>
              <c:pt idx="26">
                <c:v>3.6150000000000002</c:v>
              </c:pt>
              <c:pt idx="27">
                <c:v>3.08</c:v>
              </c:pt>
              <c:pt idx="28">
                <c:v>2.2966669999999998</c:v>
              </c:pt>
              <c:pt idx="29">
                <c:v>1.836667</c:v>
              </c:pt>
              <c:pt idx="30">
                <c:v>2.62</c:v>
              </c:pt>
              <c:pt idx="31">
                <c:v>3.0416669999999999</c:v>
              </c:pt>
              <c:pt idx="32">
                <c:v>2.6833330000000002</c:v>
              </c:pt>
              <c:pt idx="33">
                <c:v>2.3966669999999999</c:v>
              </c:pt>
              <c:pt idx="34">
                <c:v>2.608333</c:v>
              </c:pt>
              <c:pt idx="35">
                <c:v>2.4933329999999998</c:v>
              </c:pt>
              <c:pt idx="36">
                <c:v>2.746667</c:v>
              </c:pt>
              <c:pt idx="37">
                <c:v>3.4983330000000001</c:v>
              </c:pt>
              <c:pt idx="38">
                <c:v>2.665</c:v>
              </c:pt>
              <c:pt idx="39">
                <c:v>3.4083329999999998</c:v>
              </c:pt>
              <c:pt idx="40">
                <c:v>3.0466660000000001</c:v>
              </c:pt>
              <c:pt idx="41">
                <c:v>2.67</c:v>
              </c:pt>
              <c:pt idx="42">
                <c:v>3.1666660000000002</c:v>
              </c:pt>
              <c:pt idx="43">
                <c:v>2.911667</c:v>
              </c:pt>
              <c:pt idx="44">
                <c:v>2.9033329999999999</c:v>
              </c:pt>
              <c:pt idx="45">
                <c:v>3.0933329999999999</c:v>
              </c:pt>
              <c:pt idx="46">
                <c:v>2.3416670000000002</c:v>
              </c:pt>
              <c:pt idx="47">
                <c:v>2.855</c:v>
              </c:pt>
              <c:pt idx="48">
                <c:v>3.0533329999999999</c:v>
              </c:pt>
              <c:pt idx="49">
                <c:v>3.2749999999999999</c:v>
              </c:pt>
              <c:pt idx="50">
                <c:v>4.9233330000000004</c:v>
              </c:pt>
              <c:pt idx="51">
                <c:v>4.2050000000000001</c:v>
              </c:pt>
              <c:pt idx="52">
                <c:v>5.1816659999999999</c:v>
              </c:pt>
              <c:pt idx="53">
                <c:v>4.5716659999999996</c:v>
              </c:pt>
              <c:pt idx="54">
                <c:v>4.5083330000000004</c:v>
              </c:pt>
              <c:pt idx="55">
                <c:v>4.26</c:v>
              </c:pt>
              <c:pt idx="56">
                <c:v>3.05</c:v>
              </c:pt>
              <c:pt idx="57">
                <c:v>3.6850000000000001</c:v>
              </c:pt>
              <c:pt idx="58">
                <c:v>3.3149999999999999</c:v>
              </c:pt>
              <c:pt idx="59">
                <c:v>4.2233330000000002</c:v>
              </c:pt>
              <c:pt idx="60">
                <c:v>4.5283329999999999</c:v>
              </c:pt>
              <c:pt idx="61">
                <c:v>3.5183330000000002</c:v>
              </c:pt>
              <c:pt idx="62">
                <c:v>3.7883330000000002</c:v>
              </c:pt>
              <c:pt idx="63">
                <c:v>3.3250000000000002</c:v>
              </c:pt>
              <c:pt idx="64">
                <c:v>3.406666</c:v>
              </c:pt>
              <c:pt idx="65">
                <c:v>3.1150000000000002</c:v>
              </c:pt>
              <c:pt idx="66">
                <c:v>2.556667</c:v>
              </c:pt>
              <c:pt idx="67">
                <c:v>3.1133329999999999</c:v>
              </c:pt>
              <c:pt idx="68">
                <c:v>2.3966669999999999</c:v>
              </c:pt>
              <c:pt idx="69">
                <c:v>2.8033329999999999</c:v>
              </c:pt>
              <c:pt idx="70">
                <c:v>3.085</c:v>
              </c:pt>
              <c:pt idx="71">
                <c:v>2.6033330000000001</c:v>
              </c:pt>
              <c:pt idx="72">
                <c:v>2.341666</c:v>
              </c:pt>
              <c:pt idx="73">
                <c:v>2.141667</c:v>
              </c:pt>
              <c:pt idx="74">
                <c:v>2.14</c:v>
              </c:pt>
              <c:pt idx="75">
                <c:v>2.5433330000000001</c:v>
              </c:pt>
              <c:pt idx="76">
                <c:v>2.4950000000000001</c:v>
              </c:pt>
              <c:pt idx="77">
                <c:v>2.253333</c:v>
              </c:pt>
              <c:pt idx="78">
                <c:v>2.301666</c:v>
              </c:pt>
              <c:pt idx="79">
                <c:v>2.341666</c:v>
              </c:pt>
              <c:pt idx="80">
                <c:v>2.0933329999999999</c:v>
              </c:pt>
              <c:pt idx="81">
                <c:v>2.2583329999999999</c:v>
              </c:pt>
              <c:pt idx="82">
                <c:v>2.571666</c:v>
              </c:pt>
              <c:pt idx="83">
                <c:v>2.1566670000000001</c:v>
              </c:pt>
              <c:pt idx="84">
                <c:v>2.5116670000000001</c:v>
              </c:pt>
              <c:pt idx="85">
                <c:v>2.7566660000000001</c:v>
              </c:pt>
              <c:pt idx="86">
                <c:v>2.5433330000000001</c:v>
              </c:pt>
              <c:pt idx="87">
                <c:v>2.923333</c:v>
              </c:pt>
              <c:pt idx="88">
                <c:v>2.6166670000000001</c:v>
              </c:pt>
              <c:pt idx="89">
                <c:v>2.5933329999999999</c:v>
              </c:pt>
              <c:pt idx="90">
                <c:v>2.4083329999999998</c:v>
              </c:pt>
              <c:pt idx="91">
                <c:v>2.5183330000000002</c:v>
              </c:pt>
              <c:pt idx="92">
                <c:v>3.2633329999999998</c:v>
              </c:pt>
              <c:pt idx="93">
                <c:v>3.0166659999999998</c:v>
              </c:pt>
              <c:pt idx="94">
                <c:v>2.5633330000000001</c:v>
              </c:pt>
              <c:pt idx="95">
                <c:v>2.9249999999999998</c:v>
              </c:pt>
              <c:pt idx="96">
                <c:v>3.3633329999999999</c:v>
              </c:pt>
              <c:pt idx="97">
                <c:v>3.1466669999999999</c:v>
              </c:pt>
              <c:pt idx="98">
                <c:v>3.0566659999999999</c:v>
              </c:pt>
              <c:pt idx="99">
                <c:v>2.556667</c:v>
              </c:pt>
              <c:pt idx="100">
                <c:v>3.0866660000000001</c:v>
              </c:pt>
              <c:pt idx="101">
                <c:v>3.18</c:v>
              </c:pt>
              <c:pt idx="102">
                <c:v>2.4683329999999999</c:v>
              </c:pt>
              <c:pt idx="103">
                <c:v>3.1166670000000001</c:v>
              </c:pt>
              <c:pt idx="104">
                <c:v>2.6749999999999998</c:v>
              </c:pt>
              <c:pt idx="105">
                <c:v>3.0166659999999998</c:v>
              </c:pt>
              <c:pt idx="106">
                <c:v>2.16</c:v>
              </c:pt>
              <c:pt idx="107">
                <c:v>2.1949999999999998</c:v>
              </c:pt>
              <c:pt idx="108">
                <c:v>2.6183329999999998</c:v>
              </c:pt>
              <c:pt idx="109">
                <c:v>2.7916669999999999</c:v>
              </c:pt>
              <c:pt idx="110">
                <c:v>2.2483330000000001</c:v>
              </c:pt>
              <c:pt idx="111">
                <c:v>1.8666670000000001</c:v>
              </c:pt>
              <c:pt idx="112">
                <c:v>2.8166669999999998</c:v>
              </c:pt>
              <c:pt idx="113">
                <c:v>2.826667</c:v>
              </c:pt>
              <c:pt idx="114">
                <c:v>1.746667</c:v>
              </c:pt>
              <c:pt idx="115">
                <c:v>2.016667</c:v>
              </c:pt>
              <c:pt idx="116">
                <c:v>1.9183330000000001</c:v>
              </c:pt>
              <c:pt idx="117">
                <c:v>2.3116669999999999</c:v>
              </c:pt>
              <c:pt idx="118">
                <c:v>2.0116670000000001</c:v>
              </c:pt>
              <c:pt idx="119">
                <c:v>2.1466669999999999</c:v>
              </c:pt>
              <c:pt idx="120">
                <c:v>2.4449999999999998</c:v>
              </c:pt>
              <c:pt idx="121">
                <c:v>3.0933329999999999</c:v>
              </c:pt>
              <c:pt idx="122">
                <c:v>2.713333</c:v>
              </c:pt>
              <c:pt idx="123">
                <c:v>2.6783329999999999</c:v>
              </c:pt>
              <c:pt idx="124">
                <c:v>2.0666669999999998</c:v>
              </c:pt>
              <c:pt idx="125">
                <c:v>1.838333</c:v>
              </c:pt>
              <c:pt idx="126">
                <c:v>2.7549999999999999</c:v>
              </c:pt>
              <c:pt idx="127">
                <c:v>2.036667</c:v>
              </c:pt>
              <c:pt idx="128">
                <c:v>2.4</c:v>
              </c:pt>
              <c:pt idx="129">
                <c:v>1.48</c:v>
              </c:pt>
              <c:pt idx="130">
                <c:v>2.0299999999999998</c:v>
              </c:pt>
              <c:pt idx="131">
                <c:v>2.0183330000000002</c:v>
              </c:pt>
              <c:pt idx="132">
                <c:v>1.2283329999999999</c:v>
              </c:pt>
              <c:pt idx="133">
                <c:v>1.4850000000000001</c:v>
              </c:pt>
              <c:pt idx="134">
                <c:v>2.6033330000000001</c:v>
              </c:pt>
              <c:pt idx="135">
                <c:v>2.068333</c:v>
              </c:pt>
              <c:pt idx="136">
                <c:v>1.243333</c:v>
              </c:pt>
              <c:pt idx="137">
                <c:v>1.276667</c:v>
              </c:pt>
              <c:pt idx="138">
                <c:v>1.191667</c:v>
              </c:pt>
              <c:pt idx="139">
                <c:v>0.91666669999999995</c:v>
              </c:pt>
              <c:pt idx="140">
                <c:v>1.34</c:v>
              </c:pt>
              <c:pt idx="141">
                <c:v>1.6433329999999999</c:v>
              </c:pt>
              <c:pt idx="142">
                <c:v>1.993333</c:v>
              </c:pt>
              <c:pt idx="143">
                <c:v>1.441667</c:v>
              </c:pt>
              <c:pt idx="144">
                <c:v>1.415</c:v>
              </c:pt>
              <c:pt idx="145">
                <c:v>1.193333</c:v>
              </c:pt>
              <c:pt idx="146">
                <c:v>1.3433330000000001</c:v>
              </c:pt>
              <c:pt idx="147">
                <c:v>1.443333</c:v>
              </c:pt>
              <c:pt idx="148">
                <c:v>1.776667</c:v>
              </c:pt>
              <c:pt idx="149">
                <c:v>1.421667</c:v>
              </c:pt>
              <c:pt idx="150">
                <c:v>2.1183329999999998</c:v>
              </c:pt>
              <c:pt idx="151">
                <c:v>1.923333</c:v>
              </c:pt>
              <c:pt idx="152">
                <c:v>2.4616669999999998</c:v>
              </c:pt>
              <c:pt idx="153">
                <c:v>1.7450000000000001</c:v>
              </c:pt>
              <c:pt idx="154">
                <c:v>1.7166669999999999</c:v>
              </c:pt>
              <c:pt idx="155">
                <c:v>1.86</c:v>
              </c:pt>
              <c:pt idx="156">
                <c:v>2.3450000000000002</c:v>
              </c:pt>
              <c:pt idx="157">
                <c:v>1.395</c:v>
              </c:pt>
              <c:pt idx="158">
                <c:v>0.97166660000000005</c:v>
              </c:pt>
              <c:pt idx="159">
                <c:v>1.326667</c:v>
              </c:pt>
              <c:pt idx="160">
                <c:v>2.1433330000000002</c:v>
              </c:pt>
              <c:pt idx="161">
                <c:v>1.713333</c:v>
              </c:pt>
              <c:pt idx="162">
                <c:v>1.1299999999999999</c:v>
              </c:pt>
              <c:pt idx="163">
                <c:v>1.0833330000000001</c:v>
              </c:pt>
              <c:pt idx="164">
                <c:v>1.148333</c:v>
              </c:pt>
              <c:pt idx="165">
                <c:v>1.211667</c:v>
              </c:pt>
              <c:pt idx="166">
                <c:v>1.7549999999999999</c:v>
              </c:pt>
              <c:pt idx="167">
                <c:v>1.288333</c:v>
              </c:pt>
              <c:pt idx="168">
                <c:v>1.9583330000000001</c:v>
              </c:pt>
              <c:pt idx="169">
                <c:v>1.05</c:v>
              </c:pt>
              <c:pt idx="170">
                <c:v>0.8199999</c:v>
              </c:pt>
              <c:pt idx="171">
                <c:v>0.83166660000000003</c:v>
              </c:pt>
              <c:pt idx="172">
                <c:v>1.298333</c:v>
              </c:pt>
              <c:pt idx="173">
                <c:v>1.35</c:v>
              </c:pt>
              <c:pt idx="174">
                <c:v>1.4983329999999999</c:v>
              </c:pt>
              <c:pt idx="175">
                <c:v>1.3933329999999999</c:v>
              </c:pt>
              <c:pt idx="176">
                <c:v>1.3</c:v>
              </c:pt>
              <c:pt idx="177">
                <c:v>1.348333</c:v>
              </c:pt>
              <c:pt idx="178">
                <c:v>1.203333</c:v>
              </c:pt>
              <c:pt idx="179">
                <c:v>1.44</c:v>
              </c:pt>
              <c:pt idx="180">
                <c:v>1.4483330000000001</c:v>
              </c:pt>
              <c:pt idx="181">
                <c:v>0.99666659999999996</c:v>
              </c:pt>
              <c:pt idx="182">
                <c:v>1.4550000000000001</c:v>
              </c:pt>
              <c:pt idx="183">
                <c:v>1.601667</c:v>
              </c:pt>
              <c:pt idx="184">
                <c:v>0.51166659999999997</c:v>
              </c:pt>
              <c:pt idx="185">
                <c:v>0.30333329999999997</c:v>
              </c:pt>
              <c:pt idx="186">
                <c:v>0</c:v>
              </c:pt>
              <c:pt idx="187">
                <c:v>0.1833333</c:v>
              </c:pt>
              <c:pt idx="188">
                <c:v>0.49833329999999998</c:v>
              </c:pt>
              <c:pt idx="189">
                <c:v>0.18666669999999999</c:v>
              </c:pt>
              <c:pt idx="190">
                <c:v>0.12333330000000001</c:v>
              </c:pt>
              <c:pt idx="191">
                <c:v>0.95666660000000003</c:v>
              </c:pt>
              <c:pt idx="192">
                <c:v>1.0349999999999999</c:v>
              </c:pt>
              <c:pt idx="193">
                <c:v>0.93833330000000004</c:v>
              </c:pt>
              <c:pt idx="194">
                <c:v>1.08</c:v>
              </c:pt>
              <c:pt idx="195">
                <c:v>1.256667</c:v>
              </c:pt>
              <c:pt idx="196">
                <c:v>1.9316660000000001</c:v>
              </c:pt>
              <c:pt idx="197">
                <c:v>1.595</c:v>
              </c:pt>
              <c:pt idx="198">
                <c:v>1.838333</c:v>
              </c:pt>
              <c:pt idx="199">
                <c:v>2.0016669999999999</c:v>
              </c:pt>
              <c:pt idx="200">
                <c:v>1.961667</c:v>
              </c:pt>
              <c:pt idx="201">
                <c:v>1.9266669999999999</c:v>
              </c:pt>
              <c:pt idx="202">
                <c:v>2.181667</c:v>
              </c:pt>
              <c:pt idx="203">
                <c:v>2.0116670000000001</c:v>
              </c:pt>
              <c:pt idx="204">
                <c:v>2.1383329999999998</c:v>
              </c:pt>
              <c:pt idx="205">
                <c:v>2.318333</c:v>
              </c:pt>
              <c:pt idx="206">
                <c:v>2.3866670000000001</c:v>
              </c:pt>
              <c:pt idx="207">
                <c:v>2.19</c:v>
              </c:pt>
              <c:pt idx="208">
                <c:v>1.85</c:v>
              </c:pt>
              <c:pt idx="209">
                <c:v>2.6666669999999999</c:v>
              </c:pt>
              <c:pt idx="210">
                <c:v>2.1183329999999998</c:v>
              </c:pt>
              <c:pt idx="211">
                <c:v>1.361667</c:v>
              </c:pt>
              <c:pt idx="212">
                <c:v>1.486667</c:v>
              </c:pt>
              <c:pt idx="213">
                <c:v>1.4816670000000001</c:v>
              </c:pt>
              <c:pt idx="214">
                <c:v>1.375</c:v>
              </c:pt>
              <c:pt idx="215">
                <c:v>1.4683330000000001</c:v>
              </c:pt>
              <c:pt idx="216">
                <c:v>1.2066669999999999</c:v>
              </c:pt>
              <c:pt idx="217">
                <c:v>1.88</c:v>
              </c:pt>
              <c:pt idx="218">
                <c:v>1.851667</c:v>
              </c:pt>
              <c:pt idx="219">
                <c:v>1.6950000000000001</c:v>
              </c:pt>
              <c:pt idx="220">
                <c:v>1.536667</c:v>
              </c:pt>
              <c:pt idx="221">
                <c:v>2.06</c:v>
              </c:pt>
              <c:pt idx="222">
                <c:v>1.413333</c:v>
              </c:pt>
              <c:pt idx="223">
                <c:v>1.461667</c:v>
              </c:pt>
              <c:pt idx="224">
                <c:v>1.5833330000000001</c:v>
              </c:pt>
              <c:pt idx="225">
                <c:v>2.3616670000000002</c:v>
              </c:pt>
              <c:pt idx="226">
                <c:v>2.9716659999999999</c:v>
              </c:pt>
              <c:pt idx="227">
                <c:v>2.6583329999999998</c:v>
              </c:pt>
              <c:pt idx="228">
                <c:v>2.8250000000000002</c:v>
              </c:pt>
              <c:pt idx="229">
                <c:v>2.9533330000000002</c:v>
              </c:pt>
              <c:pt idx="230">
                <c:v>2.65</c:v>
              </c:pt>
              <c:pt idx="231">
                <c:v>2.693333</c:v>
              </c:pt>
              <c:pt idx="232">
                <c:v>2.3283330000000002</c:v>
              </c:pt>
              <c:pt idx="233">
                <c:v>1.7066669999999999</c:v>
              </c:pt>
              <c:pt idx="234">
                <c:v>1.598333</c:v>
              </c:pt>
              <c:pt idx="235">
                <c:v>1.36</c:v>
              </c:pt>
              <c:pt idx="236">
                <c:v>1.4666669999999999</c:v>
              </c:pt>
              <c:pt idx="237">
                <c:v>2.2783329999999999</c:v>
              </c:pt>
              <c:pt idx="238">
                <c:v>2.0249999999999999</c:v>
              </c:pt>
              <c:pt idx="239">
                <c:v>2.6433330000000002</c:v>
              </c:pt>
              <c:pt idx="240">
                <c:v>2.4133330000000002</c:v>
              </c:pt>
              <c:pt idx="241">
                <c:v>2.7349999999999999</c:v>
              </c:pt>
              <c:pt idx="242">
                <c:v>2.216666</c:v>
              </c:pt>
              <c:pt idx="243">
                <c:v>1.693333</c:v>
              </c:pt>
              <c:pt idx="244">
                <c:v>2.1850000000000001</c:v>
              </c:pt>
              <c:pt idx="245">
                <c:v>2.0316670000000001</c:v>
              </c:pt>
              <c:pt idx="246">
                <c:v>2.7433329999999998</c:v>
              </c:pt>
              <c:pt idx="247">
                <c:v>2.1349999999999998</c:v>
              </c:pt>
              <c:pt idx="248">
                <c:v>2.6516670000000002</c:v>
              </c:pt>
              <c:pt idx="249">
                <c:v>2.8516659999999998</c:v>
              </c:pt>
              <c:pt idx="250">
                <c:v>2.806667</c:v>
              </c:pt>
              <c:pt idx="251">
                <c:v>2.2483330000000001</c:v>
              </c:pt>
              <c:pt idx="252">
                <c:v>1.953333</c:v>
              </c:pt>
              <c:pt idx="253">
                <c:v>2.39</c:v>
              </c:pt>
              <c:pt idx="254">
                <c:v>2.923333</c:v>
              </c:pt>
              <c:pt idx="255">
                <c:v>2.8433329999999999</c:v>
              </c:pt>
              <c:pt idx="256">
                <c:v>2.5299999999999998</c:v>
              </c:pt>
              <c:pt idx="257">
                <c:v>2.1266669999999999</c:v>
              </c:pt>
              <c:pt idx="258">
                <c:v>2.9866670000000002</c:v>
              </c:pt>
              <c:pt idx="259">
                <c:v>2.6583329999999998</c:v>
              </c:pt>
              <c:pt idx="260">
                <c:v>2.391667</c:v>
              </c:pt>
              <c:pt idx="261">
                <c:v>3.0633330000000001</c:v>
              </c:pt>
              <c:pt idx="262">
                <c:v>3.0733329999999999</c:v>
              </c:pt>
              <c:pt idx="263">
                <c:v>2.8633329999999999</c:v>
              </c:pt>
              <c:pt idx="264">
                <c:v>2.4066670000000001</c:v>
              </c:pt>
              <c:pt idx="265">
                <c:v>2.375</c:v>
              </c:pt>
              <c:pt idx="266">
                <c:v>2.4383330000000001</c:v>
              </c:pt>
              <c:pt idx="267">
                <c:v>1.848333</c:v>
              </c:pt>
              <c:pt idx="268">
                <c:v>1.371667</c:v>
              </c:pt>
              <c:pt idx="269">
                <c:v>1.9816670000000001</c:v>
              </c:pt>
              <c:pt idx="270">
                <c:v>1.431667</c:v>
              </c:pt>
              <c:pt idx="271">
                <c:v>0.96166660000000004</c:v>
              </c:pt>
              <c:pt idx="272">
                <c:v>1.4</c:v>
              </c:pt>
              <c:pt idx="273">
                <c:v>1.8066660000000001</c:v>
              </c:pt>
              <c:pt idx="274">
                <c:v>1.7183330000000001</c:v>
              </c:pt>
              <c:pt idx="275">
                <c:v>1.7516670000000001</c:v>
              </c:pt>
              <c:pt idx="276">
                <c:v>1.4350000000000001</c:v>
              </c:pt>
              <c:pt idx="277">
                <c:v>1.675</c:v>
              </c:pt>
              <c:pt idx="278">
                <c:v>1.5283329999999999</c:v>
              </c:pt>
              <c:pt idx="279">
                <c:v>0.57999999999999996</c:v>
              </c:pt>
              <c:pt idx="280">
                <c:v>0.51166659999999997</c:v>
              </c:pt>
              <c:pt idx="281">
                <c:v>0.59666660000000005</c:v>
              </c:pt>
              <c:pt idx="282">
                <c:v>0.72999990000000003</c:v>
              </c:pt>
              <c:pt idx="283">
                <c:v>0.86333329999999997</c:v>
              </c:pt>
              <c:pt idx="284">
                <c:v>0.77166659999999998</c:v>
              </c:pt>
              <c:pt idx="285">
                <c:v>0.89666659999999998</c:v>
              </c:pt>
              <c:pt idx="286">
                <c:v>1.0433330000000001</c:v>
              </c:pt>
              <c:pt idx="287">
                <c:v>1.26</c:v>
              </c:pt>
              <c:pt idx="288">
                <c:v>1.173333</c:v>
              </c:pt>
              <c:pt idx="289">
                <c:v>1.316667</c:v>
              </c:pt>
              <c:pt idx="290">
                <c:v>1.1583330000000001</c:v>
              </c:pt>
              <c:pt idx="291">
                <c:v>1.3133330000000001</c:v>
              </c:pt>
              <c:pt idx="292">
                <c:v>1.6783330000000001</c:v>
              </c:pt>
              <c:pt idx="293">
                <c:v>1.0283329999999999</c:v>
              </c:pt>
              <c:pt idx="294">
                <c:v>1.55</c:v>
              </c:pt>
              <c:pt idx="295">
                <c:v>0.7916666</c:v>
              </c:pt>
              <c:pt idx="296">
                <c:v>1.003333</c:v>
              </c:pt>
              <c:pt idx="297">
                <c:v>1.39</c:v>
              </c:pt>
              <c:pt idx="298">
                <c:v>1.413333</c:v>
              </c:pt>
              <c:pt idx="299">
                <c:v>0.49333329999999997</c:v>
              </c:pt>
              <c:pt idx="300">
                <c:v>0.5233333</c:v>
              </c:pt>
              <c:pt idx="301">
                <c:v>1.125</c:v>
              </c:pt>
              <c:pt idx="302">
                <c:v>0.79999989999999999</c:v>
              </c:pt>
              <c:pt idx="303">
                <c:v>0.78833319999999996</c:v>
              </c:pt>
              <c:pt idx="304">
                <c:v>0.92833330000000003</c:v>
              </c:pt>
              <c:pt idx="305">
                <c:v>0.81499999999999995</c:v>
              </c:pt>
              <c:pt idx="306">
                <c:v>1.2183330000000001</c:v>
              </c:pt>
              <c:pt idx="307">
                <c:v>0.89166659999999998</c:v>
              </c:pt>
              <c:pt idx="308">
                <c:v>0.28166669999999999</c:v>
              </c:pt>
              <c:pt idx="309">
                <c:v>0.60499999999999998</c:v>
              </c:pt>
              <c:pt idx="310">
                <c:v>0.61166659999999995</c:v>
              </c:pt>
              <c:pt idx="311">
                <c:v>0.65</c:v>
              </c:pt>
              <c:pt idx="312">
                <c:v>0.56999999999999995</c:v>
              </c:pt>
              <c:pt idx="313">
                <c:v>0.67</c:v>
              </c:pt>
              <c:pt idx="314">
                <c:v>0.97333340000000002</c:v>
              </c:pt>
              <c:pt idx="315">
                <c:v>0.58833329999999995</c:v>
              </c:pt>
              <c:pt idx="316">
                <c:v>0.4766666</c:v>
              </c:pt>
              <c:pt idx="317">
                <c:v>0.79333330000000002</c:v>
              </c:pt>
              <c:pt idx="318">
                <c:v>0.71</c:v>
              </c:pt>
              <c:pt idx="319">
                <c:v>1.076667</c:v>
              </c:pt>
              <c:pt idx="320">
                <c:v>1.4066669999999999</c:v>
              </c:pt>
              <c:pt idx="321">
                <c:v>1.0549999999999999</c:v>
              </c:pt>
              <c:pt idx="322">
                <c:v>1.7549999999999999</c:v>
              </c:pt>
              <c:pt idx="323">
                <c:v>2.4883329999999999</c:v>
              </c:pt>
              <c:pt idx="324">
                <c:v>2.1033330000000001</c:v>
              </c:pt>
              <c:pt idx="325">
                <c:v>1.7350000000000001</c:v>
              </c:pt>
              <c:pt idx="326">
                <c:v>2.0583330000000002</c:v>
              </c:pt>
              <c:pt idx="327">
                <c:v>1.865</c:v>
              </c:pt>
              <c:pt idx="328">
                <c:v>1.6883330000000001</c:v>
              </c:pt>
              <c:pt idx="329">
                <c:v>1.98</c:v>
              </c:pt>
              <c:pt idx="330">
                <c:v>2.0266670000000002</c:v>
              </c:pt>
              <c:pt idx="331">
                <c:v>1.3966670000000001</c:v>
              </c:pt>
              <c:pt idx="332">
                <c:v>1.77</c:v>
              </c:pt>
              <c:pt idx="333">
                <c:v>1.66</c:v>
              </c:pt>
              <c:pt idx="334">
                <c:v>1.2716670000000001</c:v>
              </c:pt>
              <c:pt idx="335">
                <c:v>1.763333</c:v>
              </c:pt>
              <c:pt idx="336">
                <c:v>2.0499999999999998</c:v>
              </c:pt>
              <c:pt idx="337">
                <c:v>2.216666</c:v>
              </c:pt>
              <c:pt idx="338">
                <c:v>1.82</c:v>
              </c:pt>
              <c:pt idx="339">
                <c:v>2.1033330000000001</c:v>
              </c:pt>
              <c:pt idx="340">
                <c:v>1.9466669999999999</c:v>
              </c:pt>
              <c:pt idx="341">
                <c:v>1.7716670000000001</c:v>
              </c:pt>
              <c:pt idx="342">
                <c:v>1.2816669999999999</c:v>
              </c:pt>
              <c:pt idx="343">
                <c:v>2.1</c:v>
              </c:pt>
              <c:pt idx="344">
                <c:v>2.5583330000000002</c:v>
              </c:pt>
              <c:pt idx="345">
                <c:v>1.835</c:v>
              </c:pt>
              <c:pt idx="346">
                <c:v>1.4916670000000001</c:v>
              </c:pt>
              <c:pt idx="347">
                <c:v>1.69</c:v>
              </c:pt>
              <c:pt idx="348">
                <c:v>1.3316669999999999</c:v>
              </c:pt>
              <c:pt idx="349">
                <c:v>1.58</c:v>
              </c:pt>
              <c:pt idx="350">
                <c:v>1.638333</c:v>
              </c:pt>
              <c:pt idx="351">
                <c:v>1.7749999999999999</c:v>
              </c:pt>
              <c:pt idx="352">
                <c:v>1.723333</c:v>
              </c:pt>
              <c:pt idx="353">
                <c:v>2.076667</c:v>
              </c:pt>
              <c:pt idx="354">
                <c:v>1.835</c:v>
              </c:pt>
              <c:pt idx="355">
                <c:v>1.558333</c:v>
              </c:pt>
              <c:pt idx="356">
                <c:v>1.951667</c:v>
              </c:pt>
              <c:pt idx="357">
                <c:v>1.286667</c:v>
              </c:pt>
              <c:pt idx="358">
                <c:v>1.788333</c:v>
              </c:pt>
              <c:pt idx="359">
                <c:v>1.39</c:v>
              </c:pt>
              <c:pt idx="360">
                <c:v>1.631667</c:v>
              </c:pt>
              <c:pt idx="361">
                <c:v>1.713333</c:v>
              </c:pt>
              <c:pt idx="362">
                <c:v>2.608333</c:v>
              </c:pt>
              <c:pt idx="363">
                <c:v>2.1266669999999999</c:v>
              </c:pt>
              <c:pt idx="364">
                <c:v>2.04</c:v>
              </c:pt>
              <c:pt idx="365">
                <c:v>2.0933329999999999</c:v>
              </c:pt>
              <c:pt idx="366">
                <c:v>1.913333</c:v>
              </c:pt>
              <c:pt idx="367">
                <c:v>1.7516670000000001</c:v>
              </c:pt>
              <c:pt idx="368">
                <c:v>1.638333</c:v>
              </c:pt>
              <c:pt idx="369">
                <c:v>2.128333</c:v>
              </c:pt>
              <c:pt idx="370">
                <c:v>2.423333</c:v>
              </c:pt>
              <c:pt idx="371">
                <c:v>2.2949999999999999</c:v>
              </c:pt>
              <c:pt idx="372">
                <c:v>2.576667</c:v>
              </c:pt>
              <c:pt idx="373">
                <c:v>1.923333</c:v>
              </c:pt>
              <c:pt idx="374">
                <c:v>2.2083330000000001</c:v>
              </c:pt>
              <c:pt idx="375">
                <c:v>2.7616670000000001</c:v>
              </c:pt>
              <c:pt idx="376">
                <c:v>2.608333</c:v>
              </c:pt>
              <c:pt idx="377">
                <c:v>2.2616670000000001</c:v>
              </c:pt>
              <c:pt idx="378">
                <c:v>2.6833330000000002</c:v>
              </c:pt>
              <c:pt idx="379">
                <c:v>2.713333</c:v>
              </c:pt>
              <c:pt idx="380">
                <c:v>2.6466669999999999</c:v>
              </c:pt>
              <c:pt idx="381">
                <c:v>2.7516660000000002</c:v>
              </c:pt>
              <c:pt idx="382">
                <c:v>3.05</c:v>
              </c:pt>
              <c:pt idx="383">
                <c:v>2.335</c:v>
              </c:pt>
              <c:pt idx="384">
                <c:v>2.801666</c:v>
              </c:pt>
              <c:pt idx="385">
                <c:v>2.3966669999999999</c:v>
              </c:pt>
              <c:pt idx="386">
                <c:v>2.4700000000000002</c:v>
              </c:pt>
              <c:pt idx="387">
                <c:v>2.4249999999999998</c:v>
              </c:pt>
              <c:pt idx="388">
                <c:v>2.0083329999999999</c:v>
              </c:pt>
              <c:pt idx="389">
                <c:v>2.7316669999999998</c:v>
              </c:pt>
              <c:pt idx="390">
                <c:v>2.358333</c:v>
              </c:pt>
              <c:pt idx="391">
                <c:v>2.3866670000000001</c:v>
              </c:pt>
              <c:pt idx="392">
                <c:v>2.3483329999999998</c:v>
              </c:pt>
              <c:pt idx="393">
                <c:v>1.8966670000000001</c:v>
              </c:pt>
              <c:pt idx="394">
                <c:v>2.3166669999999998</c:v>
              </c:pt>
              <c:pt idx="395">
                <c:v>2.19</c:v>
              </c:pt>
              <c:pt idx="396">
                <c:v>1.7416670000000001</c:v>
              </c:pt>
              <c:pt idx="397">
                <c:v>1.6783330000000001</c:v>
              </c:pt>
              <c:pt idx="398">
                <c:v>1.796667</c:v>
              </c:pt>
              <c:pt idx="399">
                <c:v>1.1866669999999999</c:v>
              </c:pt>
              <c:pt idx="400">
                <c:v>1.7549999999999999</c:v>
              </c:pt>
              <c:pt idx="401">
                <c:v>1.7050000000000001</c:v>
              </c:pt>
              <c:pt idx="402">
                <c:v>2.1</c:v>
              </c:pt>
              <c:pt idx="403">
                <c:v>1.4466669999999999</c:v>
              </c:pt>
              <c:pt idx="404">
                <c:v>1.5649999999999999</c:v>
              </c:pt>
              <c:pt idx="405">
                <c:v>2.5533329999999999</c:v>
              </c:pt>
              <c:pt idx="406">
                <c:v>2.3250000000000002</c:v>
              </c:pt>
              <c:pt idx="407">
                <c:v>1.443333</c:v>
              </c:pt>
              <c:pt idx="408">
                <c:v>1.5249999999999999</c:v>
              </c:pt>
              <c:pt idx="409">
                <c:v>2.0016669999999999</c:v>
              </c:pt>
              <c:pt idx="410">
                <c:v>2.6233330000000001</c:v>
              </c:pt>
              <c:pt idx="411">
                <c:v>2.44</c:v>
              </c:pt>
              <c:pt idx="412">
                <c:v>2.71</c:v>
              </c:pt>
              <c:pt idx="413">
                <c:v>2.5066670000000002</c:v>
              </c:pt>
              <c:pt idx="414">
                <c:v>2.128333</c:v>
              </c:pt>
              <c:pt idx="415">
                <c:v>2.1683330000000001</c:v>
              </c:pt>
              <c:pt idx="416">
                <c:v>2.3250000000000002</c:v>
              </c:pt>
              <c:pt idx="417">
                <c:v>2.6716660000000001</c:v>
              </c:pt>
              <c:pt idx="418">
                <c:v>2.121667</c:v>
              </c:pt>
              <c:pt idx="419">
                <c:v>3.4616660000000001</c:v>
              </c:pt>
              <c:pt idx="420">
                <c:v>4.233333</c:v>
              </c:pt>
              <c:pt idx="421">
                <c:v>3.4366660000000002</c:v>
              </c:pt>
              <c:pt idx="422">
                <c:v>3.4683329999999999</c:v>
              </c:pt>
              <c:pt idx="423">
                <c:v>2.1033330000000001</c:v>
              </c:pt>
              <c:pt idx="424">
                <c:v>3.2149999999999999</c:v>
              </c:pt>
              <c:pt idx="425">
                <c:v>1.925</c:v>
              </c:pt>
              <c:pt idx="426">
                <c:v>1.911667</c:v>
              </c:pt>
              <c:pt idx="427">
                <c:v>2.0616669999999999</c:v>
              </c:pt>
              <c:pt idx="428">
                <c:v>1.5516669999999999</c:v>
              </c:pt>
              <c:pt idx="429">
                <c:v>3.051666</c:v>
              </c:pt>
              <c:pt idx="430">
                <c:v>2.286667</c:v>
              </c:pt>
              <c:pt idx="431">
                <c:v>2.8633329999999999</c:v>
              </c:pt>
              <c:pt idx="432">
                <c:v>2.5449999999999999</c:v>
              </c:pt>
              <c:pt idx="433">
                <c:v>2.6783329999999999</c:v>
              </c:pt>
              <c:pt idx="434">
                <c:v>2.608333</c:v>
              </c:pt>
              <c:pt idx="435">
                <c:v>3.0950000000000002</c:v>
              </c:pt>
              <c:pt idx="436">
                <c:v>3.49</c:v>
              </c:pt>
              <c:pt idx="437">
                <c:v>4.4533329999999998</c:v>
              </c:pt>
              <c:pt idx="438">
                <c:v>3.3883329999999998</c:v>
              </c:pt>
              <c:pt idx="439">
                <c:v>3.161667</c:v>
              </c:pt>
              <c:pt idx="440">
                <c:v>3.161667</c:v>
              </c:pt>
              <c:pt idx="441">
                <c:v>3.6516660000000001</c:v>
              </c:pt>
              <c:pt idx="442">
                <c:v>3.2233329999999998</c:v>
              </c:pt>
              <c:pt idx="443">
                <c:v>3.3883329999999998</c:v>
              </c:pt>
              <c:pt idx="444">
                <c:v>4.2183330000000003</c:v>
              </c:pt>
              <c:pt idx="445">
                <c:v>2.3483329999999998</c:v>
              </c:pt>
              <c:pt idx="446">
                <c:v>3.1</c:v>
              </c:pt>
              <c:pt idx="447">
                <c:v>3.165</c:v>
              </c:pt>
              <c:pt idx="448">
                <c:v>3.7149999999999999</c:v>
              </c:pt>
              <c:pt idx="449">
                <c:v>3.375</c:v>
              </c:pt>
              <c:pt idx="450">
                <c:v>4.1383330000000003</c:v>
              </c:pt>
              <c:pt idx="451">
                <c:v>3.5049999999999999</c:v>
              </c:pt>
              <c:pt idx="452">
                <c:v>4.63</c:v>
              </c:pt>
              <c:pt idx="453">
                <c:v>4.0883330000000004</c:v>
              </c:pt>
              <c:pt idx="454">
                <c:v>4.2516660000000002</c:v>
              </c:pt>
              <c:pt idx="455">
                <c:v>5.2033329999999998</c:v>
              </c:pt>
              <c:pt idx="456">
                <c:v>4.2716659999999997</c:v>
              </c:pt>
              <c:pt idx="457">
                <c:v>4.6616660000000003</c:v>
              </c:pt>
              <c:pt idx="458">
                <c:v>4.28</c:v>
              </c:pt>
              <c:pt idx="459">
                <c:v>5.3150000000000004</c:v>
              </c:pt>
              <c:pt idx="460">
                <c:v>4.55</c:v>
              </c:pt>
              <c:pt idx="461">
                <c:v>4.3116659999999998</c:v>
              </c:pt>
              <c:pt idx="462">
                <c:v>3.611666</c:v>
              </c:pt>
              <c:pt idx="463">
                <c:v>3.58</c:v>
              </c:pt>
              <c:pt idx="464">
                <c:v>5.273333</c:v>
              </c:pt>
              <c:pt idx="465">
                <c:v>5.023333</c:v>
              </c:pt>
              <c:pt idx="466">
                <c:v>5.4783330000000001</c:v>
              </c:pt>
              <c:pt idx="467">
                <c:v>4.4966660000000003</c:v>
              </c:pt>
              <c:pt idx="468">
                <c:v>4.0033329999999996</c:v>
              </c:pt>
              <c:pt idx="469">
                <c:v>4.7300000000000004</c:v>
              </c:pt>
              <c:pt idx="470">
                <c:v>5.25</c:v>
              </c:pt>
              <c:pt idx="471">
                <c:v>4.8116659999999998</c:v>
              </c:pt>
              <c:pt idx="472">
                <c:v>5.125</c:v>
              </c:pt>
              <c:pt idx="473">
                <c:v>4.585</c:v>
              </c:pt>
              <c:pt idx="474">
                <c:v>4.74</c:v>
              </c:pt>
              <c:pt idx="475">
                <c:v>3.8933330000000002</c:v>
              </c:pt>
              <c:pt idx="476">
                <c:v>3.26</c:v>
              </c:pt>
              <c:pt idx="477">
                <c:v>3.605</c:v>
              </c:pt>
              <c:pt idx="478">
                <c:v>4.9933329999999998</c:v>
              </c:pt>
              <c:pt idx="479">
                <c:v>4.6616660000000003</c:v>
              </c:pt>
              <c:pt idx="480">
                <c:v>5.3533330000000001</c:v>
              </c:pt>
              <c:pt idx="481">
                <c:v>3.801666</c:v>
              </c:pt>
              <c:pt idx="482">
                <c:v>3.7016659999999999</c:v>
              </c:pt>
              <c:pt idx="483">
                <c:v>4.056667</c:v>
              </c:pt>
              <c:pt idx="484">
                <c:v>4.3416670000000002</c:v>
              </c:pt>
              <c:pt idx="485">
                <c:v>4.306667</c:v>
              </c:pt>
              <c:pt idx="486">
                <c:v>5.1866659999999998</c:v>
              </c:pt>
              <c:pt idx="487">
                <c:v>4.4766659999999998</c:v>
              </c:pt>
              <c:pt idx="488">
                <c:v>3.523333</c:v>
              </c:pt>
              <c:pt idx="489">
                <c:v>4.34</c:v>
              </c:pt>
              <c:pt idx="490">
                <c:v>4.9249999999999998</c:v>
              </c:pt>
              <c:pt idx="491">
                <c:v>5.0650000000000004</c:v>
              </c:pt>
              <c:pt idx="492">
                <c:v>5.6716670000000002</c:v>
              </c:pt>
              <c:pt idx="493">
                <c:v>4.66</c:v>
              </c:pt>
              <c:pt idx="494">
                <c:v>4.1950000000000003</c:v>
              </c:pt>
              <c:pt idx="495">
                <c:v>3.486666</c:v>
              </c:pt>
              <c:pt idx="496">
                <c:v>3.821666</c:v>
              </c:pt>
              <c:pt idx="497">
                <c:v>4.7649999999999997</c:v>
              </c:pt>
              <c:pt idx="498">
                <c:v>5.0199999999999996</c:v>
              </c:pt>
              <c:pt idx="499">
                <c:v>4.9083329999999998</c:v>
              </c:pt>
              <c:pt idx="500">
                <c:v>4.4783330000000001</c:v>
              </c:pt>
              <c:pt idx="501">
                <c:v>3.7633329999999998</c:v>
              </c:pt>
              <c:pt idx="502">
                <c:v>3.286667</c:v>
              </c:pt>
              <c:pt idx="503">
                <c:v>4.1316670000000002</c:v>
              </c:pt>
              <c:pt idx="504">
                <c:v>3.6133329999999999</c:v>
              </c:pt>
              <c:pt idx="505">
                <c:v>3.4816660000000001</c:v>
              </c:pt>
              <c:pt idx="506">
                <c:v>4.17</c:v>
              </c:pt>
              <c:pt idx="507">
                <c:v>4.8899999999999997</c:v>
              </c:pt>
              <c:pt idx="508">
                <c:v>4.1399999999999997</c:v>
              </c:pt>
              <c:pt idx="509">
                <c:v>4.5650000000000004</c:v>
              </c:pt>
              <c:pt idx="510">
                <c:v>4.4516660000000003</c:v>
              </c:pt>
              <c:pt idx="511">
                <c:v>3.335</c:v>
              </c:pt>
              <c:pt idx="512">
                <c:v>3.818333</c:v>
              </c:pt>
              <c:pt idx="513">
                <c:v>3.2816670000000001</c:v>
              </c:pt>
              <c:pt idx="514">
                <c:v>4.6500000000000004</c:v>
              </c:pt>
              <c:pt idx="515">
                <c:v>4.1100000000000003</c:v>
              </c:pt>
              <c:pt idx="516">
                <c:v>3.996667</c:v>
              </c:pt>
              <c:pt idx="517">
                <c:v>4.12</c:v>
              </c:pt>
              <c:pt idx="518">
                <c:v>3.7316660000000001</c:v>
              </c:pt>
              <c:pt idx="519">
                <c:v>3.54</c:v>
              </c:pt>
              <c:pt idx="520">
                <c:v>3.6683330000000001</c:v>
              </c:pt>
              <c:pt idx="521">
                <c:v>3.61</c:v>
              </c:pt>
              <c:pt idx="522">
                <c:v>3.338333</c:v>
              </c:pt>
              <c:pt idx="523">
                <c:v>3.4416669999999998</c:v>
              </c:pt>
              <c:pt idx="524">
                <c:v>3.9133330000000002</c:v>
              </c:pt>
              <c:pt idx="525">
                <c:v>4.3883330000000003</c:v>
              </c:pt>
              <c:pt idx="526">
                <c:v>4.0466670000000002</c:v>
              </c:pt>
              <c:pt idx="527">
                <c:v>5.5250000000000004</c:v>
              </c:pt>
              <c:pt idx="528">
                <c:v>4.1500000000000004</c:v>
              </c:pt>
              <c:pt idx="529">
                <c:v>4.8466670000000001</c:v>
              </c:pt>
              <c:pt idx="530">
                <c:v>3.9933329999999998</c:v>
              </c:pt>
              <c:pt idx="531">
                <c:v>4.0416660000000002</c:v>
              </c:pt>
              <c:pt idx="532">
                <c:v>3.943333</c:v>
              </c:pt>
              <c:pt idx="533">
                <c:v>4.9450000000000003</c:v>
              </c:pt>
              <c:pt idx="534">
                <c:v>5.2350000000000003</c:v>
              </c:pt>
              <c:pt idx="535">
                <c:v>6.21</c:v>
              </c:pt>
              <c:pt idx="536">
                <c:v>5.54</c:v>
              </c:pt>
              <c:pt idx="537">
                <c:v>5.2816660000000004</c:v>
              </c:pt>
              <c:pt idx="538">
                <c:v>5.5666659999999997</c:v>
              </c:pt>
              <c:pt idx="539">
                <c:v>5.22</c:v>
              </c:pt>
              <c:pt idx="540">
                <c:v>4.8966659999999997</c:v>
              </c:pt>
              <c:pt idx="541">
                <c:v>4.6566660000000004</c:v>
              </c:pt>
              <c:pt idx="542">
                <c:v>5.665</c:v>
              </c:pt>
              <c:pt idx="543">
                <c:v>4.915</c:v>
              </c:pt>
              <c:pt idx="544">
                <c:v>4.7649999999999997</c:v>
              </c:pt>
              <c:pt idx="545">
                <c:v>4.125</c:v>
              </c:pt>
              <c:pt idx="546">
                <c:v>3.98</c:v>
              </c:pt>
              <c:pt idx="547">
                <c:v>3.9583330000000001</c:v>
              </c:pt>
              <c:pt idx="548">
                <c:v>4.3866670000000001</c:v>
              </c:pt>
              <c:pt idx="549">
                <c:v>4.0116670000000001</c:v>
              </c:pt>
              <c:pt idx="550">
                <c:v>5.17</c:v>
              </c:pt>
              <c:pt idx="551">
                <c:v>4.4333330000000002</c:v>
              </c:pt>
              <c:pt idx="552">
                <c:v>4.5383339999999999</c:v>
              </c:pt>
              <c:pt idx="553">
                <c:v>4.148333</c:v>
              </c:pt>
              <c:pt idx="554">
                <c:v>4.8833330000000004</c:v>
              </c:pt>
              <c:pt idx="555">
                <c:v>4.4383330000000001</c:v>
              </c:pt>
              <c:pt idx="556">
                <c:v>3.3966660000000002</c:v>
              </c:pt>
              <c:pt idx="557">
                <c:v>3.1316660000000001</c:v>
              </c:pt>
              <c:pt idx="558">
                <c:v>3.7949999999999999</c:v>
              </c:pt>
              <c:pt idx="559">
                <c:v>3.82</c:v>
              </c:pt>
              <c:pt idx="560">
                <c:v>4.8416670000000002</c:v>
              </c:pt>
              <c:pt idx="561">
                <c:v>3.0950000000000002</c:v>
              </c:pt>
              <c:pt idx="562">
                <c:v>5.0766660000000003</c:v>
              </c:pt>
              <c:pt idx="563">
                <c:v>4.0616659999999998</c:v>
              </c:pt>
              <c:pt idx="564">
                <c:v>4.4866669999999997</c:v>
              </c:pt>
              <c:pt idx="565">
                <c:v>4.2966670000000002</c:v>
              </c:pt>
              <c:pt idx="566">
                <c:v>3.9416669999999998</c:v>
              </c:pt>
              <c:pt idx="567">
                <c:v>5.29</c:v>
              </c:pt>
              <c:pt idx="568">
                <c:v>4.4283330000000003</c:v>
              </c:pt>
              <c:pt idx="569">
                <c:v>3.766667</c:v>
              </c:pt>
              <c:pt idx="570">
                <c:v>3.0816669999999999</c:v>
              </c:pt>
              <c:pt idx="571">
                <c:v>4.21</c:v>
              </c:pt>
              <c:pt idx="572">
                <c:v>4.29</c:v>
              </c:pt>
              <c:pt idx="573">
                <c:v>4.68</c:v>
              </c:pt>
              <c:pt idx="574">
                <c:v>4.2033329999999998</c:v>
              </c:pt>
              <c:pt idx="575">
                <c:v>4.2649999999999997</c:v>
              </c:pt>
              <c:pt idx="576">
                <c:v>4.0133330000000003</c:v>
              </c:pt>
              <c:pt idx="577">
                <c:v>4.0599999999999996</c:v>
              </c:pt>
              <c:pt idx="578">
                <c:v>3.7233329999999998</c:v>
              </c:pt>
              <c:pt idx="579">
                <c:v>4.3949999999999996</c:v>
              </c:pt>
              <c:pt idx="580">
                <c:v>4.648333</c:v>
              </c:pt>
              <c:pt idx="581">
                <c:v>4.0466670000000002</c:v>
              </c:pt>
              <c:pt idx="582">
                <c:v>4.4416669999999998</c:v>
              </c:pt>
              <c:pt idx="583">
                <c:v>4.2699999999999996</c:v>
              </c:pt>
              <c:pt idx="584">
                <c:v>3.761666</c:v>
              </c:pt>
              <c:pt idx="585">
                <c:v>3.8283330000000002</c:v>
              </c:pt>
              <c:pt idx="586">
                <c:v>5.0633330000000001</c:v>
              </c:pt>
              <c:pt idx="587">
                <c:v>4.7050000000000001</c:v>
              </c:pt>
              <c:pt idx="588">
                <c:v>4.0533330000000003</c:v>
              </c:pt>
              <c:pt idx="589">
                <c:v>4.3533330000000001</c:v>
              </c:pt>
              <c:pt idx="590">
                <c:v>5.1633339999999999</c:v>
              </c:pt>
              <c:pt idx="591">
                <c:v>4.05</c:v>
              </c:pt>
              <c:pt idx="592">
                <c:v>4.648333</c:v>
              </c:pt>
              <c:pt idx="593">
                <c:v>3.875</c:v>
              </c:pt>
              <c:pt idx="594">
                <c:v>4.2699999999999996</c:v>
              </c:pt>
              <c:pt idx="595">
                <c:v>4.3849999999999998</c:v>
              </c:pt>
              <c:pt idx="596">
                <c:v>4.3283329999999998</c:v>
              </c:pt>
              <c:pt idx="597">
                <c:v>4.4850000000000003</c:v>
              </c:pt>
              <c:pt idx="598">
                <c:v>3.483333</c:v>
              </c:pt>
              <c:pt idx="599">
                <c:v>3.665</c:v>
              </c:pt>
              <c:pt idx="600">
                <c:v>4.3783329999999996</c:v>
              </c:pt>
              <c:pt idx="601">
                <c:v>4.6816659999999999</c:v>
              </c:pt>
              <c:pt idx="602">
                <c:v>4.2850000000000001</c:v>
              </c:pt>
              <c:pt idx="603">
                <c:v>5.2549999999999999</c:v>
              </c:pt>
              <c:pt idx="604">
                <c:v>4.8133330000000001</c:v>
              </c:pt>
              <c:pt idx="605">
                <c:v>4.9816659999999997</c:v>
              </c:pt>
              <c:pt idx="606">
                <c:v>4.6283329999999996</c:v>
              </c:pt>
              <c:pt idx="607">
                <c:v>4.8366660000000001</c:v>
              </c:pt>
              <c:pt idx="608">
                <c:v>3.996667</c:v>
              </c:pt>
              <c:pt idx="609">
                <c:v>5.0549999999999997</c:v>
              </c:pt>
              <c:pt idx="610">
                <c:v>4.4233330000000004</c:v>
              </c:pt>
              <c:pt idx="611">
                <c:v>5.4249999999999998</c:v>
              </c:pt>
              <c:pt idx="612">
                <c:v>5.2433329999999998</c:v>
              </c:pt>
              <c:pt idx="613">
                <c:v>3.96</c:v>
              </c:pt>
              <c:pt idx="614">
                <c:v>4.023333</c:v>
              </c:pt>
              <c:pt idx="615">
                <c:v>3.996667</c:v>
              </c:pt>
              <c:pt idx="616">
                <c:v>4.83</c:v>
              </c:pt>
              <c:pt idx="617">
                <c:v>4.6466659999999997</c:v>
              </c:pt>
              <c:pt idx="618">
                <c:v>4.7616670000000001</c:v>
              </c:pt>
              <c:pt idx="619">
                <c:v>5.27</c:v>
              </c:pt>
              <c:pt idx="620">
                <c:v>4.5983330000000002</c:v>
              </c:pt>
              <c:pt idx="621">
                <c:v>4.3433330000000003</c:v>
              </c:pt>
              <c:pt idx="622">
                <c:v>4.09</c:v>
              </c:pt>
              <c:pt idx="623">
                <c:v>4.9333330000000002</c:v>
              </c:pt>
              <c:pt idx="624">
                <c:v>4.5483330000000004</c:v>
              </c:pt>
              <c:pt idx="625">
                <c:v>4.2850000000000001</c:v>
              </c:pt>
              <c:pt idx="626">
                <c:v>4.8383330000000004</c:v>
              </c:pt>
              <c:pt idx="627">
                <c:v>4.8550000000000004</c:v>
              </c:pt>
              <c:pt idx="628">
                <c:v>4.8316660000000002</c:v>
              </c:pt>
              <c:pt idx="629">
                <c:v>3.5433330000000001</c:v>
              </c:pt>
              <c:pt idx="630">
                <c:v>4.6749999999999998</c:v>
              </c:pt>
              <c:pt idx="631">
                <c:v>5.4766659999999998</c:v>
              </c:pt>
              <c:pt idx="632">
                <c:v>5.2016660000000003</c:v>
              </c:pt>
              <c:pt idx="633">
                <c:v>5.0316669999999997</c:v>
              </c:pt>
              <c:pt idx="634">
                <c:v>5.0966670000000001</c:v>
              </c:pt>
              <c:pt idx="635">
                <c:v>4.43</c:v>
              </c:pt>
              <c:pt idx="636">
                <c:v>4.693333</c:v>
              </c:pt>
              <c:pt idx="637">
                <c:v>4.5566659999999999</c:v>
              </c:pt>
              <c:pt idx="638">
                <c:v>4.5966670000000001</c:v>
              </c:pt>
              <c:pt idx="639">
                <c:v>3.963333</c:v>
              </c:pt>
              <c:pt idx="640">
                <c:v>3.33</c:v>
              </c:pt>
              <c:pt idx="641">
                <c:v>4.1783330000000003</c:v>
              </c:pt>
              <c:pt idx="642">
                <c:v>4.0999999999999996</c:v>
              </c:pt>
              <c:pt idx="643">
                <c:v>4.0983330000000002</c:v>
              </c:pt>
              <c:pt idx="644">
                <c:v>3.855</c:v>
              </c:pt>
              <c:pt idx="645">
                <c:v>4.4800000000000004</c:v>
              </c:pt>
              <c:pt idx="646">
                <c:v>4.335</c:v>
              </c:pt>
              <c:pt idx="647">
                <c:v>3.511666</c:v>
              </c:pt>
              <c:pt idx="648">
                <c:v>3.87</c:v>
              </c:pt>
              <c:pt idx="649">
                <c:v>4.5166659999999998</c:v>
              </c:pt>
              <c:pt idx="650">
                <c:v>4.6866659999999998</c:v>
              </c:pt>
              <c:pt idx="651">
                <c:v>4.0816660000000002</c:v>
              </c:pt>
              <c:pt idx="652">
                <c:v>4.5199999999999996</c:v>
              </c:pt>
              <c:pt idx="653">
                <c:v>4.3150000000000004</c:v>
              </c:pt>
              <c:pt idx="654">
                <c:v>4.3099999999999996</c:v>
              </c:pt>
              <c:pt idx="655">
                <c:v>4.4083329999999998</c:v>
              </c:pt>
              <c:pt idx="656">
                <c:v>4.2850000000000001</c:v>
              </c:pt>
              <c:pt idx="657">
                <c:v>4.0933330000000003</c:v>
              </c:pt>
              <c:pt idx="658">
                <c:v>4.2483339999999998</c:v>
              </c:pt>
              <c:pt idx="659">
                <c:v>4.4783330000000001</c:v>
              </c:pt>
              <c:pt idx="660">
                <c:v>4.1433330000000002</c:v>
              </c:pt>
              <c:pt idx="661">
                <c:v>3.6983329999999999</c:v>
              </c:pt>
              <c:pt idx="662">
                <c:v>3.1683330000000001</c:v>
              </c:pt>
              <c:pt idx="663">
                <c:v>3.253333</c:v>
              </c:pt>
              <c:pt idx="664">
                <c:v>3.7783340000000001</c:v>
              </c:pt>
              <c:pt idx="665">
                <c:v>4.7</c:v>
              </c:pt>
              <c:pt idx="666">
                <c:v>4.273333</c:v>
              </c:pt>
              <c:pt idx="667">
                <c:v>4.5766660000000003</c:v>
              </c:pt>
              <c:pt idx="668">
                <c:v>4.78</c:v>
              </c:pt>
              <c:pt idx="669">
                <c:v>3.9283329999999999</c:v>
              </c:pt>
              <c:pt idx="670">
                <c:v>3.93</c:v>
              </c:pt>
              <c:pt idx="671">
                <c:v>5.0783329999999998</c:v>
              </c:pt>
              <c:pt idx="672">
                <c:v>5.3516659999999998</c:v>
              </c:pt>
              <c:pt idx="673">
                <c:v>5.5483330000000004</c:v>
              </c:pt>
              <c:pt idx="674">
                <c:v>5.6883330000000001</c:v>
              </c:pt>
              <c:pt idx="675">
                <c:v>5.4716659999999999</c:v>
              </c:pt>
              <c:pt idx="676">
                <c:v>5.23</c:v>
              </c:pt>
              <c:pt idx="677">
                <c:v>5.2033329999999998</c:v>
              </c:pt>
              <c:pt idx="678">
                <c:v>5.1783330000000003</c:v>
              </c:pt>
              <c:pt idx="679">
                <c:v>4.8566659999999997</c:v>
              </c:pt>
              <c:pt idx="680">
                <c:v>4.4866669999999997</c:v>
              </c:pt>
              <c:pt idx="681">
                <c:v>4.4666670000000002</c:v>
              </c:pt>
              <c:pt idx="682">
                <c:v>3.6333329999999999</c:v>
              </c:pt>
              <c:pt idx="683">
                <c:v>4.16</c:v>
              </c:pt>
              <c:pt idx="684">
                <c:v>4.5633330000000001</c:v>
              </c:pt>
              <c:pt idx="685">
                <c:v>4.1983329999999999</c:v>
              </c:pt>
              <c:pt idx="686">
                <c:v>3.38</c:v>
              </c:pt>
              <c:pt idx="687">
                <c:v>3.531666</c:v>
              </c:pt>
              <c:pt idx="688">
                <c:v>3.6433330000000002</c:v>
              </c:pt>
              <c:pt idx="689">
                <c:v>4.165</c:v>
              </c:pt>
              <c:pt idx="690">
                <c:v>4.66</c:v>
              </c:pt>
              <c:pt idx="691">
                <c:v>4.6900000000000004</c:v>
              </c:pt>
              <c:pt idx="692">
                <c:v>4.4983339999999998</c:v>
              </c:pt>
              <c:pt idx="693">
                <c:v>4.3</c:v>
              </c:pt>
              <c:pt idx="694">
                <c:v>4.9950000000000001</c:v>
              </c:pt>
              <c:pt idx="695">
                <c:v>4.4733330000000002</c:v>
              </c:pt>
              <c:pt idx="696">
                <c:v>4.0383339999999999</c:v>
              </c:pt>
              <c:pt idx="697">
                <c:v>4.8883330000000003</c:v>
              </c:pt>
              <c:pt idx="698">
                <c:v>5.0750000000000002</c:v>
              </c:pt>
              <c:pt idx="699">
                <c:v>4.068333</c:v>
              </c:pt>
              <c:pt idx="700">
                <c:v>3.3216670000000001</c:v>
              </c:pt>
              <c:pt idx="701">
                <c:v>3.963333</c:v>
              </c:pt>
              <c:pt idx="702">
                <c:v>4.5266669999999998</c:v>
              </c:pt>
              <c:pt idx="703">
                <c:v>4.4749999999999996</c:v>
              </c:pt>
              <c:pt idx="704">
                <c:v>3.483333</c:v>
              </c:pt>
              <c:pt idx="705">
                <c:v>3.9983330000000001</c:v>
              </c:pt>
              <c:pt idx="706">
                <c:v>4.1116659999999996</c:v>
              </c:pt>
              <c:pt idx="707">
                <c:v>3.4533330000000002</c:v>
              </c:pt>
              <c:pt idx="708">
                <c:v>3.5283340000000001</c:v>
              </c:pt>
              <c:pt idx="709">
                <c:v>3.53</c:v>
              </c:pt>
              <c:pt idx="710">
                <c:v>4.2416660000000004</c:v>
              </c:pt>
              <c:pt idx="711">
                <c:v>3.7683330000000002</c:v>
              </c:pt>
              <c:pt idx="712">
                <c:v>3.16</c:v>
              </c:pt>
              <c:pt idx="713">
                <c:v>5.0216659999999997</c:v>
              </c:pt>
              <c:pt idx="714">
                <c:v>5.9883329999999999</c:v>
              </c:pt>
              <c:pt idx="715">
                <c:v>6.1366670000000001</c:v>
              </c:pt>
              <c:pt idx="716">
                <c:v>5.9</c:v>
              </c:pt>
              <c:pt idx="717">
                <c:v>5.2949999999999999</c:v>
              </c:pt>
              <c:pt idx="718">
                <c:v>4.5866660000000001</c:v>
              </c:pt>
              <c:pt idx="719">
                <c:v>4.375</c:v>
              </c:pt>
              <c:pt idx="720">
                <c:v>5.0283329999999999</c:v>
              </c:pt>
              <c:pt idx="721">
                <c:v>4.648333</c:v>
              </c:pt>
              <c:pt idx="722">
                <c:v>5.2050000000000001</c:v>
              </c:pt>
              <c:pt idx="723">
                <c:v>5.2633330000000003</c:v>
              </c:pt>
              <c:pt idx="724">
                <c:v>5.7016660000000003</c:v>
              </c:pt>
              <c:pt idx="725">
                <c:v>6.3633329999999999</c:v>
              </c:pt>
              <c:pt idx="726">
                <c:v>5.5316660000000004</c:v>
              </c:pt>
              <c:pt idx="727">
                <c:v>5.9450000000000003</c:v>
              </c:pt>
              <c:pt idx="728">
                <c:v>5.3883330000000003</c:v>
              </c:pt>
              <c:pt idx="729">
                <c:v>5.6283329999999996</c:v>
              </c:pt>
              <c:pt idx="730">
                <c:v>5.0750000000000002</c:v>
              </c:pt>
              <c:pt idx="731">
                <c:v>5.2216670000000001</c:v>
              </c:pt>
              <c:pt idx="732">
                <c:v>4.648333</c:v>
              </c:pt>
              <c:pt idx="733">
                <c:v>5.0866660000000001</c:v>
              </c:pt>
              <c:pt idx="734">
                <c:v>4.9233330000000004</c:v>
              </c:pt>
              <c:pt idx="735">
                <c:v>4.8099999999999996</c:v>
              </c:pt>
              <c:pt idx="736">
                <c:v>5.0616659999999998</c:v>
              </c:pt>
              <c:pt idx="737">
                <c:v>4.9183339999999998</c:v>
              </c:pt>
              <c:pt idx="738">
                <c:v>4.3266660000000003</c:v>
              </c:pt>
              <c:pt idx="739">
                <c:v>5</c:v>
              </c:pt>
              <c:pt idx="740">
                <c:v>4.4316659999999999</c:v>
              </c:pt>
              <c:pt idx="741">
                <c:v>4.4533329999999998</c:v>
              </c:pt>
              <c:pt idx="742">
                <c:v>4.8416670000000002</c:v>
              </c:pt>
              <c:pt idx="743">
                <c:v>4.1916669999999998</c:v>
              </c:pt>
              <c:pt idx="744">
                <c:v>5.27</c:v>
              </c:pt>
              <c:pt idx="745">
                <c:v>5.5716669999999997</c:v>
              </c:pt>
              <c:pt idx="746">
                <c:v>4.83</c:v>
              </c:pt>
              <c:pt idx="747">
                <c:v>4.6116669999999997</c:v>
              </c:pt>
              <c:pt idx="748">
                <c:v>5.0133330000000003</c:v>
              </c:pt>
              <c:pt idx="749">
                <c:v>4.2033329999999998</c:v>
              </c:pt>
              <c:pt idx="750">
                <c:v>4.78</c:v>
              </c:pt>
              <c:pt idx="751">
                <c:v>4.0433339999999998</c:v>
              </c:pt>
              <c:pt idx="752">
                <c:v>3.7250000000000001</c:v>
              </c:pt>
              <c:pt idx="753">
                <c:v>4.6133329999999999</c:v>
              </c:pt>
              <c:pt idx="754">
                <c:v>5.3033330000000003</c:v>
              </c:pt>
              <c:pt idx="755">
                <c:v>4.9866669999999997</c:v>
              </c:pt>
              <c:pt idx="756">
                <c:v>4.2033329999999998</c:v>
              </c:pt>
              <c:pt idx="757">
                <c:v>4.93</c:v>
              </c:pt>
              <c:pt idx="758">
                <c:v>5.1033330000000001</c:v>
              </c:pt>
              <c:pt idx="759">
                <c:v>5.3566659999999997</c:v>
              </c:pt>
              <c:pt idx="760">
                <c:v>5.0183330000000002</c:v>
              </c:pt>
              <c:pt idx="761">
                <c:v>5.42</c:v>
              </c:pt>
              <c:pt idx="762">
                <c:v>5.2866660000000003</c:v>
              </c:pt>
              <c:pt idx="763">
                <c:v>5.1283329999999996</c:v>
              </c:pt>
              <c:pt idx="764">
                <c:v>5.0733329999999999</c:v>
              </c:pt>
              <c:pt idx="765">
                <c:v>3.7516660000000002</c:v>
              </c:pt>
              <c:pt idx="766">
                <c:v>4.05</c:v>
              </c:pt>
              <c:pt idx="767">
                <c:v>4.6749999999999998</c:v>
              </c:pt>
              <c:pt idx="768">
                <c:v>4.6733330000000004</c:v>
              </c:pt>
              <c:pt idx="769">
                <c:v>4.835</c:v>
              </c:pt>
              <c:pt idx="770">
                <c:v>3.636666</c:v>
              </c:pt>
              <c:pt idx="771">
                <c:v>4.4716670000000001</c:v>
              </c:pt>
              <c:pt idx="772">
                <c:v>4.62</c:v>
              </c:pt>
              <c:pt idx="773">
                <c:v>4.4466659999999996</c:v>
              </c:pt>
              <c:pt idx="774">
                <c:v>4.3683329999999998</c:v>
              </c:pt>
              <c:pt idx="775">
                <c:v>3.7516660000000002</c:v>
              </c:pt>
              <c:pt idx="776">
                <c:v>3.9350000000000001</c:v>
              </c:pt>
              <c:pt idx="777">
                <c:v>4.7566670000000002</c:v>
              </c:pt>
              <c:pt idx="778">
                <c:v>4.4000000000000004</c:v>
              </c:pt>
              <c:pt idx="779">
                <c:v>4.2216670000000001</c:v>
              </c:pt>
              <c:pt idx="780">
                <c:v>3.7566660000000001</c:v>
              </c:pt>
              <c:pt idx="781">
                <c:v>3.7633329999999998</c:v>
              </c:pt>
              <c:pt idx="782">
                <c:v>4.4366659999999998</c:v>
              </c:pt>
              <c:pt idx="783">
                <c:v>4.4483329999999999</c:v>
              </c:pt>
              <c:pt idx="784">
                <c:v>4.0733329999999999</c:v>
              </c:pt>
              <c:pt idx="785">
                <c:v>3.9950000000000001</c:v>
              </c:pt>
              <c:pt idx="786">
                <c:v>4.1566660000000004</c:v>
              </c:pt>
              <c:pt idx="787">
                <c:v>4.6583329999999998</c:v>
              </c:pt>
              <c:pt idx="788">
                <c:v>4.7633330000000003</c:v>
              </c:pt>
              <c:pt idx="789">
                <c:v>4.1550000000000002</c:v>
              </c:pt>
              <c:pt idx="790">
                <c:v>4.2933339999999998</c:v>
              </c:pt>
              <c:pt idx="791">
                <c:v>3.7716660000000002</c:v>
              </c:pt>
              <c:pt idx="792">
                <c:v>4.2066660000000002</c:v>
              </c:pt>
              <c:pt idx="793">
                <c:v>4.4016669999999998</c:v>
              </c:pt>
              <c:pt idx="794">
                <c:v>4.0516670000000001</c:v>
              </c:pt>
              <c:pt idx="795">
                <c:v>3.568333</c:v>
              </c:pt>
              <c:pt idx="796">
                <c:v>4.193333</c:v>
              </c:pt>
              <c:pt idx="797">
                <c:v>3.7116660000000001</c:v>
              </c:pt>
              <c:pt idx="798">
                <c:v>4.0999999999999996</c:v>
              </c:pt>
              <c:pt idx="799">
                <c:v>3.2066669999999999</c:v>
              </c:pt>
              <c:pt idx="800">
                <c:v>3.8083330000000002</c:v>
              </c:pt>
              <c:pt idx="801">
                <c:v>3.2033330000000002</c:v>
              </c:pt>
              <c:pt idx="802">
                <c:v>4.0966670000000001</c:v>
              </c:pt>
              <c:pt idx="803">
                <c:v>3.8450000000000002</c:v>
              </c:pt>
              <c:pt idx="804">
                <c:v>4.2850000000000001</c:v>
              </c:pt>
              <c:pt idx="805">
                <c:v>3.5583330000000002</c:v>
              </c:pt>
              <c:pt idx="806">
                <c:v>4.3133330000000001</c:v>
              </c:pt>
              <c:pt idx="807">
                <c:v>3.4950000000000001</c:v>
              </c:pt>
              <c:pt idx="808">
                <c:v>3.6983329999999999</c:v>
              </c:pt>
              <c:pt idx="809">
                <c:v>3.7066669999999999</c:v>
              </c:pt>
              <c:pt idx="810">
                <c:v>3.2883330000000002</c:v>
              </c:pt>
              <c:pt idx="811">
                <c:v>3.398333</c:v>
              </c:pt>
              <c:pt idx="812">
                <c:v>4.28</c:v>
              </c:pt>
              <c:pt idx="813">
                <c:v>3.321666</c:v>
              </c:pt>
              <c:pt idx="814">
                <c:v>2.5983329999999998</c:v>
              </c:pt>
              <c:pt idx="815">
                <c:v>2.7916669999999999</c:v>
              </c:pt>
              <c:pt idx="816">
                <c:v>4.193333</c:v>
              </c:pt>
              <c:pt idx="817">
                <c:v>3.7266659999999998</c:v>
              </c:pt>
              <c:pt idx="818">
                <c:v>4.1066659999999997</c:v>
              </c:pt>
              <c:pt idx="819">
                <c:v>4.4400000000000004</c:v>
              </c:pt>
              <c:pt idx="820">
                <c:v>4.1900000000000004</c:v>
              </c:pt>
              <c:pt idx="821">
                <c:v>4.5883330000000004</c:v>
              </c:pt>
              <c:pt idx="822">
                <c:v>4.3466670000000001</c:v>
              </c:pt>
              <c:pt idx="823">
                <c:v>3.8883329999999998</c:v>
              </c:pt>
              <c:pt idx="824">
                <c:v>3.6349999999999998</c:v>
              </c:pt>
              <c:pt idx="825">
                <c:v>4.5183330000000002</c:v>
              </c:pt>
              <c:pt idx="826">
                <c:v>4.4450000000000003</c:v>
              </c:pt>
              <c:pt idx="827">
                <c:v>4.3433330000000003</c:v>
              </c:pt>
              <c:pt idx="828">
                <c:v>4.7033329999999998</c:v>
              </c:pt>
              <c:pt idx="829">
                <c:v>3.8966660000000002</c:v>
              </c:pt>
              <c:pt idx="830">
                <c:v>4.0416660000000002</c:v>
              </c:pt>
              <c:pt idx="831">
                <c:v>4.9566660000000002</c:v>
              </c:pt>
              <c:pt idx="832">
                <c:v>4.6900000000000004</c:v>
              </c:pt>
              <c:pt idx="833">
                <c:v>5.1349999999999998</c:v>
              </c:pt>
              <c:pt idx="834">
                <c:v>4.926666</c:v>
              </c:pt>
              <c:pt idx="835">
                <c:v>4.7266659999999998</c:v>
              </c:pt>
              <c:pt idx="836">
                <c:v>4.4266670000000001</c:v>
              </c:pt>
              <c:pt idx="837">
                <c:v>4.7783329999999999</c:v>
              </c:pt>
              <c:pt idx="838">
                <c:v>3.9950000000000001</c:v>
              </c:pt>
              <c:pt idx="839">
                <c:v>4.0049999999999999</c:v>
              </c:pt>
              <c:pt idx="840">
                <c:v>3.585</c:v>
              </c:pt>
              <c:pt idx="841">
                <c:v>3.8533330000000001</c:v>
              </c:pt>
              <c:pt idx="842">
                <c:v>5.4216670000000002</c:v>
              </c:pt>
              <c:pt idx="843">
                <c:v>5.0716669999999997</c:v>
              </c:pt>
              <c:pt idx="844">
                <c:v>4.3966659999999997</c:v>
              </c:pt>
              <c:pt idx="845">
                <c:v>4.931667</c:v>
              </c:pt>
              <c:pt idx="846">
                <c:v>4.05</c:v>
              </c:pt>
              <c:pt idx="847">
                <c:v>3.6466660000000002</c:v>
              </c:pt>
              <c:pt idx="848">
                <c:v>3.9216660000000001</c:v>
              </c:pt>
              <c:pt idx="849">
                <c:v>3.656666</c:v>
              </c:pt>
              <c:pt idx="850">
                <c:v>4.4983339999999998</c:v>
              </c:pt>
              <c:pt idx="851">
                <c:v>4.2566670000000002</c:v>
              </c:pt>
              <c:pt idx="852">
                <c:v>4.5016660000000002</c:v>
              </c:pt>
              <c:pt idx="853">
                <c:v>3.6150000000000002</c:v>
              </c:pt>
              <c:pt idx="854">
                <c:v>3.8816660000000001</c:v>
              </c:pt>
              <c:pt idx="855">
                <c:v>3.4516659999999999</c:v>
              </c:pt>
              <c:pt idx="856">
                <c:v>4.7633330000000003</c:v>
              </c:pt>
              <c:pt idx="857">
                <c:v>4.4266670000000001</c:v>
              </c:pt>
              <c:pt idx="858">
                <c:v>3.7066669999999999</c:v>
              </c:pt>
              <c:pt idx="859">
                <c:v>5.2033329999999998</c:v>
              </c:pt>
              <c:pt idx="860">
                <c:v>4.7450000000000001</c:v>
              </c:pt>
              <c:pt idx="861">
                <c:v>4.2616670000000001</c:v>
              </c:pt>
              <c:pt idx="862">
                <c:v>3.8033329999999999</c:v>
              </c:pt>
              <c:pt idx="863">
                <c:v>3.048333</c:v>
              </c:pt>
              <c:pt idx="864">
                <c:v>3.9533330000000002</c:v>
              </c:pt>
              <c:pt idx="865">
                <c:v>5.14</c:v>
              </c:pt>
              <c:pt idx="866">
                <c:v>4.26</c:v>
              </c:pt>
              <c:pt idx="867">
                <c:v>2.1366670000000001</c:v>
              </c:pt>
              <c:pt idx="868">
                <c:v>4.9033329999999999</c:v>
              </c:pt>
              <c:pt idx="869">
                <c:v>4.7433329999999998</c:v>
              </c:pt>
              <c:pt idx="870">
                <c:v>3.801666</c:v>
              </c:pt>
              <c:pt idx="871">
                <c:v>3.571666</c:v>
              </c:pt>
              <c:pt idx="872">
                <c:v>3.105</c:v>
              </c:pt>
              <c:pt idx="873">
                <c:v>3.9333330000000002</c:v>
              </c:pt>
              <c:pt idx="874">
                <c:v>4.41</c:v>
              </c:pt>
              <c:pt idx="875">
                <c:v>2.806667</c:v>
              </c:pt>
              <c:pt idx="876">
                <c:v>3.7949999999999999</c:v>
              </c:pt>
              <c:pt idx="877">
                <c:v>4.9166660000000002</c:v>
              </c:pt>
              <c:pt idx="878">
                <c:v>4.5633330000000001</c:v>
              </c:pt>
              <c:pt idx="879">
                <c:v>4.2783329999999999</c:v>
              </c:pt>
              <c:pt idx="880">
                <c:v>4.41</c:v>
              </c:pt>
              <c:pt idx="881">
                <c:v>4.1516659999999996</c:v>
              </c:pt>
              <c:pt idx="882">
                <c:v>3.746667</c:v>
              </c:pt>
              <c:pt idx="883">
                <c:v>2.9750000000000001</c:v>
              </c:pt>
              <c:pt idx="884">
                <c:v>3.781666</c:v>
              </c:pt>
              <c:pt idx="885">
                <c:v>2.8083330000000002</c:v>
              </c:pt>
              <c:pt idx="886">
                <c:v>2.233333</c:v>
              </c:pt>
              <c:pt idx="887">
                <c:v>1.95</c:v>
              </c:pt>
              <c:pt idx="888">
                <c:v>2.6716660000000001</c:v>
              </c:pt>
              <c:pt idx="889">
                <c:v>2.9566669999999999</c:v>
              </c:pt>
              <c:pt idx="890">
                <c:v>2.076667</c:v>
              </c:pt>
              <c:pt idx="891">
                <c:v>2.7566660000000001</c:v>
              </c:pt>
              <c:pt idx="892">
                <c:v>3.8683329999999998</c:v>
              </c:pt>
              <c:pt idx="893">
                <c:v>3.341666</c:v>
              </c:pt>
              <c:pt idx="894">
                <c:v>4.1183329999999998</c:v>
              </c:pt>
              <c:pt idx="895">
                <c:v>5.483333</c:v>
              </c:pt>
              <c:pt idx="896">
                <c:v>3.6433330000000002</c:v>
              </c:pt>
              <c:pt idx="897">
                <c:v>2.9166660000000002</c:v>
              </c:pt>
              <c:pt idx="898">
                <c:v>3.0316670000000001</c:v>
              </c:pt>
              <c:pt idx="899">
                <c:v>4.8633329999999999</c:v>
              </c:pt>
              <c:pt idx="900">
                <c:v>3.4</c:v>
              </c:pt>
              <c:pt idx="901">
                <c:v>3.9849999999999999</c:v>
              </c:pt>
              <c:pt idx="902">
                <c:v>4.7183330000000003</c:v>
              </c:pt>
              <c:pt idx="903">
                <c:v>3.9</c:v>
              </c:pt>
              <c:pt idx="904">
                <c:v>5.7083339999999998</c:v>
              </c:pt>
              <c:pt idx="905">
                <c:v>4.4800000000000004</c:v>
              </c:pt>
              <c:pt idx="906">
                <c:v>2.7250000000000001</c:v>
              </c:pt>
              <c:pt idx="907">
                <c:v>3.1866660000000002</c:v>
              </c:pt>
              <c:pt idx="908">
                <c:v>3.2383329999999999</c:v>
              </c:pt>
              <c:pt idx="909">
                <c:v>2.5833330000000001</c:v>
              </c:pt>
              <c:pt idx="910">
                <c:v>2.68</c:v>
              </c:pt>
              <c:pt idx="911">
                <c:v>3.085</c:v>
              </c:pt>
              <c:pt idx="912">
                <c:v>4.0816660000000002</c:v>
              </c:pt>
              <c:pt idx="913">
                <c:v>3.1716660000000001</c:v>
              </c:pt>
              <c:pt idx="914">
                <c:v>3.406666</c:v>
              </c:pt>
              <c:pt idx="915">
                <c:v>4.1566660000000004</c:v>
              </c:pt>
              <c:pt idx="916">
                <c:v>3.5249999999999999</c:v>
              </c:pt>
              <c:pt idx="917">
                <c:v>3.8466659999999999</c:v>
              </c:pt>
              <c:pt idx="918">
                <c:v>3.9816660000000001</c:v>
              </c:pt>
              <c:pt idx="919">
                <c:v>4.5033329999999996</c:v>
              </c:pt>
              <c:pt idx="920">
                <c:v>3.3166669999999998</c:v>
              </c:pt>
              <c:pt idx="921">
                <c:v>2.98</c:v>
              </c:pt>
              <c:pt idx="922">
                <c:v>3.713333</c:v>
              </c:pt>
              <c:pt idx="923">
                <c:v>3.443333</c:v>
              </c:pt>
              <c:pt idx="924">
                <c:v>2.523333</c:v>
              </c:pt>
              <c:pt idx="925">
                <c:v>2.855</c:v>
              </c:pt>
              <c:pt idx="926">
                <c:v>3.0550000000000002</c:v>
              </c:pt>
              <c:pt idx="927">
                <c:v>4.5666669999999998</c:v>
              </c:pt>
              <c:pt idx="928">
                <c:v>4.33</c:v>
              </c:pt>
              <c:pt idx="929">
                <c:v>3.7949999999999999</c:v>
              </c:pt>
              <c:pt idx="930">
                <c:v>3.89</c:v>
              </c:pt>
              <c:pt idx="931">
                <c:v>4.91</c:v>
              </c:pt>
              <c:pt idx="932">
                <c:v>2.86</c:v>
              </c:pt>
              <c:pt idx="933">
                <c:v>3.5616660000000002</c:v>
              </c:pt>
              <c:pt idx="934">
                <c:v>2.4533330000000002</c:v>
              </c:pt>
              <c:pt idx="935">
                <c:v>3.9133330000000002</c:v>
              </c:pt>
              <c:pt idx="936">
                <c:v>3.636666</c:v>
              </c:pt>
              <c:pt idx="937">
                <c:v>3.841666</c:v>
              </c:pt>
              <c:pt idx="938">
                <c:v>3.9366660000000002</c:v>
              </c:pt>
              <c:pt idx="939">
                <c:v>2.1266669999999999</c:v>
              </c:pt>
              <c:pt idx="940">
                <c:v>2.7683330000000002</c:v>
              </c:pt>
              <c:pt idx="941">
                <c:v>3.645</c:v>
              </c:pt>
              <c:pt idx="942">
                <c:v>2.701667</c:v>
              </c:pt>
              <c:pt idx="943">
                <c:v>3.0166659999999998</c:v>
              </c:pt>
              <c:pt idx="944">
                <c:v>2.673333</c:v>
              </c:pt>
              <c:pt idx="945">
                <c:v>2.7416670000000001</c:v>
              </c:pt>
              <c:pt idx="946">
                <c:v>2.838333</c:v>
              </c:pt>
              <c:pt idx="947">
                <c:v>3.58</c:v>
              </c:pt>
              <c:pt idx="948">
                <c:v>4.9950000000000001</c:v>
              </c:pt>
              <c:pt idx="949">
                <c:v>4.8633329999999999</c:v>
              </c:pt>
              <c:pt idx="950">
                <c:v>3.5166659999999998</c:v>
              </c:pt>
              <c:pt idx="951">
                <c:v>3.2183329999999999</c:v>
              </c:pt>
              <c:pt idx="952">
                <c:v>2.9849999999999999</c:v>
              </c:pt>
              <c:pt idx="953">
                <c:v>4.2300000000000004</c:v>
              </c:pt>
              <c:pt idx="954">
                <c:v>3.6783329999999999</c:v>
              </c:pt>
              <c:pt idx="955">
                <c:v>2.81</c:v>
              </c:pt>
              <c:pt idx="956">
                <c:v>3.0266670000000002</c:v>
              </c:pt>
              <c:pt idx="957">
                <c:v>3.3566660000000001</c:v>
              </c:pt>
              <c:pt idx="958">
                <c:v>2.5449999999999999</c:v>
              </c:pt>
              <c:pt idx="959">
                <c:v>2.2916669999999999</c:v>
              </c:pt>
              <c:pt idx="960">
                <c:v>3.3316669999999999</c:v>
              </c:pt>
              <c:pt idx="961">
                <c:v>2.12</c:v>
              </c:pt>
              <c:pt idx="962">
                <c:v>1.8833329999999999</c:v>
              </c:pt>
              <c:pt idx="963">
                <c:v>2.0616669999999999</c:v>
              </c:pt>
              <c:pt idx="964">
                <c:v>2.1</c:v>
              </c:pt>
              <c:pt idx="965">
                <c:v>2.895</c:v>
              </c:pt>
              <c:pt idx="966">
                <c:v>3.661667</c:v>
              </c:pt>
              <c:pt idx="967">
                <c:v>3.0816669999999999</c:v>
              </c:pt>
              <c:pt idx="968">
                <c:v>2.2416670000000001</c:v>
              </c:pt>
              <c:pt idx="969">
                <c:v>2.6949999999999998</c:v>
              </c:pt>
              <c:pt idx="970">
                <c:v>2.7666659999999998</c:v>
              </c:pt>
              <c:pt idx="971">
                <c:v>1.87</c:v>
              </c:pt>
              <c:pt idx="972">
                <c:v>1.9283330000000001</c:v>
              </c:pt>
              <c:pt idx="973">
                <c:v>1.74</c:v>
              </c:pt>
              <c:pt idx="974">
                <c:v>1.8433330000000001</c:v>
              </c:pt>
              <c:pt idx="975">
                <c:v>1.5816669999999999</c:v>
              </c:pt>
              <c:pt idx="976">
                <c:v>2.8233329999999999</c:v>
              </c:pt>
              <c:pt idx="977">
                <c:v>2.4716670000000001</c:v>
              </c:pt>
              <c:pt idx="978">
                <c:v>1.88</c:v>
              </c:pt>
              <c:pt idx="979">
                <c:v>1.9550000000000001</c:v>
              </c:pt>
              <c:pt idx="980">
                <c:v>1.885</c:v>
              </c:pt>
              <c:pt idx="981">
                <c:v>1.7516670000000001</c:v>
              </c:pt>
              <c:pt idx="982">
                <c:v>1.8833329999999999</c:v>
              </c:pt>
              <c:pt idx="983">
                <c:v>1.7583329999999999</c:v>
              </c:pt>
              <c:pt idx="984">
                <c:v>1.6166670000000001</c:v>
              </c:pt>
              <c:pt idx="985">
                <c:v>1.7649999999999999</c:v>
              </c:pt>
              <c:pt idx="986">
                <c:v>2.2549999999999999</c:v>
              </c:pt>
              <c:pt idx="987">
                <c:v>2.4716670000000001</c:v>
              </c:pt>
              <c:pt idx="988">
                <c:v>2.0316670000000001</c:v>
              </c:pt>
              <c:pt idx="989">
                <c:v>2.088333</c:v>
              </c:pt>
              <c:pt idx="990">
                <c:v>1.453333</c:v>
              </c:pt>
              <c:pt idx="991">
                <c:v>2.0216669999999999</c:v>
              </c:pt>
              <c:pt idx="992">
                <c:v>2.4016670000000002</c:v>
              </c:pt>
              <c:pt idx="993">
                <c:v>1.943333</c:v>
              </c:pt>
              <c:pt idx="994">
                <c:v>1.94</c:v>
              </c:pt>
              <c:pt idx="995">
                <c:v>3.1133329999999999</c:v>
              </c:pt>
              <c:pt idx="996">
                <c:v>2.7416670000000001</c:v>
              </c:pt>
              <c:pt idx="997">
                <c:v>3.1583329999999998</c:v>
              </c:pt>
              <c:pt idx="998">
                <c:v>3.286667</c:v>
              </c:pt>
              <c:pt idx="999">
                <c:v>2.431667</c:v>
              </c:pt>
              <c:pt idx="1000">
                <c:v>3.0049999999999999</c:v>
              </c:pt>
              <c:pt idx="1001">
                <c:v>2.8666670000000001</c:v>
              </c:pt>
              <c:pt idx="1002">
                <c:v>2.858333</c:v>
              </c:pt>
              <c:pt idx="1003">
                <c:v>2.5983329999999998</c:v>
              </c:pt>
              <c:pt idx="1004">
                <c:v>2.75</c:v>
              </c:pt>
              <c:pt idx="1005">
                <c:v>2.9066670000000001</c:v>
              </c:pt>
              <c:pt idx="1006">
                <c:v>2.5416669999999999</c:v>
              </c:pt>
              <c:pt idx="1007">
                <c:v>2.946666</c:v>
              </c:pt>
              <c:pt idx="1008">
                <c:v>3.105</c:v>
              </c:pt>
              <c:pt idx="1009">
                <c:v>1.8066660000000001</c:v>
              </c:pt>
              <c:pt idx="1010">
                <c:v>1.675</c:v>
              </c:pt>
              <c:pt idx="1011">
                <c:v>1.7833330000000001</c:v>
              </c:pt>
              <c:pt idx="1012">
                <c:v>2.608333</c:v>
              </c:pt>
              <c:pt idx="1013">
                <c:v>2.6866660000000002</c:v>
              </c:pt>
              <c:pt idx="1014">
                <c:v>1.8966670000000001</c:v>
              </c:pt>
              <c:pt idx="1015">
                <c:v>2.6233330000000001</c:v>
              </c:pt>
              <c:pt idx="1016">
                <c:v>3.31</c:v>
              </c:pt>
              <c:pt idx="1017">
                <c:v>3.301666</c:v>
              </c:pt>
              <c:pt idx="1018">
                <c:v>2.701667</c:v>
              </c:pt>
              <c:pt idx="1019">
                <c:v>2.8116660000000002</c:v>
              </c:pt>
              <c:pt idx="1020">
                <c:v>2.681667</c:v>
              </c:pt>
              <c:pt idx="1021">
                <c:v>2.7516660000000002</c:v>
              </c:pt>
              <c:pt idx="1022">
                <c:v>2.9333330000000002</c:v>
              </c:pt>
              <c:pt idx="1023">
                <c:v>3.3483329999999998</c:v>
              </c:pt>
              <c:pt idx="1024">
                <c:v>2.266667</c:v>
              </c:pt>
              <c:pt idx="1025">
                <c:v>3.3133330000000001</c:v>
              </c:pt>
              <c:pt idx="1026">
                <c:v>3.0666669999999998</c:v>
              </c:pt>
              <c:pt idx="1027">
                <c:v>3.0633330000000001</c:v>
              </c:pt>
              <c:pt idx="1028">
                <c:v>2.89</c:v>
              </c:pt>
              <c:pt idx="1029">
                <c:v>2.3050000000000002</c:v>
              </c:pt>
              <c:pt idx="1030">
                <c:v>2.1150000000000002</c:v>
              </c:pt>
              <c:pt idx="1031">
                <c:v>2.0699999999999998</c:v>
              </c:pt>
              <c:pt idx="1032">
                <c:v>1.9883329999999999</c:v>
              </c:pt>
              <c:pt idx="1033">
                <c:v>2.3050000000000002</c:v>
              </c:pt>
              <c:pt idx="1034">
                <c:v>2.6383329999999998</c:v>
              </c:pt>
              <c:pt idx="1035">
                <c:v>2.301666</c:v>
              </c:pt>
              <c:pt idx="1036">
                <c:v>1.9650000000000001</c:v>
              </c:pt>
              <c:pt idx="1037">
                <c:v>1.6233329999999999</c:v>
              </c:pt>
              <c:pt idx="1038">
                <c:v>2.2050000000000001</c:v>
              </c:pt>
              <c:pt idx="1039">
                <c:v>1.9750000000000001</c:v>
              </c:pt>
              <c:pt idx="1040">
                <c:v>1.671667</c:v>
              </c:pt>
              <c:pt idx="1041">
                <c:v>0.99333340000000003</c:v>
              </c:pt>
              <c:pt idx="1042">
                <c:v>1.4183330000000001</c:v>
              </c:pt>
              <c:pt idx="1043">
                <c:v>1.5716669999999999</c:v>
              </c:pt>
              <c:pt idx="1044">
                <c:v>1.5833330000000001</c:v>
              </c:pt>
              <c:pt idx="1045">
                <c:v>1.5049999999999999</c:v>
              </c:pt>
              <c:pt idx="1046">
                <c:v>1.2283329999999999</c:v>
              </c:pt>
              <c:pt idx="1047">
                <c:v>1.625</c:v>
              </c:pt>
              <c:pt idx="1048">
                <c:v>2.1</c:v>
              </c:pt>
              <c:pt idx="1049">
                <c:v>2.0466669999999998</c:v>
              </c:pt>
              <c:pt idx="1050">
                <c:v>2.2283330000000001</c:v>
              </c:pt>
              <c:pt idx="1051">
                <c:v>1.91</c:v>
              </c:pt>
              <c:pt idx="1052">
                <c:v>2.1433330000000002</c:v>
              </c:pt>
              <c:pt idx="1053">
                <c:v>1.335</c:v>
              </c:pt>
              <c:pt idx="1054">
                <c:v>1.996667</c:v>
              </c:pt>
              <c:pt idx="1055">
                <c:v>2.148333</c:v>
              </c:pt>
              <c:pt idx="1056">
                <c:v>2.5816669999999999</c:v>
              </c:pt>
              <c:pt idx="1057">
                <c:v>2.7183329999999999</c:v>
              </c:pt>
              <c:pt idx="1058">
                <c:v>3.0016669999999999</c:v>
              </c:pt>
              <c:pt idx="1059">
                <c:v>2.6150000000000002</c:v>
              </c:pt>
              <c:pt idx="1060">
                <c:v>2.696666</c:v>
              </c:pt>
              <c:pt idx="1061">
                <c:v>2.6916669999999998</c:v>
              </c:pt>
              <c:pt idx="1062">
                <c:v>2.6233330000000001</c:v>
              </c:pt>
              <c:pt idx="1063">
                <c:v>4.3449999999999998</c:v>
              </c:pt>
              <c:pt idx="1064">
                <c:v>4.26</c:v>
              </c:pt>
              <c:pt idx="1065">
                <c:v>3.2566660000000001</c:v>
              </c:pt>
              <c:pt idx="1066">
                <c:v>2.798333</c:v>
              </c:pt>
              <c:pt idx="1067">
                <c:v>3.34</c:v>
              </c:pt>
              <c:pt idx="1068">
                <c:v>3.108333</c:v>
              </c:pt>
              <c:pt idx="1069">
                <c:v>3.6833330000000002</c:v>
              </c:pt>
              <c:pt idx="1070">
                <c:v>3.5733329999999999</c:v>
              </c:pt>
              <c:pt idx="1071">
                <c:v>3.24</c:v>
              </c:pt>
              <c:pt idx="1072">
                <c:v>3.1549999999999998</c:v>
              </c:pt>
              <c:pt idx="1073">
                <c:v>3.326667</c:v>
              </c:pt>
              <c:pt idx="1074">
                <c:v>3.5966659999999999</c:v>
              </c:pt>
              <c:pt idx="1075">
                <c:v>3.246667</c:v>
              </c:pt>
              <c:pt idx="1076">
                <c:v>4.3849999999999998</c:v>
              </c:pt>
              <c:pt idx="1077">
                <c:v>3.318333</c:v>
              </c:pt>
              <c:pt idx="1078">
                <c:v>3.4583330000000001</c:v>
              </c:pt>
              <c:pt idx="1079">
                <c:v>2.733333</c:v>
              </c:pt>
              <c:pt idx="1080">
                <c:v>2.4849999999999999</c:v>
              </c:pt>
              <c:pt idx="1081">
                <c:v>2.0216669999999999</c:v>
              </c:pt>
              <c:pt idx="1082">
                <c:v>2.61</c:v>
              </c:pt>
              <c:pt idx="1083">
                <c:v>2.7116660000000001</c:v>
              </c:pt>
              <c:pt idx="1084">
                <c:v>2.4783330000000001</c:v>
              </c:pt>
              <c:pt idx="1085">
                <c:v>2.395</c:v>
              </c:pt>
              <c:pt idx="1086">
                <c:v>2.625</c:v>
              </c:pt>
              <c:pt idx="1087">
                <c:v>2.7216659999999999</c:v>
              </c:pt>
              <c:pt idx="1088">
                <c:v>3.0283329999999999</c:v>
              </c:pt>
              <c:pt idx="1089">
                <c:v>2.875</c:v>
              </c:pt>
              <c:pt idx="1090">
                <c:v>3.01</c:v>
              </c:pt>
              <c:pt idx="1091">
                <c:v>2.77</c:v>
              </c:pt>
              <c:pt idx="1092">
                <c:v>2.746667</c:v>
              </c:pt>
              <c:pt idx="1093">
                <c:v>2.736666</c:v>
              </c:pt>
              <c:pt idx="1094">
                <c:v>2.746667</c:v>
              </c:pt>
              <c:pt idx="1095">
                <c:v>2.4216669999999998</c:v>
              </c:pt>
              <c:pt idx="1096">
                <c:v>2.5633330000000001</c:v>
              </c:pt>
              <c:pt idx="1097">
                <c:v>3.0833330000000001</c:v>
              </c:pt>
              <c:pt idx="1098">
                <c:v>2.841666</c:v>
              </c:pt>
              <c:pt idx="1099">
                <c:v>2.2183329999999999</c:v>
              </c:pt>
              <c:pt idx="1100">
                <c:v>2.875</c:v>
              </c:pt>
              <c:pt idx="1101">
                <c:v>2.6783329999999999</c:v>
              </c:pt>
              <c:pt idx="1102">
                <c:v>2.9066670000000001</c:v>
              </c:pt>
              <c:pt idx="1103">
                <c:v>3.4016670000000002</c:v>
              </c:pt>
              <c:pt idx="1104">
                <c:v>2.915</c:v>
              </c:pt>
              <c:pt idx="1105">
                <c:v>2.99</c:v>
              </c:pt>
              <c:pt idx="1106">
                <c:v>3.2283330000000001</c:v>
              </c:pt>
              <c:pt idx="1107">
                <c:v>2.966666</c:v>
              </c:pt>
              <c:pt idx="1108">
                <c:v>2.926666</c:v>
              </c:pt>
              <c:pt idx="1109">
                <c:v>2.7</c:v>
              </c:pt>
              <c:pt idx="1110">
                <c:v>2.483333</c:v>
              </c:pt>
              <c:pt idx="1111">
                <c:v>2.7683330000000002</c:v>
              </c:pt>
              <c:pt idx="1112">
                <c:v>2.3483329999999998</c:v>
              </c:pt>
              <c:pt idx="1113">
                <c:v>2.17</c:v>
              </c:pt>
              <c:pt idx="1114">
                <c:v>2.6833330000000002</c:v>
              </c:pt>
              <c:pt idx="1115">
                <c:v>2.8250000000000002</c:v>
              </c:pt>
              <c:pt idx="1116">
                <c:v>3.165</c:v>
              </c:pt>
              <c:pt idx="1117">
                <c:v>2.04</c:v>
              </c:pt>
              <c:pt idx="1118">
                <c:v>2.3466670000000001</c:v>
              </c:pt>
              <c:pt idx="1119">
                <c:v>2.108333</c:v>
              </c:pt>
              <c:pt idx="1120">
                <c:v>1.693333</c:v>
              </c:pt>
              <c:pt idx="1121">
                <c:v>1.9466669999999999</c:v>
              </c:pt>
              <c:pt idx="1122">
                <c:v>2.7266659999999998</c:v>
              </c:pt>
              <c:pt idx="1123">
                <c:v>2.411667</c:v>
              </c:pt>
              <c:pt idx="1124">
                <c:v>2.6850000000000001</c:v>
              </c:pt>
              <c:pt idx="1125">
                <c:v>2.4416669999999998</c:v>
              </c:pt>
              <c:pt idx="1126">
                <c:v>2.2483330000000001</c:v>
              </c:pt>
              <c:pt idx="1127">
                <c:v>2.108333</c:v>
              </c:pt>
              <c:pt idx="1128">
                <c:v>1.7833330000000001</c:v>
              </c:pt>
              <c:pt idx="1129">
                <c:v>2.1683330000000001</c:v>
              </c:pt>
              <c:pt idx="1130">
                <c:v>1.8666670000000001</c:v>
              </c:pt>
              <c:pt idx="1131">
                <c:v>1.7816669999999999</c:v>
              </c:pt>
              <c:pt idx="1132">
                <c:v>1.7949999999999999</c:v>
              </c:pt>
              <c:pt idx="1133">
                <c:v>2.1133329999999999</c:v>
              </c:pt>
              <c:pt idx="1134">
                <c:v>1.335</c:v>
              </c:pt>
              <c:pt idx="1135">
                <c:v>1.898333</c:v>
              </c:pt>
              <c:pt idx="1136">
                <c:v>1.6883330000000001</c:v>
              </c:pt>
              <c:pt idx="1137">
                <c:v>2.213333</c:v>
              </c:pt>
              <c:pt idx="1138">
                <c:v>2.2749999999999999</c:v>
              </c:pt>
              <c:pt idx="1139">
                <c:v>2.9216660000000001</c:v>
              </c:pt>
              <c:pt idx="1140">
                <c:v>2.7933330000000001</c:v>
              </c:pt>
              <c:pt idx="1141">
                <c:v>2.8250000000000002</c:v>
              </c:pt>
              <c:pt idx="1142">
                <c:v>2.9083329999999998</c:v>
              </c:pt>
              <c:pt idx="1143">
                <c:v>1.9950000000000001</c:v>
              </c:pt>
              <c:pt idx="1144">
                <c:v>2.4283329999999999</c:v>
              </c:pt>
              <c:pt idx="1145">
                <c:v>2.411667</c:v>
              </c:pt>
              <c:pt idx="1146">
                <c:v>2.321666</c:v>
              </c:pt>
              <c:pt idx="1147">
                <c:v>2.2433329999999998</c:v>
              </c:pt>
              <c:pt idx="1148">
                <c:v>2.415</c:v>
              </c:pt>
              <c:pt idx="1149">
                <c:v>2.0316670000000001</c:v>
              </c:pt>
              <c:pt idx="1150">
                <c:v>2.2850000000000001</c:v>
              </c:pt>
              <c:pt idx="1151">
                <c:v>1.7549999999999999</c:v>
              </c:pt>
              <c:pt idx="1152">
                <c:v>2.1866669999999999</c:v>
              </c:pt>
              <c:pt idx="1153">
                <c:v>2.016667</c:v>
              </c:pt>
              <c:pt idx="1154">
                <c:v>1.665</c:v>
              </c:pt>
              <c:pt idx="1155">
                <c:v>2.2650000000000001</c:v>
              </c:pt>
              <c:pt idx="1156">
                <c:v>2.3866670000000001</c:v>
              </c:pt>
              <c:pt idx="1157">
                <c:v>1.605</c:v>
              </c:pt>
              <c:pt idx="1158">
                <c:v>2.051666</c:v>
              </c:pt>
              <c:pt idx="1159">
                <c:v>1.598333</c:v>
              </c:pt>
              <c:pt idx="1160">
                <c:v>1.605</c:v>
              </c:pt>
              <c:pt idx="1161">
                <c:v>1.365</c:v>
              </c:pt>
              <c:pt idx="1162">
                <c:v>0.86999990000000005</c:v>
              </c:pt>
              <c:pt idx="1163">
                <c:v>1.7383329999999999</c:v>
              </c:pt>
              <c:pt idx="1164">
                <c:v>1.6850000000000001</c:v>
              </c:pt>
              <c:pt idx="1165">
                <c:v>1.3133330000000001</c:v>
              </c:pt>
              <c:pt idx="1166">
                <c:v>1.598333</c:v>
              </c:pt>
              <c:pt idx="1167">
                <c:v>1.421667</c:v>
              </c:pt>
              <c:pt idx="1168">
                <c:v>1.211667</c:v>
              </c:pt>
              <c:pt idx="1169">
                <c:v>1.371667</c:v>
              </c:pt>
              <c:pt idx="1170">
                <c:v>1.9466669999999999</c:v>
              </c:pt>
              <c:pt idx="1171">
                <c:v>1.6133329999999999</c:v>
              </c:pt>
              <c:pt idx="1172">
                <c:v>1.9683330000000001</c:v>
              </c:pt>
              <c:pt idx="1173">
                <c:v>2.1383329999999998</c:v>
              </c:pt>
              <c:pt idx="1174">
                <c:v>1.786667</c:v>
              </c:pt>
              <c:pt idx="1175">
                <c:v>1.7</c:v>
              </c:pt>
              <c:pt idx="1176">
                <c:v>1.9166669999999999</c:v>
              </c:pt>
              <c:pt idx="1177">
                <c:v>2.0083329999999999</c:v>
              </c:pt>
              <c:pt idx="1178">
                <c:v>1.5449999999999999</c:v>
              </c:pt>
              <c:pt idx="1179">
                <c:v>2.2183329999999999</c:v>
              </c:pt>
              <c:pt idx="1180">
                <c:v>1.828333</c:v>
              </c:pt>
              <c:pt idx="1181">
                <c:v>2.09</c:v>
              </c:pt>
              <c:pt idx="1182">
                <c:v>1.851667</c:v>
              </c:pt>
              <c:pt idx="1183">
                <c:v>2.1433330000000002</c:v>
              </c:pt>
              <c:pt idx="1184">
                <c:v>2.3199999999999998</c:v>
              </c:pt>
              <c:pt idx="1185">
                <c:v>2.4350000000000001</c:v>
              </c:pt>
              <c:pt idx="1186">
                <c:v>2.2616670000000001</c:v>
              </c:pt>
              <c:pt idx="1187">
                <c:v>1.631667</c:v>
              </c:pt>
              <c:pt idx="1188">
                <c:v>1.655</c:v>
              </c:pt>
              <c:pt idx="1189">
                <c:v>1.5916669999999999</c:v>
              </c:pt>
              <c:pt idx="1190">
                <c:v>2.056667</c:v>
              </c:pt>
              <c:pt idx="1191">
                <c:v>2.3083330000000002</c:v>
              </c:pt>
              <c:pt idx="1192">
                <c:v>1.65</c:v>
              </c:pt>
              <c:pt idx="1193">
                <c:v>2.1366670000000001</c:v>
              </c:pt>
              <c:pt idx="1194">
                <c:v>1.9850000000000001</c:v>
              </c:pt>
              <c:pt idx="1195">
                <c:v>1.71</c:v>
              </c:pt>
              <c:pt idx="1196">
                <c:v>1.78</c:v>
              </c:pt>
              <c:pt idx="1197">
                <c:v>1.5049999999999999</c:v>
              </c:pt>
              <c:pt idx="1198">
                <c:v>1.911667</c:v>
              </c:pt>
              <c:pt idx="1199">
                <c:v>1.503333</c:v>
              </c:pt>
              <c:pt idx="1200">
                <c:v>1.5316669999999999</c:v>
              </c:pt>
              <c:pt idx="1201">
                <c:v>1.8316669999999999</c:v>
              </c:pt>
              <c:pt idx="1202">
                <c:v>1.4816670000000001</c:v>
              </c:pt>
              <c:pt idx="1203">
                <c:v>1.5249999999999999</c:v>
              </c:pt>
              <c:pt idx="1204">
                <c:v>1.5816669999999999</c:v>
              </c:pt>
              <c:pt idx="1205">
                <c:v>1.4883329999999999</c:v>
              </c:pt>
              <c:pt idx="1206">
                <c:v>1.7816669999999999</c:v>
              </c:pt>
              <c:pt idx="1207">
                <c:v>2.003333</c:v>
              </c:pt>
              <c:pt idx="1208">
                <c:v>1.773333</c:v>
              </c:pt>
              <c:pt idx="1209">
                <c:v>1.4583330000000001</c:v>
              </c:pt>
              <c:pt idx="1210">
                <c:v>1.51</c:v>
              </c:pt>
              <c:pt idx="1211">
                <c:v>1.4816670000000001</c:v>
              </c:pt>
              <c:pt idx="1212">
                <c:v>1.5516669999999999</c:v>
              </c:pt>
              <c:pt idx="1213">
                <c:v>1.1533329999999999</c:v>
              </c:pt>
              <c:pt idx="1214">
                <c:v>1.3233330000000001</c:v>
              </c:pt>
              <c:pt idx="1215">
                <c:v>1.316667</c:v>
              </c:pt>
              <c:pt idx="1216">
                <c:v>1.2483329999999999</c:v>
              </c:pt>
              <c:pt idx="1217">
                <c:v>0.71</c:v>
              </c:pt>
              <c:pt idx="1218">
                <c:v>0.82666660000000003</c:v>
              </c:pt>
              <c:pt idx="1219">
                <c:v>1.145</c:v>
              </c:pt>
              <c:pt idx="1220">
                <c:v>1.0333330000000001</c:v>
              </c:pt>
              <c:pt idx="1221">
                <c:v>0.90833330000000001</c:v>
              </c:pt>
              <c:pt idx="1222">
                <c:v>0.85499990000000003</c:v>
              </c:pt>
              <c:pt idx="1223">
                <c:v>0.83833329999999995</c:v>
              </c:pt>
              <c:pt idx="1224">
                <c:v>0.72833329999999996</c:v>
              </c:pt>
              <c:pt idx="1225">
                <c:v>1</c:v>
              </c:pt>
              <c:pt idx="1226">
                <c:v>0.84666660000000005</c:v>
              </c:pt>
              <c:pt idx="1227">
                <c:v>0.91</c:v>
              </c:pt>
              <c:pt idx="1228">
                <c:v>0.7683333</c:v>
              </c:pt>
              <c:pt idx="1229">
                <c:v>0.87166659999999996</c:v>
              </c:pt>
              <c:pt idx="1230">
                <c:v>0.87166659999999996</c:v>
              </c:pt>
              <c:pt idx="1231">
                <c:v>0.85666659999999994</c:v>
              </c:pt>
              <c:pt idx="1232">
                <c:v>0.63333329999999999</c:v>
              </c:pt>
              <c:pt idx="1233">
                <c:v>0.57333330000000005</c:v>
              </c:pt>
              <c:pt idx="1234">
                <c:v>0.75166659999999996</c:v>
              </c:pt>
              <c:pt idx="1235">
                <c:v>0.70166660000000003</c:v>
              </c:pt>
              <c:pt idx="1236">
                <c:v>0.79500000000000004</c:v>
              </c:pt>
              <c:pt idx="1237">
                <c:v>0.59</c:v>
              </c:pt>
              <c:pt idx="1238">
                <c:v>0.81499999999999995</c:v>
              </c:pt>
              <c:pt idx="1239">
                <c:v>0.85499990000000003</c:v>
              </c:pt>
              <c:pt idx="1240">
                <c:v>0.99166659999999995</c:v>
              </c:pt>
              <c:pt idx="1241">
                <c:v>1.101667</c:v>
              </c:pt>
              <c:pt idx="1242">
                <c:v>0.51666659999999998</c:v>
              </c:pt>
              <c:pt idx="1243">
                <c:v>0.52833330000000001</c:v>
              </c:pt>
              <c:pt idx="1244">
                <c:v>0.76333340000000005</c:v>
              </c:pt>
              <c:pt idx="1245">
                <c:v>0.46166659999999998</c:v>
              </c:pt>
              <c:pt idx="1246">
                <c:v>0.97333329999999996</c:v>
              </c:pt>
              <c:pt idx="1247">
                <c:v>0.66333339999999996</c:v>
              </c:pt>
              <c:pt idx="1248">
                <c:v>0.61333329999999997</c:v>
              </c:pt>
              <c:pt idx="1249">
                <c:v>0.97166660000000005</c:v>
              </c:pt>
              <c:pt idx="1250">
                <c:v>0.64166659999999998</c:v>
              </c:pt>
              <c:pt idx="1251">
                <c:v>0.79</c:v>
              </c:pt>
              <c:pt idx="1252">
                <c:v>1.0333330000000001</c:v>
              </c:pt>
              <c:pt idx="1253">
                <c:v>0.71333329999999995</c:v>
              </c:pt>
              <c:pt idx="1254">
                <c:v>0.80166660000000001</c:v>
              </c:pt>
              <c:pt idx="1255">
                <c:v>0.85999990000000004</c:v>
              </c:pt>
              <c:pt idx="1256">
                <c:v>0.4216666</c:v>
              </c:pt>
              <c:pt idx="1257">
                <c:v>0.38333329999999999</c:v>
              </c:pt>
              <c:pt idx="1258">
                <c:v>0.39</c:v>
              </c:pt>
              <c:pt idx="1259">
                <c:v>0.61833329999999997</c:v>
              </c:pt>
              <c:pt idx="1260">
                <c:v>0.6666666</c:v>
              </c:pt>
              <c:pt idx="1261">
                <c:v>0.59499999999999997</c:v>
              </c:pt>
              <c:pt idx="1262">
                <c:v>0.58333330000000005</c:v>
              </c:pt>
              <c:pt idx="1263">
                <c:v>0.74499990000000005</c:v>
              </c:pt>
              <c:pt idx="1264">
                <c:v>0.98833329999999997</c:v>
              </c:pt>
              <c:pt idx="1265">
                <c:v>0.82499999999999996</c:v>
              </c:pt>
              <c:pt idx="1266">
                <c:v>0.85666659999999994</c:v>
              </c:pt>
              <c:pt idx="1267">
                <c:v>0.88333329999999999</c:v>
              </c:pt>
              <c:pt idx="1268">
                <c:v>0.89666659999999998</c:v>
              </c:pt>
              <c:pt idx="1269">
                <c:v>1.095</c:v>
              </c:pt>
              <c:pt idx="1270">
                <c:v>0.78166659999999999</c:v>
              </c:pt>
              <c:pt idx="1271">
                <c:v>1.0816669999999999</c:v>
              </c:pt>
              <c:pt idx="1272">
                <c:v>1.085</c:v>
              </c:pt>
              <c:pt idx="1273">
                <c:v>1.013333</c:v>
              </c:pt>
              <c:pt idx="1274">
                <c:v>1.2916669999999999</c:v>
              </c:pt>
              <c:pt idx="1275">
                <c:v>1.1000000000000001</c:v>
              </c:pt>
              <c:pt idx="1276">
                <c:v>0.98333329999999997</c:v>
              </c:pt>
              <c:pt idx="1277">
                <c:v>1.0649999999999999</c:v>
              </c:pt>
              <c:pt idx="1278">
                <c:v>0.81833339999999999</c:v>
              </c:pt>
              <c:pt idx="1279">
                <c:v>1.128333</c:v>
              </c:pt>
              <c:pt idx="1280">
                <c:v>1.023333</c:v>
              </c:pt>
              <c:pt idx="1281">
                <c:v>1.181667</c:v>
              </c:pt>
              <c:pt idx="1282">
                <c:v>1.3133330000000001</c:v>
              </c:pt>
              <c:pt idx="1283">
                <c:v>1.4066669999999999</c:v>
              </c:pt>
              <c:pt idx="1284">
                <c:v>1.463333</c:v>
              </c:pt>
              <c:pt idx="1285">
                <c:v>1.44</c:v>
              </c:pt>
              <c:pt idx="1286">
                <c:v>1.586667</c:v>
              </c:pt>
              <c:pt idx="1287">
                <c:v>1.86</c:v>
              </c:pt>
              <c:pt idx="1288">
                <c:v>2.071666</c:v>
              </c:pt>
              <c:pt idx="1289">
                <c:v>1.723333</c:v>
              </c:pt>
              <c:pt idx="1290">
                <c:v>1.95</c:v>
              </c:pt>
              <c:pt idx="1291">
                <c:v>2.0533329999999999</c:v>
              </c:pt>
              <c:pt idx="1292">
                <c:v>1.8733329999999999</c:v>
              </c:pt>
              <c:pt idx="1293">
                <c:v>1.665</c:v>
              </c:pt>
              <c:pt idx="1294">
                <c:v>2.108333</c:v>
              </c:pt>
              <c:pt idx="1295">
                <c:v>2.076667</c:v>
              </c:pt>
              <c:pt idx="1296">
                <c:v>1.8666670000000001</c:v>
              </c:pt>
              <c:pt idx="1297">
                <c:v>2.3149999999999999</c:v>
              </c:pt>
              <c:pt idx="1298">
                <c:v>2.2949999999999999</c:v>
              </c:pt>
              <c:pt idx="1299">
                <c:v>2.4333330000000002</c:v>
              </c:pt>
              <c:pt idx="1300">
                <c:v>2.1850000000000001</c:v>
              </c:pt>
              <c:pt idx="1301">
                <c:v>2.273333</c:v>
              </c:pt>
              <c:pt idx="1302">
                <c:v>1.88</c:v>
              </c:pt>
              <c:pt idx="1303">
                <c:v>2.0416669999999999</c:v>
              </c:pt>
              <c:pt idx="1304">
                <c:v>2.003333</c:v>
              </c:pt>
              <c:pt idx="1305">
                <c:v>1.895</c:v>
              </c:pt>
              <c:pt idx="1306">
                <c:v>1.885</c:v>
              </c:pt>
              <c:pt idx="1307">
                <c:v>1.9366669999999999</c:v>
              </c:pt>
              <c:pt idx="1308">
                <c:v>2.141667</c:v>
              </c:pt>
              <c:pt idx="1309">
                <c:v>2.105</c:v>
              </c:pt>
              <c:pt idx="1310">
                <c:v>2.4750000000000001</c:v>
              </c:pt>
              <c:pt idx="1311">
                <c:v>2.5416669999999999</c:v>
              </c:pt>
              <c:pt idx="1312">
                <c:v>3.3133330000000001</c:v>
              </c:pt>
              <c:pt idx="1313">
                <c:v>3.193333</c:v>
              </c:pt>
              <c:pt idx="1314">
                <c:v>3.051666</c:v>
              </c:pt>
              <c:pt idx="1315">
                <c:v>3.2916669999999999</c:v>
              </c:pt>
              <c:pt idx="1316">
                <c:v>3.1983329999999999</c:v>
              </c:pt>
              <c:pt idx="1317">
                <c:v>2.8483329999999998</c:v>
              </c:pt>
              <c:pt idx="1318">
                <c:v>3.1416659999999998</c:v>
              </c:pt>
              <c:pt idx="1319">
                <c:v>3.181667</c:v>
              </c:pt>
              <c:pt idx="1320">
                <c:v>3.12</c:v>
              </c:pt>
              <c:pt idx="1321">
                <c:v>3.11</c:v>
              </c:pt>
              <c:pt idx="1322">
                <c:v>2.6883330000000001</c:v>
              </c:pt>
              <c:pt idx="1323">
                <c:v>3.2716669999999999</c:v>
              </c:pt>
              <c:pt idx="1324">
                <c:v>2.8333330000000001</c:v>
              </c:pt>
              <c:pt idx="1325">
                <c:v>3.2683330000000002</c:v>
              </c:pt>
              <c:pt idx="1326">
                <c:v>3.4183330000000001</c:v>
              </c:pt>
              <c:pt idx="1327">
                <c:v>3.1916669999999998</c:v>
              </c:pt>
              <c:pt idx="1328">
                <c:v>2.8483329999999998</c:v>
              </c:pt>
              <c:pt idx="1329">
                <c:v>2.4283329999999999</c:v>
              </c:pt>
              <c:pt idx="1330">
                <c:v>2.8866670000000001</c:v>
              </c:pt>
              <c:pt idx="1331">
                <c:v>2.6516670000000002</c:v>
              </c:pt>
              <c:pt idx="1332">
                <c:v>2.7050000000000001</c:v>
              </c:pt>
              <c:pt idx="1333">
                <c:v>2.9416669999999998</c:v>
              </c:pt>
              <c:pt idx="1334">
                <c:v>2.62</c:v>
              </c:pt>
              <c:pt idx="1335">
                <c:v>3.173333</c:v>
              </c:pt>
              <c:pt idx="1336">
                <c:v>2.753333</c:v>
              </c:pt>
              <c:pt idx="1337">
                <c:v>2.6349999999999998</c:v>
              </c:pt>
              <c:pt idx="1338">
                <c:v>2.6066669999999998</c:v>
              </c:pt>
              <c:pt idx="1339">
                <c:v>2.5833330000000001</c:v>
              </c:pt>
              <c:pt idx="1340">
                <c:v>2.753333</c:v>
              </c:pt>
              <c:pt idx="1341">
                <c:v>2.66</c:v>
              </c:pt>
              <c:pt idx="1342">
                <c:v>2.5983329999999998</c:v>
              </c:pt>
              <c:pt idx="1343">
                <c:v>2.4166669999999999</c:v>
              </c:pt>
              <c:pt idx="1344">
                <c:v>2.5466669999999998</c:v>
              </c:pt>
              <c:pt idx="1345">
                <c:v>2.246667</c:v>
              </c:pt>
              <c:pt idx="1346">
                <c:v>2.5866669999999998</c:v>
              </c:pt>
              <c:pt idx="1347">
                <c:v>2.2200000000000002</c:v>
              </c:pt>
              <c:pt idx="1348">
                <c:v>2.568333</c:v>
              </c:pt>
              <c:pt idx="1349">
                <c:v>2.378333</c:v>
              </c:pt>
              <c:pt idx="1350">
                <c:v>2.443333</c:v>
              </c:pt>
              <c:pt idx="1351">
                <c:v>1.8633329999999999</c:v>
              </c:pt>
              <c:pt idx="1352">
                <c:v>2.62</c:v>
              </c:pt>
              <c:pt idx="1353">
                <c:v>3.1716660000000001</c:v>
              </c:pt>
              <c:pt idx="1354">
                <c:v>2.8083330000000002</c:v>
              </c:pt>
              <c:pt idx="1355">
                <c:v>3.6466660000000002</c:v>
              </c:pt>
              <c:pt idx="1356">
                <c:v>3.0116670000000001</c:v>
              </c:pt>
              <c:pt idx="1357">
                <c:v>3.335</c:v>
              </c:pt>
              <c:pt idx="1358">
                <c:v>2.5866669999999998</c:v>
              </c:pt>
              <c:pt idx="1359">
                <c:v>2.601667</c:v>
              </c:pt>
              <c:pt idx="1360">
                <c:v>2.67</c:v>
              </c:pt>
              <c:pt idx="1361">
                <c:v>2.6466669999999999</c:v>
              </c:pt>
              <c:pt idx="1362">
                <c:v>2.8633329999999999</c:v>
              </c:pt>
              <c:pt idx="1363">
                <c:v>2.858333</c:v>
              </c:pt>
              <c:pt idx="1364">
                <c:v>3.2650000000000001</c:v>
              </c:pt>
              <c:pt idx="1365">
                <c:v>3.17</c:v>
              </c:pt>
              <c:pt idx="1366">
                <c:v>3.068333</c:v>
              </c:pt>
              <c:pt idx="1367">
                <c:v>3.0466660000000001</c:v>
              </c:pt>
              <c:pt idx="1368">
                <c:v>3.54</c:v>
              </c:pt>
              <c:pt idx="1369">
                <c:v>3.713333</c:v>
              </c:pt>
              <c:pt idx="1370">
                <c:v>3.2183329999999999</c:v>
              </c:pt>
              <c:pt idx="1371">
                <c:v>2.8966669999999999</c:v>
              </c:pt>
              <c:pt idx="1372">
                <c:v>3.8883329999999998</c:v>
              </c:pt>
              <c:pt idx="1373">
                <c:v>3.3933330000000002</c:v>
              </c:pt>
              <c:pt idx="1374">
                <c:v>3.341666</c:v>
              </c:pt>
              <c:pt idx="1375">
                <c:v>3.625</c:v>
              </c:pt>
              <c:pt idx="1376">
                <c:v>3.068333</c:v>
              </c:pt>
              <c:pt idx="1377">
                <c:v>3.326667</c:v>
              </c:pt>
              <c:pt idx="1378">
                <c:v>3.1466669999999999</c:v>
              </c:pt>
              <c:pt idx="1379">
                <c:v>3.31</c:v>
              </c:pt>
              <c:pt idx="1380">
                <c:v>3.0133329999999998</c:v>
              </c:pt>
              <c:pt idx="1381">
                <c:v>3.2749999999999999</c:v>
              </c:pt>
              <c:pt idx="1382">
                <c:v>3.0066660000000001</c:v>
              </c:pt>
              <c:pt idx="1383">
                <c:v>3.4049999999999998</c:v>
              </c:pt>
              <c:pt idx="1384">
                <c:v>3.1583329999999998</c:v>
              </c:pt>
              <c:pt idx="1385">
                <c:v>3.395</c:v>
              </c:pt>
              <c:pt idx="1386">
                <c:v>4.0533330000000003</c:v>
              </c:pt>
              <c:pt idx="1387">
                <c:v>3.7183329999999999</c:v>
              </c:pt>
              <c:pt idx="1388">
                <c:v>3.7583329999999999</c:v>
              </c:pt>
              <c:pt idx="1389">
                <c:v>3.66</c:v>
              </c:pt>
              <c:pt idx="1390">
                <c:v>3.7516660000000002</c:v>
              </c:pt>
              <c:pt idx="1391">
                <c:v>3.5966659999999999</c:v>
              </c:pt>
              <c:pt idx="1392">
                <c:v>2.8316669999999999</c:v>
              </c:pt>
              <c:pt idx="1393">
                <c:v>3.048333</c:v>
              </c:pt>
              <c:pt idx="1394">
                <c:v>3.7683330000000002</c:v>
              </c:pt>
              <c:pt idx="1395">
                <c:v>3.4183330000000001</c:v>
              </c:pt>
              <c:pt idx="1396">
                <c:v>4.1283329999999996</c:v>
              </c:pt>
              <c:pt idx="1397">
                <c:v>3.1383329999999998</c:v>
              </c:pt>
              <c:pt idx="1398">
                <c:v>3.53</c:v>
              </c:pt>
              <c:pt idx="1399">
                <c:v>3.6233330000000001</c:v>
              </c:pt>
              <c:pt idx="1400">
                <c:v>2.7149999999999999</c:v>
              </c:pt>
              <c:pt idx="1401">
                <c:v>3.406666</c:v>
              </c:pt>
              <c:pt idx="1402">
                <c:v>3.016667</c:v>
              </c:pt>
              <c:pt idx="1403">
                <c:v>3.0833330000000001</c:v>
              </c:pt>
              <c:pt idx="1404">
                <c:v>2.798333</c:v>
              </c:pt>
              <c:pt idx="1405">
                <c:v>3.3683329999999998</c:v>
              </c:pt>
              <c:pt idx="1406">
                <c:v>3.0783330000000002</c:v>
              </c:pt>
              <c:pt idx="1407">
                <c:v>3</c:v>
              </c:pt>
              <c:pt idx="1408">
                <c:v>3.1416659999999998</c:v>
              </c:pt>
              <c:pt idx="1409">
                <c:v>3.2416670000000001</c:v>
              </c:pt>
              <c:pt idx="1410">
                <c:v>3.121667</c:v>
              </c:pt>
              <c:pt idx="1411">
                <c:v>2.6</c:v>
              </c:pt>
              <c:pt idx="1412">
                <c:v>2.4566669999999999</c:v>
              </c:pt>
              <c:pt idx="1413">
                <c:v>2.4066670000000001</c:v>
              </c:pt>
              <c:pt idx="1414">
                <c:v>2.786667</c:v>
              </c:pt>
              <c:pt idx="1415">
                <c:v>2.841666</c:v>
              </c:pt>
              <c:pt idx="1416">
                <c:v>3.7250000000000001</c:v>
              </c:pt>
              <c:pt idx="1417">
                <c:v>2.7883330000000002</c:v>
              </c:pt>
              <c:pt idx="1418">
                <c:v>3.3116660000000002</c:v>
              </c:pt>
              <c:pt idx="1419">
                <c:v>3.5833330000000001</c:v>
              </c:pt>
              <c:pt idx="1420">
                <c:v>3.5583330000000002</c:v>
              </c:pt>
              <c:pt idx="1421">
                <c:v>3.3933330000000002</c:v>
              </c:pt>
              <c:pt idx="1422">
                <c:v>3.47</c:v>
              </c:pt>
              <c:pt idx="1423">
                <c:v>3.0049999999999999</c:v>
              </c:pt>
              <c:pt idx="1424">
                <c:v>2.8933330000000002</c:v>
              </c:pt>
              <c:pt idx="1425">
                <c:v>3.3033329999999999</c:v>
              </c:pt>
              <c:pt idx="1426">
                <c:v>2.6949999999999998</c:v>
              </c:pt>
              <c:pt idx="1427">
                <c:v>3.3033329999999999</c:v>
              </c:pt>
              <c:pt idx="1428">
                <c:v>2.7149999999999999</c:v>
              </c:pt>
              <c:pt idx="1429">
                <c:v>3.036667</c:v>
              </c:pt>
              <c:pt idx="1430">
                <c:v>2.5950000000000002</c:v>
              </c:pt>
              <c:pt idx="1431">
                <c:v>3.2916669999999999</c:v>
              </c:pt>
              <c:pt idx="1432">
                <c:v>2.9783330000000001</c:v>
              </c:pt>
              <c:pt idx="1433">
                <c:v>2.6850000000000001</c:v>
              </c:pt>
              <c:pt idx="1434">
                <c:v>2.3650000000000002</c:v>
              </c:pt>
              <c:pt idx="1435">
                <c:v>2.6066669999999998</c:v>
              </c:pt>
              <c:pt idx="1436">
                <c:v>2.426666</c:v>
              </c:pt>
              <c:pt idx="1437">
                <c:v>2.5150000000000001</c:v>
              </c:pt>
              <c:pt idx="1438">
                <c:v>2.338333</c:v>
              </c:pt>
              <c:pt idx="1439">
                <c:v>2.3650000000000002</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2-0587-4D2D-AD37-15C310B27EC5}"/>
            </c:ext>
          </c:extLst>
        </c:ser>
        <c:ser>
          <c:idx val="3"/>
          <c:order val="3"/>
          <c:tx>
            <c:v>3.813538471 7.19 ICR-9</c:v>
          </c:tx>
          <c:spPr>
            <a:ln w="28575" cap="rnd">
              <a:solidFill>
                <a:schemeClr val="accent4"/>
              </a:solidFill>
              <a:round/>
            </a:ln>
            <a:effectLst/>
          </c:spPr>
          <c:marker>
            <c:symbol val="none"/>
          </c:marker>
          <c:val>
            <c:numLit>
              <c:formatCode>General</c:formatCode>
              <c:ptCount val="1687"/>
              <c:pt idx="0">
                <c:v>0</c:v>
              </c:pt>
              <c:pt idx="1">
                <c:v>0</c:v>
              </c:pt>
              <c:pt idx="2">
                <c:v>0</c:v>
              </c:pt>
              <c:pt idx="3">
                <c:v>0</c:v>
              </c:pt>
              <c:pt idx="4">
                <c:v>0</c:v>
              </c:pt>
              <c:pt idx="5">
                <c:v>0</c:v>
              </c:pt>
              <c:pt idx="6">
                <c:v>0</c:v>
              </c:pt>
              <c:pt idx="7">
                <c:v>0</c:v>
              </c:pt>
              <c:pt idx="8">
                <c:v>0</c:v>
              </c:pt>
              <c:pt idx="9">
                <c:v>0</c:v>
              </c:pt>
              <c:pt idx="10">
                <c:v>0.17</c:v>
              </c:pt>
              <c:pt idx="11">
                <c:v>0</c:v>
              </c:pt>
              <c:pt idx="12">
                <c:v>0</c:v>
              </c:pt>
              <c:pt idx="13">
                <c:v>5.5E-2</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0.11</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7.4999999999999997E-2</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2.7716669999999999</c:v>
              </c:pt>
              <c:pt idx="430">
                <c:v>5.9716659999999999</c:v>
              </c:pt>
              <c:pt idx="431">
                <c:v>5.483333</c:v>
              </c:pt>
              <c:pt idx="432">
                <c:v>5.0716669999999997</c:v>
              </c:pt>
              <c:pt idx="433">
                <c:v>5.3533330000000001</c:v>
              </c:pt>
              <c:pt idx="434">
                <c:v>5.023333</c:v>
              </c:pt>
              <c:pt idx="435">
                <c:v>5.2816669999999997</c:v>
              </c:pt>
              <c:pt idx="436">
                <c:v>5.9983329999999997</c:v>
              </c:pt>
              <c:pt idx="437">
                <c:v>5.1433330000000002</c:v>
              </c:pt>
              <c:pt idx="438">
                <c:v>5.398333</c:v>
              </c:pt>
              <c:pt idx="439">
                <c:v>5.4533329999999998</c:v>
              </c:pt>
              <c:pt idx="440">
                <c:v>5.5</c:v>
              </c:pt>
              <c:pt idx="441">
                <c:v>6.2533329999999996</c:v>
              </c:pt>
              <c:pt idx="442">
                <c:v>5.9566660000000002</c:v>
              </c:pt>
              <c:pt idx="443">
                <c:v>5.2383329999999999</c:v>
              </c:pt>
              <c:pt idx="444">
                <c:v>5.1783330000000003</c:v>
              </c:pt>
              <c:pt idx="445">
                <c:v>5.3449999999999998</c:v>
              </c:pt>
              <c:pt idx="446">
                <c:v>4.9233330000000004</c:v>
              </c:pt>
              <c:pt idx="447">
                <c:v>5.8816660000000001</c:v>
              </c:pt>
              <c:pt idx="448">
                <c:v>6.0399989999999999</c:v>
              </c:pt>
              <c:pt idx="449">
                <c:v>2.6983329999999999</c:v>
              </c:pt>
              <c:pt idx="450">
                <c:v>5.6666670000000002E-2</c:v>
              </c:pt>
              <c:pt idx="451">
                <c:v>0</c:v>
              </c:pt>
              <c:pt idx="452">
                <c:v>0</c:v>
              </c:pt>
              <c:pt idx="453">
                <c:v>4.7416660000000004</c:v>
              </c:pt>
              <c:pt idx="454">
                <c:v>6.2583330000000004</c:v>
              </c:pt>
              <c:pt idx="455">
                <c:v>5.476667</c:v>
              </c:pt>
              <c:pt idx="456">
                <c:v>5.4416659999999997</c:v>
              </c:pt>
              <c:pt idx="457">
                <c:v>3.838333</c:v>
              </c:pt>
              <c:pt idx="458">
                <c:v>6.0616659999999998</c:v>
              </c:pt>
              <c:pt idx="459">
                <c:v>6.2649990000000004</c:v>
              </c:pt>
              <c:pt idx="460">
                <c:v>6.3550000000000004</c:v>
              </c:pt>
              <c:pt idx="461">
                <c:v>5.6816659999999999</c:v>
              </c:pt>
              <c:pt idx="462">
                <c:v>5.2483329999999997</c:v>
              </c:pt>
              <c:pt idx="463">
                <c:v>4.3166669999999998</c:v>
              </c:pt>
              <c:pt idx="464">
                <c:v>4.5250000000000004</c:v>
              </c:pt>
              <c:pt idx="465">
                <c:v>7.67</c:v>
              </c:pt>
              <c:pt idx="466">
                <c:v>6.48</c:v>
              </c:pt>
              <c:pt idx="467">
                <c:v>5.7899989999999999</c:v>
              </c:pt>
              <c:pt idx="468">
                <c:v>6.3283329999999998</c:v>
              </c:pt>
              <c:pt idx="469">
                <c:v>5.5016670000000003</c:v>
              </c:pt>
              <c:pt idx="470">
                <c:v>5.32</c:v>
              </c:pt>
              <c:pt idx="471">
                <c:v>5.9716659999999999</c:v>
              </c:pt>
              <c:pt idx="472">
                <c:v>6.8216669999999997</c:v>
              </c:pt>
              <c:pt idx="473">
                <c:v>5.4749999999999996</c:v>
              </c:pt>
              <c:pt idx="474">
                <c:v>6.8383330000000004</c:v>
              </c:pt>
              <c:pt idx="475">
                <c:v>6.74</c:v>
              </c:pt>
              <c:pt idx="476">
                <c:v>6.0166659999999998</c:v>
              </c:pt>
              <c:pt idx="477">
                <c:v>6.1849990000000004</c:v>
              </c:pt>
              <c:pt idx="478">
                <c:v>5.8883330000000003</c:v>
              </c:pt>
              <c:pt idx="479">
                <c:v>5.9933329999999998</c:v>
              </c:pt>
              <c:pt idx="480">
                <c:v>5.8766670000000003</c:v>
              </c:pt>
              <c:pt idx="481">
                <c:v>6.5149990000000004</c:v>
              </c:pt>
              <c:pt idx="482">
                <c:v>6.4983329999999997</c:v>
              </c:pt>
              <c:pt idx="483">
                <c:v>6.3216659999999996</c:v>
              </c:pt>
              <c:pt idx="484">
                <c:v>6.8099990000000004</c:v>
              </c:pt>
              <c:pt idx="485">
                <c:v>6.9450000000000003</c:v>
              </c:pt>
              <c:pt idx="486">
                <c:v>6.5116670000000001</c:v>
              </c:pt>
              <c:pt idx="487">
                <c:v>7.34</c:v>
              </c:pt>
              <c:pt idx="488">
                <c:v>5.9033329999999999</c:v>
              </c:pt>
              <c:pt idx="489">
                <c:v>6.6266670000000003</c:v>
              </c:pt>
              <c:pt idx="490">
                <c:v>6.8716660000000003</c:v>
              </c:pt>
              <c:pt idx="491">
                <c:v>6.0066660000000001</c:v>
              </c:pt>
              <c:pt idx="492">
                <c:v>6.648333</c:v>
              </c:pt>
              <c:pt idx="493">
                <c:v>6.4983329999999997</c:v>
              </c:pt>
              <c:pt idx="494">
                <c:v>6.6233329999999997</c:v>
              </c:pt>
              <c:pt idx="495">
                <c:v>7.02</c:v>
              </c:pt>
              <c:pt idx="496">
                <c:v>6.68</c:v>
              </c:pt>
              <c:pt idx="497">
                <c:v>5.9383330000000001</c:v>
              </c:pt>
              <c:pt idx="498">
                <c:v>6.0933330000000003</c:v>
              </c:pt>
              <c:pt idx="499">
                <c:v>5.8683329999999998</c:v>
              </c:pt>
              <c:pt idx="500">
                <c:v>5.3416670000000002</c:v>
              </c:pt>
              <c:pt idx="501">
                <c:v>5.3666660000000004</c:v>
              </c:pt>
              <c:pt idx="502">
                <c:v>5.7350000000000003</c:v>
              </c:pt>
              <c:pt idx="503">
                <c:v>6.7966670000000002</c:v>
              </c:pt>
              <c:pt idx="504">
                <c:v>5.8466659999999999</c:v>
              </c:pt>
              <c:pt idx="505">
                <c:v>5.619999</c:v>
              </c:pt>
              <c:pt idx="506">
                <c:v>5.9383330000000001</c:v>
              </c:pt>
              <c:pt idx="507">
                <c:v>6.2316669999999998</c:v>
              </c:pt>
              <c:pt idx="508">
                <c:v>5.7216659999999999</c:v>
              </c:pt>
              <c:pt idx="509">
                <c:v>6.0599990000000004</c:v>
              </c:pt>
              <c:pt idx="510">
                <c:v>6.1</c:v>
              </c:pt>
              <c:pt idx="511">
                <c:v>5.6266670000000003</c:v>
              </c:pt>
              <c:pt idx="512">
                <c:v>6.0383329999999997</c:v>
              </c:pt>
              <c:pt idx="513">
                <c:v>5.5966659999999999</c:v>
              </c:pt>
              <c:pt idx="514">
                <c:v>6.14</c:v>
              </c:pt>
              <c:pt idx="515">
                <c:v>5.3666660000000004</c:v>
              </c:pt>
              <c:pt idx="516">
                <c:v>5.86</c:v>
              </c:pt>
              <c:pt idx="517">
                <c:v>5.181667</c:v>
              </c:pt>
              <c:pt idx="518">
                <c:v>4.4116660000000003</c:v>
              </c:pt>
              <c:pt idx="519">
                <c:v>6.2716659999999997</c:v>
              </c:pt>
              <c:pt idx="520">
                <c:v>5.2283330000000001</c:v>
              </c:pt>
              <c:pt idx="521">
                <c:v>6.0016670000000003</c:v>
              </c:pt>
              <c:pt idx="522">
                <c:v>5.5866670000000003</c:v>
              </c:pt>
              <c:pt idx="523">
                <c:v>6.0533330000000003</c:v>
              </c:pt>
              <c:pt idx="524">
                <c:v>5.68</c:v>
              </c:pt>
              <c:pt idx="525">
                <c:v>5.4183329999999996</c:v>
              </c:pt>
              <c:pt idx="526">
                <c:v>6.0866670000000003</c:v>
              </c:pt>
              <c:pt idx="527">
                <c:v>6.4483329999999999</c:v>
              </c:pt>
              <c:pt idx="528">
                <c:v>6.0383329999999997</c:v>
              </c:pt>
              <c:pt idx="529">
                <c:v>5.0733329999999999</c:v>
              </c:pt>
              <c:pt idx="530">
                <c:v>5.6150000000000002</c:v>
              </c:pt>
              <c:pt idx="531">
                <c:v>6.5</c:v>
              </c:pt>
              <c:pt idx="532">
                <c:v>6.6133329999999999</c:v>
              </c:pt>
              <c:pt idx="533">
                <c:v>6.1449999999999996</c:v>
              </c:pt>
              <c:pt idx="534">
                <c:v>6.1166660000000004</c:v>
              </c:pt>
              <c:pt idx="535">
                <c:v>5.7516670000000003</c:v>
              </c:pt>
              <c:pt idx="536">
                <c:v>5.8466659999999999</c:v>
              </c:pt>
              <c:pt idx="537">
                <c:v>6.0533330000000003</c:v>
              </c:pt>
              <c:pt idx="538">
                <c:v>6.7566660000000001</c:v>
              </c:pt>
              <c:pt idx="539">
                <c:v>6.1166660000000004</c:v>
              </c:pt>
              <c:pt idx="540">
                <c:v>5.824999</c:v>
              </c:pt>
              <c:pt idx="541">
                <c:v>6.568333</c:v>
              </c:pt>
              <c:pt idx="542">
                <c:v>5.43</c:v>
              </c:pt>
              <c:pt idx="543">
                <c:v>5.4733330000000002</c:v>
              </c:pt>
              <c:pt idx="544">
                <c:v>5.2366669999999997</c:v>
              </c:pt>
              <c:pt idx="545">
                <c:v>6.6666669999999997E-2</c:v>
              </c:pt>
              <c:pt idx="546">
                <c:v>5.6666670000000002E-2</c:v>
              </c:pt>
              <c:pt idx="547">
                <c:v>6.8333340000000006E-2</c:v>
              </c:pt>
              <c:pt idx="548">
                <c:v>0</c:v>
              </c:pt>
              <c:pt idx="549">
                <c:v>0</c:v>
              </c:pt>
              <c:pt idx="550">
                <c:v>0</c:v>
              </c:pt>
              <c:pt idx="551">
                <c:v>0</c:v>
              </c:pt>
              <c:pt idx="552">
                <c:v>0</c:v>
              </c:pt>
              <c:pt idx="553">
                <c:v>0</c:v>
              </c:pt>
              <c:pt idx="554">
                <c:v>0</c:v>
              </c:pt>
              <c:pt idx="555">
                <c:v>0</c:v>
              </c:pt>
              <c:pt idx="556">
                <c:v>5.5316660000000004</c:v>
              </c:pt>
              <c:pt idx="557">
                <c:v>5.9633330000000004</c:v>
              </c:pt>
              <c:pt idx="558">
                <c:v>4.4566660000000002</c:v>
              </c:pt>
              <c:pt idx="559">
                <c:v>5.2183330000000003</c:v>
              </c:pt>
              <c:pt idx="560">
                <c:v>5.78</c:v>
              </c:pt>
              <c:pt idx="561">
                <c:v>5.9566660000000002</c:v>
              </c:pt>
              <c:pt idx="562">
                <c:v>6.7233330000000002</c:v>
              </c:pt>
              <c:pt idx="563">
                <c:v>5.8733329999999997</c:v>
              </c:pt>
              <c:pt idx="564">
                <c:v>6.6583329999999998</c:v>
              </c:pt>
              <c:pt idx="565">
                <c:v>6.0616659999999998</c:v>
              </c:pt>
              <c:pt idx="566">
                <c:v>4.8366670000000003</c:v>
              </c:pt>
              <c:pt idx="567">
                <c:v>3.946666</c:v>
              </c:pt>
              <c:pt idx="568">
                <c:v>2.3633329999999999</c:v>
              </c:pt>
              <c:pt idx="569">
                <c:v>3.94</c:v>
              </c:pt>
              <c:pt idx="570">
                <c:v>4.6733330000000004</c:v>
              </c:pt>
              <c:pt idx="571">
                <c:v>5.5449999999999999</c:v>
              </c:pt>
              <c:pt idx="572">
                <c:v>4.9366659999999998</c:v>
              </c:pt>
              <c:pt idx="573">
                <c:v>5.9583329999999997</c:v>
              </c:pt>
              <c:pt idx="574">
                <c:v>5.494999</c:v>
              </c:pt>
              <c:pt idx="575">
                <c:v>5.4716659999999999</c:v>
              </c:pt>
              <c:pt idx="576">
                <c:v>1.6583330000000001</c:v>
              </c:pt>
              <c:pt idx="577">
                <c:v>6.5000000000000002E-2</c:v>
              </c:pt>
              <c:pt idx="578">
                <c:v>0</c:v>
              </c:pt>
              <c:pt idx="579">
                <c:v>0</c:v>
              </c:pt>
              <c:pt idx="580">
                <c:v>0.90833330000000001</c:v>
              </c:pt>
              <c:pt idx="581">
                <c:v>5.398333</c:v>
              </c:pt>
              <c:pt idx="582">
                <c:v>6.2116670000000003</c:v>
              </c:pt>
              <c:pt idx="583">
                <c:v>6.551666</c:v>
              </c:pt>
              <c:pt idx="584">
                <c:v>6.4133329999999997</c:v>
              </c:pt>
              <c:pt idx="585">
                <c:v>6.5283329999999999</c:v>
              </c:pt>
              <c:pt idx="586">
                <c:v>4.9933329999999998</c:v>
              </c:pt>
              <c:pt idx="587">
                <c:v>6.25</c:v>
              </c:pt>
              <c:pt idx="588">
                <c:v>6.4383330000000001</c:v>
              </c:pt>
              <c:pt idx="589">
                <c:v>6.8049999999999997</c:v>
              </c:pt>
              <c:pt idx="590">
                <c:v>5.2816660000000004</c:v>
              </c:pt>
              <c:pt idx="591">
                <c:v>5.3416670000000002</c:v>
              </c:pt>
              <c:pt idx="592">
                <c:v>5.148333</c:v>
              </c:pt>
              <c:pt idx="593">
                <c:v>6.9716659999999999</c:v>
              </c:pt>
              <c:pt idx="594">
                <c:v>5.6916659999999997</c:v>
              </c:pt>
              <c:pt idx="595">
                <c:v>5.9749999999999996</c:v>
              </c:pt>
              <c:pt idx="596">
                <c:v>4.7516670000000003</c:v>
              </c:pt>
              <c:pt idx="597">
                <c:v>6.1916659999999997</c:v>
              </c:pt>
              <c:pt idx="598">
                <c:v>6.2583330000000004</c:v>
              </c:pt>
              <c:pt idx="599">
                <c:v>5.5033329999999996</c:v>
              </c:pt>
              <c:pt idx="600">
                <c:v>6.6333330000000004</c:v>
              </c:pt>
              <c:pt idx="601">
                <c:v>6.0949999999999998</c:v>
              </c:pt>
              <c:pt idx="602">
                <c:v>4.6883330000000001</c:v>
              </c:pt>
              <c:pt idx="603">
                <c:v>4.7450000000000001</c:v>
              </c:pt>
              <c:pt idx="604">
                <c:v>4.2133330000000004</c:v>
              </c:pt>
              <c:pt idx="605">
                <c:v>5.6950000000000003</c:v>
              </c:pt>
              <c:pt idx="606">
                <c:v>5.3216659999999996</c:v>
              </c:pt>
              <c:pt idx="607">
                <c:v>5.7883329999999997</c:v>
              </c:pt>
              <c:pt idx="608">
                <c:v>4.7433329999999998</c:v>
              </c:pt>
              <c:pt idx="609">
                <c:v>5.994999</c:v>
              </c:pt>
              <c:pt idx="610">
                <c:v>5.5083330000000004</c:v>
              </c:pt>
              <c:pt idx="611">
                <c:v>5.875</c:v>
              </c:pt>
              <c:pt idx="612">
                <c:v>5.5049999999999999</c:v>
              </c:pt>
              <c:pt idx="613">
                <c:v>5.2383329999999999</c:v>
              </c:pt>
              <c:pt idx="614">
                <c:v>6.6616660000000003</c:v>
              </c:pt>
              <c:pt idx="615">
                <c:v>6.91</c:v>
              </c:pt>
              <c:pt idx="616">
                <c:v>6.3266660000000003</c:v>
              </c:pt>
              <c:pt idx="617">
                <c:v>5.08</c:v>
              </c:pt>
              <c:pt idx="618">
                <c:v>6.6666669999999997E-2</c:v>
              </c:pt>
              <c:pt idx="619">
                <c:v>0</c:v>
              </c:pt>
              <c:pt idx="620">
                <c:v>0</c:v>
              </c:pt>
              <c:pt idx="621">
                <c:v>0</c:v>
              </c:pt>
              <c:pt idx="622">
                <c:v>0</c:v>
              </c:pt>
              <c:pt idx="623">
                <c:v>0</c:v>
              </c:pt>
              <c:pt idx="624">
                <c:v>0</c:v>
              </c:pt>
              <c:pt idx="625">
                <c:v>0</c:v>
              </c:pt>
              <c:pt idx="626">
                <c:v>0</c:v>
              </c:pt>
              <c:pt idx="627">
                <c:v>0</c:v>
              </c:pt>
              <c:pt idx="628">
                <c:v>0</c:v>
              </c:pt>
              <c:pt idx="629">
                <c:v>2.9216660000000001</c:v>
              </c:pt>
              <c:pt idx="630">
                <c:v>4.9916660000000004</c:v>
              </c:pt>
              <c:pt idx="631">
                <c:v>4.9366659999999998</c:v>
              </c:pt>
              <c:pt idx="632">
                <c:v>6.08</c:v>
              </c:pt>
              <c:pt idx="633">
                <c:v>5.6916659999999997</c:v>
              </c:pt>
              <c:pt idx="634">
                <c:v>5.1466669999999999</c:v>
              </c:pt>
              <c:pt idx="635">
                <c:v>5.3083330000000002</c:v>
              </c:pt>
              <c:pt idx="636">
                <c:v>6.5366660000000003</c:v>
              </c:pt>
              <c:pt idx="637">
                <c:v>6.0016670000000003</c:v>
              </c:pt>
              <c:pt idx="638">
                <c:v>6.4966660000000003</c:v>
              </c:pt>
              <c:pt idx="639">
                <c:v>5.9716659999999999</c:v>
              </c:pt>
              <c:pt idx="640">
                <c:v>6.2433329999999998</c:v>
              </c:pt>
              <c:pt idx="641">
                <c:v>5.2316669999999998</c:v>
              </c:pt>
              <c:pt idx="642">
                <c:v>6.47</c:v>
              </c:pt>
              <c:pt idx="643">
                <c:v>0.1033333</c:v>
              </c:pt>
              <c:pt idx="644">
                <c:v>5.6666670000000002E-2</c:v>
              </c:pt>
              <c:pt idx="645">
                <c:v>0</c:v>
              </c:pt>
              <c:pt idx="646">
                <c:v>0.81333330000000004</c:v>
              </c:pt>
              <c:pt idx="647">
                <c:v>5.6050000000000004</c:v>
              </c:pt>
              <c:pt idx="648">
                <c:v>5.9066660000000004</c:v>
              </c:pt>
              <c:pt idx="649">
                <c:v>3.8233329999999999</c:v>
              </c:pt>
              <c:pt idx="650">
                <c:v>5.1916669999999998</c:v>
              </c:pt>
              <c:pt idx="651">
                <c:v>5.7533329999999996</c:v>
              </c:pt>
              <c:pt idx="652">
                <c:v>0.80833330000000003</c:v>
              </c:pt>
              <c:pt idx="653">
                <c:v>0</c:v>
              </c:pt>
              <c:pt idx="654">
                <c:v>0</c:v>
              </c:pt>
              <c:pt idx="655">
                <c:v>0</c:v>
              </c:pt>
              <c:pt idx="656">
                <c:v>0</c:v>
              </c:pt>
              <c:pt idx="657">
                <c:v>0</c:v>
              </c:pt>
              <c:pt idx="658">
                <c:v>0.1316667</c:v>
              </c:pt>
              <c:pt idx="659">
                <c:v>0</c:v>
              </c:pt>
              <c:pt idx="660">
                <c:v>0.99666670000000002</c:v>
              </c:pt>
              <c:pt idx="661">
                <c:v>0.73833329999999997</c:v>
              </c:pt>
              <c:pt idx="662">
                <c:v>6.8333340000000006E-2</c:v>
              </c:pt>
              <c:pt idx="663">
                <c:v>0</c:v>
              </c:pt>
              <c:pt idx="664">
                <c:v>0</c:v>
              </c:pt>
              <c:pt idx="665">
                <c:v>0</c:v>
              </c:pt>
              <c:pt idx="666">
                <c:v>0.94</c:v>
              </c:pt>
              <c:pt idx="667">
                <c:v>6.3333329999999993E-2</c:v>
              </c:pt>
              <c:pt idx="668">
                <c:v>5.3566669999999998</c:v>
              </c:pt>
              <c:pt idx="669">
                <c:v>3.611666</c:v>
              </c:pt>
              <c:pt idx="670">
                <c:v>6.1150000000000002</c:v>
              </c:pt>
              <c:pt idx="671">
                <c:v>6.1383330000000003</c:v>
              </c:pt>
              <c:pt idx="672">
                <c:v>4.875</c:v>
              </c:pt>
              <c:pt idx="673">
                <c:v>6.244999</c:v>
              </c:pt>
              <c:pt idx="674">
                <c:v>3.585</c:v>
              </c:pt>
              <c:pt idx="675">
                <c:v>1.046667</c:v>
              </c:pt>
              <c:pt idx="676">
                <c:v>0.21666669999999999</c:v>
              </c:pt>
              <c:pt idx="677">
                <c:v>0.40500000000000003</c:v>
              </c:pt>
              <c:pt idx="678">
                <c:v>1.066667</c:v>
              </c:pt>
              <c:pt idx="679">
                <c:v>6.6666669999999997E-2</c:v>
              </c:pt>
              <c:pt idx="680">
                <c:v>2.6150000000000002</c:v>
              </c:pt>
              <c:pt idx="681">
                <c:v>5.9066660000000004</c:v>
              </c:pt>
              <c:pt idx="682">
                <c:v>5.4033329999999999</c:v>
              </c:pt>
              <c:pt idx="683">
                <c:v>6.7416660000000004</c:v>
              </c:pt>
              <c:pt idx="684">
                <c:v>5.5449999999999999</c:v>
              </c:pt>
              <c:pt idx="685">
                <c:v>5.8449999999999998</c:v>
              </c:pt>
              <c:pt idx="686">
                <c:v>4.6833330000000002</c:v>
              </c:pt>
              <c:pt idx="687">
                <c:v>5.2366659999999996</c:v>
              </c:pt>
              <c:pt idx="688">
                <c:v>5.9933329999999998</c:v>
              </c:pt>
              <c:pt idx="689">
                <c:v>5.75</c:v>
              </c:pt>
              <c:pt idx="690">
                <c:v>5.0616659999999998</c:v>
              </c:pt>
              <c:pt idx="691">
                <c:v>5.4316659999999999</c:v>
              </c:pt>
              <c:pt idx="692">
                <c:v>5.8683329999999998</c:v>
              </c:pt>
              <c:pt idx="693">
                <c:v>6.07</c:v>
              </c:pt>
              <c:pt idx="694">
                <c:v>5.5116670000000001</c:v>
              </c:pt>
              <c:pt idx="695">
                <c:v>6.3116659999999998</c:v>
              </c:pt>
              <c:pt idx="696">
                <c:v>6.0016670000000003</c:v>
              </c:pt>
              <c:pt idx="697">
                <c:v>6.23</c:v>
              </c:pt>
              <c:pt idx="698">
                <c:v>6.35</c:v>
              </c:pt>
              <c:pt idx="699">
                <c:v>5.5016670000000003</c:v>
              </c:pt>
              <c:pt idx="700">
                <c:v>5.1666670000000003</c:v>
              </c:pt>
              <c:pt idx="701">
                <c:v>4.5883330000000004</c:v>
              </c:pt>
              <c:pt idx="702">
                <c:v>5.3333329999999997</c:v>
              </c:pt>
              <c:pt idx="703">
                <c:v>3.951667</c:v>
              </c:pt>
              <c:pt idx="704">
                <c:v>5.398333</c:v>
              </c:pt>
              <c:pt idx="705">
                <c:v>5.4883329999999999</c:v>
              </c:pt>
              <c:pt idx="706">
                <c:v>5.3716660000000003</c:v>
              </c:pt>
              <c:pt idx="707">
                <c:v>5.0016670000000003</c:v>
              </c:pt>
              <c:pt idx="708">
                <c:v>6.0466670000000002</c:v>
              </c:pt>
              <c:pt idx="709">
                <c:v>6.5016670000000003</c:v>
              </c:pt>
              <c:pt idx="710">
                <c:v>6.75</c:v>
              </c:pt>
              <c:pt idx="711">
                <c:v>6.9033329999999999</c:v>
              </c:pt>
              <c:pt idx="712">
                <c:v>5.648333</c:v>
              </c:pt>
              <c:pt idx="713">
                <c:v>6.83</c:v>
              </c:pt>
              <c:pt idx="714">
                <c:v>6.398333</c:v>
              </c:pt>
              <c:pt idx="715">
                <c:v>6.3616659999999996</c:v>
              </c:pt>
              <c:pt idx="716">
                <c:v>7.0149990000000004</c:v>
              </c:pt>
              <c:pt idx="717">
                <c:v>5.2916670000000003</c:v>
              </c:pt>
              <c:pt idx="718">
                <c:v>6.0283329999999999</c:v>
              </c:pt>
              <c:pt idx="719">
                <c:v>6.6849990000000004</c:v>
              </c:pt>
              <c:pt idx="720">
                <c:v>6.7766669999999998</c:v>
              </c:pt>
              <c:pt idx="721">
                <c:v>7.1983329999999999</c:v>
              </c:pt>
              <c:pt idx="722">
                <c:v>6.835</c:v>
              </c:pt>
              <c:pt idx="723">
                <c:v>6.4566660000000002</c:v>
              </c:pt>
              <c:pt idx="724">
                <c:v>6.7649990000000004</c:v>
              </c:pt>
              <c:pt idx="725">
                <c:v>5.3933330000000002</c:v>
              </c:pt>
              <c:pt idx="726">
                <c:v>5.5616659999999998</c:v>
              </c:pt>
              <c:pt idx="727">
                <c:v>6.2166670000000002</c:v>
              </c:pt>
              <c:pt idx="728">
                <c:v>6.244999</c:v>
              </c:pt>
              <c:pt idx="729">
                <c:v>5.2949999999999999</c:v>
              </c:pt>
              <c:pt idx="730">
                <c:v>5.9283330000000003</c:v>
              </c:pt>
              <c:pt idx="731">
                <c:v>5.9483329999999999</c:v>
              </c:pt>
              <c:pt idx="732">
                <c:v>6.9183329999999996</c:v>
              </c:pt>
              <c:pt idx="733">
                <c:v>6.068333</c:v>
              </c:pt>
              <c:pt idx="734">
                <c:v>5.63</c:v>
              </c:pt>
              <c:pt idx="735">
                <c:v>6.0383329999999997</c:v>
              </c:pt>
              <c:pt idx="736">
                <c:v>1.058333</c:v>
              </c:pt>
              <c:pt idx="737">
                <c:v>3.576667</c:v>
              </c:pt>
              <c:pt idx="738">
                <c:v>3.5649999999999999</c:v>
              </c:pt>
              <c:pt idx="739">
                <c:v>0</c:v>
              </c:pt>
              <c:pt idx="740">
                <c:v>8.8333330000000002E-2</c:v>
              </c:pt>
              <c:pt idx="741">
                <c:v>5.9166660000000002</c:v>
              </c:pt>
              <c:pt idx="742">
                <c:v>5.3683329999999998</c:v>
              </c:pt>
              <c:pt idx="743">
                <c:v>5.98</c:v>
              </c:pt>
              <c:pt idx="744">
                <c:v>5.4283330000000003</c:v>
              </c:pt>
              <c:pt idx="745">
                <c:v>6.66</c:v>
              </c:pt>
              <c:pt idx="746">
                <c:v>4.4883329999999999</c:v>
              </c:pt>
              <c:pt idx="747">
                <c:v>5.4633330000000004</c:v>
              </c:pt>
              <c:pt idx="748">
                <c:v>4.4583329999999997</c:v>
              </c:pt>
              <c:pt idx="749">
                <c:v>5.449999</c:v>
              </c:pt>
              <c:pt idx="750">
                <c:v>5.8433330000000003</c:v>
              </c:pt>
              <c:pt idx="751">
                <c:v>6.01</c:v>
              </c:pt>
              <c:pt idx="752">
                <c:v>6.1466659999999997</c:v>
              </c:pt>
              <c:pt idx="753">
                <c:v>6.2350000000000003</c:v>
              </c:pt>
              <c:pt idx="754">
                <c:v>6.1283329999999996</c:v>
              </c:pt>
              <c:pt idx="755">
                <c:v>6.1516669999999998</c:v>
              </c:pt>
              <c:pt idx="756">
                <c:v>5.61</c:v>
              </c:pt>
              <c:pt idx="757">
                <c:v>4.3099999999999996</c:v>
              </c:pt>
              <c:pt idx="758">
                <c:v>5.2949999999999999</c:v>
              </c:pt>
              <c:pt idx="759">
                <c:v>5.6</c:v>
              </c:pt>
              <c:pt idx="760">
                <c:v>5.77</c:v>
              </c:pt>
              <c:pt idx="761">
                <c:v>4.6733330000000004</c:v>
              </c:pt>
              <c:pt idx="762">
                <c:v>4.8416670000000002</c:v>
              </c:pt>
              <c:pt idx="763">
                <c:v>5.66</c:v>
              </c:pt>
              <c:pt idx="764">
                <c:v>5.38</c:v>
              </c:pt>
              <c:pt idx="765">
                <c:v>7.0916670000000002</c:v>
              </c:pt>
              <c:pt idx="766">
                <c:v>6.09</c:v>
              </c:pt>
              <c:pt idx="767">
                <c:v>6.0983330000000002</c:v>
              </c:pt>
              <c:pt idx="768">
                <c:v>5.9616670000000003</c:v>
              </c:pt>
              <c:pt idx="769">
                <c:v>5.8516659999999998</c:v>
              </c:pt>
              <c:pt idx="770">
                <c:v>6.9533329999999998</c:v>
              </c:pt>
              <c:pt idx="771">
                <c:v>6.1050000000000004</c:v>
              </c:pt>
              <c:pt idx="772">
                <c:v>5.8816660000000001</c:v>
              </c:pt>
              <c:pt idx="773">
                <c:v>5.949999</c:v>
              </c:pt>
              <c:pt idx="774">
                <c:v>5.4</c:v>
              </c:pt>
              <c:pt idx="775">
                <c:v>4.8633329999999999</c:v>
              </c:pt>
              <c:pt idx="776">
                <c:v>5.77</c:v>
              </c:pt>
              <c:pt idx="777">
                <c:v>5.7016660000000003</c:v>
              </c:pt>
              <c:pt idx="778">
                <c:v>4.8716660000000003</c:v>
              </c:pt>
              <c:pt idx="779">
                <c:v>5.273333</c:v>
              </c:pt>
              <c:pt idx="780">
                <c:v>4.9533329999999998</c:v>
              </c:pt>
              <c:pt idx="781">
                <c:v>5.2516670000000003</c:v>
              </c:pt>
              <c:pt idx="782">
                <c:v>4.7833329999999998</c:v>
              </c:pt>
              <c:pt idx="783">
                <c:v>5.7433329999999998</c:v>
              </c:pt>
              <c:pt idx="784">
                <c:v>4.4383330000000001</c:v>
              </c:pt>
              <c:pt idx="785">
                <c:v>5.0283329999999999</c:v>
              </c:pt>
              <c:pt idx="786">
                <c:v>5.44</c:v>
              </c:pt>
              <c:pt idx="787">
                <c:v>4.8550000000000004</c:v>
              </c:pt>
              <c:pt idx="788">
                <c:v>4.6333330000000004</c:v>
              </c:pt>
              <c:pt idx="789">
                <c:v>4.9666670000000002</c:v>
              </c:pt>
              <c:pt idx="790">
                <c:v>4.9616670000000003</c:v>
              </c:pt>
              <c:pt idx="791">
                <c:v>4.8033330000000003</c:v>
              </c:pt>
              <c:pt idx="792">
                <c:v>6.5883330000000004</c:v>
              </c:pt>
              <c:pt idx="793">
                <c:v>6.0716669999999997</c:v>
              </c:pt>
              <c:pt idx="794">
                <c:v>5.8883330000000003</c:v>
              </c:pt>
              <c:pt idx="795">
                <c:v>5.6349999999999998</c:v>
              </c:pt>
              <c:pt idx="796">
                <c:v>5.5149999999999997</c:v>
              </c:pt>
              <c:pt idx="797">
                <c:v>4.7433329999999998</c:v>
              </c:pt>
              <c:pt idx="798">
                <c:v>4.5416670000000003</c:v>
              </c:pt>
              <c:pt idx="799">
                <c:v>4.9983329999999997</c:v>
              </c:pt>
              <c:pt idx="800">
                <c:v>5.1583329999999998</c:v>
              </c:pt>
              <c:pt idx="801">
                <c:v>5.8916659999999998</c:v>
              </c:pt>
              <c:pt idx="802">
                <c:v>5.27</c:v>
              </c:pt>
              <c:pt idx="803">
                <c:v>5.8033330000000003</c:v>
              </c:pt>
              <c:pt idx="804">
                <c:v>5.9450000000000003</c:v>
              </c:pt>
              <c:pt idx="805">
                <c:v>5.1283339999999997</c:v>
              </c:pt>
              <c:pt idx="806">
                <c:v>4.5483330000000004</c:v>
              </c:pt>
              <c:pt idx="807">
                <c:v>4.3150000000000004</c:v>
              </c:pt>
              <c:pt idx="808">
                <c:v>4.6266670000000003</c:v>
              </c:pt>
              <c:pt idx="809">
                <c:v>4.1150000000000002</c:v>
              </c:pt>
              <c:pt idx="810">
                <c:v>4.6016659999999998</c:v>
              </c:pt>
              <c:pt idx="811">
                <c:v>6.0483330000000004</c:v>
              </c:pt>
              <c:pt idx="812">
                <c:v>5.1783330000000003</c:v>
              </c:pt>
              <c:pt idx="813">
                <c:v>4.93</c:v>
              </c:pt>
              <c:pt idx="814">
                <c:v>5.3516659999999998</c:v>
              </c:pt>
              <c:pt idx="815">
                <c:v>6.5</c:v>
              </c:pt>
              <c:pt idx="816">
                <c:v>5.5216659999999997</c:v>
              </c:pt>
              <c:pt idx="817">
                <c:v>5.3716660000000003</c:v>
              </c:pt>
              <c:pt idx="818">
                <c:v>4.9683330000000003</c:v>
              </c:pt>
              <c:pt idx="819">
                <c:v>6.568333</c:v>
              </c:pt>
              <c:pt idx="820">
                <c:v>5.5266669999999998</c:v>
              </c:pt>
              <c:pt idx="821">
                <c:v>5.2383329999999999</c:v>
              </c:pt>
              <c:pt idx="822">
                <c:v>4.9616670000000003</c:v>
              </c:pt>
              <c:pt idx="823">
                <c:v>5.6316660000000001</c:v>
              </c:pt>
              <c:pt idx="824">
                <c:v>5.165</c:v>
              </c:pt>
              <c:pt idx="825">
                <c:v>5.0983330000000002</c:v>
              </c:pt>
              <c:pt idx="826">
                <c:v>4.7883329999999997</c:v>
              </c:pt>
              <c:pt idx="827">
                <c:v>5.4233330000000004</c:v>
              </c:pt>
              <c:pt idx="828">
                <c:v>5.0316660000000004</c:v>
              </c:pt>
              <c:pt idx="829">
                <c:v>5.608333</c:v>
              </c:pt>
              <c:pt idx="830">
                <c:v>5.1383330000000003</c:v>
              </c:pt>
              <c:pt idx="831">
                <c:v>6.2083329999999997</c:v>
              </c:pt>
              <c:pt idx="832">
                <c:v>6.3716660000000003</c:v>
              </c:pt>
              <c:pt idx="833">
                <c:v>6.2466660000000003</c:v>
              </c:pt>
              <c:pt idx="834">
                <c:v>5.2216670000000001</c:v>
              </c:pt>
              <c:pt idx="835">
                <c:v>5.28</c:v>
              </c:pt>
              <c:pt idx="836">
                <c:v>4.7683330000000002</c:v>
              </c:pt>
              <c:pt idx="837">
                <c:v>6.1866659999999998</c:v>
              </c:pt>
              <c:pt idx="838">
                <c:v>5.2866660000000003</c:v>
              </c:pt>
              <c:pt idx="839">
                <c:v>5.6666660000000002</c:v>
              </c:pt>
              <c:pt idx="840">
                <c:v>5.8099990000000004</c:v>
              </c:pt>
              <c:pt idx="841">
                <c:v>6.98</c:v>
              </c:pt>
              <c:pt idx="842">
                <c:v>7.19</c:v>
              </c:pt>
              <c:pt idx="843">
                <c:v>5.7649990000000004</c:v>
              </c:pt>
              <c:pt idx="844">
                <c:v>5.9183329999999996</c:v>
              </c:pt>
              <c:pt idx="845">
                <c:v>6.0616659999999998</c:v>
              </c:pt>
              <c:pt idx="846">
                <c:v>4.7266659999999998</c:v>
              </c:pt>
              <c:pt idx="847">
                <c:v>4.7983330000000004</c:v>
              </c:pt>
              <c:pt idx="848">
                <c:v>4.1466669999999999</c:v>
              </c:pt>
              <c:pt idx="849">
                <c:v>4.92</c:v>
              </c:pt>
              <c:pt idx="850">
                <c:v>6.476667</c:v>
              </c:pt>
              <c:pt idx="851">
                <c:v>5.31</c:v>
              </c:pt>
              <c:pt idx="852">
                <c:v>5.7116660000000001</c:v>
              </c:pt>
              <c:pt idx="853">
                <c:v>6.6749999999999998</c:v>
              </c:pt>
              <c:pt idx="854">
                <c:v>6.3833330000000004</c:v>
              </c:pt>
              <c:pt idx="855">
                <c:v>6.4133329999999997</c:v>
              </c:pt>
              <c:pt idx="856">
                <c:v>7.2816660000000004</c:v>
              </c:pt>
              <c:pt idx="857">
                <c:v>6.4</c:v>
              </c:pt>
              <c:pt idx="858">
                <c:v>6.99</c:v>
              </c:pt>
              <c:pt idx="859">
                <c:v>5.2583330000000004</c:v>
              </c:pt>
              <c:pt idx="860">
                <c:v>5.96</c:v>
              </c:pt>
              <c:pt idx="861">
                <c:v>6.6633329999999997</c:v>
              </c:pt>
              <c:pt idx="862">
                <c:v>5.4783330000000001</c:v>
              </c:pt>
              <c:pt idx="863">
                <c:v>4.8683329999999998</c:v>
              </c:pt>
              <c:pt idx="864">
                <c:v>5.4666670000000002</c:v>
              </c:pt>
              <c:pt idx="865">
                <c:v>6.9916660000000004</c:v>
              </c:pt>
              <c:pt idx="866">
                <c:v>6.431667</c:v>
              </c:pt>
              <c:pt idx="867">
                <c:v>4.2616670000000001</c:v>
              </c:pt>
              <c:pt idx="868">
                <c:v>5.5399989999999999</c:v>
              </c:pt>
              <c:pt idx="869">
                <c:v>5.19</c:v>
              </c:pt>
              <c:pt idx="870">
                <c:v>1.618333</c:v>
              </c:pt>
              <c:pt idx="871">
                <c:v>3.0216669999999999</c:v>
              </c:pt>
              <c:pt idx="872">
                <c:v>5.4533329999999998</c:v>
              </c:pt>
              <c:pt idx="873">
                <c:v>5.2566670000000002</c:v>
              </c:pt>
              <c:pt idx="874">
                <c:v>5.5033329999999996</c:v>
              </c:pt>
              <c:pt idx="875">
                <c:v>5.5383329999999997</c:v>
              </c:pt>
              <c:pt idx="876">
                <c:v>4.7050000000000001</c:v>
              </c:pt>
              <c:pt idx="877">
                <c:v>5.8716660000000003</c:v>
              </c:pt>
              <c:pt idx="878">
                <c:v>4.7366669999999997</c:v>
              </c:pt>
              <c:pt idx="879">
                <c:v>4.5583330000000002</c:v>
              </c:pt>
              <c:pt idx="880">
                <c:v>4.2716669999999999</c:v>
              </c:pt>
              <c:pt idx="881">
                <c:v>4.4066660000000004</c:v>
              </c:pt>
              <c:pt idx="882">
                <c:v>4.0766660000000003</c:v>
              </c:pt>
              <c:pt idx="883">
                <c:v>3.3116660000000002</c:v>
              </c:pt>
              <c:pt idx="884">
                <c:v>6.3333329999999993E-2</c:v>
              </c:pt>
              <c:pt idx="885">
                <c:v>2.551666</c:v>
              </c:pt>
              <c:pt idx="886">
                <c:v>4.3366670000000003</c:v>
              </c:pt>
              <c:pt idx="887">
                <c:v>4.3633329999999999</c:v>
              </c:pt>
              <c:pt idx="888">
                <c:v>1.95</c:v>
              </c:pt>
              <c:pt idx="889">
                <c:v>4.148333</c:v>
              </c:pt>
              <c:pt idx="890">
                <c:v>4.5483330000000004</c:v>
              </c:pt>
              <c:pt idx="891">
                <c:v>5.1566660000000004</c:v>
              </c:pt>
              <c:pt idx="892">
                <c:v>1.433333</c:v>
              </c:pt>
              <c:pt idx="893">
                <c:v>4.5583330000000002</c:v>
              </c:pt>
              <c:pt idx="894">
                <c:v>3.73</c:v>
              </c:pt>
              <c:pt idx="895">
                <c:v>4.1566660000000004</c:v>
              </c:pt>
              <c:pt idx="896">
                <c:v>4.1316670000000002</c:v>
              </c:pt>
              <c:pt idx="897">
                <c:v>3.1916669999999998</c:v>
              </c:pt>
              <c:pt idx="898">
                <c:v>0</c:v>
              </c:pt>
              <c:pt idx="899">
                <c:v>0</c:v>
              </c:pt>
              <c:pt idx="900">
                <c:v>0</c:v>
              </c:pt>
              <c:pt idx="901">
                <c:v>0</c:v>
              </c:pt>
              <c:pt idx="902">
                <c:v>0</c:v>
              </c:pt>
              <c:pt idx="903">
                <c:v>0</c:v>
              </c:pt>
              <c:pt idx="904">
                <c:v>0</c:v>
              </c:pt>
              <c:pt idx="905">
                <c:v>0</c:v>
              </c:pt>
              <c:pt idx="906">
                <c:v>0</c:v>
              </c:pt>
              <c:pt idx="907">
                <c:v>0</c:v>
              </c:pt>
              <c:pt idx="908">
                <c:v>0</c:v>
              </c:pt>
              <c:pt idx="909">
                <c:v>2.6583329999999998</c:v>
              </c:pt>
              <c:pt idx="910">
                <c:v>4.7316669999999998</c:v>
              </c:pt>
              <c:pt idx="911">
                <c:v>4.8150000000000004</c:v>
              </c:pt>
              <c:pt idx="912">
                <c:v>4.9616670000000003</c:v>
              </c:pt>
              <c:pt idx="913">
                <c:v>0.56499999999999995</c:v>
              </c:pt>
              <c:pt idx="914">
                <c:v>1.7416670000000001</c:v>
              </c:pt>
              <c:pt idx="915">
                <c:v>5.3466659999999999</c:v>
              </c:pt>
              <c:pt idx="916">
                <c:v>4.97</c:v>
              </c:pt>
              <c:pt idx="917">
                <c:v>5.2866660000000003</c:v>
              </c:pt>
              <c:pt idx="918">
                <c:v>4.5716669999999997</c:v>
              </c:pt>
              <c:pt idx="919">
                <c:v>3.926666</c:v>
              </c:pt>
              <c:pt idx="920">
                <c:v>4.8849999999999998</c:v>
              </c:pt>
              <c:pt idx="921">
                <c:v>4.8133330000000001</c:v>
              </c:pt>
              <c:pt idx="922">
                <c:v>4.7916670000000003</c:v>
              </c:pt>
              <c:pt idx="923">
                <c:v>3.8566669999999998</c:v>
              </c:pt>
              <c:pt idx="924">
                <c:v>2.8883329999999998</c:v>
              </c:pt>
              <c:pt idx="925">
                <c:v>0</c:v>
              </c:pt>
              <c:pt idx="926">
                <c:v>0</c:v>
              </c:pt>
              <c:pt idx="927">
                <c:v>2.09</c:v>
              </c:pt>
              <c:pt idx="928">
                <c:v>4.4349999999999996</c:v>
              </c:pt>
              <c:pt idx="929">
                <c:v>5.0633330000000001</c:v>
              </c:pt>
              <c:pt idx="930">
                <c:v>3.9816669999999998</c:v>
              </c:pt>
              <c:pt idx="931">
                <c:v>2.201667</c:v>
              </c:pt>
              <c:pt idx="932">
                <c:v>0</c:v>
              </c:pt>
              <c:pt idx="933">
                <c:v>0</c:v>
              </c:pt>
              <c:pt idx="934">
                <c:v>0</c:v>
              </c:pt>
              <c:pt idx="935">
                <c:v>2.6916669999999998</c:v>
              </c:pt>
              <c:pt idx="936">
                <c:v>4.9133329999999997</c:v>
              </c:pt>
              <c:pt idx="937">
                <c:v>4.3733329999999997</c:v>
              </c:pt>
              <c:pt idx="938">
                <c:v>4.9550000000000001</c:v>
              </c:pt>
              <c:pt idx="939">
                <c:v>5.3033330000000003</c:v>
              </c:pt>
              <c:pt idx="940">
                <c:v>4.7516670000000003</c:v>
              </c:pt>
              <c:pt idx="941">
                <c:v>4.7233330000000002</c:v>
              </c:pt>
              <c:pt idx="942">
                <c:v>4.2416660000000004</c:v>
              </c:pt>
              <c:pt idx="943">
                <c:v>2.1916669999999998</c:v>
              </c:pt>
              <c:pt idx="944">
                <c:v>0</c:v>
              </c:pt>
              <c:pt idx="945">
                <c:v>0.20666670000000001</c:v>
              </c:pt>
              <c:pt idx="946">
                <c:v>0</c:v>
              </c:pt>
              <c:pt idx="947">
                <c:v>0</c:v>
              </c:pt>
              <c:pt idx="948">
                <c:v>0</c:v>
              </c:pt>
              <c:pt idx="949">
                <c:v>0</c:v>
              </c:pt>
              <c:pt idx="950">
                <c:v>0</c:v>
              </c:pt>
              <c:pt idx="951">
                <c:v>0</c:v>
              </c:pt>
              <c:pt idx="952">
                <c:v>0</c:v>
              </c:pt>
              <c:pt idx="953">
                <c:v>5.5E-2</c:v>
              </c:pt>
              <c:pt idx="954">
                <c:v>3.395</c:v>
              </c:pt>
              <c:pt idx="955">
                <c:v>4.5049999999999999</c:v>
              </c:pt>
              <c:pt idx="956">
                <c:v>3.7033330000000002</c:v>
              </c:pt>
              <c:pt idx="957">
                <c:v>3.6666669999999999</c:v>
              </c:pt>
              <c:pt idx="958">
                <c:v>3.2833329999999998</c:v>
              </c:pt>
              <c:pt idx="959">
                <c:v>3.7349999999999999</c:v>
              </c:pt>
              <c:pt idx="960">
                <c:v>4.2766669999999998</c:v>
              </c:pt>
              <c:pt idx="961">
                <c:v>3.52</c:v>
              </c:pt>
              <c:pt idx="962">
                <c:v>0.92</c:v>
              </c:pt>
              <c:pt idx="963">
                <c:v>3.4783330000000001</c:v>
              </c:pt>
              <c:pt idx="964">
                <c:v>4.32</c:v>
              </c:pt>
              <c:pt idx="965">
                <c:v>4.2583330000000004</c:v>
              </c:pt>
              <c:pt idx="966">
                <c:v>3.9849999999999999</c:v>
              </c:pt>
              <c:pt idx="967">
                <c:v>4.0316660000000004</c:v>
              </c:pt>
              <c:pt idx="968">
                <c:v>3.2050000000000001</c:v>
              </c:pt>
              <c:pt idx="969">
                <c:v>3.18</c:v>
              </c:pt>
              <c:pt idx="970">
                <c:v>3.9733329999999998</c:v>
              </c:pt>
              <c:pt idx="971">
                <c:v>4.4450000000000003</c:v>
              </c:pt>
              <c:pt idx="972">
                <c:v>3.9950000000000001</c:v>
              </c:pt>
              <c:pt idx="973">
                <c:v>3.2883330000000002</c:v>
              </c:pt>
              <c:pt idx="974">
                <c:v>1.733333</c:v>
              </c:pt>
              <c:pt idx="975">
                <c:v>0</c:v>
              </c:pt>
              <c:pt idx="976">
                <c:v>0</c:v>
              </c:pt>
              <c:pt idx="977">
                <c:v>1.625</c:v>
              </c:pt>
              <c:pt idx="978">
                <c:v>8.1666669999999997E-2</c:v>
              </c:pt>
              <c:pt idx="979">
                <c:v>0</c:v>
              </c:pt>
              <c:pt idx="980">
                <c:v>0</c:v>
              </c:pt>
              <c:pt idx="981">
                <c:v>0</c:v>
              </c:pt>
              <c:pt idx="982">
                <c:v>0</c:v>
              </c:pt>
              <c:pt idx="983">
                <c:v>0</c:v>
              </c:pt>
              <c:pt idx="984">
                <c:v>0</c:v>
              </c:pt>
              <c:pt idx="985">
                <c:v>4.9316659999999999</c:v>
              </c:pt>
              <c:pt idx="986">
                <c:v>4.49</c:v>
              </c:pt>
              <c:pt idx="987">
                <c:v>2.9616660000000001</c:v>
              </c:pt>
              <c:pt idx="988">
                <c:v>3.4649999999999999</c:v>
              </c:pt>
              <c:pt idx="989">
                <c:v>2.4950000000000001</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3.5283329999999999</c:v>
              </c:pt>
              <c:pt idx="1007">
                <c:v>3.378333</c:v>
              </c:pt>
              <c:pt idx="1008">
                <c:v>7.1666670000000002E-2</c:v>
              </c:pt>
              <c:pt idx="1009">
                <c:v>5.6666670000000002E-2</c:v>
              </c:pt>
              <c:pt idx="1010">
                <c:v>2.2799999999999998</c:v>
              </c:pt>
              <c:pt idx="1011">
                <c:v>4.5716659999999996</c:v>
              </c:pt>
              <c:pt idx="1012">
                <c:v>4.32</c:v>
              </c:pt>
              <c:pt idx="1013">
                <c:v>4.1383330000000003</c:v>
              </c:pt>
              <c:pt idx="1014">
                <c:v>4.9000000000000004</c:v>
              </c:pt>
              <c:pt idx="1015">
                <c:v>4.4616670000000003</c:v>
              </c:pt>
              <c:pt idx="1016">
                <c:v>4.0783329999999998</c:v>
              </c:pt>
              <c:pt idx="1017">
                <c:v>4.3816670000000002</c:v>
              </c:pt>
              <c:pt idx="1018">
                <c:v>5.28</c:v>
              </c:pt>
              <c:pt idx="1019">
                <c:v>4.1716670000000002</c:v>
              </c:pt>
              <c:pt idx="1020">
                <c:v>2.9483329999999999</c:v>
              </c:pt>
              <c:pt idx="1021">
                <c:v>1.888333</c:v>
              </c:pt>
              <c:pt idx="1022">
                <c:v>0</c:v>
              </c:pt>
              <c:pt idx="1023">
                <c:v>4.2699999999999996</c:v>
              </c:pt>
              <c:pt idx="1024">
                <c:v>3.7616670000000001</c:v>
              </c:pt>
              <c:pt idx="1025">
                <c:v>0.95166660000000003</c:v>
              </c:pt>
              <c:pt idx="1026">
                <c:v>0</c:v>
              </c:pt>
              <c:pt idx="1027">
                <c:v>0.41833330000000002</c:v>
              </c:pt>
              <c:pt idx="1028">
                <c:v>0</c:v>
              </c:pt>
              <c:pt idx="1029">
                <c:v>0</c:v>
              </c:pt>
              <c:pt idx="1030">
                <c:v>0</c:v>
              </c:pt>
              <c:pt idx="1031">
                <c:v>1.0249999999999999</c:v>
              </c:pt>
              <c:pt idx="1032">
                <c:v>3.5433330000000001</c:v>
              </c:pt>
              <c:pt idx="1033">
                <c:v>3.2433329999999998</c:v>
              </c:pt>
              <c:pt idx="1034">
                <c:v>4.53</c:v>
              </c:pt>
              <c:pt idx="1035">
                <c:v>3.943333</c:v>
              </c:pt>
              <c:pt idx="1036">
                <c:v>3.25</c:v>
              </c:pt>
              <c:pt idx="1037">
                <c:v>3.446666</c:v>
              </c:pt>
              <c:pt idx="1038">
                <c:v>3.4183330000000001</c:v>
              </c:pt>
              <c:pt idx="1039">
                <c:v>2.8050000000000002</c:v>
              </c:pt>
              <c:pt idx="1040">
                <c:v>0.44166660000000002</c:v>
              </c:pt>
              <c:pt idx="1041">
                <c:v>0</c:v>
              </c:pt>
              <c:pt idx="1042">
                <c:v>0</c:v>
              </c:pt>
              <c:pt idx="1043">
                <c:v>0</c:v>
              </c:pt>
              <c:pt idx="1044">
                <c:v>0</c:v>
              </c:pt>
              <c:pt idx="1045">
                <c:v>0</c:v>
              </c:pt>
              <c:pt idx="1046">
                <c:v>0</c:v>
              </c:pt>
              <c:pt idx="1047">
                <c:v>0</c:v>
              </c:pt>
              <c:pt idx="1048">
                <c:v>0.89333340000000006</c:v>
              </c:pt>
              <c:pt idx="1049">
                <c:v>5.4333330000000002</c:v>
              </c:pt>
              <c:pt idx="1050">
                <c:v>5.306667</c:v>
              </c:pt>
              <c:pt idx="1051">
                <c:v>4.9166670000000003</c:v>
              </c:pt>
              <c:pt idx="1052">
                <c:v>5.3733329999999997</c:v>
              </c:pt>
              <c:pt idx="1053">
                <c:v>4.148333</c:v>
              </c:pt>
              <c:pt idx="1054">
                <c:v>3.9866670000000002</c:v>
              </c:pt>
              <c:pt idx="1055">
                <c:v>0.1033333</c:v>
              </c:pt>
              <c:pt idx="1056">
                <c:v>7.0000000000000007E-2</c:v>
              </c:pt>
              <c:pt idx="1057">
                <c:v>0</c:v>
              </c:pt>
              <c:pt idx="1058">
                <c:v>0</c:v>
              </c:pt>
              <c:pt idx="1059">
                <c:v>0</c:v>
              </c:pt>
              <c:pt idx="1060">
                <c:v>0</c:v>
              </c:pt>
              <c:pt idx="1061">
                <c:v>0</c:v>
              </c:pt>
              <c:pt idx="1062">
                <c:v>0</c:v>
              </c:pt>
              <c:pt idx="1063">
                <c:v>0</c:v>
              </c:pt>
              <c:pt idx="1064">
                <c:v>4.6349999999999998</c:v>
              </c:pt>
              <c:pt idx="1065">
                <c:v>4.6500000000000004</c:v>
              </c:pt>
              <c:pt idx="1066">
                <c:v>4.3516659999999998</c:v>
              </c:pt>
              <c:pt idx="1067">
                <c:v>4.1016659999999998</c:v>
              </c:pt>
              <c:pt idx="1068">
                <c:v>2.3933330000000002</c:v>
              </c:pt>
              <c:pt idx="1069">
                <c:v>3.4566669999999999</c:v>
              </c:pt>
              <c:pt idx="1070">
                <c:v>3.9783330000000001</c:v>
              </c:pt>
              <c:pt idx="1071">
                <c:v>3.165</c:v>
              </c:pt>
              <c:pt idx="1072">
                <c:v>5.0516670000000001</c:v>
              </c:pt>
              <c:pt idx="1073">
                <c:v>1.5016670000000001</c:v>
              </c:pt>
              <c:pt idx="1074">
                <c:v>0</c:v>
              </c:pt>
              <c:pt idx="1075">
                <c:v>2.27</c:v>
              </c:pt>
              <c:pt idx="1076">
                <c:v>2.8866670000000001</c:v>
              </c:pt>
              <c:pt idx="1077">
                <c:v>3.963333</c:v>
              </c:pt>
              <c:pt idx="1078">
                <c:v>4.5883330000000004</c:v>
              </c:pt>
              <c:pt idx="1079">
                <c:v>5.1150000000000002</c:v>
              </c:pt>
              <c:pt idx="1080">
                <c:v>4.5133330000000003</c:v>
              </c:pt>
              <c:pt idx="1081">
                <c:v>4.2633330000000003</c:v>
              </c:pt>
              <c:pt idx="1082">
                <c:v>3.88</c:v>
              </c:pt>
              <c:pt idx="1083">
                <c:v>5.1816659999999999</c:v>
              </c:pt>
              <c:pt idx="1084">
                <c:v>5.556667</c:v>
              </c:pt>
              <c:pt idx="1085">
                <c:v>4.2083329999999997</c:v>
              </c:pt>
              <c:pt idx="1086">
                <c:v>4.08</c:v>
              </c:pt>
              <c:pt idx="1087">
                <c:v>4.0833329999999997</c:v>
              </c:pt>
              <c:pt idx="1088">
                <c:v>2.516667</c:v>
              </c:pt>
              <c:pt idx="1089">
                <c:v>0.94166660000000002</c:v>
              </c:pt>
              <c:pt idx="1090">
                <c:v>0</c:v>
              </c:pt>
              <c:pt idx="1091">
                <c:v>0</c:v>
              </c:pt>
              <c:pt idx="1092">
                <c:v>0</c:v>
              </c:pt>
              <c:pt idx="1093">
                <c:v>0</c:v>
              </c:pt>
              <c:pt idx="1094">
                <c:v>0</c:v>
              </c:pt>
              <c:pt idx="1095">
                <c:v>0</c:v>
              </c:pt>
              <c:pt idx="1096">
                <c:v>0</c:v>
              </c:pt>
              <c:pt idx="1097">
                <c:v>0</c:v>
              </c:pt>
              <c:pt idx="1098">
                <c:v>4.3533330000000001</c:v>
              </c:pt>
              <c:pt idx="1099">
                <c:v>4.0416670000000003</c:v>
              </c:pt>
              <c:pt idx="1100">
                <c:v>4.2866660000000003</c:v>
              </c:pt>
              <c:pt idx="1101">
                <c:v>4.1966669999999997</c:v>
              </c:pt>
              <c:pt idx="1102">
                <c:v>4.6900000000000004</c:v>
              </c:pt>
              <c:pt idx="1103">
                <c:v>2.5433330000000001</c:v>
              </c:pt>
              <c:pt idx="1104">
                <c:v>0</c:v>
              </c:pt>
              <c:pt idx="1105">
                <c:v>0</c:v>
              </c:pt>
              <c:pt idx="1106">
                <c:v>1.0900000000000001</c:v>
              </c:pt>
              <c:pt idx="1107">
                <c:v>6.6666669999999997E-2</c:v>
              </c:pt>
              <c:pt idx="1108">
                <c:v>0</c:v>
              </c:pt>
              <c:pt idx="1109">
                <c:v>0</c:v>
              </c:pt>
              <c:pt idx="1110">
                <c:v>0</c:v>
              </c:pt>
              <c:pt idx="1111">
                <c:v>0</c:v>
              </c:pt>
              <c:pt idx="1112">
                <c:v>0</c:v>
              </c:pt>
              <c:pt idx="1113">
                <c:v>2.44</c:v>
              </c:pt>
              <c:pt idx="1114">
                <c:v>4.7249999999999996</c:v>
              </c:pt>
              <c:pt idx="1115">
                <c:v>3.426666</c:v>
              </c:pt>
              <c:pt idx="1116">
                <c:v>3.9449999999999998</c:v>
              </c:pt>
              <c:pt idx="1117">
                <c:v>3.6416659999999998</c:v>
              </c:pt>
              <c:pt idx="1118">
                <c:v>3.2633329999999998</c:v>
              </c:pt>
              <c:pt idx="1119">
                <c:v>3.931667</c:v>
              </c:pt>
              <c:pt idx="1120">
                <c:v>4.0466670000000002</c:v>
              </c:pt>
              <c:pt idx="1121">
                <c:v>4.0599999999999996</c:v>
              </c:pt>
              <c:pt idx="1122">
                <c:v>3.875</c:v>
              </c:pt>
              <c:pt idx="1123">
                <c:v>3.976667</c:v>
              </c:pt>
              <c:pt idx="1124">
                <c:v>4.9916660000000004</c:v>
              </c:pt>
              <c:pt idx="1125">
                <c:v>0.66833330000000002</c:v>
              </c:pt>
              <c:pt idx="1126">
                <c:v>5.574999</c:v>
              </c:pt>
              <c:pt idx="1127">
                <c:v>4.8883330000000003</c:v>
              </c:pt>
              <c:pt idx="1128">
                <c:v>4.9550000000000001</c:v>
              </c:pt>
              <c:pt idx="1129">
                <c:v>5.0199999999999996</c:v>
              </c:pt>
              <c:pt idx="1130">
                <c:v>3.835</c:v>
              </c:pt>
              <c:pt idx="1131">
                <c:v>3.4550000000000001</c:v>
              </c:pt>
              <c:pt idx="1132">
                <c:v>4.08</c:v>
              </c:pt>
              <c:pt idx="1133">
                <c:v>3.3816660000000001</c:v>
              </c:pt>
              <c:pt idx="1134">
                <c:v>4.6166660000000004</c:v>
              </c:pt>
              <c:pt idx="1135">
                <c:v>3.8966669999999999</c:v>
              </c:pt>
              <c:pt idx="1136">
                <c:v>3.4016670000000002</c:v>
              </c:pt>
              <c:pt idx="1137">
                <c:v>4.0816660000000002</c:v>
              </c:pt>
              <c:pt idx="1138">
                <c:v>4.5250000000000004</c:v>
              </c:pt>
              <c:pt idx="1139">
                <c:v>7.0000000000000007E-2</c:v>
              </c:pt>
              <c:pt idx="1140">
                <c:v>0</c:v>
              </c:pt>
              <c:pt idx="1141">
                <c:v>0</c:v>
              </c:pt>
              <c:pt idx="1142">
                <c:v>0</c:v>
              </c:pt>
              <c:pt idx="1143">
                <c:v>0</c:v>
              </c:pt>
              <c:pt idx="1144">
                <c:v>0</c:v>
              </c:pt>
              <c:pt idx="1145">
                <c:v>0</c:v>
              </c:pt>
              <c:pt idx="1146">
                <c:v>0</c:v>
              </c:pt>
              <c:pt idx="1147">
                <c:v>3.665</c:v>
              </c:pt>
              <c:pt idx="1148">
                <c:v>3.253333</c:v>
              </c:pt>
              <c:pt idx="1149">
                <c:v>2.9350000000000001</c:v>
              </c:pt>
              <c:pt idx="1150">
                <c:v>3.9383330000000001</c:v>
              </c:pt>
              <c:pt idx="1151">
                <c:v>3.06</c:v>
              </c:pt>
              <c:pt idx="1152">
                <c:v>4.1733330000000004</c:v>
              </c:pt>
              <c:pt idx="1153">
                <c:v>2.7683330000000002</c:v>
              </c:pt>
              <c:pt idx="1154">
                <c:v>0.43666660000000002</c:v>
              </c:pt>
              <c:pt idx="1155">
                <c:v>0</c:v>
              </c:pt>
              <c:pt idx="1156">
                <c:v>0</c:v>
              </c:pt>
              <c:pt idx="1157">
                <c:v>5.5E-2</c:v>
              </c:pt>
              <c:pt idx="1158">
                <c:v>0</c:v>
              </c:pt>
              <c:pt idx="1159">
                <c:v>0.65</c:v>
              </c:pt>
              <c:pt idx="1160">
                <c:v>0.84833329999999996</c:v>
              </c:pt>
              <c:pt idx="1161">
                <c:v>0</c:v>
              </c:pt>
              <c:pt idx="1162">
                <c:v>0</c:v>
              </c:pt>
              <c:pt idx="1163">
                <c:v>0</c:v>
              </c:pt>
              <c:pt idx="1164">
                <c:v>0</c:v>
              </c:pt>
              <c:pt idx="1165">
                <c:v>0</c:v>
              </c:pt>
              <c:pt idx="1166">
                <c:v>5.5E-2</c:v>
              </c:pt>
              <c:pt idx="1167">
                <c:v>0</c:v>
              </c:pt>
              <c:pt idx="1168">
                <c:v>0</c:v>
              </c:pt>
              <c:pt idx="1169">
                <c:v>0</c:v>
              </c:pt>
              <c:pt idx="1170">
                <c:v>0</c:v>
              </c:pt>
              <c:pt idx="1171">
                <c:v>0</c:v>
              </c:pt>
              <c:pt idx="1172">
                <c:v>0</c:v>
              </c:pt>
              <c:pt idx="1173">
                <c:v>0</c:v>
              </c:pt>
              <c:pt idx="1174">
                <c:v>0</c:v>
              </c:pt>
              <c:pt idx="1175">
                <c:v>0</c:v>
              </c:pt>
              <c:pt idx="1176">
                <c:v>5.5E-2</c:v>
              </c:pt>
              <c:pt idx="1177">
                <c:v>5.5E-2</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5.5E-2</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0.66833330000000002</c:v>
              </c:pt>
              <c:pt idx="1292">
                <c:v>0.43166660000000001</c:v>
              </c:pt>
              <c:pt idx="1293">
                <c:v>0</c:v>
              </c:pt>
              <c:pt idx="1294">
                <c:v>0</c:v>
              </c:pt>
              <c:pt idx="1295">
                <c:v>0</c:v>
              </c:pt>
              <c:pt idx="1296">
                <c:v>5.5E-2</c:v>
              </c:pt>
              <c:pt idx="1297">
                <c:v>1.9583330000000001</c:v>
              </c:pt>
              <c:pt idx="1298">
                <c:v>2.8250000000000002</c:v>
              </c:pt>
              <c:pt idx="1299">
                <c:v>3.0983329999999998</c:v>
              </c:pt>
              <c:pt idx="1300">
                <c:v>2.246667</c:v>
              </c:pt>
              <c:pt idx="1301">
                <c:v>0</c:v>
              </c:pt>
              <c:pt idx="1302">
                <c:v>1.2383329999999999</c:v>
              </c:pt>
              <c:pt idx="1303">
                <c:v>0.97166660000000005</c:v>
              </c:pt>
              <c:pt idx="1304">
                <c:v>1.0533330000000001</c:v>
              </c:pt>
              <c:pt idx="1305">
                <c:v>3.2766670000000002</c:v>
              </c:pt>
              <c:pt idx="1306">
                <c:v>2.4983330000000001</c:v>
              </c:pt>
              <c:pt idx="1307">
                <c:v>3.4350000000000001</c:v>
              </c:pt>
              <c:pt idx="1308">
                <c:v>3.61</c:v>
              </c:pt>
              <c:pt idx="1309">
                <c:v>2.85</c:v>
              </c:pt>
              <c:pt idx="1310">
                <c:v>1.461667</c:v>
              </c:pt>
              <c:pt idx="1311">
                <c:v>0.12666669999999999</c:v>
              </c:pt>
              <c:pt idx="1312">
                <c:v>2.641667</c:v>
              </c:pt>
              <c:pt idx="1313">
                <c:v>0.21833330000000001</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0.49666670000000002</c:v>
              </c:pt>
              <c:pt idx="1368">
                <c:v>3.463333</c:v>
              </c:pt>
              <c:pt idx="1369">
                <c:v>3.4550000000000001</c:v>
              </c:pt>
              <c:pt idx="1370">
                <c:v>3.51</c:v>
              </c:pt>
              <c:pt idx="1371">
                <c:v>4.4066660000000004</c:v>
              </c:pt>
              <c:pt idx="1372">
                <c:v>4.4783330000000001</c:v>
              </c:pt>
              <c:pt idx="1373">
                <c:v>3.898333</c:v>
              </c:pt>
              <c:pt idx="1374">
                <c:v>3.753333</c:v>
              </c:pt>
              <c:pt idx="1375">
                <c:v>5.1349999999999998</c:v>
              </c:pt>
              <c:pt idx="1376">
                <c:v>3.966666</c:v>
              </c:pt>
              <c:pt idx="1377">
                <c:v>3.8366660000000001</c:v>
              </c:pt>
              <c:pt idx="1378">
                <c:v>4.648333</c:v>
              </c:pt>
              <c:pt idx="1379">
                <c:v>4.4000000000000004</c:v>
              </c:pt>
              <c:pt idx="1380">
                <c:v>3.6749999999999998</c:v>
              </c:pt>
              <c:pt idx="1381">
                <c:v>4.01</c:v>
              </c:pt>
              <c:pt idx="1382">
                <c:v>4.9850000000000003</c:v>
              </c:pt>
              <c:pt idx="1383">
                <c:v>3.548333</c:v>
              </c:pt>
              <c:pt idx="1384">
                <c:v>3.943333</c:v>
              </c:pt>
              <c:pt idx="1385">
                <c:v>3.35</c:v>
              </c:pt>
              <c:pt idx="1386">
                <c:v>4.0949999999999998</c:v>
              </c:pt>
              <c:pt idx="1387">
                <c:v>3.951667</c:v>
              </c:pt>
              <c:pt idx="1388">
                <c:v>4.6283329999999996</c:v>
              </c:pt>
              <c:pt idx="1389">
                <c:v>3.75</c:v>
              </c:pt>
              <c:pt idx="1390">
                <c:v>2.446666</c:v>
              </c:pt>
              <c:pt idx="1391">
                <c:v>3.5333329999999998</c:v>
              </c:pt>
              <c:pt idx="1392">
                <c:v>3.8233329999999999</c:v>
              </c:pt>
              <c:pt idx="1393">
                <c:v>2.4550000000000001</c:v>
              </c:pt>
              <c:pt idx="1394">
                <c:v>2.5016669999999999</c:v>
              </c:pt>
              <c:pt idx="1395">
                <c:v>1.7949999999999999</c:v>
              </c:pt>
              <c:pt idx="1396">
                <c:v>3.6033330000000001</c:v>
              </c:pt>
              <c:pt idx="1397">
                <c:v>4.9283330000000003</c:v>
              </c:pt>
              <c:pt idx="1398">
                <c:v>4.4400000000000004</c:v>
              </c:pt>
              <c:pt idx="1399">
                <c:v>6.5000000000000002E-2</c:v>
              </c:pt>
              <c:pt idx="1400">
                <c:v>0</c:v>
              </c:pt>
              <c:pt idx="1401">
                <c:v>5.5E-2</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1.0533330000000001</c:v>
              </c:pt>
              <c:pt idx="1423">
                <c:v>2.736666</c:v>
              </c:pt>
              <c:pt idx="1424">
                <c:v>4.6399999999999997</c:v>
              </c:pt>
              <c:pt idx="1425">
                <c:v>3.1366670000000001</c:v>
              </c:pt>
              <c:pt idx="1426">
                <c:v>2.5066670000000002</c:v>
              </c:pt>
              <c:pt idx="1427">
                <c:v>4.6216660000000003</c:v>
              </c:pt>
              <c:pt idx="1428">
                <c:v>6.3283329999999998</c:v>
              </c:pt>
              <c:pt idx="1429">
                <c:v>4.9216670000000002</c:v>
              </c:pt>
              <c:pt idx="1430">
                <c:v>3.92</c:v>
              </c:pt>
              <c:pt idx="1431">
                <c:v>4.5599999999999996</c:v>
              </c:pt>
              <c:pt idx="1432">
                <c:v>4.62</c:v>
              </c:pt>
              <c:pt idx="1433">
                <c:v>7.0116670000000001</c:v>
              </c:pt>
              <c:pt idx="1434">
                <c:v>6.83</c:v>
              </c:pt>
              <c:pt idx="1435">
                <c:v>6.6516669999999998</c:v>
              </c:pt>
              <c:pt idx="1436">
                <c:v>5.82</c:v>
              </c:pt>
              <c:pt idx="1437">
                <c:v>6.085</c:v>
              </c:pt>
              <c:pt idx="1438">
                <c:v>5.0250000000000004</c:v>
              </c:pt>
              <c:pt idx="1439">
                <c:v>6.34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3-0587-4D2D-AD37-15C310B27EC5}"/>
            </c:ext>
          </c:extLst>
        </c:ser>
        <c:ser>
          <c:idx val="4"/>
          <c:order val="4"/>
          <c:tx>
            <c:v>3.894856342 4.093333 IS15 WMS Wind Speed(m/s)</c:v>
          </c:tx>
          <c:spPr>
            <a:ln w="28575" cap="rnd">
              <a:solidFill>
                <a:schemeClr val="accent5"/>
              </a:solidFill>
              <a:round/>
            </a:ln>
            <a:effectLst/>
          </c:spPr>
          <c:marker>
            <c:symbol val="none"/>
          </c:marker>
          <c:val>
            <c:numLit>
              <c:formatCode>General</c:formatCode>
              <c:ptCount val="1687"/>
              <c:pt idx="0">
                <c:v>3.4483329999999999</c:v>
              </c:pt>
              <c:pt idx="1">
                <c:v>3.676666</c:v>
              </c:pt>
              <c:pt idx="2">
                <c:v>3.8033329999999999</c:v>
              </c:pt>
              <c:pt idx="3">
                <c:v>3.65</c:v>
              </c:pt>
              <c:pt idx="4">
                <c:v>3.645</c:v>
              </c:pt>
              <c:pt idx="5">
                <c:v>3.57</c:v>
              </c:pt>
              <c:pt idx="6">
                <c:v>3.531666</c:v>
              </c:pt>
              <c:pt idx="7">
                <c:v>4.0633330000000001</c:v>
              </c:pt>
              <c:pt idx="8">
                <c:v>3.415</c:v>
              </c:pt>
              <c:pt idx="9">
                <c:v>3.395</c:v>
              </c:pt>
              <c:pt idx="10">
                <c:v>3.4716659999999999</c:v>
              </c:pt>
              <c:pt idx="11">
                <c:v>3.1866660000000002</c:v>
              </c:pt>
              <c:pt idx="12">
                <c:v>3.1533329999999999</c:v>
              </c:pt>
              <c:pt idx="13">
                <c:v>2.746667</c:v>
              </c:pt>
              <c:pt idx="14">
                <c:v>2.6033330000000001</c:v>
              </c:pt>
              <c:pt idx="15">
                <c:v>3.14</c:v>
              </c:pt>
              <c:pt idx="16">
                <c:v>3.3683329999999998</c:v>
              </c:pt>
              <c:pt idx="17">
                <c:v>3.6433330000000002</c:v>
              </c:pt>
              <c:pt idx="18">
                <c:v>3.6466660000000002</c:v>
              </c:pt>
              <c:pt idx="19">
                <c:v>3.08</c:v>
              </c:pt>
              <c:pt idx="20">
                <c:v>2.7383329999999999</c:v>
              </c:pt>
              <c:pt idx="21">
                <c:v>2.6266669999999999</c:v>
              </c:pt>
              <c:pt idx="22">
                <c:v>2.5583330000000002</c:v>
              </c:pt>
              <c:pt idx="23">
                <c:v>2.8616670000000002</c:v>
              </c:pt>
              <c:pt idx="24">
                <c:v>3.36</c:v>
              </c:pt>
              <c:pt idx="25">
                <c:v>3.5049999999999999</c:v>
              </c:pt>
              <c:pt idx="26">
                <c:v>3.7283330000000001</c:v>
              </c:pt>
              <c:pt idx="27">
                <c:v>4.3366660000000001</c:v>
              </c:pt>
              <c:pt idx="28">
                <c:v>3.3883329999999998</c:v>
              </c:pt>
              <c:pt idx="29">
                <c:v>3.2050000000000001</c:v>
              </c:pt>
              <c:pt idx="30">
                <c:v>3.2583329999999999</c:v>
              </c:pt>
              <c:pt idx="31">
                <c:v>3.2433329999999998</c:v>
              </c:pt>
              <c:pt idx="32">
                <c:v>3.3833329999999999</c:v>
              </c:pt>
              <c:pt idx="33">
                <c:v>2.95</c:v>
              </c:pt>
              <c:pt idx="34">
                <c:v>3.1866660000000002</c:v>
              </c:pt>
              <c:pt idx="35">
                <c:v>3.5083329999999999</c:v>
              </c:pt>
              <c:pt idx="36">
                <c:v>3.5983329999999998</c:v>
              </c:pt>
              <c:pt idx="37">
                <c:v>3.3616670000000002</c:v>
              </c:pt>
              <c:pt idx="38">
                <c:v>3.4516659999999999</c:v>
              </c:pt>
              <c:pt idx="39">
                <c:v>3.5466660000000001</c:v>
              </c:pt>
              <c:pt idx="40">
                <c:v>3.0066660000000001</c:v>
              </c:pt>
              <c:pt idx="41">
                <c:v>3.4283329999999999</c:v>
              </c:pt>
              <c:pt idx="42">
                <c:v>3.84</c:v>
              </c:pt>
              <c:pt idx="43">
                <c:v>4.1266660000000002</c:v>
              </c:pt>
              <c:pt idx="44">
                <c:v>3.503333</c:v>
              </c:pt>
              <c:pt idx="45">
                <c:v>3.66</c:v>
              </c:pt>
              <c:pt idx="46">
                <c:v>3.81</c:v>
              </c:pt>
              <c:pt idx="47">
                <c:v>3.1183329999999998</c:v>
              </c:pt>
              <c:pt idx="48">
                <c:v>2.8483329999999998</c:v>
              </c:pt>
              <c:pt idx="49">
                <c:v>3.0983329999999998</c:v>
              </c:pt>
              <c:pt idx="50">
                <c:v>3.4049999999999998</c:v>
              </c:pt>
              <c:pt idx="51">
                <c:v>3.3650000000000002</c:v>
              </c:pt>
              <c:pt idx="52">
                <c:v>2.9416669999999998</c:v>
              </c:pt>
              <c:pt idx="53">
                <c:v>2.9183330000000001</c:v>
              </c:pt>
              <c:pt idx="54">
                <c:v>2.8</c:v>
              </c:pt>
              <c:pt idx="55">
                <c:v>3.173333</c:v>
              </c:pt>
              <c:pt idx="56">
                <c:v>3.536667</c:v>
              </c:pt>
              <c:pt idx="57">
                <c:v>3.085</c:v>
              </c:pt>
              <c:pt idx="58">
                <c:v>3.125</c:v>
              </c:pt>
              <c:pt idx="59">
                <c:v>3.17</c:v>
              </c:pt>
              <c:pt idx="60">
                <c:v>3.0016660000000002</c:v>
              </c:pt>
              <c:pt idx="61">
                <c:v>2.5416669999999999</c:v>
              </c:pt>
              <c:pt idx="62">
                <c:v>2.3233329999999999</c:v>
              </c:pt>
              <c:pt idx="63">
                <c:v>2.5499999999999998</c:v>
              </c:pt>
              <c:pt idx="64">
                <c:v>2.963333</c:v>
              </c:pt>
              <c:pt idx="65">
                <c:v>2.7949999999999999</c:v>
              </c:pt>
              <c:pt idx="66">
                <c:v>2.8666670000000001</c:v>
              </c:pt>
              <c:pt idx="67">
                <c:v>2.7916669999999999</c:v>
              </c:pt>
              <c:pt idx="68">
                <c:v>2.78</c:v>
              </c:pt>
              <c:pt idx="69">
                <c:v>2.8650000000000002</c:v>
              </c:pt>
              <c:pt idx="70">
                <c:v>2.451667</c:v>
              </c:pt>
              <c:pt idx="71">
                <c:v>2.3566669999999998</c:v>
              </c:pt>
              <c:pt idx="72">
                <c:v>2.378333</c:v>
              </c:pt>
              <c:pt idx="73">
                <c:v>3.1883330000000001</c:v>
              </c:pt>
              <c:pt idx="74">
                <c:v>2.9566669999999999</c:v>
              </c:pt>
              <c:pt idx="75">
                <c:v>2.5083329999999999</c:v>
              </c:pt>
              <c:pt idx="76">
                <c:v>2.858333</c:v>
              </c:pt>
              <c:pt idx="77">
                <c:v>3.085</c:v>
              </c:pt>
              <c:pt idx="78">
                <c:v>2.9449999999999998</c:v>
              </c:pt>
              <c:pt idx="79">
                <c:v>3.8633329999999999</c:v>
              </c:pt>
              <c:pt idx="80">
                <c:v>3.3849999999999998</c:v>
              </c:pt>
              <c:pt idx="81">
                <c:v>3.4133330000000002</c:v>
              </c:pt>
              <c:pt idx="82">
                <c:v>3.2566660000000001</c:v>
              </c:pt>
              <c:pt idx="83">
                <c:v>3.0533329999999999</c:v>
              </c:pt>
              <c:pt idx="84">
                <c:v>2.855</c:v>
              </c:pt>
              <c:pt idx="85">
                <c:v>2.746667</c:v>
              </c:pt>
              <c:pt idx="86">
                <c:v>2.89</c:v>
              </c:pt>
              <c:pt idx="87">
                <c:v>2.7966660000000001</c:v>
              </c:pt>
              <c:pt idx="88">
                <c:v>2.7716669999999999</c:v>
              </c:pt>
              <c:pt idx="89">
                <c:v>3.34</c:v>
              </c:pt>
              <c:pt idx="90">
                <c:v>2.9183330000000001</c:v>
              </c:pt>
              <c:pt idx="91">
                <c:v>2.73</c:v>
              </c:pt>
              <c:pt idx="92">
                <c:v>2.6866660000000002</c:v>
              </c:pt>
              <c:pt idx="93">
                <c:v>3.105</c:v>
              </c:pt>
              <c:pt idx="94">
                <c:v>2.4583330000000001</c:v>
              </c:pt>
              <c:pt idx="95">
                <c:v>2.95</c:v>
              </c:pt>
              <c:pt idx="96">
                <c:v>2.9216660000000001</c:v>
              </c:pt>
              <c:pt idx="97">
                <c:v>2.7283330000000001</c:v>
              </c:pt>
              <c:pt idx="98">
                <c:v>2.5049999999999999</c:v>
              </c:pt>
              <c:pt idx="99">
                <c:v>3.05</c:v>
              </c:pt>
              <c:pt idx="100">
                <c:v>2.95</c:v>
              </c:pt>
              <c:pt idx="101">
                <c:v>3.2066669999999999</c:v>
              </c:pt>
              <c:pt idx="102">
                <c:v>2.551666</c:v>
              </c:pt>
              <c:pt idx="103">
                <c:v>3.1566670000000001</c:v>
              </c:pt>
              <c:pt idx="104">
                <c:v>3.03</c:v>
              </c:pt>
              <c:pt idx="105">
                <c:v>2.8250000000000002</c:v>
              </c:pt>
              <c:pt idx="106">
                <c:v>2.82</c:v>
              </c:pt>
              <c:pt idx="107">
                <c:v>2.5649999999999999</c:v>
              </c:pt>
              <c:pt idx="108">
                <c:v>2.4416669999999998</c:v>
              </c:pt>
              <c:pt idx="109">
                <c:v>2.693333</c:v>
              </c:pt>
              <c:pt idx="110">
                <c:v>2.4049999999999998</c:v>
              </c:pt>
              <c:pt idx="111">
                <c:v>2.621667</c:v>
              </c:pt>
              <c:pt idx="112">
                <c:v>2.496667</c:v>
              </c:pt>
              <c:pt idx="113">
                <c:v>2.673333</c:v>
              </c:pt>
              <c:pt idx="114">
                <c:v>2.9066670000000001</c:v>
              </c:pt>
              <c:pt idx="115">
                <c:v>2.81</c:v>
              </c:pt>
              <c:pt idx="116">
                <c:v>2.7716669999999999</c:v>
              </c:pt>
              <c:pt idx="117">
                <c:v>2.5283329999999999</c:v>
              </c:pt>
              <c:pt idx="118">
                <c:v>2.7883330000000002</c:v>
              </c:pt>
              <c:pt idx="119">
                <c:v>2.7483330000000001</c:v>
              </c:pt>
              <c:pt idx="120">
                <c:v>2.3050000000000002</c:v>
              </c:pt>
              <c:pt idx="121">
                <c:v>3.105</c:v>
              </c:pt>
              <c:pt idx="122">
                <c:v>3.0983329999999998</c:v>
              </c:pt>
              <c:pt idx="123">
                <c:v>2.5866669999999998</c:v>
              </c:pt>
              <c:pt idx="124">
                <c:v>2.8916659999999998</c:v>
              </c:pt>
              <c:pt idx="125">
                <c:v>2.7749999999999999</c:v>
              </c:pt>
              <c:pt idx="126">
                <c:v>2.8316669999999999</c:v>
              </c:pt>
              <c:pt idx="127">
                <c:v>2.36</c:v>
              </c:pt>
              <c:pt idx="128">
                <c:v>2.3816670000000002</c:v>
              </c:pt>
              <c:pt idx="129">
                <c:v>2.3316669999999999</c:v>
              </c:pt>
              <c:pt idx="130">
                <c:v>3.14</c:v>
              </c:pt>
              <c:pt idx="131">
                <c:v>2.648333</c:v>
              </c:pt>
              <c:pt idx="132">
                <c:v>3.161667</c:v>
              </c:pt>
              <c:pt idx="133">
                <c:v>2.7516660000000002</c:v>
              </c:pt>
              <c:pt idx="134">
                <c:v>3</c:v>
              </c:pt>
              <c:pt idx="135">
                <c:v>3.306667</c:v>
              </c:pt>
              <c:pt idx="136">
                <c:v>2.4300000000000002</c:v>
              </c:pt>
              <c:pt idx="137">
                <c:v>2.5216669999999999</c:v>
              </c:pt>
              <c:pt idx="138">
                <c:v>3.2816670000000001</c:v>
              </c:pt>
              <c:pt idx="139">
                <c:v>3.0950000000000002</c:v>
              </c:pt>
              <c:pt idx="140">
                <c:v>3.236666</c:v>
              </c:pt>
              <c:pt idx="141">
                <c:v>2.76</c:v>
              </c:pt>
              <c:pt idx="142">
                <c:v>2.6266669999999999</c:v>
              </c:pt>
              <c:pt idx="143">
                <c:v>2.466666</c:v>
              </c:pt>
              <c:pt idx="144">
                <c:v>2.9416669999999998</c:v>
              </c:pt>
              <c:pt idx="145">
                <c:v>2.73</c:v>
              </c:pt>
              <c:pt idx="146">
                <c:v>2.9950000000000001</c:v>
              </c:pt>
              <c:pt idx="147">
                <c:v>3.17</c:v>
              </c:pt>
              <c:pt idx="148">
                <c:v>2.91</c:v>
              </c:pt>
              <c:pt idx="149">
                <c:v>2.65</c:v>
              </c:pt>
              <c:pt idx="150">
                <c:v>2.7483330000000001</c:v>
              </c:pt>
              <c:pt idx="151">
                <c:v>2.496667</c:v>
              </c:pt>
              <c:pt idx="152">
                <c:v>2.7850000000000001</c:v>
              </c:pt>
              <c:pt idx="153">
                <c:v>2.5733329999999999</c:v>
              </c:pt>
              <c:pt idx="154">
                <c:v>2.6749999999999998</c:v>
              </c:pt>
              <c:pt idx="155">
                <c:v>2.101667</c:v>
              </c:pt>
              <c:pt idx="156">
                <c:v>2.7766670000000002</c:v>
              </c:pt>
              <c:pt idx="157">
                <c:v>2.5966670000000001</c:v>
              </c:pt>
              <c:pt idx="158">
                <c:v>2.6783329999999999</c:v>
              </c:pt>
              <c:pt idx="159">
                <c:v>2.4066670000000001</c:v>
              </c:pt>
              <c:pt idx="160">
                <c:v>2.6066669999999998</c:v>
              </c:pt>
              <c:pt idx="161">
                <c:v>3.161667</c:v>
              </c:pt>
              <c:pt idx="162">
                <c:v>2.8166669999999998</c:v>
              </c:pt>
              <c:pt idx="163">
                <c:v>3.1633330000000002</c:v>
              </c:pt>
              <c:pt idx="164">
                <c:v>3.2666659999999998</c:v>
              </c:pt>
              <c:pt idx="165">
                <c:v>2.96</c:v>
              </c:pt>
              <c:pt idx="166">
                <c:v>2.02</c:v>
              </c:pt>
              <c:pt idx="167">
                <c:v>2.6366670000000001</c:v>
              </c:pt>
              <c:pt idx="168">
                <c:v>1.95</c:v>
              </c:pt>
              <c:pt idx="169">
                <c:v>1.925</c:v>
              </c:pt>
              <c:pt idx="170">
                <c:v>2.395</c:v>
              </c:pt>
              <c:pt idx="171">
                <c:v>2.2349999999999999</c:v>
              </c:pt>
              <c:pt idx="172">
                <c:v>2.8466670000000001</c:v>
              </c:pt>
              <c:pt idx="173">
                <c:v>2.5649999999999999</c:v>
              </c:pt>
              <c:pt idx="174">
                <c:v>2.6666669999999999</c:v>
              </c:pt>
              <c:pt idx="175">
                <c:v>1.736667</c:v>
              </c:pt>
              <c:pt idx="176">
                <c:v>2.036667</c:v>
              </c:pt>
              <c:pt idx="177">
                <c:v>2.1333329999999999</c:v>
              </c:pt>
              <c:pt idx="178">
                <c:v>1.8149999999999999</c:v>
              </c:pt>
              <c:pt idx="179">
                <c:v>1.155</c:v>
              </c:pt>
              <c:pt idx="180">
                <c:v>1.546667</c:v>
              </c:pt>
              <c:pt idx="181">
                <c:v>1.368333</c:v>
              </c:pt>
              <c:pt idx="182">
                <c:v>1.5333330000000001</c:v>
              </c:pt>
              <c:pt idx="183">
                <c:v>1.59</c:v>
              </c:pt>
              <c:pt idx="184">
                <c:v>1.4583330000000001</c:v>
              </c:pt>
              <c:pt idx="185">
                <c:v>1.661667</c:v>
              </c:pt>
              <c:pt idx="186">
                <c:v>1.6433329999999999</c:v>
              </c:pt>
              <c:pt idx="187">
                <c:v>1.7383329999999999</c:v>
              </c:pt>
              <c:pt idx="188">
                <c:v>1.7</c:v>
              </c:pt>
              <c:pt idx="189">
                <c:v>2.0533329999999999</c:v>
              </c:pt>
              <c:pt idx="190">
                <c:v>2.0249999999999999</c:v>
              </c:pt>
              <c:pt idx="191">
                <c:v>2.2549999999999999</c:v>
              </c:pt>
              <c:pt idx="192">
                <c:v>2.0966670000000001</c:v>
              </c:pt>
              <c:pt idx="193">
                <c:v>2.693333</c:v>
              </c:pt>
              <c:pt idx="194">
                <c:v>2.6850000000000001</c:v>
              </c:pt>
              <c:pt idx="195">
                <c:v>2.835</c:v>
              </c:pt>
              <c:pt idx="196">
                <c:v>2.75</c:v>
              </c:pt>
              <c:pt idx="197">
                <c:v>2.423333</c:v>
              </c:pt>
              <c:pt idx="198">
                <c:v>2.6666669999999999</c:v>
              </c:pt>
              <c:pt idx="199">
                <c:v>2.5666669999999998</c:v>
              </c:pt>
              <c:pt idx="200">
                <c:v>2.2766670000000002</c:v>
              </c:pt>
              <c:pt idx="201">
                <c:v>2.4683329999999999</c:v>
              </c:pt>
              <c:pt idx="202">
                <c:v>2.82</c:v>
              </c:pt>
              <c:pt idx="203">
                <c:v>3.048333</c:v>
              </c:pt>
              <c:pt idx="204">
                <c:v>2.951667</c:v>
              </c:pt>
              <c:pt idx="205">
                <c:v>2.4066670000000001</c:v>
              </c:pt>
              <c:pt idx="206">
                <c:v>2.858333</c:v>
              </c:pt>
              <c:pt idx="207">
                <c:v>2.858333</c:v>
              </c:pt>
              <c:pt idx="208">
                <c:v>2.6866660000000002</c:v>
              </c:pt>
              <c:pt idx="209">
                <c:v>2.89</c:v>
              </c:pt>
              <c:pt idx="210">
                <c:v>2.716666</c:v>
              </c:pt>
              <c:pt idx="211">
                <c:v>2.588333</c:v>
              </c:pt>
              <c:pt idx="212">
                <c:v>2.4916670000000001</c:v>
              </c:pt>
              <c:pt idx="213">
                <c:v>2.395</c:v>
              </c:pt>
              <c:pt idx="214">
                <c:v>2.5</c:v>
              </c:pt>
              <c:pt idx="215">
                <c:v>2.5066660000000001</c:v>
              </c:pt>
              <c:pt idx="216">
                <c:v>2.128333</c:v>
              </c:pt>
              <c:pt idx="217">
                <c:v>2.5316670000000001</c:v>
              </c:pt>
              <c:pt idx="218">
                <c:v>2.4666670000000002</c:v>
              </c:pt>
              <c:pt idx="219">
                <c:v>2.0116670000000001</c:v>
              </c:pt>
              <c:pt idx="220">
                <c:v>1.895</c:v>
              </c:pt>
              <c:pt idx="221">
                <c:v>1.6333329999999999</c:v>
              </c:pt>
              <c:pt idx="222">
                <c:v>1.848333</c:v>
              </c:pt>
              <c:pt idx="223">
                <c:v>1.7716670000000001</c:v>
              </c:pt>
              <c:pt idx="224">
                <c:v>1.9750000000000001</c:v>
              </c:pt>
              <c:pt idx="225">
                <c:v>2.1233330000000001</c:v>
              </c:pt>
              <c:pt idx="226">
                <c:v>2.048333</c:v>
              </c:pt>
              <c:pt idx="227">
                <c:v>1.973333</c:v>
              </c:pt>
              <c:pt idx="228">
                <c:v>2.1</c:v>
              </c:pt>
              <c:pt idx="229">
                <c:v>2.233333</c:v>
              </c:pt>
              <c:pt idx="230">
                <c:v>2.1666669999999999</c:v>
              </c:pt>
              <c:pt idx="231">
                <c:v>2.2200000000000002</c:v>
              </c:pt>
              <c:pt idx="232">
                <c:v>2.71</c:v>
              </c:pt>
              <c:pt idx="233">
                <c:v>2.2749999999999999</c:v>
              </c:pt>
              <c:pt idx="234">
                <c:v>2.588333</c:v>
              </c:pt>
              <c:pt idx="235">
                <c:v>2.361666</c:v>
              </c:pt>
              <c:pt idx="236">
                <c:v>1.98</c:v>
              </c:pt>
              <c:pt idx="237">
                <c:v>1.8016669999999999</c:v>
              </c:pt>
              <c:pt idx="238">
                <c:v>2.076667</c:v>
              </c:pt>
              <c:pt idx="239">
                <c:v>2.1466669999999999</c:v>
              </c:pt>
              <c:pt idx="240">
                <c:v>2.2033330000000002</c:v>
              </c:pt>
              <c:pt idx="241">
                <c:v>2.6266669999999999</c:v>
              </c:pt>
              <c:pt idx="242">
                <c:v>2.6466669999999999</c:v>
              </c:pt>
              <c:pt idx="243">
                <c:v>2.5150000000000001</c:v>
              </c:pt>
              <c:pt idx="244">
                <c:v>2.713333</c:v>
              </c:pt>
              <c:pt idx="245">
                <c:v>2.31</c:v>
              </c:pt>
              <c:pt idx="246">
                <c:v>2.2783329999999999</c:v>
              </c:pt>
              <c:pt idx="247">
                <c:v>2.6233330000000001</c:v>
              </c:pt>
              <c:pt idx="248">
                <c:v>2.5733329999999999</c:v>
              </c:pt>
              <c:pt idx="249">
                <c:v>2.4500000000000002</c:v>
              </c:pt>
              <c:pt idx="250">
                <c:v>2.7283330000000001</c:v>
              </c:pt>
              <c:pt idx="251">
                <c:v>2.9333330000000002</c:v>
              </c:pt>
              <c:pt idx="252">
                <c:v>3.121667</c:v>
              </c:pt>
              <c:pt idx="253">
                <c:v>3.1433330000000002</c:v>
              </c:pt>
              <c:pt idx="254">
                <c:v>3.1383329999999998</c:v>
              </c:pt>
              <c:pt idx="255">
                <c:v>2.5966670000000001</c:v>
              </c:pt>
              <c:pt idx="256">
                <c:v>1.8233330000000001</c:v>
              </c:pt>
              <c:pt idx="257">
                <c:v>1.7649999999999999</c:v>
              </c:pt>
              <c:pt idx="258">
                <c:v>1.496667</c:v>
              </c:pt>
              <c:pt idx="259">
                <c:v>1.628333</c:v>
              </c:pt>
              <c:pt idx="260">
                <c:v>2.1716669999999998</c:v>
              </c:pt>
              <c:pt idx="261">
                <c:v>2.273333</c:v>
              </c:pt>
              <c:pt idx="262">
                <c:v>2.5049999999999999</c:v>
              </c:pt>
              <c:pt idx="263">
                <c:v>2.1583329999999998</c:v>
              </c:pt>
              <c:pt idx="264">
                <c:v>2.0616669999999999</c:v>
              </c:pt>
              <c:pt idx="265">
                <c:v>2.4916670000000001</c:v>
              </c:pt>
              <c:pt idx="266">
                <c:v>2.0733329999999999</c:v>
              </c:pt>
              <c:pt idx="267">
                <c:v>1.97</c:v>
              </c:pt>
              <c:pt idx="268">
                <c:v>2.3883329999999998</c:v>
              </c:pt>
              <c:pt idx="269">
                <c:v>2.0633330000000001</c:v>
              </c:pt>
              <c:pt idx="270">
                <c:v>2.0550000000000002</c:v>
              </c:pt>
              <c:pt idx="271">
                <c:v>1.8</c:v>
              </c:pt>
              <c:pt idx="272">
                <c:v>2.2050000000000001</c:v>
              </c:pt>
              <c:pt idx="273">
                <c:v>2.1549999999999998</c:v>
              </c:pt>
              <c:pt idx="274">
                <c:v>2.148333</c:v>
              </c:pt>
              <c:pt idx="275">
                <c:v>1.8216669999999999</c:v>
              </c:pt>
              <c:pt idx="276">
                <c:v>2.1133329999999999</c:v>
              </c:pt>
              <c:pt idx="277">
                <c:v>2.1533329999999999</c:v>
              </c:pt>
              <c:pt idx="278">
                <c:v>2.0466669999999998</c:v>
              </c:pt>
              <c:pt idx="279">
                <c:v>1.6683330000000001</c:v>
              </c:pt>
              <c:pt idx="280">
                <c:v>1.5816669999999999</c:v>
              </c:pt>
              <c:pt idx="281">
                <c:v>1.911667</c:v>
              </c:pt>
              <c:pt idx="282">
                <c:v>1.691667</c:v>
              </c:pt>
              <c:pt idx="283">
                <c:v>1.7083330000000001</c:v>
              </c:pt>
              <c:pt idx="284">
                <c:v>1.88</c:v>
              </c:pt>
              <c:pt idx="285">
                <c:v>1.538333</c:v>
              </c:pt>
              <c:pt idx="286">
                <c:v>1.86</c:v>
              </c:pt>
              <c:pt idx="287">
                <c:v>1.548333</c:v>
              </c:pt>
              <c:pt idx="288">
                <c:v>1.5316669999999999</c:v>
              </c:pt>
              <c:pt idx="289">
                <c:v>1.6366670000000001</c:v>
              </c:pt>
              <c:pt idx="290">
                <c:v>1.7150000000000001</c:v>
              </c:pt>
              <c:pt idx="291">
                <c:v>1.4983329999999999</c:v>
              </c:pt>
              <c:pt idx="292">
                <c:v>1.6683330000000001</c:v>
              </c:pt>
              <c:pt idx="293">
                <c:v>1.548333</c:v>
              </c:pt>
              <c:pt idx="294">
                <c:v>1.5933330000000001</c:v>
              </c:pt>
              <c:pt idx="295">
                <c:v>1.753333</c:v>
              </c:pt>
              <c:pt idx="296">
                <c:v>2.0099999999999998</c:v>
              </c:pt>
              <c:pt idx="297">
                <c:v>1.9283330000000001</c:v>
              </c:pt>
              <c:pt idx="298">
                <c:v>1.9850000000000001</c:v>
              </c:pt>
              <c:pt idx="299">
                <c:v>2.0466669999999998</c:v>
              </c:pt>
              <c:pt idx="300">
                <c:v>2.17</c:v>
              </c:pt>
              <c:pt idx="301">
                <c:v>2.4449999999999998</c:v>
              </c:pt>
              <c:pt idx="302">
                <c:v>2.21</c:v>
              </c:pt>
              <c:pt idx="303">
                <c:v>2.8066659999999999</c:v>
              </c:pt>
              <c:pt idx="304">
                <c:v>2.96</c:v>
              </c:pt>
              <c:pt idx="305">
                <c:v>2.4083329999999998</c:v>
              </c:pt>
              <c:pt idx="306">
                <c:v>2.8333330000000001</c:v>
              </c:pt>
              <c:pt idx="307">
                <c:v>2.5099999999999998</c:v>
              </c:pt>
              <c:pt idx="308">
                <c:v>2.4566669999999999</c:v>
              </c:pt>
              <c:pt idx="309">
                <c:v>2.88</c:v>
              </c:pt>
              <c:pt idx="310">
                <c:v>2.61</c:v>
              </c:pt>
              <c:pt idx="311">
                <c:v>3.0816669999999999</c:v>
              </c:pt>
              <c:pt idx="312">
                <c:v>3.2749999999999999</c:v>
              </c:pt>
              <c:pt idx="313">
                <c:v>2.7266659999999998</c:v>
              </c:pt>
              <c:pt idx="314">
                <c:v>3.111666</c:v>
              </c:pt>
              <c:pt idx="315">
                <c:v>3.5350000000000001</c:v>
              </c:pt>
              <c:pt idx="316">
                <c:v>3.4683329999999999</c:v>
              </c:pt>
              <c:pt idx="317">
                <c:v>3.0783330000000002</c:v>
              </c:pt>
              <c:pt idx="318">
                <c:v>3.12</c:v>
              </c:pt>
              <c:pt idx="319">
                <c:v>2.7483330000000001</c:v>
              </c:pt>
              <c:pt idx="320">
                <c:v>2.2966669999999998</c:v>
              </c:pt>
              <c:pt idx="321">
                <c:v>2.7183329999999999</c:v>
              </c:pt>
              <c:pt idx="322">
                <c:v>3.19</c:v>
              </c:pt>
              <c:pt idx="323">
                <c:v>2.6150000000000002</c:v>
              </c:pt>
              <c:pt idx="324">
                <c:v>2.7633329999999998</c:v>
              </c:pt>
              <c:pt idx="325">
                <c:v>2.2850000000000001</c:v>
              </c:pt>
              <c:pt idx="326">
                <c:v>3.1233330000000001</c:v>
              </c:pt>
              <c:pt idx="327">
                <c:v>2.145</c:v>
              </c:pt>
              <c:pt idx="328">
                <c:v>2.676666</c:v>
              </c:pt>
              <c:pt idx="329">
                <c:v>3.16</c:v>
              </c:pt>
              <c:pt idx="330">
                <c:v>3.1266660000000002</c:v>
              </c:pt>
              <c:pt idx="331">
                <c:v>2.216666</c:v>
              </c:pt>
              <c:pt idx="332">
                <c:v>2.9033329999999999</c:v>
              </c:pt>
              <c:pt idx="333">
                <c:v>3.3966660000000002</c:v>
              </c:pt>
              <c:pt idx="334">
                <c:v>3.2683330000000002</c:v>
              </c:pt>
              <c:pt idx="335">
                <c:v>2.8516659999999998</c:v>
              </c:pt>
              <c:pt idx="336">
                <c:v>3.1066669999999998</c:v>
              </c:pt>
              <c:pt idx="337">
                <c:v>2.9783330000000001</c:v>
              </c:pt>
              <c:pt idx="338">
                <c:v>2.7633329999999998</c:v>
              </c:pt>
              <c:pt idx="339">
                <c:v>3.4866670000000002</c:v>
              </c:pt>
              <c:pt idx="340">
                <c:v>3.3966660000000002</c:v>
              </c:pt>
              <c:pt idx="341">
                <c:v>3.3766660000000002</c:v>
              </c:pt>
              <c:pt idx="342">
                <c:v>3.14</c:v>
              </c:pt>
              <c:pt idx="343">
                <c:v>2.8116660000000002</c:v>
              </c:pt>
              <c:pt idx="344">
                <c:v>2.716666</c:v>
              </c:pt>
              <c:pt idx="345">
                <c:v>2.9083329999999998</c:v>
              </c:pt>
              <c:pt idx="346">
                <c:v>3.1866660000000002</c:v>
              </c:pt>
              <c:pt idx="347">
                <c:v>2.5383330000000002</c:v>
              </c:pt>
              <c:pt idx="348">
                <c:v>2.84</c:v>
              </c:pt>
              <c:pt idx="349">
                <c:v>2.9083329999999998</c:v>
              </c:pt>
              <c:pt idx="350">
                <c:v>3.2766670000000002</c:v>
              </c:pt>
              <c:pt idx="351">
                <c:v>2.628333</c:v>
              </c:pt>
              <c:pt idx="352">
                <c:v>2.63</c:v>
              </c:pt>
              <c:pt idx="353">
                <c:v>3.28</c:v>
              </c:pt>
              <c:pt idx="354">
                <c:v>2.8149999999999999</c:v>
              </c:pt>
              <c:pt idx="355">
                <c:v>2.4816669999999998</c:v>
              </c:pt>
              <c:pt idx="356">
                <c:v>2.7949999999999999</c:v>
              </c:pt>
              <c:pt idx="357">
                <c:v>2.9883329999999999</c:v>
              </c:pt>
              <c:pt idx="358">
                <c:v>2.9950000000000001</c:v>
              </c:pt>
              <c:pt idx="359">
                <c:v>3.2183329999999999</c:v>
              </c:pt>
              <c:pt idx="360">
                <c:v>3.41</c:v>
              </c:pt>
              <c:pt idx="361">
                <c:v>3.7683330000000002</c:v>
              </c:pt>
              <c:pt idx="362">
                <c:v>3.5833330000000001</c:v>
              </c:pt>
              <c:pt idx="363">
                <c:v>3.363334</c:v>
              </c:pt>
              <c:pt idx="364">
                <c:v>3.5383330000000002</c:v>
              </c:pt>
              <c:pt idx="365">
                <c:v>3.855</c:v>
              </c:pt>
              <c:pt idx="366">
                <c:v>3.145</c:v>
              </c:pt>
              <c:pt idx="367">
                <c:v>3.83</c:v>
              </c:pt>
              <c:pt idx="368">
                <c:v>3.1833330000000002</c:v>
              </c:pt>
              <c:pt idx="369">
                <c:v>2.9849999999999999</c:v>
              </c:pt>
              <c:pt idx="370">
                <c:v>3.55</c:v>
              </c:pt>
              <c:pt idx="371">
                <c:v>3.395</c:v>
              </c:pt>
              <c:pt idx="372">
                <c:v>3.556667</c:v>
              </c:pt>
              <c:pt idx="373">
                <c:v>3.2433329999999998</c:v>
              </c:pt>
              <c:pt idx="374">
                <c:v>3.6816659999999999</c:v>
              </c:pt>
              <c:pt idx="375">
                <c:v>3.5150000000000001</c:v>
              </c:pt>
              <c:pt idx="376">
                <c:v>3.1683330000000001</c:v>
              </c:pt>
              <c:pt idx="377">
                <c:v>3.0466660000000001</c:v>
              </c:pt>
              <c:pt idx="378">
                <c:v>2.943333</c:v>
              </c:pt>
              <c:pt idx="379">
                <c:v>3.5816669999999999</c:v>
              </c:pt>
              <c:pt idx="380">
                <c:v>3.7266659999999998</c:v>
              </c:pt>
              <c:pt idx="381">
                <c:v>3.713333</c:v>
              </c:pt>
              <c:pt idx="382">
                <c:v>3.4016670000000002</c:v>
              </c:pt>
              <c:pt idx="383">
                <c:v>3.0633330000000001</c:v>
              </c:pt>
              <c:pt idx="384">
                <c:v>3.8516659999999998</c:v>
              </c:pt>
              <c:pt idx="385">
                <c:v>3.3650000000000002</c:v>
              </c:pt>
              <c:pt idx="386">
                <c:v>3.648333</c:v>
              </c:pt>
              <c:pt idx="387">
                <c:v>3.326667</c:v>
              </c:pt>
              <c:pt idx="388">
                <c:v>3.6716660000000001</c:v>
              </c:pt>
              <c:pt idx="389">
                <c:v>3.5333329999999998</c:v>
              </c:pt>
              <c:pt idx="390">
                <c:v>3.216666</c:v>
              </c:pt>
              <c:pt idx="391">
                <c:v>2.5933329999999999</c:v>
              </c:pt>
              <c:pt idx="392">
                <c:v>3.5049999999999999</c:v>
              </c:pt>
              <c:pt idx="393">
                <c:v>2.648333</c:v>
              </c:pt>
              <c:pt idx="394">
                <c:v>3.2433329999999998</c:v>
              </c:pt>
              <c:pt idx="395">
                <c:v>3.5066660000000001</c:v>
              </c:pt>
              <c:pt idx="396">
                <c:v>3.608333</c:v>
              </c:pt>
              <c:pt idx="397">
                <c:v>3.71</c:v>
              </c:pt>
              <c:pt idx="398">
                <c:v>3.7316660000000001</c:v>
              </c:pt>
              <c:pt idx="399">
                <c:v>3.65</c:v>
              </c:pt>
              <c:pt idx="400">
                <c:v>3.24</c:v>
              </c:pt>
              <c:pt idx="401">
                <c:v>3.45</c:v>
              </c:pt>
              <c:pt idx="402">
                <c:v>3.5049999999999999</c:v>
              </c:pt>
              <c:pt idx="403">
                <c:v>3.7516669999999999</c:v>
              </c:pt>
              <c:pt idx="404">
                <c:v>2.9316659999999999</c:v>
              </c:pt>
              <c:pt idx="405">
                <c:v>3.2850000000000001</c:v>
              </c:pt>
              <c:pt idx="406">
                <c:v>3.621667</c:v>
              </c:pt>
              <c:pt idx="407">
                <c:v>3.25</c:v>
              </c:pt>
              <c:pt idx="408">
                <c:v>3.5783330000000002</c:v>
              </c:pt>
              <c:pt idx="409">
                <c:v>3.6633330000000002</c:v>
              </c:pt>
              <c:pt idx="410">
                <c:v>3.9350000000000001</c:v>
              </c:pt>
              <c:pt idx="411">
                <c:v>3.42</c:v>
              </c:pt>
              <c:pt idx="412">
                <c:v>3.0633330000000001</c:v>
              </c:pt>
              <c:pt idx="413">
                <c:v>3.0833330000000001</c:v>
              </c:pt>
              <c:pt idx="414">
                <c:v>3.898333</c:v>
              </c:pt>
              <c:pt idx="415">
                <c:v>3.181667</c:v>
              </c:pt>
              <c:pt idx="416">
                <c:v>4.1766670000000001</c:v>
              </c:pt>
              <c:pt idx="417">
                <c:v>4.7300000000000004</c:v>
              </c:pt>
              <c:pt idx="418">
                <c:v>3.9033329999999999</c:v>
              </c:pt>
              <c:pt idx="419">
                <c:v>3.9283329999999999</c:v>
              </c:pt>
              <c:pt idx="420">
                <c:v>3.9016660000000001</c:v>
              </c:pt>
              <c:pt idx="421">
                <c:v>3.761666</c:v>
              </c:pt>
              <c:pt idx="422">
                <c:v>3.4616660000000001</c:v>
              </c:pt>
              <c:pt idx="423">
                <c:v>3.9133330000000002</c:v>
              </c:pt>
              <c:pt idx="424">
                <c:v>3.5783330000000002</c:v>
              </c:pt>
              <c:pt idx="425">
                <c:v>2.5133329999999998</c:v>
              </c:pt>
              <c:pt idx="426">
                <c:v>2.4533330000000002</c:v>
              </c:pt>
              <c:pt idx="427">
                <c:v>3.2583329999999999</c:v>
              </c:pt>
              <c:pt idx="428">
                <c:v>3.7583329999999999</c:v>
              </c:pt>
              <c:pt idx="429">
                <c:v>3.048333</c:v>
              </c:pt>
              <c:pt idx="430">
                <c:v>3.5966659999999999</c:v>
              </c:pt>
              <c:pt idx="431">
                <c:v>3.5583330000000002</c:v>
              </c:pt>
              <c:pt idx="432">
                <c:v>3.7349999999999999</c:v>
              </c:pt>
              <c:pt idx="433">
                <c:v>4.4050000000000002</c:v>
              </c:pt>
              <c:pt idx="434">
                <c:v>3.9033329999999999</c:v>
              </c:pt>
              <c:pt idx="435">
                <c:v>3.395</c:v>
              </c:pt>
              <c:pt idx="436">
                <c:v>3.3083330000000002</c:v>
              </c:pt>
              <c:pt idx="437">
                <c:v>3.0449999999999999</c:v>
              </c:pt>
              <c:pt idx="438">
                <c:v>3.21</c:v>
              </c:pt>
              <c:pt idx="439">
                <c:v>2.858333</c:v>
              </c:pt>
              <c:pt idx="440">
                <c:v>3.3616670000000002</c:v>
              </c:pt>
              <c:pt idx="441">
                <c:v>3.4783330000000001</c:v>
              </c:pt>
              <c:pt idx="442">
                <c:v>3.411667</c:v>
              </c:pt>
              <c:pt idx="443">
                <c:v>3.1166670000000001</c:v>
              </c:pt>
              <c:pt idx="444">
                <c:v>3.63</c:v>
              </c:pt>
              <c:pt idx="445">
                <c:v>3.9166660000000002</c:v>
              </c:pt>
              <c:pt idx="446">
                <c:v>3.3316669999999999</c:v>
              </c:pt>
              <c:pt idx="447">
                <c:v>2.77</c:v>
              </c:pt>
              <c:pt idx="448">
                <c:v>3.3250000000000002</c:v>
              </c:pt>
              <c:pt idx="449">
                <c:v>3.9950000000000001</c:v>
              </c:pt>
              <c:pt idx="450">
                <c:v>4.2166670000000002</c:v>
              </c:pt>
              <c:pt idx="451">
                <c:v>4.3783329999999996</c:v>
              </c:pt>
              <c:pt idx="452">
                <c:v>4.2649999999999997</c:v>
              </c:pt>
              <c:pt idx="453">
                <c:v>4.1016659999999998</c:v>
              </c:pt>
              <c:pt idx="454">
                <c:v>4.2416660000000004</c:v>
              </c:pt>
              <c:pt idx="455">
                <c:v>4.9233330000000004</c:v>
              </c:pt>
              <c:pt idx="456">
                <c:v>3.9016670000000002</c:v>
              </c:pt>
              <c:pt idx="457">
                <c:v>4.0949999999999998</c:v>
              </c:pt>
              <c:pt idx="458">
                <c:v>3.7116660000000001</c:v>
              </c:pt>
              <c:pt idx="459">
                <c:v>4.0383339999999999</c:v>
              </c:pt>
              <c:pt idx="460">
                <c:v>5.7249999999999996</c:v>
              </c:pt>
              <c:pt idx="461">
                <c:v>3.6466660000000002</c:v>
              </c:pt>
              <c:pt idx="462">
                <c:v>4.5916670000000002</c:v>
              </c:pt>
              <c:pt idx="463">
                <c:v>4.8416670000000002</c:v>
              </c:pt>
              <c:pt idx="464">
                <c:v>4.6133329999999999</c:v>
              </c:pt>
              <c:pt idx="465">
                <c:v>5.1316670000000002</c:v>
              </c:pt>
              <c:pt idx="466">
                <c:v>4.6583329999999998</c:v>
              </c:pt>
              <c:pt idx="467">
                <c:v>3.8066659999999999</c:v>
              </c:pt>
              <c:pt idx="468">
                <c:v>3.8650000000000002</c:v>
              </c:pt>
              <c:pt idx="469">
                <c:v>4.4083329999999998</c:v>
              </c:pt>
              <c:pt idx="470">
                <c:v>4.7066660000000002</c:v>
              </c:pt>
              <c:pt idx="471">
                <c:v>4.9533329999999998</c:v>
              </c:pt>
              <c:pt idx="472">
                <c:v>3.9933329999999998</c:v>
              </c:pt>
              <c:pt idx="473">
                <c:v>4.3600000000000003</c:v>
              </c:pt>
              <c:pt idx="474">
                <c:v>4.5250000000000004</c:v>
              </c:pt>
              <c:pt idx="475">
                <c:v>4.648333</c:v>
              </c:pt>
              <c:pt idx="476">
                <c:v>5.2633330000000003</c:v>
              </c:pt>
              <c:pt idx="477">
                <c:v>5.12</c:v>
              </c:pt>
              <c:pt idx="478">
                <c:v>4.9133339999999999</c:v>
              </c:pt>
              <c:pt idx="479">
                <c:v>3.7283330000000001</c:v>
              </c:pt>
              <c:pt idx="480">
                <c:v>4.3150000000000004</c:v>
              </c:pt>
              <c:pt idx="481">
                <c:v>5.38</c:v>
              </c:pt>
              <c:pt idx="482">
                <c:v>4.4816659999999997</c:v>
              </c:pt>
              <c:pt idx="483">
                <c:v>4.0966670000000001</c:v>
              </c:pt>
              <c:pt idx="484">
                <c:v>4.7649999999999997</c:v>
              </c:pt>
              <c:pt idx="485">
                <c:v>4.3866670000000001</c:v>
              </c:pt>
              <c:pt idx="486">
                <c:v>4.4233330000000004</c:v>
              </c:pt>
              <c:pt idx="487">
                <c:v>3.41</c:v>
              </c:pt>
              <c:pt idx="488">
                <c:v>4.3899999999999997</c:v>
              </c:pt>
              <c:pt idx="489">
                <c:v>4.92</c:v>
              </c:pt>
              <c:pt idx="490">
                <c:v>4.51</c:v>
              </c:pt>
              <c:pt idx="491">
                <c:v>4.3333329999999997</c:v>
              </c:pt>
              <c:pt idx="492">
                <c:v>4.023333</c:v>
              </c:pt>
              <c:pt idx="493">
                <c:v>4.2450000000000001</c:v>
              </c:pt>
              <c:pt idx="494">
                <c:v>3.8633329999999999</c:v>
              </c:pt>
              <c:pt idx="495">
                <c:v>3.61</c:v>
              </c:pt>
              <c:pt idx="496">
                <c:v>4.335</c:v>
              </c:pt>
              <c:pt idx="497">
                <c:v>3.4133330000000002</c:v>
              </c:pt>
              <c:pt idx="498">
                <c:v>3.1416659999999998</c:v>
              </c:pt>
              <c:pt idx="499">
                <c:v>3.5</c:v>
              </c:pt>
              <c:pt idx="500">
                <c:v>3.3233329999999999</c:v>
              </c:pt>
              <c:pt idx="501">
                <c:v>3.091666</c:v>
              </c:pt>
              <c:pt idx="502">
                <c:v>3.1316660000000001</c:v>
              </c:pt>
              <c:pt idx="503">
                <c:v>3.5983329999999998</c:v>
              </c:pt>
              <c:pt idx="504">
                <c:v>4.0066670000000002</c:v>
              </c:pt>
              <c:pt idx="505">
                <c:v>3.67</c:v>
              </c:pt>
              <c:pt idx="506">
                <c:v>4.87</c:v>
              </c:pt>
              <c:pt idx="507">
                <c:v>4.96</c:v>
              </c:pt>
              <c:pt idx="508">
                <c:v>5.0316669999999997</c:v>
              </c:pt>
              <c:pt idx="509">
                <c:v>4.6633339999999999</c:v>
              </c:pt>
              <c:pt idx="510">
                <c:v>4.4166660000000002</c:v>
              </c:pt>
              <c:pt idx="511">
                <c:v>4.0716669999999997</c:v>
              </c:pt>
              <c:pt idx="512">
                <c:v>4.648333</c:v>
              </c:pt>
              <c:pt idx="513">
                <c:v>4.83</c:v>
              </c:pt>
              <c:pt idx="514">
                <c:v>3.6150000000000002</c:v>
              </c:pt>
              <c:pt idx="515">
                <c:v>4.2683330000000002</c:v>
              </c:pt>
              <c:pt idx="516">
                <c:v>3.7283330000000001</c:v>
              </c:pt>
              <c:pt idx="517">
                <c:v>3.551666</c:v>
              </c:pt>
              <c:pt idx="518">
                <c:v>4.0350000000000001</c:v>
              </c:pt>
              <c:pt idx="519">
                <c:v>4.4266670000000001</c:v>
              </c:pt>
              <c:pt idx="520">
                <c:v>3.3149999999999999</c:v>
              </c:pt>
              <c:pt idx="521">
                <c:v>3.4033340000000001</c:v>
              </c:pt>
              <c:pt idx="522">
                <c:v>3.906666</c:v>
              </c:pt>
              <c:pt idx="523">
                <c:v>3.3566660000000001</c:v>
              </c:pt>
              <c:pt idx="524">
                <c:v>3.7383329999999999</c:v>
              </c:pt>
              <c:pt idx="525">
                <c:v>3.7116660000000001</c:v>
              </c:pt>
              <c:pt idx="526">
                <c:v>3.676666</c:v>
              </c:pt>
              <c:pt idx="527">
                <c:v>4.54</c:v>
              </c:pt>
              <c:pt idx="528">
                <c:v>3.9733329999999998</c:v>
              </c:pt>
              <c:pt idx="529">
                <c:v>4.2433329999999998</c:v>
              </c:pt>
              <c:pt idx="530">
                <c:v>4.3366660000000001</c:v>
              </c:pt>
              <c:pt idx="531">
                <c:v>3.6183329999999998</c:v>
              </c:pt>
              <c:pt idx="532">
                <c:v>2.91</c:v>
              </c:pt>
              <c:pt idx="533">
                <c:v>3.7416659999999999</c:v>
              </c:pt>
              <c:pt idx="534">
                <c:v>3.983333</c:v>
              </c:pt>
              <c:pt idx="535">
                <c:v>3.7033330000000002</c:v>
              </c:pt>
              <c:pt idx="536">
                <c:v>3.5716670000000001</c:v>
              </c:pt>
              <c:pt idx="537">
                <c:v>3.6166659999999999</c:v>
              </c:pt>
              <c:pt idx="538">
                <c:v>4.4400000000000004</c:v>
              </c:pt>
              <c:pt idx="539">
                <c:v>3.53</c:v>
              </c:pt>
              <c:pt idx="540">
                <c:v>4.4583339999999998</c:v>
              </c:pt>
              <c:pt idx="541">
                <c:v>4.3683329999999998</c:v>
              </c:pt>
              <c:pt idx="542">
                <c:v>4.306667</c:v>
              </c:pt>
              <c:pt idx="543">
                <c:v>3.8316669999999999</c:v>
              </c:pt>
              <c:pt idx="544">
                <c:v>3.66</c:v>
              </c:pt>
              <c:pt idx="545">
                <c:v>4.0766660000000003</c:v>
              </c:pt>
              <c:pt idx="546">
                <c:v>4.7483339999999998</c:v>
              </c:pt>
              <c:pt idx="547">
                <c:v>4.3250000000000002</c:v>
              </c:pt>
              <c:pt idx="548">
                <c:v>4.016667</c:v>
              </c:pt>
              <c:pt idx="549">
                <c:v>4.4666670000000002</c:v>
              </c:pt>
              <c:pt idx="550">
                <c:v>3.7066669999999999</c:v>
              </c:pt>
              <c:pt idx="551">
                <c:v>3.6033330000000001</c:v>
              </c:pt>
              <c:pt idx="552">
                <c:v>3.5249999999999999</c:v>
              </c:pt>
              <c:pt idx="553">
                <c:v>3.9883329999999999</c:v>
              </c:pt>
              <c:pt idx="554">
                <c:v>4.1266660000000002</c:v>
              </c:pt>
              <c:pt idx="555">
                <c:v>3.9983330000000001</c:v>
              </c:pt>
              <c:pt idx="556">
                <c:v>4.55</c:v>
              </c:pt>
              <c:pt idx="557">
                <c:v>4.3333339999999998</c:v>
              </c:pt>
              <c:pt idx="558">
                <c:v>5.3666660000000004</c:v>
              </c:pt>
              <c:pt idx="559">
                <c:v>4.4633330000000004</c:v>
              </c:pt>
              <c:pt idx="560">
                <c:v>3.74</c:v>
              </c:pt>
              <c:pt idx="561">
                <c:v>4.5666669999999998</c:v>
              </c:pt>
              <c:pt idx="562">
                <c:v>4.6449999999999996</c:v>
              </c:pt>
              <c:pt idx="563">
                <c:v>4.6516669999999998</c:v>
              </c:pt>
              <c:pt idx="564">
                <c:v>4.8516659999999998</c:v>
              </c:pt>
              <c:pt idx="565">
                <c:v>4.99</c:v>
              </c:pt>
              <c:pt idx="566">
                <c:v>5.085</c:v>
              </c:pt>
              <c:pt idx="567">
                <c:v>5.3449999999999998</c:v>
              </c:pt>
              <c:pt idx="568">
                <c:v>4.3483330000000002</c:v>
              </c:pt>
              <c:pt idx="569">
                <c:v>5.1100000000000003</c:v>
              </c:pt>
              <c:pt idx="570">
                <c:v>3.8833329999999999</c:v>
              </c:pt>
              <c:pt idx="571">
                <c:v>4.1066659999999997</c:v>
              </c:pt>
              <c:pt idx="572">
                <c:v>4.2549999999999999</c:v>
              </c:pt>
              <c:pt idx="573">
                <c:v>5.33</c:v>
              </c:pt>
              <c:pt idx="574">
                <c:v>4.62</c:v>
              </c:pt>
              <c:pt idx="575">
                <c:v>4.6749999999999998</c:v>
              </c:pt>
              <c:pt idx="576">
                <c:v>4.1366670000000001</c:v>
              </c:pt>
              <c:pt idx="577">
                <c:v>3.6066660000000001</c:v>
              </c:pt>
              <c:pt idx="578">
                <c:v>4.4033329999999999</c:v>
              </c:pt>
              <c:pt idx="579">
                <c:v>4.568333</c:v>
              </c:pt>
              <c:pt idx="580">
                <c:v>4.5616659999999998</c:v>
              </c:pt>
              <c:pt idx="581">
                <c:v>5.523333</c:v>
              </c:pt>
              <c:pt idx="582">
                <c:v>4.6366670000000001</c:v>
              </c:pt>
              <c:pt idx="583">
                <c:v>4.085</c:v>
              </c:pt>
              <c:pt idx="584">
                <c:v>4.8866670000000001</c:v>
              </c:pt>
              <c:pt idx="585">
                <c:v>5.1366670000000001</c:v>
              </c:pt>
              <c:pt idx="586">
                <c:v>4.8216659999999996</c:v>
              </c:pt>
              <c:pt idx="587">
                <c:v>5.1683339999999998</c:v>
              </c:pt>
              <c:pt idx="588">
                <c:v>4.7083339999999998</c:v>
              </c:pt>
              <c:pt idx="589">
                <c:v>5.8833330000000004</c:v>
              </c:pt>
              <c:pt idx="590">
                <c:v>5.0716659999999996</c:v>
              </c:pt>
              <c:pt idx="591">
                <c:v>5.2450000000000001</c:v>
              </c:pt>
              <c:pt idx="592">
                <c:v>5.26</c:v>
              </c:pt>
              <c:pt idx="593">
                <c:v>4.8316660000000002</c:v>
              </c:pt>
              <c:pt idx="594">
                <c:v>5.7450000000000001</c:v>
              </c:pt>
              <c:pt idx="595">
                <c:v>4.7050000000000001</c:v>
              </c:pt>
              <c:pt idx="596">
                <c:v>4.5350000000000001</c:v>
              </c:pt>
              <c:pt idx="597">
                <c:v>4.7249999999999996</c:v>
              </c:pt>
              <c:pt idx="598">
                <c:v>4.2366669999999997</c:v>
              </c:pt>
              <c:pt idx="599">
                <c:v>5.335</c:v>
              </c:pt>
              <c:pt idx="600">
                <c:v>4.5166659999999998</c:v>
              </c:pt>
              <c:pt idx="601">
                <c:v>5.2116660000000001</c:v>
              </c:pt>
              <c:pt idx="602">
                <c:v>4.6833330000000002</c:v>
              </c:pt>
              <c:pt idx="603">
                <c:v>4.898333</c:v>
              </c:pt>
              <c:pt idx="604">
                <c:v>5.0183330000000002</c:v>
              </c:pt>
              <c:pt idx="605">
                <c:v>4.7633330000000003</c:v>
              </c:pt>
              <c:pt idx="606">
                <c:v>4.4816659999999997</c:v>
              </c:pt>
              <c:pt idx="607">
                <c:v>4.6100000000000003</c:v>
              </c:pt>
              <c:pt idx="608">
                <c:v>5.4850000000000003</c:v>
              </c:pt>
              <c:pt idx="609">
                <c:v>5.165</c:v>
              </c:pt>
              <c:pt idx="610">
                <c:v>5.3150000000000004</c:v>
              </c:pt>
              <c:pt idx="611">
                <c:v>4.568333</c:v>
              </c:pt>
              <c:pt idx="612">
                <c:v>5.78</c:v>
              </c:pt>
              <c:pt idx="613">
                <c:v>5.6233329999999997</c:v>
              </c:pt>
              <c:pt idx="614">
                <c:v>5.7549999999999999</c:v>
              </c:pt>
              <c:pt idx="615">
                <c:v>5.4466659999999996</c:v>
              </c:pt>
              <c:pt idx="616">
                <c:v>4.7549999999999999</c:v>
              </c:pt>
              <c:pt idx="617">
                <c:v>4.2716659999999997</c:v>
              </c:pt>
              <c:pt idx="618">
                <c:v>4.7566670000000002</c:v>
              </c:pt>
              <c:pt idx="619">
                <c:v>5.6233329999999997</c:v>
              </c:pt>
              <c:pt idx="620">
                <c:v>4.5483330000000004</c:v>
              </c:pt>
              <c:pt idx="621">
                <c:v>3.613334</c:v>
              </c:pt>
              <c:pt idx="622">
                <c:v>4.585</c:v>
              </c:pt>
              <c:pt idx="623">
                <c:v>4.6066659999999997</c:v>
              </c:pt>
              <c:pt idx="624">
                <c:v>5.58</c:v>
              </c:pt>
              <c:pt idx="625">
                <c:v>4.4816659999999997</c:v>
              </c:pt>
              <c:pt idx="626">
                <c:v>5.1216660000000003</c:v>
              </c:pt>
              <c:pt idx="627">
                <c:v>4.8633329999999999</c:v>
              </c:pt>
              <c:pt idx="628">
                <c:v>4.76</c:v>
              </c:pt>
              <c:pt idx="629">
                <c:v>4.8716660000000003</c:v>
              </c:pt>
              <c:pt idx="630">
                <c:v>4.7033329999999998</c:v>
              </c:pt>
              <c:pt idx="631">
                <c:v>3.738334</c:v>
              </c:pt>
              <c:pt idx="632">
                <c:v>3.8966660000000002</c:v>
              </c:pt>
              <c:pt idx="633">
                <c:v>4.3966659999999997</c:v>
              </c:pt>
              <c:pt idx="634">
                <c:v>4.8516659999999998</c:v>
              </c:pt>
              <c:pt idx="635">
                <c:v>4.5283329999999999</c:v>
              </c:pt>
              <c:pt idx="636">
                <c:v>4.665</c:v>
              </c:pt>
              <c:pt idx="637">
                <c:v>4.2516660000000002</c:v>
              </c:pt>
              <c:pt idx="638">
                <c:v>4.3083330000000002</c:v>
              </c:pt>
              <c:pt idx="639">
                <c:v>4.2483339999999998</c:v>
              </c:pt>
              <c:pt idx="640">
                <c:v>4.7183330000000003</c:v>
              </c:pt>
              <c:pt idx="641">
                <c:v>4.3366660000000001</c:v>
              </c:pt>
              <c:pt idx="642">
                <c:v>4.0416660000000002</c:v>
              </c:pt>
              <c:pt idx="643">
                <c:v>4.5049999999999999</c:v>
              </c:pt>
              <c:pt idx="644">
                <c:v>4.1349999999999998</c:v>
              </c:pt>
              <c:pt idx="645">
                <c:v>4.1183329999999998</c:v>
              </c:pt>
              <c:pt idx="646">
                <c:v>4.9466669999999997</c:v>
              </c:pt>
              <c:pt idx="647">
                <c:v>5.23</c:v>
              </c:pt>
              <c:pt idx="648">
                <c:v>4.4466659999999996</c:v>
              </c:pt>
              <c:pt idx="649">
                <c:v>3.4016670000000002</c:v>
              </c:pt>
              <c:pt idx="650">
                <c:v>3.7050000000000001</c:v>
              </c:pt>
              <c:pt idx="651">
                <c:v>4</c:v>
              </c:pt>
              <c:pt idx="652">
                <c:v>3.8566660000000001</c:v>
              </c:pt>
              <c:pt idx="653">
                <c:v>4.2716659999999997</c:v>
              </c:pt>
              <c:pt idx="654">
                <c:v>3.7766670000000002</c:v>
              </c:pt>
              <c:pt idx="655">
                <c:v>3.411667</c:v>
              </c:pt>
              <c:pt idx="656">
                <c:v>4.3966659999999997</c:v>
              </c:pt>
              <c:pt idx="657">
                <c:v>4.0366660000000003</c:v>
              </c:pt>
              <c:pt idx="658">
                <c:v>3.51</c:v>
              </c:pt>
              <c:pt idx="659">
                <c:v>4.6050000000000004</c:v>
              </c:pt>
              <c:pt idx="660">
                <c:v>4.5016660000000002</c:v>
              </c:pt>
              <c:pt idx="661">
                <c:v>4.1916669999999998</c:v>
              </c:pt>
              <c:pt idx="662">
                <c:v>5.5383339999999999</c:v>
              </c:pt>
              <c:pt idx="663">
                <c:v>5.1466659999999997</c:v>
              </c:pt>
              <c:pt idx="664">
                <c:v>4.28</c:v>
              </c:pt>
              <c:pt idx="665">
                <c:v>5.2483339999999998</c:v>
              </c:pt>
              <c:pt idx="666">
                <c:v>4.3366660000000001</c:v>
              </c:pt>
              <c:pt idx="667">
                <c:v>4.3550000000000004</c:v>
              </c:pt>
              <c:pt idx="668">
                <c:v>4.931667</c:v>
              </c:pt>
              <c:pt idx="669">
                <c:v>3.6066660000000001</c:v>
              </c:pt>
              <c:pt idx="670">
                <c:v>4.3933330000000002</c:v>
              </c:pt>
              <c:pt idx="671">
                <c:v>4.6100000000000003</c:v>
              </c:pt>
              <c:pt idx="672">
                <c:v>4.2566670000000002</c:v>
              </c:pt>
              <c:pt idx="673">
                <c:v>4.1266660000000002</c:v>
              </c:pt>
              <c:pt idx="674">
                <c:v>4.2149999999999999</c:v>
              </c:pt>
              <c:pt idx="675">
                <c:v>5.801666</c:v>
              </c:pt>
              <c:pt idx="676">
                <c:v>5.0416660000000002</c:v>
              </c:pt>
              <c:pt idx="677">
                <c:v>5.2833329999999998</c:v>
              </c:pt>
              <c:pt idx="678">
                <c:v>5.4016669999999998</c:v>
              </c:pt>
              <c:pt idx="679">
                <c:v>4.6399999999999997</c:v>
              </c:pt>
              <c:pt idx="680">
                <c:v>4.4683330000000003</c:v>
              </c:pt>
              <c:pt idx="681">
                <c:v>5.0199999999999996</c:v>
              </c:pt>
              <c:pt idx="682">
                <c:v>4.2066660000000002</c:v>
              </c:pt>
              <c:pt idx="683">
                <c:v>3.6633330000000002</c:v>
              </c:pt>
              <c:pt idx="684">
                <c:v>3.7916669999999999</c:v>
              </c:pt>
              <c:pt idx="685">
                <c:v>4.01</c:v>
              </c:pt>
              <c:pt idx="686">
                <c:v>4.3016670000000001</c:v>
              </c:pt>
              <c:pt idx="687">
                <c:v>4.9349999999999996</c:v>
              </c:pt>
              <c:pt idx="688">
                <c:v>4.6883330000000001</c:v>
              </c:pt>
              <c:pt idx="689">
                <c:v>4.2566670000000002</c:v>
              </c:pt>
              <c:pt idx="690">
                <c:v>4.2183330000000003</c:v>
              </c:pt>
              <c:pt idx="691">
                <c:v>4.3600000000000003</c:v>
              </c:pt>
              <c:pt idx="692">
                <c:v>4.9166660000000002</c:v>
              </c:pt>
              <c:pt idx="693">
                <c:v>4.6016659999999998</c:v>
              </c:pt>
              <c:pt idx="694">
                <c:v>5.1666660000000002</c:v>
              </c:pt>
              <c:pt idx="695">
                <c:v>3.926666</c:v>
              </c:pt>
              <c:pt idx="696">
                <c:v>4.8849999999999998</c:v>
              </c:pt>
              <c:pt idx="697">
                <c:v>4.4850000000000003</c:v>
              </c:pt>
              <c:pt idx="698">
                <c:v>4.1583329999999998</c:v>
              </c:pt>
              <c:pt idx="699">
                <c:v>4.3216659999999996</c:v>
              </c:pt>
              <c:pt idx="700">
                <c:v>4.13</c:v>
              </c:pt>
              <c:pt idx="701">
                <c:v>3.8433329999999999</c:v>
              </c:pt>
              <c:pt idx="702">
                <c:v>4.6016659999999998</c:v>
              </c:pt>
              <c:pt idx="703">
                <c:v>4.7416660000000004</c:v>
              </c:pt>
              <c:pt idx="704">
                <c:v>3.9183330000000001</c:v>
              </c:pt>
              <c:pt idx="705">
                <c:v>4.6866659999999998</c:v>
              </c:pt>
              <c:pt idx="706">
                <c:v>4.3683329999999998</c:v>
              </c:pt>
              <c:pt idx="707">
                <c:v>4.8083330000000002</c:v>
              </c:pt>
              <c:pt idx="708">
                <c:v>5.1866659999999998</c:v>
              </c:pt>
              <c:pt idx="709">
                <c:v>5.2050000000000001</c:v>
              </c:pt>
              <c:pt idx="710">
                <c:v>4.5933330000000003</c:v>
              </c:pt>
              <c:pt idx="711">
                <c:v>4.8466670000000001</c:v>
              </c:pt>
              <c:pt idx="712">
                <c:v>4.9850000000000003</c:v>
              </c:pt>
              <c:pt idx="713">
                <c:v>5.1466659999999997</c:v>
              </c:pt>
              <c:pt idx="714">
                <c:v>5.0149999999999997</c:v>
              </c:pt>
              <c:pt idx="715">
                <c:v>5.3383330000000004</c:v>
              </c:pt>
              <c:pt idx="716">
                <c:v>4.5216659999999997</c:v>
              </c:pt>
              <c:pt idx="717">
                <c:v>4.83</c:v>
              </c:pt>
              <c:pt idx="718">
                <c:v>4.9850000000000003</c:v>
              </c:pt>
              <c:pt idx="719">
                <c:v>5.8</c:v>
              </c:pt>
              <c:pt idx="720">
                <c:v>5.9516660000000003</c:v>
              </c:pt>
              <c:pt idx="721">
                <c:v>5.0333329999999998</c:v>
              </c:pt>
              <c:pt idx="722">
                <c:v>4.7850000000000001</c:v>
              </c:pt>
              <c:pt idx="723">
                <c:v>4.233333</c:v>
              </c:pt>
              <c:pt idx="724">
                <c:v>4.8483330000000002</c:v>
              </c:pt>
              <c:pt idx="725">
                <c:v>5.4566660000000002</c:v>
              </c:pt>
              <c:pt idx="726">
                <c:v>4.99</c:v>
              </c:pt>
              <c:pt idx="727">
                <c:v>4.5266669999999998</c:v>
              </c:pt>
              <c:pt idx="728">
                <c:v>5.3233329999999999</c:v>
              </c:pt>
              <c:pt idx="729">
                <c:v>4.8466670000000001</c:v>
              </c:pt>
              <c:pt idx="730">
                <c:v>4.915</c:v>
              </c:pt>
              <c:pt idx="731">
                <c:v>4.8633329999999999</c:v>
              </c:pt>
              <c:pt idx="732">
                <c:v>4.835</c:v>
              </c:pt>
              <c:pt idx="733">
                <c:v>4.585</c:v>
              </c:pt>
              <c:pt idx="734">
                <c:v>5.4133339999999999</c:v>
              </c:pt>
              <c:pt idx="735">
                <c:v>5.49</c:v>
              </c:pt>
              <c:pt idx="736">
                <c:v>6.2350000000000003</c:v>
              </c:pt>
              <c:pt idx="737">
                <c:v>4.82</c:v>
              </c:pt>
              <c:pt idx="738">
                <c:v>4.318333</c:v>
              </c:pt>
              <c:pt idx="739">
                <c:v>4.82</c:v>
              </c:pt>
              <c:pt idx="740">
                <c:v>4.5733329999999999</c:v>
              </c:pt>
              <c:pt idx="741">
                <c:v>4.7750000000000004</c:v>
              </c:pt>
              <c:pt idx="742">
                <c:v>3.571666</c:v>
              </c:pt>
              <c:pt idx="743">
                <c:v>3.983333</c:v>
              </c:pt>
              <c:pt idx="744">
                <c:v>4.4683330000000003</c:v>
              </c:pt>
              <c:pt idx="745">
                <c:v>3.6533340000000001</c:v>
              </c:pt>
              <c:pt idx="746">
                <c:v>3.87</c:v>
              </c:pt>
              <c:pt idx="747">
                <c:v>4.1666660000000002</c:v>
              </c:pt>
              <c:pt idx="748">
                <c:v>4.4733330000000002</c:v>
              </c:pt>
              <c:pt idx="749">
                <c:v>3.9483329999999999</c:v>
              </c:pt>
              <c:pt idx="750">
                <c:v>3.79</c:v>
              </c:pt>
              <c:pt idx="751">
                <c:v>4.6516669999999998</c:v>
              </c:pt>
              <c:pt idx="752">
                <c:v>3.9350000000000001</c:v>
              </c:pt>
              <c:pt idx="753">
                <c:v>3.4733329999999998</c:v>
              </c:pt>
              <c:pt idx="754">
                <c:v>3.52</c:v>
              </c:pt>
              <c:pt idx="755">
                <c:v>4.6433330000000002</c:v>
              </c:pt>
              <c:pt idx="756">
                <c:v>5.13</c:v>
              </c:pt>
              <c:pt idx="757">
                <c:v>4.5483330000000004</c:v>
              </c:pt>
              <c:pt idx="758">
                <c:v>4.99</c:v>
              </c:pt>
              <c:pt idx="759">
                <c:v>5.2350000000000003</c:v>
              </c:pt>
              <c:pt idx="760">
                <c:v>5.1733330000000004</c:v>
              </c:pt>
              <c:pt idx="761">
                <c:v>4.1100000000000003</c:v>
              </c:pt>
              <c:pt idx="762">
                <c:v>4.1616660000000003</c:v>
              </c:pt>
              <c:pt idx="763">
                <c:v>3.93</c:v>
              </c:pt>
              <c:pt idx="764">
                <c:v>4.1583329999999998</c:v>
              </c:pt>
              <c:pt idx="765">
                <c:v>4.1433330000000002</c:v>
              </c:pt>
              <c:pt idx="766">
                <c:v>4.5983330000000002</c:v>
              </c:pt>
              <c:pt idx="767">
                <c:v>4.358333</c:v>
              </c:pt>
              <c:pt idx="768">
                <c:v>4.3216659999999996</c:v>
              </c:pt>
              <c:pt idx="769">
                <c:v>4.858333</c:v>
              </c:pt>
              <c:pt idx="770">
                <c:v>4.4583329999999997</c:v>
              </c:pt>
              <c:pt idx="771">
                <c:v>4.8150000000000004</c:v>
              </c:pt>
              <c:pt idx="772">
                <c:v>4.4800000000000004</c:v>
              </c:pt>
              <c:pt idx="773">
                <c:v>4.5183330000000002</c:v>
              </c:pt>
              <c:pt idx="774">
                <c:v>3.81</c:v>
              </c:pt>
              <c:pt idx="775">
                <c:v>4.6449999999999996</c:v>
              </c:pt>
              <c:pt idx="776">
                <c:v>5.1150000000000002</c:v>
              </c:pt>
              <c:pt idx="777">
                <c:v>4.7033329999999998</c:v>
              </c:pt>
              <c:pt idx="778">
                <c:v>4.8366660000000001</c:v>
              </c:pt>
              <c:pt idx="779">
                <c:v>4.1716670000000002</c:v>
              </c:pt>
              <c:pt idx="780">
                <c:v>4.41</c:v>
              </c:pt>
              <c:pt idx="781">
                <c:v>4.6166660000000004</c:v>
              </c:pt>
              <c:pt idx="782">
                <c:v>4.335</c:v>
              </c:pt>
              <c:pt idx="783">
                <c:v>4.1766670000000001</c:v>
              </c:pt>
              <c:pt idx="784">
                <c:v>4.38</c:v>
              </c:pt>
              <c:pt idx="785">
                <c:v>4.3150000000000004</c:v>
              </c:pt>
              <c:pt idx="786">
                <c:v>3.7433329999999998</c:v>
              </c:pt>
              <c:pt idx="787">
                <c:v>3.7516669999999999</c:v>
              </c:pt>
              <c:pt idx="788">
                <c:v>4.4333330000000002</c:v>
              </c:pt>
              <c:pt idx="789">
                <c:v>4.3716660000000003</c:v>
              </c:pt>
              <c:pt idx="790">
                <c:v>3.73</c:v>
              </c:pt>
              <c:pt idx="791">
                <c:v>3.65</c:v>
              </c:pt>
              <c:pt idx="792">
                <c:v>3.2316669999999998</c:v>
              </c:pt>
              <c:pt idx="793">
                <c:v>3.511666</c:v>
              </c:pt>
              <c:pt idx="794">
                <c:v>3.8833329999999999</c:v>
              </c:pt>
              <c:pt idx="795">
                <c:v>3.76</c:v>
              </c:pt>
              <c:pt idx="796">
                <c:v>3.761666</c:v>
              </c:pt>
              <c:pt idx="797">
                <c:v>4.3449999999999998</c:v>
              </c:pt>
              <c:pt idx="798">
                <c:v>3.891667</c:v>
              </c:pt>
              <c:pt idx="799">
                <c:v>4.0816660000000002</c:v>
              </c:pt>
              <c:pt idx="800">
                <c:v>3.6233330000000001</c:v>
              </c:pt>
              <c:pt idx="801">
                <c:v>4.0316660000000004</c:v>
              </c:pt>
              <c:pt idx="802">
                <c:v>4.0016660000000002</c:v>
              </c:pt>
              <c:pt idx="803">
                <c:v>4.0533330000000003</c:v>
              </c:pt>
              <c:pt idx="804">
                <c:v>3.625</c:v>
              </c:pt>
              <c:pt idx="805">
                <c:v>3.8050000000000002</c:v>
              </c:pt>
              <c:pt idx="806">
                <c:v>4.1033330000000001</c:v>
              </c:pt>
              <c:pt idx="807">
                <c:v>4.01</c:v>
              </c:pt>
              <c:pt idx="808">
                <c:v>3.7433329999999998</c:v>
              </c:pt>
              <c:pt idx="809">
                <c:v>4.4216670000000002</c:v>
              </c:pt>
              <c:pt idx="810">
                <c:v>4.3166659999999997</c:v>
              </c:pt>
              <c:pt idx="811">
                <c:v>4.773333</c:v>
              </c:pt>
              <c:pt idx="812">
                <c:v>4.7466660000000003</c:v>
              </c:pt>
              <c:pt idx="813">
                <c:v>5.1383330000000003</c:v>
              </c:pt>
              <c:pt idx="814">
                <c:v>5.0666669999999998</c:v>
              </c:pt>
              <c:pt idx="815">
                <c:v>4.5583330000000002</c:v>
              </c:pt>
              <c:pt idx="816">
                <c:v>3.9916659999999999</c:v>
              </c:pt>
              <c:pt idx="817">
                <c:v>4.4666670000000002</c:v>
              </c:pt>
              <c:pt idx="818">
                <c:v>4.12</c:v>
              </c:pt>
              <c:pt idx="819">
                <c:v>3.4916659999999999</c:v>
              </c:pt>
              <c:pt idx="820">
                <c:v>3.673333</c:v>
              </c:pt>
              <c:pt idx="821">
                <c:v>3.57</c:v>
              </c:pt>
              <c:pt idx="822">
                <c:v>3.39</c:v>
              </c:pt>
              <c:pt idx="823">
                <c:v>3.8733330000000001</c:v>
              </c:pt>
              <c:pt idx="824">
                <c:v>5.2183330000000003</c:v>
              </c:pt>
              <c:pt idx="825">
                <c:v>3.9016670000000002</c:v>
              </c:pt>
              <c:pt idx="826">
                <c:v>4.2933329999999996</c:v>
              </c:pt>
              <c:pt idx="827">
                <c:v>4.1733330000000004</c:v>
              </c:pt>
              <c:pt idx="828">
                <c:v>4.4766659999999998</c:v>
              </c:pt>
              <c:pt idx="829">
                <c:v>4.3083330000000002</c:v>
              </c:pt>
              <c:pt idx="830">
                <c:v>4.0750000000000002</c:v>
              </c:pt>
              <c:pt idx="831">
                <c:v>4.5149999999999997</c:v>
              </c:pt>
              <c:pt idx="832">
                <c:v>4.4783330000000001</c:v>
              </c:pt>
              <c:pt idx="833">
                <c:v>4.24</c:v>
              </c:pt>
              <c:pt idx="834">
                <c:v>4.3333339999999998</c:v>
              </c:pt>
              <c:pt idx="835">
                <c:v>5.1833330000000002</c:v>
              </c:pt>
              <c:pt idx="836">
                <c:v>4.7116660000000001</c:v>
              </c:pt>
              <c:pt idx="837">
                <c:v>4.9183329999999996</c:v>
              </c:pt>
              <c:pt idx="838">
                <c:v>4.983333</c:v>
              </c:pt>
              <c:pt idx="839">
                <c:v>4.7249999999999996</c:v>
              </c:pt>
              <c:pt idx="840">
                <c:v>4.46</c:v>
              </c:pt>
              <c:pt idx="841">
                <c:v>3.64</c:v>
              </c:pt>
              <c:pt idx="842">
                <c:v>4.0933330000000003</c:v>
              </c:pt>
              <c:pt idx="843">
                <c:v>4.3516659999999998</c:v>
              </c:pt>
              <c:pt idx="844">
                <c:v>4.0933330000000003</c:v>
              </c:pt>
              <c:pt idx="845">
                <c:v>4.4383330000000001</c:v>
              </c:pt>
              <c:pt idx="846">
                <c:v>4.6116659999999996</c:v>
              </c:pt>
              <c:pt idx="847">
                <c:v>4.0833339999999998</c:v>
              </c:pt>
              <c:pt idx="848">
                <c:v>3.8266659999999999</c:v>
              </c:pt>
              <c:pt idx="849">
                <c:v>5.1716670000000002</c:v>
              </c:pt>
              <c:pt idx="850">
                <c:v>3.9333330000000002</c:v>
              </c:pt>
              <c:pt idx="851">
                <c:v>4.0166659999999998</c:v>
              </c:pt>
              <c:pt idx="852">
                <c:v>4.0049999999999999</c:v>
              </c:pt>
              <c:pt idx="853">
                <c:v>4.2949999999999999</c:v>
              </c:pt>
              <c:pt idx="854">
                <c:v>4.4766659999999998</c:v>
              </c:pt>
              <c:pt idx="855">
                <c:v>3.89</c:v>
              </c:pt>
              <c:pt idx="856">
                <c:v>4.1950000000000003</c:v>
              </c:pt>
              <c:pt idx="857">
                <c:v>4.3416670000000002</c:v>
              </c:pt>
              <c:pt idx="858">
                <c:v>3.62</c:v>
              </c:pt>
              <c:pt idx="859">
                <c:v>4.0650000000000004</c:v>
              </c:pt>
              <c:pt idx="860">
                <c:v>4.92</c:v>
              </c:pt>
              <c:pt idx="861">
                <c:v>3.926666</c:v>
              </c:pt>
              <c:pt idx="862">
                <c:v>4.22</c:v>
              </c:pt>
              <c:pt idx="863">
                <c:v>3.6066660000000001</c:v>
              </c:pt>
              <c:pt idx="864">
                <c:v>4.3966659999999997</c:v>
              </c:pt>
              <c:pt idx="865">
                <c:v>3.7549999999999999</c:v>
              </c:pt>
              <c:pt idx="866">
                <c:v>4.4116660000000003</c:v>
              </c:pt>
              <c:pt idx="867">
                <c:v>3.761666</c:v>
              </c:pt>
              <c:pt idx="868">
                <c:v>3.7066669999999999</c:v>
              </c:pt>
              <c:pt idx="869">
                <c:v>3.466666</c:v>
              </c:pt>
              <c:pt idx="870">
                <c:v>4.0716659999999996</c:v>
              </c:pt>
              <c:pt idx="871">
                <c:v>4.4950000000000001</c:v>
              </c:pt>
              <c:pt idx="872">
                <c:v>3.6</c:v>
              </c:pt>
              <c:pt idx="873">
                <c:v>3.9950000000000001</c:v>
              </c:pt>
              <c:pt idx="874">
                <c:v>4.3266660000000003</c:v>
              </c:pt>
              <c:pt idx="875">
                <c:v>3.8533330000000001</c:v>
              </c:pt>
              <c:pt idx="876">
                <c:v>3.338333</c:v>
              </c:pt>
              <c:pt idx="877">
                <c:v>3.446666</c:v>
              </c:pt>
              <c:pt idx="878">
                <c:v>3.841666</c:v>
              </c:pt>
              <c:pt idx="879">
                <c:v>3.713333</c:v>
              </c:pt>
              <c:pt idx="880">
                <c:v>3.6433330000000002</c:v>
              </c:pt>
              <c:pt idx="881">
                <c:v>3.7283330000000001</c:v>
              </c:pt>
              <c:pt idx="882">
                <c:v>3.1433330000000002</c:v>
              </c:pt>
              <c:pt idx="883">
                <c:v>3.4350000000000001</c:v>
              </c:pt>
              <c:pt idx="884">
                <c:v>3.3466670000000001</c:v>
              </c:pt>
              <c:pt idx="885">
                <c:v>2.9350000000000001</c:v>
              </c:pt>
              <c:pt idx="886">
                <c:v>2.5449999999999999</c:v>
              </c:pt>
              <c:pt idx="887">
                <c:v>3.0183330000000002</c:v>
              </c:pt>
              <c:pt idx="888">
                <c:v>3.3116660000000002</c:v>
              </c:pt>
              <c:pt idx="889">
                <c:v>2.895</c:v>
              </c:pt>
              <c:pt idx="890">
                <c:v>2.923333</c:v>
              </c:pt>
              <c:pt idx="891">
                <c:v>2.8766660000000002</c:v>
              </c:pt>
              <c:pt idx="892">
                <c:v>3.6716660000000001</c:v>
              </c:pt>
              <c:pt idx="893">
                <c:v>3.85</c:v>
              </c:pt>
              <c:pt idx="894">
                <c:v>3.66</c:v>
              </c:pt>
              <c:pt idx="895">
                <c:v>3.0616660000000002</c:v>
              </c:pt>
              <c:pt idx="896">
                <c:v>3.9883329999999999</c:v>
              </c:pt>
              <c:pt idx="897">
                <c:v>3.3233329999999999</c:v>
              </c:pt>
              <c:pt idx="898">
                <c:v>4.01</c:v>
              </c:pt>
              <c:pt idx="899">
                <c:v>3.75</c:v>
              </c:pt>
              <c:pt idx="900">
                <c:v>3.2783329999999999</c:v>
              </c:pt>
              <c:pt idx="901">
                <c:v>3.1783329999999999</c:v>
              </c:pt>
              <c:pt idx="902">
                <c:v>3.1016659999999998</c:v>
              </c:pt>
              <c:pt idx="903">
                <c:v>4.0933330000000003</c:v>
              </c:pt>
              <c:pt idx="904">
                <c:v>3.6666660000000002</c:v>
              </c:pt>
              <c:pt idx="905">
                <c:v>4.1166660000000004</c:v>
              </c:pt>
              <c:pt idx="906">
                <c:v>3.9849999999999999</c:v>
              </c:pt>
              <c:pt idx="907">
                <c:v>3.99</c:v>
              </c:pt>
              <c:pt idx="908">
                <c:v>3.55</c:v>
              </c:pt>
              <c:pt idx="909">
                <c:v>3.75</c:v>
              </c:pt>
              <c:pt idx="910">
                <c:v>3.411667</c:v>
              </c:pt>
              <c:pt idx="911">
                <c:v>3.1333329999999999</c:v>
              </c:pt>
              <c:pt idx="912">
                <c:v>3.503333</c:v>
              </c:pt>
              <c:pt idx="913">
                <c:v>2.9916670000000001</c:v>
              </c:pt>
              <c:pt idx="914">
                <c:v>3.6416659999999998</c:v>
              </c:pt>
              <c:pt idx="915">
                <c:v>3.6816659999999999</c:v>
              </c:pt>
              <c:pt idx="916">
                <c:v>2.87</c:v>
              </c:pt>
              <c:pt idx="917">
                <c:v>3.2216670000000001</c:v>
              </c:pt>
              <c:pt idx="918">
                <c:v>3.4866670000000002</c:v>
              </c:pt>
              <c:pt idx="919">
                <c:v>3.5350000000000001</c:v>
              </c:pt>
              <c:pt idx="920">
                <c:v>2.9333330000000002</c:v>
              </c:pt>
              <c:pt idx="921">
                <c:v>3.536667</c:v>
              </c:pt>
              <c:pt idx="922">
                <c:v>3.1850000000000001</c:v>
              </c:pt>
              <c:pt idx="923">
                <c:v>3.5750000000000002</c:v>
              </c:pt>
              <c:pt idx="924">
                <c:v>3.1566670000000001</c:v>
              </c:pt>
              <c:pt idx="925">
                <c:v>3.5466660000000001</c:v>
              </c:pt>
              <c:pt idx="926">
                <c:v>3.5150000000000001</c:v>
              </c:pt>
              <c:pt idx="927">
                <c:v>3.7716660000000002</c:v>
              </c:pt>
              <c:pt idx="928">
                <c:v>3.4733329999999998</c:v>
              </c:pt>
              <c:pt idx="929">
                <c:v>4.2766669999999998</c:v>
              </c:pt>
              <c:pt idx="930">
                <c:v>3.83</c:v>
              </c:pt>
              <c:pt idx="931">
                <c:v>3.9916659999999999</c:v>
              </c:pt>
              <c:pt idx="932">
                <c:v>3.386666</c:v>
              </c:pt>
              <c:pt idx="933">
                <c:v>4.4616660000000001</c:v>
              </c:pt>
              <c:pt idx="934">
                <c:v>3.9866670000000002</c:v>
              </c:pt>
              <c:pt idx="935">
                <c:v>3.693333</c:v>
              </c:pt>
              <c:pt idx="936">
                <c:v>3.5433330000000001</c:v>
              </c:pt>
              <c:pt idx="937">
                <c:v>3.1683330000000001</c:v>
              </c:pt>
              <c:pt idx="938">
                <c:v>4.1466659999999997</c:v>
              </c:pt>
              <c:pt idx="939">
                <c:v>3.665</c:v>
              </c:pt>
              <c:pt idx="940">
                <c:v>3.0733329999999999</c:v>
              </c:pt>
              <c:pt idx="941">
                <c:v>2.841666</c:v>
              </c:pt>
              <c:pt idx="942">
                <c:v>2.8833329999999999</c:v>
              </c:pt>
              <c:pt idx="943">
                <c:v>3.0083329999999999</c:v>
              </c:pt>
              <c:pt idx="944">
                <c:v>2.7833329999999998</c:v>
              </c:pt>
              <c:pt idx="945">
                <c:v>2.551666</c:v>
              </c:pt>
              <c:pt idx="946">
                <c:v>3.8450000000000002</c:v>
              </c:pt>
              <c:pt idx="947">
                <c:v>2.7483330000000001</c:v>
              </c:pt>
              <c:pt idx="948">
                <c:v>3.47</c:v>
              </c:pt>
              <c:pt idx="949">
                <c:v>3.7416659999999999</c:v>
              </c:pt>
              <c:pt idx="950">
                <c:v>3.091666</c:v>
              </c:pt>
              <c:pt idx="951">
                <c:v>2.2850000000000001</c:v>
              </c:pt>
              <c:pt idx="952">
                <c:v>2.306667</c:v>
              </c:pt>
              <c:pt idx="953">
                <c:v>2.9716670000000001</c:v>
              </c:pt>
              <c:pt idx="954">
                <c:v>3.128333</c:v>
              </c:pt>
              <c:pt idx="955">
                <c:v>3.0133329999999998</c:v>
              </c:pt>
              <c:pt idx="956">
                <c:v>3.0966670000000001</c:v>
              </c:pt>
              <c:pt idx="957">
                <c:v>3.1349999999999998</c:v>
              </c:pt>
              <c:pt idx="958">
                <c:v>3.19</c:v>
              </c:pt>
              <c:pt idx="959">
                <c:v>2.1633330000000002</c:v>
              </c:pt>
              <c:pt idx="960">
                <c:v>2.7250000000000001</c:v>
              </c:pt>
              <c:pt idx="961">
                <c:v>2.786667</c:v>
              </c:pt>
              <c:pt idx="962">
                <c:v>2.4216669999999998</c:v>
              </c:pt>
              <c:pt idx="963">
                <c:v>2.1433330000000002</c:v>
              </c:pt>
              <c:pt idx="964">
                <c:v>2.0649999999999999</c:v>
              </c:pt>
              <c:pt idx="965">
                <c:v>2.398333</c:v>
              </c:pt>
              <c:pt idx="966">
                <c:v>2.71</c:v>
              </c:pt>
              <c:pt idx="967">
                <c:v>1.9316660000000001</c:v>
              </c:pt>
              <c:pt idx="968">
                <c:v>2.2683330000000002</c:v>
              </c:pt>
              <c:pt idx="969">
                <c:v>2.91</c:v>
              </c:pt>
              <c:pt idx="970">
                <c:v>2.5299999999999998</c:v>
              </c:pt>
              <c:pt idx="971">
                <c:v>2.431667</c:v>
              </c:pt>
              <c:pt idx="972">
                <c:v>2.5783330000000002</c:v>
              </c:pt>
              <c:pt idx="973">
                <c:v>2.9933329999999998</c:v>
              </c:pt>
              <c:pt idx="974">
                <c:v>3.19</c:v>
              </c:pt>
              <c:pt idx="975">
                <c:v>3.36</c:v>
              </c:pt>
              <c:pt idx="976">
                <c:v>3.0416669999999999</c:v>
              </c:pt>
              <c:pt idx="977">
                <c:v>2.0499999999999998</c:v>
              </c:pt>
              <c:pt idx="978">
                <c:v>2.5933329999999999</c:v>
              </c:pt>
              <c:pt idx="979">
                <c:v>2.3083330000000002</c:v>
              </c:pt>
              <c:pt idx="980">
                <c:v>3.5616660000000002</c:v>
              </c:pt>
              <c:pt idx="981">
                <c:v>3.6583329999999998</c:v>
              </c:pt>
              <c:pt idx="982">
                <c:v>3.1949999999999998</c:v>
              </c:pt>
              <c:pt idx="983">
                <c:v>2.9350000000000001</c:v>
              </c:pt>
              <c:pt idx="984">
                <c:v>3.2716669999999999</c:v>
              </c:pt>
              <c:pt idx="985">
                <c:v>3.5983329999999998</c:v>
              </c:pt>
              <c:pt idx="986">
                <c:v>3.1233330000000001</c:v>
              </c:pt>
              <c:pt idx="987">
                <c:v>2.9216660000000001</c:v>
              </c:pt>
              <c:pt idx="988">
                <c:v>2.9383330000000001</c:v>
              </c:pt>
              <c:pt idx="989">
                <c:v>3.4566669999999999</c:v>
              </c:pt>
              <c:pt idx="990">
                <c:v>3.5333329999999998</c:v>
              </c:pt>
              <c:pt idx="991">
                <c:v>3.23</c:v>
              </c:pt>
              <c:pt idx="992">
                <c:v>2.2916669999999999</c:v>
              </c:pt>
              <c:pt idx="993">
                <c:v>2.7483330000000001</c:v>
              </c:pt>
              <c:pt idx="994">
                <c:v>3.4516659999999999</c:v>
              </c:pt>
              <c:pt idx="995">
                <c:v>3.9483329999999999</c:v>
              </c:pt>
              <c:pt idx="996">
                <c:v>2.9583330000000001</c:v>
              </c:pt>
              <c:pt idx="997">
                <c:v>3.4583330000000001</c:v>
              </c:pt>
              <c:pt idx="998">
                <c:v>2.585</c:v>
              </c:pt>
              <c:pt idx="999">
                <c:v>2.5266670000000002</c:v>
              </c:pt>
              <c:pt idx="1000">
                <c:v>2.571666</c:v>
              </c:pt>
              <c:pt idx="1001">
                <c:v>2.5833330000000001</c:v>
              </c:pt>
              <c:pt idx="1002">
                <c:v>3.0016669999999999</c:v>
              </c:pt>
              <c:pt idx="1003">
                <c:v>2.5666669999999998</c:v>
              </c:pt>
              <c:pt idx="1004">
                <c:v>3.2566660000000001</c:v>
              </c:pt>
              <c:pt idx="1005">
                <c:v>3.6816659999999999</c:v>
              </c:pt>
              <c:pt idx="1006">
                <c:v>3.395</c:v>
              </c:pt>
              <c:pt idx="1007">
                <c:v>3.536667</c:v>
              </c:pt>
              <c:pt idx="1008">
                <c:v>3.0633330000000001</c:v>
              </c:pt>
              <c:pt idx="1009">
                <c:v>3.08</c:v>
              </c:pt>
              <c:pt idx="1010">
                <c:v>2.85</c:v>
              </c:pt>
              <c:pt idx="1011">
                <c:v>2.835</c:v>
              </c:pt>
              <c:pt idx="1012">
                <c:v>3.2783329999999999</c:v>
              </c:pt>
              <c:pt idx="1013">
                <c:v>2.963333</c:v>
              </c:pt>
              <c:pt idx="1014">
                <c:v>3.0666669999999998</c:v>
              </c:pt>
              <c:pt idx="1015">
                <c:v>4.4133339999999999</c:v>
              </c:pt>
              <c:pt idx="1016">
                <c:v>3.8683329999999998</c:v>
              </c:pt>
              <c:pt idx="1017">
                <c:v>3.3516659999999998</c:v>
              </c:pt>
              <c:pt idx="1018">
                <c:v>4.6516669999999998</c:v>
              </c:pt>
              <c:pt idx="1019">
                <c:v>4.2750000000000004</c:v>
              </c:pt>
              <c:pt idx="1020">
                <c:v>3.1683330000000001</c:v>
              </c:pt>
              <c:pt idx="1021">
                <c:v>3.3616670000000002</c:v>
              </c:pt>
              <c:pt idx="1022">
                <c:v>2.571666</c:v>
              </c:pt>
              <c:pt idx="1023">
                <c:v>2.9583330000000001</c:v>
              </c:pt>
              <c:pt idx="1024">
                <c:v>2.056667</c:v>
              </c:pt>
              <c:pt idx="1025">
                <c:v>3.0049999999999999</c:v>
              </c:pt>
              <c:pt idx="1026">
                <c:v>3.216666</c:v>
              </c:pt>
              <c:pt idx="1027">
                <c:v>2.48</c:v>
              </c:pt>
              <c:pt idx="1028">
                <c:v>2.326667</c:v>
              </c:pt>
              <c:pt idx="1029">
                <c:v>2.4933329999999998</c:v>
              </c:pt>
              <c:pt idx="1030">
                <c:v>2.7833329999999998</c:v>
              </c:pt>
              <c:pt idx="1031">
                <c:v>3.048333</c:v>
              </c:pt>
              <c:pt idx="1032">
                <c:v>2.8116660000000002</c:v>
              </c:pt>
              <c:pt idx="1033">
                <c:v>2.3650000000000002</c:v>
              </c:pt>
              <c:pt idx="1034">
                <c:v>1.8666670000000001</c:v>
              </c:pt>
              <c:pt idx="1035">
                <c:v>2.1866669999999999</c:v>
              </c:pt>
              <c:pt idx="1036">
                <c:v>2.0433330000000001</c:v>
              </c:pt>
              <c:pt idx="1037">
                <c:v>2.338333</c:v>
              </c:pt>
              <c:pt idx="1038">
                <c:v>3.2966660000000001</c:v>
              </c:pt>
              <c:pt idx="1039">
                <c:v>2.8966669999999999</c:v>
              </c:pt>
              <c:pt idx="1040">
                <c:v>2.4366669999999999</c:v>
              </c:pt>
              <c:pt idx="1041">
                <c:v>2.0533329999999999</c:v>
              </c:pt>
              <c:pt idx="1042">
                <c:v>2.5216669999999999</c:v>
              </c:pt>
              <c:pt idx="1043">
                <c:v>2.361666</c:v>
              </c:pt>
              <c:pt idx="1044">
                <c:v>2.96</c:v>
              </c:pt>
              <c:pt idx="1045">
                <c:v>2.9350000000000001</c:v>
              </c:pt>
              <c:pt idx="1046">
                <c:v>3.4033340000000001</c:v>
              </c:pt>
              <c:pt idx="1047">
                <c:v>4.0449999999999999</c:v>
              </c:pt>
              <c:pt idx="1048">
                <c:v>3.7033330000000002</c:v>
              </c:pt>
              <c:pt idx="1049">
                <c:v>3.2566660000000001</c:v>
              </c:pt>
              <c:pt idx="1050">
                <c:v>2.8083330000000002</c:v>
              </c:pt>
              <c:pt idx="1051">
                <c:v>3.4566669999999999</c:v>
              </c:pt>
              <c:pt idx="1052">
                <c:v>2.96</c:v>
              </c:pt>
              <c:pt idx="1053">
                <c:v>4.1150000000000002</c:v>
              </c:pt>
              <c:pt idx="1054">
                <c:v>4.0750000000000002</c:v>
              </c:pt>
              <c:pt idx="1055">
                <c:v>3.24</c:v>
              </c:pt>
              <c:pt idx="1056">
                <c:v>3.7549999999999999</c:v>
              </c:pt>
              <c:pt idx="1057">
                <c:v>3.5383330000000002</c:v>
              </c:pt>
              <c:pt idx="1058">
                <c:v>2.923333</c:v>
              </c:pt>
              <c:pt idx="1059">
                <c:v>3.4849999999999999</c:v>
              </c:pt>
              <c:pt idx="1060">
                <c:v>2.8650000000000002</c:v>
              </c:pt>
              <c:pt idx="1061">
                <c:v>3.72</c:v>
              </c:pt>
              <c:pt idx="1062">
                <c:v>3.9916659999999999</c:v>
              </c:pt>
              <c:pt idx="1063">
                <c:v>2.9649999999999999</c:v>
              </c:pt>
              <c:pt idx="1064">
                <c:v>3.0283329999999999</c:v>
              </c:pt>
              <c:pt idx="1065">
                <c:v>3.6583329999999998</c:v>
              </c:pt>
              <c:pt idx="1066">
                <c:v>3.8916659999999998</c:v>
              </c:pt>
              <c:pt idx="1067">
                <c:v>2.98</c:v>
              </c:pt>
              <c:pt idx="1068">
                <c:v>3.1133329999999999</c:v>
              </c:pt>
              <c:pt idx="1069">
                <c:v>3.895</c:v>
              </c:pt>
              <c:pt idx="1070">
                <c:v>4.068333</c:v>
              </c:pt>
              <c:pt idx="1071">
                <c:v>3.4683329999999999</c:v>
              </c:pt>
              <c:pt idx="1072">
                <c:v>3.0116670000000001</c:v>
              </c:pt>
              <c:pt idx="1073">
                <c:v>2.82</c:v>
              </c:pt>
              <c:pt idx="1074">
                <c:v>2.2400000000000002</c:v>
              </c:pt>
              <c:pt idx="1075">
                <c:v>3.1866660000000002</c:v>
              </c:pt>
              <c:pt idx="1076">
                <c:v>4.2050000000000001</c:v>
              </c:pt>
              <c:pt idx="1077">
                <c:v>3.59</c:v>
              </c:pt>
              <c:pt idx="1078">
                <c:v>2.8616670000000002</c:v>
              </c:pt>
              <c:pt idx="1079">
                <c:v>3.6833330000000002</c:v>
              </c:pt>
              <c:pt idx="1080">
                <c:v>4.6566660000000004</c:v>
              </c:pt>
              <c:pt idx="1081">
                <c:v>3.6783329999999999</c:v>
              </c:pt>
              <c:pt idx="1082">
                <c:v>4.0933330000000003</c:v>
              </c:pt>
              <c:pt idx="1083">
                <c:v>3.7383329999999999</c:v>
              </c:pt>
              <c:pt idx="1084">
                <c:v>3.96</c:v>
              </c:pt>
              <c:pt idx="1085">
                <c:v>3.6683330000000001</c:v>
              </c:pt>
              <c:pt idx="1086">
                <c:v>4.1399999999999997</c:v>
              </c:pt>
              <c:pt idx="1087">
                <c:v>4.4400000000000004</c:v>
              </c:pt>
              <c:pt idx="1088">
                <c:v>3.3933330000000002</c:v>
              </c:pt>
              <c:pt idx="1089">
                <c:v>3.531666</c:v>
              </c:pt>
              <c:pt idx="1090">
                <c:v>4.3516659999999998</c:v>
              </c:pt>
              <c:pt idx="1091">
                <c:v>3.9366660000000002</c:v>
              </c:pt>
              <c:pt idx="1092">
                <c:v>3.7450000000000001</c:v>
              </c:pt>
              <c:pt idx="1093">
                <c:v>3.0933329999999999</c:v>
              </c:pt>
              <c:pt idx="1094">
                <c:v>3.1433330000000002</c:v>
              </c:pt>
              <c:pt idx="1095">
                <c:v>3.35</c:v>
              </c:pt>
              <c:pt idx="1096">
                <c:v>2.9950000000000001</c:v>
              </c:pt>
              <c:pt idx="1097">
                <c:v>2.58</c:v>
              </c:pt>
              <c:pt idx="1098">
                <c:v>3.423333</c:v>
              </c:pt>
              <c:pt idx="1099">
                <c:v>3.7</c:v>
              </c:pt>
              <c:pt idx="1100">
                <c:v>4.0433329999999996</c:v>
              </c:pt>
              <c:pt idx="1101">
                <c:v>3.01</c:v>
              </c:pt>
              <c:pt idx="1102">
                <c:v>3.6549999999999998</c:v>
              </c:pt>
              <c:pt idx="1103">
                <c:v>2.9950000000000001</c:v>
              </c:pt>
              <c:pt idx="1104">
                <c:v>2.608333</c:v>
              </c:pt>
              <c:pt idx="1105">
                <c:v>3.0750000000000002</c:v>
              </c:pt>
              <c:pt idx="1106">
                <c:v>2.923333</c:v>
              </c:pt>
              <c:pt idx="1107">
                <c:v>2.8733330000000001</c:v>
              </c:pt>
              <c:pt idx="1108">
                <c:v>2.4016670000000002</c:v>
              </c:pt>
              <c:pt idx="1109">
                <c:v>3.335</c:v>
              </c:pt>
              <c:pt idx="1110">
                <c:v>3.611666</c:v>
              </c:pt>
              <c:pt idx="1111">
                <c:v>3.523333</c:v>
              </c:pt>
              <c:pt idx="1112">
                <c:v>3.1466669999999999</c:v>
              </c:pt>
              <c:pt idx="1113">
                <c:v>3.5266670000000002</c:v>
              </c:pt>
              <c:pt idx="1114">
                <c:v>2.78</c:v>
              </c:pt>
              <c:pt idx="1115">
                <c:v>3.6533340000000001</c:v>
              </c:pt>
              <c:pt idx="1116">
                <c:v>3.773333</c:v>
              </c:pt>
              <c:pt idx="1117">
                <c:v>3.216666</c:v>
              </c:pt>
              <c:pt idx="1118">
                <c:v>2.4133330000000002</c:v>
              </c:pt>
              <c:pt idx="1119">
                <c:v>2.77</c:v>
              </c:pt>
              <c:pt idx="1120">
                <c:v>2.3450000000000002</c:v>
              </c:pt>
              <c:pt idx="1121">
                <c:v>2.57</c:v>
              </c:pt>
              <c:pt idx="1122">
                <c:v>3.1549999999999998</c:v>
              </c:pt>
              <c:pt idx="1123">
                <c:v>3.3666659999999999</c:v>
              </c:pt>
              <c:pt idx="1124">
                <c:v>3.213333</c:v>
              </c:pt>
              <c:pt idx="1125">
                <c:v>3.4083329999999998</c:v>
              </c:pt>
              <c:pt idx="1126">
                <c:v>3.19</c:v>
              </c:pt>
              <c:pt idx="1127">
                <c:v>3.6433330000000002</c:v>
              </c:pt>
              <c:pt idx="1128">
                <c:v>3.071666</c:v>
              </c:pt>
              <c:pt idx="1129">
                <c:v>2.8366660000000001</c:v>
              </c:pt>
              <c:pt idx="1130">
                <c:v>2.9933329999999998</c:v>
              </c:pt>
              <c:pt idx="1131">
                <c:v>2.7683330000000002</c:v>
              </c:pt>
              <c:pt idx="1132">
                <c:v>2.6816659999999999</c:v>
              </c:pt>
              <c:pt idx="1133">
                <c:v>2.6366670000000001</c:v>
              </c:pt>
              <c:pt idx="1134">
                <c:v>3.5383330000000002</c:v>
              </c:pt>
              <c:pt idx="1135">
                <c:v>3.49</c:v>
              </c:pt>
              <c:pt idx="1136">
                <c:v>3.4133330000000002</c:v>
              </c:pt>
              <c:pt idx="1137">
                <c:v>3.4</c:v>
              </c:pt>
              <c:pt idx="1138">
                <c:v>3.3916659999999998</c:v>
              </c:pt>
              <c:pt idx="1139">
                <c:v>3.536667</c:v>
              </c:pt>
              <c:pt idx="1140">
                <c:v>3.2683330000000002</c:v>
              </c:pt>
              <c:pt idx="1141">
                <c:v>3.2233329999999998</c:v>
              </c:pt>
              <c:pt idx="1142">
                <c:v>2.8849999999999998</c:v>
              </c:pt>
              <c:pt idx="1143">
                <c:v>3.08</c:v>
              </c:pt>
              <c:pt idx="1144">
                <c:v>3.35</c:v>
              </c:pt>
              <c:pt idx="1145">
                <c:v>2.94</c:v>
              </c:pt>
              <c:pt idx="1146">
                <c:v>2.9616660000000001</c:v>
              </c:pt>
              <c:pt idx="1147">
                <c:v>2.6433330000000002</c:v>
              </c:pt>
              <c:pt idx="1148">
                <c:v>2.6916669999999998</c:v>
              </c:pt>
              <c:pt idx="1149">
                <c:v>2.4049999999999998</c:v>
              </c:pt>
              <c:pt idx="1150">
                <c:v>2.326667</c:v>
              </c:pt>
              <c:pt idx="1151">
                <c:v>2.7316669999999998</c:v>
              </c:pt>
              <c:pt idx="1152">
                <c:v>2.65</c:v>
              </c:pt>
              <c:pt idx="1153">
                <c:v>2.9566669999999999</c:v>
              </c:pt>
              <c:pt idx="1154">
                <c:v>3.02</c:v>
              </c:pt>
              <c:pt idx="1155">
                <c:v>2.7933330000000001</c:v>
              </c:pt>
              <c:pt idx="1156">
                <c:v>2.8733330000000001</c:v>
              </c:pt>
              <c:pt idx="1157">
                <c:v>2.5066670000000002</c:v>
              </c:pt>
              <c:pt idx="1158">
                <c:v>2.6516670000000002</c:v>
              </c:pt>
              <c:pt idx="1159">
                <c:v>3.173333</c:v>
              </c:pt>
              <c:pt idx="1160">
                <c:v>1.993333</c:v>
              </c:pt>
              <c:pt idx="1161">
                <c:v>2.8683329999999998</c:v>
              </c:pt>
              <c:pt idx="1162">
                <c:v>2.6233330000000001</c:v>
              </c:pt>
              <c:pt idx="1163">
                <c:v>2.6866660000000002</c:v>
              </c:pt>
              <c:pt idx="1164">
                <c:v>2.5649999999999999</c:v>
              </c:pt>
              <c:pt idx="1165">
                <c:v>2.0950000000000002</c:v>
              </c:pt>
              <c:pt idx="1166">
                <c:v>2.44</c:v>
              </c:pt>
              <c:pt idx="1167">
                <c:v>2.29</c:v>
              </c:pt>
              <c:pt idx="1168">
                <c:v>2.93</c:v>
              </c:pt>
              <c:pt idx="1169">
                <c:v>2.3366669999999998</c:v>
              </c:pt>
              <c:pt idx="1170">
                <c:v>2.65</c:v>
              </c:pt>
              <c:pt idx="1171">
                <c:v>2.5299999999999998</c:v>
              </c:pt>
              <c:pt idx="1172">
                <c:v>2.128333</c:v>
              </c:pt>
              <c:pt idx="1173">
                <c:v>2.4816669999999998</c:v>
              </c:pt>
              <c:pt idx="1174">
                <c:v>2.8166669999999998</c:v>
              </c:pt>
              <c:pt idx="1175">
                <c:v>2.4916670000000001</c:v>
              </c:pt>
              <c:pt idx="1176">
                <c:v>2.503333</c:v>
              </c:pt>
              <c:pt idx="1177">
                <c:v>2.173333</c:v>
              </c:pt>
              <c:pt idx="1178">
                <c:v>2.233333</c:v>
              </c:pt>
              <c:pt idx="1179">
                <c:v>2.5933329999999999</c:v>
              </c:pt>
              <c:pt idx="1180">
                <c:v>2.463333</c:v>
              </c:pt>
              <c:pt idx="1181">
                <c:v>3.15</c:v>
              </c:pt>
              <c:pt idx="1182">
                <c:v>2.8316669999999999</c:v>
              </c:pt>
              <c:pt idx="1183">
                <c:v>3.4</c:v>
              </c:pt>
              <c:pt idx="1184">
                <c:v>3.2433329999999998</c:v>
              </c:pt>
              <c:pt idx="1185">
                <c:v>2.2633329999999998</c:v>
              </c:pt>
              <c:pt idx="1186">
                <c:v>2.61</c:v>
              </c:pt>
              <c:pt idx="1187">
                <c:v>2.4383330000000001</c:v>
              </c:pt>
              <c:pt idx="1188">
                <c:v>2.2933330000000001</c:v>
              </c:pt>
              <c:pt idx="1189">
                <c:v>2.56</c:v>
              </c:pt>
              <c:pt idx="1190">
                <c:v>2.3733330000000001</c:v>
              </c:pt>
              <c:pt idx="1191">
                <c:v>2.5616669999999999</c:v>
              </c:pt>
              <c:pt idx="1192">
                <c:v>1.9950000000000001</c:v>
              </c:pt>
              <c:pt idx="1193">
                <c:v>2.088333</c:v>
              </c:pt>
              <c:pt idx="1194">
                <c:v>2.3683329999999998</c:v>
              </c:pt>
              <c:pt idx="1195">
                <c:v>2.77</c:v>
              </c:pt>
              <c:pt idx="1196">
                <c:v>2.1983329999999999</c:v>
              </c:pt>
              <c:pt idx="1197">
                <c:v>2.6066669999999998</c:v>
              </c:pt>
              <c:pt idx="1198">
                <c:v>2.338333</c:v>
              </c:pt>
              <c:pt idx="1199">
                <c:v>2.1949999999999998</c:v>
              </c:pt>
              <c:pt idx="1200">
                <c:v>2.1833330000000002</c:v>
              </c:pt>
              <c:pt idx="1201">
                <c:v>2.2116669999999998</c:v>
              </c:pt>
              <c:pt idx="1202">
                <c:v>2.3316669999999999</c:v>
              </c:pt>
              <c:pt idx="1203">
                <c:v>2.0783330000000002</c:v>
              </c:pt>
              <c:pt idx="1204">
                <c:v>2.068333</c:v>
              </c:pt>
              <c:pt idx="1205">
                <c:v>2.273333</c:v>
              </c:pt>
              <c:pt idx="1206">
                <c:v>1.961667</c:v>
              </c:pt>
              <c:pt idx="1207">
                <c:v>2.0783330000000002</c:v>
              </c:pt>
              <c:pt idx="1208">
                <c:v>2.1166670000000001</c:v>
              </c:pt>
              <c:pt idx="1209">
                <c:v>2.0499999999999998</c:v>
              </c:pt>
              <c:pt idx="1210">
                <c:v>1.92</c:v>
              </c:pt>
              <c:pt idx="1211">
                <c:v>2.1383329999999998</c:v>
              </c:pt>
              <c:pt idx="1212">
                <c:v>2.08</c:v>
              </c:pt>
              <c:pt idx="1213">
                <c:v>1.911667</c:v>
              </c:pt>
              <c:pt idx="1214">
                <c:v>1.673333</c:v>
              </c:pt>
              <c:pt idx="1215">
                <c:v>1.6566669999999999</c:v>
              </c:pt>
              <c:pt idx="1216">
                <c:v>1.81</c:v>
              </c:pt>
              <c:pt idx="1217">
                <c:v>1.7250000000000001</c:v>
              </c:pt>
              <c:pt idx="1218">
                <c:v>1.4783329999999999</c:v>
              </c:pt>
              <c:pt idx="1219">
                <c:v>1.548333</c:v>
              </c:pt>
              <c:pt idx="1220">
                <c:v>1.67</c:v>
              </c:pt>
              <c:pt idx="1221">
                <c:v>1.578333</c:v>
              </c:pt>
              <c:pt idx="1222">
                <c:v>1.5083329999999999</c:v>
              </c:pt>
              <c:pt idx="1223">
                <c:v>1.7316670000000001</c:v>
              </c:pt>
              <c:pt idx="1224">
                <c:v>1.7316670000000001</c:v>
              </c:pt>
              <c:pt idx="1225">
                <c:v>1.788333</c:v>
              </c:pt>
              <c:pt idx="1226">
                <c:v>1.7350000000000001</c:v>
              </c:pt>
              <c:pt idx="1227">
                <c:v>1.711667</c:v>
              </c:pt>
              <c:pt idx="1228">
                <c:v>1.7166669999999999</c:v>
              </c:pt>
              <c:pt idx="1229">
                <c:v>1.72</c:v>
              </c:pt>
              <c:pt idx="1230">
                <c:v>1.871667</c:v>
              </c:pt>
              <c:pt idx="1231">
                <c:v>1.56</c:v>
              </c:pt>
              <c:pt idx="1232">
                <c:v>1.7166669999999999</c:v>
              </c:pt>
              <c:pt idx="1233">
                <c:v>1.88</c:v>
              </c:pt>
              <c:pt idx="1234">
                <c:v>1.736667</c:v>
              </c:pt>
              <c:pt idx="1235">
                <c:v>1.76</c:v>
              </c:pt>
              <c:pt idx="1236">
                <c:v>1.451667</c:v>
              </c:pt>
              <c:pt idx="1237">
                <c:v>1.661667</c:v>
              </c:pt>
              <c:pt idx="1238">
                <c:v>1.6366670000000001</c:v>
              </c:pt>
              <c:pt idx="1239">
                <c:v>1.5516669999999999</c:v>
              </c:pt>
              <c:pt idx="1240">
                <c:v>1.5449999999999999</c:v>
              </c:pt>
              <c:pt idx="1241">
                <c:v>1.4083330000000001</c:v>
              </c:pt>
              <c:pt idx="1242">
                <c:v>1.506667</c:v>
              </c:pt>
              <c:pt idx="1243">
                <c:v>1.39</c:v>
              </c:pt>
              <c:pt idx="1244">
                <c:v>1.078333</c:v>
              </c:pt>
              <c:pt idx="1245">
                <c:v>1.1683330000000001</c:v>
              </c:pt>
              <c:pt idx="1246">
                <c:v>1.39</c:v>
              </c:pt>
              <c:pt idx="1247">
                <c:v>1.34</c:v>
              </c:pt>
              <c:pt idx="1248">
                <c:v>1.2949999999999999</c:v>
              </c:pt>
              <c:pt idx="1249">
                <c:v>1.4083330000000001</c:v>
              </c:pt>
              <c:pt idx="1250">
                <c:v>1.3666670000000001</c:v>
              </c:pt>
              <c:pt idx="1251">
                <c:v>1.4650000000000001</c:v>
              </c:pt>
              <c:pt idx="1252">
                <c:v>1.5516669999999999</c:v>
              </c:pt>
              <c:pt idx="1253">
                <c:v>1.3216669999999999</c:v>
              </c:pt>
              <c:pt idx="1254">
                <c:v>1.433333</c:v>
              </c:pt>
              <c:pt idx="1255">
                <c:v>1.4283330000000001</c:v>
              </c:pt>
              <c:pt idx="1256">
                <c:v>1.388333</c:v>
              </c:pt>
              <c:pt idx="1257">
                <c:v>1.2683329999999999</c:v>
              </c:pt>
              <c:pt idx="1258">
                <c:v>1.246667</c:v>
              </c:pt>
              <c:pt idx="1259">
                <c:v>1.2683329999999999</c:v>
              </c:pt>
              <c:pt idx="1260">
                <c:v>1.381667</c:v>
              </c:pt>
              <c:pt idx="1261">
                <c:v>1.3633329999999999</c:v>
              </c:pt>
              <c:pt idx="1262">
                <c:v>1.463333</c:v>
              </c:pt>
              <c:pt idx="1263">
                <c:v>1.453333</c:v>
              </c:pt>
              <c:pt idx="1264">
                <c:v>1.48</c:v>
              </c:pt>
              <c:pt idx="1265">
                <c:v>1.56</c:v>
              </c:pt>
              <c:pt idx="1266">
                <c:v>1.526667</c:v>
              </c:pt>
              <c:pt idx="1267">
                <c:v>1.7050000000000001</c:v>
              </c:pt>
              <c:pt idx="1268">
                <c:v>1.681667</c:v>
              </c:pt>
              <c:pt idx="1269">
                <c:v>1.8866670000000001</c:v>
              </c:pt>
              <c:pt idx="1270">
                <c:v>1.601667</c:v>
              </c:pt>
              <c:pt idx="1271">
                <c:v>1.7516670000000001</c:v>
              </c:pt>
              <c:pt idx="1272">
                <c:v>1.5516669999999999</c:v>
              </c:pt>
              <c:pt idx="1273">
                <c:v>1.5416669999999999</c:v>
              </c:pt>
              <c:pt idx="1274">
                <c:v>1.451667</c:v>
              </c:pt>
              <c:pt idx="1275">
                <c:v>1.298333</c:v>
              </c:pt>
              <c:pt idx="1276">
                <c:v>1.401667</c:v>
              </c:pt>
              <c:pt idx="1277">
                <c:v>1.4066669999999999</c:v>
              </c:pt>
              <c:pt idx="1278">
                <c:v>1.318333</c:v>
              </c:pt>
              <c:pt idx="1279">
                <c:v>1.6266670000000001</c:v>
              </c:pt>
              <c:pt idx="1280">
                <c:v>1.575</c:v>
              </c:pt>
              <c:pt idx="1281">
                <c:v>1.9350000000000001</c:v>
              </c:pt>
              <c:pt idx="1282">
                <c:v>1.83</c:v>
              </c:pt>
              <c:pt idx="1283">
                <c:v>2.0550000000000002</c:v>
              </c:pt>
              <c:pt idx="1284">
                <c:v>1.69</c:v>
              </c:pt>
              <c:pt idx="1285">
                <c:v>1.905</c:v>
              </c:pt>
              <c:pt idx="1286">
                <c:v>2.1833330000000002</c:v>
              </c:pt>
              <c:pt idx="1287">
                <c:v>1.8333330000000001</c:v>
              </c:pt>
              <c:pt idx="1288">
                <c:v>1.9483330000000001</c:v>
              </c:pt>
              <c:pt idx="1289">
                <c:v>2.2233329999999998</c:v>
              </c:pt>
              <c:pt idx="1290">
                <c:v>2.3766669999999999</c:v>
              </c:pt>
              <c:pt idx="1291">
                <c:v>2.3233329999999999</c:v>
              </c:pt>
              <c:pt idx="1292">
                <c:v>2.56</c:v>
              </c:pt>
              <c:pt idx="1293">
                <c:v>2.3733330000000001</c:v>
              </c:pt>
              <c:pt idx="1294">
                <c:v>2.2833329999999998</c:v>
              </c:pt>
              <c:pt idx="1295">
                <c:v>2.6266669999999999</c:v>
              </c:pt>
              <c:pt idx="1296">
                <c:v>2.6349999999999998</c:v>
              </c:pt>
              <c:pt idx="1297">
                <c:v>2.443333</c:v>
              </c:pt>
              <c:pt idx="1298">
                <c:v>2.801666</c:v>
              </c:pt>
              <c:pt idx="1299">
                <c:v>2.466666</c:v>
              </c:pt>
              <c:pt idx="1300">
                <c:v>2.341666</c:v>
              </c:pt>
              <c:pt idx="1301">
                <c:v>2.2433329999999998</c:v>
              </c:pt>
              <c:pt idx="1302">
                <c:v>2.121667</c:v>
              </c:pt>
              <c:pt idx="1303">
                <c:v>2.7066669999999999</c:v>
              </c:pt>
              <c:pt idx="1304">
                <c:v>2.4750000000000001</c:v>
              </c:pt>
              <c:pt idx="1305">
                <c:v>2.21</c:v>
              </c:pt>
              <c:pt idx="1306">
                <c:v>2.8283330000000002</c:v>
              </c:pt>
              <c:pt idx="1307">
                <c:v>2.91</c:v>
              </c:pt>
              <c:pt idx="1308">
                <c:v>2.1983329999999999</c:v>
              </c:pt>
              <c:pt idx="1309">
                <c:v>2.5533329999999999</c:v>
              </c:pt>
              <c:pt idx="1310">
                <c:v>2.923333</c:v>
              </c:pt>
              <c:pt idx="1311">
                <c:v>2.5449999999999999</c:v>
              </c:pt>
              <c:pt idx="1312">
                <c:v>2.5950000000000002</c:v>
              </c:pt>
              <c:pt idx="1313">
                <c:v>2.9583330000000001</c:v>
              </c:pt>
              <c:pt idx="1314">
                <c:v>2.8466659999999999</c:v>
              </c:pt>
              <c:pt idx="1315">
                <c:v>3.6316660000000001</c:v>
              </c:pt>
              <c:pt idx="1316">
                <c:v>3.24</c:v>
              </c:pt>
              <c:pt idx="1317">
                <c:v>3.1666669999999999</c:v>
              </c:pt>
              <c:pt idx="1318">
                <c:v>3.233333</c:v>
              </c:pt>
              <c:pt idx="1319">
                <c:v>3.4483329999999999</c:v>
              </c:pt>
              <c:pt idx="1320">
                <c:v>3.588333</c:v>
              </c:pt>
              <c:pt idx="1321">
                <c:v>3.3849999999999998</c:v>
              </c:pt>
              <c:pt idx="1322">
                <c:v>2.3833329999999999</c:v>
              </c:pt>
              <c:pt idx="1323">
                <c:v>2.8316669999999999</c:v>
              </c:pt>
              <c:pt idx="1324">
                <c:v>3.1916669999999998</c:v>
              </c:pt>
              <c:pt idx="1325">
                <c:v>3.41</c:v>
              </c:pt>
              <c:pt idx="1326">
                <c:v>3.4516659999999999</c:v>
              </c:pt>
              <c:pt idx="1327">
                <c:v>3.3516659999999998</c:v>
              </c:pt>
              <c:pt idx="1328">
                <c:v>3.761666</c:v>
              </c:pt>
              <c:pt idx="1329">
                <c:v>3.2083330000000001</c:v>
              </c:pt>
              <c:pt idx="1330">
                <c:v>3.1433330000000002</c:v>
              </c:pt>
              <c:pt idx="1331">
                <c:v>3.2483330000000001</c:v>
              </c:pt>
              <c:pt idx="1332">
                <c:v>3.5750000000000002</c:v>
              </c:pt>
              <c:pt idx="1333">
                <c:v>2.753333</c:v>
              </c:pt>
              <c:pt idx="1334">
                <c:v>3.588333</c:v>
              </c:pt>
              <c:pt idx="1335">
                <c:v>3.2349999999999999</c:v>
              </c:pt>
              <c:pt idx="1336">
                <c:v>3.145</c:v>
              </c:pt>
              <c:pt idx="1337">
                <c:v>3.1466669999999999</c:v>
              </c:pt>
              <c:pt idx="1338">
                <c:v>2.54</c:v>
              </c:pt>
              <c:pt idx="1339">
                <c:v>3.07</c:v>
              </c:pt>
              <c:pt idx="1340">
                <c:v>3.3083330000000002</c:v>
              </c:pt>
              <c:pt idx="1341">
                <c:v>3.1033330000000001</c:v>
              </c:pt>
              <c:pt idx="1342">
                <c:v>3.63</c:v>
              </c:pt>
              <c:pt idx="1343">
                <c:v>2.7766670000000002</c:v>
              </c:pt>
              <c:pt idx="1344">
                <c:v>3.088333</c:v>
              </c:pt>
              <c:pt idx="1345">
                <c:v>3.173333</c:v>
              </c:pt>
              <c:pt idx="1346">
                <c:v>2.818333</c:v>
              </c:pt>
              <c:pt idx="1347">
                <c:v>3.2233329999999998</c:v>
              </c:pt>
              <c:pt idx="1348">
                <c:v>2.7033330000000002</c:v>
              </c:pt>
              <c:pt idx="1349">
                <c:v>3.0333329999999998</c:v>
              </c:pt>
              <c:pt idx="1350">
                <c:v>2.8250000000000002</c:v>
              </c:pt>
              <c:pt idx="1351">
                <c:v>3.661667</c:v>
              </c:pt>
              <c:pt idx="1352">
                <c:v>4.2533329999999996</c:v>
              </c:pt>
              <c:pt idx="1353">
                <c:v>3.5866660000000001</c:v>
              </c:pt>
              <c:pt idx="1354">
                <c:v>3.4616660000000001</c:v>
              </c:pt>
              <c:pt idx="1355">
                <c:v>3.0416669999999999</c:v>
              </c:pt>
              <c:pt idx="1356">
                <c:v>3.1066669999999998</c:v>
              </c:pt>
              <c:pt idx="1357">
                <c:v>3.2966660000000001</c:v>
              </c:pt>
              <c:pt idx="1358">
                <c:v>3.5216660000000002</c:v>
              </c:pt>
              <c:pt idx="1359">
                <c:v>3.3466670000000001</c:v>
              </c:pt>
              <c:pt idx="1360">
                <c:v>3.003333</c:v>
              </c:pt>
              <c:pt idx="1361">
                <c:v>3.5649999999999999</c:v>
              </c:pt>
              <c:pt idx="1362">
                <c:v>3.62</c:v>
              </c:pt>
              <c:pt idx="1363">
                <c:v>3.2616670000000001</c:v>
              </c:pt>
              <c:pt idx="1364">
                <c:v>3.4083329999999998</c:v>
              </c:pt>
              <c:pt idx="1365">
                <c:v>3.17</c:v>
              </c:pt>
              <c:pt idx="1366">
                <c:v>3.8533330000000001</c:v>
              </c:pt>
              <c:pt idx="1367">
                <c:v>3.7716660000000002</c:v>
              </c:pt>
              <c:pt idx="1368">
                <c:v>3.4016660000000001</c:v>
              </c:pt>
              <c:pt idx="1369">
                <c:v>3.0283329999999999</c:v>
              </c:pt>
              <c:pt idx="1370">
                <c:v>3.02</c:v>
              </c:pt>
              <c:pt idx="1371">
                <c:v>3.7</c:v>
              </c:pt>
              <c:pt idx="1372">
                <c:v>3.83</c:v>
              </c:pt>
              <c:pt idx="1373">
                <c:v>3.673333</c:v>
              </c:pt>
              <c:pt idx="1374">
                <c:v>3.35</c:v>
              </c:pt>
              <c:pt idx="1375">
                <c:v>3.2949999999999999</c:v>
              </c:pt>
              <c:pt idx="1376">
                <c:v>3.3666659999999999</c:v>
              </c:pt>
              <c:pt idx="1377">
                <c:v>3.79</c:v>
              </c:pt>
              <c:pt idx="1378">
                <c:v>3.4766659999999998</c:v>
              </c:pt>
              <c:pt idx="1379">
                <c:v>3.801666</c:v>
              </c:pt>
              <c:pt idx="1380">
                <c:v>3.371667</c:v>
              </c:pt>
              <c:pt idx="1381">
                <c:v>3.6183329999999998</c:v>
              </c:pt>
              <c:pt idx="1382">
                <c:v>3.92</c:v>
              </c:pt>
              <c:pt idx="1383">
                <c:v>3.523333</c:v>
              </c:pt>
              <c:pt idx="1384">
                <c:v>4.4933329999999998</c:v>
              </c:pt>
              <c:pt idx="1385">
                <c:v>3.665</c:v>
              </c:pt>
              <c:pt idx="1386">
                <c:v>3.4016670000000002</c:v>
              </c:pt>
              <c:pt idx="1387">
                <c:v>4.54</c:v>
              </c:pt>
              <c:pt idx="1388">
                <c:v>3.878333</c:v>
              </c:pt>
              <c:pt idx="1389">
                <c:v>3.681667</c:v>
              </c:pt>
              <c:pt idx="1390">
                <c:v>2.7783329999999999</c:v>
              </c:pt>
              <c:pt idx="1391">
                <c:v>3.38</c:v>
              </c:pt>
              <c:pt idx="1392">
                <c:v>3.8533330000000001</c:v>
              </c:pt>
              <c:pt idx="1393">
                <c:v>3.5150000000000001</c:v>
              </c:pt>
              <c:pt idx="1394">
                <c:v>3.35</c:v>
              </c:pt>
              <c:pt idx="1395">
                <c:v>2.693333</c:v>
              </c:pt>
              <c:pt idx="1396">
                <c:v>2.8683329999999998</c:v>
              </c:pt>
              <c:pt idx="1397">
                <c:v>2.5933329999999999</c:v>
              </c:pt>
              <c:pt idx="1398">
                <c:v>2.2149999999999999</c:v>
              </c:pt>
              <c:pt idx="1399">
                <c:v>3.128333</c:v>
              </c:pt>
              <c:pt idx="1400">
                <c:v>2.3366669999999998</c:v>
              </c:pt>
              <c:pt idx="1401">
                <c:v>3.7050000000000001</c:v>
              </c:pt>
              <c:pt idx="1402">
                <c:v>3.2883330000000002</c:v>
              </c:pt>
              <c:pt idx="1403">
                <c:v>3.3666659999999999</c:v>
              </c:pt>
              <c:pt idx="1404">
                <c:v>2.986666</c:v>
              </c:pt>
              <c:pt idx="1405">
                <c:v>2.6683330000000001</c:v>
              </c:pt>
              <c:pt idx="1406">
                <c:v>4.22</c:v>
              </c:pt>
              <c:pt idx="1407">
                <c:v>4.4533329999999998</c:v>
              </c:pt>
              <c:pt idx="1408">
                <c:v>4.4216670000000002</c:v>
              </c:pt>
              <c:pt idx="1409">
                <c:v>3.855</c:v>
              </c:pt>
              <c:pt idx="1410">
                <c:v>3.36</c:v>
              </c:pt>
              <c:pt idx="1411">
                <c:v>2.9649999999999999</c:v>
              </c:pt>
              <c:pt idx="1412">
                <c:v>3.8250000000000002</c:v>
              </c:pt>
              <c:pt idx="1413">
                <c:v>3.0566659999999999</c:v>
              </c:pt>
              <c:pt idx="1414">
                <c:v>3.5383330000000002</c:v>
              </c:pt>
              <c:pt idx="1415">
                <c:v>3.286667</c:v>
              </c:pt>
              <c:pt idx="1416">
                <c:v>3.4566669999999999</c:v>
              </c:pt>
              <c:pt idx="1417">
                <c:v>3.196666</c:v>
              </c:pt>
              <c:pt idx="1418">
                <c:v>2.665</c:v>
              </c:pt>
              <c:pt idx="1419">
                <c:v>3.6166659999999999</c:v>
              </c:pt>
              <c:pt idx="1420">
                <c:v>3.4133330000000002</c:v>
              </c:pt>
              <c:pt idx="1421">
                <c:v>3.23</c:v>
              </c:pt>
              <c:pt idx="1422">
                <c:v>3.443333</c:v>
              </c:pt>
              <c:pt idx="1423">
                <c:v>3.148333</c:v>
              </c:pt>
              <c:pt idx="1424">
                <c:v>3.0249999999999999</c:v>
              </c:pt>
              <c:pt idx="1425">
                <c:v>2.5950000000000002</c:v>
              </c:pt>
              <c:pt idx="1426">
                <c:v>3.036667</c:v>
              </c:pt>
              <c:pt idx="1427">
                <c:v>3.3250000000000002</c:v>
              </c:pt>
              <c:pt idx="1428">
                <c:v>2.9583330000000001</c:v>
              </c:pt>
              <c:pt idx="1429">
                <c:v>3.423333</c:v>
              </c:pt>
              <c:pt idx="1430">
                <c:v>3.4616660000000001</c:v>
              </c:pt>
              <c:pt idx="1431">
                <c:v>3.0649999999999999</c:v>
              </c:pt>
              <c:pt idx="1432">
                <c:v>3.83</c:v>
              </c:pt>
              <c:pt idx="1433">
                <c:v>3.568333</c:v>
              </c:pt>
              <c:pt idx="1434">
                <c:v>4.2716659999999997</c:v>
              </c:pt>
              <c:pt idx="1435">
                <c:v>3.2883330000000002</c:v>
              </c:pt>
              <c:pt idx="1436">
                <c:v>4.0583330000000002</c:v>
              </c:pt>
              <c:pt idx="1437">
                <c:v>4.07</c:v>
              </c:pt>
              <c:pt idx="1438">
                <c:v>3.2549999999999999</c:v>
              </c:pt>
              <c:pt idx="1439">
                <c:v>3.7583329999999999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4-0587-4D2D-AD37-15C310B27EC5}"/>
            </c:ext>
          </c:extLst>
        </c:ser>
        <c:ser>
          <c:idx val="5"/>
          <c:order val="5"/>
          <c:tx>
            <c:v>3.905231603 4.246666 IS19 WMS Wind Speed(m/s)</c:v>
          </c:tx>
          <c:spPr>
            <a:ln w="28575" cap="rnd">
              <a:solidFill>
                <a:schemeClr val="accent6"/>
              </a:solidFill>
              <a:round/>
            </a:ln>
            <a:effectLst/>
          </c:spPr>
          <c:marker>
            <c:symbol val="none"/>
          </c:marker>
          <c:val>
            <c:numLit>
              <c:formatCode>General</c:formatCode>
              <c:ptCount val="1687"/>
              <c:pt idx="0">
                <c:v>4.1950000000000003</c:v>
              </c:pt>
              <c:pt idx="1">
                <c:v>4.3</c:v>
              </c:pt>
              <c:pt idx="2">
                <c:v>3.7916660000000002</c:v>
              </c:pt>
              <c:pt idx="3">
                <c:v>3.105</c:v>
              </c:pt>
              <c:pt idx="4">
                <c:v>3.105</c:v>
              </c:pt>
              <c:pt idx="5">
                <c:v>3.165</c:v>
              </c:pt>
              <c:pt idx="6">
                <c:v>3.9049999999999998</c:v>
              </c:pt>
              <c:pt idx="7">
                <c:v>3.4649999999999999</c:v>
              </c:pt>
              <c:pt idx="8">
                <c:v>3.338333</c:v>
              </c:pt>
              <c:pt idx="9">
                <c:v>3.6</c:v>
              </c:pt>
              <c:pt idx="10">
                <c:v>4.165</c:v>
              </c:pt>
              <c:pt idx="11">
                <c:v>3.9183330000000001</c:v>
              </c:pt>
              <c:pt idx="12">
                <c:v>3.86</c:v>
              </c:pt>
              <c:pt idx="13">
                <c:v>3.45</c:v>
              </c:pt>
              <c:pt idx="14">
                <c:v>3.6916669999999998</c:v>
              </c:pt>
              <c:pt idx="15">
                <c:v>3.1183329999999998</c:v>
              </c:pt>
              <c:pt idx="16">
                <c:v>3.8050000000000002</c:v>
              </c:pt>
              <c:pt idx="17">
                <c:v>3.6183329999999998</c:v>
              </c:pt>
              <c:pt idx="18">
                <c:v>3.6883330000000001</c:v>
              </c:pt>
              <c:pt idx="19">
                <c:v>3.023333</c:v>
              </c:pt>
              <c:pt idx="20">
                <c:v>3.358333</c:v>
              </c:pt>
              <c:pt idx="21">
                <c:v>2.67</c:v>
              </c:pt>
              <c:pt idx="22">
                <c:v>2.5299999999999998</c:v>
              </c:pt>
              <c:pt idx="23">
                <c:v>2.713333</c:v>
              </c:pt>
              <c:pt idx="24">
                <c:v>2.5950000000000002</c:v>
              </c:pt>
              <c:pt idx="25">
                <c:v>3.463333</c:v>
              </c:pt>
              <c:pt idx="26">
                <c:v>3.21</c:v>
              </c:pt>
              <c:pt idx="27">
                <c:v>3.361666</c:v>
              </c:pt>
              <c:pt idx="28">
                <c:v>3.2716669999999999</c:v>
              </c:pt>
              <c:pt idx="29">
                <c:v>2.8066659999999999</c:v>
              </c:pt>
              <c:pt idx="30">
                <c:v>3.496667</c:v>
              </c:pt>
              <c:pt idx="31">
                <c:v>3.0183330000000002</c:v>
              </c:pt>
              <c:pt idx="32">
                <c:v>3.1683330000000001</c:v>
              </c:pt>
              <c:pt idx="33">
                <c:v>2.4883329999999999</c:v>
              </c:pt>
              <c:pt idx="34">
                <c:v>2.2216670000000001</c:v>
              </c:pt>
              <c:pt idx="35">
                <c:v>2.676666</c:v>
              </c:pt>
              <c:pt idx="36">
                <c:v>2.391667</c:v>
              </c:pt>
              <c:pt idx="37">
                <c:v>2.94</c:v>
              </c:pt>
              <c:pt idx="38">
                <c:v>2.59</c:v>
              </c:pt>
              <c:pt idx="39">
                <c:v>3.01</c:v>
              </c:pt>
              <c:pt idx="40">
                <c:v>2.5150000000000001</c:v>
              </c:pt>
              <c:pt idx="41">
                <c:v>3.14</c:v>
              </c:pt>
              <c:pt idx="42">
                <c:v>2.7516660000000002</c:v>
              </c:pt>
              <c:pt idx="43">
                <c:v>3.0150000000000001</c:v>
              </c:pt>
              <c:pt idx="44">
                <c:v>3.7283330000000001</c:v>
              </c:pt>
              <c:pt idx="45">
                <c:v>3.2949999999999999</c:v>
              </c:pt>
              <c:pt idx="46">
                <c:v>3.3450000000000002</c:v>
              </c:pt>
              <c:pt idx="47">
                <c:v>3.84</c:v>
              </c:pt>
              <c:pt idx="48">
                <c:v>3.5666669999999998</c:v>
              </c:pt>
              <c:pt idx="49">
                <c:v>3.8883329999999998</c:v>
              </c:pt>
              <c:pt idx="50">
                <c:v>3.4533330000000002</c:v>
              </c:pt>
              <c:pt idx="51">
                <c:v>3.7416659999999999</c:v>
              </c:pt>
              <c:pt idx="52">
                <c:v>2.9550000000000001</c:v>
              </c:pt>
              <c:pt idx="53">
                <c:v>3.08</c:v>
              </c:pt>
              <c:pt idx="54">
                <c:v>3.216666</c:v>
              </c:pt>
              <c:pt idx="55">
                <c:v>3.0333329999999998</c:v>
              </c:pt>
              <c:pt idx="56">
                <c:v>4.0533330000000003</c:v>
              </c:pt>
              <c:pt idx="57">
                <c:v>3.6866660000000002</c:v>
              </c:pt>
              <c:pt idx="58">
                <c:v>4.0033329999999996</c:v>
              </c:pt>
              <c:pt idx="59">
                <c:v>3.7366670000000002</c:v>
              </c:pt>
              <c:pt idx="60">
                <c:v>3.3933330000000002</c:v>
              </c:pt>
              <c:pt idx="61">
                <c:v>3.45</c:v>
              </c:pt>
              <c:pt idx="62">
                <c:v>3.6383329999999998</c:v>
              </c:pt>
              <c:pt idx="63">
                <c:v>3.0983329999999998</c:v>
              </c:pt>
              <c:pt idx="64">
                <c:v>3.5416669999999999</c:v>
              </c:pt>
              <c:pt idx="65">
                <c:v>3.65</c:v>
              </c:pt>
              <c:pt idx="66">
                <c:v>2.9733329999999998</c:v>
              </c:pt>
              <c:pt idx="67">
                <c:v>2.9366660000000002</c:v>
              </c:pt>
              <c:pt idx="68">
                <c:v>2.476667</c:v>
              </c:pt>
              <c:pt idx="69">
                <c:v>3.1416659999999998</c:v>
              </c:pt>
              <c:pt idx="70">
                <c:v>2.8333330000000001</c:v>
              </c:pt>
              <c:pt idx="71">
                <c:v>2.8233329999999999</c:v>
              </c:pt>
              <c:pt idx="72">
                <c:v>2.8250000000000002</c:v>
              </c:pt>
              <c:pt idx="73">
                <c:v>2.7933330000000001</c:v>
              </c:pt>
              <c:pt idx="74">
                <c:v>2.64</c:v>
              </c:pt>
              <c:pt idx="75">
                <c:v>2.4333330000000002</c:v>
              </c:pt>
              <c:pt idx="76">
                <c:v>2.871667</c:v>
              </c:pt>
              <c:pt idx="77">
                <c:v>3.4916659999999999</c:v>
              </c:pt>
              <c:pt idx="78">
                <c:v>3.3316669999999999</c:v>
              </c:pt>
              <c:pt idx="79">
                <c:v>3.3133330000000001</c:v>
              </c:pt>
              <c:pt idx="80">
                <c:v>3.4649999999999999</c:v>
              </c:pt>
              <c:pt idx="81">
                <c:v>3.3816660000000001</c:v>
              </c:pt>
              <c:pt idx="82">
                <c:v>3.32</c:v>
              </c:pt>
              <c:pt idx="83">
                <c:v>3.3816660000000001</c:v>
              </c:pt>
              <c:pt idx="84">
                <c:v>3.46</c:v>
              </c:pt>
              <c:pt idx="85">
                <c:v>3.3250000000000002</c:v>
              </c:pt>
              <c:pt idx="86">
                <c:v>2.4733329999999998</c:v>
              </c:pt>
              <c:pt idx="87">
                <c:v>2.6566670000000001</c:v>
              </c:pt>
              <c:pt idx="88">
                <c:v>3.286667</c:v>
              </c:pt>
              <c:pt idx="89">
                <c:v>2.91</c:v>
              </c:pt>
              <c:pt idx="90">
                <c:v>3.44</c:v>
              </c:pt>
              <c:pt idx="91">
                <c:v>3.531666</c:v>
              </c:pt>
              <c:pt idx="92">
                <c:v>3.4983330000000001</c:v>
              </c:pt>
              <c:pt idx="93">
                <c:v>3.0933329999999999</c:v>
              </c:pt>
              <c:pt idx="94">
                <c:v>2.926666</c:v>
              </c:pt>
              <c:pt idx="95">
                <c:v>2.88</c:v>
              </c:pt>
              <c:pt idx="96">
                <c:v>3.4183330000000001</c:v>
              </c:pt>
              <c:pt idx="97">
                <c:v>3.4249999999999998</c:v>
              </c:pt>
              <c:pt idx="98">
                <c:v>3.1466669999999999</c:v>
              </c:pt>
              <c:pt idx="99">
                <c:v>3.08</c:v>
              </c:pt>
              <c:pt idx="100">
                <c:v>3.5633330000000001</c:v>
              </c:pt>
              <c:pt idx="101">
                <c:v>3.3616670000000002</c:v>
              </c:pt>
              <c:pt idx="102">
                <c:v>3.3233329999999999</c:v>
              </c:pt>
              <c:pt idx="103">
                <c:v>3.3966660000000002</c:v>
              </c:pt>
              <c:pt idx="104">
                <c:v>3.4649999999999999</c:v>
              </c:pt>
              <c:pt idx="105">
                <c:v>3.253333</c:v>
              </c:pt>
              <c:pt idx="106">
                <c:v>3.28</c:v>
              </c:pt>
              <c:pt idx="107">
                <c:v>2.983333</c:v>
              </c:pt>
              <c:pt idx="108">
                <c:v>2.6133329999999999</c:v>
              </c:pt>
              <c:pt idx="109">
                <c:v>3.0983329999999998</c:v>
              </c:pt>
              <c:pt idx="110">
                <c:v>3.5633330000000001</c:v>
              </c:pt>
              <c:pt idx="111">
                <c:v>3.5266670000000002</c:v>
              </c:pt>
              <c:pt idx="112">
                <c:v>2.8050000000000002</c:v>
              </c:pt>
              <c:pt idx="113">
                <c:v>2.82</c:v>
              </c:pt>
              <c:pt idx="114">
                <c:v>2.3833329999999999</c:v>
              </c:pt>
              <c:pt idx="115">
                <c:v>2.6783329999999999</c:v>
              </c:pt>
              <c:pt idx="116">
                <c:v>3.196666</c:v>
              </c:pt>
              <c:pt idx="117">
                <c:v>2.8166669999999998</c:v>
              </c:pt>
              <c:pt idx="118">
                <c:v>2.9566669999999999</c:v>
              </c:pt>
              <c:pt idx="119">
                <c:v>3.0633330000000001</c:v>
              </c:pt>
              <c:pt idx="120">
                <c:v>3.1233330000000001</c:v>
              </c:pt>
              <c:pt idx="121">
                <c:v>2.65</c:v>
              </c:pt>
              <c:pt idx="122">
                <c:v>3.2966660000000001</c:v>
              </c:pt>
              <c:pt idx="123">
                <c:v>2.548333</c:v>
              </c:pt>
              <c:pt idx="124">
                <c:v>3.0333329999999998</c:v>
              </c:pt>
              <c:pt idx="125">
                <c:v>3.2083330000000001</c:v>
              </c:pt>
              <c:pt idx="126">
                <c:v>3.16</c:v>
              </c:pt>
              <c:pt idx="127">
                <c:v>3.74</c:v>
              </c:pt>
              <c:pt idx="128">
                <c:v>3.568333</c:v>
              </c:pt>
              <c:pt idx="129">
                <c:v>3.4083329999999998</c:v>
              </c:pt>
              <c:pt idx="130">
                <c:v>2.9983330000000001</c:v>
              </c:pt>
              <c:pt idx="131">
                <c:v>3.33</c:v>
              </c:pt>
              <c:pt idx="132">
                <c:v>3.286667</c:v>
              </c:pt>
              <c:pt idx="133">
                <c:v>3.2266659999999998</c:v>
              </c:pt>
              <c:pt idx="134">
                <c:v>3.2633329999999998</c:v>
              </c:pt>
              <c:pt idx="135">
                <c:v>3.4849999999999999</c:v>
              </c:pt>
              <c:pt idx="136">
                <c:v>3.4983330000000001</c:v>
              </c:pt>
              <c:pt idx="137">
                <c:v>3.5583330000000002</c:v>
              </c:pt>
              <c:pt idx="138">
                <c:v>3.713333</c:v>
              </c:pt>
              <c:pt idx="139">
                <c:v>3.0866660000000001</c:v>
              </c:pt>
              <c:pt idx="140">
                <c:v>4.0783329999999998</c:v>
              </c:pt>
              <c:pt idx="141">
                <c:v>3.2116660000000001</c:v>
              </c:pt>
              <c:pt idx="142">
                <c:v>2.15</c:v>
              </c:pt>
              <c:pt idx="143">
                <c:v>3.6850000000000001</c:v>
              </c:pt>
              <c:pt idx="144">
                <c:v>4.1333330000000004</c:v>
              </c:pt>
              <c:pt idx="145">
                <c:v>3.09</c:v>
              </c:pt>
              <c:pt idx="146">
                <c:v>3.31</c:v>
              </c:pt>
              <c:pt idx="147">
                <c:v>2.78</c:v>
              </c:pt>
              <c:pt idx="148">
                <c:v>2.576667</c:v>
              </c:pt>
              <c:pt idx="149">
                <c:v>3.321666</c:v>
              </c:pt>
              <c:pt idx="150">
                <c:v>2.7116660000000001</c:v>
              </c:pt>
              <c:pt idx="151">
                <c:v>2.996667</c:v>
              </c:pt>
              <c:pt idx="152">
                <c:v>3.14</c:v>
              </c:pt>
              <c:pt idx="153">
                <c:v>3.5183330000000002</c:v>
              </c:pt>
              <c:pt idx="154">
                <c:v>3.761666</c:v>
              </c:pt>
              <c:pt idx="155">
                <c:v>2.6850000000000001</c:v>
              </c:pt>
              <c:pt idx="156">
                <c:v>2.7183329999999999</c:v>
              </c:pt>
              <c:pt idx="157">
                <c:v>2.3816670000000002</c:v>
              </c:pt>
              <c:pt idx="158">
                <c:v>2.5066670000000002</c:v>
              </c:pt>
              <c:pt idx="159">
                <c:v>2.83</c:v>
              </c:pt>
              <c:pt idx="160">
                <c:v>2.4016670000000002</c:v>
              </c:pt>
              <c:pt idx="161">
                <c:v>2.4883329999999999</c:v>
              </c:pt>
              <c:pt idx="162">
                <c:v>2.605</c:v>
              </c:pt>
              <c:pt idx="163">
                <c:v>3.213333</c:v>
              </c:pt>
              <c:pt idx="164">
                <c:v>3.66</c:v>
              </c:pt>
              <c:pt idx="165">
                <c:v>2.7666659999999998</c:v>
              </c:pt>
              <c:pt idx="166">
                <c:v>2.99</c:v>
              </c:pt>
              <c:pt idx="167">
                <c:v>3.7583329999999999</c:v>
              </c:pt>
              <c:pt idx="168">
                <c:v>3.5150000000000001</c:v>
              </c:pt>
              <c:pt idx="169">
                <c:v>4.0199999999999996</c:v>
              </c:pt>
              <c:pt idx="170">
                <c:v>3.5266670000000002</c:v>
              </c:pt>
              <c:pt idx="171">
                <c:v>3.0833330000000001</c:v>
              </c:pt>
              <c:pt idx="172">
                <c:v>2.7383329999999999</c:v>
              </c:pt>
              <c:pt idx="173">
                <c:v>2.2233329999999998</c:v>
              </c:pt>
              <c:pt idx="174">
                <c:v>2.5433330000000001</c:v>
              </c:pt>
              <c:pt idx="175">
                <c:v>1.98</c:v>
              </c:pt>
              <c:pt idx="176">
                <c:v>1.913333</c:v>
              </c:pt>
              <c:pt idx="177">
                <c:v>1.3149999999999999</c:v>
              </c:pt>
              <c:pt idx="178">
                <c:v>1.786667</c:v>
              </c:pt>
              <c:pt idx="179">
                <c:v>2.12</c:v>
              </c:pt>
              <c:pt idx="180">
                <c:v>1.8633329999999999</c:v>
              </c:pt>
              <c:pt idx="181">
                <c:v>1.911667</c:v>
              </c:pt>
              <c:pt idx="182">
                <c:v>1.621667</c:v>
              </c:pt>
              <c:pt idx="183">
                <c:v>1.6066670000000001</c:v>
              </c:pt>
              <c:pt idx="184">
                <c:v>1.67</c:v>
              </c:pt>
              <c:pt idx="185">
                <c:v>1.8333330000000001</c:v>
              </c:pt>
              <c:pt idx="186">
                <c:v>1.7933330000000001</c:v>
              </c:pt>
              <c:pt idx="187">
                <c:v>1.9383330000000001</c:v>
              </c:pt>
              <c:pt idx="188">
                <c:v>1.625</c:v>
              </c:pt>
              <c:pt idx="189">
                <c:v>1.5916669999999999</c:v>
              </c:pt>
              <c:pt idx="190">
                <c:v>2.3966669999999999</c:v>
              </c:pt>
              <c:pt idx="191">
                <c:v>2.0783330000000002</c:v>
              </c:pt>
              <c:pt idx="192">
                <c:v>1.8633329999999999</c:v>
              </c:pt>
              <c:pt idx="193">
                <c:v>2.1183329999999998</c:v>
              </c:pt>
              <c:pt idx="194">
                <c:v>2.161667</c:v>
              </c:pt>
              <c:pt idx="195">
                <c:v>2.17</c:v>
              </c:pt>
              <c:pt idx="196">
                <c:v>2.2883330000000002</c:v>
              </c:pt>
              <c:pt idx="197">
                <c:v>3.0183330000000002</c:v>
              </c:pt>
              <c:pt idx="198">
                <c:v>2.121667</c:v>
              </c:pt>
              <c:pt idx="199">
                <c:v>2.3833329999999999</c:v>
              </c:pt>
              <c:pt idx="200">
                <c:v>2.2450000000000001</c:v>
              </c:pt>
              <c:pt idx="201">
                <c:v>2.2966669999999998</c:v>
              </c:pt>
              <c:pt idx="202">
                <c:v>2.4366669999999999</c:v>
              </c:pt>
              <c:pt idx="203">
                <c:v>3.7</c:v>
              </c:pt>
              <c:pt idx="204">
                <c:v>3.6</c:v>
              </c:pt>
              <c:pt idx="205">
                <c:v>3.66</c:v>
              </c:pt>
              <c:pt idx="206">
                <c:v>3.5350000000000001</c:v>
              </c:pt>
              <c:pt idx="207">
                <c:v>3.1833330000000002</c:v>
              </c:pt>
              <c:pt idx="208">
                <c:v>3.2033330000000002</c:v>
              </c:pt>
              <c:pt idx="209">
                <c:v>2.8033329999999999</c:v>
              </c:pt>
              <c:pt idx="210">
                <c:v>2.8366660000000001</c:v>
              </c:pt>
              <c:pt idx="211">
                <c:v>3.286667</c:v>
              </c:pt>
              <c:pt idx="212">
                <c:v>2.898333</c:v>
              </c:pt>
              <c:pt idx="213">
                <c:v>2.8083330000000002</c:v>
              </c:pt>
              <c:pt idx="214">
                <c:v>2.483333</c:v>
              </c:pt>
              <c:pt idx="215">
                <c:v>2.821666</c:v>
              </c:pt>
              <c:pt idx="216">
                <c:v>3.1666669999999999</c:v>
              </c:pt>
              <c:pt idx="217">
                <c:v>3.145</c:v>
              </c:pt>
              <c:pt idx="218">
                <c:v>2.6583329999999998</c:v>
              </c:pt>
              <c:pt idx="219">
                <c:v>2.4350000000000001</c:v>
              </c:pt>
              <c:pt idx="220">
                <c:v>2.2033330000000002</c:v>
              </c:pt>
              <c:pt idx="221">
                <c:v>2.2283330000000001</c:v>
              </c:pt>
              <c:pt idx="222">
                <c:v>2.5299999999999998</c:v>
              </c:pt>
              <c:pt idx="223">
                <c:v>2.5016669999999999</c:v>
              </c:pt>
              <c:pt idx="224">
                <c:v>1.9783329999999999</c:v>
              </c:pt>
              <c:pt idx="225">
                <c:v>2.148333</c:v>
              </c:pt>
              <c:pt idx="226">
                <c:v>2.0133329999999998</c:v>
              </c:pt>
              <c:pt idx="227">
                <c:v>1.92</c:v>
              </c:pt>
              <c:pt idx="228">
                <c:v>2.335</c:v>
              </c:pt>
              <c:pt idx="229">
                <c:v>2.665</c:v>
              </c:pt>
              <c:pt idx="230">
                <c:v>2.6749999999999998</c:v>
              </c:pt>
              <c:pt idx="231">
                <c:v>2.213333</c:v>
              </c:pt>
              <c:pt idx="232">
                <c:v>1.925</c:v>
              </c:pt>
              <c:pt idx="233">
                <c:v>2.8116660000000002</c:v>
              </c:pt>
              <c:pt idx="234">
                <c:v>2.59</c:v>
              </c:pt>
              <c:pt idx="235">
                <c:v>2.1366670000000001</c:v>
              </c:pt>
              <c:pt idx="236">
                <c:v>2.38</c:v>
              </c:pt>
              <c:pt idx="237">
                <c:v>2.5316670000000001</c:v>
              </c:pt>
              <c:pt idx="238">
                <c:v>2.5099999999999998</c:v>
              </c:pt>
              <c:pt idx="239">
                <c:v>1.7749999999999999</c:v>
              </c:pt>
              <c:pt idx="240">
                <c:v>2.1349999999999998</c:v>
              </c:pt>
              <c:pt idx="241">
                <c:v>2.1066669999999998</c:v>
              </c:pt>
              <c:pt idx="242">
                <c:v>2.226667</c:v>
              </c:pt>
              <c:pt idx="243">
                <c:v>2.358333</c:v>
              </c:pt>
              <c:pt idx="244">
                <c:v>2.4716670000000001</c:v>
              </c:pt>
              <c:pt idx="245">
                <c:v>2.8666670000000001</c:v>
              </c:pt>
              <c:pt idx="246">
                <c:v>3.0116670000000001</c:v>
              </c:pt>
              <c:pt idx="247">
                <c:v>2.7433329999999998</c:v>
              </c:pt>
              <c:pt idx="248">
                <c:v>2.7266659999999998</c:v>
              </c:pt>
              <c:pt idx="249">
                <c:v>2.89</c:v>
              </c:pt>
              <c:pt idx="250">
                <c:v>3.2616670000000001</c:v>
              </c:pt>
              <c:pt idx="251">
                <c:v>2.6749999999999998</c:v>
              </c:pt>
              <c:pt idx="252">
                <c:v>2.3833329999999999</c:v>
              </c:pt>
              <c:pt idx="253">
                <c:v>3.1183329999999998</c:v>
              </c:pt>
              <c:pt idx="254">
                <c:v>3.0533329999999999</c:v>
              </c:pt>
              <c:pt idx="255">
                <c:v>3.165</c:v>
              </c:pt>
              <c:pt idx="256">
                <c:v>2.4</c:v>
              </c:pt>
              <c:pt idx="257">
                <c:v>2.5316670000000001</c:v>
              </c:pt>
              <c:pt idx="258">
                <c:v>2.246667</c:v>
              </c:pt>
              <c:pt idx="259">
                <c:v>2.5083329999999999</c:v>
              </c:pt>
              <c:pt idx="260">
                <c:v>2.3466670000000001</c:v>
              </c:pt>
              <c:pt idx="261">
                <c:v>2.61</c:v>
              </c:pt>
              <c:pt idx="262">
                <c:v>3.0283329999999999</c:v>
              </c:pt>
              <c:pt idx="263">
                <c:v>2.7283330000000001</c:v>
              </c:pt>
              <c:pt idx="264">
                <c:v>2.6716660000000001</c:v>
              </c:pt>
              <c:pt idx="265">
                <c:v>2.128333</c:v>
              </c:pt>
              <c:pt idx="266">
                <c:v>1.6883330000000001</c:v>
              </c:pt>
              <c:pt idx="267">
                <c:v>2.391667</c:v>
              </c:pt>
              <c:pt idx="268">
                <c:v>2.076667</c:v>
              </c:pt>
              <c:pt idx="269">
                <c:v>1.4450000000000001</c:v>
              </c:pt>
              <c:pt idx="270">
                <c:v>2.476667</c:v>
              </c:pt>
              <c:pt idx="271">
                <c:v>2.1583329999999998</c:v>
              </c:pt>
              <c:pt idx="272">
                <c:v>1.7050000000000001</c:v>
              </c:pt>
              <c:pt idx="273">
                <c:v>1.5549999999999999</c:v>
              </c:pt>
              <c:pt idx="274">
                <c:v>2.3450000000000002</c:v>
              </c:pt>
              <c:pt idx="275">
                <c:v>2.37</c:v>
              </c:pt>
              <c:pt idx="276">
                <c:v>1.97</c:v>
              </c:pt>
              <c:pt idx="277">
                <c:v>2.0350000000000001</c:v>
              </c:pt>
              <c:pt idx="278">
                <c:v>2.466666</c:v>
              </c:pt>
              <c:pt idx="279">
                <c:v>2.06</c:v>
              </c:pt>
              <c:pt idx="280">
                <c:v>1.865</c:v>
              </c:pt>
              <c:pt idx="281">
                <c:v>2.306667</c:v>
              </c:pt>
              <c:pt idx="282">
                <c:v>2.3333330000000001</c:v>
              </c:pt>
              <c:pt idx="283">
                <c:v>3.0649999999999999</c:v>
              </c:pt>
              <c:pt idx="284">
                <c:v>3.068333</c:v>
              </c:pt>
              <c:pt idx="285">
                <c:v>3.03</c:v>
              </c:pt>
              <c:pt idx="286">
                <c:v>2.2766670000000002</c:v>
              </c:pt>
              <c:pt idx="287">
                <c:v>2.0266670000000002</c:v>
              </c:pt>
              <c:pt idx="288">
                <c:v>3.8849999999999998</c:v>
              </c:pt>
              <c:pt idx="289">
                <c:v>3.0950000000000002</c:v>
              </c:pt>
              <c:pt idx="290">
                <c:v>2.6783329999999999</c:v>
              </c:pt>
              <c:pt idx="291">
                <c:v>2.286667</c:v>
              </c:pt>
              <c:pt idx="292">
                <c:v>2.29</c:v>
              </c:pt>
              <c:pt idx="293">
                <c:v>2.9383330000000001</c:v>
              </c:pt>
              <c:pt idx="294">
                <c:v>3.3066659999999999</c:v>
              </c:pt>
              <c:pt idx="295">
                <c:v>2.801666</c:v>
              </c:pt>
              <c:pt idx="296">
                <c:v>3.463333</c:v>
              </c:pt>
              <c:pt idx="297">
                <c:v>2.42</c:v>
              </c:pt>
              <c:pt idx="298">
                <c:v>2.0266670000000002</c:v>
              </c:pt>
              <c:pt idx="299">
                <c:v>2.5099999999999998</c:v>
              </c:pt>
              <c:pt idx="300">
                <c:v>2.2583329999999999</c:v>
              </c:pt>
              <c:pt idx="301">
                <c:v>1.7749999999999999</c:v>
              </c:pt>
              <c:pt idx="302">
                <c:v>2.7116660000000001</c:v>
              </c:pt>
              <c:pt idx="303">
                <c:v>2.66</c:v>
              </c:pt>
              <c:pt idx="304">
                <c:v>2.128333</c:v>
              </c:pt>
              <c:pt idx="305">
                <c:v>2.2416670000000001</c:v>
              </c:pt>
              <c:pt idx="306">
                <c:v>2.5616669999999999</c:v>
              </c:pt>
              <c:pt idx="307">
                <c:v>3.0750000000000002</c:v>
              </c:pt>
              <c:pt idx="308">
                <c:v>2.7183329999999999</c:v>
              </c:pt>
              <c:pt idx="309">
                <c:v>2.8866670000000001</c:v>
              </c:pt>
              <c:pt idx="310">
                <c:v>2.4883329999999999</c:v>
              </c:pt>
              <c:pt idx="311">
                <c:v>2.2183329999999999</c:v>
              </c:pt>
              <c:pt idx="312">
                <c:v>2.7966660000000001</c:v>
              </c:pt>
              <c:pt idx="313">
                <c:v>2.5216669999999999</c:v>
              </c:pt>
              <c:pt idx="314">
                <c:v>2.6566670000000001</c:v>
              </c:pt>
              <c:pt idx="315">
                <c:v>2.5066670000000002</c:v>
              </c:pt>
              <c:pt idx="316">
                <c:v>2.4900000000000002</c:v>
              </c:pt>
              <c:pt idx="317">
                <c:v>2.4816669999999998</c:v>
              </c:pt>
              <c:pt idx="318">
                <c:v>2.5616669999999999</c:v>
              </c:pt>
              <c:pt idx="319">
                <c:v>3.3133330000000001</c:v>
              </c:pt>
              <c:pt idx="320">
                <c:v>3.0350000000000001</c:v>
              </c:pt>
              <c:pt idx="321">
                <c:v>2.3683329999999998</c:v>
              </c:pt>
              <c:pt idx="322">
                <c:v>2.79</c:v>
              </c:pt>
              <c:pt idx="323">
                <c:v>2.7366670000000002</c:v>
              </c:pt>
              <c:pt idx="324">
                <c:v>3.4866670000000002</c:v>
              </c:pt>
              <c:pt idx="325">
                <c:v>3.5433330000000001</c:v>
              </c:pt>
              <c:pt idx="326">
                <c:v>2.7633329999999998</c:v>
              </c:pt>
              <c:pt idx="327">
                <c:v>3.0616660000000002</c:v>
              </c:pt>
              <c:pt idx="328">
                <c:v>2.6266669999999999</c:v>
              </c:pt>
              <c:pt idx="329">
                <c:v>2.7749999999999999</c:v>
              </c:pt>
              <c:pt idx="330">
                <c:v>2.6783329999999999</c:v>
              </c:pt>
              <c:pt idx="331">
                <c:v>2.4350000000000001</c:v>
              </c:pt>
              <c:pt idx="332">
                <c:v>2.318333</c:v>
              </c:pt>
              <c:pt idx="333">
                <c:v>2.7033330000000002</c:v>
              </c:pt>
              <c:pt idx="334">
                <c:v>3.29</c:v>
              </c:pt>
              <c:pt idx="335">
                <c:v>2.801666</c:v>
              </c:pt>
              <c:pt idx="336">
                <c:v>2.5150000000000001</c:v>
              </c:pt>
              <c:pt idx="337">
                <c:v>2.7050000000000001</c:v>
              </c:pt>
              <c:pt idx="338">
                <c:v>2.7266659999999998</c:v>
              </c:pt>
              <c:pt idx="339">
                <c:v>2.4083329999999998</c:v>
              </c:pt>
              <c:pt idx="340">
                <c:v>3.4133330000000002</c:v>
              </c:pt>
              <c:pt idx="341">
                <c:v>3.2883330000000002</c:v>
              </c:pt>
              <c:pt idx="342">
                <c:v>2.7316669999999998</c:v>
              </c:pt>
              <c:pt idx="343">
                <c:v>2.7383329999999999</c:v>
              </c:pt>
              <c:pt idx="344">
                <c:v>2.3149999999999999</c:v>
              </c:pt>
              <c:pt idx="345">
                <c:v>2.841666</c:v>
              </c:pt>
              <c:pt idx="346">
                <c:v>2.6633330000000002</c:v>
              </c:pt>
              <c:pt idx="347">
                <c:v>2.426666</c:v>
              </c:pt>
              <c:pt idx="348">
                <c:v>2.7266659999999998</c:v>
              </c:pt>
              <c:pt idx="349">
                <c:v>2.8966669999999999</c:v>
              </c:pt>
              <c:pt idx="350">
                <c:v>2.7116660000000001</c:v>
              </c:pt>
              <c:pt idx="351">
                <c:v>3.14</c:v>
              </c:pt>
              <c:pt idx="352">
                <c:v>3.0116670000000001</c:v>
              </c:pt>
              <c:pt idx="353">
                <c:v>2.861666</c:v>
              </c:pt>
              <c:pt idx="354">
                <c:v>3.0066660000000001</c:v>
              </c:pt>
              <c:pt idx="355">
                <c:v>2.9166660000000002</c:v>
              </c:pt>
              <c:pt idx="356">
                <c:v>3.273333</c:v>
              </c:pt>
              <c:pt idx="357">
                <c:v>3.4350000000000001</c:v>
              </c:pt>
              <c:pt idx="358">
                <c:v>2.9933329999999998</c:v>
              </c:pt>
              <c:pt idx="359">
                <c:v>3.0816669999999999</c:v>
              </c:pt>
              <c:pt idx="360">
                <c:v>3.0466660000000001</c:v>
              </c:pt>
              <c:pt idx="361">
                <c:v>4.0599999999999996</c:v>
              </c:pt>
              <c:pt idx="362">
                <c:v>3.31</c:v>
              </c:pt>
              <c:pt idx="363">
                <c:v>3.0216669999999999</c:v>
              </c:pt>
              <c:pt idx="364">
                <c:v>2.7</c:v>
              </c:pt>
              <c:pt idx="365">
                <c:v>2.821666</c:v>
              </c:pt>
              <c:pt idx="366">
                <c:v>4.0283329999999999</c:v>
              </c:pt>
              <c:pt idx="367">
                <c:v>3.4216660000000001</c:v>
              </c:pt>
              <c:pt idx="368">
                <c:v>3.5333329999999998</c:v>
              </c:pt>
              <c:pt idx="369">
                <c:v>2.536667</c:v>
              </c:pt>
              <c:pt idx="370">
                <c:v>3.2966660000000001</c:v>
              </c:pt>
              <c:pt idx="371">
                <c:v>3.536667</c:v>
              </c:pt>
              <c:pt idx="372">
                <c:v>2.3199999999999998</c:v>
              </c:pt>
              <c:pt idx="373">
                <c:v>3.3283330000000002</c:v>
              </c:pt>
              <c:pt idx="374">
                <c:v>3.415</c:v>
              </c:pt>
              <c:pt idx="375">
                <c:v>2.1466669999999999</c:v>
              </c:pt>
              <c:pt idx="376">
                <c:v>2.9916670000000001</c:v>
              </c:pt>
              <c:pt idx="377">
                <c:v>3.3483329999999998</c:v>
              </c:pt>
              <c:pt idx="378">
                <c:v>2.213333</c:v>
              </c:pt>
              <c:pt idx="379">
                <c:v>3.43</c:v>
              </c:pt>
              <c:pt idx="380">
                <c:v>3.536667</c:v>
              </c:pt>
              <c:pt idx="381">
                <c:v>3.676666</c:v>
              </c:pt>
              <c:pt idx="382">
                <c:v>3.5950000000000002</c:v>
              </c:pt>
              <c:pt idx="383">
                <c:v>2.1916669999999998</c:v>
              </c:pt>
              <c:pt idx="384">
                <c:v>2.93</c:v>
              </c:pt>
              <c:pt idx="385">
                <c:v>2.48</c:v>
              </c:pt>
              <c:pt idx="386">
                <c:v>2.645</c:v>
              </c:pt>
              <c:pt idx="387">
                <c:v>2.926666</c:v>
              </c:pt>
              <c:pt idx="388">
                <c:v>3.4049999999999998</c:v>
              </c:pt>
              <c:pt idx="389">
                <c:v>3.1183329999999998</c:v>
              </c:pt>
              <c:pt idx="390">
                <c:v>3.5833330000000001</c:v>
              </c:pt>
              <c:pt idx="391">
                <c:v>3.335</c:v>
              </c:pt>
              <c:pt idx="392">
                <c:v>2.966666</c:v>
              </c:pt>
              <c:pt idx="393">
                <c:v>3.1883330000000001</c:v>
              </c:pt>
              <c:pt idx="394">
                <c:v>2.79</c:v>
              </c:pt>
              <c:pt idx="395">
                <c:v>2.81</c:v>
              </c:pt>
              <c:pt idx="396">
                <c:v>3.1349999999999998</c:v>
              </c:pt>
              <c:pt idx="397">
                <c:v>3.6716660000000001</c:v>
              </c:pt>
              <c:pt idx="398">
                <c:v>2.8616670000000002</c:v>
              </c:pt>
              <c:pt idx="399">
                <c:v>2.6983329999999999</c:v>
              </c:pt>
              <c:pt idx="400">
                <c:v>2.7650000000000001</c:v>
              </c:pt>
              <c:pt idx="401">
                <c:v>2.6466669999999999</c:v>
              </c:pt>
              <c:pt idx="402">
                <c:v>3.003333</c:v>
              </c:pt>
              <c:pt idx="403">
                <c:v>2.4183330000000001</c:v>
              </c:pt>
              <c:pt idx="404">
                <c:v>2.5983329999999998</c:v>
              </c:pt>
              <c:pt idx="405">
                <c:v>4.8416670000000002</c:v>
              </c:pt>
              <c:pt idx="406">
                <c:v>3.5350000000000001</c:v>
              </c:pt>
              <c:pt idx="407">
                <c:v>3.0316670000000001</c:v>
              </c:pt>
              <c:pt idx="408">
                <c:v>3.003333</c:v>
              </c:pt>
              <c:pt idx="409">
                <c:v>3.7549999999999999</c:v>
              </c:pt>
              <c:pt idx="410">
                <c:v>2.926666</c:v>
              </c:pt>
              <c:pt idx="411">
                <c:v>3.605</c:v>
              </c:pt>
              <c:pt idx="412">
                <c:v>3.3250000000000002</c:v>
              </c:pt>
              <c:pt idx="413">
                <c:v>3.9366660000000002</c:v>
              </c:pt>
              <c:pt idx="414">
                <c:v>4.1966659999999996</c:v>
              </c:pt>
              <c:pt idx="415">
                <c:v>3.483333</c:v>
              </c:pt>
              <c:pt idx="416">
                <c:v>4.568333</c:v>
              </c:pt>
              <c:pt idx="417">
                <c:v>3.4416669999999998</c:v>
              </c:pt>
              <c:pt idx="418">
                <c:v>3.2783329999999999</c:v>
              </c:pt>
              <c:pt idx="419">
                <c:v>3.3250000000000002</c:v>
              </c:pt>
              <c:pt idx="420">
                <c:v>4.3949999999999996</c:v>
              </c:pt>
              <c:pt idx="421">
                <c:v>3.3233329999999999</c:v>
              </c:pt>
              <c:pt idx="422">
                <c:v>3.47</c:v>
              </c:pt>
              <c:pt idx="423">
                <c:v>3.8533330000000001</c:v>
              </c:pt>
              <c:pt idx="424">
                <c:v>4.6366670000000001</c:v>
              </c:pt>
              <c:pt idx="425">
                <c:v>4.2366669999999997</c:v>
              </c:pt>
              <c:pt idx="426">
                <c:v>3.3933330000000002</c:v>
              </c:pt>
              <c:pt idx="427">
                <c:v>2.9649999999999999</c:v>
              </c:pt>
              <c:pt idx="428">
                <c:v>4.3099999999999996</c:v>
              </c:pt>
              <c:pt idx="429">
                <c:v>3.875</c:v>
              </c:pt>
              <c:pt idx="430">
                <c:v>3.9183330000000001</c:v>
              </c:pt>
              <c:pt idx="431">
                <c:v>3.6816659999999999</c:v>
              </c:pt>
              <c:pt idx="432">
                <c:v>3.7850000000000001</c:v>
              </c:pt>
              <c:pt idx="433">
                <c:v>4.1550000000000002</c:v>
              </c:pt>
              <c:pt idx="434">
                <c:v>3.716666</c:v>
              </c:pt>
              <c:pt idx="435">
                <c:v>4.2083339999999998</c:v>
              </c:pt>
              <c:pt idx="436">
                <c:v>3.5816669999999999</c:v>
              </c:pt>
              <c:pt idx="437">
                <c:v>5.3466659999999999</c:v>
              </c:pt>
              <c:pt idx="438">
                <c:v>4.8016670000000001</c:v>
              </c:pt>
              <c:pt idx="439">
                <c:v>4.4983339999999998</c:v>
              </c:pt>
              <c:pt idx="440">
                <c:v>4.4333330000000002</c:v>
              </c:pt>
              <c:pt idx="441">
                <c:v>4.4400000000000004</c:v>
              </c:pt>
              <c:pt idx="442">
                <c:v>4.5883330000000004</c:v>
              </c:pt>
              <c:pt idx="443">
                <c:v>4.7833329999999998</c:v>
              </c:pt>
              <c:pt idx="444">
                <c:v>4.4550000000000001</c:v>
              </c:pt>
              <c:pt idx="445">
                <c:v>3.8083330000000002</c:v>
              </c:pt>
              <c:pt idx="446">
                <c:v>4.415</c:v>
              </c:pt>
              <c:pt idx="447">
                <c:v>4.6950000000000003</c:v>
              </c:pt>
              <c:pt idx="448">
                <c:v>4.26</c:v>
              </c:pt>
              <c:pt idx="449">
                <c:v>4.1266660000000002</c:v>
              </c:pt>
              <c:pt idx="450">
                <c:v>3.4916659999999999</c:v>
              </c:pt>
              <c:pt idx="451">
                <c:v>4.4116660000000003</c:v>
              </c:pt>
              <c:pt idx="452">
                <c:v>4.6266660000000002</c:v>
              </c:pt>
              <c:pt idx="453">
                <c:v>4.49</c:v>
              </c:pt>
              <c:pt idx="454">
                <c:v>4.04</c:v>
              </c:pt>
              <c:pt idx="455">
                <c:v>5.1333330000000004</c:v>
              </c:pt>
              <c:pt idx="456">
                <c:v>5.29</c:v>
              </c:pt>
              <c:pt idx="457">
                <c:v>4.57</c:v>
              </c:pt>
              <c:pt idx="458">
                <c:v>4.0999999999999996</c:v>
              </c:pt>
              <c:pt idx="459">
                <c:v>3.9516659999999999</c:v>
              </c:pt>
              <c:pt idx="460">
                <c:v>3.9416669999999998</c:v>
              </c:pt>
              <c:pt idx="461">
                <c:v>4.04</c:v>
              </c:pt>
              <c:pt idx="462">
                <c:v>4.1550000000000002</c:v>
              </c:pt>
              <c:pt idx="463">
                <c:v>4.2249999999999996</c:v>
              </c:pt>
              <c:pt idx="464">
                <c:v>4.6833330000000002</c:v>
              </c:pt>
              <c:pt idx="465">
                <c:v>4.1583329999999998</c:v>
              </c:pt>
              <c:pt idx="466">
                <c:v>5.7783329999999999</c:v>
              </c:pt>
              <c:pt idx="467">
                <c:v>4.62</c:v>
              </c:pt>
              <c:pt idx="468">
                <c:v>5.233333</c:v>
              </c:pt>
              <c:pt idx="469">
                <c:v>5.9249999999999998</c:v>
              </c:pt>
              <c:pt idx="470">
                <c:v>5.6716670000000002</c:v>
              </c:pt>
              <c:pt idx="471">
                <c:v>5.07</c:v>
              </c:pt>
              <c:pt idx="472">
                <c:v>6.1433330000000002</c:v>
              </c:pt>
              <c:pt idx="473">
                <c:v>4.1900000000000004</c:v>
              </c:pt>
              <c:pt idx="474">
                <c:v>4.8383330000000004</c:v>
              </c:pt>
              <c:pt idx="475">
                <c:v>3.9483329999999999</c:v>
              </c:pt>
              <c:pt idx="476">
                <c:v>5.3383330000000004</c:v>
              </c:pt>
              <c:pt idx="477">
                <c:v>5.8083330000000002</c:v>
              </c:pt>
              <c:pt idx="478">
                <c:v>4.8616659999999996</c:v>
              </c:pt>
              <c:pt idx="479">
                <c:v>5.2649999999999997</c:v>
              </c:pt>
              <c:pt idx="480">
                <c:v>4.5166659999999998</c:v>
              </c:pt>
              <c:pt idx="481">
                <c:v>5.1233329999999997</c:v>
              </c:pt>
              <c:pt idx="482">
                <c:v>5.1983329999999999</c:v>
              </c:pt>
              <c:pt idx="483">
                <c:v>4.9516660000000003</c:v>
              </c:pt>
              <c:pt idx="484">
                <c:v>5.12</c:v>
              </c:pt>
              <c:pt idx="485">
                <c:v>4.6316670000000002</c:v>
              </c:pt>
              <c:pt idx="486">
                <c:v>5.1916669999999998</c:v>
              </c:pt>
              <c:pt idx="487">
                <c:v>5.4733330000000002</c:v>
              </c:pt>
              <c:pt idx="488">
                <c:v>4.0650000000000004</c:v>
              </c:pt>
              <c:pt idx="489">
                <c:v>5.4916660000000004</c:v>
              </c:pt>
              <c:pt idx="490">
                <c:v>4.9733330000000002</c:v>
              </c:pt>
              <c:pt idx="491">
                <c:v>5.3</c:v>
              </c:pt>
              <c:pt idx="492">
                <c:v>4.6100000000000003</c:v>
              </c:pt>
              <c:pt idx="493">
                <c:v>4.26</c:v>
              </c:pt>
              <c:pt idx="494">
                <c:v>4.2016660000000003</c:v>
              </c:pt>
              <c:pt idx="495">
                <c:v>5.2983330000000004</c:v>
              </c:pt>
              <c:pt idx="496">
                <c:v>4.3616659999999996</c:v>
              </c:pt>
              <c:pt idx="497">
                <c:v>4.0616659999999998</c:v>
              </c:pt>
              <c:pt idx="498">
                <c:v>4.72</c:v>
              </c:pt>
              <c:pt idx="499">
                <c:v>4.6016659999999998</c:v>
              </c:pt>
              <c:pt idx="500">
                <c:v>3.835</c:v>
              </c:pt>
              <c:pt idx="501">
                <c:v>5.01</c:v>
              </c:pt>
              <c:pt idx="502">
                <c:v>4.4583339999999998</c:v>
              </c:pt>
              <c:pt idx="503">
                <c:v>5.2050000000000001</c:v>
              </c:pt>
              <c:pt idx="504">
                <c:v>4.5199999999999996</c:v>
              </c:pt>
              <c:pt idx="505">
                <c:v>4.1516669999999998</c:v>
              </c:pt>
              <c:pt idx="506">
                <c:v>4.2</c:v>
              </c:pt>
              <c:pt idx="507">
                <c:v>4.2350000000000003</c:v>
              </c:pt>
              <c:pt idx="508">
                <c:v>3.9649999999999999</c:v>
              </c:pt>
              <c:pt idx="509">
                <c:v>5.2149999999999999</c:v>
              </c:pt>
              <c:pt idx="510">
                <c:v>4.6283329999999996</c:v>
              </c:pt>
              <c:pt idx="511">
                <c:v>4.7033329999999998</c:v>
              </c:pt>
              <c:pt idx="512">
                <c:v>3.7516660000000002</c:v>
              </c:pt>
              <c:pt idx="513">
                <c:v>5.4483329999999999</c:v>
              </c:pt>
              <c:pt idx="514">
                <c:v>4.858333</c:v>
              </c:pt>
              <c:pt idx="515">
                <c:v>5.0949999999999998</c:v>
              </c:pt>
              <c:pt idx="516">
                <c:v>4.8916659999999998</c:v>
              </c:pt>
              <c:pt idx="517">
                <c:v>5.0066670000000002</c:v>
              </c:pt>
              <c:pt idx="518">
                <c:v>5.14</c:v>
              </c:pt>
              <c:pt idx="519">
                <c:v>4.6316670000000002</c:v>
              </c:pt>
              <c:pt idx="520">
                <c:v>4.8433330000000003</c:v>
              </c:pt>
              <c:pt idx="521">
                <c:v>5.0933330000000003</c:v>
              </c:pt>
              <c:pt idx="522">
                <c:v>4.7699999999999996</c:v>
              </c:pt>
              <c:pt idx="523">
                <c:v>5.0049999999999999</c:v>
              </c:pt>
              <c:pt idx="524">
                <c:v>4.9116660000000003</c:v>
              </c:pt>
              <c:pt idx="525">
                <c:v>5.4850000000000003</c:v>
              </c:pt>
              <c:pt idx="526">
                <c:v>4.9466669999999997</c:v>
              </c:pt>
              <c:pt idx="527">
                <c:v>4.6333330000000004</c:v>
              </c:pt>
              <c:pt idx="528">
                <c:v>5.8049999999999997</c:v>
              </c:pt>
              <c:pt idx="529">
                <c:v>4.931667</c:v>
              </c:pt>
              <c:pt idx="530">
                <c:v>4.91</c:v>
              </c:pt>
              <c:pt idx="531">
                <c:v>5.5283329999999999</c:v>
              </c:pt>
              <c:pt idx="532">
                <c:v>4.7</c:v>
              </c:pt>
              <c:pt idx="533">
                <c:v>5.47</c:v>
              </c:pt>
              <c:pt idx="534">
                <c:v>4.9916660000000004</c:v>
              </c:pt>
              <c:pt idx="535">
                <c:v>6.3633329999999999</c:v>
              </c:pt>
              <c:pt idx="536">
                <c:v>5.7016660000000003</c:v>
              </c:pt>
              <c:pt idx="537">
                <c:v>5.48</c:v>
              </c:pt>
              <c:pt idx="538">
                <c:v>5.2816660000000004</c:v>
              </c:pt>
              <c:pt idx="539">
                <c:v>4.8233329999999999</c:v>
              </c:pt>
              <c:pt idx="540">
                <c:v>4.41</c:v>
              </c:pt>
              <c:pt idx="541">
                <c:v>4.9716670000000001</c:v>
              </c:pt>
              <c:pt idx="542">
                <c:v>5.3916659999999998</c:v>
              </c:pt>
              <c:pt idx="543">
                <c:v>5.1116669999999997</c:v>
              </c:pt>
              <c:pt idx="544">
                <c:v>5.915</c:v>
              </c:pt>
              <c:pt idx="545">
                <c:v>5.2066660000000002</c:v>
              </c:pt>
              <c:pt idx="546">
                <c:v>4.608333</c:v>
              </c:pt>
              <c:pt idx="547">
                <c:v>4.5466670000000002</c:v>
              </c:pt>
              <c:pt idx="548">
                <c:v>4.6633339999999999</c:v>
              </c:pt>
              <c:pt idx="549">
                <c:v>4.7216670000000001</c:v>
              </c:pt>
              <c:pt idx="550">
                <c:v>4.4383330000000001</c:v>
              </c:pt>
              <c:pt idx="551">
                <c:v>3.5449999999999999</c:v>
              </c:pt>
              <c:pt idx="552">
                <c:v>3.9333330000000002</c:v>
              </c:pt>
              <c:pt idx="553">
                <c:v>4.24</c:v>
              </c:pt>
              <c:pt idx="554">
                <c:v>4.0616659999999998</c:v>
              </c:pt>
              <c:pt idx="555">
                <c:v>4.4800000000000004</c:v>
              </c:pt>
              <c:pt idx="556">
                <c:v>5.943333</c:v>
              </c:pt>
              <c:pt idx="557">
                <c:v>5.0216659999999997</c:v>
              </c:pt>
              <c:pt idx="558">
                <c:v>5.3916659999999998</c:v>
              </c:pt>
              <c:pt idx="559">
                <c:v>5.0066670000000002</c:v>
              </c:pt>
              <c:pt idx="560">
                <c:v>4.6349999999999998</c:v>
              </c:pt>
              <c:pt idx="561">
                <c:v>5.0416660000000002</c:v>
              </c:pt>
              <c:pt idx="562">
                <c:v>5.1749999999999998</c:v>
              </c:pt>
              <c:pt idx="563">
                <c:v>4.8766660000000002</c:v>
              </c:pt>
              <c:pt idx="564">
                <c:v>5.3666660000000004</c:v>
              </c:pt>
              <c:pt idx="565">
                <c:v>4.9550000000000001</c:v>
              </c:pt>
              <c:pt idx="566">
                <c:v>5.4083329999999998</c:v>
              </c:pt>
              <c:pt idx="567">
                <c:v>5.4950000000000001</c:v>
              </c:pt>
              <c:pt idx="568">
                <c:v>4.6533329999999999</c:v>
              </c:pt>
              <c:pt idx="569">
                <c:v>4.7416660000000004</c:v>
              </c:pt>
              <c:pt idx="570">
                <c:v>4.0766660000000003</c:v>
              </c:pt>
              <c:pt idx="571">
                <c:v>3.6333329999999999</c:v>
              </c:pt>
              <c:pt idx="572">
                <c:v>4.3250000000000002</c:v>
              </c:pt>
              <c:pt idx="573">
                <c:v>5.0033329999999996</c:v>
              </c:pt>
              <c:pt idx="574">
                <c:v>4.7483339999999998</c:v>
              </c:pt>
              <c:pt idx="575">
                <c:v>3.9583330000000001</c:v>
              </c:pt>
              <c:pt idx="576">
                <c:v>4.318333</c:v>
              </c:pt>
              <c:pt idx="577">
                <c:v>4.9850000000000003</c:v>
              </c:pt>
              <c:pt idx="578">
                <c:v>4.8550000000000004</c:v>
              </c:pt>
              <c:pt idx="579">
                <c:v>4.5183330000000002</c:v>
              </c:pt>
              <c:pt idx="580">
                <c:v>5.1516669999999998</c:v>
              </c:pt>
              <c:pt idx="581">
                <c:v>4.7266659999999998</c:v>
              </c:pt>
              <c:pt idx="582">
                <c:v>4.9616660000000001</c:v>
              </c:pt>
              <c:pt idx="583">
                <c:v>4.4083329999999998</c:v>
              </c:pt>
              <c:pt idx="584">
                <c:v>4.3516659999999998</c:v>
              </c:pt>
              <c:pt idx="585">
                <c:v>4.875</c:v>
              </c:pt>
              <c:pt idx="586">
                <c:v>4.5533330000000003</c:v>
              </c:pt>
              <c:pt idx="587">
                <c:v>4.1150000000000002</c:v>
              </c:pt>
              <c:pt idx="588">
                <c:v>4.3083330000000002</c:v>
              </c:pt>
              <c:pt idx="589">
                <c:v>3.5616660000000002</c:v>
              </c:pt>
              <c:pt idx="590">
                <c:v>4.7933339999999998</c:v>
              </c:pt>
              <c:pt idx="591">
                <c:v>4.5066670000000002</c:v>
              </c:pt>
              <c:pt idx="592">
                <c:v>4.476667</c:v>
              </c:pt>
              <c:pt idx="593">
                <c:v>4.4733330000000002</c:v>
              </c:pt>
              <c:pt idx="594">
                <c:v>4.47</c:v>
              </c:pt>
              <c:pt idx="595">
                <c:v>4.4083329999999998</c:v>
              </c:pt>
              <c:pt idx="596">
                <c:v>4.4116660000000003</c:v>
              </c:pt>
              <c:pt idx="597">
                <c:v>4.5266669999999998</c:v>
              </c:pt>
              <c:pt idx="598">
                <c:v>4.2483339999999998</c:v>
              </c:pt>
              <c:pt idx="599">
                <c:v>4.2350000000000003</c:v>
              </c:pt>
              <c:pt idx="600">
                <c:v>4.1366670000000001</c:v>
              </c:pt>
              <c:pt idx="601">
                <c:v>4.2216670000000001</c:v>
              </c:pt>
              <c:pt idx="602">
                <c:v>4.8766660000000002</c:v>
              </c:pt>
              <c:pt idx="603">
                <c:v>3.9283329999999999</c:v>
              </c:pt>
              <c:pt idx="604">
                <c:v>4.0766660000000003</c:v>
              </c:pt>
              <c:pt idx="605">
                <c:v>4.8516659999999998</c:v>
              </c:pt>
              <c:pt idx="606">
                <c:v>3.84</c:v>
              </c:pt>
              <c:pt idx="607">
                <c:v>3.9750000000000001</c:v>
              </c:pt>
              <c:pt idx="608">
                <c:v>4.5149999999999997</c:v>
              </c:pt>
              <c:pt idx="609">
                <c:v>4.9083329999999998</c:v>
              </c:pt>
              <c:pt idx="610">
                <c:v>4.5333329999999998</c:v>
              </c:pt>
              <c:pt idx="611">
                <c:v>4.76</c:v>
              </c:pt>
              <c:pt idx="612">
                <c:v>5.2016660000000003</c:v>
              </c:pt>
              <c:pt idx="613">
                <c:v>4.0916670000000002</c:v>
              </c:pt>
              <c:pt idx="614">
                <c:v>4.4166660000000002</c:v>
              </c:pt>
              <c:pt idx="615">
                <c:v>4.7183330000000003</c:v>
              </c:pt>
              <c:pt idx="616">
                <c:v>4.33</c:v>
              </c:pt>
              <c:pt idx="617">
                <c:v>4.1966659999999996</c:v>
              </c:pt>
              <c:pt idx="618">
                <c:v>3.6516670000000002</c:v>
              </c:pt>
              <c:pt idx="619">
                <c:v>4.6416659999999998</c:v>
              </c:pt>
              <c:pt idx="620">
                <c:v>4.2566670000000002</c:v>
              </c:pt>
              <c:pt idx="621">
                <c:v>4.3216669999999997</c:v>
              </c:pt>
              <c:pt idx="622">
                <c:v>3.85</c:v>
              </c:pt>
              <c:pt idx="623">
                <c:v>4.0883330000000004</c:v>
              </c:pt>
              <c:pt idx="624">
                <c:v>4.1183329999999998</c:v>
              </c:pt>
              <c:pt idx="625">
                <c:v>4.2533329999999996</c:v>
              </c:pt>
              <c:pt idx="626">
                <c:v>4.4283330000000003</c:v>
              </c:pt>
              <c:pt idx="627">
                <c:v>3.9566669999999999</c:v>
              </c:pt>
              <c:pt idx="628">
                <c:v>4.3949999999999996</c:v>
              </c:pt>
              <c:pt idx="629">
                <c:v>4.4050000000000002</c:v>
              </c:pt>
              <c:pt idx="630">
                <c:v>4.8616669999999997</c:v>
              </c:pt>
              <c:pt idx="631">
                <c:v>3.9550000000000001</c:v>
              </c:pt>
              <c:pt idx="632">
                <c:v>4.733333</c:v>
              </c:pt>
              <c:pt idx="633">
                <c:v>3.9716659999999999</c:v>
              </c:pt>
              <c:pt idx="634">
                <c:v>4.5516670000000001</c:v>
              </c:pt>
              <c:pt idx="635">
                <c:v>3.7433329999999998</c:v>
              </c:pt>
              <c:pt idx="636">
                <c:v>3.9683329999999999</c:v>
              </c:pt>
              <c:pt idx="637">
                <c:v>5.0216659999999997</c:v>
              </c:pt>
              <c:pt idx="638">
                <c:v>4.483333</c:v>
              </c:pt>
              <c:pt idx="639">
                <c:v>4.8683329999999998</c:v>
              </c:pt>
              <c:pt idx="640">
                <c:v>4.8133330000000001</c:v>
              </c:pt>
              <c:pt idx="641">
                <c:v>4.3083330000000002</c:v>
              </c:pt>
              <c:pt idx="642">
                <c:v>3.6716660000000001</c:v>
              </c:pt>
              <c:pt idx="643">
                <c:v>3.9916659999999999</c:v>
              </c:pt>
              <c:pt idx="644">
                <c:v>3.8166669999999998</c:v>
              </c:pt>
              <c:pt idx="645">
                <c:v>3.7050000000000001</c:v>
              </c:pt>
              <c:pt idx="646">
                <c:v>4.3899999999999997</c:v>
              </c:pt>
              <c:pt idx="647">
                <c:v>4.1233339999999998</c:v>
              </c:pt>
              <c:pt idx="648">
                <c:v>4.0266669999999998</c:v>
              </c:pt>
              <c:pt idx="649">
                <c:v>3.7883330000000002</c:v>
              </c:pt>
              <c:pt idx="650">
                <c:v>4.0533330000000003</c:v>
              </c:pt>
              <c:pt idx="651">
                <c:v>3.1983329999999999</c:v>
              </c:pt>
              <c:pt idx="652">
                <c:v>3.2149999999999999</c:v>
              </c:pt>
              <c:pt idx="653">
                <c:v>3.355</c:v>
              </c:pt>
              <c:pt idx="654">
                <c:v>3.8666659999999999</c:v>
              </c:pt>
              <c:pt idx="655">
                <c:v>3.4483329999999999</c:v>
              </c:pt>
              <c:pt idx="656">
                <c:v>4.2916660000000002</c:v>
              </c:pt>
              <c:pt idx="657">
                <c:v>3.9566669999999999</c:v>
              </c:pt>
              <c:pt idx="658">
                <c:v>4.3616669999999997</c:v>
              </c:pt>
              <c:pt idx="659">
                <c:v>4.2183330000000003</c:v>
              </c:pt>
              <c:pt idx="660">
                <c:v>4.1683339999999998</c:v>
              </c:pt>
              <c:pt idx="661">
                <c:v>4.6433330000000002</c:v>
              </c:pt>
              <c:pt idx="662">
                <c:v>4.8466670000000001</c:v>
              </c:pt>
              <c:pt idx="663">
                <c:v>4.6166660000000004</c:v>
              </c:pt>
              <c:pt idx="664">
                <c:v>4.4733330000000002</c:v>
              </c:pt>
              <c:pt idx="665">
                <c:v>4.4866669999999997</c:v>
              </c:pt>
              <c:pt idx="666">
                <c:v>4.5966670000000001</c:v>
              </c:pt>
              <c:pt idx="667">
                <c:v>4.0549999999999997</c:v>
              </c:pt>
              <c:pt idx="668">
                <c:v>3.8450000000000002</c:v>
              </c:pt>
              <c:pt idx="669">
                <c:v>3.3933330000000002</c:v>
              </c:pt>
              <c:pt idx="670">
                <c:v>4.1916669999999998</c:v>
              </c:pt>
              <c:pt idx="671">
                <c:v>3.648333</c:v>
              </c:pt>
              <c:pt idx="672">
                <c:v>3.983333</c:v>
              </c:pt>
              <c:pt idx="673">
                <c:v>4.2183330000000003</c:v>
              </c:pt>
              <c:pt idx="674">
                <c:v>4.0999999999999996</c:v>
              </c:pt>
              <c:pt idx="675">
                <c:v>4.5516670000000001</c:v>
              </c:pt>
              <c:pt idx="676">
                <c:v>4.2116660000000001</c:v>
              </c:pt>
              <c:pt idx="677">
                <c:v>4.1966659999999996</c:v>
              </c:pt>
              <c:pt idx="678">
                <c:v>4.4233330000000004</c:v>
              </c:pt>
              <c:pt idx="679">
                <c:v>4.4883329999999999</c:v>
              </c:pt>
              <c:pt idx="680">
                <c:v>3.983333</c:v>
              </c:pt>
              <c:pt idx="681">
                <c:v>4.24</c:v>
              </c:pt>
              <c:pt idx="682">
                <c:v>3.585</c:v>
              </c:pt>
              <c:pt idx="683">
                <c:v>4.0216659999999997</c:v>
              </c:pt>
              <c:pt idx="684">
                <c:v>3.8066659999999999</c:v>
              </c:pt>
              <c:pt idx="685">
                <c:v>4.6116669999999997</c:v>
              </c:pt>
              <c:pt idx="686">
                <c:v>4.8833330000000004</c:v>
              </c:pt>
              <c:pt idx="687">
                <c:v>4.818333</c:v>
              </c:pt>
              <c:pt idx="688">
                <c:v>4.5566659999999999</c:v>
              </c:pt>
              <c:pt idx="689">
                <c:v>4.8466670000000001</c:v>
              </c:pt>
              <c:pt idx="690">
                <c:v>4.71</c:v>
              </c:pt>
              <c:pt idx="691">
                <c:v>4.1466659999999997</c:v>
              </c:pt>
              <c:pt idx="692">
                <c:v>4.233333</c:v>
              </c:pt>
              <c:pt idx="693">
                <c:v>4.5750000000000002</c:v>
              </c:pt>
              <c:pt idx="694">
                <c:v>4.181667</c:v>
              </c:pt>
              <c:pt idx="695">
                <c:v>4.8416670000000002</c:v>
              </c:pt>
              <c:pt idx="696">
                <c:v>4.18</c:v>
              </c:pt>
              <c:pt idx="697">
                <c:v>4.0516670000000001</c:v>
              </c:pt>
              <c:pt idx="698">
                <c:v>5.4050000000000002</c:v>
              </c:pt>
              <c:pt idx="699">
                <c:v>4.6749999999999998</c:v>
              </c:pt>
              <c:pt idx="700">
                <c:v>4.3716660000000003</c:v>
              </c:pt>
              <c:pt idx="701">
                <c:v>4.83</c:v>
              </c:pt>
              <c:pt idx="702">
                <c:v>4.6333330000000004</c:v>
              </c:pt>
              <c:pt idx="703">
                <c:v>4.0633330000000001</c:v>
              </c:pt>
              <c:pt idx="704">
                <c:v>3.6383329999999998</c:v>
              </c:pt>
              <c:pt idx="705">
                <c:v>3.7416659999999999</c:v>
              </c:pt>
              <c:pt idx="706">
                <c:v>3.1583329999999998</c:v>
              </c:pt>
              <c:pt idx="707">
                <c:v>3.3933330000000002</c:v>
              </c:pt>
              <c:pt idx="708">
                <c:v>3.923333</c:v>
              </c:pt>
              <c:pt idx="709">
                <c:v>4.1749999999999998</c:v>
              </c:pt>
              <c:pt idx="710">
                <c:v>3.8966660000000002</c:v>
              </c:pt>
              <c:pt idx="711">
                <c:v>4.2516660000000002</c:v>
              </c:pt>
              <c:pt idx="712">
                <c:v>4.5633330000000001</c:v>
              </c:pt>
              <c:pt idx="713">
                <c:v>4.358333</c:v>
              </c:pt>
              <c:pt idx="714">
                <c:v>3.8216670000000001</c:v>
              </c:pt>
              <c:pt idx="715">
                <c:v>4.6349999999999998</c:v>
              </c:pt>
              <c:pt idx="716">
                <c:v>4.7033329999999998</c:v>
              </c:pt>
              <c:pt idx="717">
                <c:v>5.5250000000000004</c:v>
              </c:pt>
              <c:pt idx="718">
                <c:v>5.4866659999999996</c:v>
              </c:pt>
              <c:pt idx="719">
                <c:v>4.5666669999999998</c:v>
              </c:pt>
              <c:pt idx="720">
                <c:v>4.8466670000000001</c:v>
              </c:pt>
              <c:pt idx="721">
                <c:v>4.6816659999999999</c:v>
              </c:pt>
              <c:pt idx="722">
                <c:v>4.3033330000000003</c:v>
              </c:pt>
              <c:pt idx="723">
                <c:v>4.2583330000000004</c:v>
              </c:pt>
              <c:pt idx="724">
                <c:v>4.4933329999999998</c:v>
              </c:pt>
              <c:pt idx="725">
                <c:v>4.7699999999999996</c:v>
              </c:pt>
              <c:pt idx="726">
                <c:v>6.0316660000000004</c:v>
              </c:pt>
              <c:pt idx="727">
                <c:v>4.9933329999999998</c:v>
              </c:pt>
              <c:pt idx="728">
                <c:v>4.5966670000000001</c:v>
              </c:pt>
              <c:pt idx="729">
                <c:v>5.26</c:v>
              </c:pt>
              <c:pt idx="730">
                <c:v>4.7350000000000003</c:v>
              </c:pt>
              <c:pt idx="731">
                <c:v>4.3033330000000003</c:v>
              </c:pt>
              <c:pt idx="732">
                <c:v>5.1066659999999997</c:v>
              </c:pt>
              <c:pt idx="733">
                <c:v>4.5883330000000004</c:v>
              </c:pt>
              <c:pt idx="734">
                <c:v>4.92</c:v>
              </c:pt>
              <c:pt idx="735">
                <c:v>5.25</c:v>
              </c:pt>
              <c:pt idx="736">
                <c:v>4.4066669999999997</c:v>
              </c:pt>
              <c:pt idx="737">
                <c:v>4.57</c:v>
              </c:pt>
              <c:pt idx="738">
                <c:v>5.63</c:v>
              </c:pt>
              <c:pt idx="739">
                <c:v>4.8816670000000002</c:v>
              </c:pt>
              <c:pt idx="740">
                <c:v>4.4249999999999998</c:v>
              </c:pt>
              <c:pt idx="741">
                <c:v>3.9916659999999999</c:v>
              </c:pt>
              <c:pt idx="742">
                <c:v>3.386666</c:v>
              </c:pt>
              <c:pt idx="743">
                <c:v>3.9183330000000001</c:v>
              </c:pt>
              <c:pt idx="744">
                <c:v>4.1766670000000001</c:v>
              </c:pt>
              <c:pt idx="745">
                <c:v>4.681667</c:v>
              </c:pt>
              <c:pt idx="746">
                <c:v>5.52</c:v>
              </c:pt>
              <c:pt idx="747">
                <c:v>4.74</c:v>
              </c:pt>
              <c:pt idx="748">
                <c:v>5.1116659999999996</c:v>
              </c:pt>
              <c:pt idx="749">
                <c:v>5.398333</c:v>
              </c:pt>
              <c:pt idx="750">
                <c:v>4.9749999999999996</c:v>
              </c:pt>
              <c:pt idx="751">
                <c:v>4.4450000000000003</c:v>
              </c:pt>
              <c:pt idx="752">
                <c:v>3.6883330000000001</c:v>
              </c:pt>
              <c:pt idx="753">
                <c:v>4.9733330000000002</c:v>
              </c:pt>
              <c:pt idx="754">
                <c:v>5.273333</c:v>
              </c:pt>
              <c:pt idx="755">
                <c:v>5.1166660000000004</c:v>
              </c:pt>
              <c:pt idx="756">
                <c:v>4.8666660000000004</c:v>
              </c:pt>
              <c:pt idx="757">
                <c:v>4.97</c:v>
              </c:pt>
              <c:pt idx="758">
                <c:v>4.693333</c:v>
              </c:pt>
              <c:pt idx="759">
                <c:v>4.7266659999999998</c:v>
              </c:pt>
              <c:pt idx="760">
                <c:v>4.6833330000000002</c:v>
              </c:pt>
              <c:pt idx="761">
                <c:v>4.2983330000000004</c:v>
              </c:pt>
              <c:pt idx="762">
                <c:v>4.3966659999999997</c:v>
              </c:pt>
              <c:pt idx="763">
                <c:v>4.1466659999999997</c:v>
              </c:pt>
              <c:pt idx="764">
                <c:v>3.8650000000000002</c:v>
              </c:pt>
              <c:pt idx="765">
                <c:v>4.2166670000000002</c:v>
              </c:pt>
              <c:pt idx="766">
                <c:v>4.4216670000000002</c:v>
              </c:pt>
              <c:pt idx="767">
                <c:v>4.2883339999999999</c:v>
              </c:pt>
              <c:pt idx="768">
                <c:v>4.53</c:v>
              </c:pt>
              <c:pt idx="769">
                <c:v>3.8133330000000001</c:v>
              </c:pt>
              <c:pt idx="770">
                <c:v>3.91</c:v>
              </c:pt>
              <c:pt idx="771">
                <c:v>3.648333</c:v>
              </c:pt>
              <c:pt idx="772">
                <c:v>4.5966670000000001</c:v>
              </c:pt>
              <c:pt idx="773">
                <c:v>5.2766669999999998</c:v>
              </c:pt>
              <c:pt idx="774">
                <c:v>4.0833339999999998</c:v>
              </c:pt>
              <c:pt idx="775">
                <c:v>4.4116660000000003</c:v>
              </c:pt>
              <c:pt idx="776">
                <c:v>3.5783330000000002</c:v>
              </c:pt>
              <c:pt idx="777">
                <c:v>4.0999999999999996</c:v>
              </c:pt>
              <c:pt idx="778">
                <c:v>4.4583339999999998</c:v>
              </c:pt>
              <c:pt idx="779">
                <c:v>4.5366660000000003</c:v>
              </c:pt>
              <c:pt idx="780">
                <c:v>4.1233339999999998</c:v>
              </c:pt>
              <c:pt idx="781">
                <c:v>4.0383339999999999</c:v>
              </c:pt>
              <c:pt idx="782">
                <c:v>4.3433330000000003</c:v>
              </c:pt>
              <c:pt idx="783">
                <c:v>4.3233329999999999</c:v>
              </c:pt>
              <c:pt idx="784">
                <c:v>4.6449999999999996</c:v>
              </c:pt>
              <c:pt idx="785">
                <c:v>4.1133329999999999</c:v>
              </c:pt>
              <c:pt idx="786">
                <c:v>4.6166660000000004</c:v>
              </c:pt>
              <c:pt idx="787">
                <c:v>4.3099999999999996</c:v>
              </c:pt>
              <c:pt idx="788">
                <c:v>3.2633329999999998</c:v>
              </c:pt>
              <c:pt idx="789">
                <c:v>2.8633329999999999</c:v>
              </c:pt>
              <c:pt idx="790">
                <c:v>4.0366660000000003</c:v>
              </c:pt>
              <c:pt idx="791">
                <c:v>4.4400000000000004</c:v>
              </c:pt>
              <c:pt idx="792">
                <c:v>4.0466670000000002</c:v>
              </c:pt>
              <c:pt idx="793">
                <c:v>3.5083329999999999</c:v>
              </c:pt>
              <c:pt idx="794">
                <c:v>3.7066669999999999</c:v>
              </c:pt>
              <c:pt idx="795">
                <c:v>3.656666</c:v>
              </c:pt>
              <c:pt idx="796">
                <c:v>3.411667</c:v>
              </c:pt>
              <c:pt idx="797">
                <c:v>3.4783330000000001</c:v>
              </c:pt>
              <c:pt idx="798">
                <c:v>4.6349999999999998</c:v>
              </c:pt>
              <c:pt idx="799">
                <c:v>4.0716659999999996</c:v>
              </c:pt>
              <c:pt idx="800">
                <c:v>4.516667</c:v>
              </c:pt>
              <c:pt idx="801">
                <c:v>4.2416660000000004</c:v>
              </c:pt>
              <c:pt idx="802">
                <c:v>4.0033339999999997</c:v>
              </c:pt>
              <c:pt idx="803">
                <c:v>3.568333</c:v>
              </c:pt>
              <c:pt idx="804">
                <c:v>3.1749999999999998</c:v>
              </c:pt>
              <c:pt idx="805">
                <c:v>3.46</c:v>
              </c:pt>
              <c:pt idx="806">
                <c:v>3.13</c:v>
              </c:pt>
              <c:pt idx="807">
                <c:v>3.1333329999999999</c:v>
              </c:pt>
              <c:pt idx="808">
                <c:v>2.5466669999999998</c:v>
              </c:pt>
              <c:pt idx="809">
                <c:v>3.7766670000000002</c:v>
              </c:pt>
              <c:pt idx="810">
                <c:v>4.1416659999999998</c:v>
              </c:pt>
              <c:pt idx="811">
                <c:v>3.7716660000000002</c:v>
              </c:pt>
              <c:pt idx="812">
                <c:v>3.2383329999999999</c:v>
              </c:pt>
              <c:pt idx="813">
                <c:v>3.6316660000000001</c:v>
              </c:pt>
              <c:pt idx="814">
                <c:v>3</c:v>
              </c:pt>
              <c:pt idx="815">
                <c:v>2.7416670000000001</c:v>
              </c:pt>
              <c:pt idx="816">
                <c:v>3.76</c:v>
              </c:pt>
              <c:pt idx="817">
                <c:v>4.3716660000000003</c:v>
              </c:pt>
              <c:pt idx="818">
                <c:v>4.2549999999999999</c:v>
              </c:pt>
              <c:pt idx="819">
                <c:v>3.3366660000000001</c:v>
              </c:pt>
              <c:pt idx="820">
                <c:v>4.2966670000000002</c:v>
              </c:pt>
              <c:pt idx="821">
                <c:v>4.375</c:v>
              </c:pt>
              <c:pt idx="822">
                <c:v>3.5350000000000001</c:v>
              </c:pt>
              <c:pt idx="823">
                <c:v>3.57</c:v>
              </c:pt>
              <c:pt idx="824">
                <c:v>3.486666</c:v>
              </c:pt>
              <c:pt idx="825">
                <c:v>3.3366660000000001</c:v>
              </c:pt>
              <c:pt idx="826">
                <c:v>3.0216669999999999</c:v>
              </c:pt>
              <c:pt idx="827">
                <c:v>3.0750000000000002</c:v>
              </c:pt>
              <c:pt idx="828">
                <c:v>4.7516660000000002</c:v>
              </c:pt>
              <c:pt idx="829">
                <c:v>4.8666660000000004</c:v>
              </c:pt>
              <c:pt idx="830">
                <c:v>4.2533329999999996</c:v>
              </c:pt>
              <c:pt idx="831">
                <c:v>4.1816659999999999</c:v>
              </c:pt>
              <c:pt idx="832">
                <c:v>4</c:v>
              </c:pt>
              <c:pt idx="833">
                <c:v>4.2549999999999999</c:v>
              </c:pt>
              <c:pt idx="834">
                <c:v>3.3316669999999999</c:v>
              </c:pt>
              <c:pt idx="835">
                <c:v>3.7033330000000002</c:v>
              </c:pt>
              <c:pt idx="836">
                <c:v>4.2383329999999999</c:v>
              </c:pt>
              <c:pt idx="837">
                <c:v>3.8116660000000002</c:v>
              </c:pt>
              <c:pt idx="838">
                <c:v>4.6900000000000004</c:v>
              </c:pt>
              <c:pt idx="839">
                <c:v>5.0583330000000002</c:v>
              </c:pt>
              <c:pt idx="840">
                <c:v>4.1816659999999999</c:v>
              </c:pt>
              <c:pt idx="841">
                <c:v>4.4916660000000004</c:v>
              </c:pt>
              <c:pt idx="842">
                <c:v>4.2466660000000003</c:v>
              </c:pt>
              <c:pt idx="843">
                <c:v>4.5</c:v>
              </c:pt>
              <c:pt idx="844">
                <c:v>4.5866660000000001</c:v>
              </c:pt>
              <c:pt idx="845">
                <c:v>4.0716669999999997</c:v>
              </c:pt>
              <c:pt idx="846">
                <c:v>3.823334</c:v>
              </c:pt>
              <c:pt idx="847">
                <c:v>3.6016659999999998</c:v>
              </c:pt>
              <c:pt idx="848">
                <c:v>3.443333</c:v>
              </c:pt>
              <c:pt idx="849">
                <c:v>4.62</c:v>
              </c:pt>
              <c:pt idx="850">
                <c:v>4.6466659999999997</c:v>
              </c:pt>
              <c:pt idx="851">
                <c:v>4.6116659999999996</c:v>
              </c:pt>
              <c:pt idx="852">
                <c:v>4.5049999999999999</c:v>
              </c:pt>
              <c:pt idx="853">
                <c:v>4.8933330000000002</c:v>
              </c:pt>
              <c:pt idx="854">
                <c:v>4.983333</c:v>
              </c:pt>
              <c:pt idx="855">
                <c:v>5.0333329999999998</c:v>
              </c:pt>
              <c:pt idx="856">
                <c:v>4.9883329999999999</c:v>
              </c:pt>
              <c:pt idx="857">
                <c:v>4.5583330000000002</c:v>
              </c:pt>
              <c:pt idx="858">
                <c:v>4.3550000000000004</c:v>
              </c:pt>
              <c:pt idx="859">
                <c:v>5.3116659999999998</c:v>
              </c:pt>
              <c:pt idx="860">
                <c:v>4.9233330000000004</c:v>
              </c:pt>
              <c:pt idx="861">
                <c:v>3.99</c:v>
              </c:pt>
              <c:pt idx="862">
                <c:v>4.2666659999999998</c:v>
              </c:pt>
              <c:pt idx="863">
                <c:v>4.3216659999999996</c:v>
              </c:pt>
              <c:pt idx="864">
                <c:v>4.0016660000000002</c:v>
              </c:pt>
              <c:pt idx="865">
                <c:v>4.45</c:v>
              </c:pt>
              <c:pt idx="866">
                <c:v>4.2716659999999997</c:v>
              </c:pt>
              <c:pt idx="867">
                <c:v>5.1366670000000001</c:v>
              </c:pt>
              <c:pt idx="868">
                <c:v>4.4766659999999998</c:v>
              </c:pt>
              <c:pt idx="869">
                <c:v>3.76</c:v>
              </c:pt>
              <c:pt idx="870">
                <c:v>4.7249999999999996</c:v>
              </c:pt>
              <c:pt idx="871">
                <c:v>4.4083329999999998</c:v>
              </c:pt>
              <c:pt idx="872">
                <c:v>5.068333</c:v>
              </c:pt>
              <c:pt idx="873">
                <c:v>4.6066659999999997</c:v>
              </c:pt>
              <c:pt idx="874">
                <c:v>3.8166669999999998</c:v>
              </c:pt>
              <c:pt idx="875">
                <c:v>4.358333</c:v>
              </c:pt>
              <c:pt idx="876">
                <c:v>3.72</c:v>
              </c:pt>
              <c:pt idx="877">
                <c:v>3.716666</c:v>
              </c:pt>
              <c:pt idx="878">
                <c:v>3.9216660000000001</c:v>
              </c:pt>
              <c:pt idx="879">
                <c:v>3.5449999999999999</c:v>
              </c:pt>
              <c:pt idx="880">
                <c:v>3.59</c:v>
              </c:pt>
              <c:pt idx="881">
                <c:v>3.7633329999999998</c:v>
              </c:pt>
              <c:pt idx="882">
                <c:v>3.818333</c:v>
              </c:pt>
              <c:pt idx="883">
                <c:v>3.6683330000000001</c:v>
              </c:pt>
              <c:pt idx="884">
                <c:v>3.8733330000000001</c:v>
              </c:pt>
              <c:pt idx="885">
                <c:v>3.3433329999999999</c:v>
              </c:pt>
              <c:pt idx="886">
                <c:v>3.69</c:v>
              </c:pt>
              <c:pt idx="887">
                <c:v>4.0033329999999996</c:v>
              </c:pt>
              <c:pt idx="888">
                <c:v>3.1</c:v>
              </c:pt>
              <c:pt idx="889">
                <c:v>2.9933329999999998</c:v>
              </c:pt>
              <c:pt idx="890">
                <c:v>3.483333</c:v>
              </c:pt>
              <c:pt idx="891">
                <c:v>3.6133329999999999</c:v>
              </c:pt>
              <c:pt idx="892">
                <c:v>2.9933329999999998</c:v>
              </c:pt>
              <c:pt idx="893">
                <c:v>2.89</c:v>
              </c:pt>
              <c:pt idx="894">
                <c:v>2.8816660000000001</c:v>
              </c:pt>
              <c:pt idx="895">
                <c:v>3.1833330000000002</c:v>
              </c:pt>
              <c:pt idx="896">
                <c:v>2.6333329999999999</c:v>
              </c:pt>
              <c:pt idx="897">
                <c:v>2.841666</c:v>
              </c:pt>
              <c:pt idx="898">
                <c:v>3.8516659999999998</c:v>
              </c:pt>
              <c:pt idx="899">
                <c:v>3.661667</c:v>
              </c:pt>
              <c:pt idx="900">
                <c:v>4.3766660000000002</c:v>
              </c:pt>
              <c:pt idx="901">
                <c:v>4.24</c:v>
              </c:pt>
              <c:pt idx="902">
                <c:v>4.1666660000000002</c:v>
              </c:pt>
              <c:pt idx="903">
                <c:v>3.6166659999999999</c:v>
              </c:pt>
              <c:pt idx="904">
                <c:v>4.318333</c:v>
              </c:pt>
              <c:pt idx="905">
                <c:v>4.0733329999999999</c:v>
              </c:pt>
              <c:pt idx="906">
                <c:v>4.4466659999999996</c:v>
              </c:pt>
              <c:pt idx="907">
                <c:v>4.5633330000000001</c:v>
              </c:pt>
              <c:pt idx="908">
                <c:v>4.6349999999999998</c:v>
              </c:pt>
              <c:pt idx="909">
                <c:v>4.6150000000000002</c:v>
              </c:pt>
              <c:pt idx="910">
                <c:v>4.3899999999999997</c:v>
              </c:pt>
              <c:pt idx="911">
                <c:v>4.1566660000000004</c:v>
              </c:pt>
              <c:pt idx="912">
                <c:v>3.98</c:v>
              </c:pt>
              <c:pt idx="913">
                <c:v>3.411667</c:v>
              </c:pt>
              <c:pt idx="914">
                <c:v>3.0066660000000001</c:v>
              </c:pt>
              <c:pt idx="915">
                <c:v>3.6416659999999998</c:v>
              </c:pt>
              <c:pt idx="916">
                <c:v>4.0766660000000003</c:v>
              </c:pt>
              <c:pt idx="917">
                <c:v>3.6883330000000001</c:v>
              </c:pt>
              <c:pt idx="918">
                <c:v>3.2933330000000001</c:v>
              </c:pt>
              <c:pt idx="919">
                <c:v>3.27</c:v>
              </c:pt>
              <c:pt idx="920">
                <c:v>3.3149999999999999</c:v>
              </c:pt>
              <c:pt idx="921">
                <c:v>3.0183330000000002</c:v>
              </c:pt>
              <c:pt idx="922">
                <c:v>3.0550000000000002</c:v>
              </c:pt>
              <c:pt idx="923">
                <c:v>3.3733330000000001</c:v>
              </c:pt>
              <c:pt idx="924">
                <c:v>2.8849999999999998</c:v>
              </c:pt>
              <c:pt idx="925">
                <c:v>2.818333</c:v>
              </c:pt>
              <c:pt idx="926">
                <c:v>3.0833330000000001</c:v>
              </c:pt>
              <c:pt idx="927">
                <c:v>2.6716660000000001</c:v>
              </c:pt>
              <c:pt idx="928">
                <c:v>2.7450000000000001</c:v>
              </c:pt>
              <c:pt idx="929">
                <c:v>3.96</c:v>
              </c:pt>
              <c:pt idx="930">
                <c:v>3.7549999999999999</c:v>
              </c:pt>
              <c:pt idx="931">
                <c:v>3.5766659999999999</c:v>
              </c:pt>
              <c:pt idx="932">
                <c:v>3.0449999999999999</c:v>
              </c:pt>
              <c:pt idx="933">
                <c:v>2.7033330000000002</c:v>
              </c:pt>
              <c:pt idx="934">
                <c:v>2.8483329999999998</c:v>
              </c:pt>
              <c:pt idx="935">
                <c:v>2.415</c:v>
              </c:pt>
              <c:pt idx="936">
                <c:v>3.4550000000000001</c:v>
              </c:pt>
              <c:pt idx="937">
                <c:v>3.3133330000000001</c:v>
              </c:pt>
              <c:pt idx="938">
                <c:v>3.3633329999999999</c:v>
              </c:pt>
              <c:pt idx="939">
                <c:v>3.2749999999999999</c:v>
              </c:pt>
              <c:pt idx="940">
                <c:v>2.83</c:v>
              </c:pt>
              <c:pt idx="941">
                <c:v>3.7349999999999999</c:v>
              </c:pt>
              <c:pt idx="942">
                <c:v>3.5266670000000002</c:v>
              </c:pt>
              <c:pt idx="943">
                <c:v>3.4033329999999999</c:v>
              </c:pt>
              <c:pt idx="944">
                <c:v>3.3683329999999998</c:v>
              </c:pt>
              <c:pt idx="945">
                <c:v>3.2683330000000002</c:v>
              </c:pt>
              <c:pt idx="946">
                <c:v>3.431667</c:v>
              </c:pt>
              <c:pt idx="947">
                <c:v>3.2183329999999999</c:v>
              </c:pt>
              <c:pt idx="948">
                <c:v>2.9950000000000001</c:v>
              </c:pt>
              <c:pt idx="949">
                <c:v>3.6716660000000001</c:v>
              </c:pt>
              <c:pt idx="950">
                <c:v>3.0983329999999998</c:v>
              </c:pt>
              <c:pt idx="951">
                <c:v>2.6383329999999998</c:v>
              </c:pt>
              <c:pt idx="952">
                <c:v>2.753333</c:v>
              </c:pt>
              <c:pt idx="953">
                <c:v>4.1066659999999997</c:v>
              </c:pt>
              <c:pt idx="954">
                <c:v>4.273333</c:v>
              </c:pt>
              <c:pt idx="955">
                <c:v>3.5383330000000002</c:v>
              </c:pt>
              <c:pt idx="956">
                <c:v>2.6383329999999998</c:v>
              </c:pt>
              <c:pt idx="957">
                <c:v>2.5249999999999999</c:v>
              </c:pt>
              <c:pt idx="958">
                <c:v>2.6749999999999998</c:v>
              </c:pt>
              <c:pt idx="959">
                <c:v>3.105</c:v>
              </c:pt>
              <c:pt idx="960">
                <c:v>3.4583330000000001</c:v>
              </c:pt>
              <c:pt idx="961">
                <c:v>2.5083329999999999</c:v>
              </c:pt>
              <c:pt idx="962">
                <c:v>2.8566669999999998</c:v>
              </c:pt>
              <c:pt idx="963">
                <c:v>2.5083329999999999</c:v>
              </c:pt>
              <c:pt idx="964">
                <c:v>3.088333</c:v>
              </c:pt>
              <c:pt idx="965">
                <c:v>2.9983330000000001</c:v>
              </c:pt>
              <c:pt idx="966">
                <c:v>2.9049999999999998</c:v>
              </c:pt>
              <c:pt idx="967">
                <c:v>3.17</c:v>
              </c:pt>
              <c:pt idx="968">
                <c:v>2.9133330000000002</c:v>
              </c:pt>
              <c:pt idx="969">
                <c:v>3.07</c:v>
              </c:pt>
              <c:pt idx="970">
                <c:v>2.8283330000000002</c:v>
              </c:pt>
              <c:pt idx="971">
                <c:v>2.6833330000000002</c:v>
              </c:pt>
              <c:pt idx="972">
                <c:v>3.548333</c:v>
              </c:pt>
              <c:pt idx="973">
                <c:v>3.3733330000000001</c:v>
              </c:pt>
              <c:pt idx="974">
                <c:v>2.48</c:v>
              </c:pt>
              <c:pt idx="975">
                <c:v>2.2349999999999999</c:v>
              </c:pt>
              <c:pt idx="976">
                <c:v>2.74</c:v>
              </c:pt>
              <c:pt idx="977">
                <c:v>3.3450000000000002</c:v>
              </c:pt>
              <c:pt idx="978">
                <c:v>3.38</c:v>
              </c:pt>
              <c:pt idx="979">
                <c:v>4.3383330000000004</c:v>
              </c:pt>
              <c:pt idx="980">
                <c:v>3.9516659999999999</c:v>
              </c:pt>
              <c:pt idx="981">
                <c:v>4.2216670000000001</c:v>
              </c:pt>
              <c:pt idx="982">
                <c:v>3.318333</c:v>
              </c:pt>
              <c:pt idx="983">
                <c:v>4.4000000000000004</c:v>
              </c:pt>
              <c:pt idx="984">
                <c:v>3.69</c:v>
              </c:pt>
              <c:pt idx="985">
                <c:v>4.3566659999999997</c:v>
              </c:pt>
              <c:pt idx="986">
                <c:v>4.273333</c:v>
              </c:pt>
              <c:pt idx="987">
                <c:v>3.2216670000000001</c:v>
              </c:pt>
              <c:pt idx="988">
                <c:v>2.8283330000000002</c:v>
              </c:pt>
              <c:pt idx="989">
                <c:v>2.7883330000000002</c:v>
              </c:pt>
              <c:pt idx="990">
                <c:v>2.4033329999999999</c:v>
              </c:pt>
              <c:pt idx="991">
                <c:v>3.3533330000000001</c:v>
              </c:pt>
              <c:pt idx="992">
                <c:v>3.1983329999999999</c:v>
              </c:pt>
              <c:pt idx="993">
                <c:v>1.476667</c:v>
              </c:pt>
              <c:pt idx="994">
                <c:v>2.6033330000000001</c:v>
              </c:pt>
              <c:pt idx="995">
                <c:v>3.5633330000000001</c:v>
              </c:pt>
              <c:pt idx="996">
                <c:v>1.8966670000000001</c:v>
              </c:pt>
              <c:pt idx="997">
                <c:v>2.2616670000000001</c:v>
              </c:pt>
              <c:pt idx="998">
                <c:v>3.52</c:v>
              </c:pt>
              <c:pt idx="999">
                <c:v>3.4616660000000001</c:v>
              </c:pt>
              <c:pt idx="1000">
                <c:v>2.9683329999999999</c:v>
              </c:pt>
              <c:pt idx="1001">
                <c:v>2.6383329999999998</c:v>
              </c:pt>
              <c:pt idx="1002">
                <c:v>1.3666670000000001</c:v>
              </c:pt>
              <c:pt idx="1003">
                <c:v>2.1333329999999999</c:v>
              </c:pt>
              <c:pt idx="1004">
                <c:v>2.19</c:v>
              </c:pt>
              <c:pt idx="1005">
                <c:v>2.0750000000000002</c:v>
              </c:pt>
              <c:pt idx="1006">
                <c:v>2.1516670000000002</c:v>
              </c:pt>
              <c:pt idx="1007">
                <c:v>1.7716670000000001</c:v>
              </c:pt>
              <c:pt idx="1008">
                <c:v>3.2483330000000001</c:v>
              </c:pt>
              <c:pt idx="1009">
                <c:v>2.9766659999999998</c:v>
              </c:pt>
              <c:pt idx="1010">
                <c:v>1.888333</c:v>
              </c:pt>
              <c:pt idx="1011">
                <c:v>1.9783329999999999</c:v>
              </c:pt>
              <c:pt idx="1012">
                <c:v>3.571666</c:v>
              </c:pt>
              <c:pt idx="1013">
                <c:v>4.5166659999999998</c:v>
              </c:pt>
              <c:pt idx="1014">
                <c:v>2.8250000000000002</c:v>
              </c:pt>
              <c:pt idx="1015">
                <c:v>2.75</c:v>
              </c:pt>
              <c:pt idx="1016">
                <c:v>2.1633330000000002</c:v>
              </c:pt>
              <c:pt idx="1017">
                <c:v>2.181667</c:v>
              </c:pt>
              <c:pt idx="1018">
                <c:v>2.08</c:v>
              </c:pt>
              <c:pt idx="1019">
                <c:v>2.5750000000000002</c:v>
              </c:pt>
              <c:pt idx="1020">
                <c:v>2.4866670000000002</c:v>
              </c:pt>
              <c:pt idx="1021">
                <c:v>2.4500000000000002</c:v>
              </c:pt>
              <c:pt idx="1022">
                <c:v>2.72</c:v>
              </c:pt>
              <c:pt idx="1023">
                <c:v>2.2966669999999998</c:v>
              </c:pt>
              <c:pt idx="1024">
                <c:v>2.3683329999999998</c:v>
              </c:pt>
              <c:pt idx="1025">
                <c:v>2.0666669999999998</c:v>
              </c:pt>
              <c:pt idx="1026">
                <c:v>2.733333</c:v>
              </c:pt>
              <c:pt idx="1027">
                <c:v>2.9983330000000001</c:v>
              </c:pt>
              <c:pt idx="1028">
                <c:v>3.898333</c:v>
              </c:pt>
              <c:pt idx="1029">
                <c:v>2.84</c:v>
              </c:pt>
              <c:pt idx="1030">
                <c:v>3.411667</c:v>
              </c:pt>
              <c:pt idx="1031">
                <c:v>2.773333</c:v>
              </c:pt>
              <c:pt idx="1032">
                <c:v>3.1783329999999999</c:v>
              </c:pt>
              <c:pt idx="1033">
                <c:v>3.0133329999999998</c:v>
              </c:pt>
              <c:pt idx="1034">
                <c:v>3.3666659999999999</c:v>
              </c:pt>
              <c:pt idx="1035">
                <c:v>3.3616670000000002</c:v>
              </c:pt>
              <c:pt idx="1036">
                <c:v>3.216666</c:v>
              </c:pt>
              <c:pt idx="1037">
                <c:v>2.8083330000000002</c:v>
              </c:pt>
              <c:pt idx="1038">
                <c:v>3.2650000000000001</c:v>
              </c:pt>
              <c:pt idx="1039">
                <c:v>2.911667</c:v>
              </c:pt>
              <c:pt idx="1040">
                <c:v>2.8766660000000002</c:v>
              </c:pt>
              <c:pt idx="1041">
                <c:v>3.1416659999999998</c:v>
              </c:pt>
              <c:pt idx="1042">
                <c:v>4.3066659999999999</c:v>
              </c:pt>
              <c:pt idx="1043">
                <c:v>3.3966660000000002</c:v>
              </c:pt>
              <c:pt idx="1044">
                <c:v>2.7949999999999999</c:v>
              </c:pt>
              <c:pt idx="1045">
                <c:v>4.1333330000000004</c:v>
              </c:pt>
              <c:pt idx="1046">
                <c:v>2.8466670000000001</c:v>
              </c:pt>
              <c:pt idx="1047">
                <c:v>3.3166669999999998</c:v>
              </c:pt>
              <c:pt idx="1048">
                <c:v>2.7883330000000002</c:v>
              </c:pt>
              <c:pt idx="1049">
                <c:v>1.44</c:v>
              </c:pt>
              <c:pt idx="1050">
                <c:v>2.4649999999999999</c:v>
              </c:pt>
              <c:pt idx="1051">
                <c:v>2.335</c:v>
              </c:pt>
              <c:pt idx="1052">
                <c:v>2.4883329999999999</c:v>
              </c:pt>
              <c:pt idx="1053">
                <c:v>2.193333</c:v>
              </c:pt>
              <c:pt idx="1054">
                <c:v>3.371667</c:v>
              </c:pt>
              <c:pt idx="1055">
                <c:v>1.933333</c:v>
              </c:pt>
              <c:pt idx="1056">
                <c:v>2.2683330000000002</c:v>
              </c:pt>
              <c:pt idx="1057">
                <c:v>2.3083330000000002</c:v>
              </c:pt>
              <c:pt idx="1058">
                <c:v>2.141667</c:v>
              </c:pt>
              <c:pt idx="1059">
                <c:v>2.6166670000000001</c:v>
              </c:pt>
              <c:pt idx="1060">
                <c:v>3.088333</c:v>
              </c:pt>
              <c:pt idx="1061">
                <c:v>3.496667</c:v>
              </c:pt>
              <c:pt idx="1062">
                <c:v>2.7966660000000001</c:v>
              </c:pt>
              <c:pt idx="1063">
                <c:v>4.1150000000000002</c:v>
              </c:pt>
              <c:pt idx="1064">
                <c:v>3.676666</c:v>
              </c:pt>
              <c:pt idx="1065">
                <c:v>2.81</c:v>
              </c:pt>
              <c:pt idx="1066">
                <c:v>3.895</c:v>
              </c:pt>
              <c:pt idx="1067">
                <c:v>3.36</c:v>
              </c:pt>
              <c:pt idx="1068">
                <c:v>3.4583330000000001</c:v>
              </c:pt>
              <c:pt idx="1069">
                <c:v>2.571666</c:v>
              </c:pt>
              <c:pt idx="1070">
                <c:v>4.2350000000000003</c:v>
              </c:pt>
              <c:pt idx="1071">
                <c:v>3.2</c:v>
              </c:pt>
              <c:pt idx="1072">
                <c:v>3.9766659999999998</c:v>
              </c:pt>
              <c:pt idx="1073">
                <c:v>2.673333</c:v>
              </c:pt>
              <c:pt idx="1074">
                <c:v>3.78</c:v>
              </c:pt>
              <c:pt idx="1075">
                <c:v>2.9916670000000001</c:v>
              </c:pt>
              <c:pt idx="1076">
                <c:v>3.361666</c:v>
              </c:pt>
              <c:pt idx="1077">
                <c:v>3.0333329999999998</c:v>
              </c:pt>
              <c:pt idx="1078">
                <c:v>2.7833329999999998</c:v>
              </c:pt>
              <c:pt idx="1079">
                <c:v>3.636666</c:v>
              </c:pt>
              <c:pt idx="1080">
                <c:v>3.2083330000000001</c:v>
              </c:pt>
              <c:pt idx="1081">
                <c:v>3.5783330000000002</c:v>
              </c:pt>
              <c:pt idx="1082">
                <c:v>3.213333</c:v>
              </c:pt>
              <c:pt idx="1083">
                <c:v>3.108333</c:v>
              </c:pt>
              <c:pt idx="1084">
                <c:v>2.963333</c:v>
              </c:pt>
              <c:pt idx="1085">
                <c:v>2.65</c:v>
              </c:pt>
              <c:pt idx="1086">
                <c:v>2.8116660000000002</c:v>
              </c:pt>
              <c:pt idx="1087">
                <c:v>2.7616670000000001</c:v>
              </c:pt>
              <c:pt idx="1088">
                <c:v>3.5566659999999999</c:v>
              </c:pt>
              <c:pt idx="1089">
                <c:v>3.301666</c:v>
              </c:pt>
              <c:pt idx="1090">
                <c:v>3.0249999999999999</c:v>
              </c:pt>
              <c:pt idx="1091">
                <c:v>3.1683330000000001</c:v>
              </c:pt>
              <c:pt idx="1092">
                <c:v>2.64</c:v>
              </c:pt>
              <c:pt idx="1093">
                <c:v>3.4366660000000002</c:v>
              </c:pt>
              <c:pt idx="1094">
                <c:v>2.946666</c:v>
              </c:pt>
              <c:pt idx="1095">
                <c:v>2.9216660000000001</c:v>
              </c:pt>
              <c:pt idx="1096">
                <c:v>2.7683330000000002</c:v>
              </c:pt>
              <c:pt idx="1097">
                <c:v>2.326667</c:v>
              </c:pt>
              <c:pt idx="1098">
                <c:v>2.2883330000000002</c:v>
              </c:pt>
              <c:pt idx="1099">
                <c:v>2.21</c:v>
              </c:pt>
              <c:pt idx="1100">
                <c:v>3.761666</c:v>
              </c:pt>
              <c:pt idx="1101">
                <c:v>3.1066669999999998</c:v>
              </c:pt>
              <c:pt idx="1102">
                <c:v>3.1816659999999999</c:v>
              </c:pt>
              <c:pt idx="1103">
                <c:v>3.6416659999999998</c:v>
              </c:pt>
              <c:pt idx="1104">
                <c:v>4.2216670000000001</c:v>
              </c:pt>
              <c:pt idx="1105">
                <c:v>3.18</c:v>
              </c:pt>
              <c:pt idx="1106">
                <c:v>2.923333</c:v>
              </c:pt>
              <c:pt idx="1107">
                <c:v>3.2966660000000001</c:v>
              </c:pt>
              <c:pt idx="1108">
                <c:v>3.5649999999999999</c:v>
              </c:pt>
              <c:pt idx="1109">
                <c:v>3.7366670000000002</c:v>
              </c:pt>
              <c:pt idx="1110">
                <c:v>3.121667</c:v>
              </c:pt>
              <c:pt idx="1111">
                <c:v>2.96</c:v>
              </c:pt>
              <c:pt idx="1112">
                <c:v>3.6866660000000002</c:v>
              </c:pt>
              <c:pt idx="1113">
                <c:v>3.286667</c:v>
              </c:pt>
              <c:pt idx="1114">
                <c:v>2.9083329999999998</c:v>
              </c:pt>
              <c:pt idx="1115">
                <c:v>3.36</c:v>
              </c:pt>
              <c:pt idx="1116">
                <c:v>3.3133330000000001</c:v>
              </c:pt>
              <c:pt idx="1117">
                <c:v>2.7483330000000001</c:v>
              </c:pt>
              <c:pt idx="1118">
                <c:v>3.386666</c:v>
              </c:pt>
              <c:pt idx="1119">
                <c:v>3.891667</c:v>
              </c:pt>
              <c:pt idx="1120">
                <c:v>3.2266659999999998</c:v>
              </c:pt>
              <c:pt idx="1121">
                <c:v>4.2283330000000001</c:v>
              </c:pt>
              <c:pt idx="1122">
                <c:v>3.781666</c:v>
              </c:pt>
              <c:pt idx="1123">
                <c:v>2.3316669999999999</c:v>
              </c:pt>
              <c:pt idx="1124">
                <c:v>1.788333</c:v>
              </c:pt>
              <c:pt idx="1125">
                <c:v>1.976667</c:v>
              </c:pt>
              <c:pt idx="1126">
                <c:v>3.4366660000000002</c:v>
              </c:pt>
              <c:pt idx="1127">
                <c:v>3.5866660000000001</c:v>
              </c:pt>
              <c:pt idx="1128">
                <c:v>3.2433329999999998</c:v>
              </c:pt>
              <c:pt idx="1129">
                <c:v>2.0649999999999999</c:v>
              </c:pt>
              <c:pt idx="1130">
                <c:v>3.128333</c:v>
              </c:pt>
              <c:pt idx="1131">
                <c:v>2.5383330000000002</c:v>
              </c:pt>
              <c:pt idx="1132">
                <c:v>2.4849999999999999</c:v>
              </c:pt>
              <c:pt idx="1133">
                <c:v>2.6533329999999999</c:v>
              </c:pt>
              <c:pt idx="1134">
                <c:v>2.838333</c:v>
              </c:pt>
              <c:pt idx="1135">
                <c:v>3.503333</c:v>
              </c:pt>
              <c:pt idx="1136">
                <c:v>2.8883329999999998</c:v>
              </c:pt>
              <c:pt idx="1137">
                <c:v>3.3</c:v>
              </c:pt>
              <c:pt idx="1138">
                <c:v>3.716666</c:v>
              </c:pt>
              <c:pt idx="1139">
                <c:v>3.1549999999999998</c:v>
              </c:pt>
              <c:pt idx="1140">
                <c:v>2.855</c:v>
              </c:pt>
              <c:pt idx="1141">
                <c:v>3.2850000000000001</c:v>
              </c:pt>
              <c:pt idx="1142">
                <c:v>3.4083329999999998</c:v>
              </c:pt>
              <c:pt idx="1143">
                <c:v>2.0299999999999998</c:v>
              </c:pt>
              <c:pt idx="1144">
                <c:v>2.7616670000000001</c:v>
              </c:pt>
              <c:pt idx="1145">
                <c:v>2.2933330000000001</c:v>
              </c:pt>
              <c:pt idx="1146">
                <c:v>2.3333330000000001</c:v>
              </c:pt>
              <c:pt idx="1147">
                <c:v>2.121667</c:v>
              </c:pt>
              <c:pt idx="1148">
                <c:v>2.628333</c:v>
              </c:pt>
              <c:pt idx="1149">
                <c:v>2.963333</c:v>
              </c:pt>
              <c:pt idx="1150">
                <c:v>2.4533330000000002</c:v>
              </c:pt>
              <c:pt idx="1151">
                <c:v>3.036667</c:v>
              </c:pt>
              <c:pt idx="1152">
                <c:v>2.0316670000000001</c:v>
              </c:pt>
              <c:pt idx="1153">
                <c:v>2.34</c:v>
              </c:pt>
              <c:pt idx="1154">
                <c:v>2.4849999999999999</c:v>
              </c:pt>
              <c:pt idx="1155">
                <c:v>1.6683330000000001</c:v>
              </c:pt>
              <c:pt idx="1156">
                <c:v>1.786667</c:v>
              </c:pt>
              <c:pt idx="1157">
                <c:v>1.788333</c:v>
              </c:pt>
              <c:pt idx="1158">
                <c:v>2.048333</c:v>
              </c:pt>
              <c:pt idx="1159">
                <c:v>2.42</c:v>
              </c:pt>
              <c:pt idx="1160">
                <c:v>2.35</c:v>
              </c:pt>
              <c:pt idx="1161">
                <c:v>1.8333330000000001</c:v>
              </c:pt>
              <c:pt idx="1162">
                <c:v>2.16</c:v>
              </c:pt>
              <c:pt idx="1163">
                <c:v>1.7916669999999999</c:v>
              </c:pt>
              <c:pt idx="1164">
                <c:v>1.62</c:v>
              </c:pt>
              <c:pt idx="1165">
                <c:v>2.398333</c:v>
              </c:pt>
              <c:pt idx="1166">
                <c:v>2.4416669999999998</c:v>
              </c:pt>
              <c:pt idx="1167">
                <c:v>2.2999999999999998</c:v>
              </c:pt>
              <c:pt idx="1168">
                <c:v>2.41</c:v>
              </c:pt>
              <c:pt idx="1169">
                <c:v>2.81</c:v>
              </c:pt>
              <c:pt idx="1170">
                <c:v>2.2183329999999999</c:v>
              </c:pt>
              <c:pt idx="1171">
                <c:v>2.4700000000000002</c:v>
              </c:pt>
              <c:pt idx="1172">
                <c:v>2.1883330000000001</c:v>
              </c:pt>
              <c:pt idx="1173">
                <c:v>2.6333329999999999</c:v>
              </c:pt>
              <c:pt idx="1174">
                <c:v>2.173333</c:v>
              </c:pt>
              <c:pt idx="1175">
                <c:v>2.301666</c:v>
              </c:pt>
              <c:pt idx="1176">
                <c:v>3.0016660000000002</c:v>
              </c:pt>
              <c:pt idx="1177">
                <c:v>3.2783329999999999</c:v>
              </c:pt>
              <c:pt idx="1178">
                <c:v>2.5249999999999999</c:v>
              </c:pt>
              <c:pt idx="1179">
                <c:v>2.1683330000000001</c:v>
              </c:pt>
              <c:pt idx="1180">
                <c:v>2.6850000000000001</c:v>
              </c:pt>
              <c:pt idx="1181">
                <c:v>2.4916670000000001</c:v>
              </c:pt>
              <c:pt idx="1182">
                <c:v>2.818333</c:v>
              </c:pt>
              <c:pt idx="1183">
                <c:v>2.7883330000000002</c:v>
              </c:pt>
              <c:pt idx="1184">
                <c:v>2.7433329999999998</c:v>
              </c:pt>
              <c:pt idx="1185">
                <c:v>3.0983329999999998</c:v>
              </c:pt>
              <c:pt idx="1186">
                <c:v>2.3650000000000002</c:v>
              </c:pt>
              <c:pt idx="1187">
                <c:v>3.05</c:v>
              </c:pt>
              <c:pt idx="1188">
                <c:v>3.5283340000000001</c:v>
              </c:pt>
              <c:pt idx="1189">
                <c:v>3.301666</c:v>
              </c:pt>
              <c:pt idx="1190">
                <c:v>2.588333</c:v>
              </c:pt>
              <c:pt idx="1191">
                <c:v>2.5733329999999999</c:v>
              </c:pt>
              <c:pt idx="1192">
                <c:v>2.3083330000000002</c:v>
              </c:pt>
              <c:pt idx="1193">
                <c:v>1.326667</c:v>
              </c:pt>
              <c:pt idx="1194">
                <c:v>1.8133330000000001</c:v>
              </c:pt>
              <c:pt idx="1195">
                <c:v>1.818333</c:v>
              </c:pt>
              <c:pt idx="1196">
                <c:v>2.128333</c:v>
              </c:pt>
              <c:pt idx="1197">
                <c:v>2.0350000000000001</c:v>
              </c:pt>
              <c:pt idx="1198">
                <c:v>2.04</c:v>
              </c:pt>
              <c:pt idx="1199">
                <c:v>2.0433330000000001</c:v>
              </c:pt>
              <c:pt idx="1200">
                <c:v>2.3566669999999998</c:v>
              </c:pt>
              <c:pt idx="1201">
                <c:v>2.5933329999999999</c:v>
              </c:pt>
              <c:pt idx="1202">
                <c:v>2.3666670000000001</c:v>
              </c:pt>
              <c:pt idx="1203">
                <c:v>2.1066669999999998</c:v>
              </c:pt>
              <c:pt idx="1204">
                <c:v>1.605</c:v>
              </c:pt>
              <c:pt idx="1205">
                <c:v>0.99666659999999996</c:v>
              </c:pt>
              <c:pt idx="1206">
                <c:v>0.78</c:v>
              </c:pt>
              <c:pt idx="1207">
                <c:v>1.135</c:v>
              </c:pt>
              <c:pt idx="1208">
                <c:v>1.3466670000000001</c:v>
              </c:pt>
              <c:pt idx="1209">
                <c:v>0.94</c:v>
              </c:pt>
              <c:pt idx="1210">
                <c:v>0</c:v>
              </c:pt>
              <c:pt idx="1211">
                <c:v>0</c:v>
              </c:pt>
              <c:pt idx="1212">
                <c:v>0.66500000000000004</c:v>
              </c:pt>
              <c:pt idx="1213">
                <c:v>1.02</c:v>
              </c:pt>
              <c:pt idx="1214">
                <c:v>1.398333</c:v>
              </c:pt>
              <c:pt idx="1215">
                <c:v>1.576667</c:v>
              </c:pt>
              <c:pt idx="1216">
                <c:v>1.713333</c:v>
              </c:pt>
              <c:pt idx="1217">
                <c:v>1.4450000000000001</c:v>
              </c:pt>
              <c:pt idx="1218">
                <c:v>1.47</c:v>
              </c:pt>
              <c:pt idx="1219">
                <c:v>1.52</c:v>
              </c:pt>
              <c:pt idx="1220">
                <c:v>1.618333</c:v>
              </c:pt>
              <c:pt idx="1221">
                <c:v>1.631667</c:v>
              </c:pt>
              <c:pt idx="1222">
                <c:v>1.6133329999999999</c:v>
              </c:pt>
              <c:pt idx="1223">
                <c:v>1.4783329999999999</c:v>
              </c:pt>
              <c:pt idx="1224">
                <c:v>1.61</c:v>
              </c:pt>
              <c:pt idx="1225">
                <c:v>1.538333</c:v>
              </c:pt>
              <c:pt idx="1226">
                <c:v>1.6683330000000001</c:v>
              </c:pt>
              <c:pt idx="1227">
                <c:v>1.63</c:v>
              </c:pt>
              <c:pt idx="1228">
                <c:v>1.746667</c:v>
              </c:pt>
              <c:pt idx="1229">
                <c:v>1.6566669999999999</c:v>
              </c:pt>
              <c:pt idx="1230">
                <c:v>1.8933329999999999</c:v>
              </c:pt>
              <c:pt idx="1231">
                <c:v>1.546667</c:v>
              </c:pt>
              <c:pt idx="1232">
                <c:v>1.4350000000000001</c:v>
              </c:pt>
              <c:pt idx="1233">
                <c:v>1.635</c:v>
              </c:pt>
              <c:pt idx="1234">
                <c:v>1.635</c:v>
              </c:pt>
              <c:pt idx="1235">
                <c:v>1.7949999999999999</c:v>
              </c:pt>
              <c:pt idx="1236">
                <c:v>1.53</c:v>
              </c:pt>
              <c:pt idx="1237">
                <c:v>1.5449999999999999</c:v>
              </c:pt>
              <c:pt idx="1238">
                <c:v>1.575</c:v>
              </c:pt>
              <c:pt idx="1239">
                <c:v>1.486667</c:v>
              </c:pt>
              <c:pt idx="1240">
                <c:v>2.121667</c:v>
              </c:pt>
              <c:pt idx="1241">
                <c:v>1.33</c:v>
              </c:pt>
              <c:pt idx="1242">
                <c:v>1.233333</c:v>
              </c:pt>
              <c:pt idx="1243">
                <c:v>1.1166670000000001</c:v>
              </c:pt>
              <c:pt idx="1244">
                <c:v>1.743333</c:v>
              </c:pt>
              <c:pt idx="1245">
                <c:v>1.4850000000000001</c:v>
              </c:pt>
              <c:pt idx="1246">
                <c:v>1.5416669999999999</c:v>
              </c:pt>
              <c:pt idx="1247">
                <c:v>1.8566670000000001</c:v>
              </c:pt>
              <c:pt idx="1248">
                <c:v>1.86</c:v>
              </c:pt>
              <c:pt idx="1249">
                <c:v>1.6883330000000001</c:v>
              </c:pt>
              <c:pt idx="1250">
                <c:v>1.7683329999999999</c:v>
              </c:pt>
              <c:pt idx="1251">
                <c:v>1.6983330000000001</c:v>
              </c:pt>
              <c:pt idx="1252">
                <c:v>1.388333</c:v>
              </c:pt>
              <c:pt idx="1253">
                <c:v>1.516667</c:v>
              </c:pt>
              <c:pt idx="1254">
                <c:v>1.546667</c:v>
              </c:pt>
              <c:pt idx="1255">
                <c:v>1.7416670000000001</c:v>
              </c:pt>
              <c:pt idx="1256">
                <c:v>1.56</c:v>
              </c:pt>
              <c:pt idx="1257">
                <c:v>1.5933330000000001</c:v>
              </c:pt>
              <c:pt idx="1258">
                <c:v>1.5816669999999999</c:v>
              </c:pt>
              <c:pt idx="1259">
                <c:v>1.6966669999999999</c:v>
              </c:pt>
              <c:pt idx="1260">
                <c:v>1.486667</c:v>
              </c:pt>
              <c:pt idx="1261">
                <c:v>1.818333</c:v>
              </c:pt>
              <c:pt idx="1262">
                <c:v>1.431667</c:v>
              </c:pt>
              <c:pt idx="1263">
                <c:v>1.6666669999999999</c:v>
              </c:pt>
              <c:pt idx="1264">
                <c:v>1.381667</c:v>
              </c:pt>
              <c:pt idx="1265">
                <c:v>1.4166669999999999</c:v>
              </c:pt>
              <c:pt idx="1266">
                <c:v>2.048333</c:v>
              </c:pt>
              <c:pt idx="1267">
                <c:v>1.25</c:v>
              </c:pt>
              <c:pt idx="1268">
                <c:v>1.405</c:v>
              </c:pt>
              <c:pt idx="1269">
                <c:v>1.711667</c:v>
              </c:pt>
              <c:pt idx="1270">
                <c:v>1.443333</c:v>
              </c:pt>
              <c:pt idx="1271">
                <c:v>1.308333</c:v>
              </c:pt>
              <c:pt idx="1272">
                <c:v>1.5416669999999999</c:v>
              </c:pt>
              <c:pt idx="1273">
                <c:v>1.211667</c:v>
              </c:pt>
              <c:pt idx="1274">
                <c:v>1.148333</c:v>
              </c:pt>
              <c:pt idx="1275">
                <c:v>0.88833340000000005</c:v>
              </c:pt>
              <c:pt idx="1276">
                <c:v>1.6533329999999999</c:v>
              </c:pt>
              <c:pt idx="1277">
                <c:v>1.7016659999999999</c:v>
              </c:pt>
              <c:pt idx="1278">
                <c:v>1.0533330000000001</c:v>
              </c:pt>
              <c:pt idx="1279">
                <c:v>1.108333</c:v>
              </c:pt>
              <c:pt idx="1280">
                <c:v>1.0249999999999999</c:v>
              </c:pt>
              <c:pt idx="1281">
                <c:v>0.85166660000000005</c:v>
              </c:pt>
              <c:pt idx="1282">
                <c:v>1.1850000000000001</c:v>
              </c:pt>
              <c:pt idx="1283">
                <c:v>1.378333</c:v>
              </c:pt>
              <c:pt idx="1284">
                <c:v>1.026667</c:v>
              </c:pt>
              <c:pt idx="1285">
                <c:v>1.1299999999999999</c:v>
              </c:pt>
              <c:pt idx="1286">
                <c:v>1.1883330000000001</c:v>
              </c:pt>
              <c:pt idx="1287">
                <c:v>1.4366669999999999</c:v>
              </c:pt>
              <c:pt idx="1288">
                <c:v>0.95</c:v>
              </c:pt>
              <c:pt idx="1289">
                <c:v>1.0083329999999999</c:v>
              </c:pt>
              <c:pt idx="1290">
                <c:v>0.83499999999999996</c:v>
              </c:pt>
              <c:pt idx="1291">
                <c:v>1.0516669999999999</c:v>
              </c:pt>
              <c:pt idx="1292">
                <c:v>1.171667</c:v>
              </c:pt>
              <c:pt idx="1293">
                <c:v>1.0833330000000001</c:v>
              </c:pt>
              <c:pt idx="1294">
                <c:v>0.98999990000000004</c:v>
              </c:pt>
              <c:pt idx="1295">
                <c:v>1.44</c:v>
              </c:pt>
              <c:pt idx="1296">
                <c:v>1.5016670000000001</c:v>
              </c:pt>
              <c:pt idx="1297">
                <c:v>1.5349999999999999</c:v>
              </c:pt>
              <c:pt idx="1298">
                <c:v>2.0383330000000002</c:v>
              </c:pt>
              <c:pt idx="1299">
                <c:v>1.711667</c:v>
              </c:pt>
              <c:pt idx="1300">
                <c:v>1.7483329999999999</c:v>
              </c:pt>
              <c:pt idx="1301">
                <c:v>1.4483330000000001</c:v>
              </c:pt>
              <c:pt idx="1302">
                <c:v>1.2933330000000001</c:v>
              </c:pt>
              <c:pt idx="1303">
                <c:v>0.83166660000000003</c:v>
              </c:pt>
              <c:pt idx="1304">
                <c:v>1.655</c:v>
              </c:pt>
              <c:pt idx="1305">
                <c:v>1.38</c:v>
              </c:pt>
              <c:pt idx="1306">
                <c:v>1.7683329999999999</c:v>
              </c:pt>
              <c:pt idx="1307">
                <c:v>1.78</c:v>
              </c:pt>
              <c:pt idx="1308">
                <c:v>1.496667</c:v>
              </c:pt>
              <c:pt idx="1309">
                <c:v>1.43</c:v>
              </c:pt>
              <c:pt idx="1310">
                <c:v>1.0516669999999999</c:v>
              </c:pt>
              <c:pt idx="1311">
                <c:v>1.913333</c:v>
              </c:pt>
              <c:pt idx="1312">
                <c:v>1.3</c:v>
              </c:pt>
              <c:pt idx="1313">
                <c:v>1.2166669999999999</c:v>
              </c:pt>
              <c:pt idx="1314">
                <c:v>1.2066669999999999</c:v>
              </c:pt>
              <c:pt idx="1315">
                <c:v>1.18</c:v>
              </c:pt>
              <c:pt idx="1316">
                <c:v>1.5449999999999999</c:v>
              </c:pt>
              <c:pt idx="1317">
                <c:v>1.381667</c:v>
              </c:pt>
              <c:pt idx="1318">
                <c:v>1.3966670000000001</c:v>
              </c:pt>
              <c:pt idx="1319">
                <c:v>1.6</c:v>
              </c:pt>
              <c:pt idx="1320">
                <c:v>1.47</c:v>
              </c:pt>
              <c:pt idx="1321">
                <c:v>1.4083330000000001</c:v>
              </c:pt>
              <c:pt idx="1322">
                <c:v>1.358333</c:v>
              </c:pt>
              <c:pt idx="1323">
                <c:v>1.9083330000000001</c:v>
              </c:pt>
              <c:pt idx="1324">
                <c:v>1.4666669999999999</c:v>
              </c:pt>
              <c:pt idx="1325">
                <c:v>1.4383330000000001</c:v>
              </c:pt>
              <c:pt idx="1326">
                <c:v>1.4450000000000001</c:v>
              </c:pt>
              <c:pt idx="1327">
                <c:v>1.7783329999999999</c:v>
              </c:pt>
              <c:pt idx="1328">
                <c:v>1.52</c:v>
              </c:pt>
              <c:pt idx="1329">
                <c:v>2.1800000000000002</c:v>
              </c:pt>
              <c:pt idx="1330">
                <c:v>2.0966670000000001</c:v>
              </c:pt>
              <c:pt idx="1331">
                <c:v>2.0866669999999998</c:v>
              </c:pt>
              <c:pt idx="1332">
                <c:v>1.9283330000000001</c:v>
              </c:pt>
              <c:pt idx="1333">
                <c:v>2.2050000000000001</c:v>
              </c:pt>
              <c:pt idx="1334">
                <c:v>2.0583330000000002</c:v>
              </c:pt>
              <c:pt idx="1335">
                <c:v>1.5049999999999999</c:v>
              </c:pt>
              <c:pt idx="1336">
                <c:v>3.0449999999999999</c:v>
              </c:pt>
              <c:pt idx="1337">
                <c:v>1.808333</c:v>
              </c:pt>
              <c:pt idx="1338">
                <c:v>2.355</c:v>
              </c:pt>
              <c:pt idx="1339">
                <c:v>2.181667</c:v>
              </c:pt>
              <c:pt idx="1340">
                <c:v>2.11</c:v>
              </c:pt>
              <c:pt idx="1341">
                <c:v>2.145</c:v>
              </c:pt>
              <c:pt idx="1342">
                <c:v>1.925</c:v>
              </c:pt>
              <c:pt idx="1343">
                <c:v>1.651667</c:v>
              </c:pt>
              <c:pt idx="1344">
                <c:v>1.9450000000000001</c:v>
              </c:pt>
              <c:pt idx="1345">
                <c:v>2.9783330000000001</c:v>
              </c:pt>
              <c:pt idx="1346">
                <c:v>1.93</c:v>
              </c:pt>
              <c:pt idx="1347">
                <c:v>2.0750000000000002</c:v>
              </c:pt>
              <c:pt idx="1348">
                <c:v>2.3666670000000001</c:v>
              </c:pt>
              <c:pt idx="1349">
                <c:v>2.576667</c:v>
              </c:pt>
              <c:pt idx="1350">
                <c:v>2.73</c:v>
              </c:pt>
              <c:pt idx="1351">
                <c:v>3.2033330000000002</c:v>
              </c:pt>
              <c:pt idx="1352">
                <c:v>2.7283330000000001</c:v>
              </c:pt>
              <c:pt idx="1353">
                <c:v>1.4083330000000001</c:v>
              </c:pt>
              <c:pt idx="1354">
                <c:v>2.6983329999999999</c:v>
              </c:pt>
              <c:pt idx="1355">
                <c:v>2.216666</c:v>
              </c:pt>
              <c:pt idx="1356">
                <c:v>2.378333</c:v>
              </c:pt>
              <c:pt idx="1357">
                <c:v>2.226667</c:v>
              </c:pt>
              <c:pt idx="1358">
                <c:v>2.61</c:v>
              </c:pt>
              <c:pt idx="1359">
                <c:v>3.67</c:v>
              </c:pt>
              <c:pt idx="1360">
                <c:v>2.5416669999999999</c:v>
              </c:pt>
              <c:pt idx="1361">
                <c:v>2.875</c:v>
              </c:pt>
              <c:pt idx="1362">
                <c:v>2.2450000000000001</c:v>
              </c:pt>
              <c:pt idx="1363">
                <c:v>1.951667</c:v>
              </c:pt>
              <c:pt idx="1364">
                <c:v>1.598333</c:v>
              </c:pt>
              <c:pt idx="1365">
                <c:v>2.2999999999999998</c:v>
              </c:pt>
              <c:pt idx="1366">
                <c:v>2.003333</c:v>
              </c:pt>
              <c:pt idx="1367">
                <c:v>1.536667</c:v>
              </c:pt>
              <c:pt idx="1368">
                <c:v>1.9916670000000001</c:v>
              </c:pt>
              <c:pt idx="1369">
                <c:v>1.851667</c:v>
              </c:pt>
              <c:pt idx="1370">
                <c:v>1.608333</c:v>
              </c:pt>
              <c:pt idx="1371">
                <c:v>1.5183329999999999</c:v>
              </c:pt>
              <c:pt idx="1372">
                <c:v>2.1066669999999998</c:v>
              </c:pt>
              <c:pt idx="1373">
                <c:v>2.4916670000000001</c:v>
              </c:pt>
              <c:pt idx="1374">
                <c:v>1.4716670000000001</c:v>
              </c:pt>
              <c:pt idx="1375">
                <c:v>1.79</c:v>
              </c:pt>
              <c:pt idx="1376">
                <c:v>1.8966670000000001</c:v>
              </c:pt>
              <c:pt idx="1377">
                <c:v>1.6233329999999999</c:v>
              </c:pt>
              <c:pt idx="1378">
                <c:v>1.828333</c:v>
              </c:pt>
              <c:pt idx="1379">
                <c:v>1.648333</c:v>
              </c:pt>
              <c:pt idx="1380">
                <c:v>2.67</c:v>
              </c:pt>
              <c:pt idx="1381">
                <c:v>2.2783329999999999</c:v>
              </c:pt>
              <c:pt idx="1382">
                <c:v>1.6566669999999999</c:v>
              </c:pt>
              <c:pt idx="1383">
                <c:v>1.92</c:v>
              </c:pt>
              <c:pt idx="1384">
                <c:v>1.9316660000000001</c:v>
              </c:pt>
              <c:pt idx="1385">
                <c:v>2.176666</c:v>
              </c:pt>
              <c:pt idx="1386">
                <c:v>2.2749999999999999</c:v>
              </c:pt>
              <c:pt idx="1387">
                <c:v>2.9350000000000001</c:v>
              </c:pt>
              <c:pt idx="1388">
                <c:v>2.2566660000000001</c:v>
              </c:pt>
              <c:pt idx="1389">
                <c:v>2.0833330000000001</c:v>
              </c:pt>
              <c:pt idx="1390">
                <c:v>2.7583329999999999</c:v>
              </c:pt>
              <c:pt idx="1391">
                <c:v>2.69</c:v>
              </c:pt>
              <c:pt idx="1392">
                <c:v>2.128333</c:v>
              </c:pt>
              <c:pt idx="1393">
                <c:v>2.7850000000000001</c:v>
              </c:pt>
              <c:pt idx="1394">
                <c:v>2.1033330000000001</c:v>
              </c:pt>
              <c:pt idx="1395">
                <c:v>2.9049999999999998</c:v>
              </c:pt>
              <c:pt idx="1396">
                <c:v>3.2266659999999998</c:v>
              </c:pt>
              <c:pt idx="1397">
                <c:v>1.96</c:v>
              </c:pt>
              <c:pt idx="1398">
                <c:v>1.911667</c:v>
              </c:pt>
              <c:pt idx="1399">
                <c:v>2.46</c:v>
              </c:pt>
              <c:pt idx="1400">
                <c:v>2.266667</c:v>
              </c:pt>
              <c:pt idx="1401">
                <c:v>2.1549999999999998</c:v>
              </c:pt>
              <c:pt idx="1402">
                <c:v>3.443333</c:v>
              </c:pt>
              <c:pt idx="1403">
                <c:v>3.3250000000000002</c:v>
              </c:pt>
              <c:pt idx="1404">
                <c:v>2.4900000000000002</c:v>
              </c:pt>
              <c:pt idx="1405">
                <c:v>4.1016659999999998</c:v>
              </c:pt>
              <c:pt idx="1406">
                <c:v>2.996667</c:v>
              </c:pt>
              <c:pt idx="1407">
                <c:v>2.9533330000000002</c:v>
              </c:pt>
              <c:pt idx="1408">
                <c:v>3.0216669999999999</c:v>
              </c:pt>
              <c:pt idx="1409">
                <c:v>2.3650000000000002</c:v>
              </c:pt>
              <c:pt idx="1410">
                <c:v>1.941667</c:v>
              </c:pt>
              <c:pt idx="1411">
                <c:v>1.095</c:v>
              </c:pt>
              <c:pt idx="1412">
                <c:v>2.8916659999999998</c:v>
              </c:pt>
              <c:pt idx="1413">
                <c:v>3.6983329999999999</c:v>
              </c:pt>
              <c:pt idx="1414">
                <c:v>3.988334</c:v>
              </c:pt>
              <c:pt idx="1415">
                <c:v>2.9166669999999999</c:v>
              </c:pt>
              <c:pt idx="1416">
                <c:v>3.72</c:v>
              </c:pt>
              <c:pt idx="1417">
                <c:v>2.7933330000000001</c:v>
              </c:pt>
              <c:pt idx="1418">
                <c:v>4.21</c:v>
              </c:pt>
              <c:pt idx="1419">
                <c:v>3.1266660000000002</c:v>
              </c:pt>
              <c:pt idx="1420">
                <c:v>5.35</c:v>
              </c:pt>
              <c:pt idx="1421">
                <c:v>4.3099999999999996</c:v>
              </c:pt>
              <c:pt idx="1422">
                <c:v>3.161667</c:v>
              </c:pt>
              <c:pt idx="1423">
                <c:v>3.1583329999999998</c:v>
              </c:pt>
              <c:pt idx="1424">
                <c:v>3.73</c:v>
              </c:pt>
              <c:pt idx="1425">
                <c:v>4.9266670000000001</c:v>
              </c:pt>
              <c:pt idx="1426">
                <c:v>3.62</c:v>
              </c:pt>
              <c:pt idx="1427">
                <c:v>3.6633330000000002</c:v>
              </c:pt>
              <c:pt idx="1428">
                <c:v>4.7949999999999999</c:v>
              </c:pt>
              <c:pt idx="1429">
                <c:v>3.2149999999999999</c:v>
              </c:pt>
              <c:pt idx="1430">
                <c:v>5.1349999999999998</c:v>
              </c:pt>
              <c:pt idx="1431">
                <c:v>3.5383330000000002</c:v>
              </c:pt>
              <c:pt idx="1432">
                <c:v>4.2916660000000002</c:v>
              </c:pt>
              <c:pt idx="1433">
                <c:v>4.67</c:v>
              </c:pt>
              <c:pt idx="1434">
                <c:v>4.7866660000000003</c:v>
              </c:pt>
              <c:pt idx="1435">
                <c:v>3.4816660000000001</c:v>
              </c:pt>
              <c:pt idx="1436">
                <c:v>2.9950000000000001</c:v>
              </c:pt>
              <c:pt idx="1437">
                <c:v>2.8633329999999999</c:v>
              </c:pt>
              <c:pt idx="1438">
                <c:v>5.0316660000000004</c:v>
              </c:pt>
              <c:pt idx="1439">
                <c:v>5.1866659999999998</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5-0587-4D2D-AD37-15C310B27EC5}"/>
            </c:ext>
          </c:extLst>
        </c:ser>
        <c:dLbls>
          <c:showLegendKey val="0"/>
          <c:showVal val="0"/>
          <c:showCatName val="0"/>
          <c:showSerName val="0"/>
          <c:showPercent val="0"/>
          <c:showBubbleSize val="0"/>
        </c:dLbls>
        <c:smooth val="0"/>
        <c:axId val="387848576"/>
        <c:axId val="401063839"/>
      </c:lineChart>
      <c:catAx>
        <c:axId val="387848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063839"/>
        <c:crosses val="autoZero"/>
        <c:auto val="1"/>
        <c:lblAlgn val="ctr"/>
        <c:lblOffset val="100"/>
        <c:noMultiLvlLbl val="0"/>
      </c:catAx>
      <c:valAx>
        <c:axId val="401063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848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0</xdr:rowOff>
    </xdr:from>
    <xdr:to>
      <xdr:col>11</xdr:col>
      <xdr:colOff>0</xdr:colOff>
      <xdr:row>23</xdr:row>
      <xdr:rowOff>0</xdr:rowOff>
    </xdr:to>
    <xdr:graphicFrame macro="">
      <xdr:nvGraphicFramePr>
        <xdr:cNvPr id="2" name="Chart 1">
          <a:extLst>
            <a:ext uri="{FF2B5EF4-FFF2-40B4-BE49-F238E27FC236}">
              <a16:creationId xmlns:a16="http://schemas.microsoft.com/office/drawing/2014/main" id="{C5157AB7-8DDF-49DB-BA44-8B9EE9DE73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5</xdr:row>
      <xdr:rowOff>0</xdr:rowOff>
    </xdr:from>
    <xdr:to>
      <xdr:col>19</xdr:col>
      <xdr:colOff>8283</xdr:colOff>
      <xdr:row>22</xdr:row>
      <xdr:rowOff>190500</xdr:rowOff>
    </xdr:to>
    <xdr:graphicFrame macro="">
      <xdr:nvGraphicFramePr>
        <xdr:cNvPr id="3" name="Chart 2">
          <a:extLst>
            <a:ext uri="{FF2B5EF4-FFF2-40B4-BE49-F238E27FC236}">
              <a16:creationId xmlns:a16="http://schemas.microsoft.com/office/drawing/2014/main" id="{F5C19E98-B628-4558-AC96-9876ACD639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588065</xdr:colOff>
      <xdr:row>26</xdr:row>
      <xdr:rowOff>3</xdr:rowOff>
    </xdr:from>
    <xdr:to>
      <xdr:col>10</xdr:col>
      <xdr:colOff>579782</xdr:colOff>
      <xdr:row>42</xdr:row>
      <xdr:rowOff>16568</xdr:rowOff>
    </xdr:to>
    <xdr:graphicFrame macro="">
      <xdr:nvGraphicFramePr>
        <xdr:cNvPr id="4" name="Chart 3">
          <a:extLst>
            <a:ext uri="{FF2B5EF4-FFF2-40B4-BE49-F238E27FC236}">
              <a16:creationId xmlns:a16="http://schemas.microsoft.com/office/drawing/2014/main" id="{72DACB44-6CA4-4D03-9776-51BA984627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26</xdr:row>
      <xdr:rowOff>0</xdr:rowOff>
    </xdr:from>
    <xdr:to>
      <xdr:col>19</xdr:col>
      <xdr:colOff>8283</xdr:colOff>
      <xdr:row>42</xdr:row>
      <xdr:rowOff>0</xdr:rowOff>
    </xdr:to>
    <xdr:graphicFrame macro="">
      <xdr:nvGraphicFramePr>
        <xdr:cNvPr id="5" name="Chart 4">
          <a:extLst>
            <a:ext uri="{FF2B5EF4-FFF2-40B4-BE49-F238E27FC236}">
              <a16:creationId xmlns:a16="http://schemas.microsoft.com/office/drawing/2014/main" id="{FEBBF7A0-6573-4F9A-A51E-E03A1BE9A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hanker Kumar Pathe" id="{923F38DE-B2AC-4849-BAEB-DBDA015B1E02}" userId="S::shanker.pathe@o2power.in::3f701539-7ea7-43d9-8c78-a79002dd744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6F3E0D-7291-4680-A941-B9CD93659DD8}" name="Raw_Data" displayName="Raw_Data" ref="B5:JN119" totalsRowShown="0" headerRowDxfId="886" dataDxfId="884" headerRowBorderDxfId="885" tableBorderDxfId="883" totalsRowBorderDxfId="882">
  <autoFilter ref="B5:JN119" xr:uid="{7A6F3E0D-7291-4680-A941-B9CD93659DD8}"/>
  <tableColumns count="273">
    <tableColumn id="7" xr3:uid="{96DF93EA-6074-45DF-AEEA-09EB6D7E381B}" name="Date" dataDxfId="881"/>
    <tableColumn id="1" xr3:uid="{CB589F47-91D6-49D1-BAC3-0B6E006EA483}" name="Finacial Year" dataDxfId="880">
      <calculatedColumnFormula>YEAR(Raw_Data[[#This Row],[Date]])+IF(MONTH(Raw_Data[[#This Row],[Date]])&gt;=4,1,0)</calculatedColumnFormula>
    </tableColumn>
    <tableColumn id="2" xr3:uid="{7787B890-1E8B-433A-BAC2-D745E880D607}" name="Calendor Year" dataDxfId="879">
      <calculatedColumnFormula>YEAR(B6)</calculatedColumnFormula>
    </tableColumn>
    <tableColumn id="3" xr3:uid="{1610ED62-40A2-44A9-9AE9-DFD1C193207A}" name="Contrcatual Year" dataDxfId="878"/>
    <tableColumn id="4" xr3:uid="{B9D24DC6-06CB-4012-B6FC-1D8E0F886F9A}" name="Operating Year" dataDxfId="877"/>
    <tableColumn id="5" xr3:uid="{F50B16A3-C080-4BB0-A724-A9879DCA0653}" name="Month Year" dataDxfId="876"/>
    <tableColumn id="6" xr3:uid="{18E51918-C071-420E-B33B-1145374D17CE}" name="Days" dataDxfId="875">
      <calculatedColumnFormula>DAY(EOMONTH(B6,0))</calculatedColumnFormula>
    </tableColumn>
    <tableColumn id="8" xr3:uid="{C8220BAA-520F-45F0-927C-18E040DE34A0}" name="Plant DC Capcity (MW)" dataDxfId="874"/>
    <tableColumn id="9" xr3:uid="{9D7A95C6-9953-462B-A621-9CE5261677F7}" name="Sunrise Time (POA&gt;20 W/m2)" dataDxfId="873"/>
    <tableColumn id="10" xr3:uid="{3EDDF49A-616A-4D35-8D13-E7172A159D59}" name="Sunset Time (POA&lt;20 W/m2)" dataDxfId="872"/>
    <tableColumn id="11" xr3:uid="{1CEF043A-B4C1-48A7-84EA-C5E757417E94}" name="IS1_INV1_M1" dataDxfId="871"/>
    <tableColumn id="12" xr3:uid="{8DBCADA9-880C-405C-8AC6-838438C7F541}" name="IS1_INV1_M2" dataDxfId="870"/>
    <tableColumn id="13" xr3:uid="{EBF2CA84-C662-4F23-8715-E3B40F4E8CF5}" name="IS1_INV2_M1" dataDxfId="869"/>
    <tableColumn id="14" xr3:uid="{6007076E-2A75-4E4C-827E-BCE19D295149}" name="IS1_INV2_M2" dataDxfId="868"/>
    <tableColumn id="15" xr3:uid="{306B3864-C01F-4A85-B136-B9874936F3E3}" name="IS1_INV3_M1" dataDxfId="867"/>
    <tableColumn id="16" xr3:uid="{EE7D0EA3-724D-4A85-96E3-65AB967F23BF}" name="IS1_INV3_M2" dataDxfId="866"/>
    <tableColumn id="17" xr3:uid="{57106CA6-7960-4B57-9E08-8EE6B8AA0478}" name="IS1_INV4_M1" dataDxfId="865"/>
    <tableColumn id="18" xr3:uid="{CCD1393A-F923-4C41-9F79-C7D0553435D8}" name="IS1_INV4_M2" dataDxfId="864"/>
    <tableColumn id="19" xr3:uid="{AFAB90F4-7B7B-4028-A5F8-276EAC3499DD}" name="IS2_INV1_M1" dataDxfId="863"/>
    <tableColumn id="20" xr3:uid="{4705E508-E00E-4AA3-B98B-319FF8010529}" name="IS2_INV1_M2" dataDxfId="862"/>
    <tableColumn id="21" xr3:uid="{4E3E1048-BC57-4EB9-B4ED-1D632AC2F4E4}" name="IS2_INV2_M1" dataDxfId="861"/>
    <tableColumn id="22" xr3:uid="{10E6FCFF-2C66-4315-B824-AC7F071A7414}" name="IS2_INV2_M2" dataDxfId="860"/>
    <tableColumn id="23" xr3:uid="{36CEF252-E71B-494E-9970-04C295B6BE46}" name="IS2_INV3_M1" dataDxfId="859"/>
    <tableColumn id="24" xr3:uid="{B1A1DF7E-A8B7-4240-B696-E7715BA8F9E1}" name="IS2_INV3_M2" dataDxfId="858"/>
    <tableColumn id="25" xr3:uid="{B250F50D-740F-4479-89C8-6F06ACC8C3B2}" name="IS2_INV4_M1" dataDxfId="857"/>
    <tableColumn id="26" xr3:uid="{A9743FD1-4762-492A-BF69-18BAFD3D36C9}" name="IS2_INV4_M2" dataDxfId="856"/>
    <tableColumn id="27" xr3:uid="{F4F9A181-7ED2-46E5-B29A-F2EA6551C37E}" name="IS3_INV1_M1" dataDxfId="855"/>
    <tableColumn id="28" xr3:uid="{4922CD94-F67D-4E7D-8941-4CD40ADCBD46}" name="IS3_INV1_M2" dataDxfId="854"/>
    <tableColumn id="29" xr3:uid="{C41F7F8A-A4F8-4328-B63E-6959E04BAB22}" name="IS3_INV2_M1" dataDxfId="853"/>
    <tableColumn id="30" xr3:uid="{7FF4D39D-9499-4143-B352-2B928319CFA1}" name="IS3_INV2_M2" dataDxfId="852"/>
    <tableColumn id="31" xr3:uid="{D84F318B-82C2-41BE-B6F0-ECCD7B899C1B}" name="IS3_INV3_M1" dataDxfId="851"/>
    <tableColumn id="32" xr3:uid="{1EBC6499-BFC6-42B4-94CC-B989A77FCF75}" name="IS3_INV3_M2" dataDxfId="850"/>
    <tableColumn id="33" xr3:uid="{1D9085EE-B3B0-48E7-84A1-707374BAE5CE}" name="IS3_INV4_M1" dataDxfId="849"/>
    <tableColumn id="34" xr3:uid="{90CB0D0C-94D5-4953-8CD2-B11E0EB5E7D6}" name="IS3_INV4_M2" dataDxfId="848"/>
    <tableColumn id="35" xr3:uid="{EB18091C-20F6-49E8-8DDA-883342AE318D}" name="IS4_INV1_M1" dataDxfId="847"/>
    <tableColumn id="36" xr3:uid="{0BE3402C-07BD-4487-8295-5D1965E9A454}" name="IS4_INV1_M2" dataDxfId="846"/>
    <tableColumn id="37" xr3:uid="{AF16DD89-6290-4A23-B1A1-7AFB8063C404}" name="IS4_INV2_M1" dataDxfId="845"/>
    <tableColumn id="38" xr3:uid="{7026B153-3146-4F4D-86CB-BE2685873184}" name="IS4_INV2_M2" dataDxfId="844"/>
    <tableColumn id="39" xr3:uid="{42460E20-7482-4AF1-87DA-49D638367957}" name="IS4_INV3_M1" dataDxfId="843"/>
    <tableColumn id="40" xr3:uid="{E6620110-4E48-4406-986C-3355E0C896EC}" name="IS4_INV3_M2" dataDxfId="842"/>
    <tableColumn id="41" xr3:uid="{84A19CBF-968B-4B4D-BC1F-C86312193BEB}" name="IS4_INV4_M1" dataDxfId="841"/>
    <tableColumn id="42" xr3:uid="{32A4AF72-8D72-43BA-99A0-F1EC7F65BAC2}" name="IS4_INV4_M2" dataDxfId="840"/>
    <tableColumn id="43" xr3:uid="{35E16C8D-7E17-4BC6-9B67-7E760265DD8C}" name="IS5_INV1_M1" dataDxfId="839"/>
    <tableColumn id="44" xr3:uid="{C27BD20A-5196-4DB3-8265-44D899FEBCA6}" name="IS5_INV1_M2" dataDxfId="838"/>
    <tableColumn id="45" xr3:uid="{E0D5F2C7-51C6-41B7-AD6F-245262BE286C}" name="IS5_INV2_M1" dataDxfId="837"/>
    <tableColumn id="46" xr3:uid="{DA2160E7-5C94-459C-B908-B3696152C8E4}" name="IS5_INV2_M2" dataDxfId="836"/>
    <tableColumn id="47" xr3:uid="{B67B5409-36EA-4CC7-9F8E-5C15FE8490A1}" name="IS5_INV3_M1" dataDxfId="835"/>
    <tableColumn id="48" xr3:uid="{6EF66C1C-65DA-457E-811D-319247BC76CA}" name="IS5_INV3_M2" dataDxfId="834"/>
    <tableColumn id="49" xr3:uid="{7E536495-254A-49E2-85BC-680D2E096F67}" name="IS5_INV4_M1" dataDxfId="833"/>
    <tableColumn id="50" xr3:uid="{072FA7C2-F18D-410E-98B3-53994260478A}" name="IS5_INV4_M2" dataDxfId="832"/>
    <tableColumn id="51" xr3:uid="{3C447BB3-F358-4D09-B7A3-11AFDADEF57E}" name="IS6_INV1_M1" dataDxfId="831"/>
    <tableColumn id="52" xr3:uid="{1C93B0C5-0BF3-4251-B391-6A150FF13658}" name="IS6_INV1_M2" dataDxfId="830"/>
    <tableColumn id="53" xr3:uid="{D77094A1-9A96-474E-BC76-FA468E1FCFB1}" name="IS6_INV2_M1" dataDxfId="829"/>
    <tableColumn id="54" xr3:uid="{CE3EF5EC-3A47-434D-A593-9C4994D42D9B}" name="IS6_INV2_M2" dataDxfId="828"/>
    <tableColumn id="55" xr3:uid="{E563FE5F-6757-4612-BB08-6B19EE0D055A}" name="IS6_INV3_M1" dataDxfId="827"/>
    <tableColumn id="56" xr3:uid="{FEA4179D-6905-4403-9589-89CB980F33FE}" name="IS6_INV3_M2" dataDxfId="826"/>
    <tableColumn id="57" xr3:uid="{0705937A-67BC-4FCF-A6EA-9EFD19A67B65}" name="IS6_INV4_M1" dataDxfId="825"/>
    <tableColumn id="58" xr3:uid="{C0D9076C-B84C-448B-8A9F-0C4F041D02EB}" name="IS6_INV4_M2" dataDxfId="824"/>
    <tableColumn id="59" xr3:uid="{BAEA02EB-261F-4C61-AE4C-20E7AA8A8E13}" name="IS7_INV1_M1" dataDxfId="823"/>
    <tableColumn id="60" xr3:uid="{00EC77A5-08C6-4820-BFB4-C7A987D24C56}" name="IS7_INV1_M2" dataDxfId="822"/>
    <tableColumn id="61" xr3:uid="{F7B8C47A-ACCB-444A-91AC-5B9745AE6229}" name="IS7_INV2_M1" dataDxfId="821"/>
    <tableColumn id="62" xr3:uid="{D4EDAF02-B18E-49B2-8C88-B5566E24ED5C}" name="IS7_INV2_M2" dataDxfId="820"/>
    <tableColumn id="63" xr3:uid="{1C80AF1B-159D-44B3-8431-6E37E346422C}" name="IS7_INV3_M1" dataDxfId="819"/>
    <tableColumn id="64" xr3:uid="{BC61045E-9B32-4E67-89E9-C22BE00755C1}" name="IS7_INV3_M2" dataDxfId="818"/>
    <tableColumn id="65" xr3:uid="{9BE8E0B4-5616-42E9-AAB0-8F06C68AC592}" name="IS7_INV4_M1" dataDxfId="817"/>
    <tableColumn id="66" xr3:uid="{BAB007C3-06D3-46E9-A670-B55E347FB2D6}" name="IS7_INV4_M2" dataDxfId="816"/>
    <tableColumn id="67" xr3:uid="{F354DE86-D4D5-428F-86CD-6FEDC0827150}" name="IS8_INV1_M1" dataDxfId="815"/>
    <tableColumn id="68" xr3:uid="{8A0BD6F4-EEFF-438F-B76C-EA45C39EDF1B}" name="IS8_INV1_M2" dataDxfId="814"/>
    <tableColumn id="69" xr3:uid="{F5ACB036-872E-4B5F-B2B5-BE8607463ADC}" name="IS8_INV2_M1" dataDxfId="813"/>
    <tableColumn id="70" xr3:uid="{2AC46811-4286-42BE-BB0C-E5D30804E881}" name="IS8_INV2_M2" dataDxfId="812"/>
    <tableColumn id="71" xr3:uid="{1CB41496-D50E-4FA7-A94A-CF785E0AA313}" name="IS8_INV3_M1" dataDxfId="811"/>
    <tableColumn id="72" xr3:uid="{5A899209-E150-4E2E-B973-5E20B9FDEC79}" name="IS8_INV3_M2" dataDxfId="810"/>
    <tableColumn id="73" xr3:uid="{34375679-E6F8-49E2-830C-29D8AC720141}" name="IS8_INV4_M1" dataDxfId="809"/>
    <tableColumn id="74" xr3:uid="{02606BF6-DC1F-4EF9-93DD-320B1AF62C12}" name="IS8_INV4_M2" dataDxfId="808"/>
    <tableColumn id="75" xr3:uid="{F3DEF058-9AD4-4F5D-BD56-7D83929443D6}" name="IS9_INV1_M1" dataDxfId="807"/>
    <tableColumn id="76" xr3:uid="{15B196CC-BFAF-4C4A-8F67-CF1086173A56}" name="IS9_INV1_M2" dataDxfId="806"/>
    <tableColumn id="77" xr3:uid="{FD51EE65-C83C-4905-B5F6-3F3F534A61B1}" name="IS9_INV2_M1" dataDxfId="805"/>
    <tableColumn id="78" xr3:uid="{DF0AA45A-1A48-4C00-B4B1-E33B1EBA90D5}" name="IS9_INV2_M2" dataDxfId="804"/>
    <tableColumn id="79" xr3:uid="{C57E0CF5-9F46-487F-9193-9F8459BD55E3}" name="IS9_INV3_M1" dataDxfId="803"/>
    <tableColumn id="80" xr3:uid="{A51DE60F-E6E0-449C-A88D-9E9441BF8FE2}" name="IS9_INV3_M2" dataDxfId="802"/>
    <tableColumn id="81" xr3:uid="{9BD03463-BE8A-4B24-A02E-1BE57E31F34F}" name="IS9_INV4_M1" dataDxfId="801"/>
    <tableColumn id="82" xr3:uid="{BBF40FD7-BE2A-4975-BCDD-8A06EE4A91D5}" name="IS9_INV4_M2" dataDxfId="800"/>
    <tableColumn id="83" xr3:uid="{4E59D600-496A-4FB5-BAA2-BB048FB2B847}" name="IS10_INV1_M1" dataDxfId="799"/>
    <tableColumn id="84" xr3:uid="{2F43DF9F-5E78-4C73-926A-BA88D2024A96}" name="IS10_INV1_M2" dataDxfId="798"/>
    <tableColumn id="85" xr3:uid="{6EE5E8A2-90C2-4D6A-A738-1A1D27A3EFA4}" name="IS10_INV2_M1" dataDxfId="797"/>
    <tableColumn id="86" xr3:uid="{37C7DF54-D204-4AE7-B108-342885BAB32A}" name="IS10_INV2_M2" dataDxfId="796"/>
    <tableColumn id="87" xr3:uid="{7F0720F3-9095-4D4F-983E-C01A10B70E04}" name="IS10_INV3_M1" dataDxfId="795"/>
    <tableColumn id="88" xr3:uid="{B121A7AC-9446-459B-8B35-4209C2CEE52C}" name="IS10_INV3_M2" dataDxfId="794"/>
    <tableColumn id="89" xr3:uid="{21A825CD-6D73-4073-B417-A089AC04058A}" name="IS10_INV4_M1" dataDxfId="793"/>
    <tableColumn id="90" xr3:uid="{205FADEB-8AB4-4598-A037-3775452A02AE}" name="IS10_INV4_M2" dataDxfId="792"/>
    <tableColumn id="91" xr3:uid="{D112F369-8196-46E0-8266-BD0C95289205}" name="IS11_INV1_M1" dataDxfId="791"/>
    <tableColumn id="92" xr3:uid="{F9C85E0B-8254-43D5-8870-0DA48178A040}" name="IS11_INV1_M2" dataDxfId="790"/>
    <tableColumn id="93" xr3:uid="{7CA556A3-D945-402C-AC32-E5290E4F2377}" name="IS11_INV2_M1" dataDxfId="789"/>
    <tableColumn id="94" xr3:uid="{DB540ED0-63A1-4828-8BFE-1EC00A7CE073}" name="IS11_INV2_M2" dataDxfId="788"/>
    <tableColumn id="95" xr3:uid="{7C88A9E4-DA2E-417C-9FB9-2D2B40B79AC4}" name="IS11_INV3_M1" dataDxfId="787"/>
    <tableColumn id="96" xr3:uid="{30054CCB-B084-4272-A631-6A65510C46DD}" name="IS11_INV3_M2" dataDxfId="786"/>
    <tableColumn id="97" xr3:uid="{F1771EAC-202A-4C6A-BBF9-F759F6DD4BD3}" name="IS11_INV4_M1" dataDxfId="785"/>
    <tableColumn id="98" xr3:uid="{DBDA6D85-A6B7-41BC-AD41-6C95FBA28DFC}" name="IS11_INV4_M2" dataDxfId="784"/>
    <tableColumn id="99" xr3:uid="{4F3FC295-12FB-4F8D-BADC-E63FBEAD8895}" name="IS12_INV1_M1" dataDxfId="783"/>
    <tableColumn id="100" xr3:uid="{AD84E055-7799-432C-BC42-DBCEE84B5A01}" name="IS12_INV1_M2" dataDxfId="782"/>
    <tableColumn id="101" xr3:uid="{278734D4-7986-42FD-92E0-9AB42268B1AB}" name="IS12_INV2_M1" dataDxfId="781"/>
    <tableColumn id="102" xr3:uid="{9D958DF9-9E65-4A0D-AC38-DE198CE15134}" name="IS12_INV2_M2" dataDxfId="780"/>
    <tableColumn id="103" xr3:uid="{41755B65-A6B4-41C4-A812-748738A57619}" name="IS12_INV3_M1" dataDxfId="779"/>
    <tableColumn id="104" xr3:uid="{6102E0BE-5564-4B77-A1D5-DDE43EF6636B}" name="IS12_INV3_M2" dataDxfId="778"/>
    <tableColumn id="105" xr3:uid="{9D4BE644-E372-4187-940B-07289E0A1FDA}" name="IS12_INV4_M1" dataDxfId="777"/>
    <tableColumn id="106" xr3:uid="{2DA2F25F-8B22-4E25-9188-B51C3BFB8C89}" name="IS12_INV4_M2" dataDxfId="776"/>
    <tableColumn id="107" xr3:uid="{BEA553A6-2C90-4998-9B26-64EF9909375E}" name="IS13_INV1_M1" dataDxfId="775"/>
    <tableColumn id="108" xr3:uid="{A50B8970-CC25-498B-A8F7-3C00DDF144A6}" name="IS13_INV1_M2" dataDxfId="774"/>
    <tableColumn id="109" xr3:uid="{6391053F-2DFF-4123-AC3B-C98F96AE204A}" name="IS13_INV2_M1" dataDxfId="773"/>
    <tableColumn id="110" xr3:uid="{F1D146AF-F622-4E9A-B091-FDE9D939ADE6}" name="IS13_INV2_M2" dataDxfId="772"/>
    <tableColumn id="111" xr3:uid="{12C84F6E-8548-4625-841E-2906923021E2}" name="IS13_INV3_M1" dataDxfId="771"/>
    <tableColumn id="112" xr3:uid="{BDC38D83-9E44-4DAC-8F17-52EA9DCF2337}" name="IS13_INV3_M2" dataDxfId="770"/>
    <tableColumn id="113" xr3:uid="{92CF71B2-8D65-443D-AAF7-BA324676634C}" name="IS13_INV4_M1" dataDxfId="769"/>
    <tableColumn id="114" xr3:uid="{1CE9AEFC-FB7F-407D-9DAB-B7F80651C2F8}" name="IS13_INV4_M2" dataDxfId="768"/>
    <tableColumn id="115" xr3:uid="{A0D7E0FB-CC5D-400C-99EC-D6FD1E06D2D2}" name="IS14_INV1_M1" dataDxfId="767"/>
    <tableColumn id="116" xr3:uid="{A7162E1C-67ED-46D1-B35A-9DAE21FAA72D}" name="IS14_INV1_M2" dataDxfId="766"/>
    <tableColumn id="117" xr3:uid="{ABBF6E9E-1599-407B-8A92-583497B0CD1E}" name="IS14_INV2_M1" dataDxfId="765"/>
    <tableColumn id="118" xr3:uid="{62E16E90-55CB-4818-930B-F14B1127BCAA}" name="IS14_INV2_M2" dataDxfId="764"/>
    <tableColumn id="119" xr3:uid="{87561BF9-47E9-4403-B086-38A7268B7F2D}" name="IS14_INV3_M1" dataDxfId="763"/>
    <tableColumn id="120" xr3:uid="{C1C9C5A9-F943-46D5-AD63-202EB7D963CC}" name="IS14_INV3_M2" dataDxfId="762"/>
    <tableColumn id="121" xr3:uid="{F7BD68B4-422E-47BD-A12A-A4C3F213E053}" name="IS14_INV4_M1" dataDxfId="761"/>
    <tableColumn id="122" xr3:uid="{DFC9A039-D230-4183-82D8-F9A8D82F58D9}" name="IS14_INV4_M2" dataDxfId="760"/>
    <tableColumn id="123" xr3:uid="{DF4AF2EE-3807-4488-8917-118D324BEAC4}" name="IS15_INV1_M1" dataDxfId="759"/>
    <tableColumn id="124" xr3:uid="{A800ECF0-B597-4746-8605-77CDA18432B4}" name="IS15_INV1_M2" dataDxfId="758"/>
    <tableColumn id="125" xr3:uid="{A78B4EF4-8A22-487C-B839-CCAC751355E4}" name="IS15_INV2_M1" dataDxfId="757"/>
    <tableColumn id="126" xr3:uid="{C48651C2-4D37-40E3-BC05-839137139F4E}" name="IS15_INV2_M2" dataDxfId="756"/>
    <tableColumn id="127" xr3:uid="{C6E821AF-D8B4-4C3B-A42C-EFAB4ED12896}" name="IS15_INV3_M1" dataDxfId="755"/>
    <tableColumn id="128" xr3:uid="{FACAD28E-80E8-4285-A4B2-6C92850C0203}" name="IS15_INV3_M2" dataDxfId="754"/>
    <tableColumn id="129" xr3:uid="{5FCAC4D1-DBF7-4C9C-8450-2CA76E57A4EE}" name="IS15_INV4_M1" dataDxfId="753"/>
    <tableColumn id="130" xr3:uid="{1A3F1D1B-256B-4528-8E90-B9FA4D668345}" name="IS15_INV4_M2" dataDxfId="752"/>
    <tableColumn id="131" xr3:uid="{4E5B15D9-D0F7-4109-9D27-3F9174947800}" name="IS16_INV1_M1" dataDxfId="751"/>
    <tableColumn id="132" xr3:uid="{BE31FBE8-D38F-47FA-95A3-BF970DB34412}" name="IS16_INV1_M2" dataDxfId="750"/>
    <tableColumn id="133" xr3:uid="{03224292-7B90-4148-BEC6-8C28A0B95621}" name="IS16_INV2_M1" dataDxfId="749"/>
    <tableColumn id="134" xr3:uid="{E2BF52DB-6309-48B3-BF2A-2A2C910522CD}" name="IS16_INV2_M2" dataDxfId="748"/>
    <tableColumn id="135" xr3:uid="{27D8C86E-9296-433F-9C2F-198A05E5DCB0}" name="IS16_INV3_M1" dataDxfId="747"/>
    <tableColumn id="136" xr3:uid="{1215DBA2-51E5-49C8-BB81-6527A80EDDFD}" name="IS16_INV3_M2" dataDxfId="746"/>
    <tableColumn id="137" xr3:uid="{48F1A407-AA75-4B21-8659-CF6113CEAFAC}" name="IS16_INV4_M1" dataDxfId="745"/>
    <tableColumn id="138" xr3:uid="{E086FFE0-4177-4D71-9786-3A25ECB122BD}" name="IS16_INV4_M2" dataDxfId="744"/>
    <tableColumn id="139" xr3:uid="{E57C854E-E4B9-48B7-B2F0-CF9445A210CD}" name="IS17_INV1_M1" dataDxfId="743"/>
    <tableColumn id="140" xr3:uid="{688B1143-17D8-4F09-A6D2-F3CA8F4E6F4D}" name="IS17_INV1_M2" dataDxfId="742"/>
    <tableColumn id="141" xr3:uid="{FE438A32-9FDB-42EE-9675-2BF249DAA6A8}" name="IS17_INV2_M1" dataDxfId="741"/>
    <tableColumn id="142" xr3:uid="{591A1779-0F41-4723-BC0F-C5E4040763B4}" name="IS17_INV2_M2" dataDxfId="740"/>
    <tableColumn id="143" xr3:uid="{ED7D27F0-8C04-4BEC-B5AD-FF5C90F833C2}" name="IS17_INV3_M1" dataDxfId="739"/>
    <tableColumn id="144" xr3:uid="{D25DDB2A-64AC-4513-AF29-82EF8C27B0B4}" name="IS17_INV3_M2" dataDxfId="738"/>
    <tableColumn id="145" xr3:uid="{661E8BDF-5D8E-4FD5-B9E6-DAA124975184}" name="IS17_INV4_M1" dataDxfId="737"/>
    <tableColumn id="146" xr3:uid="{BC0DFBFF-1E91-4B81-BCE8-365AEAECB423}" name="IS17_INV4_M2" dataDxfId="736"/>
    <tableColumn id="147" xr3:uid="{A7639C94-411A-41A1-9803-E82C2C4FC66C}" name="IS18_INV1_M1" dataDxfId="735"/>
    <tableColumn id="148" xr3:uid="{B35574D8-478D-4FFE-8CFE-9AE71B5F7525}" name="IS18_INV1_M2" dataDxfId="734"/>
    <tableColumn id="149" xr3:uid="{B5D56430-41C1-487F-AD0B-12C98A4770D2}" name="IS18_INV2_M1" dataDxfId="733"/>
    <tableColumn id="150" xr3:uid="{C89AF1A0-4FF5-46FF-8D21-C183A3F31AC0}" name="IS18_INV2_M2" dataDxfId="732"/>
    <tableColumn id="151" xr3:uid="{2129C71E-E192-4CE9-A2DF-A36347179D9E}" name="IS18_INV3_M1" dataDxfId="731"/>
    <tableColumn id="152" xr3:uid="{2CEE1213-2236-4563-9770-3F7642DF8EF0}" name="IS18_INV3_M2" dataDxfId="730"/>
    <tableColumn id="153" xr3:uid="{1BE28492-1F36-4BA2-9476-A74C34AE26F7}" name="IS18_INV4_M1" dataDxfId="729"/>
    <tableColumn id="154" xr3:uid="{B1DE8FBE-19FC-40DE-B97A-489EEDF0D69E}" name="IS18_INV4_M2" dataDxfId="728"/>
    <tableColumn id="155" xr3:uid="{DAD622E9-789E-4192-902A-DEEC1D8FACF9}" name="IS19_INV1_M1" dataDxfId="727"/>
    <tableColumn id="156" xr3:uid="{F0C39123-6854-4FFB-913F-EC3FFF337D21}" name="IS19_INV1_M2" dataDxfId="726"/>
    <tableColumn id="157" xr3:uid="{4F923BC3-AC25-427D-8D92-FE58AE6D51BA}" name="IS19_INV2_M1" dataDxfId="725"/>
    <tableColumn id="158" xr3:uid="{A9F3FB85-A051-4031-ABA9-D889FF8698D2}" name="IS19_INV2_M2" dataDxfId="724"/>
    <tableColumn id="159" xr3:uid="{0DED813B-6E6B-45B9-B865-A450F5F21B66}" name="IS19_INV3_M1" dataDxfId="723"/>
    <tableColumn id="160" xr3:uid="{3AD6AA4D-CB6A-4CC8-BAC0-707791A9CF32}" name="IS19_INV3_M2" dataDxfId="722"/>
    <tableColumn id="161" xr3:uid="{2B0DCCDD-F66D-470B-BE55-DFF1A3E458B4}" name="IS19_INV4_M1" dataDxfId="721"/>
    <tableColumn id="162" xr3:uid="{7A012EFF-742E-437A-BA01-A03CF1837865}" name="IS19_INV4_M2" dataDxfId="720"/>
    <tableColumn id="163" xr3:uid="{BD94F2EB-AC81-43C3-8E90-9843A9F9C8C0}" name="IS20_INV1_M1" dataDxfId="719"/>
    <tableColumn id="164" xr3:uid="{ED95489A-8C1B-46B5-8C21-1D0897142210}" name="IS20_INV1_M2" dataDxfId="718"/>
    <tableColumn id="165" xr3:uid="{B1A65A55-B73C-4374-8B19-56DFC7EC1345}" name="IS20_INV2_M1" dataDxfId="717"/>
    <tableColumn id="166" xr3:uid="{89D9A24B-47FD-411C-88E5-B3AA125B27AC}" name="IS20_INV2_M2" dataDxfId="716"/>
    <tableColumn id="167" xr3:uid="{07D721CF-F5E1-4384-B26C-49C55E89D9D8}" name="IS20_INV3_M1" dataDxfId="715"/>
    <tableColumn id="168" xr3:uid="{7D044E01-D2DA-4C35-B909-AFF6874C83C3}" name="IS20_INV3_M2" dataDxfId="714"/>
    <tableColumn id="169" xr3:uid="{34A59D6B-B14C-4FB0-9817-114D8B6AC613}" name="IS20_INV4_M1" dataDxfId="713"/>
    <tableColumn id="170" xr3:uid="{AA853CE3-DF6D-4AB6-8385-2FBB6FD93917}" name="IS20_INV4_M2" dataDxfId="712"/>
    <tableColumn id="171" xr3:uid="{5501D136-9988-43C2-B1F5-E613BC31637E}" name="Amb_Temp_IS2_W1" dataDxfId="711"/>
    <tableColumn id="172" xr3:uid="{BCCFBB29-D9C5-4709-8BDB-EAD03FF0FEA1}" name="Amb_Temp_IS4_W2" dataDxfId="710"/>
    <tableColumn id="173" xr3:uid="{E1EA231E-3B77-4850-A4E7-372F80C49361}" name="Amb_Temp_IS6_W3" dataDxfId="709"/>
    <tableColumn id="174" xr3:uid="{877A03DD-0630-4731-A0B0-D82A716BBC93}" name="Amb_Temp_IS9_W4" dataDxfId="708"/>
    <tableColumn id="175" xr3:uid="{2EEAE707-5C85-48B2-B01C-6A30D6FC9CA2}" name="Amb_Temp_IS15_W5" dataDxfId="707"/>
    <tableColumn id="176" xr3:uid="{D6D3A8AE-5535-4803-8A4F-0F2A06E4F79D}" name="Amb_Temp_IS19_W6" dataDxfId="706"/>
    <tableColumn id="177" xr3:uid="{FF895D1D-5CA8-47D3-A65B-C57C588F101B}" name="MT_Temp_IS2_W1" dataDxfId="705"/>
    <tableColumn id="178" xr3:uid="{7D7EB96B-E9D7-4DB2-BD71-9B43AAE407F3}" name="MT_Temp_IS4_W2" dataDxfId="704"/>
    <tableColumn id="179" xr3:uid="{34D43954-09FA-435B-8FC5-61BFDE9358E4}" name="MT_Temp_IS6_W3" dataDxfId="703"/>
    <tableColumn id="180" xr3:uid="{B0984493-709A-470E-B9E4-89572BE93BAA}" name="MT_Temp_IS9_W4" dataDxfId="702"/>
    <tableColumn id="181" xr3:uid="{21922B9B-89FC-49B6-ACAE-D4F931A11656}" name="MT_Temp_IS15_W5" dataDxfId="701"/>
    <tableColumn id="182" xr3:uid="{50BDCE1B-256C-462F-95F5-4F49C4CBA42D}" name="MT_Temp_IS19_W6" dataDxfId="700"/>
    <tableColumn id="183" xr3:uid="{0B3A8541-B075-4E34-9778-83B4460DDAFE}" name="WS_Avg_IS2_W1" dataDxfId="699"/>
    <tableColumn id="184" xr3:uid="{91B9E27E-30C5-4E85-89E2-C0FE957288E7}" name="WS_Avg_IS4_W2" dataDxfId="698"/>
    <tableColumn id="185" xr3:uid="{AF50601F-A629-435B-B712-BFEA11DE02E6}" name="WS_Avg_IS6_W3" dataDxfId="697"/>
    <tableColumn id="186" xr3:uid="{4CDD87FE-8675-4D62-BF2C-8DC1FECE75EB}" name="WS_Avg_IS9_W4" dataDxfId="696"/>
    <tableColumn id="187" xr3:uid="{CD9720BB-E7C2-45D4-B418-658D2DD2134A}" name="WS_Avg_IS15_W5" dataDxfId="695"/>
    <tableColumn id="188" xr3:uid="{7E6BA185-4EA3-48DC-AB98-489C8C755404}" name="WS_Avg_IS19_W6" dataDxfId="694"/>
    <tableColumn id="189" xr3:uid="{B52C19D5-9509-415F-A639-659617B4E31C}" name="WS_Max_IS2_W1" dataDxfId="693"/>
    <tableColumn id="190" xr3:uid="{CDC5FCCA-B123-47E4-B4A4-0FE55E538338}" name="WS_Max_IS4_W2" dataDxfId="692"/>
    <tableColumn id="191" xr3:uid="{EE48CDAF-E33E-4564-96EC-592107D24C7D}" name="WS_Max_IS6_W3" dataDxfId="691"/>
    <tableColumn id="192" xr3:uid="{FA7CB9A0-3CAE-409C-8D83-20998B4D29B6}" name="WS_Max_IS9_W4" dataDxfId="690"/>
    <tableColumn id="193" xr3:uid="{8D75AB66-4553-45B5-BB11-1141D8112F69}" name="WS_Max_IS15_W5" dataDxfId="689"/>
    <tableColumn id="194" xr3:uid="{ED52C6A9-28EA-43E6-86FA-F1250960E566}" name="WS_Max_IS19_W6" dataDxfId="688"/>
    <tableColumn id="195" xr3:uid="{11857F5A-AF17-4BA9-932B-BC4053660548}" name="GHI_Up_IS2_W1" dataDxfId="687"/>
    <tableColumn id="196" xr3:uid="{118C8727-2278-4C78-B569-616CDB62291D}" name="GHI_Up_IS4_W2" dataDxfId="686"/>
    <tableColumn id="197" xr3:uid="{DB72D8C9-BF00-438F-AD67-6FF81EC41980}" name="GHI_Up_IS6_W3" dataDxfId="685"/>
    <tableColumn id="198" xr3:uid="{3F1CAA9A-B407-4F73-A8F7-2F403D1A6097}" name="GHI_Up_IS9_W4" dataDxfId="684"/>
    <tableColumn id="199" xr3:uid="{5E6805BE-FF3B-4E9E-88E5-3A529CCB17A0}" name="GHI_Up_IS15_W5" dataDxfId="683"/>
    <tableColumn id="200" xr3:uid="{7775F9F8-A973-44A5-9F25-577C334CFC1C}" name="GHI_Up_IS19_W6" dataDxfId="682"/>
    <tableColumn id="201" xr3:uid="{F4D19D24-71A3-44D3-A786-E75E90011D5B}" name="GHI_Down_IS2_W1" dataDxfId="681"/>
    <tableColumn id="202" xr3:uid="{A72C2D54-670D-4043-A65A-24534907DF69}" name="GHI_Down_IS4_W2" dataDxfId="680"/>
    <tableColumn id="203" xr3:uid="{74E67456-09DE-4694-888B-FC4760003764}" name="GHI_Down_IS6_W3" dataDxfId="679"/>
    <tableColumn id="204" xr3:uid="{7D1C5717-D794-428A-8EC4-79817CC1694A}" name="GHI_Down_IS9_W4" dataDxfId="678"/>
    <tableColumn id="205" xr3:uid="{711C0C72-91B6-4442-9840-E6AE33F562E5}" name="GHI_Down_IS15_W5" dataDxfId="677"/>
    <tableColumn id="206" xr3:uid="{9D2F9F66-657D-4FFA-AE7D-F2113DF76971}" name="GHI_Down_IS19_W6" dataDxfId="676"/>
    <tableColumn id="207" xr3:uid="{35614766-007B-4917-8D36-B896E1E86592}" name="POA_Up_IS2_W1" dataDxfId="675"/>
    <tableColumn id="208" xr3:uid="{4C748199-638D-4FD5-A5B6-F9726B02F9C2}" name="POA_Up_IS4_W2" dataDxfId="674"/>
    <tableColumn id="209" xr3:uid="{AE2507C9-4E4C-4168-A545-75E25D4E82B6}" name="POA_Up_IS6_W3" dataDxfId="673"/>
    <tableColumn id="210" xr3:uid="{7704384D-8C11-452D-A610-7D152C9A3184}" name="POA_Up_IS9_W4" dataDxfId="672"/>
    <tableColumn id="211" xr3:uid="{58A71665-B23C-4C41-A272-7B994EDC862D}" name="POA_Up_IS15_W5" dataDxfId="671"/>
    <tableColumn id="212" xr3:uid="{E14761E5-FA97-4987-A16F-F7FBACBBB9DE}" name="POA_Up_IS19_W6" dataDxfId="670"/>
    <tableColumn id="213" xr3:uid="{4947783E-A8C4-405D-AFD3-79FE2209441E}" name="POA_Down_IS2_W1" dataDxfId="669"/>
    <tableColumn id="214" xr3:uid="{FEC477E8-21DE-4D2F-84D7-3784C09CEA9C}" name="POA_Down_IS4_W2" dataDxfId="668"/>
    <tableColumn id="215" xr3:uid="{E7095E14-CC11-44B3-9153-38ABBFBC2011}" name="POA_Down_IS6_W3" dataDxfId="667"/>
    <tableColumn id="216" xr3:uid="{8D917D59-ED75-4DEE-A3B3-DCD9E9DAB852}" name="POA_Down_IS9_W4" dataDxfId="666"/>
    <tableColumn id="217" xr3:uid="{7E279A56-4254-42F0-A267-EFEC03A2B4CA}" name="POA_Down_IS15_W5" dataDxfId="665"/>
    <tableColumn id="218" xr3:uid="{8EF30C06-08D5-4E6C-98E2-1BC0A6E87655}" name="POA_Down_IS19_W6" dataDxfId="664"/>
    <tableColumn id="219" xr3:uid="{F13A0B7F-C9E3-48B4-BFFC-1381DCB3A2DF}" name="GHI_UP_Lost_IS2_W1" dataDxfId="663"/>
    <tableColumn id="220" xr3:uid="{4FF0CCF8-9709-4930-8F1A-1F2FD1D235DF}" name="GHI_UP_Lost_IS4_W2" dataDxfId="662"/>
    <tableColumn id="221" xr3:uid="{67D40879-75E0-40AF-9D6B-2FC620100BD9}" name="GHI_UP_Lost_IS6_W3" dataDxfId="661"/>
    <tableColumn id="222" xr3:uid="{62E38CD4-649D-4F32-A358-0633DC77859F}" name="GHI_UP_Lost_IS9_W4" dataDxfId="660"/>
    <tableColumn id="223" xr3:uid="{23F1BFF2-AA58-4228-89F8-CCBC5B39D450}" name="GHI_UP_Lost_IS15_W5" dataDxfId="659"/>
    <tableColumn id="224" xr3:uid="{69232980-54F9-4884-86EA-BC1EE8B40BD1}" name="GHI_UP_Lost_IS19_W6" dataDxfId="658"/>
    <tableColumn id="225" xr3:uid="{EF7D1C35-E382-4B42-AB70-9AB3D1B7C597}" name="POA_UP_Lost_IS2_W1" dataDxfId="657"/>
    <tableColumn id="226" xr3:uid="{42A0DC5B-7C2D-4FEA-A672-E9F8071976BB}" name="POA_UP_Lost_IS4_W2" dataDxfId="656"/>
    <tableColumn id="227" xr3:uid="{E961A7D7-5824-4D1D-852D-72D955F8E226}" name="POA_UP_Lost_IS6_W3" dataDxfId="655"/>
    <tableColumn id="228" xr3:uid="{CEFFFBFA-7C6B-4F4C-B79E-FB6DBA77873F}" name="POA_UP_Lost_IS9_W4" dataDxfId="654"/>
    <tableColumn id="229" xr3:uid="{02929E3C-234C-4154-8E2B-CE4E847A5D41}" name="POA_UP_Lost_IS15_W5" dataDxfId="653"/>
    <tableColumn id="230" xr3:uid="{97D241E7-38F5-415A-9577-2945CEB16404}" name="POA_UP_Lost_IS19_W6" dataDxfId="652"/>
    <tableColumn id="231" xr3:uid="{447AED36-53E1-412B-B628-FFD5D1A09D7F}" name="33kV_OG2_Ex" dataDxfId="651"/>
    <tableColumn id="232" xr3:uid="{390D9877-64D5-4646-AE42-038D9AA53E0F}" name="33kV_OG2_Im" dataDxfId="650"/>
    <tableColumn id="233" xr3:uid="{0AD794E9-E99D-45C8-9111-9B6A2C51DA60}" name="33kV_OG1_Ex" dataDxfId="649"/>
    <tableColumn id="234" xr3:uid="{006BB648-FBCA-4733-9CB9-7C442D34E341}" name="33kV_OG1_Im" dataDxfId="648"/>
    <tableColumn id="235" xr3:uid="{4DBBE59F-2D41-4382-A6AD-01F77631717A}" name="220kV_PQM_Ex" dataDxfId="647"/>
    <tableColumn id="236" xr3:uid="{C3C88551-9412-49C8-AB7E-8BD5E3C87B70}" name="220kV_PQM_Im" dataDxfId="646"/>
    <tableColumn id="237" xr3:uid="{40337DCA-2808-4ABE-8CDC-A2AE47CDA868}" name="GHI_UP_Net_IS2_W1" dataDxfId="645">
      <calculatedColumnFormula>GN6-HL6</calculatedColumnFormula>
    </tableColumn>
    <tableColumn id="238" xr3:uid="{4E43D887-F56A-4C98-9235-CC5B7E19F543}" name="GHI_UP_Net_IS4_W2" dataDxfId="644">
      <calculatedColumnFormula>GO6-HM6</calculatedColumnFormula>
    </tableColumn>
    <tableColumn id="239" xr3:uid="{B851B5CD-AF55-4A4C-9F8E-0B86CD4A926E}" name="GHI_UP_Net_IS6_W3" dataDxfId="643">
      <calculatedColumnFormula>GP6-HN6</calculatedColumnFormula>
    </tableColumn>
    <tableColumn id="240" xr3:uid="{BDCBACAF-DEB8-45B4-A793-4DFB7DB8A969}" name="GHI_UP_Net_IS9_W4" dataDxfId="642">
      <calculatedColumnFormula>GQ6-HO6</calculatedColumnFormula>
    </tableColumn>
    <tableColumn id="241" xr3:uid="{CD6AE2CE-8318-48AA-B476-49792AF38131}" name="GHI_UP_Net_IS15_W5" dataDxfId="641">
      <calculatedColumnFormula>GR6-HP6</calculatedColumnFormula>
    </tableColumn>
    <tableColumn id="242" xr3:uid="{86560516-DB62-4C1D-869E-003ED16D92A1}" name="GHI_UP_Net_IS19_W6" dataDxfId="640">
      <calculatedColumnFormula>GS6-HQ6</calculatedColumnFormula>
    </tableColumn>
    <tableColumn id="243" xr3:uid="{82725457-FCF3-4A59-BA10-EAD8610FA8DA}" name="POA_UP_Net_IS2_W1" dataDxfId="639">
      <calculatedColumnFormula>GZ6-HR6</calculatedColumnFormula>
    </tableColumn>
    <tableColumn id="244" xr3:uid="{90230D94-C52E-4E47-BA9E-2A3B6F115883}" name="POA_UP_Net_IS4_W2" dataDxfId="638">
      <calculatedColumnFormula>HA6-HS6</calculatedColumnFormula>
    </tableColumn>
    <tableColumn id="245" xr3:uid="{FEDA858A-C213-449B-B3BE-79483440780A}" name="POA_UP_Net_IS6_W3" dataDxfId="637">
      <calculatedColumnFormula>HB6-HT6</calculatedColumnFormula>
    </tableColumn>
    <tableColumn id="246" xr3:uid="{CA40ECD3-8115-4AEC-91C0-CC5E12A3FD78}" name="POA_UP_Net_IS9_W4" dataDxfId="636">
      <calculatedColumnFormula>HC6-HU6</calculatedColumnFormula>
    </tableColumn>
    <tableColumn id="247" xr3:uid="{B477ED85-8D98-46A4-A772-0D428E775CF4}" name="POA_UP_Net_IS15_W5" dataDxfId="635">
      <calculatedColumnFormula>HD6-HV6</calculatedColumnFormula>
    </tableColumn>
    <tableColumn id="248" xr3:uid="{3F654841-6946-4AF2-A313-748170199A99}" name="POA_UP_Net_IS19_W6" dataDxfId="634">
      <calculatedColumnFormula>HE6-HW6</calculatedColumnFormula>
    </tableColumn>
    <tableColumn id="249" xr3:uid="{00855B0F-99D1-405A-B32B-B014EBE189C5}" name="33kV_OG2_EX (KWh)" dataDxfId="633" dataCellStyle="Comma"/>
    <tableColumn id="250" xr3:uid="{6D7C03ED-5066-47BA-9F00-E02DA8A578FC}" name="33kV_OG2_Im (KWh)" dataDxfId="632" dataCellStyle="Comma"/>
    <tableColumn id="251" xr3:uid="{5DCE29F5-9F72-44D2-8374-D79FE4329245}" name="33kV_OG1_Ex(KWh)" dataDxfId="631" dataCellStyle="Comma"/>
    <tableColumn id="252" xr3:uid="{3B923D0D-AC89-42CE-A6DC-284EF441430A}" name="33kV_OG1_Im(KWh)" dataDxfId="630" dataCellStyle="Comma"/>
    <tableColumn id="253" xr3:uid="{155B4625-299B-4135-B6B5-D63B2F8D81DF}" name="220kV_PQM_Ex(KWh)" dataDxfId="629" dataCellStyle="Comma"/>
    <tableColumn id="254" xr3:uid="{211CE32D-33A0-4FC3-AC81-D7C30461CF82}" name="220kV_PQM_Im(KWh)" dataDxfId="628" dataCellStyle="Comma"/>
    <tableColumn id="255" xr3:uid="{90CB1F74-48E9-42B7-96D5-21DFDB151DE8}" name="33kV_Net_Ex (kWh)" dataDxfId="627" dataCellStyle="Comma">
      <calculatedColumnFormula>(IP6+IR6)-(IQ6+IS6)</calculatedColumnFormula>
    </tableColumn>
    <tableColumn id="256" xr3:uid="{3E97EB39-4333-46AA-AECF-8DDCC840896D}" name="220kV_Net_Ex (kWh)" dataDxfId="626" dataCellStyle="Comma">
      <calculatedColumnFormula>IT6-IU6</calculatedColumnFormula>
    </tableColumn>
    <tableColumn id="257" xr3:uid="{B5D8EB28-B3F8-4D2E-967E-8E5B6F4B3BC5}" name="Operating Hours" dataDxfId="625" dataCellStyle="Comma">
      <calculatedColumnFormula>(Raw_Data[[#This Row],[Sunset Time (POA&lt;20 W/m2)]]-Raw_Data[[#This Row],[Sunrise Time (POA&gt;20 W/m2)]])*24</calculatedColumnFormula>
    </tableColumn>
    <tableColumn id="258" xr3:uid="{7376E739-235A-4057-B85E-ED66368C986F}" name="GHI-UP (KWh/m2)" dataDxfId="624">
      <calculatedColumnFormula>AVERAGEIF(Raw_Data[[#This Row],[GHI_UP_Net_IS2_W1]:[GHI_UP_Net_IS19_W6]],"&lt;&gt;"&amp;0,Raw_Data[[#This Row],[GHI_UP_Net_IS2_W1]:[GHI_UP_Net_IS19_W6]])</calculatedColumnFormula>
    </tableColumn>
    <tableColumn id="259" xr3:uid="{25C5C8CE-48FF-4FD5-A4CC-FF59E6B4D797}" name="GHI-Down(KWh/m2)" dataDxfId="623">
      <calculatedColumnFormula>AVERAGEIF(Raw_Data[[#This Row],[GHI_Down_IS2_W1]:[GHI_Down_IS19_W6]],"&lt;&gt;"&amp;0,Raw_Data[[#This Row],[GHI_Down_IS2_W1]:[GHI_Down_IS19_W6]])</calculatedColumnFormula>
    </tableColumn>
    <tableColumn id="260" xr3:uid="{67A2762A-D37D-4FFA-8314-E361B39C44F8}" name="POA-UP(KWh/m2)" dataDxfId="622">
      <calculatedColumnFormula>AVERAGEIF(Raw_Data[[#This Row],[POA_Up_IS2_W1]:[POA_Up_IS19_W6]],"&lt;&gt;"&amp;0,Raw_Data[[#This Row],[POA_Up_IS2_W1]:[POA_Up_IS19_W6]])</calculatedColumnFormula>
    </tableColumn>
    <tableColumn id="261" xr3:uid="{A196BF14-F168-4B72-B00F-92A0823F2126}" name="POA-Down(KWh/m2)" dataDxfId="621">
      <calculatedColumnFormula>AVERAGEIF(Raw_Data[[#This Row],[POA_Down_IS2_W1]:[POA_Down_IS19_W6]],"&lt;&gt;"&amp;0,Raw_Data[[#This Row],[POA_Down_IS2_W1]:[POA_Down_IS19_W6]])</calculatedColumnFormula>
    </tableColumn>
    <tableColumn id="262" xr3:uid="{E1AAB47A-F8ED-406A-828A-6C2F606A7F58}" name="Albedo GHI (%)" dataDxfId="620">
      <calculatedColumnFormula>Raw_Data[[#This Row],[GHI-Down(KWh/m2)]]/Raw_Data[[#This Row],[GHI-UP (KWh/m2)]]</calculatedColumnFormula>
    </tableColumn>
    <tableColumn id="263" xr3:uid="{D0B9201E-FB95-4A22-A489-1D9C3BAFD10C}" name="Albedo POA (%)" dataDxfId="619">
      <calculatedColumnFormula>Raw_Data[[#This Row],[POA-Down(KWh/m2)]]/Raw_Data[[#This Row],[POA-UP(KWh/m2)]]</calculatedColumnFormula>
    </tableColumn>
    <tableColumn id="264" xr3:uid="{CE4B52F7-6FAE-40C8-86B5-174E8DDF7C9A}" name="Amm_Temp(°C)" dataDxfId="618">
      <calculatedColumnFormula>AVERAGEIF(Raw_Data[[#This Row],[Amb_Temp_IS2_W1]:[Amb_Temp_IS19_W6]],"&lt;&gt;"&amp;0,Raw_Data[[#This Row],[Amb_Temp_IS2_W1]:[Amb_Temp_IS19_W6]])</calculatedColumnFormula>
    </tableColumn>
    <tableColumn id="265" xr3:uid="{7F866B14-1084-4B01-984B-C9D0B7F0B248}" name="Mod_Temp(°C)" dataDxfId="617">
      <calculatedColumnFormula>AVERAGEIF(Raw_Data[[#This Row],[MT_Temp_IS2_W1]:[MT_Temp_IS19_W6]],"&lt;&gt;"&amp;0,Raw_Data[[#This Row],[MT_Temp_IS2_W1]:[MT_Temp_IS19_W6]])</calculatedColumnFormula>
    </tableColumn>
    <tableColumn id="266" xr3:uid="{4D4EB10E-0FAB-4F79-BAAF-4CFFF6D268E5}" name="WS_Avg(m/s)" dataDxfId="616">
      <calculatedColumnFormula>AVERAGEIF(Raw_Data[[#This Row],[WS_Avg_IS2_W1]:[WS_Avg_IS19_W6]],"&lt;&gt;"&amp;0,Raw_Data[[#This Row],[WS_Avg_IS2_W1]:[WS_Avg_IS19_W6]])</calculatedColumnFormula>
    </tableColumn>
    <tableColumn id="267" xr3:uid="{FD466DDC-739F-4C68-B7E7-B8C553ECA295}" name="WS_Max(m/s)" dataDxfId="615">
      <calculatedColumnFormula>AVERAGEIF(Raw_Data[[#This Row],[WS_Max_IS2_W1]:[WS_Max_IS19_W6]],"&lt;&gt;"&amp;0,Raw_Data[[#This Row],[WS_Max_IS2_W1]:[WS_Max_IS19_W6]])</calculatedColumnFormula>
    </tableColumn>
    <tableColumn id="268" xr3:uid="{46ACD428-2BA5-48E3-BD5C-89F50D3DAB7C}" name="Inv_Exp(KWh)" dataDxfId="614">
      <calculatedColumnFormula>SUM(Raw_Data[[#This Row],[IS1_INV1_M1]:[IS20_INV4_M2]])</calculatedColumnFormula>
    </tableColumn>
    <tableColumn id="269" xr3:uid="{8EA7FDE2-61ED-4185-BF06-3B84259C3E65}" name="WPR_Eac" dataDxfId="613"/>
    <tableColumn id="270" xr3:uid="{8D36424A-ED1C-4C00-99E3-29AE6BEC11DF}" name="WPR_Edc" dataDxfId="612"/>
    <tableColumn id="271" xr3:uid="{B92A9E6D-5B66-4B16-ABA0-6D00A2CDF150}" name="WPR" dataDxfId="611">
      <calculatedColumnFormula>IFERROR(Raw_Data[[#This Row],[WPR_Eac]]/Raw_Data[[#This Row],[WPR_Edc]],"")</calculatedColumnFormula>
    </tableColumn>
    <tableColumn id="272" xr3:uid="{2E29908C-0587-474F-BDE5-6A2194F5E683}" name="Forecasting Data count received on Forecasting Portal" dataDxfId="610"/>
    <tableColumn id="273" xr3:uid="{B313FA6F-2350-4C5C-B5E0-7D55721C5CF9}" name="Forecasting Penalties (INR)" dataDxfId="60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84486-6390-4A60-BA9E-AE8C98F37D96}" name="Table13" displayName="Table13" ref="A1:AS369" totalsRowShown="0" headerRowDxfId="608" dataDxfId="606" totalsRowDxfId="604" headerRowBorderDxfId="607" tableBorderDxfId="605" totalsRowBorderDxfId="603">
  <autoFilter ref="A1:AS369" xr:uid="{3B203726-2095-49D8-A694-A659B4A14C0A}"/>
  <tableColumns count="45">
    <tableColumn id="1" xr3:uid="{1431F874-6BDC-4869-8CE7-BE93B101ACD8}" name="Date" dataDxfId="602" totalsRowDxfId="601"/>
    <tableColumn id="2" xr3:uid="{2537305E-0DF6-4A83-B052-98AFA3FF8BF9}" name="Financial Year" dataDxfId="600" totalsRowDxfId="599">
      <calculatedColumnFormula>YEAR(Table13[[#This Row],[Date]])+IF(MONTH(Table13[[#This Row],[Date]])&gt;=4,1,0)</calculatedColumnFormula>
    </tableColumn>
    <tableColumn id="3" xr3:uid="{51CE5569-CEB6-43C9-B3BC-EA751F0072B3}" name="Calendar Year" dataDxfId="598" totalsRowDxfId="597">
      <calculatedColumnFormula>YEAR(Table13[[#This Row],[Date]])</calculatedColumnFormula>
    </tableColumn>
    <tableColumn id="4" xr3:uid="{DB388976-122D-4C83-ADED-1BE7B6EA3DD9}" name="Month Year" dataDxfId="596" totalsRowDxfId="595">
      <calculatedColumnFormula>Table13[[#This Row],[Date]]-DAY(Table13[[#This Row],[Date]])+1</calculatedColumnFormula>
    </tableColumn>
    <tableColumn id="5" xr3:uid="{1154BC00-A23C-4F0E-84D6-AF23B6BD09F3}" name="Days" dataDxfId="594" totalsRowDxfId="593">
      <calculatedColumnFormula>DAY(EOMONTH(A2,0))</calculatedColumnFormula>
    </tableColumn>
    <tableColumn id="6" xr3:uid="{CFE6E567-964A-4554-B770-67C186C84D05}" name="Operating Hours" dataDxfId="592">
      <calculatedColumnFormula>IFERROR(_xlfn.XLOOKUP($A2,'Raw_Data'!$B:$B,'Raw_Data'!$IX:$IX),"")</calculatedColumnFormula>
    </tableColumn>
    <tableColumn id="7" xr3:uid="{1DA8566B-63F1-4693-A05D-FC34CEAB1A56}" name="GHI-UP (KWh/m2)" dataDxfId="591" totalsRowDxfId="590">
      <calculatedColumnFormula>IFERROR(_xlfn.XLOOKUP($A2,'Raw_Data'!$B:$B,'Raw_Data'!IY:IY),"")</calculatedColumnFormula>
    </tableColumn>
    <tableColumn id="8" xr3:uid="{82755228-17D0-44EB-8898-D4057DDB2812}" name="GHI-Down(KWh/m2)" dataDxfId="589" totalsRowDxfId="588">
      <calculatedColumnFormula>IFERROR(_xlfn.XLOOKUP($A2,'Raw_Data'!$B:$B,'Raw_Data'!IZ:IZ),"")</calculatedColumnFormula>
    </tableColumn>
    <tableColumn id="9" xr3:uid="{5230FD0C-64A0-4CAA-B22B-3F79C3D89338}" name="POA-UP(KWh/m2)" dataDxfId="587" totalsRowDxfId="586">
      <calculatedColumnFormula>IFERROR(_xlfn.XLOOKUP($A2,'Raw_Data'!$B:$B,'Raw_Data'!JA:JA),"")</calculatedColumnFormula>
    </tableColumn>
    <tableColumn id="10" xr3:uid="{DC46EA02-3856-470B-ADAF-BE67D0C960D9}" name="POA-Down(KWh/m2)" dataDxfId="585">
      <calculatedColumnFormula>IFERROR(_xlfn.XLOOKUP($A2,'Raw_Data'!$B:$B,'Raw_Data'!JB:JB),"")</calculatedColumnFormula>
    </tableColumn>
    <tableColumn id="11" xr3:uid="{2708DC8D-D260-435E-938B-375F21720F72}" name="Amb_Temp(°C)" dataDxfId="584" totalsRowDxfId="583">
      <calculatedColumnFormula>IFERROR(_xlfn.XLOOKUP($A2,'Raw_Data'!$B:$B,'Raw_Data'!JE:JE),"")</calculatedColumnFormula>
    </tableColumn>
    <tableColumn id="12" xr3:uid="{B66E8EF0-C5EA-4403-A3FE-2F5E87438744}" name="Mod_Temp(°C)" dataDxfId="582" totalsRowDxfId="581">
      <calculatedColumnFormula>IFERROR(_xlfn.XLOOKUP($A2,'Raw_Data'!$B:$B,'Raw_Data'!JF:JF),"")</calculatedColumnFormula>
    </tableColumn>
    <tableColumn id="13" xr3:uid="{4D7358C7-7B67-4C21-809D-19877523A960}" name="WS_Avg(m/s)" dataDxfId="580" totalsRowDxfId="579">
      <calculatedColumnFormula>IFERROR(_xlfn.XLOOKUP($A2,'Raw_Data'!$B:$B,'Raw_Data'!JG:JG),"")</calculatedColumnFormula>
    </tableColumn>
    <tableColumn id="14" xr3:uid="{E38EBC1E-6CF8-47BB-B310-369B7A0A4AD5}" name="WS_Max(m/s)" dataDxfId="578" totalsRowDxfId="577">
      <calculatedColumnFormula>IFERROR(_xlfn.XLOOKUP($A2,'Raw_Data'!$B:$B,'Raw_Data'!JH:JH),"")</calculatedColumnFormula>
    </tableColumn>
    <tableColumn id="15" xr3:uid="{9607B43E-BB6C-49B9-9DFE-49343CA791A3}" name="PA(%)" dataDxfId="576" totalsRowDxfId="575">
      <calculatedColumnFormula>IFERROR(1-SUMIF(PA!$B:$B,$A2,PA!$AL:$AL)/($AA2+SUMIF(PA!$B:$B,$A2,PA!$AL:$AL)),"")</calculatedColumnFormula>
    </tableColumn>
    <tableColumn id="16" xr3:uid="{CE714BAB-5AFA-45BF-AE28-E91C361B1FBD}" name="MA (%)" dataDxfId="574" totalsRowDxfId="573"/>
    <tableColumn id="17" xr3:uid="{AFBE17EB-7639-43B5-A15E-D42DECBE8EA6}" name="IGA (%)" dataDxfId="572" totalsRowDxfId="571"/>
    <tableColumn id="18" xr3:uid="{13657520-C8D9-422F-AA4D-1F0028841F99}" name="EGA(%)" dataDxfId="570" dataCellStyle="Percent">
      <calculatedColumnFormula>IFERROR(1-SUMIF(GA!$C:$C,$A2,GA!$X:$X)/($AA2+SUMIF(GA!$C:$C,$A2,GA!$X:$X)),"")</calculatedColumnFormula>
    </tableColumn>
    <tableColumn id="19" xr3:uid="{4C8A3475-272F-46DF-88AA-6247E67DD49B}" name="EMA (%)" dataDxfId="569" totalsRowDxfId="568"/>
    <tableColumn id="20" xr3:uid="{3615E78D-F234-47E4-BA4A-F48E9BE2FA0A}" name="TA (%)" dataDxfId="567" totalsRowDxfId="566"/>
    <tableColumn id="21" xr3:uid="{7FC1A72A-A96F-4F33-B956-E789479A28C5}" name="PR(%)" dataDxfId="565">
      <calculatedColumnFormula>IFERROR(AA2/I2/AR2/1000,"")</calculatedColumnFormula>
    </tableColumn>
    <tableColumn id="22" xr3:uid="{102CAFE3-2C97-4E93-B228-18940A04EBB1}" name="WPR(%)" dataDxfId="564" totalsRowDxfId="563">
      <calculatedColumnFormula>IFERROR(_xlfn.XLOOKUP($A2,'Raw_Data'!$B:$B,'Raw_Data'!$JL:$JL),"")</calculatedColumnFormula>
    </tableColumn>
    <tableColumn id="23" xr3:uid="{1AFC3DEB-1931-4D3E-9C00-133DA767A0A6}" name="CUF(%)" dataDxfId="562" totalsRowDxfId="561">
      <calculatedColumnFormula>IFERROR(AA2/(24*AR2*1000),"")</calculatedColumnFormula>
    </tableColumn>
    <tableColumn id="24" xr3:uid="{9FB6F315-F84A-401C-B484-7C34F0A801EC}" name="Gen_Exp (kWh)" dataDxfId="560" totalsRowDxfId="559">
      <calculatedColumnFormula>IFERROR(_xlfn.XLOOKUP($A2,'Raw_Data'!$B:$B,'Raw_Data'!$JI:$JI),"")</calculatedColumnFormula>
    </tableColumn>
    <tableColumn id="25" xr3:uid="{944CB3FD-37F4-49BC-90FC-A16B05536C96}" name="Mtr_Export (kWh)" dataDxfId="558" totalsRowDxfId="557">
      <calculatedColumnFormula>IFERROR(_xlfn.XLOOKUP($A2,'Raw_Data'!$B:$B,'Raw_Data'!IT:IT),"")</calculatedColumnFormula>
    </tableColumn>
    <tableColumn id="26" xr3:uid="{07B77172-743A-4032-B072-CDB73A0CF8C7}" name="Mtr_Import (kWh)" dataDxfId="556" totalsRowDxfId="555">
      <calculatedColumnFormula>IFERROR(_xlfn.XLOOKUP($A2,'Raw_Data'!$B:$B,'Raw_Data'!IU:IU),"")</calculatedColumnFormula>
    </tableColumn>
    <tableColumn id="27" xr3:uid="{FE88D41A-40A8-436A-9155-A603E0DBF386}" name="Mtr_Net_Exp (KWh)" dataDxfId="554">
      <calculatedColumnFormula>IFERROR(_xlfn.XLOOKUP($A2,'Raw_Data'!$B:$B,'Raw_Data'!IW:IW),"")</calculatedColumnFormula>
    </tableColumn>
    <tableColumn id="28" xr3:uid="{6361FA7A-5555-4ABD-A9AE-6A353B015A98}" name="Operational Capacity (MW)" dataDxfId="553" totalsRowDxfId="552">
      <calculatedColumnFormula>IFERROR(_xlfn.XLOOKUP($A2,'Raw_Data'!$B:$B,'Raw_Data'!I:I)/1000,"")</calculatedColumnFormula>
    </tableColumn>
    <tableColumn id="29" xr3:uid="{251677FE-5616-41D1-A18C-34F21477A041}" name="Bugt_Resource" dataDxfId="551" totalsRowDxfId="550">
      <calculatedColumnFormula>IFERROR(_xlfn.XLOOKUP($D2,'Modelling New'!$D:$D,'Modelling New'!$P:$P),"")</calculatedColumnFormula>
    </tableColumn>
    <tableColumn id="30" xr3:uid="{4F251360-BA12-444A-A4C1-2F1B8AA86C49}" name="Bugt_Energy" dataDxfId="549" totalsRowDxfId="548">
      <calculatedColumnFormula>IFERROR(_xlfn.XLOOKUP($D2,'Modelling New'!$D:$D,'Modelling New'!$T:$T)*1000,"")</calculatedColumnFormula>
    </tableColumn>
    <tableColumn id="43" xr3:uid="{B69DFE30-3767-4930-BAA0-4DA63FB670D6}" name="Bugt PR" dataDxfId="547" totalsRowDxfId="546">
      <calculatedColumnFormula>IFERROR(_xlfn.XLOOKUP($D2,'Modelling New'!$D:$D,'Modelling New'!$O:$O),"")</calculatedColumnFormula>
    </tableColumn>
    <tableColumn id="42" xr3:uid="{4192B9D0-6F46-4EC6-A91A-DFEEBE0AA3B8}" name="Bugt CUF" dataDxfId="545" totalsRowDxfId="544">
      <calculatedColumnFormula>IFERROR(_xlfn.XLOOKUP($D2,'Modelling New'!$D:$D,'Modelling New'!$W:$W),"")</calculatedColumnFormula>
    </tableColumn>
    <tableColumn id="31" xr3:uid="{66439FC0-8A42-452A-AC96-CDD880BAD36B}" name="Bugt_PA" dataDxfId="543" totalsRowDxfId="542">
      <calculatedColumnFormula>IFERROR(_xlfn.XLOOKUP($D2,'Modelling New'!$D:$D,'Modelling New'!AE:AE),"")</calculatedColumnFormula>
    </tableColumn>
    <tableColumn id="32" xr3:uid="{33D4FD2C-795A-4759-A1BD-7C359FC6ABE6}" name="Bugt_EGA" dataDxfId="541" totalsRowDxfId="540">
      <calculatedColumnFormula>IFERROR(_xlfn.XLOOKUP($D2,'Modelling New'!$D:$D,'Modelling New'!AF:AF),"")</calculatedColumnFormula>
    </tableColumn>
    <tableColumn id="33" xr3:uid="{4F18A586-ECB9-4E51-BD5B-494CEC2F58A0}" name="Expected Energy" dataDxfId="539" totalsRowDxfId="538"/>
    <tableColumn id="34" xr3:uid="{355BA620-98EA-4EED-9AB6-2D75D2A3F0E0}" name="Actual Energy WPR" dataDxfId="537" totalsRowDxfId="536"/>
    <tableColumn id="35" xr3:uid="{AD8183AB-5AC9-435F-9E67-EE3B40669CAB}" name="RA (%)" dataDxfId="535" totalsRowDxfId="534"/>
    <tableColumn id="36" xr3:uid="{DD9C1696-CBE6-4965-A61E-DF0791F1F2B4}" name="Mod Clean Dry (Num)" dataDxfId="533">
      <calculatedColumnFormula>IFERROR(Table13[[#This Row],[RA (%)]]*9270*58,"")</calculatedColumnFormula>
    </tableColumn>
    <tableColumn id="37" xr3:uid="{7F1ED591-8290-45B8-8FAD-14E1D6ECC9EB}" name="Mod Clean Wet (Num)" dataDxfId="532"/>
    <tableColumn id="38" xr3:uid="{8CDB1FC5-EB23-4B59-94C7-1ADA95C6EE59}" name="Line Loss(%)" dataDxfId="531" totalsRowDxfId="530"/>
    <tableColumn id="39" xr3:uid="{93A5DC66-BC99-4362-8166-2CF27F8D5125}" name="Reactive Power (%)" dataDxfId="529"/>
    <tableColumn id="40" xr3:uid="{83102571-B734-4152-834A-8AA3D1371BF3}" name="Bugt Line loss (%) (Wind)" dataDxfId="528" totalsRowDxfId="527"/>
    <tableColumn id="41" xr3:uid="{A223E2B7-34E5-43C8-91F5-54F9B5B970BC}" name="Bugt Reactive Power (%) (Wind)" dataDxfId="526" totalsRowDxfId="525"/>
    <tableColumn id="44" xr3:uid="{80211E0D-C73E-408C-B105-D5F375CE9DCE}" name="Bugt Capacity" dataDxfId="524" totalsRowDxfId="523">
      <calculatedColumnFormula>IFERROR(_xlfn.XLOOKUP($D2,'Modelling New'!$D:$D,'Modelling New'!$N:$N),"")</calculatedColumnFormula>
    </tableColumn>
    <tableColumn id="45" xr3:uid="{21B8150E-35B1-45F5-B19E-E3138F1B89BB}" name="CC*Bugt" dataDxfId="522" totalsRowDxfId="5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037163-3698-4614-8CC7-02E629EBFC4E}" name="PA" displayName="PA" ref="A3:AM454" totalsRowShown="0" headerRowDxfId="520" headerRowBorderDxfId="519" tableBorderDxfId="518" totalsRowBorderDxfId="517">
  <autoFilter ref="A3:AM454" xr:uid="{32037163-3698-4614-8CC7-02E629EBFC4E}"/>
  <tableColumns count="39">
    <tableColumn id="1" xr3:uid="{55725AA5-33BD-4520-93F8-BEFDD00E0A54}" name="Sr. No." dataDxfId="516"/>
    <tableColumn id="2" xr3:uid="{AD75A48A-86AC-46E7-9358-CC787D528C1D}" name="Date" dataDxfId="515"/>
    <tableColumn id="3" xr3:uid="{FEFE71C1-80D4-4B61-A304-F702111CCF67}" name="Financial Year" dataDxfId="514"/>
    <tableColumn id="4" xr3:uid="{C1AA4C37-D5D0-4173-9402-C8AA59F25DB1}" name="Calendar Year" dataDxfId="513">
      <calculatedColumnFormula>YEAR(PA[[#This Row],[Date]])</calculatedColumnFormula>
    </tableColumn>
    <tableColumn id="5" xr3:uid="{EBD8CB38-1555-4225-8AA3-A4EC459B376F}" name="Contractual Year" dataDxfId="512"/>
    <tableColumn id="6" xr3:uid="{26938645-430B-4CE4-A610-FFC62DF07CEB}" name="Operating Year" dataDxfId="511"/>
    <tableColumn id="7" xr3:uid="{A79E17B0-1CBB-4435-9150-F928CD0F353A}" name="Month Year" dataDxfId="510"/>
    <tableColumn id="8" xr3:uid="{3EDAB6BE-5419-43A5-A664-72AD3F47285B}" name="Days" dataDxfId="509">
      <calculatedColumnFormula>DAY(EOMONTH(PA[[#This Row],[Month Year]],0))</calculatedColumnFormula>
    </tableColumn>
    <tableColumn id="9" xr3:uid="{BFA20A0B-BC0B-4965-B78E-19495518AEA3}" name="Sunrise Time (POA&gt;20 W/m2)" dataDxfId="508">
      <calculatedColumnFormula>VLOOKUP(PA[[#This Row],[Date]],Raw_Data[#All],9,0)</calculatedColumnFormula>
    </tableColumn>
    <tableColumn id="10" xr3:uid="{4DD4F211-9CA4-41CA-9C53-D775E1ED01AD}" name="Sunset Time (POA&lt;20 W/m2)" dataDxfId="507">
      <calculatedColumnFormula>VLOOKUP(PA[[#This Row],[Date]],Raw_Data[#All],10,0)</calculatedColumnFormula>
    </tableColumn>
    <tableColumn id="11" xr3:uid="{BDB2AD1D-B46B-453E-B7A9-214DFBDB8238}" name="Total Generation Time" dataDxfId="506">
      <calculatedColumnFormula>IFERROR((PA[[#This Row],[Sunset Time (POA&lt;20 W/m2)]]-PA[[#This Row],[Sunrise Time (POA&gt;20 W/m2)]])*24,"")</calculatedColumnFormula>
    </tableColumn>
    <tableColumn id="12" xr3:uid="{D5864CB0-FAB2-4298-AFF8-DAA65C19B93B}" name="Inverter  Station Number (if Bd in filed)" dataDxfId="505"/>
    <tableColumn id="13" xr3:uid="{8A61EFD8-C27F-41DB-926D-79CBBAA5EE7D}" name="Inverter number (If Inv, SCb or Str BD)" dataDxfId="504"/>
    <tableColumn id="36" xr3:uid="{405D0923-4C72-4EAD-8E85-57AABB52FC44}" name="Inverter Module Number" dataDxfId="503"/>
    <tableColumn id="14" xr3:uid="{2FDE0EB5-6534-466D-A0C6-2846B9DF7EA1}" name="SCB Number (If SCB or Str BD)" dataDxfId="502"/>
    <tableColumn id="15" xr3:uid="{69D28706-DF76-40A3-945A-A4B9A3445A43}" name="String Type(If String BD)" dataDxfId="501"/>
    <tableColumn id="16" xr3:uid="{318D5C24-6694-4206-9430-3845E5BC84D7}" name="Equipment (If any BD other than PV  array and inv)" dataDxfId="500"/>
    <tableColumn id="37" xr3:uid="{8B30410D-F130-4DBC-9E1B-E72474C492F6}" name="C1" dataDxfId="499">
      <calculatedColumnFormula>IF((PA[[#This Row],[String Type(If String BD)]]&amp;PA[[#This Row],[Equipment (If any BD other than PV  array and inv)]])="",1,0)</calculatedColumnFormula>
    </tableColumn>
    <tableColumn id="38" xr3:uid="{80E6A8BA-8CD2-43AA-B1FF-0CE1B055B9A1}" name="C2" dataDxfId="498">
      <calculatedColumnFormula>IF(PA[[#This Row],[String Type(If String BD)]]="",1,0)</calculatedColumnFormula>
    </tableColumn>
    <tableColumn id="17" xr3:uid="{C4FA2A9D-78F3-45A6-8FD0-D9AC1B445524}" name="Affected Equipment " dataDxfId="497">
      <calculatedColumnFormula>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calculatedColumnFormula>
    </tableColumn>
    <tableColumn id="18" xr3:uid="{7A4E9211-610D-4E91-A4A4-A6E17E7A8E3E}" name="DC Capacity Affected (kW)" dataDxfId="496">
      <calculatedColumnFormula>IFERROR(VLOOKUP(PA[[#This Row],[Affected Equipment ]],'Basic Data '!$A$1:$B$1846,2,0),"")</calculatedColumnFormula>
    </tableColumn>
    <tableColumn id="19" xr3:uid="{AB8E6927-2F49-48C3-A560-9D9207DBB287}" name="Plant Equivalent Weightage" dataDxfId="495">
      <calculatedColumnFormula>IFERROR(VLOOKUP(PA[[#This Row],[Affected Equipment ]],'Basic Data '!$A$1:$C$1846,3,0),"")</calculatedColumnFormula>
    </tableColumn>
    <tableColumn id="20" xr3:uid="{0157F604-AA53-4D56-8A63-33DF8097362E}" name="Fault Category" dataDxfId="494"/>
    <tableColumn id="21" xr3:uid="{E694FA3E-ECB8-4243-B917-65B0D1F8398B}" name="Fault Code (As per HMI)" dataDxfId="493"/>
    <tableColumn id="22" xr3:uid="{7109632D-55A6-4B9B-AEE0-E1C5D960854F}" name="Breakdown Description" dataDxfId="492"/>
    <tableColumn id="23" xr3:uid="{0522F2AD-D51D-42B7-8CCD-CBD667F463B9}" name="Fault Time" dataDxfId="491"/>
    <tableColumn id="24" xr3:uid="{FB686202-1931-45B7-84EE-2F157B42A4DC}" name="Acknowledgement Time " dataDxfId="490"/>
    <tableColumn id="25" xr3:uid="{B539801F-85C3-44A2-AD5A-643AC866C84A}" name="Work Start time on Fault" dataDxfId="489"/>
    <tableColumn id="26" xr3:uid="{7B0144A5-DAB4-448E-A2DF-E6F6922D532E}" name="Work Completion time on fault" dataDxfId="488"/>
    <tableColumn id="27" xr3:uid="{CC72D8BF-4040-4638-89F0-C337BA5C102D}" name="Acknow. time " dataDxfId="487">
      <calculatedColumnFormula>IF(PA[[#This Row],[Acknowledgement Time ]]="NA","",(PA[[#This Row],[Acknowledgement Time ]]-PA[[#This Row],[Fault Time]])*24)</calculatedColumnFormula>
    </tableColumn>
    <tableColumn id="28" xr3:uid="{F160D322-819F-4867-B392-728ADA8D6651}" name="Response Time" dataDxfId="486">
      <calculatedColumnFormula>IF(PA[[#This Row],[Work Start time on Fault]]="NA","",(PA[[#This Row],[Work Start time on Fault]]-PA[[#This Row],[Fault Time]])*24)</calculatedColumnFormula>
    </tableColumn>
    <tableColumn id="29" xr3:uid="{13BF8A43-BAB2-4071-A345-8897AF85BC75}" name="Resolution Time" dataDxfId="485">
      <calculatedColumnFormula>IF(PA[[#This Row],[Status]]="Open","",(PA[[#This Row],[Work Completion time on fault]]-PA[[#This Row],[Fault Time]])*24)</calculatedColumnFormula>
    </tableColumn>
    <tableColumn id="30" xr3:uid="{FAF0E8F0-A901-45DE-B1CB-85FDEBE7A8F3}" name="Breakdown Time" dataDxfId="484">
      <calculatedColumnFormula>IFERROR((PA[[#This Row],[Work Completion time on fault]]-PA[[#This Row],[Fault Time]])*24,"")</calculatedColumnFormula>
    </tableColumn>
    <tableColumn id="31" xr3:uid="{1D16CF0B-F31C-4F4C-A5A4-65EADCEC1E46}" name="Action taken" dataDxfId="483"/>
    <tableColumn id="32" xr3:uid="{F1FE1DD8-8A24-424D-921D-542AFDF268E6}" name="Status" dataDxfId="482"/>
    <tableColumn id="33" xr3:uid="{C4A1BA03-CD51-4355-B15C-73829038F673}" name="Plant Equivalent breakdown" dataDxfId="481">
      <calculatedColumnFormula>IFERROR(PA[[#This Row],[Breakdown Time]]*PA[[#This Row],[Plant Equivalent Weightage]],"")</calculatedColumnFormula>
    </tableColumn>
    <tableColumn id="34" xr3:uid="{4DC35FA3-5A9A-4232-BD89-9C2FCF55D792}" name="Lost PoA(Wh/m2)" dataDxfId="480"/>
    <tableColumn id="35" xr3:uid="{6885CC42-33CB-4544-AD24-3A3BAD1CE5F3}" name="Approximate Energy Loss (KWh)" dataDxfId="479">
      <calculatedColumnFormula>IF(PA[[#This Row],[Lost PoA(Wh/m2)]]&gt;0,_xlfn.XLOOKUP($B4,'Daily KPI'!$A:$A,'Daily KPI'!$AE:$AE)*PA[[#This Row],[Lost PoA(Wh/m2)]]*U4,0)</calculatedColumnFormula>
    </tableColumn>
    <tableColumn id="39" xr3:uid="{73D998CB-6210-4314-A0A3-62D457609FAB}" name="Job Card/PTW Nos." dataDxfId="47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9EA7EE-A517-4304-8C3E-C9FACF75E746}" name="GA" displayName="GA" ref="B4:X33" totalsRowShown="0" headerRowDxfId="477" dataDxfId="475" headerRowBorderDxfId="476" tableBorderDxfId="474" totalsRowBorderDxfId="473">
  <tableColumns count="23">
    <tableColumn id="1" xr3:uid="{75B102D2-E13A-4AA9-84D3-365DA8E93597}" name="Sr. No." dataDxfId="472"/>
    <tableColumn id="2" xr3:uid="{18009000-CA26-42B5-90CF-540AD4FBC562}" name="Date" dataDxfId="471"/>
    <tableColumn id="3" xr3:uid="{4335A3A2-6E51-4E0F-B173-ACC457840025}" name="Financial Year" dataDxfId="470"/>
    <tableColumn id="4" xr3:uid="{6AE21E3E-BD67-4AD1-AFA9-62ED66CA04FE}" name="Calendar Year" dataDxfId="469"/>
    <tableColumn id="5" xr3:uid="{DB0E0F38-3C46-48D4-B13B-E6B108B6A4AC}" name="Contractual Year" dataDxfId="468"/>
    <tableColumn id="6" xr3:uid="{E8E984E2-DF97-4987-8CB3-2F242BA98007}" name="Operating Year" dataDxfId="467"/>
    <tableColumn id="7" xr3:uid="{5B3DBB2E-0908-4FB9-878D-694B0B9659B4}" name="Month Year" dataDxfId="466"/>
    <tableColumn id="8" xr3:uid="{E7EC845B-B3A2-4601-A751-B2F497208219}" name="Days" dataDxfId="465">
      <calculatedColumnFormula>DAY(EOMONTH(GA[[#This Row],[Month Year]],0))</calculatedColumnFormula>
    </tableColumn>
    <tableColumn id="9" xr3:uid="{DC91BA51-A671-4310-A60F-223C4F7EA289}" name="Sunrise Time (POA&gt;20 W/m2)" dataDxfId="464"/>
    <tableColumn id="10" xr3:uid="{20F12C90-04EA-411F-A257-2B3D9BB26680}" name="Sunset Time (POA&lt;20 W/m2)" dataDxfId="463"/>
    <tableColumn id="11" xr3:uid="{62D00EC9-6481-41BB-A856-DB063007621A}" name="Total Generation Time" dataDxfId="462">
      <calculatedColumnFormula>IFERROR((PA[[#This Row],[Sunset Time (POA&lt;20 W/m2)]]-PA[[#This Row],[Sunrise Time (POA&gt;20 W/m2)]])*24,"")</calculatedColumnFormula>
    </tableColumn>
    <tableColumn id="12" xr3:uid="{6629DACB-98D4-4BB2-B62E-3247F545D572}" name="Affected Equipment " dataDxfId="461"/>
    <tableColumn id="13" xr3:uid="{7442123D-8986-42F3-88E4-D98FCC35715F}" name="DC Capacity Affected (kW)" dataDxfId="460"/>
    <tableColumn id="14" xr3:uid="{2F99FB08-5D2E-4567-B45E-41EFA4C90D79}" name="Plant Equivalent Weightage" dataDxfId="459">
      <calculatedColumnFormula>GA[[#This Row],[DC Capacity Affected (kW)]]/'Basic Data '!$S$2</calculatedColumnFormula>
    </tableColumn>
    <tableColumn id="16" xr3:uid="{01DB14A6-6274-42ED-828D-B86D2FA2B818}" name="Breakdown Description" dataDxfId="458"/>
    <tableColumn id="17" xr3:uid="{80950656-7E9F-4EF0-A588-C5839C7D8CD7}" name="Fault Time" dataDxfId="457"/>
    <tableColumn id="18" xr3:uid="{FC2ADC8E-DDAF-4BAB-BF14-63C7FA6EE0D2}" name="Work Completion time on fault" dataDxfId="456"/>
    <tableColumn id="19" xr3:uid="{E4A766D6-B3FD-4CA9-8C7E-C24A6AE35A41}" name="Breakdown Time" dataDxfId="455"/>
    <tableColumn id="20" xr3:uid="{00440D13-9DB1-4C2F-80D5-400188022675}" name="Action taken" dataDxfId="454"/>
    <tableColumn id="21" xr3:uid="{777D91A5-3339-4710-B84C-916CD04AFC31}" name="Status" dataDxfId="453"/>
    <tableColumn id="22" xr3:uid="{6861DDB3-67A8-42D6-BBDD-1C01B1060E3C}" name="Plant Equivalent breakdown" dataDxfId="452">
      <calculatedColumnFormula>GA[[#This Row],[Breakdown Time]]*GA[[#This Row],[Plant Equivalent Weightage]]</calculatedColumnFormula>
    </tableColumn>
    <tableColumn id="23" xr3:uid="{ECE90A4E-05F0-4E3E-981A-81AC1B535870}" name="Lost PoA(Wh/m2)" dataDxfId="451"/>
    <tableColumn id="24" xr3:uid="{CAC2DB15-8E9A-410F-AB09-ABC27A9B30EB}" name="Approximate Energy Loss (KWh)" dataDxfId="45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DF21D1-715B-4869-830A-E40D83CA7E0C}" name="Inv_SY" displayName="Inv_SY" ref="B3:FF36" totalsRowShown="0" headerRowDxfId="449" dataDxfId="447" headerRowBorderDxfId="448" tableBorderDxfId="446" totalsRowBorderDxfId="445">
  <autoFilter ref="B3:FF36" xr:uid="{80DF21D1-715B-4869-830A-E40D83CA7E0C}"/>
  <tableColumns count="161">
    <tableColumn id="1" xr3:uid="{45B4198F-E27B-4C9B-84E9-943A74556C21}" name="Date" dataDxfId="444">
      <calculatedColumnFormula>B3+1</calculatedColumnFormula>
    </tableColumn>
    <tableColumn id="2" xr3:uid="{82462E9E-BEF0-47E9-BDA0-26CC1569CB08}" name="IS1_INV1_M1" dataDxfId="443">
      <calculatedColumnFormula>Inv_SY_B!C4/Inv_SY_B!$FG4-1</calculatedColumnFormula>
    </tableColumn>
    <tableColumn id="3" xr3:uid="{89B208AD-6008-48E1-B8D4-EEB99244B301}" name="IS1_INV1_M2" dataDxfId="442">
      <calculatedColumnFormula>Inv_SY_B!D4/Inv_SY_B!$FG4-1</calculatedColumnFormula>
    </tableColumn>
    <tableColumn id="4" xr3:uid="{1F1902B7-377B-4972-8787-BC6EDE12DFE0}" name="IS1_INV2_M1" dataDxfId="441">
      <calculatedColumnFormula>Inv_SY_B!E4/Inv_SY_B!$FG4-1</calculatedColumnFormula>
    </tableColumn>
    <tableColumn id="5" xr3:uid="{C9A32612-FD8B-45DB-B2E7-3C07E156C333}" name="IS1_INV2_M2" dataDxfId="440">
      <calculatedColumnFormula>Inv_SY_B!F4/Inv_SY_B!$FG4-1</calculatedColumnFormula>
    </tableColumn>
    <tableColumn id="6" xr3:uid="{42399B10-5DD4-4434-A44A-9D33B8BB4E46}" name="IS1_INV3_M1" dataDxfId="439">
      <calculatedColumnFormula>Inv_SY_B!G4/Inv_SY_B!$FG4-1</calculatedColumnFormula>
    </tableColumn>
    <tableColumn id="7" xr3:uid="{1750D44A-59D0-494F-A534-A4D8C085461E}" name="IS1_INV3_M2" dataDxfId="438">
      <calculatedColumnFormula>Inv_SY_B!H4/Inv_SY_B!$FG4-1</calculatedColumnFormula>
    </tableColumn>
    <tableColumn id="8" xr3:uid="{2053D61B-15FD-44AE-A565-B51AB0972D87}" name="IS1_INV4_M1" dataDxfId="437">
      <calculatedColumnFormula>Inv_SY_B!I4/Inv_SY_B!$FG4-1</calculatedColumnFormula>
    </tableColumn>
    <tableColumn id="9" xr3:uid="{038A8A8A-C12E-4CF2-AB14-B24A30F0B445}" name="IS1_INV4_M2" dataDxfId="436">
      <calculatedColumnFormula>Inv_SY_B!J4/Inv_SY_B!$FG4-1</calculatedColumnFormula>
    </tableColumn>
    <tableColumn id="10" xr3:uid="{3EFE18AD-D16C-4D8E-887C-705C1F1205D5}" name="IS2_INV1_M1" dataDxfId="435">
      <calculatedColumnFormula>Inv_SY_B!K4/Inv_SY_B!$FG4-1</calculatedColumnFormula>
    </tableColumn>
    <tableColumn id="11" xr3:uid="{DAFE3E74-63F0-441B-8050-31FFBCCAF7F1}" name="IS2_INV1_M2" dataDxfId="434">
      <calculatedColumnFormula>Inv_SY_B!L4/Inv_SY_B!$FG4-1</calculatedColumnFormula>
    </tableColumn>
    <tableColumn id="12" xr3:uid="{19074642-520C-4913-BCA3-CEA366BCDB1F}" name="IS2_INV2_M1" dataDxfId="433">
      <calculatedColumnFormula>Inv_SY_B!M4/Inv_SY_B!$FG4-1</calculatedColumnFormula>
    </tableColumn>
    <tableColumn id="13" xr3:uid="{B31FD2A3-FA41-4C84-9510-2BC0F0603377}" name="IS2_INV2_M2" dataDxfId="432">
      <calculatedColumnFormula>Inv_SY_B!N4/Inv_SY_B!$FG4-1</calculatedColumnFormula>
    </tableColumn>
    <tableColumn id="14" xr3:uid="{5EB180BF-FE0D-4639-96B1-9E0B5F5F34E5}" name="IS2_INV3_M1" dataDxfId="431">
      <calculatedColumnFormula>Inv_SY_B!O4/Inv_SY_B!$FG4-1</calculatedColumnFormula>
    </tableColumn>
    <tableColumn id="15" xr3:uid="{528CE45E-5803-4A6A-B8C1-7F3C899820DA}" name="IS2_INV3_M2" dataDxfId="430">
      <calculatedColumnFormula>Inv_SY_B!P4/Inv_SY_B!$FG4-1</calculatedColumnFormula>
    </tableColumn>
    <tableColumn id="16" xr3:uid="{471185A3-3B30-4A9F-B154-99437C094DF5}" name="IS2_INV4_M1" dataDxfId="429">
      <calculatedColumnFormula>Inv_SY_B!Q4/Inv_SY_B!$FG4-1</calculatedColumnFormula>
    </tableColumn>
    <tableColumn id="17" xr3:uid="{075FA87A-1276-47BE-8C67-238001833B02}" name="IS2_INV4_M2" dataDxfId="428">
      <calculatedColumnFormula>Inv_SY_B!R4/Inv_SY_B!$FG4-1</calculatedColumnFormula>
    </tableColumn>
    <tableColumn id="18" xr3:uid="{5716BA55-8A6D-45E3-BBCD-3F17E6845E54}" name="IS3_INV1_M1" dataDxfId="427">
      <calculatedColumnFormula>Inv_SY_B!S4/Inv_SY_B!$FG4-1</calculatedColumnFormula>
    </tableColumn>
    <tableColumn id="19" xr3:uid="{D1EA060F-EBF1-401A-ABB3-B8338F8EA020}" name="IS3_INV1_M2" dataDxfId="426">
      <calculatedColumnFormula>Inv_SY_B!T4/Inv_SY_B!$FG4-1</calculatedColumnFormula>
    </tableColumn>
    <tableColumn id="20" xr3:uid="{F4EAB93E-CBE8-4656-B75C-22F7E2E2BFC4}" name="IS3_INV2_M1" dataDxfId="425">
      <calculatedColumnFormula>Inv_SY_B!U4/Inv_SY_B!$FG4-1</calculatedColumnFormula>
    </tableColumn>
    <tableColumn id="21" xr3:uid="{D493C02A-960E-4340-B8A5-D2135B73C59A}" name="IS3_INV2_M2" dataDxfId="424">
      <calculatedColumnFormula>Inv_SY_B!V4/Inv_SY_B!$FG4-1</calculatedColumnFormula>
    </tableColumn>
    <tableColumn id="22" xr3:uid="{4234C8FC-77B3-48C9-8A8F-70D04DDC8EE7}" name="IS3_INV3_M1" dataDxfId="423">
      <calculatedColumnFormula>Inv_SY_B!W4/Inv_SY_B!$FG4-1</calculatedColumnFormula>
    </tableColumn>
    <tableColumn id="23" xr3:uid="{6EEBD32C-3F46-4858-BC63-33DAEC389B83}" name="IS3_INV3_M2" dataDxfId="422">
      <calculatedColumnFormula>Inv_SY_B!X4/Inv_SY_B!$FG4-1</calculatedColumnFormula>
    </tableColumn>
    <tableColumn id="24" xr3:uid="{F30750C8-8F27-4628-A611-47C3CA9841A8}" name="IS3_INV4_M1" dataDxfId="421">
      <calculatedColumnFormula>Inv_SY_B!Y4/Inv_SY_B!$FG4-1</calculatedColumnFormula>
    </tableColumn>
    <tableColumn id="25" xr3:uid="{E049CE4A-B23A-4A58-8CBA-1C87D9BFC6BF}" name="IS3_INV4_M2" dataDxfId="420">
      <calculatedColumnFormula>Inv_SY_B!Z4/Inv_SY_B!$FG4-1</calculatedColumnFormula>
    </tableColumn>
    <tableColumn id="26" xr3:uid="{1966814A-FFAA-4C8F-85B9-A9F4D5BDB5B3}" name="IS4_INV1_M1" dataDxfId="419">
      <calculatedColumnFormula>Inv_SY_B!AA4/Inv_SY_B!$FG4-1</calculatedColumnFormula>
    </tableColumn>
    <tableColumn id="27" xr3:uid="{21351AD4-E0E3-45BE-8954-2BE45D16FDFB}" name="IS4_INV1_M2" dataDxfId="418">
      <calculatedColumnFormula>Inv_SY_B!AB4/Inv_SY_B!$FG4-1</calculatedColumnFormula>
    </tableColumn>
    <tableColumn id="28" xr3:uid="{9DB12215-CB01-4903-9803-B5D212FB79DA}" name="IS4_INV2_M1" dataDxfId="417">
      <calculatedColumnFormula>Inv_SY_B!AC4/Inv_SY_B!$FG4-1</calculatedColumnFormula>
    </tableColumn>
    <tableColumn id="29" xr3:uid="{56E35E09-9CD8-4D4D-BF1E-E83D6CB709A7}" name="IS4_INV2_M2" dataDxfId="416">
      <calculatedColumnFormula>Inv_SY_B!AD4/Inv_SY_B!$FG4-1</calculatedColumnFormula>
    </tableColumn>
    <tableColumn id="30" xr3:uid="{20603D01-3737-440E-AAD4-3E4F7EB86550}" name="IS4_INV3_M1" dataDxfId="415">
      <calculatedColumnFormula>Inv_SY_B!AE4/Inv_SY_B!$FG4-1</calculatedColumnFormula>
    </tableColumn>
    <tableColumn id="31" xr3:uid="{EE78056E-4260-4EA9-A349-6BE30FD24442}" name="IS4_INV3_M2" dataDxfId="414">
      <calculatedColumnFormula>Inv_SY_B!AF4/Inv_SY_B!$FG4-1</calculatedColumnFormula>
    </tableColumn>
    <tableColumn id="32" xr3:uid="{19128AF8-578B-433F-9BE3-28B5AE093036}" name="IS4_INV4_M1" dataDxfId="413">
      <calculatedColumnFormula>Inv_SY_B!AG4/Inv_SY_B!$FG4-1</calculatedColumnFormula>
    </tableColumn>
    <tableColumn id="33" xr3:uid="{ADEF45BA-97EF-4D61-9891-DCA23075CE44}" name="IS4_INV4_M2" dataDxfId="412">
      <calculatedColumnFormula>Inv_SY_B!AH4/Inv_SY_B!$FG4-1</calculatedColumnFormula>
    </tableColumn>
    <tableColumn id="34" xr3:uid="{8DF2CD98-F739-4211-B54A-2F95145902CE}" name="IS5_INV1_M1" dataDxfId="411">
      <calculatedColumnFormula>Inv_SY_B!AI4/Inv_SY_B!$FG4-1</calculatedColumnFormula>
    </tableColumn>
    <tableColumn id="35" xr3:uid="{9E4641F2-B325-4430-8A4F-15BBDBB1D7E0}" name="IS5_INV1_M2" dataDxfId="410">
      <calculatedColumnFormula>Inv_SY_B!AJ4/Inv_SY_B!$FG4-1</calculatedColumnFormula>
    </tableColumn>
    <tableColumn id="36" xr3:uid="{2BBA766D-73B7-4053-BA43-8FA788DB0CE2}" name="IS5_INV2_M1" dataDxfId="409">
      <calculatedColumnFormula>Inv_SY_B!AK4/Inv_SY_B!$FG4-1</calculatedColumnFormula>
    </tableColumn>
    <tableColumn id="37" xr3:uid="{B42296E6-1910-4C56-8D32-C9FECAB9436E}" name="IS5_INV2_M2" dataDxfId="408">
      <calculatedColumnFormula>Inv_SY_B!AL4/Inv_SY_B!$FG4-1</calculatedColumnFormula>
    </tableColumn>
    <tableColumn id="38" xr3:uid="{D02E6D0F-F681-4BE5-9485-885D0622DE5A}" name="IS5_INV3_M1" dataDxfId="407">
      <calculatedColumnFormula>Inv_SY_B!AM4/Inv_SY_B!$FG4-1</calculatedColumnFormula>
    </tableColumn>
    <tableColumn id="39" xr3:uid="{F1B4A2E6-4FD0-4170-B8CA-97DB09176085}" name="IS5_INV3_M2" dataDxfId="406">
      <calculatedColumnFormula>Inv_SY_B!AN4/Inv_SY_B!$FG4-1</calculatedColumnFormula>
    </tableColumn>
    <tableColumn id="40" xr3:uid="{237FD787-509A-4CCE-A35D-95730B0E8079}" name="IS5_INV4_M1" dataDxfId="405">
      <calculatedColumnFormula>Inv_SY_B!AO4/Inv_SY_B!$FG4-1</calculatedColumnFormula>
    </tableColumn>
    <tableColumn id="41" xr3:uid="{1469362A-2779-4BB1-A226-58D55D01FBF4}" name="IS5_INV4_M2" dataDxfId="404">
      <calculatedColumnFormula>Inv_SY_B!AP4/Inv_SY_B!$FG4-1</calculatedColumnFormula>
    </tableColumn>
    <tableColumn id="42" xr3:uid="{61617399-B47A-44C0-80B4-07B3B8A3B3FA}" name="IS6_INV1_M1" dataDxfId="403">
      <calculatedColumnFormula>Inv_SY_B!AQ4/Inv_SY_B!$FG4-1</calculatedColumnFormula>
    </tableColumn>
    <tableColumn id="43" xr3:uid="{11CD137E-E3EE-4FBD-83E5-AB2BE6D8C403}" name="IS6_INV1_M2" dataDxfId="402">
      <calculatedColumnFormula>Inv_SY_B!AR4/Inv_SY_B!$FG4-1</calculatedColumnFormula>
    </tableColumn>
    <tableColumn id="44" xr3:uid="{139BF7F3-18AE-406B-9C1D-B03F367A8101}" name="IS6_INV2_M1" dataDxfId="401">
      <calculatedColumnFormula>Inv_SY_B!AS4/Inv_SY_B!$FG4-1</calculatedColumnFormula>
    </tableColumn>
    <tableColumn id="45" xr3:uid="{D9C6711B-B5FA-4889-A6A1-364CCCAAD3B5}" name="IS6_INV2_M2" dataDxfId="400">
      <calculatedColumnFormula>Inv_SY_B!AT4/Inv_SY_B!$FG4-1</calculatedColumnFormula>
    </tableColumn>
    <tableColumn id="46" xr3:uid="{CE992883-2AF5-4DF8-9DF0-995382770AF4}" name="IS6_INV3_M1" dataDxfId="399">
      <calculatedColumnFormula>Inv_SY_B!AU4/Inv_SY_B!$FG4-1</calculatedColumnFormula>
    </tableColumn>
    <tableColumn id="47" xr3:uid="{03F42F46-CCDF-41D7-96BC-44C908771694}" name="IS6_INV3_M2" dataDxfId="398">
      <calculatedColumnFormula>Inv_SY_B!AV4/Inv_SY_B!$FG4-1</calculatedColumnFormula>
    </tableColumn>
    <tableColumn id="48" xr3:uid="{138351F5-E2B2-4C78-8480-38D0E7438A95}" name="IS6_INV4_M1" dataDxfId="397">
      <calculatedColumnFormula>Inv_SY_B!AW4/Inv_SY_B!$FG4-1</calculatedColumnFormula>
    </tableColumn>
    <tableColumn id="49" xr3:uid="{739BA997-6921-4830-9862-6BE35D43C201}" name="IS6_INV4_M2" dataDxfId="396">
      <calculatedColumnFormula>Inv_SY_B!AX4/Inv_SY_B!$FG4-1</calculatedColumnFormula>
    </tableColumn>
    <tableColumn id="50" xr3:uid="{19F06886-5034-49D0-BF30-AA30FDC84432}" name="IS7_INV1_M1" dataDxfId="395">
      <calculatedColumnFormula>Inv_SY_B!AY4/Inv_SY_B!$FG4-1</calculatedColumnFormula>
    </tableColumn>
    <tableColumn id="51" xr3:uid="{CD5D2341-9812-4A5A-8042-225F56AF4C1F}" name="IS7_INV1_M2" dataDxfId="394">
      <calculatedColumnFormula>Inv_SY_B!AZ4/Inv_SY_B!$FG4-1</calculatedColumnFormula>
    </tableColumn>
    <tableColumn id="52" xr3:uid="{29F78030-DC6A-4829-ABF1-4A2712BB9052}" name="IS7_INV2_M1" dataDxfId="393">
      <calculatedColumnFormula>Inv_SY_B!BA4/Inv_SY_B!$FG4-1</calculatedColumnFormula>
    </tableColumn>
    <tableColumn id="53" xr3:uid="{0B39CDB9-EDB2-44C9-8FC2-8BFC75EDD267}" name="IS7_INV2_M2" dataDxfId="392">
      <calculatedColumnFormula>Inv_SY_B!BB4/Inv_SY_B!$FG4-1</calculatedColumnFormula>
    </tableColumn>
    <tableColumn id="54" xr3:uid="{4073BE64-360A-4DA1-B5A0-D497DE4493C6}" name="IS7_INV3_M1" dataDxfId="391">
      <calculatedColumnFormula>Inv_SY_B!BC4/Inv_SY_B!$FG4-1</calculatedColumnFormula>
    </tableColumn>
    <tableColumn id="55" xr3:uid="{8079CECC-0088-430B-B3B5-BDE4430757A0}" name="IS7_INV3_M2" dataDxfId="390">
      <calculatedColumnFormula>Inv_SY_B!BD4/Inv_SY_B!$FG4-1</calculatedColumnFormula>
    </tableColumn>
    <tableColumn id="56" xr3:uid="{AE268423-7765-45C6-9B31-6382EFCEF43A}" name="IS7_INV4_M1" dataDxfId="389">
      <calculatedColumnFormula>Inv_SY_B!BE4/Inv_SY_B!$FG4-1</calculatedColumnFormula>
    </tableColumn>
    <tableColumn id="57" xr3:uid="{E57DE37D-2E57-490D-95D1-3903CE588F3B}" name="IS7_INV4_M2" dataDxfId="388">
      <calculatedColumnFormula>Inv_SY_B!BF4/Inv_SY_B!$FG4-1</calculatedColumnFormula>
    </tableColumn>
    <tableColumn id="58" xr3:uid="{6683DE39-D69C-4634-BA02-C685EBEB5366}" name="IS8_INV1_M1" dataDxfId="387">
      <calculatedColumnFormula>Inv_SY_B!BG4/Inv_SY_B!$FG4-1</calculatedColumnFormula>
    </tableColumn>
    <tableColumn id="59" xr3:uid="{5D1B11A8-00BE-46F0-939D-A31F21532823}" name="IS8_INV1_M2" dataDxfId="386">
      <calculatedColumnFormula>Inv_SY_B!BH4/Inv_SY_B!$FG4-1</calculatedColumnFormula>
    </tableColumn>
    <tableColumn id="60" xr3:uid="{6BD61B05-11DB-4C7A-B52D-80DF0F9EF64D}" name="IS8_INV2_M1" dataDxfId="385">
      <calculatedColumnFormula>Inv_SY_B!BI4/Inv_SY_B!$FG4-1</calculatedColumnFormula>
    </tableColumn>
    <tableColumn id="61" xr3:uid="{DA5EB934-EF9C-4769-A79D-40C1A88E1134}" name="IS8_INV2_M2" dataDxfId="384">
      <calculatedColumnFormula>Inv_SY_B!BJ4/Inv_SY_B!$FG4-1</calculatedColumnFormula>
    </tableColumn>
    <tableColumn id="62" xr3:uid="{26C1570A-F618-400F-A86C-1315C389F600}" name="IS8_INV3_M1" dataDxfId="383">
      <calculatedColumnFormula>Inv_SY_B!BK4/Inv_SY_B!$FG4-1</calculatedColumnFormula>
    </tableColumn>
    <tableColumn id="63" xr3:uid="{D1BBEB6B-A760-4E6E-B87E-9CCC87B9113F}" name="IS8_INV3_M2" dataDxfId="382">
      <calculatedColumnFormula>Inv_SY_B!BL4/Inv_SY_B!$FG4-1</calculatedColumnFormula>
    </tableColumn>
    <tableColumn id="64" xr3:uid="{742862E1-DB95-4537-B1C9-062F06197753}" name="IS8_INV4_M1" dataDxfId="381">
      <calculatedColumnFormula>Inv_SY_B!BM4/Inv_SY_B!$FG4-1</calculatedColumnFormula>
    </tableColumn>
    <tableColumn id="65" xr3:uid="{45145227-2D60-47ED-AD0F-9793F294AAEC}" name="IS8_INV4_M2" dataDxfId="380">
      <calculatedColumnFormula>Inv_SY_B!BN4/Inv_SY_B!$FG4-1</calculatedColumnFormula>
    </tableColumn>
    <tableColumn id="66" xr3:uid="{E00EFA49-3503-4034-8A56-9B5B47CF0EA1}" name="IS9_INV1_M1" dataDxfId="379">
      <calculatedColumnFormula>Inv_SY_B!BO4/Inv_SY_B!$FG4-1</calculatedColumnFormula>
    </tableColumn>
    <tableColumn id="67" xr3:uid="{4EC37764-0D56-4DE9-921A-9EEB48C7F161}" name="IS9_INV1_M2" dataDxfId="378">
      <calculatedColumnFormula>Inv_SY_B!BP4/Inv_SY_B!$FG4-1</calculatedColumnFormula>
    </tableColumn>
    <tableColumn id="68" xr3:uid="{15F5911B-261F-4DC1-8514-D5998A7FCDE6}" name="IS9_INV2_M1" dataDxfId="377">
      <calculatedColumnFormula>Inv_SY_B!BQ4/Inv_SY_B!$FG4-1</calculatedColumnFormula>
    </tableColumn>
    <tableColumn id="69" xr3:uid="{E46923E0-38C3-47DE-961D-CB8466638FCB}" name="IS9_INV2_M2" dataDxfId="376">
      <calculatedColumnFormula>Inv_SY_B!BR4/Inv_SY_B!$FG4-1</calculatedColumnFormula>
    </tableColumn>
    <tableColumn id="70" xr3:uid="{BB401AAC-C3AF-4CB5-A956-B63DD467FE1D}" name="IS9_INV3_M1" dataDxfId="375">
      <calculatedColumnFormula>Inv_SY_B!BS4/Inv_SY_B!$FG4-1</calculatedColumnFormula>
    </tableColumn>
    <tableColumn id="71" xr3:uid="{D5518765-E99C-4DCE-AB00-0CDD6CCC549D}" name="IS9_INV3_M2" dataDxfId="374">
      <calculatedColumnFormula>Inv_SY_B!BT4/Inv_SY_B!$FG4-1</calculatedColumnFormula>
    </tableColumn>
    <tableColumn id="72" xr3:uid="{C0822C6F-7B4A-4974-A4C8-D90D73C16E9A}" name="IS9_INV4_M1" dataDxfId="373">
      <calculatedColumnFormula>Inv_SY_B!BU4/Inv_SY_B!$FG4-1</calculatedColumnFormula>
    </tableColumn>
    <tableColumn id="73" xr3:uid="{19880F42-F307-44EE-81AE-B9DBA3A8C5A9}" name="IS9_INV4_M2" dataDxfId="372">
      <calculatedColumnFormula>Inv_SY_B!BV4/Inv_SY_B!$FG4-1</calculatedColumnFormula>
    </tableColumn>
    <tableColumn id="74" xr3:uid="{E2D18944-67DC-418A-9E30-58B6F93A5B3F}" name="IS10_INV1_M1" dataDxfId="371">
      <calculatedColumnFormula>Inv_SY_B!BW4/Inv_SY_B!$FG4-1</calculatedColumnFormula>
    </tableColumn>
    <tableColumn id="75" xr3:uid="{0367E4DD-E03D-4A87-80DE-A838C99E3FDC}" name="IS10_INV1_M2" dataDxfId="370">
      <calculatedColumnFormula>Inv_SY_B!BX4/Inv_SY_B!$FG4-1</calculatedColumnFormula>
    </tableColumn>
    <tableColumn id="76" xr3:uid="{FA3800E3-B6ED-4492-A378-CFFEFF75B122}" name="IS10_INV2_M1" dataDxfId="369">
      <calculatedColumnFormula>Inv_SY_B!BY4/Inv_SY_B!$FG4-1</calculatedColumnFormula>
    </tableColumn>
    <tableColumn id="77" xr3:uid="{920F57AA-1310-45E3-BE1D-1464F954560E}" name="IS10_INV2_M2" dataDxfId="368">
      <calculatedColumnFormula>Inv_SY_B!BZ4/Inv_SY_B!$FG4-1</calculatedColumnFormula>
    </tableColumn>
    <tableColumn id="78" xr3:uid="{22088B80-2C4E-4210-90B6-8CD0422726D1}" name="IS10_INV3_M1" dataDxfId="367">
      <calculatedColumnFormula>Inv_SY_B!CA4/Inv_SY_B!$FG4-1</calculatedColumnFormula>
    </tableColumn>
    <tableColumn id="79" xr3:uid="{996E21B7-A47D-4C8E-8E66-CEC10FBA9D7F}" name="IS10_INV3_M2" dataDxfId="366">
      <calculatedColumnFormula>Inv_SY_B!CB4/Inv_SY_B!$FG4-1</calculatedColumnFormula>
    </tableColumn>
    <tableColumn id="80" xr3:uid="{67E7B9B7-3F0B-4C22-A7C2-9DF9CCCE654C}" name="IS10_INV4_M1" dataDxfId="365">
      <calculatedColumnFormula>Inv_SY_B!CC4/Inv_SY_B!$FG4-1</calculatedColumnFormula>
    </tableColumn>
    <tableColumn id="81" xr3:uid="{B0548E16-63B0-452E-9593-B8B28974D7F6}" name="IS10_INV4_M2" dataDxfId="364">
      <calculatedColumnFormula>Inv_SY_B!CD4/Inv_SY_B!$FG4-1</calculatedColumnFormula>
    </tableColumn>
    <tableColumn id="82" xr3:uid="{D876FD18-FCAF-47EF-B33A-882633D08918}" name="IS11_INV1_M1" dataDxfId="363">
      <calculatedColumnFormula>Inv_SY_B!CE4/Inv_SY_B!$FG4-1</calculatedColumnFormula>
    </tableColumn>
    <tableColumn id="83" xr3:uid="{1384602A-D2CB-49DD-B312-2AF072F9D1B8}" name="IS11_INV1_M2" dataDxfId="362">
      <calculatedColumnFormula>Inv_SY_B!CF4/Inv_SY_B!$FG4-1</calculatedColumnFormula>
    </tableColumn>
    <tableColumn id="84" xr3:uid="{A420DB88-8B65-4AAE-9BE1-561393D53BB7}" name="IS11_INV2_M1" dataDxfId="361">
      <calculatedColumnFormula>Inv_SY_B!CG4/Inv_SY_B!$FG4-1</calculatedColumnFormula>
    </tableColumn>
    <tableColumn id="85" xr3:uid="{2C1C7691-B83C-4046-94FF-02DC7645480F}" name="IS11_INV2_M2" dataDxfId="360">
      <calculatedColumnFormula>Inv_SY_B!CH4/Inv_SY_B!$FG4-1</calculatedColumnFormula>
    </tableColumn>
    <tableColumn id="86" xr3:uid="{466CE836-D36B-4FD1-A25F-B7E7CDFACA4E}" name="IS11_INV3_M1" dataDxfId="359">
      <calculatedColumnFormula>Inv_SY_B!CI4/Inv_SY_B!$FG4-1</calculatedColumnFormula>
    </tableColumn>
    <tableColumn id="87" xr3:uid="{C55FDE40-E3B6-46C2-A0A9-02CB2D737BF5}" name="IS11_INV3_M2" dataDxfId="358">
      <calculatedColumnFormula>Inv_SY_B!CJ4/Inv_SY_B!$FG4-1</calculatedColumnFormula>
    </tableColumn>
    <tableColumn id="88" xr3:uid="{DADDC2E5-A65A-4E52-B09D-D1A9396C1278}" name="IS11_INV4_M1" dataDxfId="357">
      <calculatedColumnFormula>Inv_SY_B!CK4/Inv_SY_B!$FG4-1</calculatedColumnFormula>
    </tableColumn>
    <tableColumn id="89" xr3:uid="{1AD6BE1F-F2A6-4FE4-8B42-DC82161A54E6}" name="IS11_INV4_M2" dataDxfId="356">
      <calculatedColumnFormula>Inv_SY_B!CL4/Inv_SY_B!$FG4-1</calculatedColumnFormula>
    </tableColumn>
    <tableColumn id="90" xr3:uid="{669049BF-9DD9-4F15-98B2-D36B073BB177}" name="IS12_INV1_M1" dataDxfId="355">
      <calculatedColumnFormula>Inv_SY_B!CM4/Inv_SY_B!$FG4-1</calculatedColumnFormula>
    </tableColumn>
    <tableColumn id="91" xr3:uid="{6194A730-4052-42CA-924F-009F70D1F8B5}" name="IS12_INV1_M2" dataDxfId="354">
      <calculatedColumnFormula>Inv_SY_B!CN4/Inv_SY_B!$FG4-1</calculatedColumnFormula>
    </tableColumn>
    <tableColumn id="92" xr3:uid="{36EAF1AB-00D1-4089-B58F-E2043F810C0E}" name="IS12_INV2_M1" dataDxfId="353">
      <calculatedColumnFormula>Inv_SY_B!CO4/Inv_SY_B!$FG4-1</calculatedColumnFormula>
    </tableColumn>
    <tableColumn id="93" xr3:uid="{1CF5BE18-8870-4CF2-A824-677024FBBCD2}" name="IS12_INV2_M2" dataDxfId="352">
      <calculatedColumnFormula>Inv_SY_B!CP4/Inv_SY_B!$FG4-1</calculatedColumnFormula>
    </tableColumn>
    <tableColumn id="94" xr3:uid="{E48AFF87-4D00-4B18-8BDD-6236BDEAA4A6}" name="IS12_INV3_M1" dataDxfId="351">
      <calculatedColumnFormula>Inv_SY_B!CQ4/Inv_SY_B!$FG4-1</calculatedColumnFormula>
    </tableColumn>
    <tableColumn id="95" xr3:uid="{4E1FBE51-E9E1-4CB0-902C-B56400D0F584}" name="IS12_INV3_M2" dataDxfId="350">
      <calculatedColumnFormula>Inv_SY_B!CR4/Inv_SY_B!$FG4-1</calculatedColumnFormula>
    </tableColumn>
    <tableColumn id="96" xr3:uid="{C218D18F-2203-482C-8CAA-6C64DE6F4830}" name="IS12_INV4_M1" dataDxfId="349">
      <calculatedColumnFormula>Inv_SY_B!CS4/Inv_SY_B!$FG4-1</calculatedColumnFormula>
    </tableColumn>
    <tableColumn id="97" xr3:uid="{1659752F-380D-41AA-AF65-3E16FAFF3246}" name="IS12_INV4_M2" dataDxfId="348">
      <calculatedColumnFormula>Inv_SY_B!CT4/Inv_SY_B!$FG4-1</calculatedColumnFormula>
    </tableColumn>
    <tableColumn id="98" xr3:uid="{C1A176D0-5A4F-4474-A073-1F18D24DA3F9}" name="IS13_INV1_M1" dataDxfId="347">
      <calculatedColumnFormula>Inv_SY_B!CU4/Inv_SY_B!$FG4-1</calculatedColumnFormula>
    </tableColumn>
    <tableColumn id="99" xr3:uid="{A4C967A4-C14B-4723-9483-12B70A2D27BC}" name="IS13_INV1_M2" dataDxfId="346">
      <calculatedColumnFormula>Inv_SY_B!CV4/Inv_SY_B!$FG4-1</calculatedColumnFormula>
    </tableColumn>
    <tableColumn id="100" xr3:uid="{90B7944B-B336-465D-8E4A-D42283BED21B}" name="IS13_INV2_M1" dataDxfId="345">
      <calculatedColumnFormula>Inv_SY_B!CW4/Inv_SY_B!$FG4-1</calculatedColumnFormula>
    </tableColumn>
    <tableColumn id="101" xr3:uid="{AF122ABB-19E3-4893-943E-A88907DA9AB1}" name="IS13_INV2_M2" dataDxfId="344">
      <calculatedColumnFormula>Inv_SY_B!CX4/Inv_SY_B!$FG4-1</calculatedColumnFormula>
    </tableColumn>
    <tableColumn id="102" xr3:uid="{BDE22FAD-998F-49E8-99F7-B63CEC2A5FF3}" name="IS13_INV3_M1" dataDxfId="343">
      <calculatedColumnFormula>Inv_SY_B!CY4/Inv_SY_B!$FG4-1</calculatedColumnFormula>
    </tableColumn>
    <tableColumn id="103" xr3:uid="{9C4BB77A-E5ED-4BF8-818D-7DA7364508B5}" name="IS13_INV3_M2" dataDxfId="342">
      <calculatedColumnFormula>Inv_SY_B!CZ4/Inv_SY_B!$FG4-1</calculatedColumnFormula>
    </tableColumn>
    <tableColumn id="104" xr3:uid="{EF255052-5E3B-40F9-9CAB-3C9CAD54FED9}" name="IS13_INV4_M1" dataDxfId="341">
      <calculatedColumnFormula>Inv_SY_B!DA4/Inv_SY_B!$FG4-1</calculatedColumnFormula>
    </tableColumn>
    <tableColumn id="105" xr3:uid="{59E5ACD1-13E8-4A55-8434-A6A75C4D2AA5}" name="IS13_INV4_M2" dataDxfId="340">
      <calculatedColumnFormula>Inv_SY_B!DB4/Inv_SY_B!$FG4-1</calculatedColumnFormula>
    </tableColumn>
    <tableColumn id="106" xr3:uid="{BFADD7F2-FB96-4F3B-B6E0-ADED147C3483}" name="IS14_INV1_M1" dataDxfId="339">
      <calculatedColumnFormula>Inv_SY_B!DC4/Inv_SY_B!$FG4-1</calculatedColumnFormula>
    </tableColumn>
    <tableColumn id="107" xr3:uid="{674D70B7-11F4-4CA5-B860-4F874789685E}" name="IS14_INV1_M2" dataDxfId="338">
      <calculatedColumnFormula>Inv_SY_B!DD4/Inv_SY_B!$FG4-1</calculatedColumnFormula>
    </tableColumn>
    <tableColumn id="108" xr3:uid="{CD357F27-26D3-46C6-9248-1823DF8B4B5F}" name="IS14_INV2_M1" dataDxfId="337">
      <calculatedColumnFormula>Inv_SY_B!DE4/Inv_SY_B!$FG4-1</calculatedColumnFormula>
    </tableColumn>
    <tableColumn id="109" xr3:uid="{4B668138-A07E-4CC9-896F-9D988998DBD6}" name="IS14_INV2_M2" dataDxfId="336">
      <calculatedColumnFormula>Inv_SY_B!DF4/Inv_SY_B!$FG4-1</calculatedColumnFormula>
    </tableColumn>
    <tableColumn id="110" xr3:uid="{0146F426-A98E-4B6C-9D3B-B81F78E59053}" name="IS14_INV3_M1" dataDxfId="335">
      <calculatedColumnFormula>Inv_SY_B!DG4/Inv_SY_B!$FG4-1</calculatedColumnFormula>
    </tableColumn>
    <tableColumn id="111" xr3:uid="{18C1A79A-3C06-49BA-99A1-44C63B1A04EE}" name="IS14_INV3_M2" dataDxfId="334">
      <calculatedColumnFormula>Inv_SY_B!DH4/Inv_SY_B!$FG4-1</calculatedColumnFormula>
    </tableColumn>
    <tableColumn id="112" xr3:uid="{719F0D54-B75B-4F13-A10B-F6DA08932C56}" name="IS14_INV4_M1" dataDxfId="333">
      <calculatedColumnFormula>Inv_SY_B!DI4/Inv_SY_B!$FG4-1</calculatedColumnFormula>
    </tableColumn>
    <tableColumn id="113" xr3:uid="{78B90752-4FE7-4851-AA35-A05B3D85CE6F}" name="IS14_INV4_M2" dataDxfId="332">
      <calculatedColumnFormula>Inv_SY_B!DJ4/Inv_SY_B!$FG4-1</calculatedColumnFormula>
    </tableColumn>
    <tableColumn id="114" xr3:uid="{76CD7916-C354-4D07-91A3-63D734F25709}" name="IS15_INV1_M1" dataDxfId="331">
      <calculatedColumnFormula>Inv_SY_B!DK4/Inv_SY_B!$FG4-1</calculatedColumnFormula>
    </tableColumn>
    <tableColumn id="115" xr3:uid="{A7752D09-2C4A-403A-BC28-9ED573C9231F}" name="IS15_INV1_M2" dataDxfId="330">
      <calculatedColumnFormula>Inv_SY_B!DL4/Inv_SY_B!$FG4-1</calculatedColumnFormula>
    </tableColumn>
    <tableColumn id="116" xr3:uid="{E3C6108D-578F-4BC1-BD48-F8F4428EA43D}" name="IS15_INV2_M1" dataDxfId="329">
      <calculatedColumnFormula>Inv_SY_B!DM4/Inv_SY_B!$FG4-1</calculatedColumnFormula>
    </tableColumn>
    <tableColumn id="117" xr3:uid="{960A63E3-94EA-44CE-9796-442957799368}" name="IS15_INV2_M2" dataDxfId="328">
      <calculatedColumnFormula>Inv_SY_B!DN4/Inv_SY_B!$FG4-1</calculatedColumnFormula>
    </tableColumn>
    <tableColumn id="118" xr3:uid="{4DF65310-7B6C-4F0B-963E-46113814C526}" name="IS15_INV3_M1" dataDxfId="327">
      <calculatedColumnFormula>Inv_SY_B!DO4/Inv_SY_B!$FG4-1</calculatedColumnFormula>
    </tableColumn>
    <tableColumn id="119" xr3:uid="{69DC182A-228D-4AE2-84B7-99CAB51C7C37}" name="IS15_INV3_M2" dataDxfId="326">
      <calculatedColumnFormula>Inv_SY_B!DP4/Inv_SY_B!$FG4-1</calculatedColumnFormula>
    </tableColumn>
    <tableColumn id="120" xr3:uid="{8F9512AC-1343-4502-A945-5FAB14CF8007}" name="IS15_INV4_M1" dataDxfId="325">
      <calculatedColumnFormula>Inv_SY_B!DQ4/Inv_SY_B!$FG4-1</calculatedColumnFormula>
    </tableColumn>
    <tableColumn id="121" xr3:uid="{0FC9F142-B53D-4196-B20C-696D3DAADF9E}" name="IS15_INV4_M2" dataDxfId="324">
      <calculatedColumnFormula>Inv_SY_B!DR4/Inv_SY_B!$FG4-1</calculatedColumnFormula>
    </tableColumn>
    <tableColumn id="122" xr3:uid="{16938785-4FBB-4215-8E3A-8BABED04F8D6}" name="IS16_INV1_M1" dataDxfId="323">
      <calculatedColumnFormula>Inv_SY_B!DS4/Inv_SY_B!$FG4-1</calculatedColumnFormula>
    </tableColumn>
    <tableColumn id="123" xr3:uid="{3DB38D60-4951-4B9D-B1C1-A25343F52EA4}" name="IS16_INV1_M2" dataDxfId="322">
      <calculatedColumnFormula>Inv_SY_B!DT4/Inv_SY_B!$FG4-1</calculatedColumnFormula>
    </tableColumn>
    <tableColumn id="124" xr3:uid="{B9C7827A-83E4-4482-9B0D-2E0F4C95E784}" name="IS16_INV2_M1" dataDxfId="321">
      <calculatedColumnFormula>Inv_SY_B!DU4/Inv_SY_B!$FG4-1</calculatedColumnFormula>
    </tableColumn>
    <tableColumn id="125" xr3:uid="{6447E741-A086-468C-ACDF-E130911D2F52}" name="IS16_INV2_M2" dataDxfId="320">
      <calculatedColumnFormula>Inv_SY_B!DV4/Inv_SY_B!$FG4-1</calculatedColumnFormula>
    </tableColumn>
    <tableColumn id="126" xr3:uid="{996DF54A-E8D1-4B93-845C-56844E5446F8}" name="IS16_INV3_M1" dataDxfId="319">
      <calculatedColumnFormula>Inv_SY_B!DW4/Inv_SY_B!$FG4-1</calculatedColumnFormula>
    </tableColumn>
    <tableColumn id="127" xr3:uid="{B4E5F7BB-AB04-48D6-B420-B74F86F95461}" name="IS16_INV3_M2" dataDxfId="318">
      <calculatedColumnFormula>Inv_SY_B!DX4/Inv_SY_B!$FG4-1</calculatedColumnFormula>
    </tableColumn>
    <tableColumn id="128" xr3:uid="{22DF066A-CDF9-4129-8261-A979CD211345}" name="IS16_INV4_M1" dataDxfId="317">
      <calculatedColumnFormula>Inv_SY_B!DY4/Inv_SY_B!$FG4-1</calculatedColumnFormula>
    </tableColumn>
    <tableColumn id="129" xr3:uid="{0E0DB49D-87FA-4D53-8F67-A18D6ED84DB3}" name="IS16_INV4_M2" dataDxfId="316">
      <calculatedColumnFormula>Inv_SY_B!DZ4/Inv_SY_B!$FG4-1</calculatedColumnFormula>
    </tableColumn>
    <tableColumn id="130" xr3:uid="{BBACE023-B70B-4D4A-9769-FE65CC896499}" name="IS17_INV1_M1" dataDxfId="315">
      <calculatedColumnFormula>Inv_SY_B!EA4/Inv_SY_B!$FG4-1</calculatedColumnFormula>
    </tableColumn>
    <tableColumn id="131" xr3:uid="{5B0BA9CA-56D6-44F6-A6DB-8046291EEF50}" name="IS17_INV1_M2" dataDxfId="314">
      <calculatedColumnFormula>Inv_SY_B!EB4/Inv_SY_B!$FG4-1</calculatedColumnFormula>
    </tableColumn>
    <tableColumn id="132" xr3:uid="{0B55F324-CDED-48D7-90FD-9CB300AB1047}" name="IS17_INV2_M1" dataDxfId="313">
      <calculatedColumnFormula>Inv_SY_B!EC4/Inv_SY_B!$FG4-1</calculatedColumnFormula>
    </tableColumn>
    <tableColumn id="133" xr3:uid="{72385123-A700-43AA-A48F-03201D302DA9}" name="IS17_INV2_M2" dataDxfId="312">
      <calculatedColumnFormula>Inv_SY_B!ED4/Inv_SY_B!$FG4-1</calculatedColumnFormula>
    </tableColumn>
    <tableColumn id="134" xr3:uid="{02CB576E-9040-45A4-BB01-860FF3CAF609}" name="IS17_INV3_M1" dataDxfId="311">
      <calculatedColumnFormula>Inv_SY_B!EE4/Inv_SY_B!$FG4-1</calculatedColumnFormula>
    </tableColumn>
    <tableColumn id="135" xr3:uid="{BFD7C2BD-1B8E-453E-B37B-785FD2B345AC}" name="IS17_INV3_M2" dataDxfId="310">
      <calculatedColumnFormula>Inv_SY_B!EF4/Inv_SY_B!$FG4-1</calculatedColumnFormula>
    </tableColumn>
    <tableColumn id="136" xr3:uid="{6B4DA98C-FDD0-4A74-BF68-FDA9C6D641A7}" name="IS17_INV4_M1" dataDxfId="309">
      <calculatedColumnFormula>Inv_SY_B!EG4/Inv_SY_B!$FG4-1</calculatedColumnFormula>
    </tableColumn>
    <tableColumn id="137" xr3:uid="{8A66BA82-3C40-4E45-9BF5-224367E9E172}" name="IS17_INV4_M2" dataDxfId="308">
      <calculatedColumnFormula>Inv_SY_B!EH4/Inv_SY_B!$FG4-1</calculatedColumnFormula>
    </tableColumn>
    <tableColumn id="138" xr3:uid="{8A6D187D-CBD4-4986-B26C-8AD6E9DBEE54}" name="IS18_INV1_M1" dataDxfId="307">
      <calculatedColumnFormula>Inv_SY_B!EI4/Inv_SY_B!$FG4-1</calculatedColumnFormula>
    </tableColumn>
    <tableColumn id="139" xr3:uid="{277E0BC6-85DC-4811-811A-8A4C922A574A}" name="IS18_INV1_M2" dataDxfId="306">
      <calculatedColumnFormula>Inv_SY_B!EJ4/Inv_SY_B!$FG4-1</calculatedColumnFormula>
    </tableColumn>
    <tableColumn id="140" xr3:uid="{C02B3DCE-A2B9-4E25-A6FF-C2897B76715F}" name="IS18_INV2_M1" dataDxfId="305">
      <calculatedColumnFormula>Inv_SY_B!EK4/Inv_SY_B!$FG4-1</calculatedColumnFormula>
    </tableColumn>
    <tableColumn id="141" xr3:uid="{D4A5352D-F621-4062-B674-238BAF613A07}" name="IS18_INV2_M2" dataDxfId="304">
      <calculatedColumnFormula>Inv_SY_B!EL4/Inv_SY_B!$FG4-1</calculatedColumnFormula>
    </tableColumn>
    <tableColumn id="142" xr3:uid="{B9F99D7D-3D32-4BFE-9D04-5E7E5891E1F7}" name="IS18_INV3_M1" dataDxfId="303">
      <calculatedColumnFormula>Inv_SY_B!EM4/Inv_SY_B!$FG4-1</calculatedColumnFormula>
    </tableColumn>
    <tableColumn id="143" xr3:uid="{338FDC4A-FC33-485A-A5C4-65DBBCA86285}" name="IS18_INV3_M2" dataDxfId="302">
      <calculatedColumnFormula>Inv_SY_B!EN4/Inv_SY_B!$FG4-1</calculatedColumnFormula>
    </tableColumn>
    <tableColumn id="144" xr3:uid="{B4BFB298-2260-4C46-A171-68DB4914890F}" name="IS18_INV4_M1" dataDxfId="301">
      <calculatedColumnFormula>Inv_SY_B!EO4/Inv_SY_B!$FG4-1</calculatedColumnFormula>
    </tableColumn>
    <tableColumn id="145" xr3:uid="{F4A3245E-25E3-4F40-BD88-574DFBA7E866}" name="IS18_INV4_M2" dataDxfId="300">
      <calculatedColumnFormula>Inv_SY_B!EP4/Inv_SY_B!$FG4-1</calculatedColumnFormula>
    </tableColumn>
    <tableColumn id="146" xr3:uid="{23F5A65F-757A-40EA-A0D2-6AAD57280070}" name="IS19_INV1_M1" dataDxfId="299">
      <calculatedColumnFormula>Inv_SY_B!EQ4/Inv_SY_B!$FG4-1</calculatedColumnFormula>
    </tableColumn>
    <tableColumn id="147" xr3:uid="{517E07FA-96D9-4DC8-9C0C-CEA8C6D1D7ED}" name="IS19_INV1_M2" dataDxfId="298">
      <calculatedColumnFormula>Inv_SY_B!ER4/Inv_SY_B!$FG4-1</calculatedColumnFormula>
    </tableColumn>
    <tableColumn id="148" xr3:uid="{CEF35F18-7FE1-4112-84AD-FD583EFB5E07}" name="IS19_INV2_M1" dataDxfId="297">
      <calculatedColumnFormula>Inv_SY_B!ES4/Inv_SY_B!$FG4-1</calculatedColumnFormula>
    </tableColumn>
    <tableColumn id="149" xr3:uid="{246CA03C-D8B6-42CB-88B7-503786F184C3}" name="IS19_INV2_M2" dataDxfId="296">
      <calculatedColumnFormula>Inv_SY_B!ET4/Inv_SY_B!$FG4-1</calculatedColumnFormula>
    </tableColumn>
    <tableColumn id="150" xr3:uid="{48BC1DE5-48F5-43B1-AECE-AD95F9919C70}" name="IS19_INV3_M1" dataDxfId="295">
      <calculatedColumnFormula>Inv_SY_B!EU4/Inv_SY_B!$FG4-1</calculatedColumnFormula>
    </tableColumn>
    <tableColumn id="151" xr3:uid="{9E93ADF5-9468-4C57-801D-C103503EC996}" name="IS19_INV3_M2" dataDxfId="294">
      <calculatedColumnFormula>Inv_SY_B!EV4/Inv_SY_B!$FG4-1</calculatedColumnFormula>
    </tableColumn>
    <tableColumn id="152" xr3:uid="{615504D8-A83D-4204-A515-427D0CAEBCB5}" name="IS19_INV4_M1" dataDxfId="293">
      <calculatedColumnFormula>Inv_SY_B!EW4/Inv_SY_B!$FG4-1</calculatedColumnFormula>
    </tableColumn>
    <tableColumn id="153" xr3:uid="{FEC04898-B665-405D-9279-374A9043FFEA}" name="IS19_INV4_M2" dataDxfId="292">
      <calculatedColumnFormula>Inv_SY_B!EX4/Inv_SY_B!$FG4-1</calculatedColumnFormula>
    </tableColumn>
    <tableColumn id="154" xr3:uid="{695B4071-F540-4610-A7DC-5E0B2B8E8586}" name="IS20_INV1_M1" dataDxfId="291">
      <calculatedColumnFormula>Inv_SY_B!EY4/Inv_SY_B!$FG4-1</calculatedColumnFormula>
    </tableColumn>
    <tableColumn id="155" xr3:uid="{DA27ABDD-5F3F-4301-972E-5F9F2863442A}" name="IS20_INV1_M2" dataDxfId="290">
      <calculatedColumnFormula>Inv_SY_B!EZ4/Inv_SY_B!$FG4-1</calculatedColumnFormula>
    </tableColumn>
    <tableColumn id="156" xr3:uid="{DA362BDE-A8D1-4AAC-8B14-E2D86FF8BAC8}" name="IS20_INV2_M1" dataDxfId="289">
      <calculatedColumnFormula>Inv_SY_B!FA4/Inv_SY_B!$FG4-1</calculatedColumnFormula>
    </tableColumn>
    <tableColumn id="157" xr3:uid="{4B76D64E-9186-464C-A10B-753ECD9D3377}" name="IS20_INV2_M2" dataDxfId="288">
      <calculatedColumnFormula>Inv_SY_B!FB4/Inv_SY_B!$FG4-1</calculatedColumnFormula>
    </tableColumn>
    <tableColumn id="158" xr3:uid="{9570A666-0391-42CC-8FCC-83D0E4F5AAC9}" name="IS20_INV3_M1" dataDxfId="287">
      <calculatedColumnFormula>Inv_SY_B!FC4/Inv_SY_B!$FG4-1</calculatedColumnFormula>
    </tableColumn>
    <tableColumn id="159" xr3:uid="{CA74C69F-36CA-4C0D-8571-096C1E18A58F}" name="IS20_INV3_M2" dataDxfId="286">
      <calculatedColumnFormula>Inv_SY_B!FD4/Inv_SY_B!$FG4-1</calculatedColumnFormula>
    </tableColumn>
    <tableColumn id="160" xr3:uid="{02FE14C3-CE3F-40C8-8AAE-3D2D4073395C}" name="IS20_INV4_M1" dataDxfId="285">
      <calculatedColumnFormula>Inv_SY_B!FE4/Inv_SY_B!$FG4-1</calculatedColumnFormula>
    </tableColumn>
    <tableColumn id="161" xr3:uid="{C0EBB290-D2DE-4755-B5F2-426D59C38912}" name="IS20_INV4_M2" dataDxfId="284">
      <calculatedColumnFormula>Inv_SY_B!FF4/Inv_SY_B!$FG4-1</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6EE56FC-9EA1-4EB8-BF2F-BD1CDD726CF7}" name="CSSPL_PVS12" displayName="CSSPL_PVS12" ref="A1:R313" totalsRowShown="0" headerRowDxfId="283" dataDxfId="281" headerRowBorderDxfId="282" tableBorderDxfId="280" totalsRowBorderDxfId="279">
  <tableColumns count="18">
    <tableColumn id="1" xr3:uid="{CA304699-55CA-4288-8A79-31E010701091}" name="Year Number" dataDxfId="278">
      <calculatedColumnFormula>CONCATENATE("Year-",#REF!)</calculatedColumnFormula>
    </tableColumn>
    <tableColumn id="2" xr3:uid="{39FC9DC5-D832-4B4C-B92D-E6E85227E4FA}" name="Month" dataDxfId="277"/>
    <tableColumn id="3" xr3:uid="{054E384E-4AA0-4286-A015-307BC63A4C00}" name="POA(kWh/m2)" dataDxfId="276"/>
    <tableColumn id="4" xr3:uid="{C831C524-C019-4E63-9BE0-B462BD3CA2FF}" name="GHI (kWh/m2)" dataDxfId="275"/>
    <tableColumn id="5" xr3:uid="{50238DF0-4014-4F86-8C0F-A19365980B55}" name="Budgeted Energy (MWh)" dataDxfId="274"/>
    <tableColumn id="6" xr3:uid="{60825DFC-8DFA-47AC-92E4-8B48F553DB47}" name="Tmod" dataDxfId="273"/>
    <tableColumn id="8" xr3:uid="{A5A0EC7F-CD61-4A4E-B997-246983C39B17}" name="Irradiationce Losses (IAM+NearShadding+Solining)" dataDxfId="272"/>
    <tableColumn id="9" xr3:uid="{439E9FBB-A5F2-4CA6-A38E-8514AC1039BE}" name="Bifacial Gain" dataDxfId="271"/>
    <tableColumn id="10" xr3:uid="{5E4F578F-1672-4BFC-BCCD-2B20C7BD80BA}" name="Temperature Loss" dataDxfId="270"/>
    <tableColumn id="11" xr3:uid="{416DC533-8D55-46BE-A234-BC058E115192}" name="Mismatch Loss" dataDxfId="269"/>
    <tableColumn id="12" xr3:uid="{34032A74-47BF-4B66-A841-CA07CC63D00E}" name="DC Ohmic Loss" dataDxfId="268"/>
    <tableColumn id="13" xr3:uid="{E55F494C-B997-4A39-A9AF-079C9BEF5412}" name="Inverter Conversion Loss" dataDxfId="267"/>
    <tableColumn id="14" xr3:uid="{0C2AF443-EBA6-430B-98E5-EA6E4EDDF34C}" name="MPPT Mismatch Losse" dataDxfId="266"/>
    <tableColumn id="15" xr3:uid="{4A51EEF5-C97B-4B7E-8BE1-195434B82696}" name="AC Ohmic Loss" dataDxfId="265"/>
    <tableColumn id="16" xr3:uid="{F86ECD39-005B-4FA4-A501-4FC93E28E56C}" name="Clipping Loss" dataDxfId="264"/>
    <tableColumn id="17" xr3:uid="{CE9DFF63-A4BC-4A3C-BCB7-AA5237E24686}" name="Plant Uptime " dataDxfId="263"/>
    <tableColumn id="7" xr3:uid="{CD35FCBF-6074-440B-A736-79ED8CCF822D}" name="Grid Uptime " dataDxfId="262"/>
    <tableColumn id="18" xr3:uid="{B4F83DCC-208D-4E8F-B73C-3B851DDC371D}" name="Tracker Uptime" dataDxfId="261"/>
  </tableColumns>
  <tableStyleInfo name="TableStyleMedium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B3BD11-51DE-47CF-8430-74E93A3E9B4A}" name="Inv_SY_B" displayName="Inv_SY_B" ref="B3:FG53" totalsRowShown="0" headerRowDxfId="260" dataDxfId="258" headerRowBorderDxfId="259" tableBorderDxfId="257" totalsRowBorderDxfId="256">
  <autoFilter ref="B3:FG53" xr:uid="{2BB3BD11-51DE-47CF-8430-74E93A3E9B4A}"/>
  <tableColumns count="162">
    <tableColumn id="1" xr3:uid="{8ACB77FD-7528-4B35-BA78-600BEA95F266}" name="Date" dataDxfId="255">
      <calculatedColumnFormula>B3+1</calculatedColumnFormula>
    </tableColumn>
    <tableColumn id="2" xr3:uid="{99A0FA3D-2FCE-4235-9C83-33A14DF1DB4A}" name="IS1_INV1_M1" dataDxfId="254">
      <calculatedColumnFormula>VLOOKUP($B4,Raw_Data[#All],C$2,0)/C$1</calculatedColumnFormula>
    </tableColumn>
    <tableColumn id="3" xr3:uid="{CBF16B77-784F-4C89-9030-D4E20F073362}" name="IS1_INV1_M2" dataDxfId="253">
      <calculatedColumnFormula>VLOOKUP($B4,Raw_Data[#All],D$2,0)/D$1</calculatedColumnFormula>
    </tableColumn>
    <tableColumn id="4" xr3:uid="{7F1C6245-8B3C-474B-BC93-1A2D33CF4AEB}" name="IS1_INV2_M1" dataDxfId="252">
      <calculatedColumnFormula>VLOOKUP($B4,Raw_Data[#All],E$2,0)/E$1</calculatedColumnFormula>
    </tableColumn>
    <tableColumn id="5" xr3:uid="{FFE2AFCE-3400-41ED-B4EF-0322A073126B}" name="IS1_INV2_M2" dataDxfId="251">
      <calculatedColumnFormula>VLOOKUP($B4,Raw_Data[#All],F$2,0)/F$1</calculatedColumnFormula>
    </tableColumn>
    <tableColumn id="6" xr3:uid="{4B0DEC37-C200-41A6-A850-2AF5EAF57830}" name="IS1_INV3_M1" dataDxfId="250">
      <calculatedColumnFormula>VLOOKUP($B4,Raw_Data[#All],G$2,0)/G$1</calculatedColumnFormula>
    </tableColumn>
    <tableColumn id="7" xr3:uid="{EA7D84F0-F6F1-4FFC-9D20-0CBD01298F3C}" name="IS1_INV3_M2" dataDxfId="249">
      <calculatedColumnFormula>VLOOKUP($B4,Raw_Data[#All],H$2,0)/H$1</calculatedColumnFormula>
    </tableColumn>
    <tableColumn id="8" xr3:uid="{970D93AE-7748-4E8E-97FE-F080FD88C80E}" name="IS1_INV4_M1" dataDxfId="248">
      <calculatedColumnFormula>VLOOKUP($B4,Raw_Data[#All],I$2,0)/I$1</calculatedColumnFormula>
    </tableColumn>
    <tableColumn id="9" xr3:uid="{14D8478D-DF97-470D-A0FF-FE2B59418068}" name="IS1_INV4_M2" dataDxfId="247">
      <calculatedColumnFormula>VLOOKUP($B4,Raw_Data[#All],J$2,0)/J$1</calculatedColumnFormula>
    </tableColumn>
    <tableColumn id="10" xr3:uid="{37156EA3-F518-46D6-9930-D4EC5E61BDE5}" name="IS2_INV1_M1" dataDxfId="246">
      <calculatedColumnFormula>VLOOKUP($B4,Raw_Data[#All],K$2,0)/K$1</calculatedColumnFormula>
    </tableColumn>
    <tableColumn id="11" xr3:uid="{059C94CF-57F3-4256-939E-D2F27D8BA9B6}" name="IS2_INV1_M2" dataDxfId="245">
      <calculatedColumnFormula>VLOOKUP($B4,Raw_Data[#All],L$2,0)/L$1</calculatedColumnFormula>
    </tableColumn>
    <tableColumn id="12" xr3:uid="{D8165998-8DC2-4FA1-945D-6D5222AD6DC3}" name="IS2_INV2_M1" dataDxfId="244">
      <calculatedColumnFormula>VLOOKUP($B4,Raw_Data[#All],M$2,0)/M$1</calculatedColumnFormula>
    </tableColumn>
    <tableColumn id="13" xr3:uid="{05D80670-2A65-40A3-8AAC-7AF48AAD1990}" name="IS2_INV2_M2" dataDxfId="243">
      <calculatedColumnFormula>VLOOKUP($B4,Raw_Data[#All],N$2,0)/N$1</calculatedColumnFormula>
    </tableColumn>
    <tableColumn id="14" xr3:uid="{97B6469B-4EE6-48C6-B340-FDB8EC6CF4FB}" name="IS2_INV3_M1" dataDxfId="242">
      <calculatedColumnFormula>VLOOKUP($B4,Raw_Data[#All],O$2,0)/O$1</calculatedColumnFormula>
    </tableColumn>
    <tableColumn id="15" xr3:uid="{61581686-07F4-4D40-89E9-ADD246FD8B02}" name="IS2_INV3_M2" dataDxfId="241">
      <calculatedColumnFormula>VLOOKUP($B4,Raw_Data[#All],P$2,0)/P$1</calculatedColumnFormula>
    </tableColumn>
    <tableColumn id="16" xr3:uid="{A51BB688-E6ED-4F9F-B5F1-9F4849C9E0C7}" name="IS2_INV4_M1" dataDxfId="240">
      <calculatedColumnFormula>VLOOKUP($B4,Raw_Data[#All],Q$2,0)/Q$1</calculatedColumnFormula>
    </tableColumn>
    <tableColumn id="17" xr3:uid="{C33BC6DE-3F6A-49F7-BC25-EBBF3AED67CC}" name="IS2_INV4_M2" dataDxfId="239">
      <calculatedColumnFormula>VLOOKUP($B4,Raw_Data[#All],R$2,0)/R$1</calculatedColumnFormula>
    </tableColumn>
    <tableColumn id="18" xr3:uid="{125F531D-02BC-431F-BBA9-9E7A8F48C60A}" name="IS3_INV1_M1" dataDxfId="238">
      <calculatedColumnFormula>VLOOKUP($B4,Raw_Data[#All],S$2,0)/S$1</calculatedColumnFormula>
    </tableColumn>
    <tableColumn id="19" xr3:uid="{B0113C12-192D-4FBB-9893-F4F2498C1864}" name="IS3_INV1_M2" dataDxfId="237">
      <calculatedColumnFormula>VLOOKUP($B4,Raw_Data[#All],T$2,0)/T$1</calculatedColumnFormula>
    </tableColumn>
    <tableColumn id="20" xr3:uid="{FFE2E385-D064-40B7-98F6-55DBDF479961}" name="IS3_INV2_M1" dataDxfId="236">
      <calculatedColumnFormula>VLOOKUP($B4,Raw_Data[#All],U$2,0)/U$1</calculatedColumnFormula>
    </tableColumn>
    <tableColumn id="21" xr3:uid="{F98E6088-FEE1-41A5-978F-A51EC3EF71F6}" name="IS3_INV2_M2" dataDxfId="235">
      <calculatedColumnFormula>VLOOKUP($B4,Raw_Data[#All],V$2,0)/V$1</calculatedColumnFormula>
    </tableColumn>
    <tableColumn id="22" xr3:uid="{4D65F21F-29C3-4C9B-9512-C71A9B1ED638}" name="IS3_INV3_M1" dataDxfId="234">
      <calculatedColumnFormula>VLOOKUP($B4,Raw_Data[#All],W$2,0)/W$1</calculatedColumnFormula>
    </tableColumn>
    <tableColumn id="23" xr3:uid="{72918017-6440-4F1A-A18C-630A40B0F73B}" name="IS3_INV3_M2" dataDxfId="233">
      <calculatedColumnFormula>VLOOKUP($B4,Raw_Data[#All],X$2,0)/X$1</calculatedColumnFormula>
    </tableColumn>
    <tableColumn id="24" xr3:uid="{B6A20F48-ADC3-4083-9782-54AD624D6076}" name="IS3_INV4_M1" dataDxfId="232">
      <calculatedColumnFormula>VLOOKUP($B4,Raw_Data[#All],Y$2,0)/Y$1</calculatedColumnFormula>
    </tableColumn>
    <tableColumn id="25" xr3:uid="{42290774-9358-4A91-8F48-2A4BA71F6C21}" name="IS3_INV4_M2" dataDxfId="231">
      <calculatedColumnFormula>VLOOKUP($B4,Raw_Data[#All],Z$2,0)/Z$1</calculatedColumnFormula>
    </tableColumn>
    <tableColumn id="26" xr3:uid="{F78DC9D9-2D6F-4608-9F33-3A620A1A53A5}" name="IS4_INV1_M1" dataDxfId="230">
      <calculatedColumnFormula>VLOOKUP($B4,Raw_Data[#All],AA$2,0)/AA$1</calculatedColumnFormula>
    </tableColumn>
    <tableColumn id="27" xr3:uid="{322A293E-D03D-4D0F-92BA-29BB71A9A076}" name="IS4_INV1_M2" dataDxfId="229">
      <calculatedColumnFormula>VLOOKUP($B4,Raw_Data[#All],AB$2,0)/AB$1</calculatedColumnFormula>
    </tableColumn>
    <tableColumn id="28" xr3:uid="{5EBC8DD6-1094-4F11-B4FB-BACC264941B6}" name="IS4_INV2_M1" dataDxfId="228">
      <calculatedColumnFormula>VLOOKUP($B4,Raw_Data[#All],AC$2,0)/AC$1</calculatedColumnFormula>
    </tableColumn>
    <tableColumn id="29" xr3:uid="{F2E9AB8A-CCBF-4713-A99C-5873B4C55C5D}" name="IS4_INV2_M2" dataDxfId="227">
      <calculatedColumnFormula>VLOOKUP($B4,Raw_Data[#All],AD$2,0)/AD$1</calculatedColumnFormula>
    </tableColumn>
    <tableColumn id="30" xr3:uid="{1CC494A4-38E4-49D1-A54E-0AB3659A1A91}" name="IS4_INV3_M1" dataDxfId="226">
      <calculatedColumnFormula>VLOOKUP($B4,Raw_Data[#All],AE$2,0)/AE$1</calculatedColumnFormula>
    </tableColumn>
    <tableColumn id="31" xr3:uid="{15DA3AB9-A8D7-4A6A-A5F6-68588C6A77A8}" name="IS4_INV3_M2" dataDxfId="225">
      <calculatedColumnFormula>VLOOKUP($B4,Raw_Data[#All],AF$2,0)/AF$1</calculatedColumnFormula>
    </tableColumn>
    <tableColumn id="32" xr3:uid="{30FC3303-701E-4239-935A-DCAB36AF00E6}" name="IS4_INV4_M1" dataDxfId="224">
      <calculatedColumnFormula>VLOOKUP($B4,Raw_Data[#All],AG$2,0)/AG$1</calculatedColumnFormula>
    </tableColumn>
    <tableColumn id="33" xr3:uid="{AE0630E0-E5A4-43F8-9907-E213941F1EFC}" name="IS4_INV4_M2" dataDxfId="223">
      <calculatedColumnFormula>VLOOKUP($B4,Raw_Data[#All],AH$2,0)/AH$1</calculatedColumnFormula>
    </tableColumn>
    <tableColumn id="34" xr3:uid="{0BCCA600-C755-4591-8CB5-F78C820A7928}" name="IS5_INV1_M1" dataDxfId="222">
      <calculatedColumnFormula>VLOOKUP($B4,Raw_Data[#All],AI$2,0)/AI$1</calculatedColumnFormula>
    </tableColumn>
    <tableColumn id="35" xr3:uid="{C018C851-0BF5-4242-BEC7-E10351B67273}" name="IS5_INV1_M2" dataDxfId="221">
      <calculatedColumnFormula>VLOOKUP($B4,Raw_Data[#All],AJ$2,0)/AJ$1</calculatedColumnFormula>
    </tableColumn>
    <tableColumn id="36" xr3:uid="{5BD41BF0-ACDA-49E4-A819-216CFC432B54}" name="IS5_INV2_M1" dataDxfId="220">
      <calculatedColumnFormula>VLOOKUP($B4,Raw_Data[#All],AK$2,0)/AK$1</calculatedColumnFormula>
    </tableColumn>
    <tableColumn id="37" xr3:uid="{71883AC7-06CE-4E70-A163-FB93FE0A2746}" name="IS5_INV2_M2" dataDxfId="219">
      <calculatedColumnFormula>VLOOKUP($B4,Raw_Data[#All],AL$2,0)/AL$1</calculatedColumnFormula>
    </tableColumn>
    <tableColumn id="38" xr3:uid="{79FD8204-F885-4928-AEF1-3BB3A8C1434B}" name="IS5_INV3_M1" dataDxfId="218">
      <calculatedColumnFormula>VLOOKUP($B4,Raw_Data[#All],AM$2,0)/AM$1</calculatedColumnFormula>
    </tableColumn>
    <tableColumn id="39" xr3:uid="{4B5B62BC-B8E5-4BF0-8995-450F57B92181}" name="IS5_INV3_M2" dataDxfId="217">
      <calculatedColumnFormula>VLOOKUP($B4,Raw_Data[#All],AN$2,0)/AN$1</calculatedColumnFormula>
    </tableColumn>
    <tableColumn id="40" xr3:uid="{CDDD40F0-18F0-4A8F-8FC0-3AD8970A9537}" name="IS5_INV4_M1" dataDxfId="216">
      <calculatedColumnFormula>VLOOKUP($B4,Raw_Data[#All],AO$2,0)/AO$1</calculatedColumnFormula>
    </tableColumn>
    <tableColumn id="41" xr3:uid="{D7DDCF41-9A57-4C4B-9A77-170B223A4608}" name="IS5_INV4_M2" dataDxfId="215">
      <calculatedColumnFormula>VLOOKUP($B4,Raw_Data[#All],AP$2,0)/AP$1</calculatedColumnFormula>
    </tableColumn>
    <tableColumn id="42" xr3:uid="{3E34160D-E0FE-464B-B962-C237935E6D88}" name="IS6_INV1_M1" dataDxfId="214">
      <calculatedColumnFormula>VLOOKUP($B4,Raw_Data[#All],AQ$2,0)/AQ$1</calculatedColumnFormula>
    </tableColumn>
    <tableColumn id="43" xr3:uid="{36EDBF3F-CAB1-475F-A196-213753D949D1}" name="IS6_INV1_M2" dataDxfId="213">
      <calculatedColumnFormula>VLOOKUP($B4,Raw_Data[#All],AR$2,0)/AR$1</calculatedColumnFormula>
    </tableColumn>
    <tableColumn id="44" xr3:uid="{945AA585-F6EA-4D5F-9100-1A90B07B7E8D}" name="IS6_INV2_M1" dataDxfId="212">
      <calculatedColumnFormula>VLOOKUP($B4,Raw_Data[#All],AS$2,0)/AS$1</calculatedColumnFormula>
    </tableColumn>
    <tableColumn id="45" xr3:uid="{DFDC975E-D909-4B94-86D8-D461A6ED11D9}" name="IS6_INV2_M2" dataDxfId="211">
      <calculatedColumnFormula>VLOOKUP($B4,Raw_Data[#All],AT$2,0)/AT$1</calculatedColumnFormula>
    </tableColumn>
    <tableColumn id="46" xr3:uid="{4C1429FF-4C26-481E-882A-9601DC59CEA3}" name="IS6_INV3_M1" dataDxfId="210">
      <calculatedColumnFormula>VLOOKUP($B4,Raw_Data[#All],AU$2,0)/AU$1</calculatedColumnFormula>
    </tableColumn>
    <tableColumn id="47" xr3:uid="{81E27549-E892-45E8-B743-45909D1B87A9}" name="IS6_INV3_M2" dataDxfId="209">
      <calculatedColumnFormula>VLOOKUP($B4,Raw_Data[#All],AV$2,0)/AV$1</calculatedColumnFormula>
    </tableColumn>
    <tableColumn id="48" xr3:uid="{0B2A8288-D7DB-46BE-B378-C7F95F5EB39C}" name="IS6_INV4_M1" dataDxfId="208">
      <calculatedColumnFormula>VLOOKUP($B4,Raw_Data[#All],AW$2,0)/AW$1</calculatedColumnFormula>
    </tableColumn>
    <tableColumn id="49" xr3:uid="{BC1AC37F-92E2-41F8-A281-021359E50278}" name="IS6_INV4_M2" dataDxfId="207">
      <calculatedColumnFormula>VLOOKUP($B4,Raw_Data[#All],AX$2,0)/AX$1</calculatedColumnFormula>
    </tableColumn>
    <tableColumn id="50" xr3:uid="{7AC93657-63E8-446E-B3CE-F5BEA1F62FE7}" name="IS7_INV1_M1" dataDxfId="206">
      <calculatedColumnFormula>VLOOKUP($B4,Raw_Data[#All],AY$2,0)/AY$1</calculatedColumnFormula>
    </tableColumn>
    <tableColumn id="51" xr3:uid="{5BA1238A-7386-4F70-AE1C-7CB571E9B361}" name="IS7_INV1_M2" dataDxfId="205">
      <calculatedColumnFormula>VLOOKUP($B4,Raw_Data[#All],AZ$2,0)/AZ$1</calculatedColumnFormula>
    </tableColumn>
    <tableColumn id="52" xr3:uid="{13E826CF-6D7D-4BFE-BA92-3FA754193E06}" name="IS7_INV2_M1" dataDxfId="204">
      <calculatedColumnFormula>VLOOKUP($B4,Raw_Data[#All],BA$2,0)/BA$1</calculatedColumnFormula>
    </tableColumn>
    <tableColumn id="53" xr3:uid="{B1D35ACA-A508-4350-8800-41A8A7829590}" name="IS7_INV2_M2" dataDxfId="203">
      <calculatedColumnFormula>VLOOKUP($B4,Raw_Data[#All],BB$2,0)/BB$1</calculatedColumnFormula>
    </tableColumn>
    <tableColumn id="54" xr3:uid="{96A1A6B2-DE76-40F6-88A9-AD8FF97A7176}" name="IS7_INV3_M1" dataDxfId="202">
      <calculatedColumnFormula>VLOOKUP($B4,Raw_Data[#All],BC$2,0)/BC$1</calculatedColumnFormula>
    </tableColumn>
    <tableColumn id="55" xr3:uid="{113272FE-1D57-4E54-AFE0-D9943AE49C62}" name="IS7_INV3_M2" dataDxfId="201">
      <calculatedColumnFormula>VLOOKUP($B4,Raw_Data[#All],BD$2,0)/BD$1</calculatedColumnFormula>
    </tableColumn>
    <tableColumn id="56" xr3:uid="{19115E08-1904-4E11-9617-D370ED8FE04D}" name="IS7_INV4_M1" dataDxfId="200">
      <calculatedColumnFormula>VLOOKUP($B4,Raw_Data[#All],BE$2,0)/BE$1</calculatedColumnFormula>
    </tableColumn>
    <tableColumn id="57" xr3:uid="{C9D4A30F-5FB1-4B0D-8F88-491B351497FE}" name="IS7_INV4_M2" dataDxfId="199">
      <calculatedColumnFormula>VLOOKUP($B4,Raw_Data[#All],BF$2,0)/BF$1</calculatedColumnFormula>
    </tableColumn>
    <tableColumn id="58" xr3:uid="{966506D1-9AC2-4378-8E04-1DBF44E4F716}" name="IS8_INV1_M1" dataDxfId="198">
      <calculatedColumnFormula>VLOOKUP($B4,Raw_Data[#All],BG$2,0)/BG$1</calculatedColumnFormula>
    </tableColumn>
    <tableColumn id="59" xr3:uid="{6D699255-44E7-4C58-A67A-835070EF8930}" name="IS8_INV1_M2" dataDxfId="197">
      <calculatedColumnFormula>VLOOKUP($B4,Raw_Data[#All],BH$2,0)/BH$1</calculatedColumnFormula>
    </tableColumn>
    <tableColumn id="60" xr3:uid="{BFAFC41C-5D68-4C2B-A04D-9E7F5742B084}" name="IS8_INV2_M1" dataDxfId="196">
      <calculatedColumnFormula>VLOOKUP($B4,Raw_Data[#All],BI$2,0)/BI$1</calculatedColumnFormula>
    </tableColumn>
    <tableColumn id="61" xr3:uid="{BFBCE613-61EB-4692-802D-70D927FAE18C}" name="IS8_INV2_M2" dataDxfId="195">
      <calculatedColumnFormula>VLOOKUP($B4,Raw_Data[#All],BJ$2,0)/BJ$1</calculatedColumnFormula>
    </tableColumn>
    <tableColumn id="62" xr3:uid="{7BDD6B7F-663C-4183-A27D-779F61C9EC96}" name="IS8_INV3_M1" dataDxfId="194">
      <calculatedColumnFormula>VLOOKUP($B4,Raw_Data[#All],BK$2,0)/BK$1</calculatedColumnFormula>
    </tableColumn>
    <tableColumn id="63" xr3:uid="{807D8F30-0C0C-4C78-A5BD-98FFC8754D47}" name="IS8_INV3_M2" dataDxfId="193">
      <calculatedColumnFormula>VLOOKUP($B4,Raw_Data[#All],BL$2,0)/BL$1</calculatedColumnFormula>
    </tableColumn>
    <tableColumn id="64" xr3:uid="{2C02A43B-638F-4CA6-9337-1AEE62153759}" name="IS8_INV4_M1" dataDxfId="192">
      <calculatedColumnFormula>VLOOKUP($B4,Raw_Data[#All],BM$2,0)/BM$1</calculatedColumnFormula>
    </tableColumn>
    <tableColumn id="65" xr3:uid="{97F8B892-19CE-4E33-B61B-AFE04A054D23}" name="IS8_INV4_M2" dataDxfId="191">
      <calculatedColumnFormula>VLOOKUP($B4,Raw_Data[#All],BN$2,0)/BN$1</calculatedColumnFormula>
    </tableColumn>
    <tableColumn id="66" xr3:uid="{AE75B4E6-C1DA-45F3-BDF4-68F0823C6E63}" name="IS9_INV1_M1" dataDxfId="190">
      <calculatedColumnFormula>VLOOKUP($B4,Raw_Data[#All],BO$2,0)/BO$1</calculatedColumnFormula>
    </tableColumn>
    <tableColumn id="67" xr3:uid="{1F54CF6F-99F3-43CF-9A13-2AA235C3AD8A}" name="IS9_INV1_M2" dataDxfId="189">
      <calculatedColumnFormula>VLOOKUP($B4,Raw_Data[#All],BP$2,0)/BP$1</calculatedColumnFormula>
    </tableColumn>
    <tableColumn id="68" xr3:uid="{B232F9C2-10EA-445B-8844-AABCB3AC6109}" name="IS9_INV2_M1" dataDxfId="188">
      <calculatedColumnFormula>VLOOKUP($B4,Raw_Data[#All],BQ$2,0)/BQ$1</calculatedColumnFormula>
    </tableColumn>
    <tableColumn id="69" xr3:uid="{C4ECC00D-4EE2-4737-BB36-7F6CC5064A6D}" name="IS9_INV2_M2" dataDxfId="187">
      <calculatedColumnFormula>VLOOKUP($B4,Raw_Data[#All],BR$2,0)/BR$1</calculatedColumnFormula>
    </tableColumn>
    <tableColumn id="70" xr3:uid="{220838BB-D4FF-4FD6-942C-79E6D8BE16F3}" name="IS9_INV3_M1" dataDxfId="186">
      <calculatedColumnFormula>VLOOKUP($B4,Raw_Data[#All],BS$2,0)/BS$1</calculatedColumnFormula>
    </tableColumn>
    <tableColumn id="71" xr3:uid="{F8169991-20A0-4200-8DF2-04F88968C56C}" name="IS9_INV3_M2" dataDxfId="185">
      <calculatedColumnFormula>VLOOKUP($B4,Raw_Data[#All],BT$2,0)/BT$1</calculatedColumnFormula>
    </tableColumn>
    <tableColumn id="72" xr3:uid="{70F03258-DB78-410E-8A34-A73916FE3F4B}" name="IS9_INV4_M1" dataDxfId="184">
      <calculatedColumnFormula>VLOOKUP($B4,Raw_Data[#All],BU$2,0)/BU$1</calculatedColumnFormula>
    </tableColumn>
    <tableColumn id="73" xr3:uid="{E7F01161-398C-41EE-81CC-791436273A09}" name="IS9_INV4_M2" dataDxfId="183">
      <calculatedColumnFormula>VLOOKUP($B4,Raw_Data[#All],BV$2,0)/BV$1</calculatedColumnFormula>
    </tableColumn>
    <tableColumn id="74" xr3:uid="{46CAF599-C04E-4D0E-8047-F172CD301846}" name="IS10_INV1_M1" dataDxfId="182">
      <calculatedColumnFormula>VLOOKUP($B4,Raw_Data[#All],BW$2,0)/BW$1</calculatedColumnFormula>
    </tableColumn>
    <tableColumn id="75" xr3:uid="{C2C38EA7-78D2-47A4-B10B-40A930286261}" name="IS10_INV1_M2" dataDxfId="181">
      <calculatedColumnFormula>VLOOKUP($B4,Raw_Data[#All],BX$2,0)/BX$1</calculatedColumnFormula>
    </tableColumn>
    <tableColumn id="76" xr3:uid="{2073E4CB-9E70-4EC9-AA1A-70E0695AF67E}" name="IS10_INV2_M1" dataDxfId="180">
      <calculatedColumnFormula>VLOOKUP($B4,Raw_Data[#All],BY$2,0)/BY$1</calculatedColumnFormula>
    </tableColumn>
    <tableColumn id="77" xr3:uid="{27D2E11F-D626-485F-AA58-43BCFD3CBF8C}" name="IS10_INV2_M2" dataDxfId="179">
      <calculatedColumnFormula>VLOOKUP($B4,Raw_Data[#All],BZ$2,0)/BZ$1</calculatedColumnFormula>
    </tableColumn>
    <tableColumn id="78" xr3:uid="{0FECE58A-504E-4BD2-81D0-D0054ECC46EA}" name="IS10_INV3_M1" dataDxfId="178">
      <calculatedColumnFormula>VLOOKUP($B4,Raw_Data[#All],CA$2,0)/CA$1</calculatedColumnFormula>
    </tableColumn>
    <tableColumn id="79" xr3:uid="{C39FC04C-D37D-41D1-8CE8-009DD5406010}" name="IS10_INV3_M2" dataDxfId="177">
      <calculatedColumnFormula>VLOOKUP($B4,Raw_Data[#All],CB$2,0)/CB$1</calculatedColumnFormula>
    </tableColumn>
    <tableColumn id="80" xr3:uid="{F0027A5F-223F-4D50-A2D9-63C2DEA048D8}" name="IS10_INV4_M1" dataDxfId="176">
      <calculatedColumnFormula>VLOOKUP($B4,Raw_Data[#All],CC$2,0)/CC$1</calculatedColumnFormula>
    </tableColumn>
    <tableColumn id="81" xr3:uid="{BC666546-59DB-4CAD-963E-BAB45DF84C7E}" name="IS10_INV4_M2" dataDxfId="175">
      <calculatedColumnFormula>VLOOKUP($B4,Raw_Data[#All],CD$2,0)/CD$1</calculatedColumnFormula>
    </tableColumn>
    <tableColumn id="82" xr3:uid="{E0A7BB60-BD29-4D5D-9AED-664C8B9C0056}" name="IS11_INV1_M1" dataDxfId="174">
      <calculatedColumnFormula>VLOOKUP($B4,Raw_Data[#All],CE$2,0)/CE$1</calculatedColumnFormula>
    </tableColumn>
    <tableColumn id="83" xr3:uid="{446DAAB8-036D-4CD2-B8B4-81693A1D5F4A}" name="IS11_INV1_M2" dataDxfId="173">
      <calculatedColumnFormula>VLOOKUP($B4,Raw_Data[#All],CF$2,0)/CF$1</calculatedColumnFormula>
    </tableColumn>
    <tableColumn id="84" xr3:uid="{6982957A-F597-4229-87F0-4F18345081A2}" name="IS11_INV2_M1" dataDxfId="172">
      <calculatedColumnFormula>VLOOKUP($B4,Raw_Data[#All],CG$2,0)/CG$1</calculatedColumnFormula>
    </tableColumn>
    <tableColumn id="85" xr3:uid="{E4EA2FB9-A7EC-4F32-A84F-58EBB2616219}" name="IS11_INV2_M2" dataDxfId="171">
      <calculatedColumnFormula>VLOOKUP($B4,Raw_Data[#All],CH$2,0)/CH$1</calculatedColumnFormula>
    </tableColumn>
    <tableColumn id="86" xr3:uid="{676EC0C8-7739-4303-8949-5CF610514714}" name="IS11_INV3_M1" dataDxfId="170">
      <calculatedColumnFormula>VLOOKUP($B4,Raw_Data[#All],CI$2,0)/CI$1</calculatedColumnFormula>
    </tableColumn>
    <tableColumn id="87" xr3:uid="{03315C5B-728A-46C8-87FF-66254EDF0019}" name="IS11_INV3_M2" dataDxfId="169">
      <calculatedColumnFormula>VLOOKUP($B4,Raw_Data[#All],CJ$2,0)/CJ$1</calculatedColumnFormula>
    </tableColumn>
    <tableColumn id="88" xr3:uid="{98B7A777-D555-453F-9054-AC40C0D23BAF}" name="IS11_INV4_M1" dataDxfId="168">
      <calculatedColumnFormula>VLOOKUP($B4,Raw_Data[#All],CK$2,0)/CK$1</calculatedColumnFormula>
    </tableColumn>
    <tableColumn id="89" xr3:uid="{DD609C89-ABC7-411D-A375-1367E21A3000}" name="IS11_INV4_M2" dataDxfId="167">
      <calculatedColumnFormula>VLOOKUP($B4,Raw_Data[#All],CL$2,0)/CL$1</calculatedColumnFormula>
    </tableColumn>
    <tableColumn id="90" xr3:uid="{C604731A-0C4A-43DE-B894-CFB0C5F5053B}" name="IS12_INV1_M1" dataDxfId="166">
      <calculatedColumnFormula>VLOOKUP($B4,Raw_Data[#All],CM$2,0)/CM$1</calculatedColumnFormula>
    </tableColumn>
    <tableColumn id="91" xr3:uid="{505D2238-AECE-4F31-9528-10B7F4AF0132}" name="IS12_INV1_M2" dataDxfId="165">
      <calculatedColumnFormula>VLOOKUP($B4,Raw_Data[#All],CN$2,0)/CN$1</calculatedColumnFormula>
    </tableColumn>
    <tableColumn id="92" xr3:uid="{BFE74A8D-B817-497F-BF2F-6C250EDB73A8}" name="IS12_INV2_M1" dataDxfId="164">
      <calculatedColumnFormula>VLOOKUP($B4,Raw_Data[#All],CO$2,0)/CO$1</calculatedColumnFormula>
    </tableColumn>
    <tableColumn id="93" xr3:uid="{1844179A-5BBF-486C-9415-31663E5755AB}" name="IS12_INV2_M2" dataDxfId="163">
      <calculatedColumnFormula>VLOOKUP($B4,Raw_Data[#All],CP$2,0)/CP$1</calculatedColumnFormula>
    </tableColumn>
    <tableColumn id="94" xr3:uid="{25E58F11-64AE-4AD9-A42E-B5A1644F8D44}" name="IS12_INV3_M1" dataDxfId="162">
      <calculatedColumnFormula>VLOOKUP($B4,Raw_Data[#All],CQ$2,0)/CQ$1</calculatedColumnFormula>
    </tableColumn>
    <tableColumn id="95" xr3:uid="{72813AB1-5E60-48C5-9D3D-8B0854C2AC31}" name="IS12_INV3_M2" dataDxfId="161">
      <calculatedColumnFormula>VLOOKUP($B4,Raw_Data[#All],CR$2,0)/CR$1</calculatedColumnFormula>
    </tableColumn>
    <tableColumn id="96" xr3:uid="{8F35BCA0-0DD6-4EF0-865C-174DE44B7003}" name="IS12_INV4_M1" dataDxfId="160">
      <calculatedColumnFormula>VLOOKUP($B4,Raw_Data[#All],CS$2,0)/CS$1</calculatedColumnFormula>
    </tableColumn>
    <tableColumn id="97" xr3:uid="{61B66354-ADF9-4AC2-92B6-A4ADA9A3CA3F}" name="IS12_INV4_M2" dataDxfId="159">
      <calculatedColumnFormula>VLOOKUP($B4,Raw_Data[#All],CT$2,0)/CT$1</calculatedColumnFormula>
    </tableColumn>
    <tableColumn id="98" xr3:uid="{1B2DB7F8-8B0F-47D2-A962-C7935A815E6A}" name="IS13_INV1_M1" dataDxfId="158">
      <calculatedColumnFormula>VLOOKUP($B4,Raw_Data[#All],CU$2,0)/CU$1</calculatedColumnFormula>
    </tableColumn>
    <tableColumn id="99" xr3:uid="{5A851206-B536-4238-BB79-55CC108915FD}" name="IS13_INV1_M2" dataDxfId="157">
      <calculatedColumnFormula>VLOOKUP($B4,Raw_Data[#All],CV$2,0)/CV$1</calculatedColumnFormula>
    </tableColumn>
    <tableColumn id="100" xr3:uid="{0B717D58-28F3-423C-BBDE-85A9E96427EC}" name="IS13_INV2_M1" dataDxfId="156">
      <calculatedColumnFormula>VLOOKUP($B4,Raw_Data[#All],CW$2,0)/CW$1</calculatedColumnFormula>
    </tableColumn>
    <tableColumn id="101" xr3:uid="{800BD44F-46B5-4D03-843D-689FF456A851}" name="IS13_INV2_M2" dataDxfId="155">
      <calculatedColumnFormula>VLOOKUP($B4,Raw_Data[#All],CX$2,0)/CX$1</calculatedColumnFormula>
    </tableColumn>
    <tableColumn id="102" xr3:uid="{28F6B322-318B-454E-82EC-B91E325B3121}" name="IS13_INV3_M1" dataDxfId="154">
      <calculatedColumnFormula>VLOOKUP($B4,Raw_Data[#All],CY$2,0)/CY$1</calculatedColumnFormula>
    </tableColumn>
    <tableColumn id="103" xr3:uid="{9B5BB1D4-5D5E-4DCF-82F0-05BD386F86D5}" name="IS13_INV3_M2" dataDxfId="153">
      <calculatedColumnFormula>VLOOKUP($B4,Raw_Data[#All],CZ$2,0)/CZ$1</calculatedColumnFormula>
    </tableColumn>
    <tableColumn id="104" xr3:uid="{C4F0F057-07E3-4976-86EC-4835C199AB84}" name="IS13_INV4_M1" dataDxfId="152">
      <calculatedColumnFormula>VLOOKUP($B4,Raw_Data[#All],DA$2,0)/DA$1</calculatedColumnFormula>
    </tableColumn>
    <tableColumn id="105" xr3:uid="{145B3CA9-FBB6-45D8-B67F-2F664933A09C}" name="IS13_INV4_M2" dataDxfId="151">
      <calculatedColumnFormula>VLOOKUP($B4,Raw_Data[#All],DB$2,0)/DB$1</calculatedColumnFormula>
    </tableColumn>
    <tableColumn id="106" xr3:uid="{939271CC-D2F7-4C15-946B-54B62E5E7205}" name="IS14_INV1_M1" dataDxfId="150">
      <calculatedColumnFormula>VLOOKUP($B4,Raw_Data[#All],DC$2,0)/DC$1</calculatedColumnFormula>
    </tableColumn>
    <tableColumn id="107" xr3:uid="{160C6578-E53E-4CFA-8188-1EC6A2C386DD}" name="IS14_INV1_M2" dataDxfId="149">
      <calculatedColumnFormula>VLOOKUP($B4,Raw_Data[#All],DD$2,0)/DD$1</calculatedColumnFormula>
    </tableColumn>
    <tableColumn id="108" xr3:uid="{134CF583-7A32-4A75-9AA9-48CD50A4CA79}" name="IS14_INV2_M1" dataDxfId="148">
      <calculatedColumnFormula>VLOOKUP($B4,Raw_Data[#All],DE$2,0)/DE$1</calculatedColumnFormula>
    </tableColumn>
    <tableColumn id="109" xr3:uid="{25D290F0-966D-4562-89A8-BD7BF6EAB427}" name="IS14_INV2_M2" dataDxfId="147">
      <calculatedColumnFormula>VLOOKUP($B4,Raw_Data[#All],DF$2,0)/DF$1</calculatedColumnFormula>
    </tableColumn>
    <tableColumn id="110" xr3:uid="{43416332-0171-49EA-AA36-BACB89BF6822}" name="IS14_INV3_M1" dataDxfId="146">
      <calculatedColumnFormula>VLOOKUP($B4,Raw_Data[#All],DG$2,0)/DG$1</calculatedColumnFormula>
    </tableColumn>
    <tableColumn id="111" xr3:uid="{741E0B82-A87E-4158-B6C1-C27427849724}" name="IS14_INV3_M2" dataDxfId="145">
      <calculatedColumnFormula>VLOOKUP($B4,Raw_Data[#All],DH$2,0)/DH$1</calculatedColumnFormula>
    </tableColumn>
    <tableColumn id="112" xr3:uid="{426C9481-0AAF-4611-9106-832D8D446004}" name="IS14_INV4_M1" dataDxfId="144">
      <calculatedColumnFormula>VLOOKUP($B4,Raw_Data[#All],DI$2,0)/DI$1</calculatedColumnFormula>
    </tableColumn>
    <tableColumn id="113" xr3:uid="{0F78F5EA-32F5-4C32-A874-E35B247EE2B5}" name="IS14_INV4_M2" dataDxfId="143">
      <calculatedColumnFormula>VLOOKUP($B4,Raw_Data[#All],DJ$2,0)/DJ$1</calculatedColumnFormula>
    </tableColumn>
    <tableColumn id="114" xr3:uid="{C845905D-F961-4499-9120-126B612D560C}" name="IS15_INV1_M1" dataDxfId="142">
      <calculatedColumnFormula>VLOOKUP($B4,Raw_Data[#All],DK$2,0)/DK$1</calculatedColumnFormula>
    </tableColumn>
    <tableColumn id="115" xr3:uid="{68F7A7D8-B659-4DC0-9808-3213F3292139}" name="IS15_INV1_M2" dataDxfId="141">
      <calculatedColumnFormula>VLOOKUP($B4,Raw_Data[#All],DL$2,0)/DL$1</calculatedColumnFormula>
    </tableColumn>
    <tableColumn id="116" xr3:uid="{0D781B01-37F0-4F5F-86BF-F466D9AC4587}" name="IS15_INV2_M1" dataDxfId="140">
      <calculatedColumnFormula>VLOOKUP($B4,Raw_Data[#All],DM$2,0)/DM$1</calculatedColumnFormula>
    </tableColumn>
    <tableColumn id="117" xr3:uid="{C3B279D4-3E3C-47AE-93F2-447231FC5C83}" name="IS15_INV2_M2" dataDxfId="139">
      <calculatedColumnFormula>VLOOKUP($B4,Raw_Data[#All],DN$2,0)/DN$1</calculatedColumnFormula>
    </tableColumn>
    <tableColumn id="118" xr3:uid="{8695E665-B8AA-4482-853C-935AEDE648B9}" name="IS15_INV3_M1" dataDxfId="138">
      <calculatedColumnFormula>VLOOKUP($B4,Raw_Data[#All],DO$2,0)/DO$1</calculatedColumnFormula>
    </tableColumn>
    <tableColumn id="119" xr3:uid="{41D1BBA1-3013-46C5-8338-14DA0E78E247}" name="IS15_INV3_M2" dataDxfId="137">
      <calculatedColumnFormula>VLOOKUP($B4,Raw_Data[#All],DP$2,0)/DP$1</calculatedColumnFormula>
    </tableColumn>
    <tableColumn id="120" xr3:uid="{0E5EE9C4-2711-4704-B1B3-7336135BDFB2}" name="IS15_INV4_M1" dataDxfId="136">
      <calculatedColumnFormula>VLOOKUP($B4,Raw_Data[#All],DQ$2,0)/DQ$1</calculatedColumnFormula>
    </tableColumn>
    <tableColumn id="121" xr3:uid="{C606B886-E98D-4235-BBC8-06514A059501}" name="IS15_INV4_M2" dataDxfId="135">
      <calculatedColumnFormula>VLOOKUP($B4,Raw_Data[#All],DR$2,0)/DR$1</calculatedColumnFormula>
    </tableColumn>
    <tableColumn id="122" xr3:uid="{23ED32E6-0571-4439-A154-181DF1E135F3}" name="IS16_INV1_M1" dataDxfId="134">
      <calculatedColumnFormula>VLOOKUP($B4,Raw_Data[#All],DS$2,0)/DS$1</calculatedColumnFormula>
    </tableColumn>
    <tableColumn id="123" xr3:uid="{D16BD749-C20E-4524-B35C-843E0BF390FD}" name="IS16_INV1_M2" dataDxfId="133">
      <calculatedColumnFormula>VLOOKUP($B4,Raw_Data[#All],DT$2,0)/DT$1</calculatedColumnFormula>
    </tableColumn>
    <tableColumn id="124" xr3:uid="{2C952087-2E23-4A91-A3B8-62D091805C56}" name="IS16_INV2_M1" dataDxfId="132">
      <calculatedColumnFormula>VLOOKUP($B4,Raw_Data[#All],DU$2,0)/DU$1</calculatedColumnFormula>
    </tableColumn>
    <tableColumn id="125" xr3:uid="{3CD129F5-9A7E-4CE1-97D7-4B962D04AB4F}" name="IS16_INV2_M2" dataDxfId="131">
      <calculatedColumnFormula>VLOOKUP($B4,Raw_Data[#All],DV$2,0)/DV$1</calculatedColumnFormula>
    </tableColumn>
    <tableColumn id="126" xr3:uid="{978F688D-ECBA-434D-9972-F9EDF91E322D}" name="IS16_INV3_M1" dataDxfId="130">
      <calculatedColumnFormula>VLOOKUP($B4,Raw_Data[#All],DW$2,0)/DW$1</calculatedColumnFormula>
    </tableColumn>
    <tableColumn id="127" xr3:uid="{610D59EF-B338-4671-B3B3-E64FB9B9B9BE}" name="IS16_INV3_M2" dataDxfId="129">
      <calculatedColumnFormula>VLOOKUP($B4,Raw_Data[#All],DX$2,0)/DX$1</calculatedColumnFormula>
    </tableColumn>
    <tableColumn id="128" xr3:uid="{B232ACE9-D4C6-4D76-8C8D-A5D47ACB615A}" name="IS16_INV4_M1" dataDxfId="128">
      <calculatedColumnFormula>VLOOKUP($B4,Raw_Data[#All],DY$2,0)/DY$1</calculatedColumnFormula>
    </tableColumn>
    <tableColumn id="129" xr3:uid="{FFDDEAF9-DD09-429D-8145-6CA8B49EEE02}" name="IS16_INV4_M2" dataDxfId="127">
      <calculatedColumnFormula>VLOOKUP($B4,Raw_Data[#All],DZ$2,0)/DZ$1</calculatedColumnFormula>
    </tableColumn>
    <tableColumn id="130" xr3:uid="{93BBF06F-1B0A-4522-ABD7-B3802AA0B6E5}" name="IS17_INV1_M1" dataDxfId="126">
      <calculatedColumnFormula>VLOOKUP($B4,Raw_Data[#All],EA$2,0)/EA$1</calculatedColumnFormula>
    </tableColumn>
    <tableColumn id="131" xr3:uid="{7E239745-F7E3-4FC2-956A-86C3D7BE5867}" name="IS17_INV1_M2" dataDxfId="125">
      <calculatedColumnFormula>VLOOKUP($B4,Raw_Data[#All],EB$2,0)/EB$1</calculatedColumnFormula>
    </tableColumn>
    <tableColumn id="132" xr3:uid="{EAC485D0-18C7-4D9D-BC58-31B75745A311}" name="IS17_INV2_M1" dataDxfId="124">
      <calculatedColumnFormula>VLOOKUP($B4,Raw_Data[#All],EC$2,0)/EC$1</calculatedColumnFormula>
    </tableColumn>
    <tableColumn id="133" xr3:uid="{F6561F7F-AA25-49FC-87D1-8E8ECB63D1DD}" name="IS17_INV2_M2" dataDxfId="123">
      <calculatedColumnFormula>VLOOKUP($B4,Raw_Data[#All],ED$2,0)/ED$1</calculatedColumnFormula>
    </tableColumn>
    <tableColumn id="134" xr3:uid="{C8407F53-B1B9-463C-A1DA-BFD4C5991BAC}" name="IS17_INV3_M1" dataDxfId="122">
      <calculatedColumnFormula>VLOOKUP($B4,Raw_Data[#All],EE$2,0)/EE$1</calculatedColumnFormula>
    </tableColumn>
    <tableColumn id="135" xr3:uid="{35065F69-38BF-49E6-B0C4-14BF35133C99}" name="IS17_INV3_M2" dataDxfId="121">
      <calculatedColumnFormula>VLOOKUP($B4,Raw_Data[#All],EF$2,0)/EF$1</calculatedColumnFormula>
    </tableColumn>
    <tableColumn id="136" xr3:uid="{DC7C0282-0DE6-48DC-8E64-304F719B9B27}" name="IS17_INV4_M1" dataDxfId="120">
      <calculatedColumnFormula>VLOOKUP($B4,Raw_Data[#All],EG$2,0)/EG$1</calculatedColumnFormula>
    </tableColumn>
    <tableColumn id="137" xr3:uid="{22186FA2-673F-4F29-BDD3-67B2C01153A0}" name="IS17_INV4_M2" dataDxfId="119">
      <calculatedColumnFormula>VLOOKUP($B4,Raw_Data[#All],EH$2,0)/EH$1</calculatedColumnFormula>
    </tableColumn>
    <tableColumn id="138" xr3:uid="{F9DAC5D5-0A1D-47EE-B9A3-168CFB8C6A96}" name="IS18_INV1_M1" dataDxfId="118">
      <calculatedColumnFormula>VLOOKUP($B4,Raw_Data[#All],EI$2,0)/EI$1</calculatedColumnFormula>
    </tableColumn>
    <tableColumn id="139" xr3:uid="{217FA3A9-EBD5-4655-B464-744903469A09}" name="IS18_INV1_M2" dataDxfId="117">
      <calculatedColumnFormula>VLOOKUP($B4,Raw_Data[#All],EJ$2,0)/EJ$1</calculatedColumnFormula>
    </tableColumn>
    <tableColumn id="140" xr3:uid="{5251DEF8-47C6-41D7-82B4-04785997D75E}" name="IS18_INV2_M1" dataDxfId="116">
      <calculatedColumnFormula>VLOOKUP($B4,Raw_Data[#All],EK$2,0)/EK$1</calculatedColumnFormula>
    </tableColumn>
    <tableColumn id="141" xr3:uid="{601230B9-D075-4375-9415-562C840BBCDF}" name="IS18_INV2_M2" dataDxfId="115">
      <calculatedColumnFormula>VLOOKUP($B4,Raw_Data[#All],EL$2,0)/EL$1</calculatedColumnFormula>
    </tableColumn>
    <tableColumn id="142" xr3:uid="{EACF22FC-4235-4490-83D7-F3CBF1DDF314}" name="IS18_INV3_M1" dataDxfId="114">
      <calculatedColumnFormula>VLOOKUP($B4,Raw_Data[#All],EM$2,0)/EM$1</calculatedColumnFormula>
    </tableColumn>
    <tableColumn id="143" xr3:uid="{614B25A9-DA81-483E-989F-EF110BC8F1E7}" name="IS18_INV3_M2" dataDxfId="113">
      <calculatedColumnFormula>VLOOKUP($B4,Raw_Data[#All],EN$2,0)/EN$1</calculatedColumnFormula>
    </tableColumn>
    <tableColumn id="144" xr3:uid="{B59EF666-4D46-4FF9-B652-F3DDDA14E216}" name="IS18_INV4_M1" dataDxfId="112">
      <calculatedColumnFormula>VLOOKUP($B4,Raw_Data[#All],EO$2,0)/EO$1</calculatedColumnFormula>
    </tableColumn>
    <tableColumn id="145" xr3:uid="{44A72C8D-B845-484D-A5B6-53583D012CFB}" name="IS18_INV4_M2" dataDxfId="111">
      <calculatedColumnFormula>VLOOKUP($B4,Raw_Data[#All],EP$2,0)/EP$1</calculatedColumnFormula>
    </tableColumn>
    <tableColumn id="146" xr3:uid="{F985D1FB-91E0-4650-A135-13958205EE09}" name="IS19_INV1_M1" dataDxfId="110">
      <calculatedColumnFormula>VLOOKUP($B4,Raw_Data[#All],EQ$2,0)/EQ$1</calculatedColumnFormula>
    </tableColumn>
    <tableColumn id="147" xr3:uid="{CFF897F8-3A08-4A7A-BCFE-577A991F691A}" name="IS19_INV1_M2" dataDxfId="109">
      <calculatedColumnFormula>VLOOKUP($B4,Raw_Data[#All],ER$2,0)/ER$1</calculatedColumnFormula>
    </tableColumn>
    <tableColumn id="148" xr3:uid="{62BDC23C-3E10-4D79-AB0B-4FC9F4A14A0A}" name="IS19_INV2_M1" dataDxfId="108">
      <calculatedColumnFormula>VLOOKUP($B4,Raw_Data[#All],ES$2,0)/ES$1</calculatedColumnFormula>
    </tableColumn>
    <tableColumn id="149" xr3:uid="{E81507DA-9D40-4DC1-AF26-A58F82EEF3DB}" name="IS19_INV2_M2" dataDxfId="107">
      <calculatedColumnFormula>VLOOKUP($B4,Raw_Data[#All],ET$2,0)/ET$1</calculatedColumnFormula>
    </tableColumn>
    <tableColumn id="150" xr3:uid="{EE33B5C6-4DD1-4CB8-83B6-DC2DB09F17B4}" name="IS19_INV3_M1" dataDxfId="106">
      <calculatedColumnFormula>VLOOKUP($B4,Raw_Data[#All],EU$2,0)/EU$1</calculatedColumnFormula>
    </tableColumn>
    <tableColumn id="151" xr3:uid="{95C21584-3246-4B5F-9618-E085AD0008D4}" name="IS19_INV3_M2" dataDxfId="105">
      <calculatedColumnFormula>VLOOKUP($B4,Raw_Data[#All],EV$2,0)/EV$1</calculatedColumnFormula>
    </tableColumn>
    <tableColumn id="152" xr3:uid="{6B3C97A1-8D1D-4E5C-9334-7441C9AE37AE}" name="IS19_INV4_M1" dataDxfId="104">
      <calculatedColumnFormula>VLOOKUP($B4,Raw_Data[#All],EW$2,0)/EW$1</calculatedColumnFormula>
    </tableColumn>
    <tableColumn id="153" xr3:uid="{3B10EABE-370E-4840-A1B6-DB1273A83A36}" name="IS19_INV4_M2" dataDxfId="103">
      <calculatedColumnFormula>VLOOKUP($B4,Raw_Data[#All],EX$2,0)/EX$1</calculatedColumnFormula>
    </tableColumn>
    <tableColumn id="154" xr3:uid="{A825498D-C88C-44F6-AE4F-03050735B90F}" name="IS20_INV1_M1" dataDxfId="102">
      <calculatedColumnFormula>VLOOKUP($B4,Raw_Data[#All],EY$2,0)/EY$1</calculatedColumnFormula>
    </tableColumn>
    <tableColumn id="155" xr3:uid="{E8D6CC89-F7A2-4F1C-9335-81A58A35C9BF}" name="IS20_INV1_M2" dataDxfId="101">
      <calculatedColumnFormula>VLOOKUP($B4,Raw_Data[#All],EZ$2,0)/EZ$1</calculatedColumnFormula>
    </tableColumn>
    <tableColumn id="156" xr3:uid="{505AB5F6-A4A4-4C89-9AE7-3A266A0F5694}" name="IS20_INV2_M1" dataDxfId="100">
      <calculatedColumnFormula>VLOOKUP($B4,Raw_Data[#All],FA$2,0)/FA$1</calculatedColumnFormula>
    </tableColumn>
    <tableColumn id="157" xr3:uid="{9FF90745-4F59-4C3C-9F75-9C7B5D458783}" name="IS20_INV2_M2" dataDxfId="99">
      <calculatedColumnFormula>VLOOKUP($B4,Raw_Data[#All],FB$2,0)/FB$1</calculatedColumnFormula>
    </tableColumn>
    <tableColumn id="158" xr3:uid="{D8F9DB96-3896-4A94-8DF4-19A722F22E24}" name="IS20_INV3_M1" dataDxfId="98">
      <calculatedColumnFormula>VLOOKUP($B4,Raw_Data[#All],FC$2,0)/FC$1</calculatedColumnFormula>
    </tableColumn>
    <tableColumn id="159" xr3:uid="{9CA675B9-01F8-4C0E-8C11-ABF31C5E097A}" name="IS20_INV3_M2" dataDxfId="97">
      <calculatedColumnFormula>VLOOKUP($B4,Raw_Data[#All],FD$2,0)/FD$1</calculatedColumnFormula>
    </tableColumn>
    <tableColumn id="160" xr3:uid="{9C49758C-DE7B-4FC2-BE06-DB64E3CB2E5E}" name="IS20_INV4_M1" dataDxfId="96">
      <calculatedColumnFormula>VLOOKUP($B4,Raw_Data[#All],FE$2,0)/FE$1</calculatedColumnFormula>
    </tableColumn>
    <tableColumn id="161" xr3:uid="{350664EA-4BA3-4E28-AE8B-99575D504B11}" name="IS20_INV4_M2" dataDxfId="95">
      <calculatedColumnFormula>VLOOKUP($B4,Raw_Data[#All],FF$2,0)/FF$1</calculatedColumnFormula>
    </tableColumn>
    <tableColumn id="162" xr3:uid="{7384767E-2ADA-4774-82F3-956122C6704B}" name="Plant" dataDxfId="94">
      <calculatedColumnFormula>VLOOKUP($B4,Raw_Data[#All],FG$2,0)/FG$1</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1DE6-271B-4C2B-9335-105D46643EA1}" name="Table7" displayName="Table7" ref="A1:U31" totalsRowShown="0" headerRowDxfId="93" headerRowBorderDxfId="92" tableBorderDxfId="91" totalsRowBorderDxfId="90">
  <autoFilter ref="A1:U31" xr:uid="{48111DE6-271B-4C2B-9335-105D46643EA1}"/>
  <tableColumns count="21">
    <tableColumn id="1" xr3:uid="{CDABD077-026C-4DF2-BF64-84864FF11F46}" name="Sr. No" dataDxfId="89"/>
    <tableColumn id="2" xr3:uid="{3AD5AF20-A138-41CE-B1D8-0768AC32149D}" name="Month" dataDxfId="88"/>
    <tableColumn id="3" xr3:uid="{0830B468-79A0-4FAE-9C1E-A4D2B1FE3AFC}" name="Date" dataDxfId="87"/>
    <tableColumn id="4" xr3:uid="{D102C0FC-C5E4-4D8A-AF13-933BB8979850}" name="Plant Name" dataDxfId="86"/>
    <tableColumn id="5" xr3:uid="{24621AE0-169E-4112-8F41-F087DE11534E}" name="Categoty" dataDxfId="85"/>
    <tableColumn id="6" xr3:uid="{5C7B291C-8E03-439F-BE54-B3808397C824}" name="Equipment Name" dataDxfId="84"/>
    <tableColumn id="7" xr3:uid="{240A69C9-D06E-4DD8-9693-89D72B21119D}" name="Inverter No." dataDxfId="83"/>
    <tableColumn id="8" xr3:uid="{0441720F-06CC-42DE-8B67-4BE2CF51BB42}" name="From" dataDxfId="82"/>
    <tableColumn id="9" xr3:uid="{DE5E32C7-2ADA-4D06-BD9F-E6C5A8BD7BC2}" name="To" dataDxfId="81"/>
    <tableColumn id="10" xr3:uid="{06366FDD-9D82-411B-B642-C85A4270222A}" name="Duration in MIN" dataDxfId="80">
      <calculatedColumnFormula>I2-H2</calculatedColumnFormula>
    </tableColumn>
    <tableColumn id="11" xr3:uid="{04BAB344-27A2-4B42-B006-FC043C5FBF1E}" name="Total Breakdown Hrs." dataDxfId="79">
      <calculatedColumnFormula>J2*24</calculatedColumnFormula>
    </tableColumn>
    <tableColumn id="12" xr3:uid="{589ABD34-8114-47DB-8155-50973D5A989F}" name="Avg POA During BD time" dataDxfId="78"/>
    <tableColumn id="13" xr3:uid="{66A92D6B-45CA-4A91-B577-5C7959818811}" name="Lost POA" dataDxfId="77"/>
    <tableColumn id="14" xr3:uid="{E5B478F5-C4F2-4046-B231-8CFBD06E8B3C}" name="Total POA " dataDxfId="76"/>
    <tableColumn id="15" xr3:uid="{EFFA9198-172D-4E56-B880-85823A6CB351}" name="Net POA" dataDxfId="75">
      <calculatedColumnFormula>(N2-M2)</calculatedColumnFormula>
    </tableColumn>
    <tableColumn id="16" xr3:uid="{42FAECB1-0B30-4754-9FBF-5741D23A81D1}" name="Loss of Capacity in KWp" dataDxfId="74"/>
    <tableColumn id="17" xr3:uid="{A171FBC7-9B9A-42C7-BD4F-B974E5F07BCC}" name="Estimated PR % (Pvsyst)" dataDxfId="73"/>
    <tableColumn id="18" xr3:uid="{50D950DD-D454-48F2-8CCE-8C8D6BFB8964}" name="Loss of Generation kWh" dataDxfId="72" dataCellStyle="Comma">
      <calculatedColumnFormula>(M2*P2*Q2)/100</calculatedColumnFormula>
    </tableColumn>
    <tableColumn id="19" xr3:uid="{B08983EB-3E34-413B-BB44-38EE31797CE2}" name="Remark" dataDxfId="71"/>
    <tableColumn id="20" xr3:uid="{C27117DA-BCF1-4BD0-A08C-74AE52E87638}" name="Current Load befor Load Sheeding (AC MW)" dataDxfId="70"/>
    <tableColumn id="21" xr3:uid="{2BBE97C4-37C3-423E-8C07-907F85418476}" name="Load to be maintain (AC Mw)" dataDxfId="69"/>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5C18DF-EBD4-4B1B-8C31-61D56338D490}" name="Modelling" displayName="Modelling" ref="A1:AN49" totalsRowShown="0" headerRowDxfId="68" dataDxfId="66" headerRowBorderDxfId="67" tableBorderDxfId="65" totalsRowBorderDxfId="64">
  <tableColumns count="40">
    <tableColumn id="1" xr3:uid="{1AC1E8C2-5438-4CF2-A417-103BE071B753}" name="Sr. No." dataDxfId="63"/>
    <tableColumn id="2" xr3:uid="{EA1A003E-6F72-46E7-BBC3-053A901384F6}" name="Month Name" dataDxfId="62"/>
    <tableColumn id="3" xr3:uid="{135E9D18-45A5-41D8-8AA5-0691A43E5326}" name="Month Number" dataDxfId="61"/>
    <tableColumn id="4" xr3:uid="{695C8A96-313D-47D7-A7A1-9DDEC9E6D36C}" name="Month" dataDxfId="60"/>
    <tableColumn id="5" xr3:uid="{183ADCC7-EA05-47A8-9A34-6F784F45AE7C}" name="CY" dataDxfId="59">
      <calculatedColumnFormula>YEAR(D2)</calculatedColumnFormula>
    </tableColumn>
    <tableColumn id="6" xr3:uid="{EDB92A13-C6CA-434B-978C-2670A90239B4}" name="FY" dataDxfId="58"/>
    <tableColumn id="7" xr3:uid="{1CB5C6D3-1EE6-4F81-AA13-F95580FA3686}" name="No. of Days in Month" dataDxfId="57">
      <calculatedColumnFormula>DAY(EOMONTH(D2,0))</calculatedColumnFormula>
    </tableColumn>
    <tableColumn id="8" xr3:uid="{3625A9DF-971F-4B64-8E02-949804BAE37A}" name="GHI" dataDxfId="56"/>
    <tableColumn id="9" xr3:uid="{D96AF064-E36F-4F01-9EE4-32F1C555CD01}" name="POA" dataDxfId="55"/>
    <tableColumn id="10" xr3:uid="{FBF415E4-4C04-447F-BCB6-9EDC4950389D}" name="WS" dataDxfId="54"/>
    <tableColumn id="11" xr3:uid="{E903B603-75FF-4F9A-A05A-5AE663F1881E}" name="Tamb" dataDxfId="53"/>
    <tableColumn id="12" xr3:uid="{E7C25FB0-BDEE-464F-A42F-4645F87DE48F}" name="Tmod" dataDxfId="52"/>
    <tableColumn id="13" xr3:uid="{008C8612-9D31-466C-A94F-948ADE85DA03}" name="Egrid (MWh)" dataDxfId="51"/>
    <tableColumn id="14" xr3:uid="{4BA923F0-FF8C-4FF3-B383-11E69BF6A8A2}" name="Bugt_Capacity" dataDxfId="50"/>
    <tableColumn id="15" xr3:uid="{F29A0958-5301-4224-A9EF-D8EBDA278465}" name="PR" dataDxfId="49">
      <calculatedColumnFormula>IFERROR(M2/I2/N2,"")</calculatedColumnFormula>
    </tableColumn>
    <tableColumn id="16" xr3:uid="{AFE82C6F-3DC6-43BD-9B30-BF32F3BCB3CB}" name="Daily POA" dataDxfId="48">
      <calculatedColumnFormula>IFERROR(I2/G2,"")</calculatedColumnFormula>
    </tableColumn>
    <tableColumn id="17" xr3:uid="{5B74D623-0C5E-45CD-BA31-701243FEC05D}" name="Days Operated" dataDxfId="47">
      <calculatedColumnFormula>COUNTIFS('Daily KPI'!$D:$D,D2,'Daily KPI'!$K:$K,"&gt;0")</calculatedColumnFormula>
    </tableColumn>
    <tableColumn id="18" xr3:uid="{94D0E3FD-567C-44BC-B259-F04A3CE5B2C3}" name="MTD POA" dataDxfId="46">
      <calculatedColumnFormula>I2/G2*Q2</calculatedColumnFormula>
    </tableColumn>
    <tableColumn id="27" xr3:uid="{192A9A22-D07A-488C-BBCF-DFE8BB13CBED}" name="YTD POA" dataDxfId="45">
      <calculatedColumnFormula>SUMIF($F$2:F2,F2,$R$2:R2)</calculatedColumnFormula>
    </tableColumn>
    <tableColumn id="19" xr3:uid="{DDCB7D06-0645-45BD-9DAF-69743D57DCC2}" name="Daily Energy (MWh)" dataDxfId="44">
      <calculatedColumnFormula>M2/G2</calculatedColumnFormula>
    </tableColumn>
    <tableColumn id="20" xr3:uid="{4DB78850-02A2-4B93-8175-668270FB2E43}" name="MTD Energy (MWh)" dataDxfId="43">
      <calculatedColumnFormula>M2/G2*Q2</calculatedColumnFormula>
    </tableColumn>
    <tableColumn id="28" xr3:uid="{155D225D-2EBA-48BF-96F5-E8C98E77E8F8}" name="YTD Energy (MWh)" dataDxfId="42">
      <calculatedColumnFormula>SUMIF($F$2:F2,F2,$U$2:U2)</calculatedColumnFormula>
    </tableColumn>
    <tableColumn id="38" xr3:uid="{ADB0CE05-2E2B-46D5-B62F-5291BE868E06}" name="Bugt CUF (%)" dataDxfId="41" dataCellStyle="Percent">
      <calculatedColumnFormula>IFERROR(T2/(24*N2),"")</calculatedColumnFormula>
    </tableColumn>
    <tableColumn id="37" xr3:uid="{4A98CD08-E0CB-41AC-9EDE-DC801E50C7CD}" name="Bugt CUF (%) MTD" dataDxfId="40" dataCellStyle="Percent">
      <calculatedColumnFormula>IFERROR(U2/(24*N2*Q2),"")</calculatedColumnFormula>
    </tableColumn>
    <tableColumn id="36" xr3:uid="{C0C818C7-A855-4540-9F0A-B2FB5CA143D9}" name="Bugt CUF (%)YTD" dataDxfId="39" dataCellStyle="Percent">
      <calculatedColumnFormula>IFERROR(V2/(24*N2*SUMIFS($Q:$Q,$F:$F,$F2,$D:$D,"&lt;="&amp;D2)),"")</calculatedColumnFormula>
    </tableColumn>
    <tableColumn id="21" xr3:uid="{10C84188-E547-43BA-B05C-F3AA7026D771}" name="Ave. Cap MTD" dataDxfId="38">
      <calculatedColumnFormula>IFERROR(AVERAGEIF('Daily KPI'!$D:$D,Modelling[[#This Row],[Month]],'Daily KPI'!AB:AB),"")</calculatedColumnFormula>
    </tableColumn>
    <tableColumn id="29" xr3:uid="{92821935-AB5F-42EF-90E9-8AF33BBFFCB3}" name="Ave. Cap YTD" dataDxfId="37">
      <calculatedColumnFormula>IFERROR(AVERAGEIF($F$2:F2,F2,$Z$2:Z2),"")</calculatedColumnFormula>
    </tableColumn>
    <tableColumn id="22" xr3:uid="{5B43E074-0984-485E-8683-388429FEB157}" name="CC Energy MTD" dataDxfId="36"/>
    <tableColumn id="31" xr3:uid="{390C0313-E7BD-41F6-BF49-7E0501477403}" name="WS MTD" dataDxfId="35"/>
    <tableColumn id="23" xr3:uid="{B831E298-F185-45A3-963C-3A2BE36D45CF}" name="WS YTD" dataDxfId="34"/>
    <tableColumn id="24" xr3:uid="{66724C03-F6F4-41EB-9F2F-E857B5A6957E}" name="Bugt PA" dataDxfId="33"/>
    <tableColumn id="25" xr3:uid="{70E98DAF-763C-4887-A051-444E5A190D95}" name="Bugt EGA" dataDxfId="32"/>
    <tableColumn id="35" xr3:uid="{29587FFD-8B38-4CAA-B024-BFB776A64B95}" name="Bugt TA" dataDxfId="31" dataCellStyle="Percent"/>
    <tableColumn id="26" xr3:uid="{F2E2730B-AA83-4EF3-BA05-B0A9B8BA6B6F}" name="Bugt MA" dataDxfId="30" dataCellStyle="Percent"/>
    <tableColumn id="30" xr3:uid="{2A5C7CE8-51EC-49B9-B214-99C3841E21AF}" name="Bugt IGA" dataDxfId="29" dataCellStyle="Percent"/>
    <tableColumn id="32" xr3:uid="{015948DE-B27E-4A98-BC50-40A09C11A46A}" name="Corelation" dataDxfId="28" dataCellStyle="Percent"/>
    <tableColumn id="33" xr3:uid="{3A5D5E16-9778-47A3-B439-177FF497A351}" name="Bugt Line loss" dataDxfId="27" dataCellStyle="Percent"/>
    <tableColumn id="34" xr3:uid="{9FC2F31A-B8FC-401D-966B-493860BEEF49}" name="Bugt Reactive Power" dataDxfId="26" dataCellStyle="Percent"/>
    <tableColumn id="39" xr3:uid="{F4789E93-3BF9-4832-8392-A4D4F17AEEE0}" name="CC*Bugt (MTD)" dataDxfId="25"/>
    <tableColumn id="40" xr3:uid="{84BD7A53-9311-4A02-AAAA-16A019B0E4A4}" name="CC*Bugt (YTD)" dataDxfId="2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3B663E-4709-4B4D-98A9-A7F82380AE8B}" name="CSSPL_PVS" displayName="CSSPL_PVS" ref="C1:T313" totalsRowShown="0" headerRowDxfId="23" dataDxfId="21" headerRowBorderDxfId="22" tableBorderDxfId="20" totalsRowBorderDxfId="19">
  <autoFilter ref="C1:T313" xr:uid="{A99E98B8-0764-497E-8208-84F518ED00E1}"/>
  <tableColumns count="18">
    <tableColumn id="1" xr3:uid="{70D0C158-EA74-4248-A5AC-156487BE6CCB}" name="Year Number" dataDxfId="18">
      <calculatedColumnFormula>CONCATENATE("Year-",B2)</calculatedColumnFormula>
    </tableColumn>
    <tableColumn id="2" xr3:uid="{F4BD5333-AF15-49E1-BC17-F34F50EB45F0}" name="Month" dataDxfId="17"/>
    <tableColumn id="3" xr3:uid="{12BA1E55-0960-4512-865B-B3861E232B45}" name="POA(kWh/m2)" dataDxfId="16"/>
    <tableColumn id="4" xr3:uid="{9B63ADCF-34E9-4A54-AAD5-1602F150BBC5}" name="GHI (kWh/m2)" dataDxfId="15"/>
    <tableColumn id="5" xr3:uid="{FB3AAD38-4DCD-450B-B971-1758CC2A070A}" name="Budgeted Energy (MWh)" dataDxfId="14"/>
    <tableColumn id="6" xr3:uid="{1E10F34A-03AC-475A-8589-8F8965854DB5}" name="Tmod" dataDxfId="13"/>
    <tableColumn id="8" xr3:uid="{96B807DD-5BDB-4624-B526-E9379C824510}" name="Irradiationce Losses (IAM+NearShadding+Solining)" dataDxfId="12"/>
    <tableColumn id="9" xr3:uid="{123109B9-56D6-431A-8E8F-3555C592CC78}" name="Bifacial Gain" dataDxfId="11"/>
    <tableColumn id="10" xr3:uid="{2DE0E915-341F-43DB-BC90-9387CD0BD6BE}" name="Temperature Loss" dataDxfId="10"/>
    <tableColumn id="11" xr3:uid="{355093CD-6E98-4EAD-9BB5-43D592D944FB}" name="Mismatch Loss" dataDxfId="9"/>
    <tableColumn id="12" xr3:uid="{D147592D-F585-41A2-9F48-DA4F86B90FE5}" name="DC Ohmic Loss" dataDxfId="8"/>
    <tableColumn id="13" xr3:uid="{9F38791C-634B-4047-AE19-AF2A1D42A7BC}" name="Inverter Conversion Loss" dataDxfId="7"/>
    <tableColumn id="14" xr3:uid="{E0FB718C-3E84-47BD-90CE-99569007C286}" name="MPPT Mismatch Losse" dataDxfId="6"/>
    <tableColumn id="15" xr3:uid="{731379D6-2769-4830-9D67-A9AC05F2D7E6}" name="AC Ohmic Loss" dataDxfId="5"/>
    <tableColumn id="16" xr3:uid="{46203484-169D-428F-91BB-36F21B2C1904}" name="Clipping Loss" dataDxfId="4"/>
    <tableColumn id="17" xr3:uid="{CB074A08-DAD0-48B2-B0B9-0FBB2E5F7E52}" name="Plant Uptime " dataDxfId="3"/>
    <tableColumn id="7" xr3:uid="{6A4EC80B-829E-4C23-B45A-5A02D2D2E349}" name="Grid Uptime " dataDxfId="2"/>
    <tableColumn id="18" xr3:uid="{B00F4FCA-D2C9-4B53-9B1B-89EB53EC19A1}" name="Tracker Uptime"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6" dT="2024-02-01T06:38:42.55" personId="{923F38DE-B2AC-4849-BAEB-DBDA015B1E02}" id="{053D2DFA-2BE6-47F0-86B9-0C7EDDDC7D37}">
    <text>67.22% correct to convert to view factor rear</text>
  </threadedComment>
  <threadedComment ref="H27" dT="2024-02-01T06:38:42.55" personId="{923F38DE-B2AC-4849-BAEB-DBDA015B1E02}" id="{949C410A-CA06-438A-890F-1F38A38F1860}">
    <text>67.22% correct to convert to view factor rear</text>
  </threadedComment>
  <threadedComment ref="H28" dT="2024-02-01T06:38:42.55" personId="{923F38DE-B2AC-4849-BAEB-DBDA015B1E02}" id="{CDFE586C-015D-4A2D-8F97-2F45CD7ED526}">
    <text>67.22% correct to convert to view factor rear</text>
  </threadedComment>
  <threadedComment ref="H29" dT="2024-02-01T06:38:42.55" personId="{923F38DE-B2AC-4849-BAEB-DBDA015B1E02}" id="{EFCBDEA6-B50A-4DDB-954F-4AF2C1B518CD}">
    <text>67.22% correct to convert to view factor rear</text>
  </threadedComment>
  <threadedComment ref="H30" dT="2024-02-01T06:38:42.55" personId="{923F38DE-B2AC-4849-BAEB-DBDA015B1E02}" id="{F3939EFE-BCCD-4C73-B842-8E7B4D147395}">
    <text>67.22% correct to convert to view factor rear</text>
  </threadedComment>
  <threadedComment ref="H31" dT="2024-02-01T06:38:42.55" personId="{923F38DE-B2AC-4849-BAEB-DBDA015B1E02}" id="{34552020-6FA0-47E1-95D6-220731662ECA}">
    <text>67.22% correct to convert to view factor rear</text>
  </threadedComment>
  <threadedComment ref="H32" dT="2024-02-01T06:38:42.55" personId="{923F38DE-B2AC-4849-BAEB-DBDA015B1E02}" id="{3427B34C-E5B6-4896-9EE1-5E14949D5401}">
    <text>67.22% correct to convert to view factor rear</text>
  </threadedComment>
  <threadedComment ref="H33" dT="2024-02-01T06:38:42.55" personId="{923F38DE-B2AC-4849-BAEB-DBDA015B1E02}" id="{4356F821-16C4-4C33-9555-F9EEC5EE383B}">
    <text>67.22% correct to convert to view factor rear</text>
  </threadedComment>
  <threadedComment ref="H34" dT="2024-02-01T06:38:42.55" personId="{923F38DE-B2AC-4849-BAEB-DBDA015B1E02}" id="{D96283C0-37F1-486D-AD0C-01227C50D9F0}">
    <text>67.22% correct to convert to view factor rear</text>
  </threadedComment>
  <threadedComment ref="H35" dT="2024-02-01T06:38:42.55" personId="{923F38DE-B2AC-4849-BAEB-DBDA015B1E02}" id="{179805DB-20C3-41BB-BE88-D045D9BD0D66}">
    <text>67.22% correct to convert to view factor rear</text>
  </threadedComment>
  <threadedComment ref="H36" dT="2024-02-01T06:38:42.55" personId="{923F38DE-B2AC-4849-BAEB-DBDA015B1E02}" id="{7FB46635-A371-4654-9958-BCE101FED78F}">
    <text>67.22% correct to convert to view factor rear</text>
  </threadedComment>
  <threadedComment ref="H37" dT="2024-02-01T06:38:42.55" personId="{923F38DE-B2AC-4849-BAEB-DBDA015B1E02}" id="{43E2D186-12BC-4103-A4C3-FBE1E9EC55E9}">
    <text>67.22% correct to convert to view factor rear</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38B95-770F-468A-9D50-7C8A91398BDD}">
  <dimension ref="A1:I29"/>
  <sheetViews>
    <sheetView zoomScale="84" zoomScaleNormal="84" workbookViewId="0">
      <selection activeCell="E12" sqref="E12"/>
    </sheetView>
  </sheetViews>
  <sheetFormatPr defaultColWidth="8.453125" defaultRowHeight="15.5"/>
  <cols>
    <col min="1" max="1" width="14.453125" style="156" customWidth="1"/>
    <col min="2" max="2" width="23.453125" style="156" bestFit="1" customWidth="1"/>
    <col min="3" max="5" width="13.81640625" style="156" customWidth="1"/>
    <col min="6" max="6" width="99.81640625" style="156" bestFit="1" customWidth="1"/>
    <col min="7" max="16384" width="8.453125" style="156"/>
  </cols>
  <sheetData>
    <row r="1" spans="1:9">
      <c r="A1" s="267" t="s">
        <v>0</v>
      </c>
      <c r="B1" s="268"/>
      <c r="C1" s="268"/>
      <c r="D1" s="268"/>
      <c r="E1" s="268"/>
      <c r="F1" s="269"/>
    </row>
    <row r="2" spans="1:9">
      <c r="A2" s="157" t="s">
        <v>1</v>
      </c>
      <c r="B2" s="270">
        <v>45839</v>
      </c>
      <c r="C2" s="271"/>
      <c r="D2" s="271"/>
      <c r="E2" s="271"/>
      <c r="F2" s="272"/>
    </row>
    <row r="3" spans="1:9">
      <c r="A3" s="157" t="s">
        <v>2</v>
      </c>
      <c r="B3" s="273">
        <v>45858</v>
      </c>
      <c r="C3" s="274"/>
      <c r="D3" s="274"/>
      <c r="E3" s="274"/>
      <c r="F3" s="275"/>
    </row>
    <row r="4" spans="1:9">
      <c r="A4" s="157" t="s">
        <v>3</v>
      </c>
      <c r="B4" s="209">
        <v>2026</v>
      </c>
      <c r="C4" s="207"/>
      <c r="D4" s="207"/>
      <c r="E4" s="207"/>
      <c r="F4" s="208"/>
    </row>
    <row r="5" spans="1:9">
      <c r="A5" s="157" t="s">
        <v>4</v>
      </c>
      <c r="B5" s="264">
        <v>45748</v>
      </c>
      <c r="C5" s="265"/>
      <c r="D5" s="265"/>
      <c r="E5" s="265"/>
      <c r="F5" s="266"/>
    </row>
    <row r="6" spans="1:9">
      <c r="A6" s="157" t="s">
        <v>5</v>
      </c>
      <c r="B6" s="264">
        <v>46112</v>
      </c>
      <c r="C6" s="265"/>
      <c r="D6" s="265"/>
      <c r="E6" s="265"/>
      <c r="F6" s="266"/>
    </row>
    <row r="7" spans="1:9" ht="2.15" customHeight="1">
      <c r="A7" s="158"/>
      <c r="B7" s="159"/>
      <c r="C7" s="159"/>
      <c r="D7" s="159"/>
      <c r="E7" s="159"/>
      <c r="F7" s="159"/>
    </row>
    <row r="8" spans="1:9">
      <c r="A8" s="160" t="s">
        <v>6</v>
      </c>
      <c r="B8" s="160" t="s">
        <v>7</v>
      </c>
      <c r="C8" s="160" t="s">
        <v>8</v>
      </c>
      <c r="D8" s="160" t="s">
        <v>9</v>
      </c>
      <c r="E8" s="160" t="s">
        <v>10</v>
      </c>
      <c r="F8" s="160" t="s">
        <v>11</v>
      </c>
    </row>
    <row r="9" spans="1:9">
      <c r="A9" s="261">
        <v>1</v>
      </c>
      <c r="B9" s="158" t="s">
        <v>12</v>
      </c>
      <c r="C9" s="161">
        <f>_xlfn.XLOOKUP($B$3,'Daily KPI'!$A:$A,'Daily KPI'!$AD:$AD)/1000</f>
        <v>1533.6209517254881</v>
      </c>
      <c r="D9" s="162">
        <f>_xlfn.XLOOKUP($B$3,'Daily KPI'!$A:$A,'Daily KPI'!$AA:$AA)/1000</f>
        <v>704.9999999999651</v>
      </c>
      <c r="E9" s="163">
        <f>-(C9-D9)/C9</f>
        <v>-0.54030361986984821</v>
      </c>
      <c r="F9" s="244" t="s">
        <v>2696</v>
      </c>
    </row>
    <row r="10" spans="1:9">
      <c r="A10" s="262"/>
      <c r="B10" s="158" t="s">
        <v>13</v>
      </c>
      <c r="C10" s="161">
        <f>Monthly_KPI!$E$4</f>
        <v>30672.419034509763</v>
      </c>
      <c r="D10" s="164">
        <f>Monthly_KPI!$F$4</f>
        <v>27812.601999999973</v>
      </c>
      <c r="E10" s="163">
        <f t="shared" ref="E10:E26" si="0">-(C10-D10)/C10</f>
        <v>-9.3237414085018483E-2</v>
      </c>
      <c r="F10" s="245"/>
      <c r="I10" s="165"/>
    </row>
    <row r="11" spans="1:9">
      <c r="A11" s="263"/>
      <c r="B11" s="158" t="s">
        <v>14</v>
      </c>
      <c r="C11" s="161">
        <f>Annual_KPI!$E$4</f>
        <v>202318.06020673888</v>
      </c>
      <c r="D11" s="164">
        <f>Annual_KPI!$F$4</f>
        <v>191995.88200000004</v>
      </c>
      <c r="E11" s="163">
        <f t="shared" si="0"/>
        <v>-5.1019558986435093E-2</v>
      </c>
      <c r="F11" s="245"/>
    </row>
    <row r="12" spans="1:9">
      <c r="A12" s="261">
        <v>2</v>
      </c>
      <c r="B12" s="158" t="s">
        <v>15</v>
      </c>
      <c r="C12" s="166">
        <f>_xlfn.XLOOKUP($B$3,'Daily KPI'!$A:$A,'Daily KPI'!$AF:$AF)</f>
        <v>0.19069707329818469</v>
      </c>
      <c r="D12" s="167">
        <f>D9/(24*'Modelling New'!$AP$1)</f>
        <v>8.7662754296589721E-2</v>
      </c>
      <c r="E12" s="163">
        <f t="shared" si="0"/>
        <v>-0.54030361986984821</v>
      </c>
      <c r="F12" s="246"/>
    </row>
    <row r="13" spans="1:9">
      <c r="A13" s="262"/>
      <c r="B13" s="158" t="s">
        <v>16</v>
      </c>
      <c r="C13" s="166">
        <f>Monthly_KPI!$I$4</f>
        <v>0.19069707329818469</v>
      </c>
      <c r="D13" s="167">
        <f>Monthly_KPI!$J$4</f>
        <v>0.17291697131028072</v>
      </c>
      <c r="E13" s="163">
        <f t="shared" si="0"/>
        <v>-9.3237414085018511E-2</v>
      </c>
      <c r="F13" s="245"/>
    </row>
    <row r="14" spans="1:9">
      <c r="A14" s="263"/>
      <c r="B14" s="158" t="s">
        <v>17</v>
      </c>
      <c r="C14" s="166">
        <f>Annual_KPI!$I$4</f>
        <v>0.22664057762017603</v>
      </c>
      <c r="D14" s="167">
        <f>Annual_KPI!$J$4</f>
        <v>0.21507747530156374</v>
      </c>
      <c r="E14" s="163">
        <f t="shared" si="0"/>
        <v>-5.1019558986435107E-2</v>
      </c>
      <c r="F14" s="245"/>
    </row>
    <row r="15" spans="1:9">
      <c r="A15" s="261">
        <v>3</v>
      </c>
      <c r="B15" s="173" t="s">
        <v>18</v>
      </c>
      <c r="C15" s="213">
        <f>_xlfn.XLOOKUP($B$3,'Daily KPI'!$A:$A,'Daily KPI'!$AE:$AE)</f>
        <v>0.84001552713942795</v>
      </c>
      <c r="D15" s="214">
        <f>D9/D18/'Modelling New'!$AP$1</f>
        <v>0.89478425337735989</v>
      </c>
      <c r="E15" s="175">
        <f t="shared" si="0"/>
        <v>6.5199659373488331E-2</v>
      </c>
      <c r="F15" s="245"/>
    </row>
    <row r="16" spans="1:9">
      <c r="A16" s="262"/>
      <c r="B16" s="158" t="s">
        <v>19</v>
      </c>
      <c r="C16" s="213">
        <f>Monthly_KPI!$G$4</f>
        <v>0.84001552713942818</v>
      </c>
      <c r="D16" s="215">
        <f>Monthly_KPI!$H$4</f>
        <v>0.83472510837766956</v>
      </c>
      <c r="E16" s="163">
        <f t="shared" si="0"/>
        <v>-6.2980011569244492E-3</v>
      </c>
      <c r="F16" s="245"/>
    </row>
    <row r="17" spans="1:6">
      <c r="A17" s="263"/>
      <c r="B17" s="158" t="s">
        <v>20</v>
      </c>
      <c r="C17" s="213">
        <f>Annual_KPI!$G$4</f>
        <v>0.82082242648577863</v>
      </c>
      <c r="D17" s="215">
        <f>Annual_KPI!$H$4</f>
        <v>0.79309288690780755</v>
      </c>
      <c r="E17" s="163">
        <f t="shared" si="0"/>
        <v>-3.3782629084210966E-2</v>
      </c>
      <c r="F17" s="245"/>
    </row>
    <row r="18" spans="1:6">
      <c r="A18" s="261">
        <v>4</v>
      </c>
      <c r="B18" s="158" t="s">
        <v>21</v>
      </c>
      <c r="C18" s="211">
        <f>_xlfn.XLOOKUP($B$3,'Daily KPI'!$A:$A,'Daily KPI'!$AC:$AC)</f>
        <v>5.4483870967741934</v>
      </c>
      <c r="D18" s="212">
        <f>_xlfn.XLOOKUP($B$3,'Daily KPI'!$A:$A,'Daily KPI'!$I:$I)</f>
        <v>2.3512998749999987</v>
      </c>
      <c r="E18" s="163">
        <f t="shared" si="0"/>
        <v>-0.56844111234458283</v>
      </c>
      <c r="F18" s="245"/>
    </row>
    <row r="19" spans="1:6">
      <c r="A19" s="262"/>
      <c r="B19" s="158" t="s">
        <v>22</v>
      </c>
      <c r="C19" s="211">
        <f>Monthly_KPI!$C$4</f>
        <v>108.96774193548387</v>
      </c>
      <c r="D19" s="212">
        <f>Monthly_KPI!$D$4</f>
        <v>99.434107583333301</v>
      </c>
      <c r="E19" s="163">
        <f t="shared" si="0"/>
        <v>-8.7490427743240881E-2</v>
      </c>
      <c r="F19" s="247"/>
    </row>
    <row r="20" spans="1:6">
      <c r="A20" s="263"/>
      <c r="B20" s="158" t="s">
        <v>23</v>
      </c>
      <c r="C20" s="211">
        <f>Annual_KPI!$C$4</f>
        <v>735.56774193548392</v>
      </c>
      <c r="D20" s="212">
        <f>Annual_KPI!$D$4</f>
        <v>722.44550879444444</v>
      </c>
      <c r="E20" s="163">
        <f t="shared" si="0"/>
        <v>-1.7839598439310607E-2</v>
      </c>
      <c r="F20" s="247"/>
    </row>
    <row r="21" spans="1:6" ht="15.75" customHeight="1">
      <c r="A21" s="261">
        <v>5</v>
      </c>
      <c r="B21" s="158" t="s">
        <v>24</v>
      </c>
      <c r="C21" s="168">
        <f>_xlfn.XLOOKUP($B$3,'Daily KPI'!$A:$A,'Daily KPI'!$AG:$AG)</f>
        <v>0.99750000000000005</v>
      </c>
      <c r="D21" s="174">
        <f>_xlfn.XLOOKUP($B$3,'Daily KPI'!$A:$A,'Daily KPI'!$O:$O)</f>
        <v>0.9995017058555471</v>
      </c>
      <c r="E21" s="175">
        <f t="shared" si="0"/>
        <v>2.0067226622025487E-3</v>
      </c>
      <c r="F21" s="245"/>
    </row>
    <row r="22" spans="1:6">
      <c r="A22" s="262"/>
      <c r="B22" s="158" t="s">
        <v>25</v>
      </c>
      <c r="C22" s="168">
        <f>Monthly_KPI!$M$4</f>
        <v>0.99750000000000005</v>
      </c>
      <c r="D22" s="167">
        <f>Monthly_KPI!$N$4</f>
        <v>0.99438950906621704</v>
      </c>
      <c r="E22" s="163">
        <f t="shared" si="0"/>
        <v>-3.1182866504090392E-3</v>
      </c>
      <c r="F22" s="248"/>
    </row>
    <row r="23" spans="1:6">
      <c r="A23" s="263"/>
      <c r="B23" s="158" t="s">
        <v>26</v>
      </c>
      <c r="C23" s="168">
        <f>Annual_KPI!$M$4</f>
        <v>0.99750000000000005</v>
      </c>
      <c r="D23" s="167">
        <f>Annual_KPI!$N$4</f>
        <v>0.99658127227795124</v>
      </c>
      <c r="E23" s="163">
        <f t="shared" si="0"/>
        <v>-9.2103029779330085E-4</v>
      </c>
      <c r="F23" s="245"/>
    </row>
    <row r="24" spans="1:6">
      <c r="A24" s="261">
        <v>6</v>
      </c>
      <c r="B24" s="158" t="s">
        <v>27</v>
      </c>
      <c r="C24" s="168">
        <f>_xlfn.XLOOKUP($B$3,'Daily KPI'!$A:$A,'Daily KPI'!$AH:$AH)</f>
        <v>0.99750000000000005</v>
      </c>
      <c r="D24" s="167">
        <f>_xlfn.XLOOKUP($B$3,'Daily KPI'!$A:$A,'Daily KPI'!$R:$R)</f>
        <v>1</v>
      </c>
      <c r="E24" s="163">
        <f t="shared" si="0"/>
        <v>2.5062656641603475E-3</v>
      </c>
      <c r="F24" s="245"/>
    </row>
    <row r="25" spans="1:6">
      <c r="A25" s="262"/>
      <c r="B25" s="158" t="s">
        <v>28</v>
      </c>
      <c r="C25" s="168">
        <f>Monthly_KPI!$K$4</f>
        <v>0.99750000000000005</v>
      </c>
      <c r="D25" s="167">
        <f>Monthly_KPI!$L$4</f>
        <v>0.99621817866597873</v>
      </c>
      <c r="E25" s="163">
        <f t="shared" si="0"/>
        <v>-1.2850339188183728E-3</v>
      </c>
      <c r="F25" s="245"/>
    </row>
    <row r="26" spans="1:6">
      <c r="A26" s="263"/>
      <c r="B26" s="158" t="s">
        <v>29</v>
      </c>
      <c r="C26" s="168">
        <f>Annual_KPI!$K$4</f>
        <v>0.99750000000000005</v>
      </c>
      <c r="D26" s="167">
        <f>Annual_KPI!$L$4</f>
        <v>0.98041070629951599</v>
      </c>
      <c r="E26" s="163">
        <f t="shared" si="0"/>
        <v>-1.7132124010510341E-2</v>
      </c>
      <c r="F26" s="245" t="s">
        <v>2585</v>
      </c>
    </row>
    <row r="27" spans="1:6">
      <c r="A27" s="261">
        <v>7</v>
      </c>
      <c r="B27" s="158" t="s">
        <v>30</v>
      </c>
      <c r="C27" s="217">
        <f>C15</f>
        <v>0.84001552713942795</v>
      </c>
      <c r="D27" s="216">
        <f>_xlfn.XLOOKUP($B$3,'Daily KPI'!$A:$A,'Daily KPI'!$V:$V)</f>
        <v>0.87786814773260136</v>
      </c>
      <c r="E27" s="169">
        <f>IFERROR(-(C27-D27)/C27,"")</f>
        <v>4.5061810609710942E-2</v>
      </c>
      <c r="F27" s="245" t="s">
        <v>2637</v>
      </c>
    </row>
    <row r="28" spans="1:6">
      <c r="A28" s="262"/>
      <c r="B28" s="158" t="s">
        <v>31</v>
      </c>
      <c r="C28" s="217">
        <f>C16</f>
        <v>0.84001552713942818</v>
      </c>
      <c r="D28" s="215">
        <f>VLOOKUP($B$2,Monthly_KPI!$A$4:$P$4,15,0)/VLOOKUP($B$2,Monthly_KPI!$A$4:$P$4,16,0)</f>
        <v>0.83708366295149239</v>
      </c>
      <c r="E28" s="163">
        <f>IFERROR(-(C28-D28)/C28,"")</f>
        <v>-3.4902499932589282E-3</v>
      </c>
      <c r="F28" s="249"/>
    </row>
    <row r="29" spans="1:6">
      <c r="A29" s="263"/>
      <c r="B29" s="158" t="s">
        <v>32</v>
      </c>
      <c r="C29" s="217">
        <f>C17</f>
        <v>0.82082242648577863</v>
      </c>
      <c r="D29" s="215">
        <f>VLOOKUP($B$4,Annual_KPI!$A$4:$P$4,15,0)/VLOOKUP($B$4,Annual_KPI!$A$4:$P$4,16,0)</f>
        <v>0.81978249441363082</v>
      </c>
      <c r="E29" s="163">
        <f>-(C29-D29)/C29</f>
        <v>-1.2669391558904081E-3</v>
      </c>
      <c r="F29" s="245"/>
    </row>
  </sheetData>
  <sheetProtection algorithmName="SHA-512" hashValue="2NxdL8bv1YKgXFcuY6r+6X/KK9UxLckKL/Cb7AIkWk32jchyHuJn0BZNUM6BmlYV8q6ZB3RSCbsL3UavnqK59Q==" saltValue="qoBWZDITbCdDCFOs0GpSKg==" spinCount="100000" sheet="1" objects="1" scenarios="1"/>
  <protectedRanges>
    <protectedRange sqref="A5:B5" name="Range1"/>
    <protectedRange sqref="B2:B3" name="Range1_1"/>
  </protectedRanges>
  <mergeCells count="12">
    <mergeCell ref="B6:F6"/>
    <mergeCell ref="A1:F1"/>
    <mergeCell ref="B2:F2"/>
    <mergeCell ref="B3:F3"/>
    <mergeCell ref="B5:F5"/>
    <mergeCell ref="A27:A29"/>
    <mergeCell ref="A9:A11"/>
    <mergeCell ref="A12:A14"/>
    <mergeCell ref="A15:A17"/>
    <mergeCell ref="A18:A20"/>
    <mergeCell ref="A21:A23"/>
    <mergeCell ref="A24:A26"/>
  </mergeCells>
  <conditionalFormatting sqref="E9:E29">
    <cfRule type="dataBar" priority="1">
      <dataBar>
        <cfvo type="min"/>
        <cfvo type="max"/>
        <color theme="9" tint="0.79998168889431442"/>
      </dataBar>
      <extLst>
        <ext xmlns:x14="http://schemas.microsoft.com/office/spreadsheetml/2009/9/main" uri="{B025F937-C7B1-47D3-B67F-A62EFF666E3E}">
          <x14:id>{AD3EA880-5B1C-468D-8A4E-F49AEAE0F24F}</x14:id>
        </ext>
      </extLst>
    </cfRule>
    <cfRule type="iconSet" priority="2">
      <iconSet iconSet="3Arrows">
        <cfvo type="percent" val="0"/>
        <cfvo type="num" val="0"/>
        <cfvo type="num" val="0"/>
      </iconSe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AD3EA880-5B1C-468D-8A4E-F49AEAE0F24F}">
            <x14:dataBar minLength="0" maxLength="100" gradient="0">
              <x14:cfvo type="autoMin"/>
              <x14:cfvo type="autoMax"/>
              <x14:negativeFillColor theme="5" tint="0.59999389629810485"/>
              <x14:axisColor rgb="FF000000"/>
            </x14:dataBar>
          </x14:cfRule>
          <xm:sqref>E9:E29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09F21-94FA-434B-9CF4-143C522FF9DA}">
  <dimension ref="A1:S21"/>
  <sheetViews>
    <sheetView tabSelected="1" workbookViewId="0">
      <selection activeCell="C3" sqref="C3"/>
    </sheetView>
  </sheetViews>
  <sheetFormatPr defaultColWidth="8.81640625" defaultRowHeight="14.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 min="19" max="19" width="15.453125" style="154" customWidth="1"/>
  </cols>
  <sheetData>
    <row r="1" spans="1:19" ht="22" customHeight="1">
      <c r="A1" s="42" t="s">
        <v>33</v>
      </c>
      <c r="B1" s="43">
        <f>Dashboard!B3</f>
        <v>45858</v>
      </c>
      <c r="C1" s="243">
        <f>Dashboard!B2</f>
        <v>45839</v>
      </c>
    </row>
    <row r="2" spans="1:19" ht="21">
      <c r="A2" s="276" t="s">
        <v>34</v>
      </c>
      <c r="B2" s="276"/>
      <c r="C2" s="276"/>
      <c r="D2" s="276"/>
      <c r="E2" s="276"/>
      <c r="F2" s="276"/>
      <c r="G2" s="276"/>
      <c r="H2" s="276"/>
      <c r="I2" s="276"/>
      <c r="J2" s="276"/>
      <c r="K2" s="276"/>
      <c r="L2" s="276"/>
      <c r="M2" s="276"/>
      <c r="N2" s="276"/>
      <c r="O2" s="276"/>
      <c r="P2" s="276"/>
    </row>
    <row r="3" spans="1:19" ht="29">
      <c r="A3" s="54" t="s">
        <v>35</v>
      </c>
      <c r="B3" s="54" t="s">
        <v>36</v>
      </c>
      <c r="C3" s="45" t="s">
        <v>37</v>
      </c>
      <c r="D3" s="45" t="s">
        <v>38</v>
      </c>
      <c r="E3" s="45" t="s">
        <v>39</v>
      </c>
      <c r="F3" s="45" t="s">
        <v>40</v>
      </c>
      <c r="G3" s="45" t="s">
        <v>41</v>
      </c>
      <c r="H3" s="45" t="s">
        <v>42</v>
      </c>
      <c r="I3" s="45" t="s">
        <v>43</v>
      </c>
      <c r="J3" s="45" t="s">
        <v>44</v>
      </c>
      <c r="K3" s="45" t="s">
        <v>45</v>
      </c>
      <c r="L3" s="45" t="s">
        <v>46</v>
      </c>
      <c r="M3" s="45" t="s">
        <v>47</v>
      </c>
      <c r="N3" s="45" t="s">
        <v>48</v>
      </c>
      <c r="O3" s="45" t="s">
        <v>49</v>
      </c>
      <c r="P3" s="45" t="s">
        <v>50</v>
      </c>
    </row>
    <row r="4" spans="1:19" s="23" customFormat="1" ht="18.649999999999999" customHeight="1">
      <c r="A4" s="205">
        <f>YEAR($B$1)+IF(MONTH($B$1)&gt;=4,1,0)</f>
        <v>2026</v>
      </c>
      <c r="B4" s="55">
        <f>($B$1-Dashboard!$B$5)+1</f>
        <v>111</v>
      </c>
      <c r="C4" s="55">
        <f>_xlfn.XLOOKUP($C$1,'Modelling New'!$D:$D,'Modelling New'!$S:$S)</f>
        <v>735.56774193548392</v>
      </c>
      <c r="D4" s="56">
        <f>IFERROR(SUMIFS('Daily KPI'!$I:$I,'Daily KPI'!$B:$B,$A$4,'Daily KPI'!$A:$A,"&lt;="&amp;$B$1),"")</f>
        <v>722.44550879444444</v>
      </c>
      <c r="E4" s="55">
        <f>_xlfn.XLOOKUP($C$1,'Modelling New'!$D:$D,'Modelling New'!$V:$V)</f>
        <v>202318.06020673888</v>
      </c>
      <c r="F4" s="56">
        <f>IFERROR(SUMIFS('Daily KPI'!$AA:$AA,'Daily KPI'!$B:$B,$A$4,'Daily KPI'!$A:$A,"&lt;="&amp;$B$1),"")/1000</f>
        <v>191995.88200000004</v>
      </c>
      <c r="G4" s="57">
        <f>IFERROR(E4/C4/'Modelling New'!$AP$1,"")</f>
        <v>0.82082242648577863</v>
      </c>
      <c r="H4" s="58">
        <f>IFERROR(F4/D4/'Modelling New'!$AP$1,"")</f>
        <v>0.79309288690780755</v>
      </c>
      <c r="I4" s="57">
        <f>IFERROR(E4/(B4*24*'Modelling New'!$AP$1),"")</f>
        <v>0.22664057762017603</v>
      </c>
      <c r="J4" s="58">
        <f>IFERROR(F4/(B4*24*'Modelling New'!$AP$1),"")</f>
        <v>0.21507747530156374</v>
      </c>
      <c r="K4" s="49">
        <f>_xlfn.XLOOKUP($C$1,'Modelling New'!$D:$D,'Modelling New'!$AF:$AF)</f>
        <v>0.99750000000000005</v>
      </c>
      <c r="L4" s="59">
        <f>IFERROR(AVERAGEIFS('Daily KPI'!$R:$R,'Daily KPI'!$B:$B,$A4,'Daily KPI'!$A:$A,"&lt;="&amp;$B$1),"")</f>
        <v>0.98041070629951599</v>
      </c>
      <c r="M4" s="57">
        <f>_xlfn.XLOOKUP($C$1,'Modelling New'!$D:$D,'Modelling New'!$AE:$AE)</f>
        <v>0.99750000000000005</v>
      </c>
      <c r="N4" s="59">
        <f>IFERROR(AVERAGEIFS('Daily KPI'!$O:$O,'Daily KPI'!$B:$B,$A4,'Daily KPI'!$A:$A,"&lt;="&amp;$B$1),"")</f>
        <v>0.99658127227795124</v>
      </c>
      <c r="O4" s="64">
        <f>SUMIFS('Raw_Data'!JJ:JJ,'Raw_Data'!$C:$C,$A$4,'Raw_Data'!$B:$B,"&lt;="&amp;$B$1)/1000</f>
        <v>186437.2037627002</v>
      </c>
      <c r="P4" s="65">
        <f>SUMIFS('Raw_Data'!JK:JK,'Raw_Data'!$C:$C,$A$4,'Raw_Data'!$B:$B,"&lt;="&amp;$B$1)/1000</f>
        <v>227422.76766479856</v>
      </c>
      <c r="S4" s="155"/>
    </row>
    <row r="8" spans="1:19" ht="21">
      <c r="A8" s="276" t="s">
        <v>51</v>
      </c>
      <c r="B8" s="276"/>
      <c r="C8" s="276"/>
      <c r="D8" s="276"/>
      <c r="E8" s="276"/>
      <c r="F8" s="276"/>
      <c r="G8" s="276"/>
      <c r="H8" s="276"/>
      <c r="I8" s="276"/>
      <c r="J8" s="276"/>
      <c r="K8" s="276"/>
      <c r="L8" s="276"/>
      <c r="M8" s="276"/>
      <c r="N8" s="276"/>
      <c r="O8" s="276"/>
      <c r="P8" s="276"/>
    </row>
    <row r="9" spans="1:19" ht="29">
      <c r="A9" s="54" t="s">
        <v>35</v>
      </c>
      <c r="B9" s="44" t="s">
        <v>36</v>
      </c>
      <c r="C9" s="45" t="s">
        <v>37</v>
      </c>
      <c r="D9" s="45" t="s">
        <v>38</v>
      </c>
      <c r="E9" s="45" t="s">
        <v>39</v>
      </c>
      <c r="F9" s="45" t="s">
        <v>40</v>
      </c>
      <c r="G9" s="45" t="s">
        <v>41</v>
      </c>
      <c r="H9" s="45" t="s">
        <v>42</v>
      </c>
      <c r="I9" s="45" t="s">
        <v>43</v>
      </c>
      <c r="J9" s="45" t="s">
        <v>44</v>
      </c>
      <c r="K9" s="45" t="s">
        <v>45</v>
      </c>
      <c r="L9" s="45" t="s">
        <v>46</v>
      </c>
      <c r="M9" s="45" t="s">
        <v>47</v>
      </c>
      <c r="N9" s="45" t="s">
        <v>48</v>
      </c>
      <c r="O9" s="45" t="s">
        <v>49</v>
      </c>
      <c r="P9" s="45" t="s">
        <v>50</v>
      </c>
    </row>
    <row r="10" spans="1:19">
      <c r="A10" s="46">
        <v>45748</v>
      </c>
      <c r="B10" s="47">
        <f>COUNTIFS('Daily KPI'!$D:$D,A10,'Daily KPI'!$K:$K,"&gt;0")</f>
        <v>30</v>
      </c>
      <c r="C10" s="47">
        <f>_xlfn.XLOOKUP($A10,'Modelling New'!$D:$D,'Modelling New'!$I:$I)</f>
        <v>215.9</v>
      </c>
      <c r="D10" s="48">
        <f>SUMIF('Daily KPI'!$D:$D,A10,'Daily KPI'!I:I)</f>
        <v>224.53938558333329</v>
      </c>
      <c r="E10" s="47">
        <f>_xlfn.XLOOKUP($A10,'Modelling New'!$D:$D,'Modelling New'!U:U)</f>
        <v>58341.891464284163</v>
      </c>
      <c r="F10" s="48">
        <f>SUMIF('Daily KPI'!$D:$D,A10,'Daily KPI'!$AA:$AA)/1000</f>
        <v>57802.737000000001</v>
      </c>
      <c r="G10" s="49">
        <f>IFERROR(E10/C10/'Modelling New'!$AP$1,"")</f>
        <v>0.80642707268055158</v>
      </c>
      <c r="H10" s="50">
        <f>IFERROR(F10/D10/'Modelling New'!$AP$1,"")</f>
        <v>0.76823326695360372</v>
      </c>
      <c r="I10" s="49">
        <f>IFERROR(E10/(B10*24*'Modelling New'!$AP$1),"")</f>
        <v>0.24181611804407094</v>
      </c>
      <c r="J10" s="50">
        <f>IFERROR(F10/(B10*24*'Modelling New'!$AP$1),"")</f>
        <v>0.23958142464783197</v>
      </c>
      <c r="K10" s="49">
        <v>0.995</v>
      </c>
      <c r="L10" s="50">
        <f>IFERROR(AVERAGEIF('Daily KPI'!$D:$D,A10,'Daily KPI'!$R:$R),"")</f>
        <v>0.97809971120456851</v>
      </c>
      <c r="M10" s="49">
        <v>0.995</v>
      </c>
      <c r="N10" s="50">
        <f>IFERROR(AVERAGEIF('Daily KPI'!$D:$D,$A10,'Daily KPI'!O:O),"")</f>
        <v>0.99678313886680325</v>
      </c>
      <c r="O10" s="62">
        <f>SUMIF(Raw_Data[Month Year],A10,Raw_Data[WPR_Eac])/1000</f>
        <v>57206.794543700096</v>
      </c>
      <c r="P10" s="63">
        <f>SUMIF(Raw_Data[Month Year],A10,Raw_Data[WPR_Edc])/1000</f>
        <v>70400.094691958511</v>
      </c>
    </row>
    <row r="11" spans="1:19">
      <c r="A11" s="46">
        <v>45778</v>
      </c>
      <c r="B11" s="47">
        <f>COUNTIFS('Daily KPI'!$D:$D,A11,'Daily KPI'!$K:$K,"&gt;0")</f>
        <v>31</v>
      </c>
      <c r="C11" s="47">
        <f>_xlfn.XLOOKUP($A11,'Modelling New'!$D:$D,'Modelling New'!$I:$I)</f>
        <v>217.9</v>
      </c>
      <c r="D11" s="48">
        <f>SUMIF('Daily KPI'!$D:$D,A11,'Daily KPI'!I:I)</f>
        <v>212.89640070277778</v>
      </c>
      <c r="E11" s="47">
        <f>_xlfn.XLOOKUP($A11,'Modelling New'!$D:$D,'Modelling New'!U:U)</f>
        <v>59688.093807168538</v>
      </c>
      <c r="F11" s="48">
        <f>SUMIF('Daily KPI'!$D:$D,A11,'Daily KPI'!$AA:$AA)/1000</f>
        <v>56901.671999999999</v>
      </c>
      <c r="G11" s="49">
        <f>IFERROR(E11/C11/'Modelling New'!$AP$1,"")</f>
        <v>0.81746226777457909</v>
      </c>
      <c r="H11" s="50">
        <f>IFERROR(F11/D11/'Modelling New'!$AP$1,"")</f>
        <v>0.79761616150535553</v>
      </c>
      <c r="I11" s="49">
        <f>IFERROR(E11/(B11*24*'Modelling New'!$AP$1),"")</f>
        <v>0.23941536041408706</v>
      </c>
      <c r="J11" s="50">
        <f>IFERROR(F11/(B11*24*'Modelling New'!$AP$1),"")</f>
        <v>0.22823872301996731</v>
      </c>
      <c r="K11" s="49">
        <v>1.9950000000000001</v>
      </c>
      <c r="L11" s="50">
        <f>IFERROR(AVERAGEIF('Daily KPI'!$D:$D,A11,'Daily KPI'!$R:$R),"")</f>
        <v>0.98297939760676922</v>
      </c>
      <c r="M11" s="49">
        <v>1.9950000000000001</v>
      </c>
      <c r="N11" s="50">
        <f>IFERROR(AVERAGEIF('Daily KPI'!$D:$D,$A11,'Daily KPI'!O:O),"")</f>
        <v>0.99583333753848491</v>
      </c>
      <c r="O11" s="62">
        <f>SUMIF(Raw_Data[Month Year],A11,Raw_Data[WPR_Eac])/1000</f>
        <v>56274.617125000077</v>
      </c>
      <c r="P11" s="63">
        <f>SUMIF(Raw_Data[Month Year],A11,Raw_Data[WPR_Edc])/1000</f>
        <v>69102.001478983701</v>
      </c>
    </row>
    <row r="12" spans="1:19">
      <c r="A12" s="46">
        <v>45809</v>
      </c>
      <c r="B12" s="47">
        <f>COUNTIFS('Daily KPI'!$D:$D,A12,'Daily KPI'!$K:$K,"&gt;0")</f>
        <v>30</v>
      </c>
      <c r="C12" s="47">
        <f>_xlfn.XLOOKUP($A12,'Modelling New'!$D:$D,'Modelling New'!$I:$I)</f>
        <v>192.8</v>
      </c>
      <c r="D12" s="48">
        <f>SUMIF('Daily KPI'!$D:$D,A12,'Daily KPI'!I:I)</f>
        <v>185.57561492500002</v>
      </c>
      <c r="E12" s="47">
        <f>_xlfn.XLOOKUP($A12,'Modelling New'!$D:$D,'Modelling New'!U:U)</f>
        <v>53615.655900776415</v>
      </c>
      <c r="F12" s="48">
        <f>SUMIF('Daily KPI'!$D:$D,A12,'Daily KPI'!$AA:$AA)/1000</f>
        <v>49478.871000000014</v>
      </c>
      <c r="G12" s="49">
        <f>IFERROR(E12/C12/'Modelling New'!$AP$1,"")</f>
        <v>0.82989248162452478</v>
      </c>
      <c r="H12" s="50">
        <f>IFERROR(F12/D12/'Modelling New'!$AP$1,"")</f>
        <v>0.79567572690416144</v>
      </c>
      <c r="I12" s="49">
        <f>IFERROR(E12/(B12*24*'Modelling New'!$AP$1),"")</f>
        <v>0.22222676452390053</v>
      </c>
      <c r="J12" s="50">
        <f>IFERROR(F12/(B12*24*'Modelling New'!$AP$1),"")</f>
        <v>0.20508057264046686</v>
      </c>
      <c r="K12" s="49">
        <v>2.9950000000000001</v>
      </c>
      <c r="L12" s="50">
        <f>IFERROR(AVERAGEIF('Daily KPI'!$D:$D,A12,'Daily KPI'!$R:$R),"")</f>
        <v>0.96952907213265993</v>
      </c>
      <c r="M12" s="49">
        <v>2.9950000000000001</v>
      </c>
      <c r="N12" s="50">
        <f>IFERROR(AVERAGEIF('Daily KPI'!$D:$D,$A12,'Daily KPI'!O:O),"")</f>
        <v>0.99861344706103816</v>
      </c>
      <c r="O12" s="62">
        <f>SUMIF(Raw_Data[Month Year],A12,Raw_Data[WPR_Eac])/1000</f>
        <v>47618.292814</v>
      </c>
      <c r="P12" s="63">
        <f>SUMIF(Raw_Data[Month Year],A12,Raw_Data[WPR_Edc])/1000</f>
        <v>57651.893829910659</v>
      </c>
    </row>
    <row r="13" spans="1:19">
      <c r="A13" s="46">
        <v>45839</v>
      </c>
      <c r="B13" s="47">
        <f>COUNTIFS('Daily KPI'!$D:$D,A13,'Daily KPI'!$K:$K,"&gt;0")</f>
        <v>20</v>
      </c>
      <c r="C13" s="47">
        <f>_xlfn.XLOOKUP($A13,'Modelling New'!$D:$D,'Modelling New'!$I:$I)</f>
        <v>168.9</v>
      </c>
      <c r="D13" s="48">
        <f>SUMIF('Daily KPI'!$D:$D,A13,'Daily KPI'!I:I)</f>
        <v>99.434107583333301</v>
      </c>
      <c r="E13" s="47">
        <f>_xlfn.XLOOKUP($A13,'Modelling New'!$D:$D,'Modelling New'!U:U)</f>
        <v>30672.419034509763</v>
      </c>
      <c r="F13" s="48">
        <f>SUMIF('Daily KPI'!$D:$D,A13,'Daily KPI'!$AA:$AA)/1000</f>
        <v>27812.601999999973</v>
      </c>
      <c r="G13" s="49">
        <f>IFERROR(E13/C13/'Modelling New'!$AP$1,"")</f>
        <v>0.5419455013802762</v>
      </c>
      <c r="H13" s="50">
        <f>IFERROR(F13/D13/'Modelling New'!$AP$1,"")</f>
        <v>0.83472510837766956</v>
      </c>
      <c r="I13" s="49">
        <f>IFERROR(E13/(B13*24*'Modelling New'!$AP$1),"")</f>
        <v>0.19069707329818469</v>
      </c>
      <c r="J13" s="50">
        <f>IFERROR(F13/(B13*24*'Modelling New'!$AP$1),"")</f>
        <v>0.17291697131028072</v>
      </c>
      <c r="K13" s="49">
        <v>3.9950000000000001</v>
      </c>
      <c r="L13" s="50">
        <f>IFERROR(AVERAGEIF('Daily KPI'!$D:$D,A13,'Daily KPI'!$R:$R),"")</f>
        <v>0.99621817866597873</v>
      </c>
      <c r="M13" s="49">
        <v>3.9950000000000001</v>
      </c>
      <c r="N13" s="50">
        <f>IFERROR(AVERAGEIF('Daily KPI'!$D:$D,$A13,'Daily KPI'!O:O),"")</f>
        <v>0.99438950906621704</v>
      </c>
      <c r="O13" s="62">
        <f>SUMIF(Raw_Data[Month Year],A13,Raw_Data[WPR_Eac])/1000</f>
        <v>25337.499279999989</v>
      </c>
      <c r="P13" s="63">
        <f>SUMIF(Raw_Data[Month Year],A13,Raw_Data[WPR_Edc])/1000</f>
        <v>30268.777663945708</v>
      </c>
    </row>
    <row r="14" spans="1:19">
      <c r="A14" s="46">
        <v>45870</v>
      </c>
      <c r="B14" s="47">
        <f>COUNTIFS('Daily KPI'!$D:$D,A14,'Daily KPI'!$K:$K,"&gt;0")</f>
        <v>0</v>
      </c>
      <c r="C14" s="47">
        <f>_xlfn.XLOOKUP($A14,'Modelling New'!$D:$D,'Modelling New'!$I:$I)</f>
        <v>174.2</v>
      </c>
      <c r="D14" s="48">
        <f>SUMIF('Daily KPI'!$D:$D,A14,'Daily KPI'!I:I)</f>
        <v>0</v>
      </c>
      <c r="E14" s="47">
        <f>_xlfn.XLOOKUP($A14,'Modelling New'!$D:$D,'Modelling New'!U:U)</f>
        <v>0</v>
      </c>
      <c r="F14" s="48">
        <f>SUMIF('Daily KPI'!$D:$D,A14,'Daily KPI'!$AA:$AA)/1000</f>
        <v>0</v>
      </c>
      <c r="G14" s="49">
        <f>IFERROR(E14/C14/'Modelling New'!$AP$1,"")</f>
        <v>0</v>
      </c>
      <c r="H14" s="50" t="str">
        <f>IFERROR(F14/D14/'Modelling New'!$AP$1,"")</f>
        <v/>
      </c>
      <c r="I14" s="49" t="str">
        <f>IFERROR(E14/(B14*24*'Modelling New'!$AP$1),"")</f>
        <v/>
      </c>
      <c r="J14" s="50" t="str">
        <f>IFERROR(F14/(B14*24*'Modelling New'!$AP$1),"")</f>
        <v/>
      </c>
      <c r="K14" s="49">
        <v>4.9950000000000001</v>
      </c>
      <c r="L14" s="50" t="str">
        <f>IFERROR(AVERAGEIF('Daily KPI'!$D:$D,A14,'Daily KPI'!$R:$R),"")</f>
        <v/>
      </c>
      <c r="M14" s="49">
        <v>4.9950000000000001</v>
      </c>
      <c r="N14" s="50" t="str">
        <f>IFERROR(AVERAGEIF('Daily KPI'!$D:$D,$A14,'Daily KPI'!O:O),"")</f>
        <v/>
      </c>
      <c r="O14" s="62">
        <f>SUMIF(Raw_Data[Month Year],A14,Raw_Data[WPR_Eac])/1000</f>
        <v>0</v>
      </c>
      <c r="P14" s="63">
        <f>SUMIF(Raw_Data[Month Year],A14,Raw_Data[WPR_Edc])/1000</f>
        <v>0</v>
      </c>
    </row>
    <row r="15" spans="1:19">
      <c r="A15" s="46">
        <v>45901</v>
      </c>
      <c r="B15" s="47">
        <f>COUNTIFS('Daily KPI'!$D:$D,A15,'Daily KPI'!$K:$K,"&gt;0")</f>
        <v>0</v>
      </c>
      <c r="C15" s="47">
        <f>_xlfn.XLOOKUP($A15,'Modelling New'!$D:$D,'Modelling New'!$I:$I)</f>
        <v>192.1</v>
      </c>
      <c r="D15" s="48">
        <f>SUMIF('Daily KPI'!$D:$D,A15,'Daily KPI'!I:I)</f>
        <v>0</v>
      </c>
      <c r="E15" s="47">
        <f>_xlfn.XLOOKUP($A15,'Modelling New'!$D:$D,'Modelling New'!U:U)</f>
        <v>0</v>
      </c>
      <c r="F15" s="48">
        <f>SUMIF('Daily KPI'!$D:$D,A15,'Daily KPI'!$AA:$AA)/1000</f>
        <v>0</v>
      </c>
      <c r="G15" s="49">
        <f>IFERROR(E15/C15/'Modelling New'!$AP$1,"")</f>
        <v>0</v>
      </c>
      <c r="H15" s="50" t="str">
        <f>IFERROR(F15/D15/'Modelling New'!$AP$1,"")</f>
        <v/>
      </c>
      <c r="I15" s="49" t="str">
        <f>IFERROR(E15/(B15*24*'Modelling New'!$AP$1),"")</f>
        <v/>
      </c>
      <c r="J15" s="50" t="str">
        <f>IFERROR(F15/(B15*24*'Modelling New'!$AP$1),"")</f>
        <v/>
      </c>
      <c r="K15" s="49">
        <v>5.9950000000000001</v>
      </c>
      <c r="L15" s="50" t="str">
        <f>IFERROR(AVERAGEIF('Daily KPI'!$D:$D,A15,'Daily KPI'!$R:$R),"")</f>
        <v/>
      </c>
      <c r="M15" s="49">
        <v>5.9950000000000001</v>
      </c>
      <c r="N15" s="50" t="str">
        <f>IFERROR(AVERAGEIF('Daily KPI'!$D:$D,$A15,'Daily KPI'!O:O),"")</f>
        <v/>
      </c>
      <c r="O15" s="62">
        <f>SUMIF(Raw_Data[Month Year],A15,Raw_Data[WPR_Eac])/1000</f>
        <v>0</v>
      </c>
      <c r="P15" s="63">
        <f>SUMIF(Raw_Data[Month Year],A15,Raw_Data[WPR_Edc])/1000</f>
        <v>0</v>
      </c>
    </row>
    <row r="16" spans="1:19">
      <c r="A16" s="46">
        <v>45931</v>
      </c>
      <c r="B16" s="47">
        <f>COUNTIFS('Daily KPI'!$D:$D,A16,'Daily KPI'!$K:$K,"&gt;0")</f>
        <v>0</v>
      </c>
      <c r="C16" s="47">
        <f>_xlfn.XLOOKUP($A16,'Modelling New'!$D:$D,'Modelling New'!$I:$I)</f>
        <v>202.3</v>
      </c>
      <c r="D16" s="48">
        <f>SUMIF('Daily KPI'!$D:$D,A16,'Daily KPI'!I:I)</f>
        <v>0</v>
      </c>
      <c r="E16" s="47">
        <f>_xlfn.XLOOKUP($A16,'Modelling New'!$D:$D,'Modelling New'!U:U)</f>
        <v>0</v>
      </c>
      <c r="F16" s="48">
        <f>SUMIF('Daily KPI'!$D:$D,A16,'Daily KPI'!$AA:$AA)/1000</f>
        <v>0</v>
      </c>
      <c r="G16" s="49">
        <f>IFERROR(E16/C16/'Modelling New'!$AP$1,"")</f>
        <v>0</v>
      </c>
      <c r="H16" s="50" t="str">
        <f>IFERROR(F16/D16/'Modelling New'!$AP$1,"")</f>
        <v/>
      </c>
      <c r="I16" s="49" t="str">
        <f>IFERROR(E16/(B16*24*'Modelling New'!$AP$1),"")</f>
        <v/>
      </c>
      <c r="J16" s="50" t="str">
        <f>IFERROR(F16/(B16*24*'Modelling New'!$AP$1),"")</f>
        <v/>
      </c>
      <c r="K16" s="49">
        <v>6.9950000000000001</v>
      </c>
      <c r="L16" s="50" t="str">
        <f>IFERROR(AVERAGEIF('Daily KPI'!$D:$D,A16,'Daily KPI'!$R:$R),"")</f>
        <v/>
      </c>
      <c r="M16" s="49">
        <v>6.9950000000000001</v>
      </c>
      <c r="N16" s="50" t="str">
        <f>IFERROR(AVERAGEIF('Daily KPI'!$D:$D,$A16,'Daily KPI'!O:O),"")</f>
        <v/>
      </c>
      <c r="O16" s="62">
        <f>SUMIF(Raw_Data[Month Year],A16,Raw_Data[WPR_Eac])/1000</f>
        <v>0</v>
      </c>
      <c r="P16" s="63">
        <f>SUMIF(Raw_Data[Month Year],A16,Raw_Data[WPR_Edc])/1000</f>
        <v>0</v>
      </c>
    </row>
    <row r="17" spans="1:16">
      <c r="A17" s="46">
        <v>45962</v>
      </c>
      <c r="B17" s="47">
        <f>COUNTIFS('Daily KPI'!$D:$D,A17,'Daily KPI'!$K:$K,"&gt;0")</f>
        <v>0</v>
      </c>
      <c r="C17" s="47">
        <f>_xlfn.XLOOKUP($A17,'Modelling New'!$D:$D,'Modelling New'!$I:$I)</f>
        <v>162.9</v>
      </c>
      <c r="D17" s="48">
        <f>SUMIF('Daily KPI'!$D:$D,A17,'Daily KPI'!I:I)</f>
        <v>0</v>
      </c>
      <c r="E17" s="47">
        <f>_xlfn.XLOOKUP($A17,'Modelling New'!$D:$D,'Modelling New'!U:U)</f>
        <v>0</v>
      </c>
      <c r="F17" s="48">
        <f>SUMIF('Daily KPI'!$D:$D,A17,'Daily KPI'!$AA:$AA)/1000</f>
        <v>0</v>
      </c>
      <c r="G17" s="49">
        <f>IFERROR(E17/C17/'Modelling New'!$AP$1,"")</f>
        <v>0</v>
      </c>
      <c r="H17" s="50" t="str">
        <f>IFERROR(F17/D17/'Modelling New'!$AP$1,"")</f>
        <v/>
      </c>
      <c r="I17" s="49" t="str">
        <f>IFERROR(E17/(B17*24*'Modelling New'!$AP$1),"")</f>
        <v/>
      </c>
      <c r="J17" s="50" t="str">
        <f>IFERROR(F17/(B17*24*'Modelling New'!$AP$1),"")</f>
        <v/>
      </c>
      <c r="K17" s="49">
        <v>7.9950000000000001</v>
      </c>
      <c r="L17" s="50" t="str">
        <f>IFERROR(AVERAGEIF('Daily KPI'!$D:$D,A17,'Daily KPI'!$R:$R),"")</f>
        <v/>
      </c>
      <c r="M17" s="49">
        <v>7.9950000000000001</v>
      </c>
      <c r="N17" s="50" t="str">
        <f>IFERROR(AVERAGEIF('Daily KPI'!$D:$D,$A17,'Daily KPI'!O:O),"")</f>
        <v/>
      </c>
      <c r="O17" s="62">
        <f>SUMIF(Raw_Data[Month Year],A17,Raw_Data[WPR_Eac])/1000</f>
        <v>0</v>
      </c>
      <c r="P17" s="63">
        <f>SUMIF(Raw_Data[Month Year],A17,Raw_Data[WPR_Edc])/1000</f>
        <v>0</v>
      </c>
    </row>
    <row r="18" spans="1:16">
      <c r="A18" s="46">
        <v>45992</v>
      </c>
      <c r="B18" s="47">
        <f>COUNTIFS('Daily KPI'!$D:$D,A18,'Daily KPI'!$K:$K,"&gt;0")</f>
        <v>0</v>
      </c>
      <c r="C18" s="47">
        <f>_xlfn.XLOOKUP($A18,'Modelling New'!$D:$D,'Modelling New'!$I:$I)</f>
        <v>158.6</v>
      </c>
      <c r="D18" s="48">
        <f>SUMIF('Daily KPI'!$D:$D,A18,'Daily KPI'!I:I)</f>
        <v>0</v>
      </c>
      <c r="E18" s="47">
        <f>_xlfn.XLOOKUP($A18,'Modelling New'!$D:$D,'Modelling New'!U:U)</f>
        <v>0</v>
      </c>
      <c r="F18" s="48">
        <f>SUMIF('Daily KPI'!$D:$D,A18,'Daily KPI'!$AA:$AA)/1000</f>
        <v>0</v>
      </c>
      <c r="G18" s="49">
        <f>IFERROR(E18/C18/'Modelling New'!$AP$1,"")</f>
        <v>0</v>
      </c>
      <c r="H18" s="50" t="str">
        <f>IFERROR(F18/D18/'Modelling New'!$AP$1,"")</f>
        <v/>
      </c>
      <c r="I18" s="49" t="str">
        <f>IFERROR(E18/(B18*24*'Modelling New'!$AP$1),"")</f>
        <v/>
      </c>
      <c r="J18" s="50" t="str">
        <f>IFERROR(F18/(B18*24*'Modelling New'!$AP$1),"")</f>
        <v/>
      </c>
      <c r="K18" s="49">
        <v>8.9949999999999992</v>
      </c>
      <c r="L18" s="50" t="str">
        <f>IFERROR(AVERAGEIF('Daily KPI'!$D:$D,A18,'Daily KPI'!$R:$R),"")</f>
        <v/>
      </c>
      <c r="M18" s="49">
        <v>8.9949999999999992</v>
      </c>
      <c r="N18" s="50" t="str">
        <f>IFERROR(AVERAGEIF('Daily KPI'!$D:$D,$A18,'Daily KPI'!O:O),"")</f>
        <v/>
      </c>
      <c r="O18" s="62">
        <f>SUMIF(Raw_Data[Month Year],A18,Raw_Data[WPR_Eac])/1000</f>
        <v>0</v>
      </c>
      <c r="P18" s="63">
        <f>SUMIF(Raw_Data[Month Year],A18,Raw_Data[WPR_Edc])/1000</f>
        <v>0</v>
      </c>
    </row>
    <row r="19" spans="1:16">
      <c r="A19" s="46">
        <v>46023</v>
      </c>
      <c r="B19" s="47">
        <f>COUNTIFS('Daily KPI'!$D:$D,A19,'Daily KPI'!$K:$K,"&gt;0")</f>
        <v>0</v>
      </c>
      <c r="C19" s="47">
        <f>_xlfn.XLOOKUP($A19,'Modelling New'!$D:$D,'Modelling New'!$I:$I)</f>
        <v>169.028549</v>
      </c>
      <c r="D19" s="48">
        <f>SUMIF('Daily KPI'!$D:$D,A19,'Daily KPI'!I:I)</f>
        <v>0</v>
      </c>
      <c r="E19" s="47">
        <f>_xlfn.XLOOKUP($A19,'Modelling New'!$D:$D,'Modelling New'!U:U)</f>
        <v>0</v>
      </c>
      <c r="F19" s="48">
        <f>SUMIF('Daily KPI'!$D:$D,A19,'Daily KPI'!$AA:$AA)/1000</f>
        <v>0</v>
      </c>
      <c r="G19" s="49">
        <f>IFERROR(E19/C19/'Modelling New'!$AP$1,"")</f>
        <v>0</v>
      </c>
      <c r="H19" s="50" t="str">
        <f>IFERROR(F19/D19/'Modelling New'!$AP$1,"")</f>
        <v/>
      </c>
      <c r="I19" s="49" t="str">
        <f>IFERROR(E19/(B19*24*'Modelling New'!$AP$1),"")</f>
        <v/>
      </c>
      <c r="J19" s="50" t="str">
        <f>IFERROR(F19/(B19*24*'Modelling New'!$AP$1),"")</f>
        <v/>
      </c>
      <c r="K19" s="49">
        <v>9.9949999999999992</v>
      </c>
      <c r="L19" s="50" t="str">
        <f>IFERROR(AVERAGEIF('Daily KPI'!$D:$D,A19,'Daily KPI'!$R:$R),"")</f>
        <v/>
      </c>
      <c r="M19" s="49">
        <v>9.9949999999999992</v>
      </c>
      <c r="N19" s="50" t="str">
        <f>IFERROR(AVERAGEIF('Daily KPI'!$D:$D,$A19,'Daily KPI'!O:O),"")</f>
        <v/>
      </c>
      <c r="O19" s="62">
        <f>SUMIF(Raw_Data[Month Year],A19,Raw_Data[WPR_Eac])/1000</f>
        <v>0</v>
      </c>
      <c r="P19" s="63">
        <f>SUMIF(Raw_Data[Month Year],A19,Raw_Data[WPR_Edc])/1000</f>
        <v>0</v>
      </c>
    </row>
    <row r="20" spans="1:16">
      <c r="A20" s="46">
        <v>46054</v>
      </c>
      <c r="B20" s="47">
        <f>COUNTIFS('Daily KPI'!$D:$D,A20,'Daily KPI'!$K:$K,"&gt;0")</f>
        <v>0</v>
      </c>
      <c r="C20" s="47">
        <f>_xlfn.XLOOKUP($A20,'Modelling New'!$D:$D,'Modelling New'!$I:$I)</f>
        <v>172.55912190000004</v>
      </c>
      <c r="D20" s="48">
        <f>SUMIF('Daily KPI'!$D:$D,A20,'Daily KPI'!I:I)</f>
        <v>0</v>
      </c>
      <c r="E20" s="47">
        <f>_xlfn.XLOOKUP($A20,'Modelling New'!$D:$D,'Modelling New'!U:U)</f>
        <v>0</v>
      </c>
      <c r="F20" s="48">
        <f>SUMIF('Daily KPI'!$D:$D,A20,'Daily KPI'!$AA:$AA)/1000</f>
        <v>0</v>
      </c>
      <c r="G20" s="49">
        <f>IFERROR(E20/C20/'Modelling New'!$AP$1,"")</f>
        <v>0</v>
      </c>
      <c r="H20" s="50" t="str">
        <f>IFERROR(F20/D20/'Modelling New'!$AP$1,"")</f>
        <v/>
      </c>
      <c r="I20" s="49" t="str">
        <f>IFERROR(E20/(B20*24*'Modelling New'!$AP$1),"")</f>
        <v/>
      </c>
      <c r="J20" s="50" t="str">
        <f>IFERROR(F20/(B20*24*'Modelling New'!$AP$1),"")</f>
        <v/>
      </c>
      <c r="K20" s="49">
        <v>10.994999999999999</v>
      </c>
      <c r="L20" s="50" t="str">
        <f>IFERROR(AVERAGEIF('Daily KPI'!$D:$D,A20,'Daily KPI'!$R:$R),"")</f>
        <v/>
      </c>
      <c r="M20" s="49">
        <v>10.994999999999999</v>
      </c>
      <c r="N20" s="50" t="str">
        <f>IFERROR(AVERAGEIF('Daily KPI'!$D:$D,$A20,'Daily KPI'!O:O),"")</f>
        <v/>
      </c>
      <c r="O20" s="62">
        <f>SUMIF(Raw_Data[Month Year],A20,Raw_Data[WPR_Eac])/1000</f>
        <v>0</v>
      </c>
      <c r="P20" s="63">
        <f>SUMIF(Raw_Data[Month Year],A20,Raw_Data[WPR_Edc])/1000</f>
        <v>0</v>
      </c>
    </row>
    <row r="21" spans="1:16">
      <c r="A21" s="46">
        <v>46082</v>
      </c>
      <c r="B21" s="47">
        <f>COUNTIFS('Daily KPI'!$D:$D,A21,'Daily KPI'!$K:$K,"&gt;0")</f>
        <v>0</v>
      </c>
      <c r="C21" s="47">
        <f>_xlfn.XLOOKUP($A21,'Modelling New'!$D:$D,'Modelling New'!$I:$I)</f>
        <v>215.74576700000009</v>
      </c>
      <c r="D21" s="48">
        <f>SUMIF('Daily KPI'!$D:$D,A21,'Daily KPI'!I:I)</f>
        <v>0</v>
      </c>
      <c r="E21" s="47">
        <f>_xlfn.XLOOKUP($A21,'Modelling New'!$D:$D,'Modelling New'!U:U)</f>
        <v>0</v>
      </c>
      <c r="F21" s="48">
        <f>SUMIF('Daily KPI'!$D:$D,A21,'Daily KPI'!$AA:$AA)/1000</f>
        <v>0</v>
      </c>
      <c r="G21" s="49">
        <f>IFERROR(E21/C21/'Modelling New'!$AP$1,"")</f>
        <v>0</v>
      </c>
      <c r="H21" s="50" t="str">
        <f>IFERROR(F21/D21/'Modelling New'!$AP$1,"")</f>
        <v/>
      </c>
      <c r="I21" s="49" t="str">
        <f>IFERROR(E21/(B21*24*'Modelling New'!$AP$1),"")</f>
        <v/>
      </c>
      <c r="J21" s="50" t="str">
        <f>IFERROR(F21/(B21*24*'Modelling New'!$AP$1),"")</f>
        <v/>
      </c>
      <c r="K21" s="49">
        <v>11.994999999999999</v>
      </c>
      <c r="L21" s="50" t="str">
        <f>IFERROR(AVERAGEIF('Daily KPI'!$D:$D,A21,'Daily KPI'!$R:$R),"")</f>
        <v/>
      </c>
      <c r="M21" s="49">
        <v>11.994999999999999</v>
      </c>
      <c r="N21" s="50" t="str">
        <f>IFERROR(AVERAGEIF('Daily KPI'!$D:$D,$A21,'Daily KPI'!O:O),"")</f>
        <v/>
      </c>
      <c r="O21" s="62">
        <f>SUMIF(Raw_Data[Month Year],A21,Raw_Data[WPR_Eac])/1000</f>
        <v>0</v>
      </c>
      <c r="P21" s="63">
        <f>SUMIF(Raw_Data[Month Year],A21,Raw_Data[WPR_Edc])/1000</f>
        <v>0</v>
      </c>
    </row>
  </sheetData>
  <sheetProtection algorithmName="SHA-512" hashValue="Mjl3FrHvIA6DjS/WK6jT/02ExVcHID70HCn2UGcKCyCS0pW6K92y9Vwyk95ijoZQNJU+76LeyLUn2cDgPg57+A==" saltValue="75XMfSMd7+C02ouPJ6YJtg==" spinCount="100000" sheet="1" objects="1" scenarios="1"/>
  <mergeCells count="2">
    <mergeCell ref="A2:P2"/>
    <mergeCell ref="A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B30E-C6A8-4CA5-8B3F-79F2E4213166}">
  <dimension ref="A1:P11"/>
  <sheetViews>
    <sheetView workbookViewId="0">
      <selection activeCell="C15" sqref="C15"/>
    </sheetView>
  </sheetViews>
  <sheetFormatPr defaultColWidth="8.81640625" defaultRowHeight="14.5"/>
  <cols>
    <col min="2" max="2" width="10.1796875" bestFit="1" customWidth="1"/>
    <col min="3" max="3" width="13.453125" customWidth="1"/>
    <col min="4" max="4" width="12" customWidth="1"/>
    <col min="5" max="5" width="12.453125" customWidth="1"/>
    <col min="6" max="6" width="13.453125" customWidth="1"/>
    <col min="8" max="8" width="9.453125" customWidth="1"/>
    <col min="9" max="9" width="10.453125" customWidth="1"/>
    <col min="10" max="10" width="11.1796875" customWidth="1"/>
    <col min="12" max="12" width="9.453125" customWidth="1"/>
    <col min="14" max="14" width="9.453125" customWidth="1"/>
    <col min="15" max="16" width="12.81640625" bestFit="1" customWidth="1"/>
  </cols>
  <sheetData>
    <row r="1" spans="1:16">
      <c r="A1" s="42" t="s">
        <v>33</v>
      </c>
      <c r="B1" s="43">
        <f>Dashboard!B3</f>
        <v>45858</v>
      </c>
    </row>
    <row r="2" spans="1:16" ht="21">
      <c r="A2" s="277" t="s">
        <v>52</v>
      </c>
      <c r="B2" s="277"/>
      <c r="C2" s="277"/>
      <c r="D2" s="277"/>
      <c r="E2" s="277"/>
      <c r="F2" s="277"/>
      <c r="G2" s="277"/>
      <c r="H2" s="277"/>
      <c r="I2" s="277"/>
      <c r="J2" s="277"/>
      <c r="K2" s="277"/>
      <c r="L2" s="277"/>
      <c r="M2" s="277"/>
      <c r="N2" s="277"/>
      <c r="O2" s="277"/>
      <c r="P2" s="277"/>
    </row>
    <row r="3" spans="1:16" ht="43.5">
      <c r="A3" s="51" t="s">
        <v>35</v>
      </c>
      <c r="B3" s="51" t="s">
        <v>36</v>
      </c>
      <c r="C3" s="52" t="s">
        <v>37</v>
      </c>
      <c r="D3" s="52" t="s">
        <v>38</v>
      </c>
      <c r="E3" s="52" t="s">
        <v>39</v>
      </c>
      <c r="F3" s="52" t="s">
        <v>40</v>
      </c>
      <c r="G3" s="52" t="s">
        <v>41</v>
      </c>
      <c r="H3" s="52" t="s">
        <v>42</v>
      </c>
      <c r="I3" s="52" t="s">
        <v>43</v>
      </c>
      <c r="J3" s="52" t="s">
        <v>44</v>
      </c>
      <c r="K3" s="52" t="s">
        <v>45</v>
      </c>
      <c r="L3" s="52" t="s">
        <v>46</v>
      </c>
      <c r="M3" s="52" t="s">
        <v>47</v>
      </c>
      <c r="N3" s="52" t="s">
        <v>48</v>
      </c>
      <c r="O3" s="52" t="s">
        <v>49</v>
      </c>
      <c r="P3" s="52" t="s">
        <v>50</v>
      </c>
    </row>
    <row r="4" spans="1:16">
      <c r="A4" s="53">
        <f>Dashboard!$B$2</f>
        <v>45839</v>
      </c>
      <c r="B4" s="47">
        <f>DAY(B1)</f>
        <v>20</v>
      </c>
      <c r="C4" s="47">
        <f>_xlfn.XLOOKUP($A$4,'Modelling New'!$D:$D,'Modelling New'!$R:$R)</f>
        <v>108.96774193548387</v>
      </c>
      <c r="D4" s="48">
        <f>SUMIF('Daily KPI'!$D:$D,$A4,'Daily KPI'!$I:$I)</f>
        <v>99.434107583333301</v>
      </c>
      <c r="E4" s="47">
        <f>IFERROR(_xlfn.XLOOKUP($A$4,'Modelling New'!$D:$D,'Modelling New'!$U:$U),"")</f>
        <v>30672.419034509763</v>
      </c>
      <c r="F4" s="48">
        <f>SUMIF('Daily KPI'!$D:$D,$A4,'Daily KPI'!$AA:$AA)/1000</f>
        <v>27812.601999999973</v>
      </c>
      <c r="G4" s="49">
        <f>IFERROR(E4/C4/'Modelling New'!$AP$1,"")</f>
        <v>0.84001552713942818</v>
      </c>
      <c r="H4" s="50">
        <f>IFERROR(F4/D4/'Modelling New'!$AP$1,"")</f>
        <v>0.83472510837766956</v>
      </c>
      <c r="I4" s="49">
        <f>IFERROR(E4/(B4*24*'Modelling New'!$AP$1),"")</f>
        <v>0.19069707329818469</v>
      </c>
      <c r="J4" s="50">
        <f>IFERROR(F4/(B4*24*'Modelling New'!$AP$1),"")</f>
        <v>0.17291697131028072</v>
      </c>
      <c r="K4" s="49">
        <f>_xlfn.XLOOKUP($B$1,'Daily KPI'!$A:$A,'Daily KPI'!$AH:$AH)</f>
        <v>0.99750000000000005</v>
      </c>
      <c r="L4" s="50">
        <f>IFERROR(AVERAGEIF('Daily KPI'!$D:$D,$A4,'Daily KPI'!$R:$R),"")</f>
        <v>0.99621817866597873</v>
      </c>
      <c r="M4" s="49">
        <f>_xlfn.XLOOKUP($B$1,'Daily KPI'!$A:$A,'Daily KPI'!$AG:$AG)</f>
        <v>0.99750000000000005</v>
      </c>
      <c r="N4" s="50">
        <f>IFERROR(AVERAGEIF('Daily KPI'!$D:$D,$A4,'Daily KPI'!$O:$O),"")</f>
        <v>0.99438950906621704</v>
      </c>
      <c r="O4" s="64">
        <f>SUMIF('Raw_Data'!$G:$G,Monthly_KPI!$A$4,'Raw_Data'!$JJ:$JJ)/1000</f>
        <v>25337.499279999989</v>
      </c>
      <c r="P4" s="65">
        <f>SUMIF('Raw_Data'!G:G,Monthly_KPI!$A$4,'Raw_Data'!$JK:$JK)/1000</f>
        <v>30268.777663945708</v>
      </c>
    </row>
    <row r="7" spans="1:16">
      <c r="A7" s="42" t="s">
        <v>53</v>
      </c>
      <c r="B7" s="43">
        <f>B8-6</f>
        <v>45852</v>
      </c>
      <c r="D7" s="36"/>
      <c r="F7" s="36"/>
    </row>
    <row r="8" spans="1:16">
      <c r="A8" s="42" t="s">
        <v>54</v>
      </c>
      <c r="B8" s="43">
        <f>B1</f>
        <v>45858</v>
      </c>
    </row>
    <row r="9" spans="1:16" ht="21">
      <c r="A9" s="277" t="s">
        <v>52</v>
      </c>
      <c r="B9" s="277"/>
      <c r="C9" s="277"/>
      <c r="D9" s="277"/>
      <c r="E9" s="277"/>
      <c r="F9" s="277"/>
      <c r="G9" s="277"/>
      <c r="H9" s="277"/>
      <c r="I9" s="277"/>
      <c r="J9" s="277"/>
      <c r="K9" s="277"/>
      <c r="L9" s="277"/>
      <c r="M9" s="277"/>
      <c r="N9" s="277"/>
      <c r="O9" s="277"/>
      <c r="P9" s="277"/>
    </row>
    <row r="10" spans="1:16" ht="43.5">
      <c r="A10" s="51" t="s">
        <v>35</v>
      </c>
      <c r="B10" s="51" t="s">
        <v>36</v>
      </c>
      <c r="C10" s="52" t="s">
        <v>37</v>
      </c>
      <c r="D10" s="52" t="s">
        <v>38</v>
      </c>
      <c r="E10" s="52" t="s">
        <v>39</v>
      </c>
      <c r="F10" s="52" t="s">
        <v>40</v>
      </c>
      <c r="G10" s="52" t="s">
        <v>41</v>
      </c>
      <c r="H10" s="52" t="s">
        <v>42</v>
      </c>
      <c r="I10" s="52" t="s">
        <v>43</v>
      </c>
      <c r="J10" s="52" t="s">
        <v>44</v>
      </c>
      <c r="K10" s="52" t="s">
        <v>45</v>
      </c>
      <c r="L10" s="52" t="s">
        <v>46</v>
      </c>
      <c r="M10" s="52" t="s">
        <v>47</v>
      </c>
      <c r="N10" s="52" t="s">
        <v>48</v>
      </c>
      <c r="O10" s="52" t="s">
        <v>49</v>
      </c>
      <c r="P10" s="52" t="s">
        <v>50</v>
      </c>
    </row>
    <row r="11" spans="1:16">
      <c r="A11" s="53">
        <f>A4</f>
        <v>45839</v>
      </c>
      <c r="B11" s="47">
        <f>(B8-B7)+1</f>
        <v>7</v>
      </c>
      <c r="C11" s="47">
        <f>IFERROR(SUMIFS('Daily KPI'!$AC:$AC,'Daily KPI'!$A:$A,"&gt;="&amp;$B$7,'Daily KPI'!$A:$A,"&lt;="&amp;$B$8),"")</f>
        <v>38.138709677419349</v>
      </c>
      <c r="D11" s="48">
        <f>SUMIFS('Daily KPI'!$I:$I,'Daily KPI'!$A:$A,"&gt;="&amp;$B$7,'Daily KPI'!$A:$A,"&lt;="&amp;$B$8)</f>
        <v>30.384752499999998</v>
      </c>
      <c r="E11" s="47">
        <f>IFERROR(SUMIFS('Daily KPI'!$AD:$AD,'Daily KPI'!$A:$A,"&gt;="&amp;$B$7,'Daily KPI'!$A:$A,"&lt;="&amp;$B$8),"")/1000</f>
        <v>10735.346662078418</v>
      </c>
      <c r="F11" s="48">
        <f>SUMIFS('Daily KPI'!$AA:$AA,'Daily KPI'!$A:$A,"&gt;="&amp;$B$7,'Daily KPI'!$A:$A,"&lt;="&amp;$B$8)/1000</f>
        <v>8698.8009999999813</v>
      </c>
      <c r="G11" s="49">
        <f>IFERROR(E11/C11/'Modelling New'!$AP$1,"")</f>
        <v>0.84001552713942829</v>
      </c>
      <c r="H11" s="50">
        <f>IFERROR(F11/D11/'Modelling New'!$AP$1,"")</f>
        <v>0.85436004322117709</v>
      </c>
      <c r="I11" s="49">
        <f>IFERROR(E11/($B$11*24*'Modelling New'!$AP$1),"")</f>
        <v>0.19069707329818472</v>
      </c>
      <c r="J11" s="50">
        <f>IFERROR(F11/($B$11*24*'Modelling New'!$AP$1),"")</f>
        <v>0.15452094320931409</v>
      </c>
      <c r="K11" s="49">
        <f>_xlfn.XLOOKUP($A$11,'Modelling New'!$D:$D,'Modelling New'!$AF:$AF)</f>
        <v>0.99750000000000005</v>
      </c>
      <c r="L11" s="50">
        <f>AVERAGEIFS('Daily KPI'!$R:$R,'Daily KPI'!$A:$A,"&gt;="&amp;$B$7,'Daily KPI'!$A:$A,"&lt;="&amp;$B$8)</f>
        <v>0.99910934603104884</v>
      </c>
      <c r="M11" s="49">
        <f>_xlfn.XLOOKUP($A$11,'Modelling New'!$D:$D,'Modelling New'!$AE:$AE)</f>
        <v>0.99750000000000005</v>
      </c>
      <c r="N11" s="50">
        <f>AVERAGEIFS('Daily KPI'!$O:$O,'Daily KPI'!$A:$A,"&gt;="&amp;$B$7,'Daily KPI'!$A:$A,"&lt;="&amp;$B$8)</f>
        <v>0.99477709802049996</v>
      </c>
      <c r="O11" s="62">
        <f>SUMIFS(Raw_Data[WPR_Eac],Raw_Data[Date],"&gt;="&amp;$B$7,Raw_Data[Date],"&lt;="&amp;$B$8)</f>
        <v>7694983.2799998997</v>
      </c>
      <c r="P11" s="63">
        <f>SUMIFS(Raw_Data[WPR_Edc],Raw_Data[Date],"&gt;="&amp;$B$7,Raw_Data[Date],"&lt;="&amp;$B$8)</f>
        <v>9058350.2710789163</v>
      </c>
    </row>
  </sheetData>
  <sheetProtection algorithmName="SHA-512" hashValue="YwzsOYRwNC77UG3UZKgFNdQhGaoKMG8xzyyrxXcuQgYuyBFIG1gx2zvsIr0mxgYzrVFm2iwXA1S8wgIptQz/7w==" saltValue="ys2iiPt6e+Okz38LUdW7i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N121"/>
  <sheetViews>
    <sheetView topLeftCell="A5" zoomScaleNormal="100" workbookViewId="0">
      <pane xSplit="2" ySplit="1" topLeftCell="C93" activePane="bottomRight" state="frozen"/>
      <selection pane="topRight" activeCell="C5" sqref="C5"/>
      <selection pane="bottomLeft" activeCell="A6" sqref="A6"/>
      <selection pane="bottomRight" activeCell="B6" sqref="B6"/>
    </sheetView>
  </sheetViews>
  <sheetFormatPr defaultColWidth="8.81640625" defaultRowHeight="14.5"/>
  <cols>
    <col min="1" max="1" width="0.81640625" customWidth="1"/>
    <col min="2" max="2" width="10.1796875" style="1" bestFit="1" customWidth="1"/>
    <col min="3" max="3" width="11.453125" style="1" customWidth="1"/>
    <col min="4" max="4" width="12.453125" style="1" customWidth="1"/>
    <col min="5" max="5" width="14.1796875" style="1" customWidth="1"/>
    <col min="6" max="6" width="13" style="1" customWidth="1"/>
    <col min="7" max="7" width="10.81640625" style="1" customWidth="1"/>
    <col min="8" max="8" width="8.453125" style="1"/>
    <col min="10" max="10" width="13.1796875" customWidth="1"/>
    <col min="11" max="11" width="13" customWidth="1"/>
    <col min="12" max="12" width="13.81640625" customWidth="1"/>
    <col min="13" max="84" width="12.1796875" customWidth="1"/>
    <col min="85" max="172" width="13" customWidth="1"/>
    <col min="173" max="176" width="16.81640625" customWidth="1"/>
    <col min="177" max="178" width="17.453125" customWidth="1"/>
    <col min="179" max="182" width="15.81640625" customWidth="1"/>
    <col min="183" max="184" width="16.453125" customWidth="1"/>
    <col min="185" max="188" width="14.453125" customWidth="1"/>
    <col min="189" max="190" width="15.453125" customWidth="1"/>
    <col min="191" max="194" width="14.81640625" customWidth="1"/>
    <col min="195" max="196" width="15.453125" customWidth="1"/>
    <col min="197" max="200" width="14.1796875" customWidth="1"/>
    <col min="201" max="202" width="14.81640625" customWidth="1"/>
    <col min="203" max="206" width="16.1796875" customWidth="1"/>
    <col min="207" max="208" width="16.81640625" customWidth="1"/>
    <col min="209" max="212" width="14.453125" customWidth="1"/>
    <col min="213" max="214" width="15.453125" customWidth="1"/>
    <col min="215" max="218" width="16.453125" customWidth="1"/>
    <col min="219" max="224" width="17.453125" customWidth="1"/>
    <col min="225" max="230" width="18.453125" customWidth="1"/>
    <col min="231" max="232" width="19.1796875" customWidth="1"/>
    <col min="233" max="235" width="12.453125" customWidth="1"/>
    <col min="236" max="236" width="27" customWidth="1"/>
    <col min="237" max="237" width="22.1796875" customWidth="1"/>
    <col min="238" max="238" width="14" customWidth="1"/>
    <col min="239" max="242" width="17.453125" customWidth="1"/>
    <col min="243" max="244" width="18.1796875" customWidth="1"/>
    <col min="245" max="248" width="17.81640625" customWidth="1"/>
    <col min="249" max="250" width="18.453125" customWidth="1"/>
    <col min="251" max="252" width="17.453125" customWidth="1"/>
    <col min="253" max="253" width="16.453125" customWidth="1"/>
    <col min="254" max="254" width="17" customWidth="1"/>
    <col min="255" max="255" width="18.1796875" customWidth="1"/>
    <col min="256" max="256" width="18.453125" customWidth="1"/>
    <col min="257" max="257" width="16.453125" customWidth="1"/>
    <col min="258" max="258" width="17.453125" style="1" customWidth="1"/>
    <col min="259" max="259" width="13.453125" style="1" bestFit="1" customWidth="1"/>
    <col min="269" max="269" width="15.1796875" bestFit="1" customWidth="1"/>
    <col min="270" max="270" width="12.453125" bestFit="1" customWidth="1"/>
    <col min="271" max="271" width="10.453125" customWidth="1"/>
    <col min="272" max="272" width="9.453125" customWidth="1"/>
    <col min="273" max="273" width="15.1796875" customWidth="1"/>
  </cols>
  <sheetData>
    <row r="2" spans="2:274">
      <c r="HX2" s="1">
        <v>0</v>
      </c>
      <c r="HY2" s="1">
        <v>0</v>
      </c>
      <c r="HZ2" s="1">
        <v>0</v>
      </c>
      <c r="IA2" s="1">
        <v>0</v>
      </c>
      <c r="IB2" s="1">
        <v>0</v>
      </c>
      <c r="IC2" s="1">
        <v>0</v>
      </c>
    </row>
    <row r="3" spans="2:274">
      <c r="B3" s="1">
        <v>1</v>
      </c>
      <c r="C3" s="1">
        <f t="shared" ref="C3:BN3" si="0">B3+1</f>
        <v>2</v>
      </c>
      <c r="D3" s="1">
        <f t="shared" si="0"/>
        <v>3</v>
      </c>
      <c r="E3" s="1">
        <f t="shared" si="0"/>
        <v>4</v>
      </c>
      <c r="F3" s="1">
        <f t="shared" si="0"/>
        <v>5</v>
      </c>
      <c r="G3" s="1">
        <f t="shared" si="0"/>
        <v>6</v>
      </c>
      <c r="H3" s="1">
        <f t="shared" si="0"/>
        <v>7</v>
      </c>
      <c r="I3" s="1">
        <f t="shared" si="0"/>
        <v>8</v>
      </c>
      <c r="J3" s="1">
        <f t="shared" si="0"/>
        <v>9</v>
      </c>
      <c r="K3" s="1">
        <f t="shared" si="0"/>
        <v>10</v>
      </c>
      <c r="L3" s="1">
        <f t="shared" si="0"/>
        <v>11</v>
      </c>
      <c r="M3" s="1">
        <f t="shared" si="0"/>
        <v>12</v>
      </c>
      <c r="N3" s="1">
        <f t="shared" si="0"/>
        <v>13</v>
      </c>
      <c r="O3" s="1">
        <f t="shared" si="0"/>
        <v>14</v>
      </c>
      <c r="P3" s="1">
        <f t="shared" si="0"/>
        <v>15</v>
      </c>
      <c r="Q3" s="1">
        <f t="shared" si="0"/>
        <v>16</v>
      </c>
      <c r="R3" s="1">
        <f t="shared" si="0"/>
        <v>17</v>
      </c>
      <c r="S3" s="1">
        <f t="shared" si="0"/>
        <v>18</v>
      </c>
      <c r="T3" s="1">
        <f t="shared" si="0"/>
        <v>19</v>
      </c>
      <c r="U3" s="1">
        <f t="shared" si="0"/>
        <v>20</v>
      </c>
      <c r="V3" s="1">
        <f t="shared" si="0"/>
        <v>21</v>
      </c>
      <c r="W3" s="1">
        <f t="shared" si="0"/>
        <v>22</v>
      </c>
      <c r="X3" s="1">
        <f t="shared" si="0"/>
        <v>23</v>
      </c>
      <c r="Y3" s="1">
        <f t="shared" si="0"/>
        <v>24</v>
      </c>
      <c r="Z3" s="1">
        <f t="shared" si="0"/>
        <v>25</v>
      </c>
      <c r="AA3" s="1">
        <f t="shared" si="0"/>
        <v>26</v>
      </c>
      <c r="AB3" s="1">
        <f t="shared" si="0"/>
        <v>27</v>
      </c>
      <c r="AC3" s="1">
        <f t="shared" si="0"/>
        <v>28</v>
      </c>
      <c r="AD3" s="1">
        <f t="shared" si="0"/>
        <v>29</v>
      </c>
      <c r="AE3" s="1">
        <f t="shared" si="0"/>
        <v>30</v>
      </c>
      <c r="AF3" s="1">
        <f t="shared" si="0"/>
        <v>31</v>
      </c>
      <c r="AG3" s="1">
        <f t="shared" si="0"/>
        <v>32</v>
      </c>
      <c r="AH3" s="1">
        <f t="shared" si="0"/>
        <v>33</v>
      </c>
      <c r="AI3" s="1">
        <f t="shared" si="0"/>
        <v>34</v>
      </c>
      <c r="AJ3" s="1">
        <f t="shared" si="0"/>
        <v>35</v>
      </c>
      <c r="AK3" s="1">
        <f t="shared" si="0"/>
        <v>36</v>
      </c>
      <c r="AL3" s="1">
        <f t="shared" si="0"/>
        <v>37</v>
      </c>
      <c r="AM3" s="1">
        <f t="shared" si="0"/>
        <v>38</v>
      </c>
      <c r="AN3" s="1">
        <f t="shared" si="0"/>
        <v>39</v>
      </c>
      <c r="AO3" s="1">
        <f t="shared" si="0"/>
        <v>40</v>
      </c>
      <c r="AP3" s="1">
        <f t="shared" si="0"/>
        <v>41</v>
      </c>
      <c r="AQ3" s="1">
        <f t="shared" si="0"/>
        <v>42</v>
      </c>
      <c r="AR3" s="1">
        <f t="shared" si="0"/>
        <v>43</v>
      </c>
      <c r="AS3" s="1">
        <f t="shared" si="0"/>
        <v>44</v>
      </c>
      <c r="AT3" s="1">
        <f t="shared" si="0"/>
        <v>45</v>
      </c>
      <c r="AU3" s="1">
        <f t="shared" si="0"/>
        <v>46</v>
      </c>
      <c r="AV3" s="1">
        <f t="shared" si="0"/>
        <v>47</v>
      </c>
      <c r="AW3" s="1">
        <f t="shared" si="0"/>
        <v>48</v>
      </c>
      <c r="AX3" s="1">
        <f t="shared" si="0"/>
        <v>49</v>
      </c>
      <c r="AY3" s="1">
        <f t="shared" si="0"/>
        <v>50</v>
      </c>
      <c r="AZ3" s="1">
        <f t="shared" si="0"/>
        <v>51</v>
      </c>
      <c r="BA3" s="1">
        <f t="shared" si="0"/>
        <v>52</v>
      </c>
      <c r="BB3" s="1">
        <f t="shared" si="0"/>
        <v>53</v>
      </c>
      <c r="BC3" s="1">
        <f t="shared" si="0"/>
        <v>54</v>
      </c>
      <c r="BD3" s="1">
        <f t="shared" si="0"/>
        <v>55</v>
      </c>
      <c r="BE3" s="1">
        <f t="shared" si="0"/>
        <v>56</v>
      </c>
      <c r="BF3" s="1">
        <f t="shared" si="0"/>
        <v>57</v>
      </c>
      <c r="BG3" s="1">
        <f t="shared" si="0"/>
        <v>58</v>
      </c>
      <c r="BH3" s="1">
        <f t="shared" si="0"/>
        <v>59</v>
      </c>
      <c r="BI3" s="1">
        <f t="shared" si="0"/>
        <v>60</v>
      </c>
      <c r="BJ3" s="1">
        <f t="shared" si="0"/>
        <v>61</v>
      </c>
      <c r="BK3" s="1">
        <f t="shared" si="0"/>
        <v>62</v>
      </c>
      <c r="BL3" s="1">
        <f t="shared" si="0"/>
        <v>63</v>
      </c>
      <c r="BM3" s="1">
        <f t="shared" si="0"/>
        <v>64</v>
      </c>
      <c r="BN3" s="1">
        <f t="shared" si="0"/>
        <v>65</v>
      </c>
      <c r="BO3" s="1">
        <f t="shared" ref="BO3:DZ3" si="1">BN3+1</f>
        <v>66</v>
      </c>
      <c r="BP3" s="1">
        <f t="shared" si="1"/>
        <v>67</v>
      </c>
      <c r="BQ3" s="1">
        <f t="shared" si="1"/>
        <v>68</v>
      </c>
      <c r="BR3" s="1">
        <f t="shared" si="1"/>
        <v>69</v>
      </c>
      <c r="BS3" s="1">
        <f t="shared" si="1"/>
        <v>70</v>
      </c>
      <c r="BT3" s="1">
        <f t="shared" si="1"/>
        <v>71</v>
      </c>
      <c r="BU3" s="1">
        <f t="shared" si="1"/>
        <v>72</v>
      </c>
      <c r="BV3" s="1">
        <f t="shared" si="1"/>
        <v>73</v>
      </c>
      <c r="BW3" s="1">
        <f t="shared" si="1"/>
        <v>74</v>
      </c>
      <c r="BX3" s="1">
        <f t="shared" si="1"/>
        <v>75</v>
      </c>
      <c r="BY3" s="1">
        <f t="shared" si="1"/>
        <v>76</v>
      </c>
      <c r="BZ3" s="1">
        <f t="shared" si="1"/>
        <v>77</v>
      </c>
      <c r="CA3" s="1">
        <f t="shared" si="1"/>
        <v>78</v>
      </c>
      <c r="CB3" s="1">
        <f t="shared" si="1"/>
        <v>79</v>
      </c>
      <c r="CC3" s="1">
        <f t="shared" si="1"/>
        <v>80</v>
      </c>
      <c r="CD3" s="1">
        <f t="shared" si="1"/>
        <v>81</v>
      </c>
      <c r="CE3" s="1">
        <f t="shared" si="1"/>
        <v>82</v>
      </c>
      <c r="CF3" s="1">
        <f t="shared" si="1"/>
        <v>83</v>
      </c>
      <c r="CG3" s="1">
        <f t="shared" si="1"/>
        <v>84</v>
      </c>
      <c r="CH3" s="1">
        <f t="shared" si="1"/>
        <v>85</v>
      </c>
      <c r="CI3" s="1">
        <f t="shared" si="1"/>
        <v>86</v>
      </c>
      <c r="CJ3" s="1">
        <f t="shared" si="1"/>
        <v>87</v>
      </c>
      <c r="CK3" s="1">
        <f t="shared" si="1"/>
        <v>88</v>
      </c>
      <c r="CL3" s="1">
        <f t="shared" si="1"/>
        <v>89</v>
      </c>
      <c r="CM3" s="1">
        <f t="shared" si="1"/>
        <v>90</v>
      </c>
      <c r="CN3" s="1">
        <f t="shared" si="1"/>
        <v>91</v>
      </c>
      <c r="CO3" s="1">
        <f t="shared" si="1"/>
        <v>92</v>
      </c>
      <c r="CP3" s="1">
        <f t="shared" si="1"/>
        <v>93</v>
      </c>
      <c r="CQ3" s="1">
        <f t="shared" si="1"/>
        <v>94</v>
      </c>
      <c r="CR3" s="1">
        <f t="shared" si="1"/>
        <v>95</v>
      </c>
      <c r="CS3" s="1">
        <f t="shared" si="1"/>
        <v>96</v>
      </c>
      <c r="CT3" s="1">
        <f t="shared" si="1"/>
        <v>97</v>
      </c>
      <c r="CU3" s="1">
        <f t="shared" si="1"/>
        <v>98</v>
      </c>
      <c r="CV3" s="1">
        <f t="shared" si="1"/>
        <v>99</v>
      </c>
      <c r="CW3" s="1">
        <f t="shared" si="1"/>
        <v>100</v>
      </c>
      <c r="CX3" s="1">
        <f t="shared" si="1"/>
        <v>101</v>
      </c>
      <c r="CY3" s="1">
        <f t="shared" si="1"/>
        <v>102</v>
      </c>
      <c r="CZ3" s="1">
        <f t="shared" si="1"/>
        <v>103</v>
      </c>
      <c r="DA3" s="1">
        <f t="shared" si="1"/>
        <v>104</v>
      </c>
      <c r="DB3" s="1">
        <f t="shared" si="1"/>
        <v>105</v>
      </c>
      <c r="DC3" s="1">
        <f t="shared" si="1"/>
        <v>106</v>
      </c>
      <c r="DD3" s="1">
        <f t="shared" si="1"/>
        <v>107</v>
      </c>
      <c r="DE3" s="1">
        <f t="shared" si="1"/>
        <v>108</v>
      </c>
      <c r="DF3" s="1">
        <f t="shared" si="1"/>
        <v>109</v>
      </c>
      <c r="DG3" s="1">
        <f t="shared" si="1"/>
        <v>110</v>
      </c>
      <c r="DH3" s="1">
        <f t="shared" si="1"/>
        <v>111</v>
      </c>
      <c r="DI3" s="1">
        <f t="shared" si="1"/>
        <v>112</v>
      </c>
      <c r="DJ3" s="1">
        <f t="shared" si="1"/>
        <v>113</v>
      </c>
      <c r="DK3" s="1">
        <f t="shared" si="1"/>
        <v>114</v>
      </c>
      <c r="DL3" s="1">
        <f t="shared" si="1"/>
        <v>115</v>
      </c>
      <c r="DM3" s="1">
        <f t="shared" si="1"/>
        <v>116</v>
      </c>
      <c r="DN3" s="1">
        <f t="shared" si="1"/>
        <v>117</v>
      </c>
      <c r="DO3" s="1">
        <f t="shared" si="1"/>
        <v>118</v>
      </c>
      <c r="DP3" s="1">
        <f t="shared" si="1"/>
        <v>119</v>
      </c>
      <c r="DQ3" s="1">
        <f t="shared" si="1"/>
        <v>120</v>
      </c>
      <c r="DR3" s="1">
        <f t="shared" si="1"/>
        <v>121</v>
      </c>
      <c r="DS3" s="1">
        <f t="shared" si="1"/>
        <v>122</v>
      </c>
      <c r="DT3" s="1">
        <f t="shared" si="1"/>
        <v>123</v>
      </c>
      <c r="DU3" s="1">
        <f t="shared" si="1"/>
        <v>124</v>
      </c>
      <c r="DV3" s="1">
        <f t="shared" si="1"/>
        <v>125</v>
      </c>
      <c r="DW3" s="1">
        <f t="shared" si="1"/>
        <v>126</v>
      </c>
      <c r="DX3" s="1">
        <f t="shared" si="1"/>
        <v>127</v>
      </c>
      <c r="DY3" s="1">
        <f t="shared" si="1"/>
        <v>128</v>
      </c>
      <c r="DZ3" s="1">
        <f t="shared" si="1"/>
        <v>129</v>
      </c>
      <c r="EA3" s="1">
        <f t="shared" ref="EA3:GL3" si="2">DZ3+1</f>
        <v>130</v>
      </c>
      <c r="EB3" s="1">
        <f t="shared" si="2"/>
        <v>131</v>
      </c>
      <c r="EC3" s="1">
        <f t="shared" si="2"/>
        <v>132</v>
      </c>
      <c r="ED3" s="1">
        <f t="shared" si="2"/>
        <v>133</v>
      </c>
      <c r="EE3" s="1">
        <f t="shared" si="2"/>
        <v>134</v>
      </c>
      <c r="EF3" s="1">
        <f t="shared" si="2"/>
        <v>135</v>
      </c>
      <c r="EG3" s="1">
        <f t="shared" si="2"/>
        <v>136</v>
      </c>
      <c r="EH3" s="1">
        <f t="shared" si="2"/>
        <v>137</v>
      </c>
      <c r="EI3" s="1">
        <f t="shared" si="2"/>
        <v>138</v>
      </c>
      <c r="EJ3" s="1">
        <f t="shared" si="2"/>
        <v>139</v>
      </c>
      <c r="EK3" s="1">
        <f t="shared" si="2"/>
        <v>140</v>
      </c>
      <c r="EL3" s="1">
        <f t="shared" si="2"/>
        <v>141</v>
      </c>
      <c r="EM3" s="1">
        <f t="shared" si="2"/>
        <v>142</v>
      </c>
      <c r="EN3" s="1">
        <f t="shared" si="2"/>
        <v>143</v>
      </c>
      <c r="EO3" s="1">
        <f t="shared" si="2"/>
        <v>144</v>
      </c>
      <c r="EP3" s="1">
        <f t="shared" si="2"/>
        <v>145</v>
      </c>
      <c r="EQ3" s="1">
        <f t="shared" si="2"/>
        <v>146</v>
      </c>
      <c r="ER3" s="1">
        <f t="shared" si="2"/>
        <v>147</v>
      </c>
      <c r="ES3" s="1">
        <f t="shared" si="2"/>
        <v>148</v>
      </c>
      <c r="ET3" s="1">
        <f t="shared" si="2"/>
        <v>149</v>
      </c>
      <c r="EU3" s="1">
        <f t="shared" si="2"/>
        <v>150</v>
      </c>
      <c r="EV3" s="1">
        <f t="shared" si="2"/>
        <v>151</v>
      </c>
      <c r="EW3" s="1">
        <f t="shared" si="2"/>
        <v>152</v>
      </c>
      <c r="EX3" s="1">
        <f t="shared" si="2"/>
        <v>153</v>
      </c>
      <c r="EY3" s="1">
        <f t="shared" si="2"/>
        <v>154</v>
      </c>
      <c r="EZ3" s="1">
        <f t="shared" si="2"/>
        <v>155</v>
      </c>
      <c r="FA3" s="1">
        <f t="shared" si="2"/>
        <v>156</v>
      </c>
      <c r="FB3" s="1">
        <f t="shared" si="2"/>
        <v>157</v>
      </c>
      <c r="FC3" s="1">
        <f t="shared" si="2"/>
        <v>158</v>
      </c>
      <c r="FD3" s="1">
        <f t="shared" si="2"/>
        <v>159</v>
      </c>
      <c r="FE3" s="1">
        <f t="shared" si="2"/>
        <v>160</v>
      </c>
      <c r="FF3" s="1">
        <f t="shared" si="2"/>
        <v>161</v>
      </c>
      <c r="FG3" s="1">
        <f t="shared" si="2"/>
        <v>162</v>
      </c>
      <c r="FH3" s="1">
        <f t="shared" si="2"/>
        <v>163</v>
      </c>
      <c r="FI3" s="1">
        <f t="shared" si="2"/>
        <v>164</v>
      </c>
      <c r="FJ3" s="1">
        <f t="shared" si="2"/>
        <v>165</v>
      </c>
      <c r="FK3" s="1">
        <f t="shared" si="2"/>
        <v>166</v>
      </c>
      <c r="FL3" s="1">
        <f t="shared" si="2"/>
        <v>167</v>
      </c>
      <c r="FM3" s="1">
        <f t="shared" si="2"/>
        <v>168</v>
      </c>
      <c r="FN3" s="1">
        <f t="shared" si="2"/>
        <v>169</v>
      </c>
      <c r="FO3" s="1">
        <f t="shared" si="2"/>
        <v>170</v>
      </c>
      <c r="FP3" s="1">
        <f t="shared" si="2"/>
        <v>171</v>
      </c>
      <c r="FQ3" s="1">
        <f t="shared" si="2"/>
        <v>172</v>
      </c>
      <c r="FR3" s="1">
        <f t="shared" si="2"/>
        <v>173</v>
      </c>
      <c r="FS3" s="1">
        <f t="shared" si="2"/>
        <v>174</v>
      </c>
      <c r="FT3" s="1">
        <f t="shared" si="2"/>
        <v>175</v>
      </c>
      <c r="FU3" s="1">
        <f t="shared" si="2"/>
        <v>176</v>
      </c>
      <c r="FV3" s="1">
        <f t="shared" si="2"/>
        <v>177</v>
      </c>
      <c r="FW3" s="1">
        <f t="shared" si="2"/>
        <v>178</v>
      </c>
      <c r="FX3" s="1">
        <f t="shared" si="2"/>
        <v>179</v>
      </c>
      <c r="FY3" s="1">
        <f t="shared" si="2"/>
        <v>180</v>
      </c>
      <c r="FZ3" s="1">
        <f t="shared" si="2"/>
        <v>181</v>
      </c>
      <c r="GA3" s="1">
        <f t="shared" si="2"/>
        <v>182</v>
      </c>
      <c r="GB3" s="1">
        <f t="shared" si="2"/>
        <v>183</v>
      </c>
      <c r="GC3" s="1">
        <f t="shared" si="2"/>
        <v>184</v>
      </c>
      <c r="GD3" s="1">
        <f t="shared" si="2"/>
        <v>185</v>
      </c>
      <c r="GE3" s="1">
        <f t="shared" si="2"/>
        <v>186</v>
      </c>
      <c r="GF3" s="1">
        <f t="shared" si="2"/>
        <v>187</v>
      </c>
      <c r="GG3" s="1">
        <f t="shared" si="2"/>
        <v>188</v>
      </c>
      <c r="GH3" s="1">
        <f t="shared" si="2"/>
        <v>189</v>
      </c>
      <c r="GI3" s="1">
        <f t="shared" si="2"/>
        <v>190</v>
      </c>
      <c r="GJ3" s="1">
        <f t="shared" si="2"/>
        <v>191</v>
      </c>
      <c r="GK3" s="1">
        <f t="shared" si="2"/>
        <v>192</v>
      </c>
      <c r="GL3" s="1">
        <f t="shared" si="2"/>
        <v>193</v>
      </c>
      <c r="GM3" s="1">
        <f t="shared" ref="GM3:IX3" si="3">GL3+1</f>
        <v>194</v>
      </c>
      <c r="GN3" s="1">
        <f t="shared" si="3"/>
        <v>195</v>
      </c>
      <c r="GO3" s="1">
        <f t="shared" si="3"/>
        <v>196</v>
      </c>
      <c r="GP3" s="1">
        <f t="shared" si="3"/>
        <v>197</v>
      </c>
      <c r="GQ3" s="1">
        <f t="shared" si="3"/>
        <v>198</v>
      </c>
      <c r="GR3" s="1">
        <f t="shared" si="3"/>
        <v>199</v>
      </c>
      <c r="GS3" s="1">
        <f t="shared" si="3"/>
        <v>200</v>
      </c>
      <c r="GT3" s="1">
        <f t="shared" si="3"/>
        <v>201</v>
      </c>
      <c r="GU3" s="1">
        <f t="shared" si="3"/>
        <v>202</v>
      </c>
      <c r="GV3" s="1">
        <f t="shared" si="3"/>
        <v>203</v>
      </c>
      <c r="GW3" s="1">
        <f t="shared" si="3"/>
        <v>204</v>
      </c>
      <c r="GX3" s="1">
        <f t="shared" si="3"/>
        <v>205</v>
      </c>
      <c r="GY3" s="1">
        <f t="shared" si="3"/>
        <v>206</v>
      </c>
      <c r="GZ3" s="1">
        <f t="shared" si="3"/>
        <v>207</v>
      </c>
      <c r="HA3" s="1">
        <f t="shared" si="3"/>
        <v>208</v>
      </c>
      <c r="HB3" s="1">
        <f t="shared" si="3"/>
        <v>209</v>
      </c>
      <c r="HC3" s="1">
        <f t="shared" si="3"/>
        <v>210</v>
      </c>
      <c r="HD3" s="1">
        <f t="shared" si="3"/>
        <v>211</v>
      </c>
      <c r="HE3" s="1">
        <f t="shared" si="3"/>
        <v>212</v>
      </c>
      <c r="HF3" s="1">
        <f t="shared" si="3"/>
        <v>213</v>
      </c>
      <c r="HG3" s="1">
        <f t="shared" si="3"/>
        <v>214</v>
      </c>
      <c r="HH3" s="1">
        <f t="shared" si="3"/>
        <v>215</v>
      </c>
      <c r="HI3" s="1">
        <f t="shared" si="3"/>
        <v>216</v>
      </c>
      <c r="HJ3" s="1">
        <f t="shared" si="3"/>
        <v>217</v>
      </c>
      <c r="HK3" s="1">
        <f t="shared" si="3"/>
        <v>218</v>
      </c>
      <c r="HL3" s="1">
        <f t="shared" si="3"/>
        <v>219</v>
      </c>
      <c r="HM3" s="1">
        <f t="shared" si="3"/>
        <v>220</v>
      </c>
      <c r="HN3" s="1">
        <f t="shared" si="3"/>
        <v>221</v>
      </c>
      <c r="HO3" s="1">
        <f t="shared" si="3"/>
        <v>222</v>
      </c>
      <c r="HP3" s="1">
        <f t="shared" si="3"/>
        <v>223</v>
      </c>
      <c r="HQ3" s="1">
        <f t="shared" si="3"/>
        <v>224</v>
      </c>
      <c r="HR3" s="1">
        <f t="shared" si="3"/>
        <v>225</v>
      </c>
      <c r="HS3" s="1">
        <f t="shared" si="3"/>
        <v>226</v>
      </c>
      <c r="HT3" s="1">
        <f t="shared" si="3"/>
        <v>227</v>
      </c>
      <c r="HU3" s="1">
        <f t="shared" si="3"/>
        <v>228</v>
      </c>
      <c r="HV3" s="1">
        <f t="shared" si="3"/>
        <v>229</v>
      </c>
      <c r="HW3" s="1">
        <f t="shared" si="3"/>
        <v>230</v>
      </c>
      <c r="HX3" s="1">
        <f t="shared" si="3"/>
        <v>231</v>
      </c>
      <c r="HY3" s="1">
        <f t="shared" si="3"/>
        <v>232</v>
      </c>
      <c r="HZ3" s="1">
        <f t="shared" si="3"/>
        <v>233</v>
      </c>
      <c r="IA3" s="1">
        <f t="shared" si="3"/>
        <v>234</v>
      </c>
      <c r="IB3" s="1">
        <f t="shared" si="3"/>
        <v>235</v>
      </c>
      <c r="IC3" s="1">
        <f t="shared" si="3"/>
        <v>236</v>
      </c>
      <c r="ID3" s="1">
        <f t="shared" si="3"/>
        <v>237</v>
      </c>
      <c r="IE3" s="1">
        <f t="shared" si="3"/>
        <v>238</v>
      </c>
      <c r="IF3" s="1">
        <f t="shared" si="3"/>
        <v>239</v>
      </c>
      <c r="IG3" s="1">
        <f t="shared" si="3"/>
        <v>240</v>
      </c>
      <c r="IH3" s="1">
        <f t="shared" si="3"/>
        <v>241</v>
      </c>
      <c r="II3" s="1">
        <f t="shared" si="3"/>
        <v>242</v>
      </c>
      <c r="IJ3" s="1">
        <f t="shared" si="3"/>
        <v>243</v>
      </c>
      <c r="IK3" s="1">
        <f t="shared" si="3"/>
        <v>244</v>
      </c>
      <c r="IL3" s="1">
        <f t="shared" si="3"/>
        <v>245</v>
      </c>
      <c r="IM3" s="1">
        <f t="shared" si="3"/>
        <v>246</v>
      </c>
      <c r="IN3" s="1">
        <f t="shared" si="3"/>
        <v>247</v>
      </c>
      <c r="IO3" s="1">
        <f t="shared" si="3"/>
        <v>248</v>
      </c>
      <c r="IP3" s="1">
        <f t="shared" si="3"/>
        <v>249</v>
      </c>
      <c r="IQ3" s="1">
        <f t="shared" si="3"/>
        <v>250</v>
      </c>
      <c r="IR3" s="1">
        <f t="shared" si="3"/>
        <v>251</v>
      </c>
      <c r="IS3" s="1">
        <f t="shared" si="3"/>
        <v>252</v>
      </c>
      <c r="IT3" s="1">
        <f t="shared" si="3"/>
        <v>253</v>
      </c>
      <c r="IU3" s="1">
        <f t="shared" si="3"/>
        <v>254</v>
      </c>
      <c r="IV3" s="1">
        <f t="shared" si="3"/>
        <v>255</v>
      </c>
      <c r="IW3" s="1">
        <f t="shared" si="3"/>
        <v>256</v>
      </c>
      <c r="IX3" s="1">
        <f t="shared" si="3"/>
        <v>257</v>
      </c>
      <c r="IY3" s="1">
        <f t="shared" ref="IY3:JL3" si="4">IX3+1</f>
        <v>258</v>
      </c>
      <c r="IZ3" s="1">
        <f t="shared" si="4"/>
        <v>259</v>
      </c>
      <c r="JA3" s="1">
        <f t="shared" si="4"/>
        <v>260</v>
      </c>
      <c r="JB3" s="1">
        <f t="shared" si="4"/>
        <v>261</v>
      </c>
      <c r="JC3" s="1">
        <f t="shared" si="4"/>
        <v>262</v>
      </c>
      <c r="JD3" s="1">
        <f t="shared" si="4"/>
        <v>263</v>
      </c>
      <c r="JE3" s="1">
        <f t="shared" si="4"/>
        <v>264</v>
      </c>
      <c r="JF3" s="1">
        <f t="shared" si="4"/>
        <v>265</v>
      </c>
      <c r="JG3" s="1">
        <f t="shared" si="4"/>
        <v>266</v>
      </c>
      <c r="JH3" s="1">
        <f t="shared" si="4"/>
        <v>267</v>
      </c>
      <c r="JI3" s="1">
        <f t="shared" si="4"/>
        <v>268</v>
      </c>
      <c r="JJ3" s="1">
        <f t="shared" si="4"/>
        <v>269</v>
      </c>
      <c r="JK3" s="1">
        <f t="shared" si="4"/>
        <v>270</v>
      </c>
      <c r="JL3" s="1">
        <f t="shared" si="4"/>
        <v>271</v>
      </c>
    </row>
    <row r="5" spans="2:274" ht="36">
      <c r="B5" s="66" t="s">
        <v>55</v>
      </c>
      <c r="C5" s="3" t="s">
        <v>99</v>
      </c>
      <c r="D5" s="3" t="s">
        <v>100</v>
      </c>
      <c r="E5" s="3" t="s">
        <v>101</v>
      </c>
      <c r="F5" s="3" t="s">
        <v>102</v>
      </c>
      <c r="G5" s="3" t="s">
        <v>58</v>
      </c>
      <c r="H5" s="3" t="s">
        <v>36</v>
      </c>
      <c r="I5" s="4" t="s">
        <v>103</v>
      </c>
      <c r="J5" s="3" t="s">
        <v>104</v>
      </c>
      <c r="K5" s="3" t="s">
        <v>105</v>
      </c>
      <c r="L5" s="3" t="s">
        <v>106</v>
      </c>
      <c r="M5" s="3" t="s">
        <v>107</v>
      </c>
      <c r="N5" s="3" t="s">
        <v>108</v>
      </c>
      <c r="O5" s="3" t="s">
        <v>109</v>
      </c>
      <c r="P5" s="3" t="s">
        <v>110</v>
      </c>
      <c r="Q5" s="3" t="s">
        <v>111</v>
      </c>
      <c r="R5" s="3" t="s">
        <v>112</v>
      </c>
      <c r="S5" s="3" t="s">
        <v>113</v>
      </c>
      <c r="T5" s="3" t="s">
        <v>114</v>
      </c>
      <c r="U5" s="3" t="s">
        <v>115</v>
      </c>
      <c r="V5" s="3" t="s">
        <v>116</v>
      </c>
      <c r="W5" s="3" t="s">
        <v>117</v>
      </c>
      <c r="X5" s="3" t="s">
        <v>118</v>
      </c>
      <c r="Y5" s="3" t="s">
        <v>119</v>
      </c>
      <c r="Z5" s="3" t="s">
        <v>120</v>
      </c>
      <c r="AA5" s="3" t="s">
        <v>121</v>
      </c>
      <c r="AB5" s="3" t="s">
        <v>122</v>
      </c>
      <c r="AC5" s="3" t="s">
        <v>123</v>
      </c>
      <c r="AD5" s="3" t="s">
        <v>124</v>
      </c>
      <c r="AE5" s="3" t="s">
        <v>125</v>
      </c>
      <c r="AF5" s="3" t="s">
        <v>126</v>
      </c>
      <c r="AG5" s="3" t="s">
        <v>127</v>
      </c>
      <c r="AH5" s="3" t="s">
        <v>128</v>
      </c>
      <c r="AI5" s="3" t="s">
        <v>129</v>
      </c>
      <c r="AJ5" s="3" t="s">
        <v>130</v>
      </c>
      <c r="AK5" s="3" t="s">
        <v>131</v>
      </c>
      <c r="AL5" s="3" t="s">
        <v>132</v>
      </c>
      <c r="AM5" s="3" t="s">
        <v>133</v>
      </c>
      <c r="AN5" s="3" t="s">
        <v>134</v>
      </c>
      <c r="AO5" s="3" t="s">
        <v>135</v>
      </c>
      <c r="AP5" s="3" t="s">
        <v>136</v>
      </c>
      <c r="AQ5" s="3" t="s">
        <v>137</v>
      </c>
      <c r="AR5" s="3" t="s">
        <v>138</v>
      </c>
      <c r="AS5" s="3" t="s">
        <v>139</v>
      </c>
      <c r="AT5" s="3" t="s">
        <v>140</v>
      </c>
      <c r="AU5" s="3" t="s">
        <v>141</v>
      </c>
      <c r="AV5" s="3" t="s">
        <v>142</v>
      </c>
      <c r="AW5" s="3" t="s">
        <v>143</v>
      </c>
      <c r="AX5" s="3" t="s">
        <v>144</v>
      </c>
      <c r="AY5" s="3" t="s">
        <v>145</v>
      </c>
      <c r="AZ5" s="3" t="s">
        <v>146</v>
      </c>
      <c r="BA5" s="3" t="s">
        <v>147</v>
      </c>
      <c r="BB5" s="3" t="s">
        <v>148</v>
      </c>
      <c r="BC5" s="3" t="s">
        <v>149</v>
      </c>
      <c r="BD5" s="3" t="s">
        <v>150</v>
      </c>
      <c r="BE5" s="3" t="s">
        <v>151</v>
      </c>
      <c r="BF5" s="3" t="s">
        <v>152</v>
      </c>
      <c r="BG5" s="3" t="s">
        <v>153</v>
      </c>
      <c r="BH5" s="3" t="s">
        <v>154</v>
      </c>
      <c r="BI5" s="3" t="s">
        <v>155</v>
      </c>
      <c r="BJ5" s="3" t="s">
        <v>156</v>
      </c>
      <c r="BK5" s="3" t="s">
        <v>157</v>
      </c>
      <c r="BL5" s="3" t="s">
        <v>158</v>
      </c>
      <c r="BM5" s="3" t="s">
        <v>159</v>
      </c>
      <c r="BN5" s="3" t="s">
        <v>160</v>
      </c>
      <c r="BO5" s="3" t="s">
        <v>161</v>
      </c>
      <c r="BP5" s="3" t="s">
        <v>162</v>
      </c>
      <c r="BQ5" s="3" t="s">
        <v>163</v>
      </c>
      <c r="BR5" s="3" t="s">
        <v>164</v>
      </c>
      <c r="BS5" s="3" t="s">
        <v>165</v>
      </c>
      <c r="BT5" s="3" t="s">
        <v>166</v>
      </c>
      <c r="BU5" s="3" t="s">
        <v>167</v>
      </c>
      <c r="BV5" s="3" t="s">
        <v>168</v>
      </c>
      <c r="BW5" s="3" t="s">
        <v>169</v>
      </c>
      <c r="BX5" s="3" t="s">
        <v>170</v>
      </c>
      <c r="BY5" s="3" t="s">
        <v>171</v>
      </c>
      <c r="BZ5" s="3" t="s">
        <v>172</v>
      </c>
      <c r="CA5" s="3" t="s">
        <v>173</v>
      </c>
      <c r="CB5" s="3" t="s">
        <v>174</v>
      </c>
      <c r="CC5" s="3" t="s">
        <v>175</v>
      </c>
      <c r="CD5" s="3" t="s">
        <v>176</v>
      </c>
      <c r="CE5" s="3" t="s">
        <v>177</v>
      </c>
      <c r="CF5" s="3" t="s">
        <v>178</v>
      </c>
      <c r="CG5" s="3" t="s">
        <v>179</v>
      </c>
      <c r="CH5" s="3" t="s">
        <v>180</v>
      </c>
      <c r="CI5" s="3" t="s">
        <v>181</v>
      </c>
      <c r="CJ5" s="3" t="s">
        <v>182</v>
      </c>
      <c r="CK5" s="3" t="s">
        <v>183</v>
      </c>
      <c r="CL5" s="3" t="s">
        <v>184</v>
      </c>
      <c r="CM5" s="3" t="s">
        <v>185</v>
      </c>
      <c r="CN5" s="3" t="s">
        <v>186</v>
      </c>
      <c r="CO5" s="3" t="s">
        <v>187</v>
      </c>
      <c r="CP5" s="3" t="s">
        <v>188</v>
      </c>
      <c r="CQ5" s="3" t="s">
        <v>189</v>
      </c>
      <c r="CR5" s="3" t="s">
        <v>190</v>
      </c>
      <c r="CS5" s="3" t="s">
        <v>191</v>
      </c>
      <c r="CT5" s="3" t="s">
        <v>192</v>
      </c>
      <c r="CU5" s="3" t="s">
        <v>193</v>
      </c>
      <c r="CV5" s="3" t="s">
        <v>194</v>
      </c>
      <c r="CW5" s="3" t="s">
        <v>195</v>
      </c>
      <c r="CX5" s="3" t="s">
        <v>196</v>
      </c>
      <c r="CY5" s="3" t="s">
        <v>197</v>
      </c>
      <c r="CZ5" s="3" t="s">
        <v>198</v>
      </c>
      <c r="DA5" s="3" t="s">
        <v>199</v>
      </c>
      <c r="DB5" s="3" t="s">
        <v>200</v>
      </c>
      <c r="DC5" s="3" t="s">
        <v>201</v>
      </c>
      <c r="DD5" s="3" t="s">
        <v>202</v>
      </c>
      <c r="DE5" s="3" t="s">
        <v>203</v>
      </c>
      <c r="DF5" s="3" t="s">
        <v>204</v>
      </c>
      <c r="DG5" s="3" t="s">
        <v>205</v>
      </c>
      <c r="DH5" s="3" t="s">
        <v>206</v>
      </c>
      <c r="DI5" s="3" t="s">
        <v>207</v>
      </c>
      <c r="DJ5" s="3" t="s">
        <v>208</v>
      </c>
      <c r="DK5" s="3" t="s">
        <v>209</v>
      </c>
      <c r="DL5" s="3" t="s">
        <v>210</v>
      </c>
      <c r="DM5" s="3" t="s">
        <v>211</v>
      </c>
      <c r="DN5" s="3" t="s">
        <v>212</v>
      </c>
      <c r="DO5" s="3" t="s">
        <v>213</v>
      </c>
      <c r="DP5" s="3" t="s">
        <v>214</v>
      </c>
      <c r="DQ5" s="3" t="s">
        <v>215</v>
      </c>
      <c r="DR5" s="3" t="s">
        <v>216</v>
      </c>
      <c r="DS5" s="3" t="s">
        <v>217</v>
      </c>
      <c r="DT5" s="3" t="s">
        <v>218</v>
      </c>
      <c r="DU5" s="3" t="s">
        <v>219</v>
      </c>
      <c r="DV5" s="3" t="s">
        <v>220</v>
      </c>
      <c r="DW5" s="3" t="s">
        <v>221</v>
      </c>
      <c r="DX5" s="3" t="s">
        <v>222</v>
      </c>
      <c r="DY5" s="3" t="s">
        <v>223</v>
      </c>
      <c r="DZ5" s="3" t="s">
        <v>224</v>
      </c>
      <c r="EA5" s="3" t="s">
        <v>225</v>
      </c>
      <c r="EB5" s="3" t="s">
        <v>226</v>
      </c>
      <c r="EC5" s="3" t="s">
        <v>227</v>
      </c>
      <c r="ED5" s="3" t="s">
        <v>228</v>
      </c>
      <c r="EE5" s="3" t="s">
        <v>229</v>
      </c>
      <c r="EF5" s="3" t="s">
        <v>230</v>
      </c>
      <c r="EG5" s="3" t="s">
        <v>231</v>
      </c>
      <c r="EH5" s="3" t="s">
        <v>232</v>
      </c>
      <c r="EI5" s="3" t="s">
        <v>233</v>
      </c>
      <c r="EJ5" s="3" t="s">
        <v>234</v>
      </c>
      <c r="EK5" s="3" t="s">
        <v>235</v>
      </c>
      <c r="EL5" s="3" t="s">
        <v>236</v>
      </c>
      <c r="EM5" s="3" t="s">
        <v>237</v>
      </c>
      <c r="EN5" s="3" t="s">
        <v>238</v>
      </c>
      <c r="EO5" s="3" t="s">
        <v>239</v>
      </c>
      <c r="EP5" s="3" t="s">
        <v>240</v>
      </c>
      <c r="EQ5" s="3" t="s">
        <v>241</v>
      </c>
      <c r="ER5" s="3" t="s">
        <v>242</v>
      </c>
      <c r="ES5" s="3" t="s">
        <v>243</v>
      </c>
      <c r="ET5" s="3" t="s">
        <v>244</v>
      </c>
      <c r="EU5" s="3" t="s">
        <v>245</v>
      </c>
      <c r="EV5" s="3" t="s">
        <v>246</v>
      </c>
      <c r="EW5" s="3" t="s">
        <v>247</v>
      </c>
      <c r="EX5" s="3" t="s">
        <v>248</v>
      </c>
      <c r="EY5" s="3" t="s">
        <v>249</v>
      </c>
      <c r="EZ5" s="3" t="s">
        <v>250</v>
      </c>
      <c r="FA5" s="3" t="s">
        <v>251</v>
      </c>
      <c r="FB5" s="3" t="s">
        <v>252</v>
      </c>
      <c r="FC5" s="3" t="s">
        <v>253</v>
      </c>
      <c r="FD5" s="3" t="s">
        <v>254</v>
      </c>
      <c r="FE5" s="3" t="s">
        <v>255</v>
      </c>
      <c r="FF5" s="3" t="s">
        <v>256</v>
      </c>
      <c r="FG5" s="3" t="s">
        <v>257</v>
      </c>
      <c r="FH5" s="3" t="s">
        <v>258</v>
      </c>
      <c r="FI5" s="3" t="s">
        <v>259</v>
      </c>
      <c r="FJ5" s="3" t="s">
        <v>260</v>
      </c>
      <c r="FK5" s="3" t="s">
        <v>261</v>
      </c>
      <c r="FL5" s="3" t="s">
        <v>262</v>
      </c>
      <c r="FM5" s="3" t="s">
        <v>263</v>
      </c>
      <c r="FN5" s="3" t="s">
        <v>264</v>
      </c>
      <c r="FO5" s="3" t="s">
        <v>265</v>
      </c>
      <c r="FP5" s="3" t="s">
        <v>266</v>
      </c>
      <c r="FQ5" s="3" t="s">
        <v>267</v>
      </c>
      <c r="FR5" s="3" t="s">
        <v>268</v>
      </c>
      <c r="FS5" s="3" t="s">
        <v>269</v>
      </c>
      <c r="FT5" s="3" t="s">
        <v>270</v>
      </c>
      <c r="FU5" s="3" t="s">
        <v>271</v>
      </c>
      <c r="FV5" s="3" t="s">
        <v>272</v>
      </c>
      <c r="FW5" s="3" t="s">
        <v>273</v>
      </c>
      <c r="FX5" s="3" t="s">
        <v>274</v>
      </c>
      <c r="FY5" s="3" t="s">
        <v>275</v>
      </c>
      <c r="FZ5" s="3" t="s">
        <v>276</v>
      </c>
      <c r="GA5" s="3" t="s">
        <v>277</v>
      </c>
      <c r="GB5" s="3" t="s">
        <v>278</v>
      </c>
      <c r="GC5" s="3" t="s">
        <v>279</v>
      </c>
      <c r="GD5" s="3" t="s">
        <v>280</v>
      </c>
      <c r="GE5" s="3" t="s">
        <v>281</v>
      </c>
      <c r="GF5" s="3" t="s">
        <v>282</v>
      </c>
      <c r="GG5" s="3" t="s">
        <v>283</v>
      </c>
      <c r="GH5" s="3" t="s">
        <v>284</v>
      </c>
      <c r="GI5" s="3" t="s">
        <v>285</v>
      </c>
      <c r="GJ5" s="3" t="s">
        <v>286</v>
      </c>
      <c r="GK5" s="3" t="s">
        <v>287</v>
      </c>
      <c r="GL5" s="3" t="s">
        <v>288</v>
      </c>
      <c r="GM5" s="3" t="s">
        <v>289</v>
      </c>
      <c r="GN5" s="3" t="s">
        <v>290</v>
      </c>
      <c r="GO5" s="3" t="s">
        <v>291</v>
      </c>
      <c r="GP5" s="3" t="s">
        <v>292</v>
      </c>
      <c r="GQ5" s="3" t="s">
        <v>293</v>
      </c>
      <c r="GR5" s="3" t="s">
        <v>294</v>
      </c>
      <c r="GS5" s="3" t="s">
        <v>295</v>
      </c>
      <c r="GT5" s="3" t="s">
        <v>296</v>
      </c>
      <c r="GU5" s="3" t="s">
        <v>297</v>
      </c>
      <c r="GV5" s="3" t="s">
        <v>298</v>
      </c>
      <c r="GW5" s="3" t="s">
        <v>299</v>
      </c>
      <c r="GX5" s="3" t="s">
        <v>300</v>
      </c>
      <c r="GY5" s="3" t="s">
        <v>301</v>
      </c>
      <c r="GZ5" s="3" t="s">
        <v>302</v>
      </c>
      <c r="HA5" s="3" t="s">
        <v>303</v>
      </c>
      <c r="HB5" s="3" t="s">
        <v>304</v>
      </c>
      <c r="HC5" s="3" t="s">
        <v>305</v>
      </c>
      <c r="HD5" s="3" t="s">
        <v>306</v>
      </c>
      <c r="HE5" s="3" t="s">
        <v>307</v>
      </c>
      <c r="HF5" s="3" t="s">
        <v>308</v>
      </c>
      <c r="HG5" s="3" t="s">
        <v>309</v>
      </c>
      <c r="HH5" s="3" t="s">
        <v>310</v>
      </c>
      <c r="HI5" s="3" t="s">
        <v>311</v>
      </c>
      <c r="HJ5" s="3" t="s">
        <v>312</v>
      </c>
      <c r="HK5" s="3" t="s">
        <v>313</v>
      </c>
      <c r="HL5" s="3" t="s">
        <v>314</v>
      </c>
      <c r="HM5" s="3" t="s">
        <v>315</v>
      </c>
      <c r="HN5" s="3" t="s">
        <v>316</v>
      </c>
      <c r="HO5" s="3" t="s">
        <v>317</v>
      </c>
      <c r="HP5" s="3" t="s">
        <v>318</v>
      </c>
      <c r="HQ5" s="3" t="s">
        <v>319</v>
      </c>
      <c r="HR5" s="3" t="s">
        <v>320</v>
      </c>
      <c r="HS5" s="3" t="s">
        <v>321</v>
      </c>
      <c r="HT5" s="3" t="s">
        <v>322</v>
      </c>
      <c r="HU5" s="3" t="s">
        <v>323</v>
      </c>
      <c r="HV5" s="3" t="s">
        <v>324</v>
      </c>
      <c r="HW5" s="3" t="s">
        <v>325</v>
      </c>
      <c r="HX5" s="3" t="s">
        <v>326</v>
      </c>
      <c r="HY5" s="3" t="s">
        <v>327</v>
      </c>
      <c r="HZ5" s="3" t="s">
        <v>328</v>
      </c>
      <c r="IA5" s="3" t="s">
        <v>329</v>
      </c>
      <c r="IB5" s="3" t="s">
        <v>330</v>
      </c>
      <c r="IC5" s="3" t="s">
        <v>331</v>
      </c>
      <c r="ID5" s="3" t="s">
        <v>332</v>
      </c>
      <c r="IE5" s="3" t="s">
        <v>333</v>
      </c>
      <c r="IF5" s="3" t="s">
        <v>334</v>
      </c>
      <c r="IG5" s="3" t="s">
        <v>335</v>
      </c>
      <c r="IH5" s="3" t="s">
        <v>336</v>
      </c>
      <c r="II5" s="3" t="s">
        <v>337</v>
      </c>
      <c r="IJ5" s="3" t="s">
        <v>338</v>
      </c>
      <c r="IK5" s="3" t="s">
        <v>339</v>
      </c>
      <c r="IL5" s="3" t="s">
        <v>340</v>
      </c>
      <c r="IM5" s="3" t="s">
        <v>341</v>
      </c>
      <c r="IN5" s="3" t="s">
        <v>342</v>
      </c>
      <c r="IO5" s="3" t="s">
        <v>343</v>
      </c>
      <c r="IP5" s="3" t="s">
        <v>344</v>
      </c>
      <c r="IQ5" s="3" t="s">
        <v>345</v>
      </c>
      <c r="IR5" s="3" t="s">
        <v>346</v>
      </c>
      <c r="IS5" s="3" t="s">
        <v>347</v>
      </c>
      <c r="IT5" s="3" t="s">
        <v>348</v>
      </c>
      <c r="IU5" s="3" t="s">
        <v>349</v>
      </c>
      <c r="IV5" s="3" t="s">
        <v>350</v>
      </c>
      <c r="IW5" s="3" t="s">
        <v>351</v>
      </c>
      <c r="IX5" s="3" t="s">
        <v>59</v>
      </c>
      <c r="IY5" s="3" t="s">
        <v>60</v>
      </c>
      <c r="IZ5" s="3" t="s">
        <v>61</v>
      </c>
      <c r="JA5" s="3" t="s">
        <v>62</v>
      </c>
      <c r="JB5" s="3" t="s">
        <v>63</v>
      </c>
      <c r="JC5" s="3" t="s">
        <v>352</v>
      </c>
      <c r="JD5" s="3" t="s">
        <v>353</v>
      </c>
      <c r="JE5" s="3" t="s">
        <v>354</v>
      </c>
      <c r="JF5" s="3" t="s">
        <v>65</v>
      </c>
      <c r="JG5" s="3" t="s">
        <v>66</v>
      </c>
      <c r="JH5" s="3" t="s">
        <v>67</v>
      </c>
      <c r="JI5" s="3" t="s">
        <v>355</v>
      </c>
      <c r="JJ5" s="3" t="s">
        <v>49</v>
      </c>
      <c r="JK5" s="3" t="s">
        <v>356</v>
      </c>
      <c r="JL5" s="102" t="s">
        <v>357</v>
      </c>
      <c r="JM5" s="102" t="s">
        <v>358</v>
      </c>
      <c r="JN5" s="102" t="s">
        <v>359</v>
      </c>
    </row>
    <row r="6" spans="2:274">
      <c r="B6" s="67">
        <v>45745</v>
      </c>
      <c r="C6" s="206">
        <f>YEAR(Raw_Data[[#This Row],[Date]])+IF(MONTH(Raw_Data[[#This Row],[Date]])&gt;=4,1,0)</f>
        <v>2025</v>
      </c>
      <c r="D6" s="6">
        <f t="shared" ref="D6:D8" si="5">YEAR(B6)</f>
        <v>2025</v>
      </c>
      <c r="E6" s="7" t="s">
        <v>360</v>
      </c>
      <c r="F6" s="7" t="s">
        <v>360</v>
      </c>
      <c r="G6" s="8">
        <v>45717</v>
      </c>
      <c r="H6" s="6">
        <f t="shared" ref="H6:H8" si="6">DAY(EOMONTH(B6,0))</f>
        <v>31</v>
      </c>
      <c r="I6" s="9">
        <v>335090.89</v>
      </c>
      <c r="J6" s="10">
        <v>0.28402777777777777</v>
      </c>
      <c r="K6" s="10">
        <v>0.79236111111111107</v>
      </c>
      <c r="L6" s="9">
        <v>11405</v>
      </c>
      <c r="M6" s="9">
        <v>11864.2</v>
      </c>
      <c r="N6" s="9">
        <v>11835.7</v>
      </c>
      <c r="O6" s="9">
        <v>11832.4</v>
      </c>
      <c r="P6" s="9">
        <v>11887</v>
      </c>
      <c r="Q6" s="9">
        <v>11918.9</v>
      </c>
      <c r="R6" s="9">
        <v>11927.6</v>
      </c>
      <c r="S6" s="9">
        <v>12225</v>
      </c>
      <c r="T6" s="9">
        <v>11847.4</v>
      </c>
      <c r="U6" s="9">
        <v>11910.1</v>
      </c>
      <c r="V6" s="9">
        <v>11717.5</v>
      </c>
      <c r="W6" s="9">
        <v>11851.1</v>
      </c>
      <c r="X6" s="9">
        <v>11819.7</v>
      </c>
      <c r="Y6" s="9">
        <v>11803.1</v>
      </c>
      <c r="Z6" s="9">
        <v>11800.6</v>
      </c>
      <c r="AA6" s="9">
        <v>11891</v>
      </c>
      <c r="AB6" s="9">
        <v>11713.9</v>
      </c>
      <c r="AC6" s="9">
        <v>11823.5</v>
      </c>
      <c r="AD6" s="9">
        <v>11880.4</v>
      </c>
      <c r="AE6" s="9">
        <v>11938.3</v>
      </c>
      <c r="AF6" s="9">
        <v>11881.2</v>
      </c>
      <c r="AG6" s="9">
        <v>11887.1</v>
      </c>
      <c r="AH6" s="9">
        <v>11677.4</v>
      </c>
      <c r="AI6" s="9">
        <v>11778.9</v>
      </c>
      <c r="AJ6" s="9">
        <v>11623.4</v>
      </c>
      <c r="AK6" s="9">
        <v>10369.6</v>
      </c>
      <c r="AL6" s="9">
        <v>11645.4</v>
      </c>
      <c r="AM6" s="9">
        <v>11593.6</v>
      </c>
      <c r="AN6" s="9">
        <v>11907.2</v>
      </c>
      <c r="AO6" s="9">
        <v>11743.2</v>
      </c>
      <c r="AP6" s="9">
        <v>11686.9</v>
      </c>
      <c r="AQ6" s="9">
        <v>11890</v>
      </c>
      <c r="AR6" s="9">
        <v>11927.7</v>
      </c>
      <c r="AS6" s="9">
        <v>12018.9</v>
      </c>
      <c r="AT6" s="9">
        <v>12040.1</v>
      </c>
      <c r="AU6" s="9">
        <v>11968.5</v>
      </c>
      <c r="AV6" s="9">
        <v>11982</v>
      </c>
      <c r="AW6" s="9">
        <v>11828.7</v>
      </c>
      <c r="AX6" s="9">
        <v>11826.6</v>
      </c>
      <c r="AY6" s="9">
        <v>11751</v>
      </c>
      <c r="AZ6" s="9">
        <v>12576.8</v>
      </c>
      <c r="BA6" s="9">
        <v>11542.2</v>
      </c>
      <c r="BB6" s="9">
        <v>12452.3</v>
      </c>
      <c r="BC6" s="9">
        <v>11372.7</v>
      </c>
      <c r="BD6" s="9">
        <v>11980.4</v>
      </c>
      <c r="BE6" s="9">
        <v>13041.7</v>
      </c>
      <c r="BF6" s="9">
        <v>11326.7</v>
      </c>
      <c r="BG6" s="9">
        <v>12591.3</v>
      </c>
      <c r="BH6" s="9">
        <v>11767.4</v>
      </c>
      <c r="BI6" s="9">
        <v>11985.5</v>
      </c>
      <c r="BJ6" s="9">
        <v>11908</v>
      </c>
      <c r="BK6" s="9">
        <v>11317</v>
      </c>
      <c r="BL6" s="9">
        <v>12235.8</v>
      </c>
      <c r="BM6" s="9">
        <v>11802.8</v>
      </c>
      <c r="BN6" s="9">
        <v>12208</v>
      </c>
      <c r="BO6" s="9">
        <v>11902</v>
      </c>
      <c r="BP6" s="9">
        <v>11008.5</v>
      </c>
      <c r="BQ6" s="9">
        <v>12390.1</v>
      </c>
      <c r="BR6" s="9">
        <v>11043.8</v>
      </c>
      <c r="BS6" s="9">
        <v>12354.8</v>
      </c>
      <c r="BT6" s="9">
        <v>12271.7</v>
      </c>
      <c r="BU6" s="9">
        <v>11036.3</v>
      </c>
      <c r="BV6" s="9">
        <v>11981</v>
      </c>
      <c r="BW6" s="9">
        <v>11473.3</v>
      </c>
      <c r="BX6" s="9">
        <v>11621.4</v>
      </c>
      <c r="BY6" s="9">
        <v>11002</v>
      </c>
      <c r="BZ6" s="9">
        <v>11595.4</v>
      </c>
      <c r="CA6" s="9">
        <v>11996.3</v>
      </c>
      <c r="CB6" s="9">
        <v>12279.2</v>
      </c>
      <c r="CC6" s="9">
        <v>11213.6</v>
      </c>
      <c r="CD6" s="9">
        <v>12123.5</v>
      </c>
      <c r="CE6" s="9">
        <v>10841.3</v>
      </c>
      <c r="CF6" s="9">
        <v>11824.3</v>
      </c>
      <c r="CG6" s="9">
        <v>11636.1</v>
      </c>
      <c r="CH6" s="9">
        <v>11064.8</v>
      </c>
      <c r="CI6" s="9">
        <v>12111.6</v>
      </c>
      <c r="CJ6" s="9">
        <v>10912.6</v>
      </c>
      <c r="CK6" s="9">
        <v>12296.2</v>
      </c>
      <c r="CL6" s="9">
        <v>11046.5</v>
      </c>
      <c r="CM6" s="9">
        <v>12153.7</v>
      </c>
      <c r="CN6" s="9">
        <v>11269.7</v>
      </c>
      <c r="CO6" s="9">
        <v>12029.2</v>
      </c>
      <c r="CP6" s="9">
        <v>11352.3</v>
      </c>
      <c r="CQ6" s="9">
        <v>12366.3</v>
      </c>
      <c r="CR6" s="9">
        <v>11235.6</v>
      </c>
      <c r="CS6" s="9">
        <v>11855.2</v>
      </c>
      <c r="CT6" s="9">
        <v>11185.5</v>
      </c>
      <c r="CU6" s="9">
        <v>9988.5</v>
      </c>
      <c r="CV6" s="9">
        <v>12041.1</v>
      </c>
      <c r="CW6" s="9">
        <v>11653.3</v>
      </c>
      <c r="CX6" s="9">
        <v>10982.1</v>
      </c>
      <c r="CY6" s="9">
        <v>12398.2</v>
      </c>
      <c r="CZ6" s="9">
        <v>12088.6</v>
      </c>
      <c r="DA6" s="9">
        <v>11283.9</v>
      </c>
      <c r="DB6" s="9">
        <v>11155.5</v>
      </c>
      <c r="DC6" s="9">
        <v>12094.6</v>
      </c>
      <c r="DD6" s="9">
        <v>11015</v>
      </c>
      <c r="DE6" s="9">
        <v>11421.1</v>
      </c>
      <c r="DF6" s="9">
        <v>12277.7</v>
      </c>
      <c r="DG6" s="9">
        <v>11022.8</v>
      </c>
      <c r="DH6" s="9">
        <v>12314</v>
      </c>
      <c r="DI6" s="9">
        <v>10998.9</v>
      </c>
      <c r="DJ6" s="9">
        <v>12061.9</v>
      </c>
      <c r="DK6" s="9">
        <v>11244.1</v>
      </c>
      <c r="DL6" s="9">
        <v>12143.5</v>
      </c>
      <c r="DM6" s="9">
        <v>10712.1</v>
      </c>
      <c r="DN6" s="9">
        <v>12209.9</v>
      </c>
      <c r="DO6" s="9">
        <v>11183</v>
      </c>
      <c r="DP6" s="9">
        <v>12072.7</v>
      </c>
      <c r="DQ6" s="9">
        <v>11113.3</v>
      </c>
      <c r="DR6" s="9">
        <v>12085.9</v>
      </c>
      <c r="DS6" s="9">
        <v>11328.8</v>
      </c>
      <c r="DT6" s="9">
        <v>11045.3</v>
      </c>
      <c r="DU6" s="9">
        <v>12005.5</v>
      </c>
      <c r="DV6" s="9">
        <v>11181.6</v>
      </c>
      <c r="DW6" s="9">
        <v>10967.3</v>
      </c>
      <c r="DX6" s="9">
        <v>12089.3</v>
      </c>
      <c r="DY6" s="9">
        <v>12193.6</v>
      </c>
      <c r="DZ6" s="9">
        <v>12015</v>
      </c>
      <c r="EA6" s="9">
        <v>11150.4</v>
      </c>
      <c r="EB6" s="9">
        <v>12120.6</v>
      </c>
      <c r="EC6" s="9">
        <v>11026.6</v>
      </c>
      <c r="ED6" s="9">
        <v>11847.3</v>
      </c>
      <c r="EE6" s="9">
        <v>11188.1</v>
      </c>
      <c r="EF6" s="9">
        <v>11707.7</v>
      </c>
      <c r="EG6" s="9">
        <v>10380.200000000001</v>
      </c>
      <c r="EH6" s="9">
        <v>11886.7</v>
      </c>
      <c r="EI6" s="9">
        <v>11028.3</v>
      </c>
      <c r="EJ6" s="9">
        <v>11102.2</v>
      </c>
      <c r="EK6" s="9">
        <v>11101.5</v>
      </c>
      <c r="EL6" s="9">
        <v>11030.4</v>
      </c>
      <c r="EM6" s="9">
        <v>9585.4</v>
      </c>
      <c r="EN6" s="9">
        <v>10884.2</v>
      </c>
      <c r="EO6" s="9">
        <v>9738.1</v>
      </c>
      <c r="EP6" s="9">
        <v>10943.8</v>
      </c>
      <c r="EQ6" s="9">
        <v>11009.2</v>
      </c>
      <c r="ER6" s="9">
        <v>12487.8</v>
      </c>
      <c r="ES6" s="9">
        <v>11149.7</v>
      </c>
      <c r="ET6" s="9">
        <v>12564.5</v>
      </c>
      <c r="EU6" s="9">
        <v>11424.4</v>
      </c>
      <c r="EV6" s="9">
        <v>12444.5</v>
      </c>
      <c r="EW6" s="9">
        <v>11263.7</v>
      </c>
      <c r="EX6" s="9">
        <v>11422.4</v>
      </c>
      <c r="EY6" s="9">
        <v>11208.6</v>
      </c>
      <c r="EZ6" s="9">
        <v>12250.5</v>
      </c>
      <c r="FA6" s="9">
        <v>12593.1</v>
      </c>
      <c r="FB6" s="9">
        <v>12477.7</v>
      </c>
      <c r="FC6" s="9">
        <v>12418.5</v>
      </c>
      <c r="FD6" s="9">
        <v>12435.2</v>
      </c>
      <c r="FE6" s="9">
        <v>12454</v>
      </c>
      <c r="FF6" s="9">
        <v>11538.3</v>
      </c>
      <c r="FG6" s="9">
        <v>12499.6</v>
      </c>
      <c r="FH6" s="9">
        <v>12590.9</v>
      </c>
      <c r="FI6" s="9">
        <v>12583.8</v>
      </c>
      <c r="FJ6" s="9">
        <v>12616.9</v>
      </c>
      <c r="FK6" s="9">
        <v>12575.2</v>
      </c>
      <c r="FL6" s="9">
        <v>12610.9</v>
      </c>
      <c r="FM6" s="9">
        <v>11547.8</v>
      </c>
      <c r="FN6" s="9">
        <v>12627.3</v>
      </c>
      <c r="FO6" s="9">
        <v>11599.2</v>
      </c>
      <c r="FP6" s="11">
        <v>27.896652719665248</v>
      </c>
      <c r="FQ6" s="11">
        <v>27.207308228730827</v>
      </c>
      <c r="FR6" s="11">
        <v>27.576680613668096</v>
      </c>
      <c r="FS6" s="11">
        <v>27.532524407252442</v>
      </c>
      <c r="FT6" s="11">
        <v>27.243124128312434</v>
      </c>
      <c r="FU6" s="11">
        <v>27.079135285913505</v>
      </c>
      <c r="FV6" s="11">
        <v>0</v>
      </c>
      <c r="FW6" s="11">
        <v>38.118214783821486</v>
      </c>
      <c r="FX6" s="11">
        <v>0</v>
      </c>
      <c r="FY6" s="11">
        <v>0</v>
      </c>
      <c r="FZ6" s="11">
        <v>38</v>
      </c>
      <c r="GA6" s="11">
        <v>37.4</v>
      </c>
      <c r="GB6" s="11">
        <v>4.067686980753134</v>
      </c>
      <c r="GC6" s="11">
        <v>1.7363667484937249</v>
      </c>
      <c r="GD6" s="11">
        <v>3.7344303401673646</v>
      </c>
      <c r="GE6" s="11">
        <v>1.954346730474199</v>
      </c>
      <c r="GF6" s="11">
        <v>3.9618175889818699</v>
      </c>
      <c r="GG6" s="11">
        <v>3.4695837829846563</v>
      </c>
      <c r="GH6" s="11">
        <v>8.233333</v>
      </c>
      <c r="GI6" s="11">
        <v>7.7416660000000004</v>
      </c>
      <c r="GJ6" s="11">
        <v>7.3816660000000001</v>
      </c>
      <c r="GK6" s="11">
        <v>7.59</v>
      </c>
      <c r="GL6" s="11">
        <v>8.5533339999999995</v>
      </c>
      <c r="GM6" s="11">
        <v>7.198334</v>
      </c>
      <c r="GN6" s="11">
        <v>6.2653098333333279</v>
      </c>
      <c r="GO6" s="11">
        <v>6.3024694999999991</v>
      </c>
      <c r="GP6" s="11">
        <v>6.3110605000000062</v>
      </c>
      <c r="GQ6" s="11">
        <v>6.2221736666666674</v>
      </c>
      <c r="GR6" s="11">
        <v>6.2410573333333357</v>
      </c>
      <c r="GS6" s="11">
        <v>6.2664663333333257</v>
      </c>
      <c r="GT6" s="108">
        <v>1.6867861666666675</v>
      </c>
      <c r="GU6" s="108">
        <v>1.6830044999999985</v>
      </c>
      <c r="GV6" s="108">
        <v>1.5547326666666663</v>
      </c>
      <c r="GW6" s="108">
        <v>2.071104666666669</v>
      </c>
      <c r="GX6" s="108">
        <v>1.8486484999999999</v>
      </c>
      <c r="GY6" s="108">
        <v>1.6094923333333346</v>
      </c>
      <c r="GZ6" s="13">
        <v>6.7001268333333348</v>
      </c>
      <c r="HA6" s="13">
        <v>6.6925051666666668</v>
      </c>
      <c r="HB6" s="13">
        <v>6.654633333333333</v>
      </c>
      <c r="HC6" s="13">
        <v>6.6738365000000055</v>
      </c>
      <c r="HD6" s="13">
        <v>6.604623499999998</v>
      </c>
      <c r="HE6" s="13">
        <v>6.555704666666669</v>
      </c>
      <c r="HF6" s="13">
        <v>0.44733533333333342</v>
      </c>
      <c r="HG6" s="13">
        <v>0.49967716666666706</v>
      </c>
      <c r="HH6" s="13">
        <v>0.42221266666666663</v>
      </c>
      <c r="HI6" s="13">
        <v>0.45584600000000053</v>
      </c>
      <c r="HJ6" s="13">
        <v>0.42802716666666651</v>
      </c>
      <c r="HK6" s="13">
        <v>0.47133616666666639</v>
      </c>
      <c r="HL6" s="12">
        <v>0</v>
      </c>
      <c r="HM6" s="12">
        <v>0</v>
      </c>
      <c r="HN6" s="12">
        <v>0</v>
      </c>
      <c r="HO6" s="12">
        <v>0</v>
      </c>
      <c r="HP6" s="12">
        <v>0</v>
      </c>
      <c r="HQ6" s="12">
        <v>0</v>
      </c>
      <c r="HR6" s="12">
        <v>0</v>
      </c>
      <c r="HS6" s="12">
        <v>0</v>
      </c>
      <c r="HT6" s="12">
        <v>0</v>
      </c>
      <c r="HU6" s="12">
        <v>0</v>
      </c>
      <c r="HV6" s="12">
        <v>0</v>
      </c>
      <c r="HW6" s="12">
        <v>0</v>
      </c>
      <c r="HX6" s="9">
        <v>895938</v>
      </c>
      <c r="HY6" s="9">
        <v>1674</v>
      </c>
      <c r="HZ6" s="9">
        <v>882865</v>
      </c>
      <c r="IA6" s="9">
        <v>1694</v>
      </c>
      <c r="IB6" s="11">
        <v>83940.34</v>
      </c>
      <c r="IC6" s="11">
        <v>199.2</v>
      </c>
      <c r="ID6" s="14">
        <f t="shared" ref="ID6:ID8" si="7">GN6-HL6</f>
        <v>6.2653098333333279</v>
      </c>
      <c r="IE6" s="14">
        <f t="shared" ref="IE6:IE8" si="8">GO6-HM6</f>
        <v>6.3024694999999991</v>
      </c>
      <c r="IF6" s="14">
        <f t="shared" ref="IF6:IF8" si="9">GP6-HN6</f>
        <v>6.3110605000000062</v>
      </c>
      <c r="IG6" s="14">
        <f t="shared" ref="IG6:IG8" si="10">GQ6-HO6</f>
        <v>6.2221736666666674</v>
      </c>
      <c r="IH6" s="14">
        <f t="shared" ref="IH6:IH8" si="11">GR6-HP6</f>
        <v>6.2410573333333357</v>
      </c>
      <c r="II6" s="14">
        <f t="shared" ref="II6:II8" si="12">GS6-HQ6</f>
        <v>6.2664663333333257</v>
      </c>
      <c r="IJ6" s="15">
        <f t="shared" ref="IJ6:IJ8" si="13">GZ6-HR6</f>
        <v>6.7001268333333348</v>
      </c>
      <c r="IK6" s="15">
        <f t="shared" ref="IK6:IK8" si="14">HA6-HS6</f>
        <v>6.6925051666666668</v>
      </c>
      <c r="IL6" s="15">
        <f t="shared" ref="IL6:IL8" si="15">HB6-HT6</f>
        <v>6.654633333333333</v>
      </c>
      <c r="IM6" s="15">
        <f t="shared" ref="IM6:IM8" si="16">HC6-HU6</f>
        <v>6.6738365000000055</v>
      </c>
      <c r="IN6" s="15">
        <f t="shared" ref="IN6:IN8" si="17">HD6-HV6</f>
        <v>6.604623499999998</v>
      </c>
      <c r="IO6" s="15">
        <f t="shared" ref="IO6:IO8" si="18">HE6-HW6</f>
        <v>6.555704666666669</v>
      </c>
      <c r="IP6" s="16" t="e">
        <f>(HX6-#REF!)*1000</f>
        <v>#REF!</v>
      </c>
      <c r="IQ6" s="16" t="e">
        <f>(HY6-#REF!)*1000</f>
        <v>#REF!</v>
      </c>
      <c r="IR6" s="16" t="e">
        <f>(HZ6-#REF!)*1000</f>
        <v>#REF!</v>
      </c>
      <c r="IS6" s="16" t="e">
        <f>(IA6-#REF!)*1000</f>
        <v>#REF!</v>
      </c>
      <c r="IT6" s="16" t="e">
        <f>(IB6-#REF!)*1000</f>
        <v>#REF!</v>
      </c>
      <c r="IU6" s="16" t="e">
        <f>(IC6-#REF!)*1000</f>
        <v>#REF!</v>
      </c>
      <c r="IV6" s="17" t="e">
        <f t="shared" ref="IV6:IV8" si="19">(IP6+IR6)-(IQ6+IS6)</f>
        <v>#REF!</v>
      </c>
      <c r="IW6" s="17" t="e">
        <f t="shared" ref="IW6:IW8" si="20">IT6-IU6</f>
        <v>#REF!</v>
      </c>
      <c r="IX6" s="19">
        <f>(Raw_Data[[#This Row],[Sunset Time (POA&lt;20 W/m2)]]-Raw_Data[[#This Row],[Sunrise Time (POA&gt;20 W/m2)]])*24</f>
        <v>12.2</v>
      </c>
      <c r="IY6" s="68">
        <f>AVERAGEIF(Raw_Data[[#This Row],[GHI_UP_Net_IS2_W1]:[GHI_UP_Net_IS19_W6]],"&lt;&gt;"&amp;0,Raw_Data[[#This Row],[GHI_UP_Net_IS2_W1]:[GHI_UP_Net_IS19_W6]])</f>
        <v>6.2680895277777777</v>
      </c>
      <c r="IZ6" s="68">
        <f>AVERAGEIF(Raw_Data[[#This Row],[GHI_Down_IS2_W1]:[GHI_Down_IS19_W6]],"&lt;&gt;"&amp;0,Raw_Data[[#This Row],[GHI_Down_IS2_W1]:[GHI_Down_IS19_W6]])</f>
        <v>1.7422948055555558</v>
      </c>
      <c r="JA6" s="68">
        <f>AVERAGEIF(Raw_Data[[#This Row],[POA_Up_IS2_W1]:[POA_Up_IS19_W6]],"&lt;&gt;"&amp;0,Raw_Data[[#This Row],[POA_Up_IS2_W1]:[POA_Up_IS19_W6]])</f>
        <v>6.6469050000000012</v>
      </c>
      <c r="JB6" s="68">
        <f>AVERAGEIF(Raw_Data[[#This Row],[POA_Down_IS2_W1]:[POA_Down_IS19_W6]],"&lt;&gt;"&amp;0,Raw_Data[[#This Row],[POA_Down_IS2_W1]:[POA_Down_IS19_W6]])</f>
        <v>0.4540724166666667</v>
      </c>
      <c r="JC6" s="69">
        <f>Raw_Data[[#This Row],[GHI-Down(KWh/m2)]]/Raw_Data[[#This Row],[GHI-UP (KWh/m2)]]</f>
        <v>0.27796265478250926</v>
      </c>
      <c r="JD6" s="72">
        <f>Raw_Data[[#This Row],[POA-Down(KWh/m2)]]/Raw_Data[[#This Row],[POA-UP(KWh/m2)]]</f>
        <v>6.8313360378501969E-2</v>
      </c>
      <c r="JE6" s="68">
        <f>AVERAGEIF(Raw_Data[[#This Row],[Amb_Temp_IS2_W1]:[Amb_Temp_IS19_W6]],"&lt;&gt;"&amp;0,Raw_Data[[#This Row],[Amb_Temp_IS2_W1]:[Amb_Temp_IS19_W6]])</f>
        <v>27.422570897257092</v>
      </c>
      <c r="JF6" s="68">
        <f>AVERAGEIF(Raw_Data[[#This Row],[MT_Temp_IS2_W1]:[MT_Temp_IS19_W6]],"&lt;&gt;"&amp;0,Raw_Data[[#This Row],[MT_Temp_IS2_W1]:[MT_Temp_IS19_W6]])</f>
        <v>37.8394049279405</v>
      </c>
      <c r="JG6" s="68">
        <f>AVERAGEIF(Raw_Data[[#This Row],[WS_Avg_IS2_W1]:[WS_Avg_IS19_W6]],"&lt;&gt;"&amp;0,Raw_Data[[#This Row],[WS_Avg_IS2_W1]:[WS_Avg_IS19_W6]])</f>
        <v>3.1540386953091581</v>
      </c>
      <c r="JH6" s="68">
        <f>AVERAGEIF(Raw_Data[[#This Row],[WS_Max_IS2_W1]:[WS_Max_IS19_W6]],"&lt;&gt;"&amp;0,Raw_Data[[#This Row],[WS_Max_IS2_W1]:[WS_Max_IS19_W6]])</f>
        <v>7.7830555000000006</v>
      </c>
      <c r="JI6" s="70">
        <f>SUM(Raw_Data[[#This Row],[IS1_INV1_M1]:[IS20_INV4_M2]])</f>
        <v>1874005.5000000002</v>
      </c>
      <c r="JJ6" s="73">
        <v>1835729.999999996</v>
      </c>
      <c r="JK6" s="71">
        <v>2179791.1701976149</v>
      </c>
      <c r="JL6" s="143">
        <f>IFERROR(Raw_Data[[#This Row],[WPR_Eac]]/Raw_Data[[#This Row],[WPR_Edc]],"")</f>
        <v>0.84215865496582087</v>
      </c>
      <c r="JM6" s="6">
        <v>24</v>
      </c>
      <c r="JN6" s="6">
        <v>14459</v>
      </c>
    </row>
    <row r="7" spans="2:274">
      <c r="B7" s="67">
        <f t="shared" ref="B7:B63" si="21">B6+1</f>
        <v>45746</v>
      </c>
      <c r="C7" s="206">
        <f>YEAR(Raw_Data[[#This Row],[Date]])+IF(MONTH(Raw_Data[[#This Row],[Date]])&gt;=4,1,0)</f>
        <v>2025</v>
      </c>
      <c r="D7" s="6">
        <f t="shared" si="5"/>
        <v>2025</v>
      </c>
      <c r="E7" s="7" t="s">
        <v>360</v>
      </c>
      <c r="F7" s="7" t="s">
        <v>360</v>
      </c>
      <c r="G7" s="8">
        <v>45717</v>
      </c>
      <c r="H7" s="6">
        <f t="shared" si="6"/>
        <v>31</v>
      </c>
      <c r="I7" s="9">
        <v>335090.89</v>
      </c>
      <c r="J7" s="10">
        <v>0.28194444444444444</v>
      </c>
      <c r="K7" s="10">
        <v>0.79374999999999996</v>
      </c>
      <c r="L7" s="9">
        <v>12862.9</v>
      </c>
      <c r="M7" s="9">
        <v>13270.4</v>
      </c>
      <c r="N7" s="9">
        <v>13211.4</v>
      </c>
      <c r="O7" s="9">
        <v>13208.7</v>
      </c>
      <c r="P7" s="9">
        <v>13276.1</v>
      </c>
      <c r="Q7" s="9">
        <v>13308</v>
      </c>
      <c r="R7" s="9">
        <v>13305.5</v>
      </c>
      <c r="S7" s="9">
        <v>13618.3</v>
      </c>
      <c r="T7" s="9">
        <v>13242.3</v>
      </c>
      <c r="U7" s="9">
        <v>13258.8</v>
      </c>
      <c r="V7" s="9">
        <v>13157.4</v>
      </c>
      <c r="W7" s="9">
        <v>13257.1</v>
      </c>
      <c r="X7" s="9">
        <v>13248.2</v>
      </c>
      <c r="Y7" s="9">
        <v>13204.6</v>
      </c>
      <c r="Z7" s="9">
        <v>13181.5</v>
      </c>
      <c r="AA7" s="9">
        <v>13305.7</v>
      </c>
      <c r="AB7" s="9">
        <v>13127.4</v>
      </c>
      <c r="AC7" s="9">
        <v>13224</v>
      </c>
      <c r="AD7" s="9">
        <v>13273.7</v>
      </c>
      <c r="AE7" s="9">
        <v>13345.8</v>
      </c>
      <c r="AF7" s="9">
        <v>13264.6</v>
      </c>
      <c r="AG7" s="9">
        <v>13295.3</v>
      </c>
      <c r="AH7" s="9">
        <v>13115</v>
      </c>
      <c r="AI7" s="9">
        <v>13196.6</v>
      </c>
      <c r="AJ7" s="9">
        <v>13070.3</v>
      </c>
      <c r="AK7" s="9">
        <v>11914.6</v>
      </c>
      <c r="AL7" s="9">
        <v>13093.5</v>
      </c>
      <c r="AM7" s="9">
        <v>13049.7</v>
      </c>
      <c r="AN7" s="9">
        <v>13278.4</v>
      </c>
      <c r="AO7" s="9">
        <v>13135.4</v>
      </c>
      <c r="AP7" s="9">
        <v>13113.1</v>
      </c>
      <c r="AQ7" s="9">
        <v>13270.6</v>
      </c>
      <c r="AR7" s="9">
        <v>13568</v>
      </c>
      <c r="AS7" s="9">
        <v>13654.3</v>
      </c>
      <c r="AT7" s="9">
        <v>13689</v>
      </c>
      <c r="AU7" s="9">
        <v>13619.9</v>
      </c>
      <c r="AV7" s="9">
        <v>13367.4</v>
      </c>
      <c r="AW7" s="9">
        <v>13236.6</v>
      </c>
      <c r="AX7" s="9">
        <v>13218.6</v>
      </c>
      <c r="AY7" s="9">
        <v>13155.2</v>
      </c>
      <c r="AZ7" s="9">
        <v>13917.1</v>
      </c>
      <c r="BA7" s="9">
        <v>13083.3</v>
      </c>
      <c r="BB7" s="9">
        <v>13781.1</v>
      </c>
      <c r="BC7" s="9">
        <v>12934.1</v>
      </c>
      <c r="BD7" s="9">
        <v>13401.1</v>
      </c>
      <c r="BE7" s="9">
        <v>14308.6</v>
      </c>
      <c r="BF7" s="9">
        <v>12858.3</v>
      </c>
      <c r="BG7" s="9">
        <v>13905.3</v>
      </c>
      <c r="BH7" s="9">
        <v>13179.5</v>
      </c>
      <c r="BI7" s="9">
        <v>13380.3</v>
      </c>
      <c r="BJ7" s="9">
        <v>13339.5</v>
      </c>
      <c r="BK7" s="9">
        <v>12870.2</v>
      </c>
      <c r="BL7" s="9">
        <v>13599.2</v>
      </c>
      <c r="BM7" s="9">
        <v>13228.1</v>
      </c>
      <c r="BN7" s="9">
        <v>13563.4</v>
      </c>
      <c r="BO7" s="9">
        <v>13296.8</v>
      </c>
      <c r="BP7" s="9">
        <v>12573.7</v>
      </c>
      <c r="BQ7" s="9">
        <v>13717</v>
      </c>
      <c r="BR7" s="9">
        <v>12615</v>
      </c>
      <c r="BS7" s="9">
        <v>13700</v>
      </c>
      <c r="BT7" s="9">
        <v>13619.9</v>
      </c>
      <c r="BU7" s="9">
        <v>12584.5</v>
      </c>
      <c r="BV7" s="9">
        <v>13366.9</v>
      </c>
      <c r="BW7" s="9">
        <v>12961.2</v>
      </c>
      <c r="BX7" s="9">
        <v>13104.5</v>
      </c>
      <c r="BY7" s="9">
        <v>12589.1</v>
      </c>
      <c r="BZ7" s="9">
        <v>13087.3</v>
      </c>
      <c r="CA7" s="9">
        <v>13423.6</v>
      </c>
      <c r="CB7" s="9">
        <v>13623.5</v>
      </c>
      <c r="CC7" s="9">
        <v>12772.1</v>
      </c>
      <c r="CD7" s="9">
        <v>13528.6</v>
      </c>
      <c r="CE7" s="9">
        <v>12457.1</v>
      </c>
      <c r="CF7" s="9">
        <v>13253.2</v>
      </c>
      <c r="CG7" s="9">
        <v>13150.3</v>
      </c>
      <c r="CH7" s="9">
        <v>12632.2</v>
      </c>
      <c r="CI7" s="9">
        <v>13499.7</v>
      </c>
      <c r="CJ7" s="9">
        <v>12507.2</v>
      </c>
      <c r="CK7" s="9">
        <v>13649.8</v>
      </c>
      <c r="CL7" s="9">
        <v>12625.2</v>
      </c>
      <c r="CM7" s="9">
        <v>13519.3</v>
      </c>
      <c r="CN7" s="9">
        <v>12868</v>
      </c>
      <c r="CO7" s="9">
        <v>13484.5</v>
      </c>
      <c r="CP7" s="9">
        <v>12922.4</v>
      </c>
      <c r="CQ7" s="9">
        <v>13764.7</v>
      </c>
      <c r="CR7" s="9">
        <v>12827.4</v>
      </c>
      <c r="CS7" s="9">
        <v>13339.9</v>
      </c>
      <c r="CT7" s="9">
        <v>12743.7</v>
      </c>
      <c r="CU7" s="9">
        <v>11509.1</v>
      </c>
      <c r="CV7" s="9">
        <v>13447.5</v>
      </c>
      <c r="CW7" s="9">
        <v>13130</v>
      </c>
      <c r="CX7" s="9">
        <v>12582.4</v>
      </c>
      <c r="CY7" s="9">
        <v>13764.6</v>
      </c>
      <c r="CZ7" s="9">
        <v>13467.6</v>
      </c>
      <c r="DA7" s="9">
        <v>12800.4</v>
      </c>
      <c r="DB7" s="9">
        <v>12654.3</v>
      </c>
      <c r="DC7" s="9">
        <v>13526.8</v>
      </c>
      <c r="DD7" s="9">
        <v>12580.4</v>
      </c>
      <c r="DE7" s="9">
        <v>12973.4</v>
      </c>
      <c r="DF7" s="9">
        <v>13669.7</v>
      </c>
      <c r="DG7" s="9">
        <v>12629.2</v>
      </c>
      <c r="DH7" s="9">
        <v>13689.8</v>
      </c>
      <c r="DI7" s="9">
        <v>12617.9</v>
      </c>
      <c r="DJ7" s="9">
        <v>13516.9</v>
      </c>
      <c r="DK7" s="9">
        <v>12854.3</v>
      </c>
      <c r="DL7" s="9">
        <v>13534.5</v>
      </c>
      <c r="DM7" s="9">
        <v>12333</v>
      </c>
      <c r="DN7" s="9">
        <v>13613.8</v>
      </c>
      <c r="DO7" s="9">
        <v>12780.7</v>
      </c>
      <c r="DP7" s="9">
        <v>13506.9</v>
      </c>
      <c r="DQ7" s="9">
        <v>12715</v>
      </c>
      <c r="DR7" s="9">
        <v>13521.2</v>
      </c>
      <c r="DS7" s="9">
        <v>12947.1</v>
      </c>
      <c r="DT7" s="9">
        <v>12654.5</v>
      </c>
      <c r="DU7" s="9">
        <v>13453.7</v>
      </c>
      <c r="DV7" s="9">
        <v>12795.8</v>
      </c>
      <c r="DW7" s="9">
        <v>12606.5</v>
      </c>
      <c r="DX7" s="9">
        <v>13507.5</v>
      </c>
      <c r="DY7" s="9">
        <v>13630.8</v>
      </c>
      <c r="DZ7" s="9">
        <v>13469.1</v>
      </c>
      <c r="EA7" s="9">
        <v>12767.9</v>
      </c>
      <c r="EB7" s="9">
        <v>13558.6</v>
      </c>
      <c r="EC7" s="9">
        <v>12662.2</v>
      </c>
      <c r="ED7" s="9">
        <v>13339.6</v>
      </c>
      <c r="EE7" s="9">
        <v>12808.4</v>
      </c>
      <c r="EF7" s="9">
        <v>13225.6</v>
      </c>
      <c r="EG7" s="9">
        <v>11988.2</v>
      </c>
      <c r="EH7" s="9">
        <v>13396.9</v>
      </c>
      <c r="EI7" s="9">
        <v>12701.5</v>
      </c>
      <c r="EJ7" s="9">
        <v>12750.8</v>
      </c>
      <c r="EK7" s="9">
        <v>12723.9</v>
      </c>
      <c r="EL7" s="9">
        <v>12665.9</v>
      </c>
      <c r="EM7" s="9">
        <v>11064</v>
      </c>
      <c r="EN7" s="9">
        <v>12516.1</v>
      </c>
      <c r="EO7" s="9">
        <v>11238.9</v>
      </c>
      <c r="EP7" s="9">
        <v>12619.1</v>
      </c>
      <c r="EQ7" s="9">
        <v>12656.9</v>
      </c>
      <c r="ER7" s="9">
        <v>13920.8</v>
      </c>
      <c r="ES7" s="9">
        <v>12804.8</v>
      </c>
      <c r="ET7" s="9">
        <v>13982.7</v>
      </c>
      <c r="EU7" s="9">
        <v>13032.4</v>
      </c>
      <c r="EV7" s="9">
        <v>13869</v>
      </c>
      <c r="EW7" s="9">
        <v>12858.4</v>
      </c>
      <c r="EX7" s="9">
        <v>13009</v>
      </c>
      <c r="EY7" s="9">
        <v>12807.1</v>
      </c>
      <c r="EZ7" s="9">
        <v>13730</v>
      </c>
      <c r="FA7" s="9">
        <v>14007.6</v>
      </c>
      <c r="FB7" s="9">
        <v>13951.7</v>
      </c>
      <c r="FC7" s="9">
        <v>13861.7</v>
      </c>
      <c r="FD7" s="9">
        <v>13893.6</v>
      </c>
      <c r="FE7" s="9">
        <v>13906.4</v>
      </c>
      <c r="FF7" s="9">
        <v>13142.3</v>
      </c>
      <c r="FG7" s="9">
        <v>13940.2</v>
      </c>
      <c r="FH7" s="9">
        <v>14000.9</v>
      </c>
      <c r="FI7" s="9">
        <v>13995.9</v>
      </c>
      <c r="FJ7" s="9">
        <v>14005.4</v>
      </c>
      <c r="FK7" s="9">
        <v>13983.6</v>
      </c>
      <c r="FL7" s="9">
        <v>14031.3</v>
      </c>
      <c r="FM7" s="9">
        <v>13148.9</v>
      </c>
      <c r="FN7" s="9">
        <v>14065.5</v>
      </c>
      <c r="FO7" s="9">
        <v>13187.4</v>
      </c>
      <c r="FP7" s="11">
        <v>30.54</v>
      </c>
      <c r="FQ7" s="11">
        <v>30.26</v>
      </c>
      <c r="FR7" s="11">
        <v>30.83</v>
      </c>
      <c r="FS7" s="11">
        <v>30.85</v>
      </c>
      <c r="FT7" s="11">
        <v>30.48</v>
      </c>
      <c r="FU7" s="11">
        <v>30.32</v>
      </c>
      <c r="FV7" s="11">
        <v>0</v>
      </c>
      <c r="FW7" s="11">
        <v>46.61</v>
      </c>
      <c r="FX7" s="11">
        <v>0</v>
      </c>
      <c r="FY7" s="11">
        <v>0</v>
      </c>
      <c r="FZ7" s="11">
        <v>46.8</v>
      </c>
      <c r="GA7" s="11">
        <v>46.12</v>
      </c>
      <c r="GB7" s="11">
        <v>2.14</v>
      </c>
      <c r="GC7" s="11">
        <v>0.03</v>
      </c>
      <c r="GD7" s="11">
        <v>1.93</v>
      </c>
      <c r="GE7" s="11">
        <v>0.04</v>
      </c>
      <c r="GF7" s="11">
        <v>1.27</v>
      </c>
      <c r="GG7" s="11">
        <v>1.79</v>
      </c>
      <c r="GH7" s="11">
        <v>7.92</v>
      </c>
      <c r="GI7" s="11">
        <v>1.88</v>
      </c>
      <c r="GJ7" s="11">
        <v>4.33</v>
      </c>
      <c r="GK7" s="11">
        <v>3.23</v>
      </c>
      <c r="GL7" s="11">
        <v>5.49</v>
      </c>
      <c r="GM7" s="11">
        <v>4.18</v>
      </c>
      <c r="GN7" s="11">
        <v>7.46</v>
      </c>
      <c r="GO7" s="11">
        <v>7.53</v>
      </c>
      <c r="GP7" s="11">
        <v>7.53</v>
      </c>
      <c r="GQ7" s="11">
        <v>7.42</v>
      </c>
      <c r="GR7" s="11">
        <v>7.53</v>
      </c>
      <c r="GS7" s="11">
        <v>7.56</v>
      </c>
      <c r="GT7" s="108">
        <v>1.97</v>
      </c>
      <c r="GU7" s="108">
        <v>2.04</v>
      </c>
      <c r="GV7" s="108">
        <v>1.82</v>
      </c>
      <c r="GW7" s="108">
        <v>2.4300000000000002</v>
      </c>
      <c r="GX7" s="108">
        <v>2.25</v>
      </c>
      <c r="GY7" s="108">
        <v>1.97</v>
      </c>
      <c r="GZ7" s="13">
        <v>8.07</v>
      </c>
      <c r="HA7" s="13">
        <v>8.1199999999999992</v>
      </c>
      <c r="HB7" s="13">
        <v>8.02</v>
      </c>
      <c r="HC7" s="13">
        <v>8.0399999999999991</v>
      </c>
      <c r="HD7" s="13">
        <v>8.0399999999999991</v>
      </c>
      <c r="HE7" s="13">
        <v>8.0399999999999991</v>
      </c>
      <c r="HF7" s="13">
        <v>0.46</v>
      </c>
      <c r="HG7" s="13">
        <v>0.5</v>
      </c>
      <c r="HH7" s="13">
        <v>0.43</v>
      </c>
      <c r="HI7" s="13">
        <v>0.45</v>
      </c>
      <c r="HJ7" s="13">
        <v>0.42</v>
      </c>
      <c r="HK7" s="13">
        <v>0.48</v>
      </c>
      <c r="HL7" s="12">
        <v>0</v>
      </c>
      <c r="HM7" s="12">
        <v>0</v>
      </c>
      <c r="HN7" s="12">
        <v>0</v>
      </c>
      <c r="HO7" s="12">
        <v>0</v>
      </c>
      <c r="HP7" s="12">
        <v>0</v>
      </c>
      <c r="HQ7" s="12">
        <v>0</v>
      </c>
      <c r="HR7" s="12">
        <v>0</v>
      </c>
      <c r="HS7" s="12">
        <v>0</v>
      </c>
      <c r="HT7" s="12">
        <v>0</v>
      </c>
      <c r="HU7" s="12">
        <v>0</v>
      </c>
      <c r="HV7" s="12">
        <v>0</v>
      </c>
      <c r="HW7" s="12">
        <v>0</v>
      </c>
      <c r="HX7" s="9">
        <v>896989</v>
      </c>
      <c r="HY7" s="9">
        <v>1675</v>
      </c>
      <c r="HZ7" s="9">
        <v>883913</v>
      </c>
      <c r="IA7" s="9">
        <v>1695</v>
      </c>
      <c r="IB7" s="11">
        <v>86036.006999999998</v>
      </c>
      <c r="IC7" s="11">
        <v>200.2</v>
      </c>
      <c r="ID7" s="14">
        <f t="shared" si="7"/>
        <v>7.46</v>
      </c>
      <c r="IE7" s="14">
        <f t="shared" si="8"/>
        <v>7.53</v>
      </c>
      <c r="IF7" s="14">
        <f t="shared" si="9"/>
        <v>7.53</v>
      </c>
      <c r="IG7" s="14">
        <f t="shared" si="10"/>
        <v>7.42</v>
      </c>
      <c r="IH7" s="14">
        <f t="shared" si="11"/>
        <v>7.53</v>
      </c>
      <c r="II7" s="14">
        <f t="shared" si="12"/>
        <v>7.56</v>
      </c>
      <c r="IJ7" s="15">
        <f t="shared" si="13"/>
        <v>8.07</v>
      </c>
      <c r="IK7" s="15">
        <f t="shared" si="14"/>
        <v>8.1199999999999992</v>
      </c>
      <c r="IL7" s="15">
        <f t="shared" si="15"/>
        <v>8.02</v>
      </c>
      <c r="IM7" s="15">
        <f t="shared" si="16"/>
        <v>8.0399999999999991</v>
      </c>
      <c r="IN7" s="15">
        <f t="shared" si="17"/>
        <v>8.0399999999999991</v>
      </c>
      <c r="IO7" s="15">
        <f t="shared" si="18"/>
        <v>8.0399999999999991</v>
      </c>
      <c r="IP7" s="16">
        <f t="shared" ref="IP7:IP8" si="22">(HX7-HX6)*1000</f>
        <v>1051000</v>
      </c>
      <c r="IQ7" s="16">
        <f t="shared" ref="IQ7:IQ8" si="23">(HY7-HY6)*1000</f>
        <v>1000</v>
      </c>
      <c r="IR7" s="16">
        <f t="shared" ref="IR7:IR8" si="24">(HZ7-HZ6)*1000</f>
        <v>1048000</v>
      </c>
      <c r="IS7" s="16">
        <f t="shared" ref="IS7:IS8" si="25">(IA7-IA6)*1000</f>
        <v>1000</v>
      </c>
      <c r="IT7" s="16">
        <f t="shared" ref="IT7:IT8" si="26">(IB7-IB6)*1000</f>
        <v>2095667.0000000014</v>
      </c>
      <c r="IU7" s="16">
        <f t="shared" ref="IU7:IU8" si="27">(IC7-IC6)*1000</f>
        <v>1000</v>
      </c>
      <c r="IV7" s="17">
        <f t="shared" si="19"/>
        <v>2097000</v>
      </c>
      <c r="IW7" s="17">
        <f t="shared" si="20"/>
        <v>2094667.0000000014</v>
      </c>
      <c r="IX7" s="19">
        <f>(Raw_Data[[#This Row],[Sunset Time (POA&lt;20 W/m2)]]-Raw_Data[[#This Row],[Sunrise Time (POA&gt;20 W/m2)]])*24</f>
        <v>12.283333333333331</v>
      </c>
      <c r="IY7" s="68">
        <f>AVERAGEIF(Raw_Data[[#This Row],[GHI_UP_Net_IS2_W1]:[GHI_UP_Net_IS19_W6]],"&lt;&gt;"&amp;0,Raw_Data[[#This Row],[GHI_UP_Net_IS2_W1]:[GHI_UP_Net_IS19_W6]])</f>
        <v>7.5049999999999999</v>
      </c>
      <c r="IZ7" s="68">
        <f>AVERAGEIF(Raw_Data[[#This Row],[GHI_Down_IS2_W1]:[GHI_Down_IS19_W6]],"&lt;&gt;"&amp;0,Raw_Data[[#This Row],[GHI_Down_IS2_W1]:[GHI_Down_IS19_W6]])</f>
        <v>2.08</v>
      </c>
      <c r="JA7" s="68">
        <f>AVERAGEIF(Raw_Data[[#This Row],[POA_Up_IS2_W1]:[POA_Up_IS19_W6]],"&lt;&gt;"&amp;0,Raw_Data[[#This Row],[POA_Up_IS2_W1]:[POA_Up_IS19_W6]])</f>
        <v>8.0549999999999997</v>
      </c>
      <c r="JB7" s="68">
        <f>AVERAGEIF(Raw_Data[[#This Row],[POA_Down_IS2_W1]:[POA_Down_IS19_W6]],"&lt;&gt;"&amp;0,Raw_Data[[#This Row],[POA_Down_IS2_W1]:[POA_Down_IS19_W6]])</f>
        <v>0.45666666666666661</v>
      </c>
      <c r="JC7" s="69">
        <f>Raw_Data[[#This Row],[GHI-Down(KWh/m2)]]/Raw_Data[[#This Row],[GHI-UP (KWh/m2)]]</f>
        <v>0.27714856762158563</v>
      </c>
      <c r="JD7" s="72">
        <f>Raw_Data[[#This Row],[POA-Down(KWh/m2)]]/Raw_Data[[#This Row],[POA-UP(KWh/m2)]]</f>
        <v>5.6693565073453335E-2</v>
      </c>
      <c r="JE7" s="68">
        <f>AVERAGEIF(Raw_Data[[#This Row],[Amb_Temp_IS2_W1]:[Amb_Temp_IS19_W6]],"&lt;&gt;"&amp;0,Raw_Data[[#This Row],[Amb_Temp_IS2_W1]:[Amb_Temp_IS19_W6]])</f>
        <v>30.546666666666663</v>
      </c>
      <c r="JF7" s="68">
        <f>AVERAGEIF(Raw_Data[[#This Row],[MT_Temp_IS2_W1]:[MT_Temp_IS19_W6]],"&lt;&gt;"&amp;0,Raw_Data[[#This Row],[MT_Temp_IS2_W1]:[MT_Temp_IS19_W6]])</f>
        <v>46.51</v>
      </c>
      <c r="JG7" s="68">
        <f>AVERAGEIF(Raw_Data[[#This Row],[WS_Avg_IS2_W1]:[WS_Avg_IS19_W6]],"&lt;&gt;"&amp;0,Raw_Data[[#This Row],[WS_Avg_IS2_W1]:[WS_Avg_IS19_W6]])</f>
        <v>1.2</v>
      </c>
      <c r="JH7" s="68">
        <f>AVERAGEIF(Raw_Data[[#This Row],[WS_Max_IS2_W1]:[WS_Max_IS19_W6]],"&lt;&gt;"&amp;0,Raw_Data[[#This Row],[WS_Max_IS2_W1]:[WS_Max_IS19_W6]])</f>
        <v>4.5049999999999999</v>
      </c>
      <c r="JI7" s="70">
        <f>SUM(Raw_Data[[#This Row],[IS1_INV1_M1]:[IS20_INV4_M2]])</f>
        <v>2110656.7999999984</v>
      </c>
      <c r="JJ7" s="73">
        <v>2082533.0000000102</v>
      </c>
      <c r="JK7" s="71">
        <v>2575642.165680916</v>
      </c>
      <c r="JL7" s="143">
        <f>IFERROR(Raw_Data[[#This Row],[WPR_Eac]]/Raw_Data[[#This Row],[WPR_Edc]],"")</f>
        <v>0.8085490398272992</v>
      </c>
      <c r="JM7" s="6">
        <v>28</v>
      </c>
      <c r="JN7" s="6">
        <v>0</v>
      </c>
    </row>
    <row r="8" spans="2:274">
      <c r="B8" s="67">
        <f t="shared" si="21"/>
        <v>45747</v>
      </c>
      <c r="C8" s="206">
        <f>YEAR(Raw_Data[[#This Row],[Date]])+IF(MONTH(Raw_Data[[#This Row],[Date]])&gt;=4,1,0)</f>
        <v>2025</v>
      </c>
      <c r="D8" s="6">
        <f t="shared" si="5"/>
        <v>2025</v>
      </c>
      <c r="E8" s="7" t="s">
        <v>360</v>
      </c>
      <c r="F8" s="7" t="s">
        <v>360</v>
      </c>
      <c r="G8" s="8">
        <v>45717</v>
      </c>
      <c r="H8" s="6">
        <f t="shared" si="6"/>
        <v>31</v>
      </c>
      <c r="I8" s="9">
        <v>335090.89</v>
      </c>
      <c r="J8" s="10">
        <v>0.28125</v>
      </c>
      <c r="K8" s="10">
        <v>0.79305555555555551</v>
      </c>
      <c r="L8" s="9">
        <v>12745.4</v>
      </c>
      <c r="M8" s="9">
        <v>13165.1</v>
      </c>
      <c r="N8" s="9">
        <v>13114.1</v>
      </c>
      <c r="O8" s="9">
        <v>13102.9</v>
      </c>
      <c r="P8" s="9">
        <v>13184.5</v>
      </c>
      <c r="Q8" s="9">
        <v>13203.4</v>
      </c>
      <c r="R8" s="9">
        <v>13186.9</v>
      </c>
      <c r="S8" s="9">
        <v>13540.4</v>
      </c>
      <c r="T8" s="9">
        <v>13096.3</v>
      </c>
      <c r="U8" s="9">
        <v>13090.5</v>
      </c>
      <c r="V8" s="9">
        <v>13008.8</v>
      </c>
      <c r="W8" s="9">
        <v>13102</v>
      </c>
      <c r="X8" s="9">
        <v>13103.7</v>
      </c>
      <c r="Y8" s="9">
        <v>13043.5</v>
      </c>
      <c r="Z8" s="9">
        <v>13008.3</v>
      </c>
      <c r="AA8" s="9">
        <v>13147.6</v>
      </c>
      <c r="AB8" s="9">
        <v>13016.4</v>
      </c>
      <c r="AC8" s="9">
        <v>13123</v>
      </c>
      <c r="AD8" s="9">
        <v>13180.1</v>
      </c>
      <c r="AE8" s="9">
        <v>13245.1</v>
      </c>
      <c r="AF8" s="9">
        <v>13173.3</v>
      </c>
      <c r="AG8" s="9">
        <v>13203.2</v>
      </c>
      <c r="AH8" s="9">
        <v>13019.1</v>
      </c>
      <c r="AI8" s="9">
        <v>13108.3</v>
      </c>
      <c r="AJ8" s="9">
        <v>12970.4</v>
      </c>
      <c r="AK8" s="9">
        <v>11729.7</v>
      </c>
      <c r="AL8" s="9">
        <v>12995.6</v>
      </c>
      <c r="AM8" s="9">
        <v>12955.3</v>
      </c>
      <c r="AN8" s="9">
        <v>13189.4</v>
      </c>
      <c r="AO8" s="9">
        <v>13038.5</v>
      </c>
      <c r="AP8" s="9">
        <v>13022.1</v>
      </c>
      <c r="AQ8" s="9">
        <v>13186.9</v>
      </c>
      <c r="AR8" s="9">
        <v>13444.7</v>
      </c>
      <c r="AS8" s="9">
        <v>13528.7</v>
      </c>
      <c r="AT8" s="9">
        <v>13574.5</v>
      </c>
      <c r="AU8" s="9">
        <v>13499.5</v>
      </c>
      <c r="AV8" s="9">
        <v>13273.6</v>
      </c>
      <c r="AW8" s="9">
        <v>13131.9</v>
      </c>
      <c r="AX8" s="9">
        <v>13112.6</v>
      </c>
      <c r="AY8" s="9">
        <v>13054.2</v>
      </c>
      <c r="AZ8" s="9">
        <v>13844.8</v>
      </c>
      <c r="BA8" s="9">
        <v>12964.1</v>
      </c>
      <c r="BB8" s="9">
        <v>13706.5</v>
      </c>
      <c r="BC8" s="9">
        <v>12797.9</v>
      </c>
      <c r="BD8" s="9">
        <v>13280.4</v>
      </c>
      <c r="BE8" s="9">
        <v>14224.8</v>
      </c>
      <c r="BF8" s="9">
        <v>12728.1</v>
      </c>
      <c r="BG8" s="9">
        <v>13833.8</v>
      </c>
      <c r="BH8" s="9">
        <v>13064.5</v>
      </c>
      <c r="BI8" s="9">
        <v>13277.7</v>
      </c>
      <c r="BJ8" s="9">
        <v>13225.8</v>
      </c>
      <c r="BK8" s="9">
        <v>12756.3</v>
      </c>
      <c r="BL8" s="9">
        <v>13510.5</v>
      </c>
      <c r="BM8" s="9">
        <v>13131.2</v>
      </c>
      <c r="BN8" s="9">
        <v>13482.6</v>
      </c>
      <c r="BO8" s="9">
        <v>13209.4</v>
      </c>
      <c r="BP8" s="9">
        <v>12429</v>
      </c>
      <c r="BQ8" s="9">
        <v>13625.7</v>
      </c>
      <c r="BR8" s="9">
        <v>12451.1</v>
      </c>
      <c r="BS8" s="9">
        <v>13615.9</v>
      </c>
      <c r="BT8" s="9">
        <v>13527.3</v>
      </c>
      <c r="BU8" s="9">
        <v>12437.1</v>
      </c>
      <c r="BV8" s="9">
        <v>13232.9</v>
      </c>
      <c r="BW8" s="9">
        <v>12809</v>
      </c>
      <c r="BX8" s="9">
        <v>12980.1</v>
      </c>
      <c r="BY8" s="9">
        <v>12453.2</v>
      </c>
      <c r="BZ8" s="9">
        <v>12970.9</v>
      </c>
      <c r="CA8" s="9">
        <v>13318.8</v>
      </c>
      <c r="CB8" s="9">
        <v>13514.1</v>
      </c>
      <c r="CC8" s="9">
        <v>12642.6</v>
      </c>
      <c r="CD8" s="9">
        <v>13427.4</v>
      </c>
      <c r="CE8" s="9">
        <v>12308.6</v>
      </c>
      <c r="CF8" s="9">
        <v>13144</v>
      </c>
      <c r="CG8" s="9">
        <v>13037</v>
      </c>
      <c r="CH8" s="9">
        <v>12500</v>
      </c>
      <c r="CI8" s="9">
        <v>13402</v>
      </c>
      <c r="CJ8" s="9">
        <v>12366</v>
      </c>
      <c r="CK8" s="9">
        <v>13568</v>
      </c>
      <c r="CL8" s="9">
        <v>12486</v>
      </c>
      <c r="CM8" s="9">
        <v>13425</v>
      </c>
      <c r="CN8" s="9">
        <v>12749.9</v>
      </c>
      <c r="CO8" s="9">
        <v>13387.5</v>
      </c>
      <c r="CP8" s="9">
        <v>12805.5</v>
      </c>
      <c r="CQ8" s="9">
        <v>13686.6</v>
      </c>
      <c r="CR8" s="9">
        <v>12702.8</v>
      </c>
      <c r="CS8" s="9">
        <v>13234.1</v>
      </c>
      <c r="CT8" s="9">
        <v>12612.4</v>
      </c>
      <c r="CU8" s="9">
        <v>11325.6</v>
      </c>
      <c r="CV8" s="9">
        <v>13350.5</v>
      </c>
      <c r="CW8" s="9">
        <v>13037</v>
      </c>
      <c r="CX8" s="9">
        <v>12455.8</v>
      </c>
      <c r="CY8" s="9">
        <v>13684</v>
      </c>
      <c r="CZ8" s="9">
        <v>13368.6</v>
      </c>
      <c r="DA8" s="9">
        <v>12671.7</v>
      </c>
      <c r="DB8" s="9">
        <v>12524.6</v>
      </c>
      <c r="DC8" s="9">
        <v>13470.3</v>
      </c>
      <c r="DD8" s="9">
        <v>12485.1</v>
      </c>
      <c r="DE8" s="9">
        <v>12875.5</v>
      </c>
      <c r="DF8" s="9">
        <v>13592</v>
      </c>
      <c r="DG8" s="9">
        <v>12509.1</v>
      </c>
      <c r="DH8" s="9">
        <v>13612.4</v>
      </c>
      <c r="DI8" s="9">
        <v>12496.7</v>
      </c>
      <c r="DJ8" s="9">
        <v>13424.5</v>
      </c>
      <c r="DK8" s="9">
        <v>12726.6</v>
      </c>
      <c r="DL8" s="9">
        <v>13443.6</v>
      </c>
      <c r="DM8" s="9">
        <v>12170.5</v>
      </c>
      <c r="DN8" s="9">
        <v>13522</v>
      </c>
      <c r="DO8" s="9">
        <v>12646.2</v>
      </c>
      <c r="DP8" s="9">
        <v>13413.5</v>
      </c>
      <c r="DQ8" s="9">
        <v>12583.7</v>
      </c>
      <c r="DR8" s="9">
        <v>13428.5</v>
      </c>
      <c r="DS8" s="9">
        <v>12812.9</v>
      </c>
      <c r="DT8" s="9">
        <v>12527.2</v>
      </c>
      <c r="DU8" s="9">
        <v>13357.5</v>
      </c>
      <c r="DV8" s="9">
        <v>12668.5</v>
      </c>
      <c r="DW8" s="9">
        <v>12464.1</v>
      </c>
      <c r="DX8" s="9">
        <v>13425.9</v>
      </c>
      <c r="DY8" s="9">
        <v>13539.8</v>
      </c>
      <c r="DZ8" s="9">
        <v>13380.1</v>
      </c>
      <c r="EA8" s="9">
        <v>12630.2</v>
      </c>
      <c r="EB8" s="9">
        <v>13466.2</v>
      </c>
      <c r="EC8" s="9">
        <v>12521.7</v>
      </c>
      <c r="ED8" s="9">
        <v>13250.4</v>
      </c>
      <c r="EE8" s="9">
        <v>12672.6</v>
      </c>
      <c r="EF8" s="9">
        <v>13139.5</v>
      </c>
      <c r="EG8" s="9">
        <v>11791.7</v>
      </c>
      <c r="EH8" s="9">
        <v>13291.3</v>
      </c>
      <c r="EI8" s="9">
        <v>12554.1</v>
      </c>
      <c r="EJ8" s="9">
        <v>12631</v>
      </c>
      <c r="EK8" s="9">
        <v>12619.6</v>
      </c>
      <c r="EL8" s="9">
        <v>12504.6</v>
      </c>
      <c r="EM8" s="9">
        <v>10891.5</v>
      </c>
      <c r="EN8" s="9">
        <v>12365.5</v>
      </c>
      <c r="EO8" s="9">
        <v>11038.2</v>
      </c>
      <c r="EP8" s="9">
        <v>12499.3</v>
      </c>
      <c r="EQ8" s="9">
        <v>12531.3</v>
      </c>
      <c r="ER8" s="9">
        <v>13853.7</v>
      </c>
      <c r="ES8" s="9">
        <v>12678.4</v>
      </c>
      <c r="ET8" s="9">
        <v>13914.8</v>
      </c>
      <c r="EU8" s="9">
        <v>12911.2</v>
      </c>
      <c r="EV8" s="9">
        <v>13806</v>
      </c>
      <c r="EW8" s="9">
        <v>12731</v>
      </c>
      <c r="EX8" s="9">
        <v>12891.3</v>
      </c>
      <c r="EY8" s="9">
        <v>12694.8</v>
      </c>
      <c r="EZ8" s="9">
        <v>13645.4</v>
      </c>
      <c r="FA8" s="9">
        <v>13942.7</v>
      </c>
      <c r="FB8" s="9">
        <v>13875</v>
      </c>
      <c r="FC8" s="9">
        <v>13781.7</v>
      </c>
      <c r="FD8" s="9">
        <v>13818.7</v>
      </c>
      <c r="FE8" s="9">
        <v>13831.9</v>
      </c>
      <c r="FF8" s="9">
        <v>13019.7</v>
      </c>
      <c r="FG8" s="9">
        <v>13862.7</v>
      </c>
      <c r="FH8" s="9">
        <v>13920.9</v>
      </c>
      <c r="FI8" s="9">
        <v>13920.7</v>
      </c>
      <c r="FJ8" s="9">
        <v>13942.5</v>
      </c>
      <c r="FK8" s="9">
        <v>13919</v>
      </c>
      <c r="FL8" s="9">
        <v>13965.5</v>
      </c>
      <c r="FM8" s="9">
        <v>13027.7</v>
      </c>
      <c r="FN8" s="9">
        <v>13986.2</v>
      </c>
      <c r="FO8" s="9">
        <v>13068.1</v>
      </c>
      <c r="FP8" s="11">
        <v>32.229999999999997</v>
      </c>
      <c r="FQ8" s="11">
        <v>31.81</v>
      </c>
      <c r="FR8" s="11">
        <v>32.5</v>
      </c>
      <c r="FS8" s="11">
        <v>32.29</v>
      </c>
      <c r="FT8" s="11">
        <v>32.06</v>
      </c>
      <c r="FU8" s="11">
        <v>31.79</v>
      </c>
      <c r="FV8" s="11">
        <v>0</v>
      </c>
      <c r="FW8" s="11">
        <v>48.09</v>
      </c>
      <c r="FX8" s="11">
        <v>0</v>
      </c>
      <c r="FY8" s="11">
        <v>0</v>
      </c>
      <c r="FZ8" s="11">
        <v>48.2</v>
      </c>
      <c r="GA8" s="11">
        <v>48.06</v>
      </c>
      <c r="GB8" s="11">
        <v>2.27</v>
      </c>
      <c r="GC8" s="11">
        <v>0.04</v>
      </c>
      <c r="GD8" s="11">
        <v>2</v>
      </c>
      <c r="GE8" s="11">
        <v>0.14000000000000001</v>
      </c>
      <c r="GF8" s="11">
        <v>1.87</v>
      </c>
      <c r="GG8" s="11">
        <v>1.84</v>
      </c>
      <c r="GH8" s="11">
        <v>5.35</v>
      </c>
      <c r="GI8" s="11">
        <v>3.88</v>
      </c>
      <c r="GJ8" s="11">
        <v>5.24</v>
      </c>
      <c r="GK8" s="11">
        <v>5.08</v>
      </c>
      <c r="GL8" s="11">
        <v>5.81</v>
      </c>
      <c r="GM8" s="11">
        <v>5.79</v>
      </c>
      <c r="GN8" s="11">
        <v>7.4</v>
      </c>
      <c r="GO8" s="11">
        <v>7.46</v>
      </c>
      <c r="GP8" s="11">
        <v>7.48</v>
      </c>
      <c r="GQ8" s="11">
        <v>7.38</v>
      </c>
      <c r="GR8" s="11">
        <v>7.5</v>
      </c>
      <c r="GS8" s="11">
        <v>7.52</v>
      </c>
      <c r="GT8" s="108">
        <v>1.94</v>
      </c>
      <c r="GU8" s="108">
        <v>2.04</v>
      </c>
      <c r="GV8" s="108">
        <v>1.8</v>
      </c>
      <c r="GW8" s="108">
        <v>2.41</v>
      </c>
      <c r="GX8" s="108">
        <v>2.2400000000000002</v>
      </c>
      <c r="GY8" s="108">
        <v>1.96</v>
      </c>
      <c r="GZ8" s="13">
        <v>7.98</v>
      </c>
      <c r="HA8" s="13">
        <v>8.0399999999999991</v>
      </c>
      <c r="HB8" s="13">
        <v>7.94</v>
      </c>
      <c r="HC8" s="13">
        <v>7.97</v>
      </c>
      <c r="HD8" s="13">
        <v>7.97</v>
      </c>
      <c r="HE8" s="13">
        <v>7.97</v>
      </c>
      <c r="HF8" s="13">
        <v>0.45</v>
      </c>
      <c r="HG8" s="13">
        <v>0.49</v>
      </c>
      <c r="HH8" s="13">
        <v>0.42</v>
      </c>
      <c r="HI8" s="13">
        <v>0.44</v>
      </c>
      <c r="HJ8" s="13">
        <v>0.42</v>
      </c>
      <c r="HK8" s="13">
        <v>0.47</v>
      </c>
      <c r="HL8" s="12">
        <v>0</v>
      </c>
      <c r="HM8" s="12">
        <v>0</v>
      </c>
      <c r="HN8" s="12">
        <v>0</v>
      </c>
      <c r="HO8" s="12">
        <v>0</v>
      </c>
      <c r="HP8" s="12">
        <v>0</v>
      </c>
      <c r="HQ8" s="12">
        <v>0</v>
      </c>
      <c r="HR8" s="12">
        <v>0</v>
      </c>
      <c r="HS8" s="12">
        <v>0</v>
      </c>
      <c r="HT8" s="12">
        <v>0</v>
      </c>
      <c r="HU8" s="12">
        <v>0</v>
      </c>
      <c r="HV8" s="12">
        <v>0</v>
      </c>
      <c r="HW8" s="12">
        <v>0</v>
      </c>
      <c r="HX8" s="9">
        <v>898030</v>
      </c>
      <c r="HY8" s="9">
        <v>1675</v>
      </c>
      <c r="HZ8" s="9">
        <v>884953</v>
      </c>
      <c r="IA8" s="9">
        <v>1695</v>
      </c>
      <c r="IB8" s="11">
        <v>88115.006999999998</v>
      </c>
      <c r="IC8" s="11">
        <v>202.2</v>
      </c>
      <c r="ID8" s="14">
        <f t="shared" si="7"/>
        <v>7.4</v>
      </c>
      <c r="IE8" s="14">
        <f t="shared" si="8"/>
        <v>7.46</v>
      </c>
      <c r="IF8" s="14">
        <f t="shared" si="9"/>
        <v>7.48</v>
      </c>
      <c r="IG8" s="14">
        <f t="shared" si="10"/>
        <v>7.38</v>
      </c>
      <c r="IH8" s="14">
        <f t="shared" si="11"/>
        <v>7.5</v>
      </c>
      <c r="II8" s="14">
        <f t="shared" si="12"/>
        <v>7.52</v>
      </c>
      <c r="IJ8" s="15">
        <f t="shared" si="13"/>
        <v>7.98</v>
      </c>
      <c r="IK8" s="15">
        <f t="shared" si="14"/>
        <v>8.0399999999999991</v>
      </c>
      <c r="IL8" s="15">
        <f t="shared" si="15"/>
        <v>7.94</v>
      </c>
      <c r="IM8" s="15">
        <f t="shared" si="16"/>
        <v>7.97</v>
      </c>
      <c r="IN8" s="15">
        <f t="shared" si="17"/>
        <v>7.97</v>
      </c>
      <c r="IO8" s="15">
        <f t="shared" si="18"/>
        <v>7.97</v>
      </c>
      <c r="IP8" s="16">
        <f t="shared" si="22"/>
        <v>1041000</v>
      </c>
      <c r="IQ8" s="16">
        <f t="shared" si="23"/>
        <v>0</v>
      </c>
      <c r="IR8" s="16">
        <f t="shared" si="24"/>
        <v>1040000</v>
      </c>
      <c r="IS8" s="16">
        <f t="shared" si="25"/>
        <v>0</v>
      </c>
      <c r="IT8" s="16">
        <f t="shared" si="26"/>
        <v>2079000</v>
      </c>
      <c r="IU8" s="16">
        <f t="shared" si="27"/>
        <v>2000</v>
      </c>
      <c r="IV8" s="17">
        <f t="shared" si="19"/>
        <v>2081000</v>
      </c>
      <c r="IW8" s="17">
        <f t="shared" si="20"/>
        <v>2077000</v>
      </c>
      <c r="IX8" s="19">
        <f>(Raw_Data[[#This Row],[Sunset Time (POA&lt;20 W/m2)]]-Raw_Data[[#This Row],[Sunrise Time (POA&gt;20 W/m2)]])*24</f>
        <v>12.283333333333331</v>
      </c>
      <c r="IY8" s="68">
        <f>AVERAGEIF(Raw_Data[[#This Row],[GHI_UP_Net_IS2_W1]:[GHI_UP_Net_IS19_W6]],"&lt;&gt;"&amp;0,Raw_Data[[#This Row],[GHI_UP_Net_IS2_W1]:[GHI_UP_Net_IS19_W6]])</f>
        <v>7.4566666666666661</v>
      </c>
      <c r="IZ8" s="68">
        <f>AVERAGEIF(Raw_Data[[#This Row],[GHI_Down_IS2_W1]:[GHI_Down_IS19_W6]],"&lt;&gt;"&amp;0,Raw_Data[[#This Row],[GHI_Down_IS2_W1]:[GHI_Down_IS19_W6]])</f>
        <v>2.0649999999999999</v>
      </c>
      <c r="JA8" s="68">
        <f>AVERAGEIF(Raw_Data[[#This Row],[POA_Up_IS2_W1]:[POA_Up_IS19_W6]],"&lt;&gt;"&amp;0,Raw_Data[[#This Row],[POA_Up_IS2_W1]:[POA_Up_IS19_W6]])</f>
        <v>7.9783333333333326</v>
      </c>
      <c r="JB8" s="68">
        <f>AVERAGEIF(Raw_Data[[#This Row],[POA_Down_IS2_W1]:[POA_Down_IS19_W6]],"&lt;&gt;"&amp;0,Raw_Data[[#This Row],[POA_Down_IS2_W1]:[POA_Down_IS19_W6]])</f>
        <v>0.44833333333333325</v>
      </c>
      <c r="JC8" s="69">
        <f>Raw_Data[[#This Row],[GHI-Down(KWh/m2)]]/Raw_Data[[#This Row],[GHI-UP (KWh/m2)]]</f>
        <v>0.27693339293696917</v>
      </c>
      <c r="JD8" s="72">
        <f>Raw_Data[[#This Row],[POA-Down(KWh/m2)]]/Raw_Data[[#This Row],[POA-UP(KWh/m2)]]</f>
        <v>5.619385836640902E-2</v>
      </c>
      <c r="JE8" s="68">
        <f>AVERAGEIF(Raw_Data[[#This Row],[Amb_Temp_IS2_W1]:[Amb_Temp_IS19_W6]],"&lt;&gt;"&amp;0,Raw_Data[[#This Row],[Amb_Temp_IS2_W1]:[Amb_Temp_IS19_W6]])</f>
        <v>32.11333333333333</v>
      </c>
      <c r="JF8" s="68">
        <f>AVERAGEIF(Raw_Data[[#This Row],[MT_Temp_IS2_W1]:[MT_Temp_IS19_W6]],"&lt;&gt;"&amp;0,Raw_Data[[#This Row],[MT_Temp_IS2_W1]:[MT_Temp_IS19_W6]])</f>
        <v>48.116666666666674</v>
      </c>
      <c r="JG8" s="68">
        <f>AVERAGEIF(Raw_Data[[#This Row],[WS_Avg_IS2_W1]:[WS_Avg_IS19_W6]],"&lt;&gt;"&amp;0,Raw_Data[[#This Row],[WS_Avg_IS2_W1]:[WS_Avg_IS19_W6]])</f>
        <v>1.36</v>
      </c>
      <c r="JH8" s="68">
        <f>AVERAGEIF(Raw_Data[[#This Row],[WS_Max_IS2_W1]:[WS_Max_IS19_W6]],"&lt;&gt;"&amp;0,Raw_Data[[#This Row],[WS_Max_IS2_W1]:[WS_Max_IS19_W6]])</f>
        <v>5.1916666666666664</v>
      </c>
      <c r="JI8" s="70">
        <f>SUM(Raw_Data[[#This Row],[IS1_INV1_M1]:[IS20_INV4_M2]])</f>
        <v>2092910.7000000002</v>
      </c>
      <c r="JJ8" s="73">
        <v>2077000</v>
      </c>
      <c r="JK8" s="71">
        <v>2531276.774790342</v>
      </c>
      <c r="JL8" s="143">
        <f>IFERROR(Raw_Data[[#This Row],[WPR_Eac]]/Raw_Data[[#This Row],[WPR_Edc]],"")</f>
        <v>0.82053453051258363</v>
      </c>
      <c r="JM8" s="6">
        <v>27</v>
      </c>
      <c r="JN8" s="6">
        <v>0</v>
      </c>
    </row>
    <row r="9" spans="2:274">
      <c r="B9" s="67">
        <f t="shared" si="21"/>
        <v>45748</v>
      </c>
      <c r="C9" s="206">
        <f>YEAR(Raw_Data[[#This Row],[Date]])+IF(MONTH(Raw_Data[[#This Row],[Date]])&gt;=4,1,0)</f>
        <v>2026</v>
      </c>
      <c r="D9" s="6">
        <f t="shared" ref="D9:D14" si="28">YEAR(B9)</f>
        <v>2025</v>
      </c>
      <c r="E9" s="7" t="s">
        <v>361</v>
      </c>
      <c r="F9" s="7" t="s">
        <v>361</v>
      </c>
      <c r="G9" s="8">
        <v>45748</v>
      </c>
      <c r="H9" s="6">
        <f t="shared" ref="H9:H14" si="29">DAY(EOMONTH(B9,0))</f>
        <v>30</v>
      </c>
      <c r="I9" s="9">
        <v>335090.89</v>
      </c>
      <c r="J9" s="10">
        <v>0.28055555555555556</v>
      </c>
      <c r="K9" s="10">
        <v>0.79374999999999996</v>
      </c>
      <c r="L9" s="9">
        <v>12862.9</v>
      </c>
      <c r="M9" s="9">
        <v>13270.4</v>
      </c>
      <c r="N9" s="9">
        <v>13211.4</v>
      </c>
      <c r="O9" s="9">
        <v>13208.7</v>
      </c>
      <c r="P9" s="9">
        <v>13276.1</v>
      </c>
      <c r="Q9" s="9">
        <v>13308</v>
      </c>
      <c r="R9" s="9">
        <v>13305.5</v>
      </c>
      <c r="S9" s="9">
        <v>13618.3</v>
      </c>
      <c r="T9" s="9">
        <v>13242.3</v>
      </c>
      <c r="U9" s="9">
        <v>13258.8</v>
      </c>
      <c r="V9" s="9">
        <v>13157.4</v>
      </c>
      <c r="W9" s="9">
        <v>13257.1</v>
      </c>
      <c r="X9" s="9">
        <v>13248.2</v>
      </c>
      <c r="Y9" s="9">
        <v>13204.6</v>
      </c>
      <c r="Z9" s="9">
        <v>13181.5</v>
      </c>
      <c r="AA9" s="9">
        <v>13305.7</v>
      </c>
      <c r="AB9" s="9">
        <v>13127.4</v>
      </c>
      <c r="AC9" s="9">
        <v>13224</v>
      </c>
      <c r="AD9" s="9">
        <v>13273.7</v>
      </c>
      <c r="AE9" s="9">
        <v>13345.8</v>
      </c>
      <c r="AF9" s="9">
        <v>13264.6</v>
      </c>
      <c r="AG9" s="9">
        <v>13295.3</v>
      </c>
      <c r="AH9" s="9">
        <v>13115</v>
      </c>
      <c r="AI9" s="9">
        <v>13196.6</v>
      </c>
      <c r="AJ9" s="9">
        <v>13070.3</v>
      </c>
      <c r="AK9" s="9">
        <v>11914.6</v>
      </c>
      <c r="AL9" s="9">
        <v>13093.5</v>
      </c>
      <c r="AM9" s="9">
        <v>13049.7</v>
      </c>
      <c r="AN9" s="9">
        <v>13278.4</v>
      </c>
      <c r="AO9" s="9">
        <v>13135.4</v>
      </c>
      <c r="AP9" s="9">
        <v>13113.1</v>
      </c>
      <c r="AQ9" s="9">
        <v>13270.6</v>
      </c>
      <c r="AR9" s="9">
        <v>13568</v>
      </c>
      <c r="AS9" s="9">
        <v>13654.3</v>
      </c>
      <c r="AT9" s="9">
        <v>13689</v>
      </c>
      <c r="AU9" s="9">
        <v>13619.9</v>
      </c>
      <c r="AV9" s="9">
        <v>13367.4</v>
      </c>
      <c r="AW9" s="9">
        <v>13236.6</v>
      </c>
      <c r="AX9" s="9">
        <v>13218.6</v>
      </c>
      <c r="AY9" s="9">
        <v>13155.2</v>
      </c>
      <c r="AZ9" s="9">
        <v>13917.1</v>
      </c>
      <c r="BA9" s="9">
        <v>13083.3</v>
      </c>
      <c r="BB9" s="9">
        <v>13781.1</v>
      </c>
      <c r="BC9" s="9">
        <v>12934.1</v>
      </c>
      <c r="BD9" s="9">
        <v>13401.1</v>
      </c>
      <c r="BE9" s="9">
        <v>14308.6</v>
      </c>
      <c r="BF9" s="9">
        <v>12858.3</v>
      </c>
      <c r="BG9" s="9">
        <v>13905.3</v>
      </c>
      <c r="BH9" s="9">
        <v>13179.5</v>
      </c>
      <c r="BI9" s="9">
        <v>13380.3</v>
      </c>
      <c r="BJ9" s="9">
        <v>13339.5</v>
      </c>
      <c r="BK9" s="9">
        <v>12870.2</v>
      </c>
      <c r="BL9" s="9">
        <v>13599.2</v>
      </c>
      <c r="BM9" s="9">
        <v>13228.1</v>
      </c>
      <c r="BN9" s="9">
        <v>13563.4</v>
      </c>
      <c r="BO9" s="9">
        <v>13296.8</v>
      </c>
      <c r="BP9" s="9">
        <v>12573.7</v>
      </c>
      <c r="BQ9" s="9">
        <v>13717</v>
      </c>
      <c r="BR9" s="9">
        <v>12374</v>
      </c>
      <c r="BS9" s="9">
        <v>13561</v>
      </c>
      <c r="BT9" s="9">
        <v>13619.9</v>
      </c>
      <c r="BU9" s="9">
        <v>12584.5</v>
      </c>
      <c r="BV9" s="9">
        <v>13366.9</v>
      </c>
      <c r="BW9" s="9">
        <v>12961.2</v>
      </c>
      <c r="BX9" s="9">
        <v>13104.5</v>
      </c>
      <c r="BY9" s="9">
        <v>12589.1</v>
      </c>
      <c r="BZ9" s="9">
        <v>13087.3</v>
      </c>
      <c r="CA9" s="9">
        <v>13423.6</v>
      </c>
      <c r="CB9" s="9">
        <v>13623.5</v>
      </c>
      <c r="CC9" s="9">
        <v>12772.1</v>
      </c>
      <c r="CD9" s="9">
        <v>13528.6</v>
      </c>
      <c r="CE9" s="9">
        <v>12457.1</v>
      </c>
      <c r="CF9" s="9">
        <v>13253.2</v>
      </c>
      <c r="CG9" s="9">
        <v>13150.3</v>
      </c>
      <c r="CH9" s="9">
        <v>12632.2</v>
      </c>
      <c r="CI9" s="9">
        <v>13499.7</v>
      </c>
      <c r="CJ9" s="9">
        <v>12507.2</v>
      </c>
      <c r="CK9" s="9">
        <v>13649.8</v>
      </c>
      <c r="CL9" s="9">
        <v>12625.2</v>
      </c>
      <c r="CM9" s="9">
        <v>13519.3</v>
      </c>
      <c r="CN9" s="9">
        <v>12868</v>
      </c>
      <c r="CO9" s="9">
        <v>13484.5</v>
      </c>
      <c r="CP9" s="9">
        <v>12922.4</v>
      </c>
      <c r="CQ9" s="9">
        <v>13764.7</v>
      </c>
      <c r="CR9" s="9">
        <v>12827.4</v>
      </c>
      <c r="CS9" s="9">
        <v>13339.9</v>
      </c>
      <c r="CT9" s="9">
        <v>12743.7</v>
      </c>
      <c r="CU9" s="9">
        <v>11509.1</v>
      </c>
      <c r="CV9" s="9">
        <v>13447.5</v>
      </c>
      <c r="CW9" s="9">
        <v>13130</v>
      </c>
      <c r="CX9" s="9">
        <v>12582.4</v>
      </c>
      <c r="CY9" s="9">
        <v>13764.6</v>
      </c>
      <c r="CZ9" s="9">
        <v>13467.6</v>
      </c>
      <c r="DA9" s="9">
        <v>12800.4</v>
      </c>
      <c r="DB9" s="9">
        <v>12654.3</v>
      </c>
      <c r="DC9" s="9">
        <v>13526.8</v>
      </c>
      <c r="DD9" s="9">
        <v>12580.4</v>
      </c>
      <c r="DE9" s="9">
        <v>12973.4</v>
      </c>
      <c r="DF9" s="9">
        <v>13669.7</v>
      </c>
      <c r="DG9" s="9">
        <v>12629.2</v>
      </c>
      <c r="DH9" s="9">
        <v>13689.8</v>
      </c>
      <c r="DI9" s="9">
        <v>12617.9</v>
      </c>
      <c r="DJ9" s="9">
        <v>13516.9</v>
      </c>
      <c r="DK9" s="9">
        <v>12854.3</v>
      </c>
      <c r="DL9" s="9">
        <v>13534.5</v>
      </c>
      <c r="DM9" s="9">
        <v>12333</v>
      </c>
      <c r="DN9" s="9">
        <v>13613.8</v>
      </c>
      <c r="DO9" s="9">
        <v>12780.7</v>
      </c>
      <c r="DP9" s="9">
        <v>13506.9</v>
      </c>
      <c r="DQ9" s="9">
        <v>12715</v>
      </c>
      <c r="DR9" s="9">
        <v>13521.2</v>
      </c>
      <c r="DS9" s="9">
        <v>12947.1</v>
      </c>
      <c r="DT9" s="9">
        <v>12654.5</v>
      </c>
      <c r="DU9" s="9">
        <v>13453.7</v>
      </c>
      <c r="DV9" s="9">
        <v>12795.8</v>
      </c>
      <c r="DW9" s="9">
        <v>12606.5</v>
      </c>
      <c r="DX9" s="9">
        <v>13507.5</v>
      </c>
      <c r="DY9" s="9">
        <v>13630.8</v>
      </c>
      <c r="DZ9" s="9">
        <v>13469.1</v>
      </c>
      <c r="EA9" s="9">
        <v>12767.9</v>
      </c>
      <c r="EB9" s="9">
        <v>13558.6</v>
      </c>
      <c r="EC9" s="9">
        <v>12662.2</v>
      </c>
      <c r="ED9" s="9">
        <v>13339.6</v>
      </c>
      <c r="EE9" s="9">
        <v>12808.4</v>
      </c>
      <c r="EF9" s="9">
        <v>13225.6</v>
      </c>
      <c r="EG9" s="9">
        <v>11988.2</v>
      </c>
      <c r="EH9" s="9">
        <v>13396.9</v>
      </c>
      <c r="EI9" s="9">
        <v>12701.5</v>
      </c>
      <c r="EJ9" s="9">
        <v>12750.8</v>
      </c>
      <c r="EK9" s="9">
        <v>12723.9</v>
      </c>
      <c r="EL9" s="9">
        <v>12665.9</v>
      </c>
      <c r="EM9" s="9">
        <v>11064</v>
      </c>
      <c r="EN9" s="9">
        <v>12516.1</v>
      </c>
      <c r="EO9" s="9">
        <v>11238.9</v>
      </c>
      <c r="EP9" s="9">
        <v>12619.1</v>
      </c>
      <c r="EQ9" s="9">
        <v>12656.9</v>
      </c>
      <c r="ER9" s="9">
        <v>13920.8</v>
      </c>
      <c r="ES9" s="9">
        <v>12804.8</v>
      </c>
      <c r="ET9" s="9">
        <v>13982.7</v>
      </c>
      <c r="EU9" s="9">
        <v>13032.4</v>
      </c>
      <c r="EV9" s="9">
        <v>13869</v>
      </c>
      <c r="EW9" s="9">
        <v>12858.4</v>
      </c>
      <c r="EX9" s="9">
        <v>13009</v>
      </c>
      <c r="EY9" s="9">
        <v>12807.1</v>
      </c>
      <c r="EZ9" s="9">
        <v>13730</v>
      </c>
      <c r="FA9" s="9">
        <v>14007.6</v>
      </c>
      <c r="FB9" s="9">
        <v>13951.7</v>
      </c>
      <c r="FC9" s="9">
        <v>13861.7</v>
      </c>
      <c r="FD9" s="9">
        <v>13893.6</v>
      </c>
      <c r="FE9" s="9">
        <v>13906.4</v>
      </c>
      <c r="FF9" s="9">
        <v>13142.3</v>
      </c>
      <c r="FG9" s="9">
        <v>13940.2</v>
      </c>
      <c r="FH9" s="9">
        <v>14000.9</v>
      </c>
      <c r="FI9" s="9">
        <v>13995.9</v>
      </c>
      <c r="FJ9" s="9">
        <v>14005.4</v>
      </c>
      <c r="FK9" s="9">
        <v>13983.6</v>
      </c>
      <c r="FL9" s="9">
        <v>14031.3</v>
      </c>
      <c r="FM9" s="9">
        <v>13148.9</v>
      </c>
      <c r="FN9" s="9">
        <v>14065.5</v>
      </c>
      <c r="FO9" s="9">
        <v>13187.4</v>
      </c>
      <c r="FP9" s="11">
        <v>33.059887640449425</v>
      </c>
      <c r="FQ9" s="11">
        <v>32.682148876404518</v>
      </c>
      <c r="FR9" s="11">
        <v>33.276896067415777</v>
      </c>
      <c r="FS9" s="11">
        <v>32.993216292134846</v>
      </c>
      <c r="FT9" s="11">
        <v>32.851530898876419</v>
      </c>
      <c r="FU9" s="11">
        <v>32.7131460674157</v>
      </c>
      <c r="FV9" s="11">
        <v>0</v>
      </c>
      <c r="FW9" s="11">
        <v>48.353356741573073</v>
      </c>
      <c r="FX9" s="11">
        <v>0</v>
      </c>
      <c r="FY9" s="11">
        <v>0</v>
      </c>
      <c r="FZ9" s="11">
        <v>48.4</v>
      </c>
      <c r="GA9" s="11">
        <v>48.145435393258438</v>
      </c>
      <c r="GB9" s="11">
        <v>2.6608051570224731</v>
      </c>
      <c r="GC9" s="11">
        <v>0.13550561640449438</v>
      </c>
      <c r="GD9" s="11">
        <v>2.3782653516994405</v>
      </c>
      <c r="GE9" s="11">
        <v>0.28445457528089885</v>
      </c>
      <c r="GF9" s="11">
        <v>2.4760041324438191</v>
      </c>
      <c r="GG9" s="11">
        <v>2.1976216407865152</v>
      </c>
      <c r="GH9" s="11">
        <v>7.2216659999999999</v>
      </c>
      <c r="GI9" s="11">
        <v>5.5066660000000001</v>
      </c>
      <c r="GJ9" s="11">
        <v>5.1449999999999996</v>
      </c>
      <c r="GK9" s="11">
        <v>5.2683330000000002</v>
      </c>
      <c r="GL9" s="11">
        <v>5.8066659999999999</v>
      </c>
      <c r="GM9" s="11">
        <v>5.8916659999999998</v>
      </c>
      <c r="GN9" s="11">
        <v>7.3231558333333382</v>
      </c>
      <c r="GO9" s="11">
        <v>7.385532833333329</v>
      </c>
      <c r="GP9" s="11">
        <v>7.3834618333333317</v>
      </c>
      <c r="GQ9" s="11">
        <v>7.2818705000000055</v>
      </c>
      <c r="GR9" s="11">
        <v>7.4101406666666652</v>
      </c>
      <c r="GS9" s="11">
        <v>7.4250346666666696</v>
      </c>
      <c r="GT9" s="108">
        <v>1.9168631666666676</v>
      </c>
      <c r="GU9" s="108">
        <v>2.0032051666666666</v>
      </c>
      <c r="GV9" s="108">
        <v>1.786989333333334</v>
      </c>
      <c r="GW9" s="108">
        <v>2.3888206666666658</v>
      </c>
      <c r="GX9" s="108">
        <v>2.2132528333333359</v>
      </c>
      <c r="GY9" s="108">
        <v>1.9399938333333344</v>
      </c>
      <c r="GZ9" s="13">
        <v>7.8845156666666627</v>
      </c>
      <c r="HA9" s="13">
        <v>7.912604</v>
      </c>
      <c r="HB9" s="13">
        <v>7.8100225000000076</v>
      </c>
      <c r="HC9" s="13">
        <v>7.8536743333333288</v>
      </c>
      <c r="HD9" s="13">
        <v>7.8531726666666604</v>
      </c>
      <c r="HE9" s="13">
        <v>7.8459346666666736</v>
      </c>
      <c r="HF9" s="13">
        <v>0.44695800000000019</v>
      </c>
      <c r="HG9" s="13">
        <v>0.4915763333333335</v>
      </c>
      <c r="HH9" s="13">
        <v>0.42163866666666716</v>
      </c>
      <c r="HI9" s="13">
        <v>0.44495583333333355</v>
      </c>
      <c r="HJ9" s="13">
        <v>0.41818600000000017</v>
      </c>
      <c r="HK9" s="13">
        <v>0.47152833333333338</v>
      </c>
      <c r="HL9" s="12">
        <v>0</v>
      </c>
      <c r="HM9" s="12">
        <v>0</v>
      </c>
      <c r="HN9" s="12">
        <v>0</v>
      </c>
      <c r="HO9" s="12">
        <v>0</v>
      </c>
      <c r="HP9" s="12">
        <v>0</v>
      </c>
      <c r="HQ9" s="12">
        <v>0</v>
      </c>
      <c r="HR9" s="12">
        <v>0</v>
      </c>
      <c r="HS9" s="12">
        <v>0</v>
      </c>
      <c r="HT9" s="12">
        <v>0</v>
      </c>
      <c r="HU9" s="12">
        <v>0</v>
      </c>
      <c r="HV9" s="12">
        <v>0</v>
      </c>
      <c r="HW9" s="12">
        <v>0</v>
      </c>
      <c r="HX9" s="9">
        <v>899066</v>
      </c>
      <c r="HY9" s="9">
        <v>1677</v>
      </c>
      <c r="HZ9" s="9">
        <v>885986</v>
      </c>
      <c r="IA9" s="9">
        <v>1697</v>
      </c>
      <c r="IB9" s="11">
        <v>90182.34</v>
      </c>
      <c r="IC9" s="11">
        <v>206.667</v>
      </c>
      <c r="ID9" s="14">
        <f t="shared" ref="ID9:II9" si="30">GN9-HL9</f>
        <v>7.3231558333333382</v>
      </c>
      <c r="IE9" s="14">
        <f t="shared" si="30"/>
        <v>7.385532833333329</v>
      </c>
      <c r="IF9" s="14">
        <f t="shared" si="30"/>
        <v>7.3834618333333317</v>
      </c>
      <c r="IG9" s="14">
        <f t="shared" si="30"/>
        <v>7.2818705000000055</v>
      </c>
      <c r="IH9" s="14">
        <f t="shared" si="30"/>
        <v>7.4101406666666652</v>
      </c>
      <c r="II9" s="14">
        <f t="shared" si="30"/>
        <v>7.4250346666666696</v>
      </c>
      <c r="IJ9" s="15">
        <f t="shared" ref="IJ9:IO9" si="31">GZ9-HR9</f>
        <v>7.8845156666666627</v>
      </c>
      <c r="IK9" s="15">
        <f t="shared" si="31"/>
        <v>7.912604</v>
      </c>
      <c r="IL9" s="15">
        <f t="shared" si="31"/>
        <v>7.8100225000000076</v>
      </c>
      <c r="IM9" s="15">
        <f t="shared" si="31"/>
        <v>7.8536743333333288</v>
      </c>
      <c r="IN9" s="15">
        <f t="shared" si="31"/>
        <v>7.8531726666666604</v>
      </c>
      <c r="IO9" s="15">
        <f t="shared" si="31"/>
        <v>7.8459346666666736</v>
      </c>
      <c r="IP9" s="16">
        <f t="shared" ref="IP9" si="32">(HX9-HX8)*1000</f>
        <v>1036000</v>
      </c>
      <c r="IQ9" s="16">
        <f t="shared" ref="IQ9" si="33">(HY9-HY8)*1000</f>
        <v>2000</v>
      </c>
      <c r="IR9" s="16">
        <f t="shared" ref="IR9" si="34">(HZ9-HZ8)*1000</f>
        <v>1033000</v>
      </c>
      <c r="IS9" s="16">
        <f t="shared" ref="IS9" si="35">(IA9-IA8)*1000</f>
        <v>2000</v>
      </c>
      <c r="IT9" s="16">
        <f t="shared" ref="IT9" si="36">(IB9-IB8)*1000</f>
        <v>2067332.9999999986</v>
      </c>
      <c r="IU9" s="16">
        <f t="shared" ref="IU9" si="37">(IC9-IC8)*1000</f>
        <v>4467.0000000000127</v>
      </c>
      <c r="IV9" s="17">
        <f t="shared" ref="IV9" si="38">(IP9+IR9)-(IQ9+IS9)</f>
        <v>2065000</v>
      </c>
      <c r="IW9" s="17">
        <f t="shared" ref="IW9" si="39">IT9-IU9</f>
        <v>2062865.9999999986</v>
      </c>
      <c r="IX9" s="19">
        <f>(Raw_Data[[#This Row],[Sunset Time (POA&lt;20 W/m2)]]-Raw_Data[[#This Row],[Sunrise Time (POA&gt;20 W/m2)]])*24</f>
        <v>12.316666666666666</v>
      </c>
      <c r="IY9" s="68">
        <f>AVERAGEIF(Raw_Data[[#This Row],[GHI_UP_Net_IS2_W1]:[GHI_UP_Net_IS19_W6]],"&lt;&gt;"&amp;0,Raw_Data[[#This Row],[GHI_UP_Net_IS2_W1]:[GHI_UP_Net_IS19_W6]])</f>
        <v>7.3681993888888897</v>
      </c>
      <c r="IZ9" s="68">
        <f>AVERAGEIF(Raw_Data[[#This Row],[GHI_Down_IS2_W1]:[GHI_Down_IS19_W6]],"&lt;&gt;"&amp;0,Raw_Data[[#This Row],[GHI_Down_IS2_W1]:[GHI_Down_IS19_W6]])</f>
        <v>2.0415208333333337</v>
      </c>
      <c r="JA9" s="68">
        <f>AVERAGEIF(Raw_Data[[#This Row],[POA_Up_IS2_W1]:[POA_Up_IS19_W6]],"&lt;&gt;"&amp;0,Raw_Data[[#This Row],[POA_Up_IS2_W1]:[POA_Up_IS19_W6]])</f>
        <v>7.8599873055555554</v>
      </c>
      <c r="JB9" s="68">
        <f>AVERAGEIF(Raw_Data[[#This Row],[POA_Down_IS2_W1]:[POA_Down_IS19_W6]],"&lt;&gt;"&amp;0,Raw_Data[[#This Row],[POA_Down_IS2_W1]:[POA_Down_IS19_W6]])</f>
        <v>0.44914052777777808</v>
      </c>
      <c r="JC9" s="69">
        <f>Raw_Data[[#This Row],[GHI-Down(KWh/m2)]]/Raw_Data[[#This Row],[GHI-UP (KWh/m2)]]</f>
        <v>0.27707187680234469</v>
      </c>
      <c r="JD9" s="72">
        <f>Raw_Data[[#This Row],[POA-Down(KWh/m2)]]/Raw_Data[[#This Row],[POA-UP(KWh/m2)]]</f>
        <v>5.7142653075319717E-2</v>
      </c>
      <c r="JE9" s="68">
        <f>AVERAGEIF(Raw_Data[[#This Row],[Amb_Temp_IS2_W1]:[Amb_Temp_IS19_W6]],"&lt;&gt;"&amp;0,Raw_Data[[#This Row],[Amb_Temp_IS2_W1]:[Amb_Temp_IS19_W6]])</f>
        <v>32.929470973782784</v>
      </c>
      <c r="JF9" s="68">
        <f>AVERAGEIF(Raw_Data[[#This Row],[MT_Temp_IS2_W1]:[MT_Temp_IS19_W6]],"&lt;&gt;"&amp;0,Raw_Data[[#This Row],[MT_Temp_IS2_W1]:[MT_Temp_IS19_W6]])</f>
        <v>48.299597378277177</v>
      </c>
      <c r="JG9" s="68">
        <f>AVERAGEIF(Raw_Data[[#This Row],[WS_Avg_IS2_W1]:[WS_Avg_IS19_W6]],"&lt;&gt;"&amp;0,Raw_Data[[#This Row],[WS_Avg_IS2_W1]:[WS_Avg_IS19_W6]])</f>
        <v>1.6887760789396069</v>
      </c>
      <c r="JH9" s="68">
        <f>AVERAGEIF(Raw_Data[[#This Row],[WS_Max_IS2_W1]:[WS_Max_IS19_W6]],"&lt;&gt;"&amp;0,Raw_Data[[#This Row],[WS_Max_IS2_W1]:[WS_Max_IS19_W6]])</f>
        <v>5.8066661666666661</v>
      </c>
      <c r="JI9" s="70">
        <f>SUM(Raw_Data[[#This Row],[IS1_INV1_M1]:[IS20_INV4_M2]])</f>
        <v>2110276.7999999989</v>
      </c>
      <c r="JJ9" s="73">
        <v>2041800.9999999914</v>
      </c>
      <c r="JK9" s="71">
        <v>2527658.6136128269</v>
      </c>
      <c r="JL9" s="143">
        <f>IFERROR(Raw_Data[[#This Row],[WPR_Eac]]/Raw_Data[[#This Row],[WPR_Edc]],"")</f>
        <v>0.80778353097359512</v>
      </c>
      <c r="JM9" s="6">
        <v>29</v>
      </c>
      <c r="JN9" s="6">
        <v>0</v>
      </c>
    </row>
    <row r="10" spans="2:274">
      <c r="B10" s="67">
        <f t="shared" si="21"/>
        <v>45749</v>
      </c>
      <c r="C10" s="206">
        <f>YEAR(Raw_Data[[#This Row],[Date]])+IF(MONTH(Raw_Data[[#This Row],[Date]])&gt;=4,1,0)</f>
        <v>2026</v>
      </c>
      <c r="D10" s="6">
        <f t="shared" si="28"/>
        <v>2025</v>
      </c>
      <c r="E10" s="7" t="s">
        <v>361</v>
      </c>
      <c r="F10" s="7" t="s">
        <v>361</v>
      </c>
      <c r="G10" s="8">
        <v>45748</v>
      </c>
      <c r="H10" s="6">
        <f t="shared" si="29"/>
        <v>30</v>
      </c>
      <c r="I10" s="9">
        <v>335090.89</v>
      </c>
      <c r="J10" s="10">
        <v>0.28125</v>
      </c>
      <c r="K10" s="10">
        <v>0.79374999999999996</v>
      </c>
      <c r="L10" s="9">
        <v>12608.9</v>
      </c>
      <c r="M10" s="9">
        <v>13011.2</v>
      </c>
      <c r="N10" s="9">
        <v>12979.5</v>
      </c>
      <c r="O10" s="9">
        <v>12981.2</v>
      </c>
      <c r="P10" s="9">
        <v>13047.9</v>
      </c>
      <c r="Q10" s="9">
        <v>13081.2</v>
      </c>
      <c r="R10" s="9">
        <v>13069.5</v>
      </c>
      <c r="S10" s="9">
        <v>13373</v>
      </c>
      <c r="T10" s="9">
        <v>13011.7</v>
      </c>
      <c r="U10" s="9">
        <v>13017.2</v>
      </c>
      <c r="V10" s="9">
        <v>12905.4</v>
      </c>
      <c r="W10" s="9">
        <v>12998.2</v>
      </c>
      <c r="X10" s="9">
        <v>13018</v>
      </c>
      <c r="Y10" s="9">
        <v>12943.8</v>
      </c>
      <c r="Z10" s="9">
        <v>13023.5</v>
      </c>
      <c r="AA10" s="9">
        <v>13071.8</v>
      </c>
      <c r="AB10" s="9">
        <v>12912.9</v>
      </c>
      <c r="AC10" s="9">
        <v>12978.5</v>
      </c>
      <c r="AD10" s="9">
        <v>13029.8</v>
      </c>
      <c r="AE10" s="9">
        <v>13101.5</v>
      </c>
      <c r="AF10" s="9">
        <v>13039.2</v>
      </c>
      <c r="AG10" s="9">
        <v>13066.2</v>
      </c>
      <c r="AH10" s="9">
        <v>12879.4</v>
      </c>
      <c r="AI10" s="9">
        <v>12963.9</v>
      </c>
      <c r="AJ10" s="9">
        <v>12848.3</v>
      </c>
      <c r="AK10" s="9">
        <v>11589.6</v>
      </c>
      <c r="AL10" s="9">
        <v>12859.1</v>
      </c>
      <c r="AM10" s="9">
        <v>12826.4</v>
      </c>
      <c r="AN10" s="9">
        <v>13057.8</v>
      </c>
      <c r="AO10" s="9">
        <v>12913.3</v>
      </c>
      <c r="AP10" s="9">
        <v>12894.6</v>
      </c>
      <c r="AQ10" s="9">
        <v>13062.3</v>
      </c>
      <c r="AR10" s="9">
        <v>13283</v>
      </c>
      <c r="AS10" s="9">
        <v>13363.9</v>
      </c>
      <c r="AT10" s="9">
        <v>13434.9</v>
      </c>
      <c r="AU10" s="9">
        <v>13341.8</v>
      </c>
      <c r="AV10" s="9">
        <v>13139.9</v>
      </c>
      <c r="AW10" s="9">
        <v>13001.1</v>
      </c>
      <c r="AX10" s="9">
        <v>12991.8</v>
      </c>
      <c r="AY10" s="9">
        <v>12921.4</v>
      </c>
      <c r="AZ10" s="9">
        <v>13700.6</v>
      </c>
      <c r="BA10" s="9">
        <v>12825.3</v>
      </c>
      <c r="BB10" s="9">
        <v>13576.4</v>
      </c>
      <c r="BC10" s="9">
        <v>12673.8</v>
      </c>
      <c r="BD10" s="9">
        <v>13139</v>
      </c>
      <c r="BE10" s="9">
        <v>14042.7</v>
      </c>
      <c r="BF10" s="9">
        <v>12575.7</v>
      </c>
      <c r="BG10" s="9">
        <v>13683.4</v>
      </c>
      <c r="BH10" s="9">
        <v>12930.8</v>
      </c>
      <c r="BI10" s="9">
        <v>13143.6</v>
      </c>
      <c r="BJ10" s="9">
        <v>13079.5</v>
      </c>
      <c r="BK10" s="9">
        <v>12600.2</v>
      </c>
      <c r="BL10" s="9">
        <v>13370.1</v>
      </c>
      <c r="BM10" s="9">
        <v>12997.7</v>
      </c>
      <c r="BN10" s="9">
        <v>13350.9</v>
      </c>
      <c r="BO10" s="9">
        <v>13080.5</v>
      </c>
      <c r="BP10" s="9">
        <v>12257.8</v>
      </c>
      <c r="BQ10" s="9">
        <v>13491.3</v>
      </c>
      <c r="BR10" s="9">
        <v>12298.6</v>
      </c>
      <c r="BS10" s="9">
        <v>13480</v>
      </c>
      <c r="BT10" s="9">
        <v>13388.3</v>
      </c>
      <c r="BU10" s="9">
        <v>12285.7</v>
      </c>
      <c r="BV10" s="9">
        <v>13124</v>
      </c>
      <c r="BW10" s="9">
        <v>12713.9</v>
      </c>
      <c r="BX10" s="9">
        <v>12849.6</v>
      </c>
      <c r="BY10" s="9">
        <v>12294.4</v>
      </c>
      <c r="BZ10" s="9">
        <v>12839.3</v>
      </c>
      <c r="CA10" s="9">
        <v>13180.6</v>
      </c>
      <c r="CB10" s="9">
        <v>13410.2</v>
      </c>
      <c r="CC10" s="9">
        <v>12496.4</v>
      </c>
      <c r="CD10" s="9">
        <v>13309.1</v>
      </c>
      <c r="CE10" s="9">
        <v>12133.9</v>
      </c>
      <c r="CF10" s="9">
        <v>13019.4</v>
      </c>
      <c r="CG10" s="9">
        <v>12901.9</v>
      </c>
      <c r="CH10" s="9">
        <v>12362</v>
      </c>
      <c r="CI10" s="9">
        <v>13284</v>
      </c>
      <c r="CJ10" s="9">
        <v>12223.3</v>
      </c>
      <c r="CK10" s="9">
        <v>13453.4</v>
      </c>
      <c r="CL10" s="9">
        <v>12341</v>
      </c>
      <c r="CM10" s="9">
        <v>13303.2</v>
      </c>
      <c r="CN10" s="9">
        <v>12591.9</v>
      </c>
      <c r="CO10" s="9">
        <v>13236.1</v>
      </c>
      <c r="CP10" s="9">
        <v>12650.2</v>
      </c>
      <c r="CQ10" s="9">
        <v>13528.2</v>
      </c>
      <c r="CR10" s="9">
        <v>12536.3</v>
      </c>
      <c r="CS10" s="9">
        <v>13078.7</v>
      </c>
      <c r="CT10" s="9">
        <v>12449.8</v>
      </c>
      <c r="CU10" s="9">
        <v>11133.7</v>
      </c>
      <c r="CV10" s="9">
        <v>13200.4</v>
      </c>
      <c r="CW10" s="9">
        <v>12901.2</v>
      </c>
      <c r="CX10" s="9">
        <v>12284.5</v>
      </c>
      <c r="CY10" s="9">
        <v>13541.3</v>
      </c>
      <c r="CZ10" s="9">
        <v>13266.9</v>
      </c>
      <c r="DA10" s="9">
        <v>12573</v>
      </c>
      <c r="DB10" s="9">
        <v>12418.6</v>
      </c>
      <c r="DC10" s="9">
        <v>13317.4</v>
      </c>
      <c r="DD10" s="9">
        <v>12347</v>
      </c>
      <c r="DE10" s="9">
        <v>12733.4</v>
      </c>
      <c r="DF10" s="9">
        <v>13442.1</v>
      </c>
      <c r="DG10" s="9">
        <v>12341.1</v>
      </c>
      <c r="DH10" s="9">
        <v>13461</v>
      </c>
      <c r="DI10" s="9">
        <v>12336.8</v>
      </c>
      <c r="DJ10" s="9">
        <v>13266.1</v>
      </c>
      <c r="DK10" s="9">
        <v>12560.2</v>
      </c>
      <c r="DL10" s="9">
        <v>13295.5</v>
      </c>
      <c r="DM10" s="9">
        <v>11970.9</v>
      </c>
      <c r="DN10" s="9">
        <v>13371.2</v>
      </c>
      <c r="DO10" s="9">
        <v>12494.4</v>
      </c>
      <c r="DP10" s="9">
        <v>13251.1</v>
      </c>
      <c r="DQ10" s="9">
        <v>12413.9</v>
      </c>
      <c r="DR10" s="9">
        <v>13280.1</v>
      </c>
      <c r="DS10" s="9">
        <v>12662.5</v>
      </c>
      <c r="DT10" s="9">
        <v>12371.5</v>
      </c>
      <c r="DU10" s="9">
        <v>13207.8</v>
      </c>
      <c r="DV10" s="9">
        <v>12515.8</v>
      </c>
      <c r="DW10" s="9">
        <v>12289.3</v>
      </c>
      <c r="DX10" s="9">
        <v>13273.7</v>
      </c>
      <c r="DY10" s="9">
        <v>13383.8</v>
      </c>
      <c r="DZ10" s="9">
        <v>13227</v>
      </c>
      <c r="EA10" s="9">
        <v>12494.7</v>
      </c>
      <c r="EB10" s="9">
        <v>13321.4</v>
      </c>
      <c r="EC10" s="9">
        <v>12366.9</v>
      </c>
      <c r="ED10" s="9">
        <v>13100.1</v>
      </c>
      <c r="EE10" s="9">
        <v>12513.9</v>
      </c>
      <c r="EF10" s="9">
        <v>12987.3</v>
      </c>
      <c r="EG10" s="9">
        <v>11609.8</v>
      </c>
      <c r="EH10" s="9">
        <v>13144.2</v>
      </c>
      <c r="EI10" s="9">
        <v>12384.3</v>
      </c>
      <c r="EJ10" s="9">
        <v>12505.3</v>
      </c>
      <c r="EK10" s="9">
        <v>12498.9</v>
      </c>
      <c r="EL10" s="9">
        <v>12324.6</v>
      </c>
      <c r="EM10" s="9">
        <v>10727.1</v>
      </c>
      <c r="EN10" s="9">
        <v>12314.2</v>
      </c>
      <c r="EO10" s="9">
        <v>10929.4</v>
      </c>
      <c r="EP10" s="9">
        <v>12310.5</v>
      </c>
      <c r="EQ10" s="9">
        <v>12370.5</v>
      </c>
      <c r="ER10" s="9">
        <v>13686.3</v>
      </c>
      <c r="ES10" s="9">
        <v>12525.3</v>
      </c>
      <c r="ET10" s="9">
        <v>13765.7</v>
      </c>
      <c r="EU10" s="9">
        <v>12772.4</v>
      </c>
      <c r="EV10" s="9">
        <v>13651.3</v>
      </c>
      <c r="EW10" s="9">
        <v>12603.3</v>
      </c>
      <c r="EX10" s="9">
        <v>12746</v>
      </c>
      <c r="EY10" s="9">
        <v>12579.1</v>
      </c>
      <c r="EZ10" s="9">
        <v>13502.8</v>
      </c>
      <c r="FA10" s="9">
        <v>13792.5</v>
      </c>
      <c r="FB10" s="9">
        <v>13729.7</v>
      </c>
      <c r="FC10" s="9">
        <v>13640</v>
      </c>
      <c r="FD10" s="9">
        <v>13666.3</v>
      </c>
      <c r="FE10" s="9">
        <v>13676.9</v>
      </c>
      <c r="FF10" s="9">
        <v>12873.4</v>
      </c>
      <c r="FG10" s="9">
        <v>13704.1</v>
      </c>
      <c r="FH10" s="9">
        <v>13751.9</v>
      </c>
      <c r="FI10" s="9">
        <v>13770.6</v>
      </c>
      <c r="FJ10" s="9">
        <v>13790</v>
      </c>
      <c r="FK10" s="9">
        <v>13756.3</v>
      </c>
      <c r="FL10" s="9">
        <v>13798.2</v>
      </c>
      <c r="FM10" s="9">
        <v>12883</v>
      </c>
      <c r="FN10" s="9">
        <v>13817.9</v>
      </c>
      <c r="FO10" s="9">
        <v>12927.2</v>
      </c>
      <c r="FP10" s="11">
        <v>33.869999999999997</v>
      </c>
      <c r="FQ10" s="11">
        <v>33.729999999999997</v>
      </c>
      <c r="FR10" s="11">
        <v>34</v>
      </c>
      <c r="FS10" s="11">
        <v>33.950000000000003</v>
      </c>
      <c r="FT10" s="11">
        <v>33.82</v>
      </c>
      <c r="FU10" s="11">
        <v>33.840000000000003</v>
      </c>
      <c r="FV10" s="11">
        <v>0</v>
      </c>
      <c r="FW10" s="11">
        <v>47.95</v>
      </c>
      <c r="FX10" s="11">
        <v>0</v>
      </c>
      <c r="FY10" s="11">
        <v>0</v>
      </c>
      <c r="FZ10" s="11">
        <v>48.09</v>
      </c>
      <c r="GA10" s="11">
        <v>48.02</v>
      </c>
      <c r="GB10" s="11">
        <v>2.89</v>
      </c>
      <c r="GC10" s="11">
        <v>1.36</v>
      </c>
      <c r="GD10" s="11">
        <v>2.83</v>
      </c>
      <c r="GE10" s="11">
        <v>1.48</v>
      </c>
      <c r="GF10" s="11">
        <v>2.52</v>
      </c>
      <c r="GG10" s="11">
        <v>2.65</v>
      </c>
      <c r="GH10" s="11">
        <v>7.15</v>
      </c>
      <c r="GI10" s="11">
        <v>7.24</v>
      </c>
      <c r="GJ10" s="11">
        <v>7.31</v>
      </c>
      <c r="GK10" s="11">
        <v>7.13</v>
      </c>
      <c r="GL10" s="11">
        <v>7.74</v>
      </c>
      <c r="GM10" s="11">
        <v>7.56</v>
      </c>
      <c r="GN10" s="11">
        <v>7.34</v>
      </c>
      <c r="GO10" s="11">
        <v>7.37</v>
      </c>
      <c r="GP10" s="11">
        <v>7.36</v>
      </c>
      <c r="GQ10" s="11">
        <v>7.28</v>
      </c>
      <c r="GR10" s="11">
        <v>7.37</v>
      </c>
      <c r="GS10" s="11">
        <v>7.41</v>
      </c>
      <c r="GT10" s="108">
        <v>1.94</v>
      </c>
      <c r="GU10" s="108">
        <v>2.0099999999999998</v>
      </c>
      <c r="GV10" s="108">
        <v>1.8</v>
      </c>
      <c r="GW10" s="108">
        <v>2.4</v>
      </c>
      <c r="GX10" s="108">
        <v>2.21</v>
      </c>
      <c r="GY10" s="108">
        <v>1.94</v>
      </c>
      <c r="GZ10" s="13">
        <v>7.86</v>
      </c>
      <c r="HA10" s="13">
        <v>7.88</v>
      </c>
      <c r="HB10" s="13">
        <v>7.77</v>
      </c>
      <c r="HC10" s="13">
        <v>7.82</v>
      </c>
      <c r="HD10" s="13">
        <v>7.79</v>
      </c>
      <c r="HE10" s="13">
        <v>7.81</v>
      </c>
      <c r="HF10" s="13">
        <v>0.46</v>
      </c>
      <c r="HG10" s="13">
        <v>0.51</v>
      </c>
      <c r="HH10" s="13">
        <v>0.43</v>
      </c>
      <c r="HI10" s="13">
        <v>0.46</v>
      </c>
      <c r="HJ10" s="13">
        <v>0.43</v>
      </c>
      <c r="HK10" s="13">
        <v>0.48</v>
      </c>
      <c r="HL10" s="12">
        <v>0</v>
      </c>
      <c r="HM10" s="12">
        <v>0</v>
      </c>
      <c r="HN10" s="12">
        <v>0</v>
      </c>
      <c r="HO10" s="12">
        <v>0</v>
      </c>
      <c r="HP10" s="12">
        <v>0</v>
      </c>
      <c r="HQ10" s="12">
        <v>0</v>
      </c>
      <c r="HR10" s="12">
        <v>0</v>
      </c>
      <c r="HS10" s="12">
        <v>0</v>
      </c>
      <c r="HT10" s="12">
        <v>0</v>
      </c>
      <c r="HU10" s="12">
        <v>0</v>
      </c>
      <c r="HV10" s="12">
        <v>0</v>
      </c>
      <c r="HW10" s="12">
        <v>0</v>
      </c>
      <c r="HX10" s="9">
        <v>900096</v>
      </c>
      <c r="HY10" s="9">
        <v>1678</v>
      </c>
      <c r="HZ10" s="9">
        <v>887014</v>
      </c>
      <c r="IA10" s="9">
        <v>1698</v>
      </c>
      <c r="IB10" s="11">
        <v>92239.141000000003</v>
      </c>
      <c r="IC10" s="11">
        <v>211.13300000000001</v>
      </c>
      <c r="ID10" s="14">
        <f t="shared" ref="ID10:II10" si="40">GN10-HL10</f>
        <v>7.34</v>
      </c>
      <c r="IE10" s="14">
        <f t="shared" si="40"/>
        <v>7.37</v>
      </c>
      <c r="IF10" s="14">
        <f t="shared" si="40"/>
        <v>7.36</v>
      </c>
      <c r="IG10" s="14">
        <f t="shared" si="40"/>
        <v>7.28</v>
      </c>
      <c r="IH10" s="14">
        <f t="shared" si="40"/>
        <v>7.37</v>
      </c>
      <c r="II10" s="14">
        <f t="shared" si="40"/>
        <v>7.41</v>
      </c>
      <c r="IJ10" s="15">
        <f t="shared" ref="IJ10:IO10" si="41">GZ10-HR10</f>
        <v>7.86</v>
      </c>
      <c r="IK10" s="15">
        <f t="shared" si="41"/>
        <v>7.88</v>
      </c>
      <c r="IL10" s="15">
        <f t="shared" si="41"/>
        <v>7.77</v>
      </c>
      <c r="IM10" s="15">
        <f t="shared" si="41"/>
        <v>7.82</v>
      </c>
      <c r="IN10" s="15">
        <f t="shared" si="41"/>
        <v>7.79</v>
      </c>
      <c r="IO10" s="15">
        <f t="shared" si="41"/>
        <v>7.81</v>
      </c>
      <c r="IP10" s="16">
        <f t="shared" ref="IP10" si="42">(HX10-HX9)*1000</f>
        <v>1030000</v>
      </c>
      <c r="IQ10" s="16">
        <f t="shared" ref="IQ10" si="43">(HY10-HY9)*1000</f>
        <v>1000</v>
      </c>
      <c r="IR10" s="16">
        <f t="shared" ref="IR10" si="44">(HZ10-HZ9)*1000</f>
        <v>1028000</v>
      </c>
      <c r="IS10" s="16">
        <f t="shared" ref="IS10" si="45">(IA10-IA9)*1000</f>
        <v>1000</v>
      </c>
      <c r="IT10" s="16">
        <f t="shared" ref="IT10" si="46">(IB10-IB9)*1000</f>
        <v>2056801.0000000068</v>
      </c>
      <c r="IU10" s="16">
        <f t="shared" ref="IU10" si="47">(IC10-IC9)*1000</f>
        <v>4466.0000000000082</v>
      </c>
      <c r="IV10" s="17">
        <f t="shared" ref="IV10" si="48">(IP10+IR10)-(IQ10+IS10)</f>
        <v>2056000</v>
      </c>
      <c r="IW10" s="17">
        <f t="shared" ref="IW10" si="49">IT10-IU10</f>
        <v>2052335.0000000068</v>
      </c>
      <c r="IX10" s="19">
        <f>(Raw_Data[[#This Row],[Sunset Time (POA&lt;20 W/m2)]]-Raw_Data[[#This Row],[Sunrise Time (POA&gt;20 W/m2)]])*24</f>
        <v>12.299999999999999</v>
      </c>
      <c r="IY10" s="68">
        <f>AVERAGEIF(Raw_Data[[#This Row],[GHI_UP_Net_IS2_W1]:[GHI_UP_Net_IS19_W6]],"&lt;&gt;"&amp;0,Raw_Data[[#This Row],[GHI_UP_Net_IS2_W1]:[GHI_UP_Net_IS19_W6]])</f>
        <v>7.3549999999999995</v>
      </c>
      <c r="IZ10" s="68">
        <f>AVERAGEIF(Raw_Data[[#This Row],[GHI_Down_IS2_W1]:[GHI_Down_IS19_W6]],"&lt;&gt;"&amp;0,Raw_Data[[#This Row],[GHI_Down_IS2_W1]:[GHI_Down_IS19_W6]])</f>
        <v>2.0499999999999998</v>
      </c>
      <c r="JA10" s="68">
        <f>AVERAGEIF(Raw_Data[[#This Row],[POA_Up_IS2_W1]:[POA_Up_IS19_W6]],"&lt;&gt;"&amp;0,Raw_Data[[#This Row],[POA_Up_IS2_W1]:[POA_Up_IS19_W6]])</f>
        <v>7.8216666666666663</v>
      </c>
      <c r="JB10" s="68">
        <f>AVERAGEIF(Raw_Data[[#This Row],[POA_Down_IS2_W1]:[POA_Down_IS19_W6]],"&lt;&gt;"&amp;0,Raw_Data[[#This Row],[POA_Down_IS2_W1]:[POA_Down_IS19_W6]])</f>
        <v>0.46166666666666667</v>
      </c>
      <c r="JC10" s="69">
        <f>Raw_Data[[#This Row],[GHI-Down(KWh/m2)]]/Raw_Data[[#This Row],[GHI-UP (KWh/m2)]]</f>
        <v>0.27872195785180148</v>
      </c>
      <c r="JD10" s="72">
        <f>Raw_Data[[#This Row],[POA-Down(KWh/m2)]]/Raw_Data[[#This Row],[POA-UP(KWh/m2)]]</f>
        <v>5.9024078414660133E-2</v>
      </c>
      <c r="JE10" s="68">
        <f>AVERAGEIF(Raw_Data[[#This Row],[Amb_Temp_IS2_W1]:[Amb_Temp_IS19_W6]],"&lt;&gt;"&amp;0,Raw_Data[[#This Row],[Amb_Temp_IS2_W1]:[Amb_Temp_IS19_W6]])</f>
        <v>33.868333333333332</v>
      </c>
      <c r="JF10" s="68">
        <f>AVERAGEIF(Raw_Data[[#This Row],[MT_Temp_IS2_W1]:[MT_Temp_IS19_W6]],"&lt;&gt;"&amp;0,Raw_Data[[#This Row],[MT_Temp_IS2_W1]:[MT_Temp_IS19_W6]])</f>
        <v>48.02</v>
      </c>
      <c r="JG10" s="68">
        <f>AVERAGEIF(Raw_Data[[#This Row],[WS_Avg_IS2_W1]:[WS_Avg_IS19_W6]],"&lt;&gt;"&amp;0,Raw_Data[[#This Row],[WS_Avg_IS2_W1]:[WS_Avg_IS19_W6]])</f>
        <v>2.2883333333333336</v>
      </c>
      <c r="JH10" s="68">
        <f>AVERAGEIF(Raw_Data[[#This Row],[WS_Max_IS2_W1]:[WS_Max_IS19_W6]],"&lt;&gt;"&amp;0,Raw_Data[[#This Row],[WS_Max_IS2_W1]:[WS_Max_IS19_W6]])</f>
        <v>7.3550000000000004</v>
      </c>
      <c r="JI10" s="70">
        <f>SUM(Raw_Data[[#This Row],[IS1_INV1_M1]:[IS20_INV4_M2]])</f>
        <v>2070371.7999999998</v>
      </c>
      <c r="JJ10" s="73">
        <v>2036067.00000001</v>
      </c>
      <c r="JK10" s="71">
        <v>2529673.4443088747</v>
      </c>
      <c r="JL10" s="143">
        <f>IFERROR(Raw_Data[[#This Row],[WPR_Eac]]/Raw_Data[[#This Row],[WPR_Edc]],"")</f>
        <v>0.80487345296707991</v>
      </c>
      <c r="JM10" s="6">
        <v>21</v>
      </c>
      <c r="JN10" s="6">
        <v>0</v>
      </c>
    </row>
    <row r="11" spans="2:274">
      <c r="B11" s="67">
        <f t="shared" si="21"/>
        <v>45750</v>
      </c>
      <c r="C11" s="9">
        <f>YEAR(Raw_Data[[#This Row],[Date]])+IF(MONTH(Raw_Data[[#This Row],[Date]])&gt;=4,1,0)</f>
        <v>2026</v>
      </c>
      <c r="D11" s="6">
        <f t="shared" si="28"/>
        <v>2025</v>
      </c>
      <c r="E11" s="7" t="s">
        <v>361</v>
      </c>
      <c r="F11" s="7" t="s">
        <v>361</v>
      </c>
      <c r="G11" s="8">
        <v>45748</v>
      </c>
      <c r="H11" s="6">
        <f t="shared" si="29"/>
        <v>30</v>
      </c>
      <c r="I11" s="9">
        <v>335090.89</v>
      </c>
      <c r="J11" s="10">
        <v>0.27986111111111112</v>
      </c>
      <c r="K11" s="10">
        <v>0.79236111111111107</v>
      </c>
      <c r="L11" s="9">
        <v>12521.3</v>
      </c>
      <c r="M11" s="9">
        <v>12952.2</v>
      </c>
      <c r="N11" s="9">
        <v>12894.2</v>
      </c>
      <c r="O11" s="9">
        <v>12880.2</v>
      </c>
      <c r="P11" s="9">
        <v>12970.2</v>
      </c>
      <c r="Q11" s="9">
        <v>13008</v>
      </c>
      <c r="R11" s="9">
        <v>12990.1</v>
      </c>
      <c r="S11" s="9">
        <v>13310.8</v>
      </c>
      <c r="T11" s="9">
        <v>12949</v>
      </c>
      <c r="U11" s="9">
        <v>12951</v>
      </c>
      <c r="V11" s="9">
        <v>12841</v>
      </c>
      <c r="W11" s="9">
        <v>12937.9</v>
      </c>
      <c r="X11" s="9">
        <v>12962.4</v>
      </c>
      <c r="Y11" s="9">
        <v>12885.3</v>
      </c>
      <c r="Z11" s="9">
        <v>12938.7</v>
      </c>
      <c r="AA11" s="9">
        <v>13005.1</v>
      </c>
      <c r="AB11" s="9">
        <v>12844.5</v>
      </c>
      <c r="AC11" s="9">
        <v>12933.8</v>
      </c>
      <c r="AD11" s="9">
        <v>12977.5</v>
      </c>
      <c r="AE11" s="9">
        <v>13044.9</v>
      </c>
      <c r="AF11" s="9">
        <v>12976.7</v>
      </c>
      <c r="AG11" s="9">
        <v>12997.1</v>
      </c>
      <c r="AH11" s="9">
        <v>12807.2</v>
      </c>
      <c r="AI11" s="9">
        <v>12903</v>
      </c>
      <c r="AJ11" s="9">
        <v>12760.5</v>
      </c>
      <c r="AK11" s="9">
        <v>11431.9</v>
      </c>
      <c r="AL11" s="9">
        <v>12782.1</v>
      </c>
      <c r="AM11" s="9">
        <v>12745</v>
      </c>
      <c r="AN11" s="9">
        <v>12986.1</v>
      </c>
      <c r="AO11" s="9">
        <v>12830</v>
      </c>
      <c r="AP11" s="9">
        <v>12820.1</v>
      </c>
      <c r="AQ11" s="9">
        <v>12987.3</v>
      </c>
      <c r="AR11" s="9">
        <v>13042.1</v>
      </c>
      <c r="AS11" s="9">
        <v>13120</v>
      </c>
      <c r="AT11" s="9">
        <v>13209</v>
      </c>
      <c r="AU11" s="9">
        <v>13125.3</v>
      </c>
      <c r="AV11" s="9">
        <v>13059.4</v>
      </c>
      <c r="AW11" s="9">
        <v>12919</v>
      </c>
      <c r="AX11" s="9">
        <v>12908</v>
      </c>
      <c r="AY11" s="9">
        <v>12858.4</v>
      </c>
      <c r="AZ11" s="9">
        <v>13592</v>
      </c>
      <c r="BA11" s="9">
        <v>12712.4</v>
      </c>
      <c r="BB11" s="9">
        <v>13473.7</v>
      </c>
      <c r="BC11" s="9">
        <v>12543.2</v>
      </c>
      <c r="BD11" s="9">
        <v>13032.3</v>
      </c>
      <c r="BE11" s="9">
        <v>13925.8</v>
      </c>
      <c r="BF11" s="9">
        <v>12463.2</v>
      </c>
      <c r="BG11" s="9">
        <v>13577.5</v>
      </c>
      <c r="BH11" s="9">
        <v>12883.7</v>
      </c>
      <c r="BI11" s="9">
        <v>13091</v>
      </c>
      <c r="BJ11" s="9">
        <v>13031.9</v>
      </c>
      <c r="BK11" s="9">
        <v>12516.1</v>
      </c>
      <c r="BL11" s="9">
        <v>13310.8</v>
      </c>
      <c r="BM11" s="9">
        <v>12948.1</v>
      </c>
      <c r="BN11" s="9">
        <v>13282.9</v>
      </c>
      <c r="BO11" s="9">
        <v>13022</v>
      </c>
      <c r="BP11" s="9">
        <v>12151.2</v>
      </c>
      <c r="BQ11" s="9">
        <v>13427.7</v>
      </c>
      <c r="BR11" s="9">
        <v>12185.4</v>
      </c>
      <c r="BS11" s="9">
        <v>13419.9</v>
      </c>
      <c r="BT11" s="9">
        <v>13317.1</v>
      </c>
      <c r="BU11" s="9">
        <v>12176.7</v>
      </c>
      <c r="BV11" s="9">
        <v>13048.2</v>
      </c>
      <c r="BW11" s="9">
        <v>12611</v>
      </c>
      <c r="BX11" s="9">
        <v>12764.5</v>
      </c>
      <c r="BY11" s="9">
        <v>12195.6</v>
      </c>
      <c r="BZ11" s="9">
        <v>12752.3</v>
      </c>
      <c r="CA11" s="9">
        <v>13102.5</v>
      </c>
      <c r="CB11" s="9">
        <v>13338.2</v>
      </c>
      <c r="CC11" s="9">
        <v>12390.1</v>
      </c>
      <c r="CD11" s="9">
        <v>13221</v>
      </c>
      <c r="CE11" s="9">
        <v>11985.6</v>
      </c>
      <c r="CF11" s="9">
        <v>12943.2</v>
      </c>
      <c r="CG11" s="9">
        <v>12814.1</v>
      </c>
      <c r="CH11" s="9">
        <v>12250.5</v>
      </c>
      <c r="CI11" s="9">
        <v>13199.6</v>
      </c>
      <c r="CJ11" s="9">
        <v>12079.3</v>
      </c>
      <c r="CK11" s="9">
        <v>13383.6</v>
      </c>
      <c r="CL11" s="9">
        <v>12231.7</v>
      </c>
      <c r="CM11" s="9">
        <v>13208.7</v>
      </c>
      <c r="CN11" s="9">
        <v>12469.5</v>
      </c>
      <c r="CO11" s="9">
        <v>13145.1</v>
      </c>
      <c r="CP11" s="9">
        <v>12525.9</v>
      </c>
      <c r="CQ11" s="9">
        <v>13440.6</v>
      </c>
      <c r="CR11" s="9">
        <v>12423.4</v>
      </c>
      <c r="CS11" s="9">
        <v>12986.3</v>
      </c>
      <c r="CT11" s="9">
        <v>12341.2</v>
      </c>
      <c r="CU11" s="9">
        <v>10987.2</v>
      </c>
      <c r="CV11" s="9">
        <v>13088.6</v>
      </c>
      <c r="CW11" s="9">
        <v>12797.9</v>
      </c>
      <c r="CX11" s="9">
        <v>12143.8</v>
      </c>
      <c r="CY11" s="9">
        <v>13449.1</v>
      </c>
      <c r="CZ11" s="9">
        <v>13176.1</v>
      </c>
      <c r="DA11" s="9">
        <v>12465.5</v>
      </c>
      <c r="DB11" s="9">
        <v>12315.1</v>
      </c>
      <c r="DC11" s="9">
        <v>13227</v>
      </c>
      <c r="DD11" s="9">
        <v>12204.6</v>
      </c>
      <c r="DE11" s="9">
        <v>12619.4</v>
      </c>
      <c r="DF11" s="9">
        <v>13355.3</v>
      </c>
      <c r="DG11" s="9">
        <v>12214</v>
      </c>
      <c r="DH11" s="9">
        <v>13375.6</v>
      </c>
      <c r="DI11" s="9">
        <v>12204.4</v>
      </c>
      <c r="DJ11" s="9">
        <v>13183.9</v>
      </c>
      <c r="DK11" s="9">
        <v>12441.6</v>
      </c>
      <c r="DL11" s="9">
        <v>13212.9</v>
      </c>
      <c r="DM11" s="9">
        <v>11836.4</v>
      </c>
      <c r="DN11" s="9">
        <v>13289.1</v>
      </c>
      <c r="DO11" s="9">
        <v>12387.6</v>
      </c>
      <c r="DP11" s="9">
        <v>13173.1</v>
      </c>
      <c r="DQ11" s="9">
        <v>12314.6</v>
      </c>
      <c r="DR11" s="9">
        <v>13203.3</v>
      </c>
      <c r="DS11" s="9">
        <v>12550.9</v>
      </c>
      <c r="DT11" s="9">
        <v>12239.7</v>
      </c>
      <c r="DU11" s="9">
        <v>13124.4</v>
      </c>
      <c r="DV11" s="9">
        <v>12401.5</v>
      </c>
      <c r="DW11" s="9">
        <v>12162.8</v>
      </c>
      <c r="DX11" s="9">
        <v>13194.5</v>
      </c>
      <c r="DY11" s="9">
        <v>13322.5</v>
      </c>
      <c r="DZ11" s="9">
        <v>13149.3</v>
      </c>
      <c r="EA11" s="9">
        <v>12377.8</v>
      </c>
      <c r="EB11" s="9">
        <v>13250.7</v>
      </c>
      <c r="EC11" s="9">
        <v>12246.7</v>
      </c>
      <c r="ED11" s="9">
        <v>13017.3</v>
      </c>
      <c r="EE11" s="9">
        <v>12403.5</v>
      </c>
      <c r="EF11" s="9">
        <v>12904.5</v>
      </c>
      <c r="EG11" s="9">
        <v>11490.8</v>
      </c>
      <c r="EH11" s="9">
        <v>13065.8</v>
      </c>
      <c r="EI11" s="9">
        <v>12274.8</v>
      </c>
      <c r="EJ11" s="9">
        <v>12375.4</v>
      </c>
      <c r="EK11" s="9">
        <v>12368.6</v>
      </c>
      <c r="EL11" s="9">
        <v>12207.1</v>
      </c>
      <c r="EM11" s="9">
        <v>10603.5</v>
      </c>
      <c r="EN11" s="9">
        <v>12187.1</v>
      </c>
      <c r="EO11" s="9">
        <v>10799.5</v>
      </c>
      <c r="EP11" s="9">
        <v>12199.4</v>
      </c>
      <c r="EQ11" s="9">
        <v>12250.6</v>
      </c>
      <c r="ER11" s="9">
        <v>13618.7</v>
      </c>
      <c r="ES11" s="9">
        <v>12442.5</v>
      </c>
      <c r="ET11" s="9">
        <v>13684.1</v>
      </c>
      <c r="EU11" s="9">
        <v>12686.4</v>
      </c>
      <c r="EV11" s="9">
        <v>13564.9</v>
      </c>
      <c r="EW11" s="9">
        <v>12499.5</v>
      </c>
      <c r="EX11" s="9">
        <v>12656.1</v>
      </c>
      <c r="EY11" s="9">
        <v>12463.5</v>
      </c>
      <c r="EZ11" s="9">
        <v>13436.9</v>
      </c>
      <c r="FA11" s="9">
        <v>13740.8</v>
      </c>
      <c r="FB11" s="9">
        <v>13649.8</v>
      </c>
      <c r="FC11" s="9">
        <v>13565.4</v>
      </c>
      <c r="FD11" s="9">
        <v>13586</v>
      </c>
      <c r="FE11" s="9">
        <v>13598.2</v>
      </c>
      <c r="FF11" s="9">
        <v>12793.4</v>
      </c>
      <c r="FG11" s="9">
        <v>13630.6</v>
      </c>
      <c r="FH11" s="9">
        <v>13675.9</v>
      </c>
      <c r="FI11" s="9">
        <v>13682.7</v>
      </c>
      <c r="FJ11" s="9">
        <v>13694.7</v>
      </c>
      <c r="FK11" s="9">
        <v>13665.1</v>
      </c>
      <c r="FL11" s="9">
        <v>13715.5</v>
      </c>
      <c r="FM11" s="9">
        <v>12799</v>
      </c>
      <c r="FN11" s="9">
        <v>13752.6</v>
      </c>
      <c r="FO11" s="9">
        <v>12840.3</v>
      </c>
      <c r="FP11" s="11">
        <v>35.018545454545468</v>
      </c>
      <c r="FQ11" s="11">
        <v>34.784755244755253</v>
      </c>
      <c r="FR11" s="11">
        <v>35.498195804195774</v>
      </c>
      <c r="FS11" s="11">
        <v>35.173370629370645</v>
      </c>
      <c r="FT11" s="11">
        <v>35.106167832167834</v>
      </c>
      <c r="FU11" s="11">
        <v>35.00187412587411</v>
      </c>
      <c r="FV11" s="11">
        <v>0</v>
      </c>
      <c r="FW11" s="11">
        <v>49.356055944055946</v>
      </c>
      <c r="FX11" s="11">
        <v>0</v>
      </c>
      <c r="FY11" s="11">
        <v>0</v>
      </c>
      <c r="FZ11" s="11">
        <v>49.1</v>
      </c>
      <c r="GA11" s="11">
        <v>49.360783216783197</v>
      </c>
      <c r="GB11" s="11">
        <v>3.1134637523076956</v>
      </c>
      <c r="GC11" s="11">
        <v>1.1454288551328664</v>
      </c>
      <c r="GD11" s="11">
        <v>2.8658413994405598</v>
      </c>
      <c r="GE11" s="11">
        <v>0.91351277629370609</v>
      </c>
      <c r="GF11" s="11">
        <v>3.0526339157062936</v>
      </c>
      <c r="GG11" s="11">
        <v>2.8921583861398594</v>
      </c>
      <c r="GH11" s="11">
        <v>11.20833</v>
      </c>
      <c r="GI11" s="11">
        <v>6.7366659999999996</v>
      </c>
      <c r="GJ11" s="11">
        <v>7.9683330000000003</v>
      </c>
      <c r="GK11" s="11">
        <v>7.0183330000000002</v>
      </c>
      <c r="GL11" s="11">
        <v>6.875</v>
      </c>
      <c r="GM11" s="11">
        <v>6.858333</v>
      </c>
      <c r="GN11" s="11">
        <v>7.2478175000000045</v>
      </c>
      <c r="GO11" s="11">
        <v>7.3400793333333381</v>
      </c>
      <c r="GP11" s="11">
        <v>7.3561138333333336</v>
      </c>
      <c r="GQ11" s="11">
        <v>7.2376159999999956</v>
      </c>
      <c r="GR11" s="11">
        <v>7.3598346666666599</v>
      </c>
      <c r="GS11" s="11">
        <v>7.3831461666666662</v>
      </c>
      <c r="GT11" s="108">
        <v>1.9236213333333327</v>
      </c>
      <c r="GU11" s="108">
        <v>2.0061988333333325</v>
      </c>
      <c r="GV11" s="108">
        <v>1.7798503333333329</v>
      </c>
      <c r="GW11" s="108">
        <v>2.3847605000000005</v>
      </c>
      <c r="GX11" s="108">
        <v>2.2102050000000011</v>
      </c>
      <c r="GY11" s="108">
        <v>1.9381193333333331</v>
      </c>
      <c r="GZ11" s="13">
        <v>7.7668843333333415</v>
      </c>
      <c r="HA11" s="13">
        <v>7.8412250000000023</v>
      </c>
      <c r="HB11" s="13">
        <v>7.7262020000000051</v>
      </c>
      <c r="HC11" s="13">
        <v>7.7529736666666684</v>
      </c>
      <c r="HD11" s="13">
        <v>7.7759418333333352</v>
      </c>
      <c r="HE11" s="13">
        <v>7.7720069999999994</v>
      </c>
      <c r="HF11" s="13">
        <v>0.46168133333333367</v>
      </c>
      <c r="HG11" s="13">
        <v>0.51006766666666659</v>
      </c>
      <c r="HH11" s="13">
        <v>0.43314383333333367</v>
      </c>
      <c r="HI11" s="13">
        <v>0.45767683333333381</v>
      </c>
      <c r="HJ11" s="13">
        <v>0.43878633333333328</v>
      </c>
      <c r="HK11" s="13">
        <v>0.49129266666666649</v>
      </c>
      <c r="HL11" s="12">
        <v>0</v>
      </c>
      <c r="HM11" s="12">
        <v>0</v>
      </c>
      <c r="HN11" s="12">
        <v>0</v>
      </c>
      <c r="HO11" s="12">
        <v>0</v>
      </c>
      <c r="HP11" s="12">
        <v>0</v>
      </c>
      <c r="HQ11" s="12">
        <v>0</v>
      </c>
      <c r="HR11" s="12">
        <v>0</v>
      </c>
      <c r="HS11" s="12">
        <v>0</v>
      </c>
      <c r="HT11" s="12">
        <v>0</v>
      </c>
      <c r="HU11" s="12">
        <v>0</v>
      </c>
      <c r="HV11" s="12">
        <v>0</v>
      </c>
      <c r="HW11" s="12">
        <v>0</v>
      </c>
      <c r="HX11" s="9">
        <v>901119</v>
      </c>
      <c r="HY11" s="9">
        <v>1680</v>
      </c>
      <c r="HZ11" s="9">
        <v>888033</v>
      </c>
      <c r="IA11" s="9">
        <v>1700</v>
      </c>
      <c r="IB11" s="11">
        <v>94280.274000000005</v>
      </c>
      <c r="IC11" s="11">
        <v>214.733</v>
      </c>
      <c r="ID11" s="14">
        <f t="shared" ref="ID11:II11" si="50">GN11-HL11</f>
        <v>7.2478175000000045</v>
      </c>
      <c r="IE11" s="14">
        <f t="shared" si="50"/>
        <v>7.3400793333333381</v>
      </c>
      <c r="IF11" s="14">
        <f t="shared" si="50"/>
        <v>7.3561138333333336</v>
      </c>
      <c r="IG11" s="14">
        <f t="shared" si="50"/>
        <v>7.2376159999999956</v>
      </c>
      <c r="IH11" s="14">
        <f t="shared" si="50"/>
        <v>7.3598346666666599</v>
      </c>
      <c r="II11" s="14">
        <f t="shared" si="50"/>
        <v>7.3831461666666662</v>
      </c>
      <c r="IJ11" s="15">
        <f t="shared" ref="IJ11:IO11" si="51">GZ11-HR11</f>
        <v>7.7668843333333415</v>
      </c>
      <c r="IK11" s="15">
        <f t="shared" si="51"/>
        <v>7.8412250000000023</v>
      </c>
      <c r="IL11" s="15">
        <f t="shared" si="51"/>
        <v>7.7262020000000051</v>
      </c>
      <c r="IM11" s="15">
        <f t="shared" si="51"/>
        <v>7.7529736666666684</v>
      </c>
      <c r="IN11" s="15">
        <f t="shared" si="51"/>
        <v>7.7759418333333352</v>
      </c>
      <c r="IO11" s="15">
        <f t="shared" si="51"/>
        <v>7.7720069999999994</v>
      </c>
      <c r="IP11" s="16">
        <f t="shared" ref="IP11" si="52">(HX11-HX10)*1000</f>
        <v>1023000</v>
      </c>
      <c r="IQ11" s="16">
        <f t="shared" ref="IQ11" si="53">(HY11-HY10)*1000</f>
        <v>2000</v>
      </c>
      <c r="IR11" s="16">
        <f t="shared" ref="IR11" si="54">(HZ11-HZ10)*1000</f>
        <v>1019000</v>
      </c>
      <c r="IS11" s="16">
        <f t="shared" ref="IS11" si="55">(IA11-IA10)*1000</f>
        <v>2000</v>
      </c>
      <c r="IT11" s="16">
        <f t="shared" ref="IT11" si="56">(IB11-IB10)*1000</f>
        <v>2041133.0000000016</v>
      </c>
      <c r="IU11" s="16">
        <f t="shared" ref="IU11" si="57">(IC11-IC10)*1000</f>
        <v>3599.9999999999945</v>
      </c>
      <c r="IV11" s="17">
        <f t="shared" ref="IV11" si="58">(IP11+IR11)-(IQ11+IS11)</f>
        <v>2038000</v>
      </c>
      <c r="IW11" s="17">
        <f t="shared" ref="IW11" si="59">IT11-IU11</f>
        <v>2037533.0000000016</v>
      </c>
      <c r="IX11" s="19">
        <f>(Raw_Data[[#This Row],[Sunset Time (POA&lt;20 W/m2)]]-Raw_Data[[#This Row],[Sunrise Time (POA&gt;20 W/m2)]])*24</f>
        <v>12.299999999999999</v>
      </c>
      <c r="IY11" s="68">
        <f>AVERAGEIF(Raw_Data[[#This Row],[GHI_UP_Net_IS2_W1]:[GHI_UP_Net_IS19_W6]],"&lt;&gt;"&amp;0,Raw_Data[[#This Row],[GHI_UP_Net_IS2_W1]:[GHI_UP_Net_IS19_W6]])</f>
        <v>7.3207679166666653</v>
      </c>
      <c r="IZ11" s="68">
        <f>AVERAGEIF(Raw_Data[[#This Row],[GHI_Down_IS2_W1]:[GHI_Down_IS19_W6]],"&lt;&gt;"&amp;0,Raw_Data[[#This Row],[GHI_Down_IS2_W1]:[GHI_Down_IS19_W6]])</f>
        <v>2.0404592222222218</v>
      </c>
      <c r="JA11" s="68">
        <f>AVERAGEIF(Raw_Data[[#This Row],[POA_Up_IS2_W1]:[POA_Up_IS19_W6]],"&lt;&gt;"&amp;0,Raw_Data[[#This Row],[POA_Up_IS2_W1]:[POA_Up_IS19_W6]])</f>
        <v>7.7725389722222262</v>
      </c>
      <c r="JB11" s="68">
        <f>AVERAGEIF(Raw_Data[[#This Row],[POA_Down_IS2_W1]:[POA_Down_IS19_W6]],"&lt;&gt;"&amp;0,Raw_Data[[#This Row],[POA_Down_IS2_W1]:[POA_Down_IS19_W6]])</f>
        <v>0.46544144444444457</v>
      </c>
      <c r="JC11" s="69">
        <f>Raw_Data[[#This Row],[GHI-Down(KWh/m2)]]/Raw_Data[[#This Row],[GHI-UP (KWh/m2)]]</f>
        <v>0.27872202007344821</v>
      </c>
      <c r="JD11" s="72">
        <f>Raw_Data[[#This Row],[POA-Down(KWh/m2)]]/Raw_Data[[#This Row],[POA-UP(KWh/m2)]]</f>
        <v>5.9882806134244626E-2</v>
      </c>
      <c r="JE11" s="68">
        <f>AVERAGEIF(Raw_Data[[#This Row],[Amb_Temp_IS2_W1]:[Amb_Temp_IS19_W6]],"&lt;&gt;"&amp;0,Raw_Data[[#This Row],[Amb_Temp_IS2_W1]:[Amb_Temp_IS19_W6]])</f>
        <v>35.097151515151516</v>
      </c>
      <c r="JF11" s="68">
        <f>AVERAGEIF(Raw_Data[[#This Row],[MT_Temp_IS2_W1]:[MT_Temp_IS19_W6]],"&lt;&gt;"&amp;0,Raw_Data[[#This Row],[MT_Temp_IS2_W1]:[MT_Temp_IS19_W6]])</f>
        <v>49.27227972027972</v>
      </c>
      <c r="JG11" s="68">
        <f>AVERAGEIF(Raw_Data[[#This Row],[WS_Avg_IS2_W1]:[WS_Avg_IS19_W6]],"&lt;&gt;"&amp;0,Raw_Data[[#This Row],[WS_Avg_IS2_W1]:[WS_Avg_IS19_W6]])</f>
        <v>2.3305065141701635</v>
      </c>
      <c r="JH11" s="68">
        <f>AVERAGEIF(Raw_Data[[#This Row],[WS_Max_IS2_W1]:[WS_Max_IS19_W6]],"&lt;&gt;"&amp;0,Raw_Data[[#This Row],[WS_Max_IS2_W1]:[WS_Max_IS19_W6]])</f>
        <v>7.7774991666666677</v>
      </c>
      <c r="JI11" s="70">
        <f>SUM(Raw_Data[[#This Row],[IS1_INV1_M1]:[IS20_INV4_M2]])</f>
        <v>2055280</v>
      </c>
      <c r="JJ11" s="73">
        <v>2026934.0000000084</v>
      </c>
      <c r="JK11" s="71">
        <v>2505864.1004136708</v>
      </c>
      <c r="JL11" s="143">
        <f>IFERROR(Raw_Data[[#This Row],[WPR_Eac]]/Raw_Data[[#This Row],[WPR_Edc]],"")</f>
        <v>0.8088762673384402</v>
      </c>
      <c r="JM11" s="6">
        <v>26</v>
      </c>
      <c r="JN11" s="6">
        <v>0</v>
      </c>
    </row>
    <row r="12" spans="2:274">
      <c r="B12" s="67">
        <f t="shared" si="21"/>
        <v>45751</v>
      </c>
      <c r="C12" s="9">
        <f>YEAR(Raw_Data[[#This Row],[Date]])+IF(MONTH(Raw_Data[[#This Row],[Date]])&gt;=4,1,0)</f>
        <v>2026</v>
      </c>
      <c r="D12" s="6">
        <f t="shared" si="28"/>
        <v>2025</v>
      </c>
      <c r="E12" s="7" t="s">
        <v>361</v>
      </c>
      <c r="F12" s="7" t="s">
        <v>361</v>
      </c>
      <c r="G12" s="8">
        <v>45748</v>
      </c>
      <c r="H12" s="6">
        <f t="shared" si="29"/>
        <v>30</v>
      </c>
      <c r="I12" s="9">
        <v>335090.89</v>
      </c>
      <c r="J12" s="10">
        <v>0.27916666666666667</v>
      </c>
      <c r="K12" s="10">
        <v>0.79305555555555551</v>
      </c>
      <c r="L12" s="9">
        <v>12407.1</v>
      </c>
      <c r="M12" s="9">
        <v>12826.3</v>
      </c>
      <c r="N12" s="9">
        <v>12779.2</v>
      </c>
      <c r="O12" s="9">
        <v>12768.3</v>
      </c>
      <c r="P12" s="9">
        <v>12848.2</v>
      </c>
      <c r="Q12" s="9">
        <v>12880.5</v>
      </c>
      <c r="R12" s="9">
        <v>12858.3</v>
      </c>
      <c r="S12" s="9">
        <v>13176</v>
      </c>
      <c r="T12" s="9">
        <v>12818.8</v>
      </c>
      <c r="U12" s="9">
        <v>12823</v>
      </c>
      <c r="V12" s="9">
        <v>12711.6</v>
      </c>
      <c r="W12" s="9">
        <v>12816.3</v>
      </c>
      <c r="X12" s="9">
        <v>12827.9</v>
      </c>
      <c r="Y12" s="9">
        <v>12763</v>
      </c>
      <c r="Z12" s="9">
        <v>12814.9</v>
      </c>
      <c r="AA12" s="9">
        <v>12882.5</v>
      </c>
      <c r="AB12" s="9">
        <v>12713.5</v>
      </c>
      <c r="AC12" s="9">
        <v>12800.8</v>
      </c>
      <c r="AD12" s="9">
        <v>12846.3</v>
      </c>
      <c r="AE12" s="9">
        <v>12909.5</v>
      </c>
      <c r="AF12" s="9">
        <v>12835</v>
      </c>
      <c r="AG12" s="9">
        <v>12851.5</v>
      </c>
      <c r="AH12" s="9">
        <v>12676.8</v>
      </c>
      <c r="AI12" s="9">
        <v>12761.3</v>
      </c>
      <c r="AJ12" s="9">
        <v>12623.3</v>
      </c>
      <c r="AK12" s="9">
        <v>11324</v>
      </c>
      <c r="AL12" s="9">
        <v>12652.6</v>
      </c>
      <c r="AM12" s="9">
        <v>12610.1</v>
      </c>
      <c r="AN12" s="9">
        <v>12860.6</v>
      </c>
      <c r="AO12" s="9">
        <v>12698.9</v>
      </c>
      <c r="AP12" s="9">
        <v>12693.2</v>
      </c>
      <c r="AQ12" s="9">
        <v>12859.9</v>
      </c>
      <c r="AR12" s="9">
        <v>13013.8</v>
      </c>
      <c r="AS12" s="9">
        <v>13086</v>
      </c>
      <c r="AT12" s="9">
        <v>13159.2</v>
      </c>
      <c r="AU12" s="9">
        <v>13065.3</v>
      </c>
      <c r="AV12" s="9">
        <v>12928.5</v>
      </c>
      <c r="AW12" s="9">
        <v>12792.5</v>
      </c>
      <c r="AX12" s="9">
        <v>12779.6</v>
      </c>
      <c r="AY12" s="9">
        <v>12726.9</v>
      </c>
      <c r="AZ12" s="9">
        <v>13486.4</v>
      </c>
      <c r="BA12" s="9">
        <v>12599.2</v>
      </c>
      <c r="BB12" s="9">
        <v>13359</v>
      </c>
      <c r="BC12" s="9">
        <v>12441.2</v>
      </c>
      <c r="BD12" s="9">
        <v>12917.4</v>
      </c>
      <c r="BE12" s="9">
        <v>13833.4</v>
      </c>
      <c r="BF12" s="9">
        <v>12346.8</v>
      </c>
      <c r="BG12" s="9">
        <v>13468.5</v>
      </c>
      <c r="BH12" s="9">
        <v>12757</v>
      </c>
      <c r="BI12" s="9">
        <v>12972.8</v>
      </c>
      <c r="BJ12" s="9">
        <v>12903.5</v>
      </c>
      <c r="BK12" s="9">
        <v>12383.7</v>
      </c>
      <c r="BL12" s="9">
        <v>13186.4</v>
      </c>
      <c r="BM12" s="9">
        <v>12824.8</v>
      </c>
      <c r="BN12" s="9">
        <v>13153.2</v>
      </c>
      <c r="BO12" s="9">
        <v>12894.3</v>
      </c>
      <c r="BP12" s="9">
        <v>12045.9</v>
      </c>
      <c r="BQ12" s="9">
        <v>13290.4</v>
      </c>
      <c r="BR12" s="9">
        <v>12086</v>
      </c>
      <c r="BS12" s="9">
        <v>13286.2</v>
      </c>
      <c r="BT12" s="9">
        <v>13193.7</v>
      </c>
      <c r="BU12" s="9">
        <v>12072</v>
      </c>
      <c r="BV12" s="9">
        <v>12907.4</v>
      </c>
      <c r="BW12" s="9">
        <v>12467.9</v>
      </c>
      <c r="BX12" s="9">
        <v>12633.3</v>
      </c>
      <c r="BY12" s="9">
        <v>12077.1</v>
      </c>
      <c r="BZ12" s="9">
        <v>12630.2</v>
      </c>
      <c r="CA12" s="9">
        <v>12977.8</v>
      </c>
      <c r="CB12" s="9">
        <v>13203.4</v>
      </c>
      <c r="CC12" s="9">
        <v>12273.7</v>
      </c>
      <c r="CD12" s="9">
        <v>13095.2</v>
      </c>
      <c r="CE12" s="9">
        <v>11890.7</v>
      </c>
      <c r="CF12" s="9">
        <v>12819</v>
      </c>
      <c r="CG12" s="9">
        <v>12694.1</v>
      </c>
      <c r="CH12" s="9">
        <v>12140.1</v>
      </c>
      <c r="CI12" s="9">
        <v>13073</v>
      </c>
      <c r="CJ12" s="9">
        <v>11976.7</v>
      </c>
      <c r="CK12" s="9">
        <v>13252.2</v>
      </c>
      <c r="CL12" s="9">
        <v>12120</v>
      </c>
      <c r="CM12" s="9">
        <v>13092.3</v>
      </c>
      <c r="CN12" s="9">
        <v>12357.3</v>
      </c>
      <c r="CO12" s="9">
        <v>13025.5</v>
      </c>
      <c r="CP12" s="9">
        <v>12413.2</v>
      </c>
      <c r="CQ12" s="9">
        <v>13319</v>
      </c>
      <c r="CR12" s="9">
        <v>12316.2</v>
      </c>
      <c r="CS12" s="9">
        <v>12872.2</v>
      </c>
      <c r="CT12" s="9">
        <v>12229.3</v>
      </c>
      <c r="CU12" s="9">
        <v>10909.9</v>
      </c>
      <c r="CV12" s="9">
        <v>12968.2</v>
      </c>
      <c r="CW12" s="9">
        <v>12703</v>
      </c>
      <c r="CX12" s="9">
        <v>12045</v>
      </c>
      <c r="CY12" s="9">
        <v>13316.2</v>
      </c>
      <c r="CZ12" s="9">
        <v>13038.2</v>
      </c>
      <c r="DA12" s="9">
        <v>12327.9</v>
      </c>
      <c r="DB12" s="9">
        <v>12178.7</v>
      </c>
      <c r="DC12" s="9">
        <v>13096.3</v>
      </c>
      <c r="DD12" s="9">
        <v>12091.4</v>
      </c>
      <c r="DE12" s="9">
        <v>12499.5</v>
      </c>
      <c r="DF12" s="9">
        <v>13222.1</v>
      </c>
      <c r="DG12" s="9">
        <v>12119.9</v>
      </c>
      <c r="DH12" s="9">
        <v>13252.7</v>
      </c>
      <c r="DI12" s="9">
        <v>12094</v>
      </c>
      <c r="DJ12" s="9">
        <v>13055.7</v>
      </c>
      <c r="DK12" s="9">
        <v>12318.3</v>
      </c>
      <c r="DL12" s="9">
        <v>13086.4</v>
      </c>
      <c r="DM12" s="9">
        <v>11723.8</v>
      </c>
      <c r="DN12" s="9">
        <v>13161.6</v>
      </c>
      <c r="DO12" s="9">
        <v>12259.3</v>
      </c>
      <c r="DP12" s="9">
        <v>13041.8</v>
      </c>
      <c r="DQ12" s="9">
        <v>12183</v>
      </c>
      <c r="DR12" s="9">
        <v>13071.6</v>
      </c>
      <c r="DS12" s="9">
        <v>12424.4</v>
      </c>
      <c r="DT12" s="9">
        <v>12142.7</v>
      </c>
      <c r="DU12" s="9">
        <v>12998</v>
      </c>
      <c r="DV12" s="9">
        <v>12286.9</v>
      </c>
      <c r="DW12" s="9">
        <v>12048.4</v>
      </c>
      <c r="DX12" s="9">
        <v>13058</v>
      </c>
      <c r="DY12" s="9">
        <v>13188.9</v>
      </c>
      <c r="DZ12" s="9">
        <v>13009.9</v>
      </c>
      <c r="EA12" s="9">
        <v>12263.3</v>
      </c>
      <c r="EB12" s="9">
        <v>13113.5</v>
      </c>
      <c r="EC12" s="9">
        <v>12134.6</v>
      </c>
      <c r="ED12" s="9">
        <v>12871.6</v>
      </c>
      <c r="EE12" s="9">
        <v>12276.2</v>
      </c>
      <c r="EF12" s="9">
        <v>12759.3</v>
      </c>
      <c r="EG12" s="9">
        <v>11381.2</v>
      </c>
      <c r="EH12" s="9">
        <v>12928.9</v>
      </c>
      <c r="EI12" s="9">
        <v>12169.5</v>
      </c>
      <c r="EJ12" s="9">
        <v>12252.1</v>
      </c>
      <c r="EK12" s="9">
        <v>12242.6</v>
      </c>
      <c r="EL12" s="9">
        <v>12112.5</v>
      </c>
      <c r="EM12" s="9">
        <v>10501.3</v>
      </c>
      <c r="EN12" s="9">
        <v>12061.4</v>
      </c>
      <c r="EO12" s="9">
        <v>10709.1</v>
      </c>
      <c r="EP12" s="9">
        <v>12074.9</v>
      </c>
      <c r="EQ12" s="9">
        <v>12135.8</v>
      </c>
      <c r="ER12" s="9">
        <v>13492.3</v>
      </c>
      <c r="ES12" s="9">
        <v>12307.8</v>
      </c>
      <c r="ET12" s="9">
        <v>13552.7</v>
      </c>
      <c r="EU12" s="9">
        <v>12553.2</v>
      </c>
      <c r="EV12" s="9">
        <v>13435.2</v>
      </c>
      <c r="EW12" s="9">
        <v>12369.1</v>
      </c>
      <c r="EX12" s="9">
        <v>12523.8</v>
      </c>
      <c r="EY12" s="9">
        <v>12343.2</v>
      </c>
      <c r="EZ12" s="9">
        <v>13287.9</v>
      </c>
      <c r="FA12" s="9">
        <v>13591.4</v>
      </c>
      <c r="FB12" s="9">
        <v>13509.8</v>
      </c>
      <c r="FC12" s="9">
        <v>13426.8</v>
      </c>
      <c r="FD12" s="9">
        <v>13452.6</v>
      </c>
      <c r="FE12" s="9">
        <v>13470.8</v>
      </c>
      <c r="FF12" s="9">
        <v>12659.7</v>
      </c>
      <c r="FG12" s="9">
        <v>13495.8</v>
      </c>
      <c r="FH12" s="9">
        <v>13556.6</v>
      </c>
      <c r="FI12" s="9">
        <v>13554.8</v>
      </c>
      <c r="FJ12" s="9">
        <v>13568.2</v>
      </c>
      <c r="FK12" s="9">
        <v>13543</v>
      </c>
      <c r="FL12" s="9">
        <v>13578.4</v>
      </c>
      <c r="FM12" s="9">
        <v>12651.6</v>
      </c>
      <c r="FN12" s="9">
        <v>13618.2</v>
      </c>
      <c r="FO12" s="9">
        <v>12687.3</v>
      </c>
      <c r="FP12" s="11">
        <v>32.909999999999997</v>
      </c>
      <c r="FQ12" s="11">
        <v>32.67</v>
      </c>
      <c r="FR12" s="11">
        <v>32.97</v>
      </c>
      <c r="FS12" s="11">
        <v>33.06</v>
      </c>
      <c r="FT12" s="11">
        <v>32.840000000000003</v>
      </c>
      <c r="FU12" s="11">
        <v>32.92</v>
      </c>
      <c r="FV12" s="11">
        <v>0</v>
      </c>
      <c r="FW12" s="11">
        <v>45.05</v>
      </c>
      <c r="FX12" s="11">
        <v>0</v>
      </c>
      <c r="FY12" s="11">
        <v>0</v>
      </c>
      <c r="FZ12" s="11">
        <v>45.3</v>
      </c>
      <c r="GA12" s="11">
        <v>44.56</v>
      </c>
      <c r="GB12" s="11">
        <v>3.64</v>
      </c>
      <c r="GC12" s="11">
        <v>3.02</v>
      </c>
      <c r="GD12" s="11">
        <v>3.5</v>
      </c>
      <c r="GE12" s="11">
        <v>1.84</v>
      </c>
      <c r="GF12" s="11">
        <v>3.45</v>
      </c>
      <c r="GG12" s="11">
        <v>3.31</v>
      </c>
      <c r="GH12" s="11">
        <v>6.12</v>
      </c>
      <c r="GI12" s="11">
        <v>7.01</v>
      </c>
      <c r="GJ12" s="11">
        <v>6.54</v>
      </c>
      <c r="GK12" s="11">
        <v>6.57</v>
      </c>
      <c r="GL12" s="11">
        <v>6.51</v>
      </c>
      <c r="GM12" s="11">
        <v>6.51</v>
      </c>
      <c r="GN12" s="11">
        <v>7.06</v>
      </c>
      <c r="GO12" s="11">
        <v>7.11</v>
      </c>
      <c r="GP12" s="11">
        <v>7.12</v>
      </c>
      <c r="GQ12" s="11">
        <v>7.01</v>
      </c>
      <c r="GR12" s="11">
        <v>7.11</v>
      </c>
      <c r="GS12" s="11">
        <v>7.12</v>
      </c>
      <c r="GT12" s="108">
        <v>1.85</v>
      </c>
      <c r="GU12" s="108">
        <v>1.94</v>
      </c>
      <c r="GV12" s="108">
        <v>1.73</v>
      </c>
      <c r="GW12" s="108">
        <v>2.2999999999999998</v>
      </c>
      <c r="GX12" s="108">
        <v>2.15</v>
      </c>
      <c r="GY12" s="108">
        <v>1.88</v>
      </c>
      <c r="GZ12" s="13">
        <v>7.53</v>
      </c>
      <c r="HA12" s="13">
        <v>7.57</v>
      </c>
      <c r="HB12" s="13">
        <v>7.47</v>
      </c>
      <c r="HC12" s="13">
        <v>7.5</v>
      </c>
      <c r="HD12" s="13">
        <v>7.53</v>
      </c>
      <c r="HE12" s="13">
        <v>7.5</v>
      </c>
      <c r="HF12" s="13">
        <v>0.47</v>
      </c>
      <c r="HG12" s="13">
        <v>0.51</v>
      </c>
      <c r="HH12" s="13">
        <v>0.44</v>
      </c>
      <c r="HI12" s="13">
        <v>0.47</v>
      </c>
      <c r="HJ12" s="13">
        <v>0.44</v>
      </c>
      <c r="HK12" s="13">
        <v>0.49</v>
      </c>
      <c r="HL12" s="12">
        <v>0</v>
      </c>
      <c r="HM12" s="12">
        <v>0</v>
      </c>
      <c r="HN12" s="12">
        <v>0</v>
      </c>
      <c r="HO12" s="12">
        <v>0</v>
      </c>
      <c r="HP12" s="12">
        <v>0</v>
      </c>
      <c r="HQ12" s="12">
        <v>0</v>
      </c>
      <c r="HR12" s="12">
        <v>0</v>
      </c>
      <c r="HS12" s="12">
        <v>0</v>
      </c>
      <c r="HT12" s="12">
        <v>0</v>
      </c>
      <c r="HU12" s="12">
        <v>0</v>
      </c>
      <c r="HV12" s="12">
        <v>0</v>
      </c>
      <c r="HW12" s="12">
        <v>0</v>
      </c>
      <c r="HX12" s="9">
        <v>902133</v>
      </c>
      <c r="HY12" s="9">
        <v>1680</v>
      </c>
      <c r="HZ12" s="9">
        <v>889043</v>
      </c>
      <c r="IA12" s="9">
        <v>1701</v>
      </c>
      <c r="IB12" s="11">
        <v>96301.941000000006</v>
      </c>
      <c r="IC12" s="11">
        <v>217.8</v>
      </c>
      <c r="ID12" s="14">
        <f t="shared" ref="ID12:II12" si="60">GN12-HL12</f>
        <v>7.06</v>
      </c>
      <c r="IE12" s="14">
        <f t="shared" si="60"/>
        <v>7.11</v>
      </c>
      <c r="IF12" s="14">
        <f t="shared" si="60"/>
        <v>7.12</v>
      </c>
      <c r="IG12" s="14">
        <f t="shared" si="60"/>
        <v>7.01</v>
      </c>
      <c r="IH12" s="14">
        <f t="shared" si="60"/>
        <v>7.11</v>
      </c>
      <c r="II12" s="14">
        <f t="shared" si="60"/>
        <v>7.12</v>
      </c>
      <c r="IJ12" s="15">
        <f t="shared" ref="IJ12:IO12" si="61">GZ12-HR12</f>
        <v>7.53</v>
      </c>
      <c r="IK12" s="15">
        <f t="shared" si="61"/>
        <v>7.57</v>
      </c>
      <c r="IL12" s="15">
        <f t="shared" si="61"/>
        <v>7.47</v>
      </c>
      <c r="IM12" s="15">
        <f t="shared" si="61"/>
        <v>7.5</v>
      </c>
      <c r="IN12" s="15">
        <f t="shared" si="61"/>
        <v>7.53</v>
      </c>
      <c r="IO12" s="15">
        <f t="shared" si="61"/>
        <v>7.5</v>
      </c>
      <c r="IP12" s="16">
        <f t="shared" ref="IP12" si="62">(HX12-HX11)*1000</f>
        <v>1014000</v>
      </c>
      <c r="IQ12" s="16">
        <f t="shared" ref="IQ12" si="63">(HY12-HY11)*1000</f>
        <v>0</v>
      </c>
      <c r="IR12" s="16">
        <f t="shared" ref="IR12" si="64">(HZ12-HZ11)*1000</f>
        <v>1010000</v>
      </c>
      <c r="IS12" s="16">
        <f t="shared" ref="IS12" si="65">(IA12-IA11)*1000</f>
        <v>1000</v>
      </c>
      <c r="IT12" s="16">
        <f t="shared" ref="IT12" si="66">(IB12-IB11)*1000</f>
        <v>2021667.0000000014</v>
      </c>
      <c r="IU12" s="16">
        <f t="shared" ref="IU12" si="67">(IC12-IC11)*1000</f>
        <v>3067.0000000000073</v>
      </c>
      <c r="IV12" s="17">
        <f t="shared" ref="IV12" si="68">(IP12+IR12)-(IQ12+IS12)</f>
        <v>2023000</v>
      </c>
      <c r="IW12" s="17">
        <f t="shared" ref="IW12" si="69">IT12-IU12</f>
        <v>2018600.0000000014</v>
      </c>
      <c r="IX12" s="19">
        <f>(Raw_Data[[#This Row],[Sunset Time (POA&lt;20 W/m2)]]-Raw_Data[[#This Row],[Sunrise Time (POA&gt;20 W/m2)]])*24</f>
        <v>12.333333333333332</v>
      </c>
      <c r="IY12" s="68">
        <f>AVERAGEIF(Raw_Data[[#This Row],[GHI_UP_Net_IS2_W1]:[GHI_UP_Net_IS19_W6]],"&lt;&gt;"&amp;0,Raw_Data[[#This Row],[GHI_UP_Net_IS2_W1]:[GHI_UP_Net_IS19_W6]])</f>
        <v>7.088333333333332</v>
      </c>
      <c r="IZ12" s="68">
        <f>AVERAGEIF(Raw_Data[[#This Row],[GHI_Down_IS2_W1]:[GHI_Down_IS19_W6]],"&lt;&gt;"&amp;0,Raw_Data[[#This Row],[GHI_Down_IS2_W1]:[GHI_Down_IS19_W6]])</f>
        <v>1.9749999999999996</v>
      </c>
      <c r="JA12" s="68">
        <f>AVERAGEIF(Raw_Data[[#This Row],[POA_Up_IS2_W1]:[POA_Up_IS19_W6]],"&lt;&gt;"&amp;0,Raw_Data[[#This Row],[POA_Up_IS2_W1]:[POA_Up_IS19_W6]])</f>
        <v>7.5166666666666666</v>
      </c>
      <c r="JB12" s="68">
        <f>AVERAGEIF(Raw_Data[[#This Row],[POA_Down_IS2_W1]:[POA_Down_IS19_W6]],"&lt;&gt;"&amp;0,Raw_Data[[#This Row],[POA_Down_IS2_W1]:[POA_Down_IS19_W6]])</f>
        <v>0.47000000000000003</v>
      </c>
      <c r="JC12" s="69">
        <f>Raw_Data[[#This Row],[GHI-Down(KWh/m2)]]/Raw_Data[[#This Row],[GHI-UP (KWh/m2)]]</f>
        <v>0.27862685163414058</v>
      </c>
      <c r="JD12" s="72">
        <f>Raw_Data[[#This Row],[POA-Down(KWh/m2)]]/Raw_Data[[#This Row],[POA-UP(KWh/m2)]]</f>
        <v>6.2527716186252774E-2</v>
      </c>
      <c r="JE12" s="68">
        <f>AVERAGEIF(Raw_Data[[#This Row],[Amb_Temp_IS2_W1]:[Amb_Temp_IS19_W6]],"&lt;&gt;"&amp;0,Raw_Data[[#This Row],[Amb_Temp_IS2_W1]:[Amb_Temp_IS19_W6]])</f>
        <v>32.895000000000003</v>
      </c>
      <c r="JF12" s="68">
        <f>AVERAGEIF(Raw_Data[[#This Row],[MT_Temp_IS2_W1]:[MT_Temp_IS19_W6]],"&lt;&gt;"&amp;0,Raw_Data[[#This Row],[MT_Temp_IS2_W1]:[MT_Temp_IS19_W6]])</f>
        <v>44.97</v>
      </c>
      <c r="JG12" s="68">
        <f>AVERAGEIF(Raw_Data[[#This Row],[WS_Avg_IS2_W1]:[WS_Avg_IS19_W6]],"&lt;&gt;"&amp;0,Raw_Data[[#This Row],[WS_Avg_IS2_W1]:[WS_Avg_IS19_W6]])</f>
        <v>3.1266666666666665</v>
      </c>
      <c r="JH12" s="68">
        <f>AVERAGEIF(Raw_Data[[#This Row],[WS_Max_IS2_W1]:[WS_Max_IS19_W6]],"&lt;&gt;"&amp;0,Raw_Data[[#This Row],[WS_Max_IS2_W1]:[WS_Max_IS19_W6]])</f>
        <v>6.543333333333333</v>
      </c>
      <c r="JI12" s="70">
        <f>SUM(Raw_Data[[#This Row],[IS1_INV1_M1]:[IS20_INV4_M2]])</f>
        <v>2035769.2999999996</v>
      </c>
      <c r="JJ12" s="73">
        <v>2007934.0000000079</v>
      </c>
      <c r="JK12" s="71">
        <v>2461278.3152489481</v>
      </c>
      <c r="JL12" s="143">
        <f>IFERROR(Raw_Data[[#This Row],[WPR_Eac]]/Raw_Data[[#This Row],[WPR_Edc]],"")</f>
        <v>0.81580940585214301</v>
      </c>
      <c r="JM12" s="6">
        <v>24</v>
      </c>
      <c r="JN12" s="6">
        <v>0</v>
      </c>
    </row>
    <row r="13" spans="2:274">
      <c r="B13" s="67">
        <f t="shared" si="21"/>
        <v>45752</v>
      </c>
      <c r="C13" s="9">
        <f>YEAR(Raw_Data[[#This Row],[Date]])+IF(MONTH(Raw_Data[[#This Row],[Date]])&gt;=4,1,0)</f>
        <v>2026</v>
      </c>
      <c r="D13" s="6">
        <f t="shared" si="28"/>
        <v>2025</v>
      </c>
      <c r="E13" s="7" t="s">
        <v>361</v>
      </c>
      <c r="F13" s="7" t="s">
        <v>361</v>
      </c>
      <c r="G13" s="8">
        <v>45748</v>
      </c>
      <c r="H13" s="6">
        <f t="shared" si="29"/>
        <v>30</v>
      </c>
      <c r="I13" s="9">
        <v>335090.89</v>
      </c>
      <c r="J13" s="10">
        <v>0.27847222222222223</v>
      </c>
      <c r="K13" s="10">
        <v>0.79305555555555551</v>
      </c>
      <c r="L13" s="9">
        <v>12069.3</v>
      </c>
      <c r="M13" s="9">
        <v>12557.2</v>
      </c>
      <c r="N13" s="9">
        <v>12509.7</v>
      </c>
      <c r="O13" s="9">
        <v>12495.5</v>
      </c>
      <c r="P13" s="9">
        <v>12582</v>
      </c>
      <c r="Q13" s="9">
        <v>12618.3</v>
      </c>
      <c r="R13" s="9">
        <v>12577.5</v>
      </c>
      <c r="S13" s="9">
        <v>12908</v>
      </c>
      <c r="T13" s="9">
        <v>12547.6</v>
      </c>
      <c r="U13" s="9">
        <v>12544.4</v>
      </c>
      <c r="V13" s="9">
        <v>12436.6</v>
      </c>
      <c r="W13" s="9">
        <v>12552.5</v>
      </c>
      <c r="X13" s="9">
        <v>12558.5</v>
      </c>
      <c r="Y13" s="9">
        <v>12498.8</v>
      </c>
      <c r="Z13" s="9">
        <v>12522.1</v>
      </c>
      <c r="AA13" s="9">
        <v>12616.7</v>
      </c>
      <c r="AB13" s="9">
        <v>12440</v>
      </c>
      <c r="AC13" s="9">
        <v>12542.9</v>
      </c>
      <c r="AD13" s="9">
        <v>12588.1</v>
      </c>
      <c r="AE13" s="9">
        <v>12640.3</v>
      </c>
      <c r="AF13" s="9">
        <v>12585</v>
      </c>
      <c r="AG13" s="9">
        <v>12594.2</v>
      </c>
      <c r="AH13" s="9">
        <v>12390.7</v>
      </c>
      <c r="AI13" s="9">
        <v>12499.7</v>
      </c>
      <c r="AJ13" s="9">
        <v>12349.8</v>
      </c>
      <c r="AK13" s="9">
        <v>10884.8</v>
      </c>
      <c r="AL13" s="9">
        <v>12365.7</v>
      </c>
      <c r="AM13" s="9">
        <v>12326.1</v>
      </c>
      <c r="AN13" s="9">
        <v>12601.7</v>
      </c>
      <c r="AO13" s="9">
        <v>12430.3</v>
      </c>
      <c r="AP13" s="9">
        <v>12415.8</v>
      </c>
      <c r="AQ13" s="9">
        <v>12611.7</v>
      </c>
      <c r="AR13" s="9">
        <v>12583.7</v>
      </c>
      <c r="AS13" s="9">
        <v>12668.6</v>
      </c>
      <c r="AT13" s="9">
        <v>12750.5</v>
      </c>
      <c r="AU13" s="9">
        <v>12660.9</v>
      </c>
      <c r="AV13" s="9">
        <v>12685.6</v>
      </c>
      <c r="AW13" s="9">
        <v>12530.7</v>
      </c>
      <c r="AX13" s="9">
        <v>12516.8</v>
      </c>
      <c r="AY13" s="9">
        <v>12462.6</v>
      </c>
      <c r="AZ13" s="9">
        <v>13281.3</v>
      </c>
      <c r="BA13" s="9">
        <v>12281</v>
      </c>
      <c r="BB13" s="9">
        <v>13170.7</v>
      </c>
      <c r="BC13" s="9">
        <v>12088.2</v>
      </c>
      <c r="BD13" s="9">
        <v>12625.6</v>
      </c>
      <c r="BE13" s="9">
        <v>13608.4</v>
      </c>
      <c r="BF13" s="9">
        <v>11999.9</v>
      </c>
      <c r="BG13" s="9">
        <v>13270.3</v>
      </c>
      <c r="BH13" s="9">
        <v>12480.5</v>
      </c>
      <c r="BI13" s="9">
        <v>12708.5</v>
      </c>
      <c r="BJ13" s="9">
        <v>12630</v>
      </c>
      <c r="BK13" s="9">
        <v>12022.6</v>
      </c>
      <c r="BL13" s="9">
        <v>12941</v>
      </c>
      <c r="BM13" s="9">
        <v>12553.6</v>
      </c>
      <c r="BN13" s="9">
        <v>12913.4</v>
      </c>
      <c r="BO13" s="9">
        <v>12638.1</v>
      </c>
      <c r="BP13" s="9">
        <v>11575</v>
      </c>
      <c r="BQ13" s="9">
        <v>13067</v>
      </c>
      <c r="BR13" s="9">
        <v>11609.5</v>
      </c>
      <c r="BS13" s="9">
        <v>13054.1</v>
      </c>
      <c r="BT13" s="9">
        <v>12958.9</v>
      </c>
      <c r="BU13" s="9">
        <v>11609.5</v>
      </c>
      <c r="BV13" s="9">
        <v>12643.4</v>
      </c>
      <c r="BW13" s="9">
        <v>12134.5</v>
      </c>
      <c r="BX13" s="9">
        <v>12333.7</v>
      </c>
      <c r="BY13" s="9">
        <v>11651.9</v>
      </c>
      <c r="BZ13" s="9">
        <v>12322.8</v>
      </c>
      <c r="CA13" s="9">
        <v>12732.7</v>
      </c>
      <c r="CB13" s="9">
        <v>12989.2</v>
      </c>
      <c r="CC13" s="9">
        <v>11894.8</v>
      </c>
      <c r="CD13" s="9">
        <v>12858.9</v>
      </c>
      <c r="CE13" s="9">
        <v>11427.7</v>
      </c>
      <c r="CF13" s="9">
        <v>12548</v>
      </c>
      <c r="CG13" s="9">
        <v>12385.9</v>
      </c>
      <c r="CH13" s="9">
        <v>11707.7</v>
      </c>
      <c r="CI13" s="9">
        <v>12840.3</v>
      </c>
      <c r="CJ13" s="9">
        <v>11516</v>
      </c>
      <c r="CK13" s="9">
        <v>13032.6</v>
      </c>
      <c r="CL13" s="9">
        <v>11675.5</v>
      </c>
      <c r="CM13" s="9">
        <v>12848.9</v>
      </c>
      <c r="CN13" s="9">
        <v>11993.9</v>
      </c>
      <c r="CO13" s="9">
        <v>12792.1</v>
      </c>
      <c r="CP13" s="9">
        <v>12062.6</v>
      </c>
      <c r="CQ13" s="9">
        <v>13108.3</v>
      </c>
      <c r="CR13" s="9">
        <v>11936.4</v>
      </c>
      <c r="CS13" s="9">
        <v>12601.8</v>
      </c>
      <c r="CT13" s="9">
        <v>11861.3</v>
      </c>
      <c r="CU13" s="9">
        <v>10486.8</v>
      </c>
      <c r="CV13" s="9">
        <v>12710.6</v>
      </c>
      <c r="CW13" s="9">
        <v>12424</v>
      </c>
      <c r="CX13" s="9">
        <v>11596.3</v>
      </c>
      <c r="CY13" s="9">
        <v>13095.4</v>
      </c>
      <c r="CZ13" s="9">
        <v>12796.6</v>
      </c>
      <c r="DA13" s="9">
        <v>11935.4</v>
      </c>
      <c r="DB13" s="9">
        <v>11758.3</v>
      </c>
      <c r="DC13" s="9">
        <v>12866.1</v>
      </c>
      <c r="DD13" s="9">
        <v>11626.3</v>
      </c>
      <c r="DE13" s="9">
        <v>12171</v>
      </c>
      <c r="DF13" s="9">
        <v>13013.7</v>
      </c>
      <c r="DG13" s="9">
        <v>11712.5</v>
      </c>
      <c r="DH13" s="9">
        <v>13041.2</v>
      </c>
      <c r="DI13" s="9">
        <v>11665.7</v>
      </c>
      <c r="DJ13" s="9">
        <v>12814</v>
      </c>
      <c r="DK13" s="9">
        <v>11918.4</v>
      </c>
      <c r="DL13" s="9">
        <v>12862.7</v>
      </c>
      <c r="DM13" s="9">
        <v>11281.4</v>
      </c>
      <c r="DN13" s="9">
        <v>12942</v>
      </c>
      <c r="DO13" s="9">
        <v>11890.9</v>
      </c>
      <c r="DP13" s="9">
        <v>12809</v>
      </c>
      <c r="DQ13" s="9">
        <v>11778.7</v>
      </c>
      <c r="DR13" s="9">
        <v>12818.5</v>
      </c>
      <c r="DS13" s="9">
        <v>12050.1</v>
      </c>
      <c r="DT13" s="9">
        <v>11718.4</v>
      </c>
      <c r="DU13" s="9">
        <v>12767.4</v>
      </c>
      <c r="DV13" s="9">
        <v>11902.1</v>
      </c>
      <c r="DW13" s="9">
        <v>11612.2</v>
      </c>
      <c r="DX13" s="9">
        <v>12842.5</v>
      </c>
      <c r="DY13" s="9">
        <v>12975.4</v>
      </c>
      <c r="DZ13" s="9">
        <v>12787</v>
      </c>
      <c r="EA13" s="9">
        <v>11860.8</v>
      </c>
      <c r="EB13" s="9">
        <v>12902.2</v>
      </c>
      <c r="EC13" s="9">
        <v>11720.8</v>
      </c>
      <c r="ED13" s="9">
        <v>12619.8</v>
      </c>
      <c r="EE13" s="9">
        <v>11897.6</v>
      </c>
      <c r="EF13" s="9">
        <v>12491.8</v>
      </c>
      <c r="EG13" s="9">
        <v>10957.9</v>
      </c>
      <c r="EH13" s="9">
        <v>12677.7</v>
      </c>
      <c r="EI13" s="9">
        <v>11725.7</v>
      </c>
      <c r="EJ13" s="9">
        <v>11833.7</v>
      </c>
      <c r="EK13" s="9">
        <v>11835.4</v>
      </c>
      <c r="EL13" s="9">
        <v>11665.2</v>
      </c>
      <c r="EM13" s="9">
        <v>10081.700000000001</v>
      </c>
      <c r="EN13" s="9">
        <v>11602.4</v>
      </c>
      <c r="EO13" s="9">
        <v>10261.6</v>
      </c>
      <c r="EP13" s="9">
        <v>11611.2</v>
      </c>
      <c r="EQ13" s="9">
        <v>11676.4</v>
      </c>
      <c r="ER13" s="9">
        <v>13311.6</v>
      </c>
      <c r="ES13" s="9">
        <v>11971.2</v>
      </c>
      <c r="ET13" s="9">
        <v>13381.2</v>
      </c>
      <c r="EU13" s="9">
        <v>12264.2</v>
      </c>
      <c r="EV13" s="9">
        <v>13253.5</v>
      </c>
      <c r="EW13" s="9">
        <v>12041.9</v>
      </c>
      <c r="EX13" s="9">
        <v>12231.6</v>
      </c>
      <c r="EY13" s="9">
        <v>11984.6</v>
      </c>
      <c r="EZ13" s="9">
        <v>13099.8</v>
      </c>
      <c r="FA13" s="9">
        <v>13458.9</v>
      </c>
      <c r="FB13" s="9">
        <v>13320.9</v>
      </c>
      <c r="FC13" s="9">
        <v>13241.6</v>
      </c>
      <c r="FD13" s="9">
        <v>13251.2</v>
      </c>
      <c r="FE13" s="9">
        <v>13271.3</v>
      </c>
      <c r="FF13" s="9">
        <v>12380.5</v>
      </c>
      <c r="FG13" s="9">
        <v>13305.5</v>
      </c>
      <c r="FH13" s="9">
        <v>13365.2</v>
      </c>
      <c r="FI13" s="9">
        <v>13376.7</v>
      </c>
      <c r="FJ13" s="9">
        <v>13402.1</v>
      </c>
      <c r="FK13" s="9">
        <v>13356.3</v>
      </c>
      <c r="FL13" s="9">
        <v>13411.6</v>
      </c>
      <c r="FM13" s="9">
        <v>12377.6</v>
      </c>
      <c r="FN13" s="9">
        <v>13439.8</v>
      </c>
      <c r="FO13" s="9">
        <v>12418.5</v>
      </c>
      <c r="FP13" s="11">
        <v>35.234237762237754</v>
      </c>
      <c r="FQ13" s="11">
        <v>34.905622377622372</v>
      </c>
      <c r="FR13" s="11">
        <v>35.428041958041923</v>
      </c>
      <c r="FS13" s="11">
        <v>35.173846153846149</v>
      </c>
      <c r="FT13" s="11">
        <v>35.31967832167831</v>
      </c>
      <c r="FU13" s="11">
        <v>35.12365034965034</v>
      </c>
      <c r="FV13" s="11">
        <v>0</v>
      </c>
      <c r="FW13" s="11">
        <v>48.947048951048941</v>
      </c>
      <c r="FX13" s="11">
        <v>0</v>
      </c>
      <c r="FY13" s="11">
        <v>0</v>
      </c>
      <c r="FZ13" s="11">
        <v>48.9</v>
      </c>
      <c r="GA13" s="11">
        <v>49.188279720279716</v>
      </c>
      <c r="GB13" s="11">
        <v>3.4217830865734289</v>
      </c>
      <c r="GC13" s="11">
        <v>2.390645583986013</v>
      </c>
      <c r="GD13" s="11">
        <v>3.4647714130069951</v>
      </c>
      <c r="GE13" s="11">
        <v>1.530862414587411</v>
      </c>
      <c r="GF13" s="11">
        <v>3.4198646555664323</v>
      </c>
      <c r="GG13" s="11">
        <v>3.2132772391608393</v>
      </c>
      <c r="GH13" s="11">
        <v>7.7149999999999999</v>
      </c>
      <c r="GI13" s="11">
        <v>7.119999</v>
      </c>
      <c r="GJ13" s="11">
        <v>7.3766660000000002</v>
      </c>
      <c r="GK13" s="11">
        <v>7.7866660000000003</v>
      </c>
      <c r="GL13" s="11">
        <v>7.9366659999999998</v>
      </c>
      <c r="GM13" s="11">
        <v>7.9533329999999998</v>
      </c>
      <c r="GN13" s="11">
        <v>6.9506806666666696</v>
      </c>
      <c r="GO13" s="11">
        <v>6.9960948333333395</v>
      </c>
      <c r="GP13" s="11">
        <v>7.0090731666666706</v>
      </c>
      <c r="GQ13" s="11">
        <v>6.9005856666666707</v>
      </c>
      <c r="GR13" s="11">
        <v>7.0127346666666659</v>
      </c>
      <c r="GS13" s="11">
        <v>7.0425620000000109</v>
      </c>
      <c r="GT13" s="108">
        <v>1.8282268333333334</v>
      </c>
      <c r="GU13" s="108">
        <v>1.9044474999999992</v>
      </c>
      <c r="GV13" s="108">
        <v>1.7002024999999976</v>
      </c>
      <c r="GW13" s="108">
        <v>2.2755990000000019</v>
      </c>
      <c r="GX13" s="108">
        <v>2.1037089999999989</v>
      </c>
      <c r="GY13" s="108">
        <v>1.8424291666666677</v>
      </c>
      <c r="GZ13" s="13">
        <v>7.383019166666668</v>
      </c>
      <c r="HA13" s="13">
        <v>7.4160578333333307</v>
      </c>
      <c r="HB13" s="13">
        <v>7.3100311666666684</v>
      </c>
      <c r="HC13" s="13">
        <v>7.3502806666666674</v>
      </c>
      <c r="HD13" s="13">
        <v>7.3752016666666602</v>
      </c>
      <c r="HE13" s="13">
        <v>7.3656228333333349</v>
      </c>
      <c r="HF13" s="13">
        <v>0.45532016666666658</v>
      </c>
      <c r="HG13" s="13">
        <v>0.50272366666666668</v>
      </c>
      <c r="HH13" s="13">
        <v>0.42832799999999971</v>
      </c>
      <c r="HI13" s="13">
        <v>0.4566713333333326</v>
      </c>
      <c r="HJ13" s="13">
        <v>0.43312599999999973</v>
      </c>
      <c r="HK13" s="13">
        <v>0.48339299999999996</v>
      </c>
      <c r="HL13" s="12">
        <v>0</v>
      </c>
      <c r="HM13" s="12">
        <v>0</v>
      </c>
      <c r="HN13" s="12">
        <v>0</v>
      </c>
      <c r="HO13" s="12">
        <v>0</v>
      </c>
      <c r="HP13" s="12">
        <v>0</v>
      </c>
      <c r="HQ13" s="12">
        <v>0</v>
      </c>
      <c r="HR13" s="12">
        <v>0</v>
      </c>
      <c r="HS13" s="12">
        <v>0</v>
      </c>
      <c r="HT13" s="12">
        <v>0</v>
      </c>
      <c r="HU13" s="12">
        <v>0</v>
      </c>
      <c r="HV13" s="12">
        <v>0</v>
      </c>
      <c r="HW13" s="12">
        <v>0</v>
      </c>
      <c r="HX13" s="9">
        <v>903127</v>
      </c>
      <c r="HY13" s="9">
        <v>1681</v>
      </c>
      <c r="HZ13" s="9">
        <v>890029</v>
      </c>
      <c r="IA13" s="9">
        <v>1702</v>
      </c>
      <c r="IB13" s="11">
        <v>98276.341</v>
      </c>
      <c r="IC13" s="11">
        <v>221.267</v>
      </c>
      <c r="ID13" s="14">
        <f t="shared" ref="ID13:II13" si="70">GN13-HL13</f>
        <v>6.9506806666666696</v>
      </c>
      <c r="IE13" s="14">
        <f t="shared" si="70"/>
        <v>6.9960948333333395</v>
      </c>
      <c r="IF13" s="14">
        <f t="shared" si="70"/>
        <v>7.0090731666666706</v>
      </c>
      <c r="IG13" s="14">
        <f t="shared" si="70"/>
        <v>6.9005856666666707</v>
      </c>
      <c r="IH13" s="14">
        <f t="shared" si="70"/>
        <v>7.0127346666666659</v>
      </c>
      <c r="II13" s="14">
        <f t="shared" si="70"/>
        <v>7.0425620000000109</v>
      </c>
      <c r="IJ13" s="15">
        <f t="shared" ref="IJ13:IO13" si="71">GZ13-HR13</f>
        <v>7.383019166666668</v>
      </c>
      <c r="IK13" s="15">
        <f t="shared" si="71"/>
        <v>7.4160578333333307</v>
      </c>
      <c r="IL13" s="15">
        <f t="shared" si="71"/>
        <v>7.3100311666666684</v>
      </c>
      <c r="IM13" s="15">
        <f t="shared" si="71"/>
        <v>7.3502806666666674</v>
      </c>
      <c r="IN13" s="15">
        <f t="shared" si="71"/>
        <v>7.3752016666666602</v>
      </c>
      <c r="IO13" s="15">
        <f t="shared" si="71"/>
        <v>7.3656228333333349</v>
      </c>
      <c r="IP13" s="16">
        <f t="shared" ref="IP13" si="72">(HX13-HX12)*1000</f>
        <v>994000</v>
      </c>
      <c r="IQ13" s="16">
        <f t="shared" ref="IQ13" si="73">(HY13-HY12)*1000</f>
        <v>1000</v>
      </c>
      <c r="IR13" s="16">
        <f t="shared" ref="IR13" si="74">(HZ13-HZ12)*1000</f>
        <v>986000</v>
      </c>
      <c r="IS13" s="16">
        <f t="shared" ref="IS13" si="75">(IA13-IA12)*1000</f>
        <v>1000</v>
      </c>
      <c r="IT13" s="16">
        <f t="shared" ref="IT13" si="76">(IB13-IB12)*1000</f>
        <v>1974399.9999999942</v>
      </c>
      <c r="IU13" s="16">
        <f t="shared" ref="IU13" si="77">(IC13-IC12)*1000</f>
        <v>3466.9999999999845</v>
      </c>
      <c r="IV13" s="17">
        <f t="shared" ref="IV13" si="78">(IP13+IR13)-(IQ13+IS13)</f>
        <v>1978000</v>
      </c>
      <c r="IW13" s="17">
        <f t="shared" ref="IW13" si="79">IT13-IU13</f>
        <v>1970932.9999999942</v>
      </c>
      <c r="IX13" s="19">
        <f>(Raw_Data[[#This Row],[Sunset Time (POA&lt;20 W/m2)]]-Raw_Data[[#This Row],[Sunrise Time (POA&gt;20 W/m2)]])*24</f>
        <v>12.349999999999998</v>
      </c>
      <c r="IY13" s="68">
        <f>AVERAGEIF(Raw_Data[[#This Row],[GHI_UP_Net_IS2_W1]:[GHI_UP_Net_IS19_W6]],"&lt;&gt;"&amp;0,Raw_Data[[#This Row],[GHI_UP_Net_IS2_W1]:[GHI_UP_Net_IS19_W6]])</f>
        <v>6.9852885000000038</v>
      </c>
      <c r="IZ13" s="68">
        <f>AVERAGEIF(Raw_Data[[#This Row],[GHI_Down_IS2_W1]:[GHI_Down_IS19_W6]],"&lt;&gt;"&amp;0,Raw_Data[[#This Row],[GHI_Down_IS2_W1]:[GHI_Down_IS19_W6]])</f>
        <v>1.9424356666666664</v>
      </c>
      <c r="JA13" s="68">
        <f>AVERAGEIF(Raw_Data[[#This Row],[POA_Up_IS2_W1]:[POA_Up_IS19_W6]],"&lt;&gt;"&amp;0,Raw_Data[[#This Row],[POA_Up_IS2_W1]:[POA_Up_IS19_W6]])</f>
        <v>7.3667022222222203</v>
      </c>
      <c r="JB13" s="68">
        <f>AVERAGEIF(Raw_Data[[#This Row],[POA_Down_IS2_W1]:[POA_Down_IS19_W6]],"&lt;&gt;"&amp;0,Raw_Data[[#This Row],[POA_Down_IS2_W1]:[POA_Down_IS19_W6]])</f>
        <v>0.45992702777777755</v>
      </c>
      <c r="JC13" s="69">
        <f>Raw_Data[[#This Row],[GHI-Down(KWh/m2)]]/Raw_Data[[#This Row],[GHI-UP (KWh/m2)]]</f>
        <v>0.2780752243327767</v>
      </c>
      <c r="JD13" s="72">
        <f>Raw_Data[[#This Row],[POA-Down(KWh/m2)]]/Raw_Data[[#This Row],[POA-UP(KWh/m2)]]</f>
        <v>6.2433231845638135E-2</v>
      </c>
      <c r="JE13" s="68">
        <f>AVERAGEIF(Raw_Data[[#This Row],[Amb_Temp_IS2_W1]:[Amb_Temp_IS19_W6]],"&lt;&gt;"&amp;0,Raw_Data[[#This Row],[Amb_Temp_IS2_W1]:[Amb_Temp_IS19_W6]])</f>
        <v>35.197512820512806</v>
      </c>
      <c r="JF13" s="68">
        <f>AVERAGEIF(Raw_Data[[#This Row],[MT_Temp_IS2_W1]:[MT_Temp_IS19_W6]],"&lt;&gt;"&amp;0,Raw_Data[[#This Row],[MT_Temp_IS2_W1]:[MT_Temp_IS19_W6]])</f>
        <v>49.011776223776224</v>
      </c>
      <c r="JG13" s="68">
        <f>AVERAGEIF(Raw_Data[[#This Row],[WS_Avg_IS2_W1]:[WS_Avg_IS19_W6]],"&lt;&gt;"&amp;0,Raw_Data[[#This Row],[WS_Avg_IS2_W1]:[WS_Avg_IS19_W6]])</f>
        <v>2.9068673988135196</v>
      </c>
      <c r="JH13" s="68">
        <f>AVERAGEIF(Raw_Data[[#This Row],[WS_Max_IS2_W1]:[WS_Max_IS19_W6]],"&lt;&gt;"&amp;0,Raw_Data[[#This Row],[WS_Max_IS2_W1]:[WS_Max_IS19_W6]])</f>
        <v>7.6480550000000003</v>
      </c>
      <c r="JI13" s="70">
        <f>SUM(Raw_Data[[#This Row],[IS1_INV1_M1]:[IS20_INV4_M2]])</f>
        <v>1987718.6999999995</v>
      </c>
      <c r="JJ13" s="73">
        <v>1955667.0000000016</v>
      </c>
      <c r="JK13" s="71">
        <v>2389204.1399749545</v>
      </c>
      <c r="JL13" s="143">
        <f>IFERROR(Raw_Data[[#This Row],[WPR_Eac]]/Raw_Data[[#This Row],[WPR_Edc]],"")</f>
        <v>0.81854328279395261</v>
      </c>
      <c r="JM13" s="6">
        <v>26</v>
      </c>
      <c r="JN13" s="6">
        <v>0</v>
      </c>
    </row>
    <row r="14" spans="2:274">
      <c r="B14" s="67">
        <f t="shared" si="21"/>
        <v>45753</v>
      </c>
      <c r="C14" s="9">
        <f>YEAR(Raw_Data[[#This Row],[Date]])+IF(MONTH(Raw_Data[[#This Row],[Date]])&gt;=4,1,0)</f>
        <v>2026</v>
      </c>
      <c r="D14" s="6">
        <f t="shared" si="28"/>
        <v>2025</v>
      </c>
      <c r="E14" s="7" t="s">
        <v>361</v>
      </c>
      <c r="F14" s="7" t="s">
        <v>361</v>
      </c>
      <c r="G14" s="8">
        <v>45748</v>
      </c>
      <c r="H14" s="6">
        <f t="shared" si="29"/>
        <v>30</v>
      </c>
      <c r="I14" s="9">
        <v>335090.89</v>
      </c>
      <c r="J14" s="10">
        <v>0.27986111111111112</v>
      </c>
      <c r="K14" s="10">
        <v>0.7944444444444444</v>
      </c>
      <c r="L14" s="9">
        <v>12146</v>
      </c>
      <c r="M14" s="9">
        <v>12508.3</v>
      </c>
      <c r="N14" s="9">
        <v>12448.2</v>
      </c>
      <c r="O14" s="9">
        <v>12464.2</v>
      </c>
      <c r="P14" s="9">
        <v>12511.9</v>
      </c>
      <c r="Q14" s="9">
        <v>12542.7</v>
      </c>
      <c r="R14" s="9">
        <v>12467.2</v>
      </c>
      <c r="S14" s="9">
        <v>12703</v>
      </c>
      <c r="T14" s="9">
        <v>12496.4</v>
      </c>
      <c r="U14" s="9">
        <v>12474</v>
      </c>
      <c r="V14" s="9">
        <v>12408.4</v>
      </c>
      <c r="W14" s="9">
        <v>12493.4</v>
      </c>
      <c r="X14" s="9">
        <v>12529.3</v>
      </c>
      <c r="Y14" s="9">
        <v>12448.6</v>
      </c>
      <c r="Z14" s="9">
        <v>12496.3</v>
      </c>
      <c r="AA14" s="9">
        <v>12567.7</v>
      </c>
      <c r="AB14" s="9">
        <v>12408.2</v>
      </c>
      <c r="AC14" s="9">
        <v>12489.2</v>
      </c>
      <c r="AD14" s="9">
        <v>12526.1</v>
      </c>
      <c r="AE14" s="9">
        <v>12600.5</v>
      </c>
      <c r="AF14" s="9">
        <v>12522</v>
      </c>
      <c r="AG14" s="9">
        <v>12545.7</v>
      </c>
      <c r="AH14" s="9">
        <v>12400.1</v>
      </c>
      <c r="AI14" s="9">
        <v>12474</v>
      </c>
      <c r="AJ14" s="9">
        <v>12347.8</v>
      </c>
      <c r="AK14" s="9">
        <v>11218.2</v>
      </c>
      <c r="AL14" s="9">
        <v>12372.6</v>
      </c>
      <c r="AM14" s="9">
        <v>12340</v>
      </c>
      <c r="AN14" s="9">
        <v>12529.7</v>
      </c>
      <c r="AO14" s="9">
        <v>12388.9</v>
      </c>
      <c r="AP14" s="9">
        <v>12411.1</v>
      </c>
      <c r="AQ14" s="9">
        <v>12530.6</v>
      </c>
      <c r="AR14" s="9">
        <v>12883.3</v>
      </c>
      <c r="AS14" s="9">
        <v>12968.1</v>
      </c>
      <c r="AT14" s="9">
        <v>13070.1</v>
      </c>
      <c r="AU14" s="9">
        <v>12985.8</v>
      </c>
      <c r="AV14" s="9">
        <v>12589.6</v>
      </c>
      <c r="AW14" s="9">
        <v>12468</v>
      </c>
      <c r="AX14" s="9">
        <v>12443.8</v>
      </c>
      <c r="AY14" s="9">
        <v>12416</v>
      </c>
      <c r="AZ14" s="9">
        <v>13079.6</v>
      </c>
      <c r="BA14" s="9">
        <v>12361.7</v>
      </c>
      <c r="BB14" s="9">
        <v>12980.9</v>
      </c>
      <c r="BC14" s="9">
        <v>12235.6</v>
      </c>
      <c r="BD14" s="9">
        <v>12581.6</v>
      </c>
      <c r="BE14" s="9">
        <v>13323.5</v>
      </c>
      <c r="BF14" s="9">
        <v>12124.7</v>
      </c>
      <c r="BG14" s="9">
        <v>13060.9</v>
      </c>
      <c r="BH14" s="9">
        <v>12445.6</v>
      </c>
      <c r="BI14" s="9">
        <v>12639.7</v>
      </c>
      <c r="BJ14" s="9">
        <v>12599.6</v>
      </c>
      <c r="BK14" s="9">
        <v>12170.6</v>
      </c>
      <c r="BL14" s="9">
        <v>12824.8</v>
      </c>
      <c r="BM14" s="9">
        <v>12515.8</v>
      </c>
      <c r="BN14" s="9">
        <v>12793.1</v>
      </c>
      <c r="BO14" s="9">
        <v>12574.5</v>
      </c>
      <c r="BP14" s="9">
        <v>11846.8</v>
      </c>
      <c r="BQ14" s="9">
        <v>12911.2</v>
      </c>
      <c r="BR14" s="9">
        <v>11892.7</v>
      </c>
      <c r="BS14" s="9">
        <v>12915.1</v>
      </c>
      <c r="BT14" s="9">
        <v>12833.2</v>
      </c>
      <c r="BU14" s="9">
        <v>11869.6</v>
      </c>
      <c r="BV14" s="9">
        <v>12562.7</v>
      </c>
      <c r="BW14" s="9">
        <v>12192.3</v>
      </c>
      <c r="BX14" s="9">
        <v>12362.4</v>
      </c>
      <c r="BY14" s="9">
        <v>11907.2</v>
      </c>
      <c r="BZ14" s="9">
        <v>12358.2</v>
      </c>
      <c r="CA14" s="9">
        <v>12649.2</v>
      </c>
      <c r="CB14" s="9">
        <v>12831.6</v>
      </c>
      <c r="CC14" s="9">
        <v>12067</v>
      </c>
      <c r="CD14" s="9">
        <v>12736.5</v>
      </c>
      <c r="CE14" s="9">
        <v>11715.9</v>
      </c>
      <c r="CF14" s="9">
        <v>12502.9</v>
      </c>
      <c r="CG14" s="9">
        <v>12416.1</v>
      </c>
      <c r="CH14" s="9">
        <v>11944.7</v>
      </c>
      <c r="CI14" s="9">
        <v>12716.2</v>
      </c>
      <c r="CJ14" s="9">
        <v>11796.4</v>
      </c>
      <c r="CK14" s="9">
        <v>12878</v>
      </c>
      <c r="CL14" s="9">
        <v>11924</v>
      </c>
      <c r="CM14" s="9">
        <v>12726.7</v>
      </c>
      <c r="CN14" s="9">
        <v>12149.1</v>
      </c>
      <c r="CO14" s="9">
        <v>12698</v>
      </c>
      <c r="CP14" s="9">
        <v>12172.7</v>
      </c>
      <c r="CQ14" s="9">
        <v>12937</v>
      </c>
      <c r="CR14" s="9">
        <v>12094.3</v>
      </c>
      <c r="CS14" s="9">
        <v>12546</v>
      </c>
      <c r="CT14" s="9">
        <v>12008.3</v>
      </c>
      <c r="CU14" s="9">
        <v>10868</v>
      </c>
      <c r="CV14" s="9">
        <v>12603.3</v>
      </c>
      <c r="CW14" s="9">
        <v>12411.1</v>
      </c>
      <c r="CX14" s="9">
        <v>11886.7</v>
      </c>
      <c r="CY14" s="9">
        <v>12934.2</v>
      </c>
      <c r="CZ14" s="9">
        <v>12683.5</v>
      </c>
      <c r="DA14" s="9">
        <v>12097</v>
      </c>
      <c r="DB14" s="9">
        <v>11966.9</v>
      </c>
      <c r="DC14" s="9">
        <v>12721.9</v>
      </c>
      <c r="DD14" s="9">
        <v>11865.2</v>
      </c>
      <c r="DE14" s="9">
        <v>12252.6</v>
      </c>
      <c r="DF14" s="9">
        <v>12840.9</v>
      </c>
      <c r="DG14" s="9">
        <v>11935.6</v>
      </c>
      <c r="DH14" s="9">
        <v>12866.3</v>
      </c>
      <c r="DI14" s="9">
        <v>11915.7</v>
      </c>
      <c r="DJ14" s="9">
        <v>12740.2</v>
      </c>
      <c r="DK14" s="9">
        <v>12113.5</v>
      </c>
      <c r="DL14" s="9">
        <v>12734.2</v>
      </c>
      <c r="DM14" s="9">
        <v>11575.8</v>
      </c>
      <c r="DN14" s="9">
        <v>12810.7</v>
      </c>
      <c r="DO14" s="9">
        <v>12069.6</v>
      </c>
      <c r="DP14" s="9">
        <v>12724.7</v>
      </c>
      <c r="DQ14" s="9">
        <v>12007.8</v>
      </c>
      <c r="DR14" s="9">
        <v>12739.5</v>
      </c>
      <c r="DS14" s="9">
        <v>12231.7</v>
      </c>
      <c r="DT14" s="9">
        <v>11940.3</v>
      </c>
      <c r="DU14" s="9">
        <v>12649.8</v>
      </c>
      <c r="DV14" s="9">
        <v>12083.1</v>
      </c>
      <c r="DW14" s="9">
        <v>11873.2</v>
      </c>
      <c r="DX14" s="9">
        <v>12708.6</v>
      </c>
      <c r="DY14" s="9">
        <v>12826.8</v>
      </c>
      <c r="DZ14" s="9">
        <v>12670</v>
      </c>
      <c r="EA14" s="9">
        <v>12058.7</v>
      </c>
      <c r="EB14" s="9">
        <v>12753.4</v>
      </c>
      <c r="EC14" s="9">
        <v>11951.6</v>
      </c>
      <c r="ED14" s="9">
        <v>12569.3</v>
      </c>
      <c r="EE14" s="9">
        <v>12090.8</v>
      </c>
      <c r="EF14" s="9">
        <v>12449.3</v>
      </c>
      <c r="EG14" s="9">
        <v>11295.1</v>
      </c>
      <c r="EH14" s="9">
        <v>12622.5</v>
      </c>
      <c r="EI14" s="9">
        <v>11975.4</v>
      </c>
      <c r="EJ14" s="9">
        <v>12024.2</v>
      </c>
      <c r="EK14" s="9">
        <v>11982</v>
      </c>
      <c r="EL14" s="9">
        <v>11908.1</v>
      </c>
      <c r="EM14" s="9">
        <v>10441.6</v>
      </c>
      <c r="EN14" s="9">
        <v>11828.3</v>
      </c>
      <c r="EO14" s="9">
        <v>10602.8</v>
      </c>
      <c r="EP14" s="9">
        <v>11846.5</v>
      </c>
      <c r="EQ14" s="9">
        <v>11891</v>
      </c>
      <c r="ER14" s="9">
        <v>13072.4</v>
      </c>
      <c r="ES14" s="9">
        <v>12093.5</v>
      </c>
      <c r="ET14" s="9">
        <v>13132.3</v>
      </c>
      <c r="EU14" s="9">
        <v>12315.9</v>
      </c>
      <c r="EV14" s="9">
        <v>13016.5</v>
      </c>
      <c r="EW14" s="9">
        <v>12128.6</v>
      </c>
      <c r="EX14" s="9">
        <v>12265.3</v>
      </c>
      <c r="EY14" s="9">
        <v>12099</v>
      </c>
      <c r="EZ14" s="9">
        <v>12948.4</v>
      </c>
      <c r="FA14" s="9">
        <v>13193.1</v>
      </c>
      <c r="FB14" s="9">
        <v>13114.4</v>
      </c>
      <c r="FC14" s="9">
        <v>13039.9</v>
      </c>
      <c r="FD14" s="9">
        <v>13045.5</v>
      </c>
      <c r="FE14" s="9">
        <v>13057</v>
      </c>
      <c r="FF14" s="9">
        <v>12404.5</v>
      </c>
      <c r="FG14" s="9">
        <v>13089.8</v>
      </c>
      <c r="FH14" s="9">
        <v>13142.5</v>
      </c>
      <c r="FI14" s="9">
        <v>13138.7</v>
      </c>
      <c r="FJ14" s="9">
        <v>13150.7</v>
      </c>
      <c r="FK14" s="9">
        <v>13122</v>
      </c>
      <c r="FL14" s="9">
        <v>13174.1</v>
      </c>
      <c r="FM14" s="9">
        <v>12419</v>
      </c>
      <c r="FN14" s="9">
        <v>13213.4</v>
      </c>
      <c r="FO14" s="9">
        <v>12448.4</v>
      </c>
      <c r="FP14" s="11">
        <v>38.4</v>
      </c>
      <c r="FQ14" s="11">
        <v>38.04</v>
      </c>
      <c r="FR14" s="11">
        <v>38.61</v>
      </c>
      <c r="FS14" s="11">
        <v>38.39</v>
      </c>
      <c r="FT14" s="11">
        <v>38.840000000000003</v>
      </c>
      <c r="FU14" s="11">
        <v>38.36</v>
      </c>
      <c r="FV14" s="11">
        <v>0</v>
      </c>
      <c r="FW14" s="11">
        <v>50.5</v>
      </c>
      <c r="FX14" s="11">
        <v>0</v>
      </c>
      <c r="FY14" s="11">
        <v>0</v>
      </c>
      <c r="FZ14" s="11">
        <v>50.8</v>
      </c>
      <c r="GA14" s="11">
        <v>51.08</v>
      </c>
      <c r="GB14" s="11">
        <v>4.34</v>
      </c>
      <c r="GC14" s="11">
        <v>2.85</v>
      </c>
      <c r="GD14" s="11">
        <v>4.1399999999999997</v>
      </c>
      <c r="GE14" s="11">
        <v>2.5099999999999998</v>
      </c>
      <c r="GF14" s="11">
        <v>3.92</v>
      </c>
      <c r="GG14" s="11">
        <v>3.71</v>
      </c>
      <c r="GH14" s="11">
        <v>8.83</v>
      </c>
      <c r="GI14" s="11">
        <v>8.3800000000000008</v>
      </c>
      <c r="GJ14" s="11">
        <v>8.42</v>
      </c>
      <c r="GK14" s="11">
        <v>8.4600000000000009</v>
      </c>
      <c r="GL14" s="11">
        <v>8.5299999999999994</v>
      </c>
      <c r="GM14" s="11">
        <v>8.7100000000000009</v>
      </c>
      <c r="GN14" s="11">
        <v>7.3</v>
      </c>
      <c r="GO14" s="11">
        <v>7.34</v>
      </c>
      <c r="GP14" s="11">
        <v>7.34</v>
      </c>
      <c r="GQ14" s="11">
        <v>7.21</v>
      </c>
      <c r="GR14" s="11">
        <v>7.35</v>
      </c>
      <c r="GS14" s="11">
        <v>7.37</v>
      </c>
      <c r="GT14" s="108">
        <v>1.91</v>
      </c>
      <c r="GU14" s="108">
        <v>2</v>
      </c>
      <c r="GV14" s="108">
        <v>1.77</v>
      </c>
      <c r="GW14" s="108">
        <v>2.38</v>
      </c>
      <c r="GX14" s="108">
        <v>2.21</v>
      </c>
      <c r="GY14" s="108">
        <v>1.93</v>
      </c>
      <c r="GZ14" s="13">
        <v>7.74</v>
      </c>
      <c r="HA14" s="13">
        <v>7.78</v>
      </c>
      <c r="HB14" s="13">
        <v>7.64</v>
      </c>
      <c r="HC14" s="13">
        <v>7.67</v>
      </c>
      <c r="HD14" s="13">
        <v>7.71</v>
      </c>
      <c r="HE14" s="13">
        <v>7.71</v>
      </c>
      <c r="HF14" s="13">
        <v>0.47</v>
      </c>
      <c r="HG14" s="13">
        <v>0.52</v>
      </c>
      <c r="HH14" s="13">
        <v>0.44</v>
      </c>
      <c r="HI14" s="13">
        <v>0.47</v>
      </c>
      <c r="HJ14" s="13">
        <v>0.45</v>
      </c>
      <c r="HK14" s="13">
        <v>0.5</v>
      </c>
      <c r="HL14" s="12">
        <v>0</v>
      </c>
      <c r="HM14" s="12">
        <v>0</v>
      </c>
      <c r="HN14" s="12">
        <v>0</v>
      </c>
      <c r="HO14" s="12">
        <v>0</v>
      </c>
      <c r="HP14" s="12">
        <v>0</v>
      </c>
      <c r="HQ14" s="12">
        <v>0</v>
      </c>
      <c r="HR14" s="12">
        <v>0</v>
      </c>
      <c r="HS14" s="12">
        <v>0</v>
      </c>
      <c r="HT14" s="12">
        <v>0</v>
      </c>
      <c r="HU14" s="12">
        <v>0</v>
      </c>
      <c r="HV14" s="12">
        <v>0</v>
      </c>
      <c r="HW14" s="12">
        <v>0</v>
      </c>
      <c r="HX14" s="9">
        <v>904118</v>
      </c>
      <c r="HY14" s="9">
        <v>1683</v>
      </c>
      <c r="HZ14" s="9">
        <v>891016</v>
      </c>
      <c r="IA14" s="9">
        <v>1704</v>
      </c>
      <c r="IB14" s="11">
        <v>100252.94100000001</v>
      </c>
      <c r="IC14" s="11">
        <v>225.733</v>
      </c>
      <c r="ID14" s="14">
        <f t="shared" ref="ID14:II14" si="80">GN14-HL14</f>
        <v>7.3</v>
      </c>
      <c r="IE14" s="14">
        <f t="shared" si="80"/>
        <v>7.34</v>
      </c>
      <c r="IF14" s="14">
        <f t="shared" si="80"/>
        <v>7.34</v>
      </c>
      <c r="IG14" s="14">
        <f t="shared" si="80"/>
        <v>7.21</v>
      </c>
      <c r="IH14" s="14">
        <f t="shared" si="80"/>
        <v>7.35</v>
      </c>
      <c r="II14" s="14">
        <f t="shared" si="80"/>
        <v>7.37</v>
      </c>
      <c r="IJ14" s="15">
        <f t="shared" ref="IJ14:IO14" si="81">GZ14-HR14</f>
        <v>7.74</v>
      </c>
      <c r="IK14" s="15">
        <f t="shared" si="81"/>
        <v>7.78</v>
      </c>
      <c r="IL14" s="15">
        <f t="shared" si="81"/>
        <v>7.64</v>
      </c>
      <c r="IM14" s="15">
        <f t="shared" si="81"/>
        <v>7.67</v>
      </c>
      <c r="IN14" s="15">
        <f t="shared" si="81"/>
        <v>7.71</v>
      </c>
      <c r="IO14" s="15">
        <f t="shared" si="81"/>
        <v>7.71</v>
      </c>
      <c r="IP14" s="16">
        <f t="shared" ref="IP14" si="82">(HX14-HX13)*1000</f>
        <v>991000</v>
      </c>
      <c r="IQ14" s="16">
        <f t="shared" ref="IQ14" si="83">(HY14-HY13)*1000</f>
        <v>2000</v>
      </c>
      <c r="IR14" s="16">
        <f t="shared" ref="IR14" si="84">(HZ14-HZ13)*1000</f>
        <v>987000</v>
      </c>
      <c r="IS14" s="16">
        <f t="shared" ref="IS14" si="85">(IA14-IA13)*1000</f>
        <v>2000</v>
      </c>
      <c r="IT14" s="16">
        <f t="shared" ref="IT14" si="86">(IB14-IB13)*1000</f>
        <v>1976600.0000000058</v>
      </c>
      <c r="IU14" s="16">
        <f t="shared" ref="IU14" si="87">(IC14-IC13)*1000</f>
        <v>4466.0000000000082</v>
      </c>
      <c r="IV14" s="17">
        <f t="shared" ref="IV14" si="88">(IP14+IR14)-(IQ14+IS14)</f>
        <v>1974000</v>
      </c>
      <c r="IW14" s="17">
        <f t="shared" ref="IW14" si="89">IT14-IU14</f>
        <v>1972134.0000000058</v>
      </c>
      <c r="IX14" s="19">
        <f>(Raw_Data[[#This Row],[Sunset Time (POA&lt;20 W/m2)]]-Raw_Data[[#This Row],[Sunrise Time (POA&gt;20 W/m2)]])*24</f>
        <v>12.349999999999998</v>
      </c>
      <c r="IY14" s="68">
        <f>AVERAGEIF(Raw_Data[[#This Row],[GHI_UP_Net_IS2_W1]:[GHI_UP_Net_IS19_W6]],"&lt;&gt;"&amp;0,Raw_Data[[#This Row],[GHI_UP_Net_IS2_W1]:[GHI_UP_Net_IS19_W6]])</f>
        <v>7.3183333333333325</v>
      </c>
      <c r="IZ14" s="68">
        <f>AVERAGEIF(Raw_Data[[#This Row],[GHI_Down_IS2_W1]:[GHI_Down_IS19_W6]],"&lt;&gt;"&amp;0,Raw_Data[[#This Row],[GHI_Down_IS2_W1]:[GHI_Down_IS19_W6]])</f>
        <v>2.0333333333333332</v>
      </c>
      <c r="JA14" s="68">
        <f>AVERAGEIF(Raw_Data[[#This Row],[POA_Up_IS2_W1]:[POA_Up_IS19_W6]],"&lt;&gt;"&amp;0,Raw_Data[[#This Row],[POA_Up_IS2_W1]:[POA_Up_IS19_W6]])</f>
        <v>7.708333333333333</v>
      </c>
      <c r="JB14" s="68">
        <f>AVERAGEIF(Raw_Data[[#This Row],[POA_Down_IS2_W1]:[POA_Down_IS19_W6]],"&lt;&gt;"&amp;0,Raw_Data[[#This Row],[POA_Down_IS2_W1]:[POA_Down_IS19_W6]])</f>
        <v>0.47500000000000003</v>
      </c>
      <c r="JC14" s="69">
        <f>Raw_Data[[#This Row],[GHI-Down(KWh/m2)]]/Raw_Data[[#This Row],[GHI-UP (KWh/m2)]]</f>
        <v>0.27784103848781599</v>
      </c>
      <c r="JD14" s="72">
        <f>Raw_Data[[#This Row],[POA-Down(KWh/m2)]]/Raw_Data[[#This Row],[POA-UP(KWh/m2)]]</f>
        <v>6.1621621621621631E-2</v>
      </c>
      <c r="JE14" s="68">
        <f>AVERAGEIF(Raw_Data[[#This Row],[Amb_Temp_IS2_W1]:[Amb_Temp_IS19_W6]],"&lt;&gt;"&amp;0,Raw_Data[[#This Row],[Amb_Temp_IS2_W1]:[Amb_Temp_IS19_W6]])</f>
        <v>38.44</v>
      </c>
      <c r="JF14" s="68">
        <f>AVERAGEIF(Raw_Data[[#This Row],[MT_Temp_IS2_W1]:[MT_Temp_IS19_W6]],"&lt;&gt;"&amp;0,Raw_Data[[#This Row],[MT_Temp_IS2_W1]:[MT_Temp_IS19_W6]])</f>
        <v>50.793333333333329</v>
      </c>
      <c r="JG14" s="68">
        <f>AVERAGEIF(Raw_Data[[#This Row],[WS_Avg_IS2_W1]:[WS_Avg_IS19_W6]],"&lt;&gt;"&amp;0,Raw_Data[[#This Row],[WS_Avg_IS2_W1]:[WS_Avg_IS19_W6]])</f>
        <v>3.5783333333333331</v>
      </c>
      <c r="JH14" s="68">
        <f>AVERAGEIF(Raw_Data[[#This Row],[WS_Max_IS2_W1]:[WS_Max_IS19_W6]],"&lt;&gt;"&amp;0,Raw_Data[[#This Row],[WS_Max_IS2_W1]:[WS_Max_IS19_W6]])</f>
        <v>8.5550000000000015</v>
      </c>
      <c r="JI14" s="70">
        <f>SUM(Raw_Data[[#This Row],[IS1_INV1_M1]:[IS20_INV4_M2]])</f>
        <v>1989573.0999999994</v>
      </c>
      <c r="JJ14" s="73">
        <v>2001754.9999999898</v>
      </c>
      <c r="JK14" s="71">
        <v>2460955.4064767081</v>
      </c>
      <c r="JL14" s="143">
        <f>IFERROR(Raw_Data[[#This Row],[WPR_Eac]]/Raw_Data[[#This Row],[WPR_Edc]],"")</f>
        <v>0.81340563698626922</v>
      </c>
      <c r="JM14" s="6">
        <v>28</v>
      </c>
      <c r="JN14" s="6">
        <v>0</v>
      </c>
    </row>
    <row r="15" spans="2:274">
      <c r="B15" s="67">
        <f t="shared" si="21"/>
        <v>45754</v>
      </c>
      <c r="C15" s="9">
        <f>YEAR(Raw_Data[[#This Row],[Date]])+IF(MONTH(Raw_Data[[#This Row],[Date]])&gt;=4,1,0)</f>
        <v>2026</v>
      </c>
      <c r="D15" s="6">
        <f t="shared" ref="D15:D20" si="90">YEAR(B15)</f>
        <v>2025</v>
      </c>
      <c r="E15" s="7" t="s">
        <v>361</v>
      </c>
      <c r="F15" s="7" t="s">
        <v>361</v>
      </c>
      <c r="G15" s="8">
        <v>45748</v>
      </c>
      <c r="H15" s="6">
        <f t="shared" ref="H15:H20" si="91">DAY(EOMONTH(B15,0))</f>
        <v>30</v>
      </c>
      <c r="I15" s="9">
        <v>335090.89</v>
      </c>
      <c r="J15" s="10">
        <v>0.28125</v>
      </c>
      <c r="K15" s="10">
        <v>0.7944444444444444</v>
      </c>
      <c r="L15" s="9">
        <v>11257</v>
      </c>
      <c r="M15" s="9">
        <v>11626.3</v>
      </c>
      <c r="N15" s="9">
        <v>11587.4</v>
      </c>
      <c r="O15" s="9">
        <v>11604.4</v>
      </c>
      <c r="P15" s="9">
        <v>11644.9</v>
      </c>
      <c r="Q15" s="9">
        <v>11674.4</v>
      </c>
      <c r="R15" s="9">
        <v>11605.2</v>
      </c>
      <c r="S15" s="9">
        <v>11864.2</v>
      </c>
      <c r="T15" s="9">
        <v>11627.4</v>
      </c>
      <c r="U15" s="9">
        <v>11603.6</v>
      </c>
      <c r="V15" s="9">
        <v>11528.1</v>
      </c>
      <c r="W15" s="9">
        <v>11616</v>
      </c>
      <c r="X15" s="9">
        <v>11654.4</v>
      </c>
      <c r="Y15" s="9">
        <v>11577.4</v>
      </c>
      <c r="Z15" s="9">
        <v>11613.3</v>
      </c>
      <c r="AA15" s="9">
        <v>11707.5</v>
      </c>
      <c r="AB15" s="9">
        <v>11537.1</v>
      </c>
      <c r="AC15" s="9">
        <v>11625.3</v>
      </c>
      <c r="AD15" s="9">
        <v>11660.5</v>
      </c>
      <c r="AE15" s="9">
        <v>11720.1</v>
      </c>
      <c r="AF15" s="9">
        <v>11654.1</v>
      </c>
      <c r="AG15" s="9">
        <v>11671.2</v>
      </c>
      <c r="AH15" s="9">
        <v>11515</v>
      </c>
      <c r="AI15" s="9">
        <v>11601.7</v>
      </c>
      <c r="AJ15" s="9">
        <v>11468.1</v>
      </c>
      <c r="AK15" s="9">
        <v>10320.1</v>
      </c>
      <c r="AL15" s="9">
        <v>11485.1</v>
      </c>
      <c r="AM15" s="9">
        <v>11453.6</v>
      </c>
      <c r="AN15" s="9">
        <v>11670.3</v>
      </c>
      <c r="AO15" s="9">
        <v>11508.8</v>
      </c>
      <c r="AP15" s="9">
        <v>11531.7</v>
      </c>
      <c r="AQ15" s="9">
        <v>11673</v>
      </c>
      <c r="AR15" s="9">
        <v>12615.9</v>
      </c>
      <c r="AS15" s="9">
        <v>12709.5</v>
      </c>
      <c r="AT15" s="9">
        <v>12783.9</v>
      </c>
      <c r="AU15" s="9">
        <v>12685.9</v>
      </c>
      <c r="AV15" s="9">
        <v>11723.4</v>
      </c>
      <c r="AW15" s="9">
        <v>11596.6</v>
      </c>
      <c r="AX15" s="9">
        <v>11579.5</v>
      </c>
      <c r="AY15" s="9">
        <v>11552.9</v>
      </c>
      <c r="AZ15" s="9">
        <v>12233.6</v>
      </c>
      <c r="BA15" s="9">
        <v>11447</v>
      </c>
      <c r="BB15" s="9">
        <v>12133.9</v>
      </c>
      <c r="BC15" s="9">
        <v>11296</v>
      </c>
      <c r="BD15" s="9">
        <v>11712.1</v>
      </c>
      <c r="BE15" s="9">
        <v>12501.2</v>
      </c>
      <c r="BF15" s="9">
        <v>11202.5</v>
      </c>
      <c r="BG15" s="9">
        <v>12222.9</v>
      </c>
      <c r="BH15" s="9">
        <v>11574.3</v>
      </c>
      <c r="BI15" s="9">
        <v>11764</v>
      </c>
      <c r="BJ15" s="9">
        <v>11722.2</v>
      </c>
      <c r="BK15" s="9">
        <v>11207.9</v>
      </c>
      <c r="BL15" s="9">
        <v>11961.3</v>
      </c>
      <c r="BM15" s="9">
        <v>11634.6</v>
      </c>
      <c r="BN15" s="9">
        <v>11909.9</v>
      </c>
      <c r="BO15" s="9">
        <v>11683.7</v>
      </c>
      <c r="BP15" s="9">
        <v>10857.2</v>
      </c>
      <c r="BQ15" s="9">
        <v>12025</v>
      </c>
      <c r="BR15" s="9">
        <v>10925.6</v>
      </c>
      <c r="BS15" s="9">
        <v>12034.5</v>
      </c>
      <c r="BT15" s="9">
        <v>11958.2</v>
      </c>
      <c r="BU15" s="9">
        <v>10909.2</v>
      </c>
      <c r="BV15" s="9">
        <v>11667.6</v>
      </c>
      <c r="BW15" s="9">
        <v>11253</v>
      </c>
      <c r="BX15" s="9">
        <v>11430.9</v>
      </c>
      <c r="BY15" s="9">
        <v>10901.4</v>
      </c>
      <c r="BZ15" s="9">
        <v>11422.7</v>
      </c>
      <c r="CA15" s="9">
        <v>11738.2</v>
      </c>
      <c r="CB15" s="9">
        <v>11946.2</v>
      </c>
      <c r="CC15" s="9">
        <v>11079.1</v>
      </c>
      <c r="CD15" s="9">
        <v>11831.2</v>
      </c>
      <c r="CE15" s="9">
        <v>10737.8</v>
      </c>
      <c r="CF15" s="9">
        <v>11593</v>
      </c>
      <c r="CG15" s="9">
        <v>11473.7</v>
      </c>
      <c r="CH15" s="9">
        <v>10946.4</v>
      </c>
      <c r="CI15" s="9">
        <v>11823.4</v>
      </c>
      <c r="CJ15" s="9">
        <v>10809.8</v>
      </c>
      <c r="CK15" s="9">
        <v>11985.5</v>
      </c>
      <c r="CL15" s="9">
        <v>10927.7</v>
      </c>
      <c r="CM15" s="9">
        <v>11833.5</v>
      </c>
      <c r="CN15" s="9">
        <v>11170.3</v>
      </c>
      <c r="CO15" s="9">
        <v>11786.3</v>
      </c>
      <c r="CP15" s="9">
        <v>11217.1</v>
      </c>
      <c r="CQ15" s="9">
        <v>12040.8</v>
      </c>
      <c r="CR15" s="9">
        <v>11127</v>
      </c>
      <c r="CS15" s="9">
        <v>11649.4</v>
      </c>
      <c r="CT15" s="9">
        <v>11040.5</v>
      </c>
      <c r="CU15" s="9">
        <v>10004.700000000001</v>
      </c>
      <c r="CV15" s="9">
        <v>11739.8</v>
      </c>
      <c r="CW15" s="9">
        <v>11500.8</v>
      </c>
      <c r="CX15" s="9">
        <v>10899.2</v>
      </c>
      <c r="CY15" s="9">
        <v>12064.2</v>
      </c>
      <c r="CZ15" s="9">
        <v>11796.6</v>
      </c>
      <c r="DA15" s="9">
        <v>11115.1</v>
      </c>
      <c r="DB15" s="9">
        <v>10979.9</v>
      </c>
      <c r="DC15" s="9">
        <v>11829</v>
      </c>
      <c r="DD15" s="9">
        <v>10877.1</v>
      </c>
      <c r="DE15" s="9">
        <v>11319.7</v>
      </c>
      <c r="DF15" s="9">
        <v>11982.2</v>
      </c>
      <c r="DG15" s="9">
        <v>10962.5</v>
      </c>
      <c r="DH15" s="9">
        <v>11998.9</v>
      </c>
      <c r="DI15" s="9">
        <v>10936.6</v>
      </c>
      <c r="DJ15" s="9">
        <v>11850</v>
      </c>
      <c r="DK15" s="9">
        <v>11136.2</v>
      </c>
      <c r="DL15" s="9">
        <v>11868.9</v>
      </c>
      <c r="DM15" s="9">
        <v>10635.3</v>
      </c>
      <c r="DN15" s="9">
        <v>11938.4</v>
      </c>
      <c r="DO15" s="9">
        <v>11090.7</v>
      </c>
      <c r="DP15" s="9">
        <v>11835.8</v>
      </c>
      <c r="DQ15" s="9">
        <v>11014.6</v>
      </c>
      <c r="DR15" s="9">
        <v>11842</v>
      </c>
      <c r="DS15" s="9">
        <v>11237.2</v>
      </c>
      <c r="DT15" s="9">
        <v>10971.9</v>
      </c>
      <c r="DU15" s="9">
        <v>11773.6</v>
      </c>
      <c r="DV15" s="9">
        <v>11118.6</v>
      </c>
      <c r="DW15" s="9">
        <v>10890.3</v>
      </c>
      <c r="DX15" s="9">
        <v>11830.9</v>
      </c>
      <c r="DY15" s="9">
        <v>11951.2</v>
      </c>
      <c r="DZ15" s="9">
        <v>11787.3</v>
      </c>
      <c r="EA15" s="9">
        <v>11086</v>
      </c>
      <c r="EB15" s="9">
        <v>11895.3</v>
      </c>
      <c r="EC15" s="9">
        <v>10966.8</v>
      </c>
      <c r="ED15" s="9">
        <v>11671.6</v>
      </c>
      <c r="EE15" s="9">
        <v>11102.2</v>
      </c>
      <c r="EF15" s="9">
        <v>11546.6</v>
      </c>
      <c r="EG15" s="9">
        <v>10387.299999999999</v>
      </c>
      <c r="EH15" s="9">
        <v>11734</v>
      </c>
      <c r="EI15" s="9">
        <v>10991.8</v>
      </c>
      <c r="EJ15" s="9">
        <v>11039.8</v>
      </c>
      <c r="EK15" s="9">
        <v>11007.5</v>
      </c>
      <c r="EL15" s="9">
        <v>10919.5</v>
      </c>
      <c r="EM15" s="9">
        <v>9637.2999999999993</v>
      </c>
      <c r="EN15" s="9">
        <v>10837.3</v>
      </c>
      <c r="EO15" s="9">
        <v>9780.6</v>
      </c>
      <c r="EP15" s="9">
        <v>10869.5</v>
      </c>
      <c r="EQ15" s="9">
        <v>10924.8</v>
      </c>
      <c r="ER15" s="9">
        <v>12239.1</v>
      </c>
      <c r="ES15" s="9">
        <v>11174</v>
      </c>
      <c r="ET15" s="9">
        <v>12300.9</v>
      </c>
      <c r="EU15" s="9">
        <v>11420.4</v>
      </c>
      <c r="EV15" s="9">
        <v>12181.6</v>
      </c>
      <c r="EW15" s="9">
        <v>11217.5</v>
      </c>
      <c r="EX15" s="9">
        <v>11368.9</v>
      </c>
      <c r="EY15" s="9">
        <v>11162.6</v>
      </c>
      <c r="EZ15" s="9">
        <v>12061.9</v>
      </c>
      <c r="FA15" s="9">
        <v>12317.4</v>
      </c>
      <c r="FB15" s="9">
        <v>12249.6</v>
      </c>
      <c r="FC15" s="9">
        <v>12182.8</v>
      </c>
      <c r="FD15" s="9">
        <v>12195.4</v>
      </c>
      <c r="FE15" s="9">
        <v>12212.4</v>
      </c>
      <c r="FF15" s="9">
        <v>11507.7</v>
      </c>
      <c r="FG15" s="9">
        <v>12239.1</v>
      </c>
      <c r="FH15" s="9">
        <v>12287.2</v>
      </c>
      <c r="FI15" s="9">
        <v>12292.2</v>
      </c>
      <c r="FJ15" s="9">
        <v>12299.3</v>
      </c>
      <c r="FK15" s="9">
        <v>12272.6</v>
      </c>
      <c r="FL15" s="9">
        <v>12319.1</v>
      </c>
      <c r="FM15" s="9">
        <v>11508.9</v>
      </c>
      <c r="FN15" s="9">
        <v>12355</v>
      </c>
      <c r="FO15" s="9">
        <v>11546</v>
      </c>
      <c r="FP15" s="11">
        <v>37.794102920723212</v>
      </c>
      <c r="FQ15" s="11">
        <v>37.49424200278164</v>
      </c>
      <c r="FR15" s="11">
        <v>38.253240611961047</v>
      </c>
      <c r="FS15" s="11">
        <v>37.68910987482618</v>
      </c>
      <c r="FT15" s="11">
        <v>37.511849791376939</v>
      </c>
      <c r="FU15" s="11">
        <v>37.742753824756591</v>
      </c>
      <c r="FV15" s="11">
        <v>0</v>
      </c>
      <c r="FW15" s="11">
        <v>53.105994436717722</v>
      </c>
      <c r="FX15" s="11">
        <v>0</v>
      </c>
      <c r="FY15" s="11">
        <v>0</v>
      </c>
      <c r="FZ15" s="11">
        <v>53.242205549374177</v>
      </c>
      <c r="GA15" s="11">
        <v>53.5</v>
      </c>
      <c r="GB15" s="11">
        <v>2.7096313141863697</v>
      </c>
      <c r="GC15" s="11">
        <v>0.32743624144645339</v>
      </c>
      <c r="GD15" s="11">
        <v>2.6464208451599451</v>
      </c>
      <c r="GE15" s="11">
        <v>0.63009038031988895</v>
      </c>
      <c r="GF15" s="11">
        <v>2.6007277469958301</v>
      </c>
      <c r="GG15" s="11">
        <v>2.7147564856328255</v>
      </c>
      <c r="GH15" s="11">
        <v>6.57</v>
      </c>
      <c r="GI15" s="11">
        <v>6.426666</v>
      </c>
      <c r="GJ15" s="11">
        <v>7.613334</v>
      </c>
      <c r="GK15" s="11">
        <v>6.3866670000000001</v>
      </c>
      <c r="GL15" s="11">
        <v>6.2666659999999998</v>
      </c>
      <c r="GM15" s="11">
        <v>6.074999</v>
      </c>
      <c r="GN15" s="11">
        <v>7.1429453333333379</v>
      </c>
      <c r="GO15" s="11">
        <v>7.1944348333333279</v>
      </c>
      <c r="GP15" s="11">
        <v>7.1954038333333372</v>
      </c>
      <c r="GQ15" s="11">
        <v>7.0421033333333343</v>
      </c>
      <c r="GR15" s="11">
        <v>7.2020443333333279</v>
      </c>
      <c r="GS15" s="11">
        <v>7.2299608333333314</v>
      </c>
      <c r="GT15" s="108">
        <v>1.8598663333333345</v>
      </c>
      <c r="GU15" s="108">
        <v>1.9459621666666673</v>
      </c>
      <c r="GV15" s="108">
        <v>1.7338455000000002</v>
      </c>
      <c r="GW15" s="108">
        <v>2.3160408333333309</v>
      </c>
      <c r="GX15" s="108">
        <v>2.1438760000000001</v>
      </c>
      <c r="GY15" s="108">
        <v>1.880170666666668</v>
      </c>
      <c r="GZ15" s="13">
        <v>7.5602900000000002</v>
      </c>
      <c r="HA15" s="13">
        <v>7.6042070000000015</v>
      </c>
      <c r="HB15" s="13">
        <v>7.4790881666666609</v>
      </c>
      <c r="HC15" s="13">
        <v>7.466273999999995</v>
      </c>
      <c r="HD15" s="13">
        <v>7.540126666666656</v>
      </c>
      <c r="HE15" s="13">
        <v>7.5311835000000045</v>
      </c>
      <c r="HF15" s="13">
        <v>0.45060633333333305</v>
      </c>
      <c r="HG15" s="13">
        <v>0.49652249999999998</v>
      </c>
      <c r="HH15" s="13">
        <v>0.42282166666666621</v>
      </c>
      <c r="HI15" s="13">
        <v>0.44583616666666626</v>
      </c>
      <c r="HJ15" s="13">
        <v>0.42642466666666701</v>
      </c>
      <c r="HK15" s="13">
        <v>0.47822899999999979</v>
      </c>
      <c r="HL15" s="12">
        <v>0</v>
      </c>
      <c r="HM15" s="12">
        <v>0</v>
      </c>
      <c r="HN15" s="12">
        <v>0</v>
      </c>
      <c r="HO15" s="12">
        <v>0</v>
      </c>
      <c r="HP15" s="12">
        <v>0</v>
      </c>
      <c r="HQ15" s="12">
        <v>0</v>
      </c>
      <c r="HR15" s="12">
        <v>0</v>
      </c>
      <c r="HS15" s="12">
        <v>0</v>
      </c>
      <c r="HT15" s="12">
        <v>0</v>
      </c>
      <c r="HU15" s="12">
        <v>0</v>
      </c>
      <c r="HV15" s="12">
        <v>0</v>
      </c>
      <c r="HW15" s="12">
        <v>0</v>
      </c>
      <c r="HX15" s="9">
        <v>905041</v>
      </c>
      <c r="HY15" s="9">
        <v>1685</v>
      </c>
      <c r="HZ15" s="9">
        <v>891931</v>
      </c>
      <c r="IA15" s="9">
        <v>1705</v>
      </c>
      <c r="IB15" s="11">
        <v>102090.27499999999</v>
      </c>
      <c r="IC15" s="11">
        <v>230.267</v>
      </c>
      <c r="ID15" s="14">
        <f t="shared" ref="ID15:II15" si="92">GN15-HL15</f>
        <v>7.1429453333333379</v>
      </c>
      <c r="IE15" s="14">
        <f t="shared" si="92"/>
        <v>7.1944348333333279</v>
      </c>
      <c r="IF15" s="14">
        <f t="shared" si="92"/>
        <v>7.1954038333333372</v>
      </c>
      <c r="IG15" s="14">
        <f t="shared" si="92"/>
        <v>7.0421033333333343</v>
      </c>
      <c r="IH15" s="14">
        <f t="shared" si="92"/>
        <v>7.2020443333333279</v>
      </c>
      <c r="II15" s="14">
        <f t="shared" si="92"/>
        <v>7.2299608333333314</v>
      </c>
      <c r="IJ15" s="15">
        <f t="shared" ref="IJ15:IO15" si="93">GZ15-HR15</f>
        <v>7.5602900000000002</v>
      </c>
      <c r="IK15" s="15">
        <f t="shared" si="93"/>
        <v>7.6042070000000015</v>
      </c>
      <c r="IL15" s="15">
        <f t="shared" si="93"/>
        <v>7.4790881666666609</v>
      </c>
      <c r="IM15" s="15">
        <f t="shared" si="93"/>
        <v>7.466273999999995</v>
      </c>
      <c r="IN15" s="15">
        <f t="shared" si="93"/>
        <v>7.540126666666656</v>
      </c>
      <c r="IO15" s="15">
        <f t="shared" si="93"/>
        <v>7.5311835000000045</v>
      </c>
      <c r="IP15" s="16">
        <f t="shared" ref="IP15" si="94">(HX15-HX14)*1000</f>
        <v>923000</v>
      </c>
      <c r="IQ15" s="16">
        <f t="shared" ref="IQ15" si="95">(HY15-HY14)*1000</f>
        <v>2000</v>
      </c>
      <c r="IR15" s="16">
        <f t="shared" ref="IR15" si="96">(HZ15-HZ14)*1000</f>
        <v>915000</v>
      </c>
      <c r="IS15" s="16">
        <f t="shared" ref="IS15" si="97">(IA15-IA14)*1000</f>
        <v>1000</v>
      </c>
      <c r="IT15" s="16">
        <f t="shared" ref="IT15" si="98">(IB15-IB14)*1000</f>
        <v>1837333.9999999879</v>
      </c>
      <c r="IU15" s="16">
        <f t="shared" ref="IU15" si="99">(IC15-IC14)*1000</f>
        <v>4533.9999999999918</v>
      </c>
      <c r="IV15" s="17">
        <f t="shared" ref="IV15" si="100">(IP15+IR15)-(IQ15+IS15)</f>
        <v>1835000</v>
      </c>
      <c r="IW15" s="17">
        <f t="shared" ref="IW15" si="101">IT15-IU15</f>
        <v>1832799.9999999879</v>
      </c>
      <c r="IX15" s="19">
        <f>(Raw_Data[[#This Row],[Sunset Time (POA&lt;20 W/m2)]]-Raw_Data[[#This Row],[Sunrise Time (POA&gt;20 W/m2)]])*24</f>
        <v>12.316666666666666</v>
      </c>
      <c r="IY15" s="68">
        <f>AVERAGEIF(Raw_Data[[#This Row],[GHI_UP_Net_IS2_W1]:[GHI_UP_Net_IS19_W6]],"&lt;&gt;"&amp;0,Raw_Data[[#This Row],[GHI_UP_Net_IS2_W1]:[GHI_UP_Net_IS19_W6]])</f>
        <v>7.1678154166666657</v>
      </c>
      <c r="IZ15" s="68">
        <f>AVERAGEIF(Raw_Data[[#This Row],[GHI_Down_IS2_W1]:[GHI_Down_IS19_W6]],"&lt;&gt;"&amp;0,Raw_Data[[#This Row],[GHI_Down_IS2_W1]:[GHI_Down_IS19_W6]])</f>
        <v>1.9799602500000002</v>
      </c>
      <c r="JA15" s="68">
        <f>AVERAGEIF(Raw_Data[[#This Row],[POA_Up_IS2_W1]:[POA_Up_IS19_W6]],"&lt;&gt;"&amp;0,Raw_Data[[#This Row],[POA_Up_IS2_W1]:[POA_Up_IS19_W6]])</f>
        <v>7.5301948888888859</v>
      </c>
      <c r="JB15" s="68">
        <f>AVERAGEIF(Raw_Data[[#This Row],[POA_Down_IS2_W1]:[POA_Down_IS19_W6]],"&lt;&gt;"&amp;0,Raw_Data[[#This Row],[POA_Down_IS2_W1]:[POA_Down_IS19_W6]])</f>
        <v>0.45340672222222206</v>
      </c>
      <c r="JC15" s="69">
        <f>Raw_Data[[#This Row],[GHI-Down(KWh/m2)]]/Raw_Data[[#This Row],[GHI-UP (KWh/m2)]]</f>
        <v>0.27622924627721018</v>
      </c>
      <c r="JD15" s="72">
        <f>Raw_Data[[#This Row],[POA-Down(KWh/m2)]]/Raw_Data[[#This Row],[POA-UP(KWh/m2)]]</f>
        <v>6.0211817743421547E-2</v>
      </c>
      <c r="JE15" s="68">
        <f>AVERAGEIF(Raw_Data[[#This Row],[Amb_Temp_IS2_W1]:[Amb_Temp_IS19_W6]],"&lt;&gt;"&amp;0,Raw_Data[[#This Row],[Amb_Temp_IS2_W1]:[Amb_Temp_IS19_W6]])</f>
        <v>37.747549837737601</v>
      </c>
      <c r="JF15" s="68">
        <f>AVERAGEIF(Raw_Data[[#This Row],[MT_Temp_IS2_W1]:[MT_Temp_IS19_W6]],"&lt;&gt;"&amp;0,Raw_Data[[#This Row],[MT_Temp_IS2_W1]:[MT_Temp_IS19_W6]])</f>
        <v>53.282733328697304</v>
      </c>
      <c r="JG15" s="68">
        <f>AVERAGEIF(Raw_Data[[#This Row],[WS_Avg_IS2_W1]:[WS_Avg_IS19_W6]],"&lt;&gt;"&amp;0,Raw_Data[[#This Row],[WS_Avg_IS2_W1]:[WS_Avg_IS19_W6]])</f>
        <v>1.9381771689568854</v>
      </c>
      <c r="JH15" s="68">
        <f>AVERAGEIF(Raw_Data[[#This Row],[WS_Max_IS2_W1]:[WS_Max_IS19_W6]],"&lt;&gt;"&amp;0,Raw_Data[[#This Row],[WS_Max_IS2_W1]:[WS_Max_IS19_W6]])</f>
        <v>6.556388666666666</v>
      </c>
      <c r="JI15" s="70">
        <f>SUM(Raw_Data[[#This Row],[IS1_INV1_M1]:[IS20_INV4_M2]])</f>
        <v>1847572.8000000003</v>
      </c>
      <c r="JJ15" s="73">
        <v>1956509.9499999897</v>
      </c>
      <c r="JK15" s="71">
        <v>2388027.7492542034</v>
      </c>
      <c r="JL15" s="143">
        <f>IFERROR(Raw_Data[[#This Row],[WPR_Eac]]/Raw_Data[[#This Row],[WPR_Edc]],"")</f>
        <v>0.81929950378969441</v>
      </c>
      <c r="JM15" s="6">
        <v>23</v>
      </c>
      <c r="JN15" s="6">
        <v>9899</v>
      </c>
    </row>
    <row r="16" spans="2:274">
      <c r="B16" s="67">
        <f t="shared" si="21"/>
        <v>45755</v>
      </c>
      <c r="C16" s="9">
        <f>YEAR(Raw_Data[[#This Row],[Date]])+IF(MONTH(Raw_Data[[#This Row],[Date]])&gt;=4,1,0)</f>
        <v>2026</v>
      </c>
      <c r="D16" s="6">
        <f t="shared" si="90"/>
        <v>2025</v>
      </c>
      <c r="E16" s="7" t="s">
        <v>361</v>
      </c>
      <c r="F16" s="7" t="s">
        <v>361</v>
      </c>
      <c r="G16" s="8">
        <v>45748</v>
      </c>
      <c r="H16" s="6">
        <f t="shared" si="91"/>
        <v>30</v>
      </c>
      <c r="I16" s="9">
        <v>335090.89</v>
      </c>
      <c r="J16" s="10">
        <v>0.28263888888888888</v>
      </c>
      <c r="K16" s="10">
        <v>0.7944444444444444</v>
      </c>
      <c r="L16" s="9">
        <v>12173</v>
      </c>
      <c r="M16" s="9">
        <v>12650.6</v>
      </c>
      <c r="N16" s="9">
        <v>12587.4</v>
      </c>
      <c r="O16" s="9">
        <v>12590</v>
      </c>
      <c r="P16" s="9">
        <v>12665.7</v>
      </c>
      <c r="Q16" s="9">
        <v>12697.8</v>
      </c>
      <c r="R16" s="9">
        <v>12606.3</v>
      </c>
      <c r="S16" s="9">
        <v>12914.4</v>
      </c>
      <c r="T16" s="9">
        <v>12632</v>
      </c>
      <c r="U16" s="9">
        <v>12599.3</v>
      </c>
      <c r="V16" s="9">
        <v>12508.3</v>
      </c>
      <c r="W16" s="9">
        <v>12620.4</v>
      </c>
      <c r="X16" s="9">
        <v>12658.1</v>
      </c>
      <c r="Y16" s="9">
        <v>12569.6</v>
      </c>
      <c r="Z16" s="9">
        <v>12597.9</v>
      </c>
      <c r="AA16" s="9">
        <v>12710.8</v>
      </c>
      <c r="AB16" s="9">
        <v>12531.5</v>
      </c>
      <c r="AC16" s="9">
        <v>12632.5</v>
      </c>
      <c r="AD16" s="9">
        <v>12682.7</v>
      </c>
      <c r="AE16" s="9">
        <v>12731.4</v>
      </c>
      <c r="AF16" s="9">
        <v>12678.5</v>
      </c>
      <c r="AG16" s="9">
        <v>12685.4</v>
      </c>
      <c r="AH16" s="9">
        <v>12502.3</v>
      </c>
      <c r="AI16" s="9">
        <v>12606.4</v>
      </c>
      <c r="AJ16" s="9">
        <v>12438.8</v>
      </c>
      <c r="AK16" s="9">
        <v>10992.4</v>
      </c>
      <c r="AL16" s="9">
        <v>12459.1</v>
      </c>
      <c r="AM16" s="9">
        <v>12426</v>
      </c>
      <c r="AN16" s="9">
        <v>12687.6</v>
      </c>
      <c r="AO16" s="9">
        <v>12517.2</v>
      </c>
      <c r="AP16" s="9">
        <v>12522</v>
      </c>
      <c r="AQ16" s="9">
        <v>12705.3</v>
      </c>
      <c r="AR16" s="9">
        <v>12635.9</v>
      </c>
      <c r="AS16" s="9">
        <v>12736.9</v>
      </c>
      <c r="AT16" s="9">
        <v>12824.9</v>
      </c>
      <c r="AU16" s="9">
        <v>12753.3</v>
      </c>
      <c r="AV16" s="9">
        <v>12790.1</v>
      </c>
      <c r="AW16" s="9">
        <v>12613.5</v>
      </c>
      <c r="AX16" s="9">
        <v>12605.5</v>
      </c>
      <c r="AY16" s="9">
        <v>12567.8</v>
      </c>
      <c r="AZ16" s="9">
        <v>13354.4</v>
      </c>
      <c r="BA16" s="9">
        <v>12388.5</v>
      </c>
      <c r="BB16" s="9">
        <v>13244.8</v>
      </c>
      <c r="BC16" s="9">
        <v>12211.6</v>
      </c>
      <c r="BD16" s="9">
        <v>12633.7</v>
      </c>
      <c r="BE16" s="9">
        <v>13532.7</v>
      </c>
      <c r="BF16" s="9">
        <v>12097.9</v>
      </c>
      <c r="BG16" s="9">
        <v>13332.2</v>
      </c>
      <c r="BH16" s="9">
        <v>12561</v>
      </c>
      <c r="BI16" s="9">
        <v>12795.6</v>
      </c>
      <c r="BJ16" s="9">
        <v>12736.6</v>
      </c>
      <c r="BK16" s="9">
        <v>12133.7</v>
      </c>
      <c r="BL16" s="9">
        <v>13019.9</v>
      </c>
      <c r="BM16" s="9">
        <v>12627.2</v>
      </c>
      <c r="BN16" s="9">
        <v>12999.7</v>
      </c>
      <c r="BO16" s="9">
        <v>12730.1</v>
      </c>
      <c r="BP16" s="9">
        <v>11689.3</v>
      </c>
      <c r="BQ16" s="9">
        <v>13136.2</v>
      </c>
      <c r="BR16" s="9">
        <v>11734</v>
      </c>
      <c r="BS16" s="9">
        <v>13136.2</v>
      </c>
      <c r="BT16" s="9">
        <v>13028</v>
      </c>
      <c r="BU16" s="9">
        <v>11730.6</v>
      </c>
      <c r="BV16" s="9">
        <v>12695.3</v>
      </c>
      <c r="BW16" s="9">
        <v>12204.4</v>
      </c>
      <c r="BX16" s="9">
        <v>12456.2</v>
      </c>
      <c r="BY16" s="9">
        <v>11799.3</v>
      </c>
      <c r="BZ16" s="9">
        <v>12436.8</v>
      </c>
      <c r="CA16" s="9">
        <v>12819.6</v>
      </c>
      <c r="CB16" s="9">
        <v>13078.2</v>
      </c>
      <c r="CC16" s="9">
        <v>12024.8</v>
      </c>
      <c r="CD16" s="9">
        <v>12953.4</v>
      </c>
      <c r="CE16" s="9">
        <v>11550.6</v>
      </c>
      <c r="CF16" s="9">
        <v>12650</v>
      </c>
      <c r="CG16" s="9">
        <v>12508.1</v>
      </c>
      <c r="CH16" s="9">
        <v>11836.3</v>
      </c>
      <c r="CI16" s="9">
        <v>12930.5</v>
      </c>
      <c r="CJ16" s="9">
        <v>11645.5</v>
      </c>
      <c r="CK16" s="9">
        <v>13118.5</v>
      </c>
      <c r="CL16" s="9">
        <v>11806.9</v>
      </c>
      <c r="CM16" s="9">
        <v>12922.9</v>
      </c>
      <c r="CN16" s="9">
        <v>12115.7</v>
      </c>
      <c r="CO16" s="9">
        <v>12877</v>
      </c>
      <c r="CP16" s="9">
        <v>12168.6</v>
      </c>
      <c r="CQ16" s="9">
        <v>13178.4</v>
      </c>
      <c r="CR16" s="9">
        <v>12064</v>
      </c>
      <c r="CS16" s="9">
        <v>12704.6</v>
      </c>
      <c r="CT16" s="9">
        <v>11989</v>
      </c>
      <c r="CU16" s="9">
        <v>10604.6</v>
      </c>
      <c r="CV16" s="9">
        <v>12828.8</v>
      </c>
      <c r="CW16" s="9">
        <v>12529.9</v>
      </c>
      <c r="CX16" s="9">
        <v>11750.5</v>
      </c>
      <c r="CY16" s="9">
        <v>13215.5</v>
      </c>
      <c r="CZ16" s="9">
        <v>12915</v>
      </c>
      <c r="DA16" s="9">
        <v>12091.2</v>
      </c>
      <c r="DB16" s="9">
        <v>11943.2</v>
      </c>
      <c r="DC16" s="9">
        <v>12942.3</v>
      </c>
      <c r="DD16" s="9">
        <v>11725</v>
      </c>
      <c r="DE16" s="9">
        <v>12271.8</v>
      </c>
      <c r="DF16" s="9">
        <v>13083.7</v>
      </c>
      <c r="DG16" s="9">
        <v>11823.5</v>
      </c>
      <c r="DH16" s="9">
        <v>13109</v>
      </c>
      <c r="DI16" s="9">
        <v>11785.5</v>
      </c>
      <c r="DJ16" s="9">
        <v>12922.7</v>
      </c>
      <c r="DK16" s="9">
        <v>12029.5</v>
      </c>
      <c r="DL16" s="9">
        <v>12948.3</v>
      </c>
      <c r="DM16" s="9">
        <v>11393.2</v>
      </c>
      <c r="DN16" s="9">
        <v>13027.1</v>
      </c>
      <c r="DO16" s="9">
        <v>12005.3</v>
      </c>
      <c r="DP16" s="9">
        <v>12902.9</v>
      </c>
      <c r="DQ16" s="9">
        <v>11890.4</v>
      </c>
      <c r="DR16" s="9">
        <v>12942.1</v>
      </c>
      <c r="DS16" s="9">
        <v>12176.2</v>
      </c>
      <c r="DT16" s="9">
        <v>11829.4</v>
      </c>
      <c r="DU16" s="9">
        <v>12833.8</v>
      </c>
      <c r="DV16" s="9">
        <v>12025.5</v>
      </c>
      <c r="DW16" s="9">
        <v>11727.1</v>
      </c>
      <c r="DX16" s="9">
        <v>12921.5</v>
      </c>
      <c r="DY16" s="9">
        <v>13057.6</v>
      </c>
      <c r="DZ16" s="9">
        <v>12874.3</v>
      </c>
      <c r="EA16" s="9">
        <v>11977.4</v>
      </c>
      <c r="EB16" s="9">
        <v>12982.6</v>
      </c>
      <c r="EC16" s="9">
        <v>11840.7</v>
      </c>
      <c r="ED16" s="9">
        <v>12730</v>
      </c>
      <c r="EE16" s="9">
        <v>12021.5</v>
      </c>
      <c r="EF16" s="9">
        <v>12585.3</v>
      </c>
      <c r="EG16" s="9">
        <v>11089.2</v>
      </c>
      <c r="EH16" s="9">
        <v>12792.3</v>
      </c>
      <c r="EI16" s="9">
        <v>11854.9</v>
      </c>
      <c r="EJ16" s="9">
        <v>11917.8</v>
      </c>
      <c r="EK16" s="9">
        <v>11890.6</v>
      </c>
      <c r="EL16" s="9">
        <v>11780.2</v>
      </c>
      <c r="EM16" s="9">
        <v>10165.6</v>
      </c>
      <c r="EN16" s="9">
        <v>11673.3</v>
      </c>
      <c r="EO16" s="9">
        <v>10297</v>
      </c>
      <c r="EP16" s="9">
        <v>11685.2</v>
      </c>
      <c r="EQ16" s="9">
        <v>11750.6</v>
      </c>
      <c r="ER16" s="9">
        <v>13379.1</v>
      </c>
      <c r="ES16" s="9">
        <v>12094.2</v>
      </c>
      <c r="ET16" s="9">
        <v>13446.8</v>
      </c>
      <c r="EU16" s="9">
        <v>12379.9</v>
      </c>
      <c r="EV16" s="9">
        <v>13310.3</v>
      </c>
      <c r="EW16" s="9">
        <v>12124.3</v>
      </c>
      <c r="EX16" s="9">
        <v>12322</v>
      </c>
      <c r="EY16" s="9">
        <v>12061.8</v>
      </c>
      <c r="EZ16" s="9">
        <v>13229.7</v>
      </c>
      <c r="FA16" s="9">
        <v>13481.7</v>
      </c>
      <c r="FB16" s="9">
        <v>13376.2</v>
      </c>
      <c r="FC16" s="9">
        <v>13295.4</v>
      </c>
      <c r="FD16" s="9">
        <v>13301.8</v>
      </c>
      <c r="FE16" s="9">
        <v>13330.7</v>
      </c>
      <c r="FF16" s="9">
        <v>12487.7</v>
      </c>
      <c r="FG16" s="9">
        <v>13364</v>
      </c>
      <c r="FH16" s="9">
        <v>13423.9</v>
      </c>
      <c r="FI16" s="9">
        <v>13432.5</v>
      </c>
      <c r="FJ16" s="9">
        <v>13452.7</v>
      </c>
      <c r="FK16" s="9">
        <v>13403.7</v>
      </c>
      <c r="FL16" s="9">
        <v>13467.3</v>
      </c>
      <c r="FM16" s="9">
        <v>12487.1</v>
      </c>
      <c r="FN16" s="9">
        <v>13508.2</v>
      </c>
      <c r="FO16" s="9">
        <v>12528</v>
      </c>
      <c r="FP16" s="11">
        <v>39.450000000000003</v>
      </c>
      <c r="FQ16" s="11">
        <v>39.020000000000003</v>
      </c>
      <c r="FR16" s="11">
        <v>39.28</v>
      </c>
      <c r="FS16" s="11">
        <v>39.21</v>
      </c>
      <c r="FT16" s="11">
        <v>39.1</v>
      </c>
      <c r="FU16" s="11">
        <v>39.46</v>
      </c>
      <c r="FV16" s="11">
        <v>0</v>
      </c>
      <c r="FW16" s="11">
        <v>51.27</v>
      </c>
      <c r="FX16" s="11">
        <v>0</v>
      </c>
      <c r="FY16" s="11">
        <v>0</v>
      </c>
      <c r="FZ16" s="11">
        <v>51.4</v>
      </c>
      <c r="GA16" s="11">
        <v>51.5</v>
      </c>
      <c r="GB16" s="11">
        <v>5.42</v>
      </c>
      <c r="GC16" s="11">
        <v>5.21</v>
      </c>
      <c r="GD16" s="11">
        <v>5.24</v>
      </c>
      <c r="GE16" s="11">
        <v>4.05</v>
      </c>
      <c r="GF16" s="11">
        <v>5.34</v>
      </c>
      <c r="GG16" s="11">
        <v>5.25</v>
      </c>
      <c r="GH16" s="11">
        <v>10.41</v>
      </c>
      <c r="GI16" s="11">
        <v>10.02</v>
      </c>
      <c r="GJ16" s="11">
        <v>9.16</v>
      </c>
      <c r="GK16" s="11">
        <v>9.33</v>
      </c>
      <c r="GL16" s="11">
        <v>9.75</v>
      </c>
      <c r="GM16" s="11">
        <v>8.9499999999999993</v>
      </c>
      <c r="GN16" s="11">
        <v>7.12</v>
      </c>
      <c r="GO16" s="11">
        <v>7.18</v>
      </c>
      <c r="GP16" s="11">
        <v>7.19</v>
      </c>
      <c r="GQ16" s="11">
        <v>7.07</v>
      </c>
      <c r="GR16" s="11">
        <v>7.18</v>
      </c>
      <c r="GS16" s="11">
        <v>7.23</v>
      </c>
      <c r="GT16" s="108">
        <v>1.88</v>
      </c>
      <c r="GU16" s="108">
        <v>1.96</v>
      </c>
      <c r="GV16" s="108">
        <v>1.75</v>
      </c>
      <c r="GW16" s="108">
        <v>2.33</v>
      </c>
      <c r="GX16" s="108">
        <v>2.16</v>
      </c>
      <c r="GY16" s="108">
        <v>1.89</v>
      </c>
      <c r="GZ16" s="13">
        <v>7.52</v>
      </c>
      <c r="HA16" s="13">
        <v>7.57</v>
      </c>
      <c r="HB16" s="13">
        <v>7.44</v>
      </c>
      <c r="HC16" s="13">
        <v>7.47</v>
      </c>
      <c r="HD16" s="13">
        <v>7.52</v>
      </c>
      <c r="HE16" s="13">
        <v>7.5</v>
      </c>
      <c r="HF16" s="13">
        <v>0.47</v>
      </c>
      <c r="HG16" s="13">
        <v>0.52</v>
      </c>
      <c r="HH16" s="13">
        <v>0.44</v>
      </c>
      <c r="HI16" s="13">
        <v>0.47</v>
      </c>
      <c r="HJ16" s="13">
        <v>0.45</v>
      </c>
      <c r="HK16" s="13">
        <v>0.5</v>
      </c>
      <c r="HL16" s="12">
        <v>0</v>
      </c>
      <c r="HM16" s="12">
        <v>0</v>
      </c>
      <c r="HN16" s="12">
        <v>0</v>
      </c>
      <c r="HO16" s="12">
        <v>0</v>
      </c>
      <c r="HP16" s="12">
        <v>0</v>
      </c>
      <c r="HQ16" s="12">
        <v>0</v>
      </c>
      <c r="HR16" s="12">
        <v>0</v>
      </c>
      <c r="HS16" s="12">
        <v>0</v>
      </c>
      <c r="HT16" s="12">
        <v>0</v>
      </c>
      <c r="HU16" s="12">
        <v>0</v>
      </c>
      <c r="HV16" s="12">
        <v>0</v>
      </c>
      <c r="HW16" s="12">
        <v>0</v>
      </c>
      <c r="HX16" s="9">
        <v>906039</v>
      </c>
      <c r="HY16" s="9">
        <v>1686</v>
      </c>
      <c r="HZ16" s="9">
        <v>892924</v>
      </c>
      <c r="IA16" s="9">
        <v>1707</v>
      </c>
      <c r="IB16" s="11">
        <v>104079.541</v>
      </c>
      <c r="IC16" s="11">
        <v>234.733</v>
      </c>
      <c r="ID16" s="14">
        <f t="shared" ref="ID16:II16" si="102">GN16-HL16</f>
        <v>7.12</v>
      </c>
      <c r="IE16" s="14">
        <f t="shared" si="102"/>
        <v>7.18</v>
      </c>
      <c r="IF16" s="14">
        <f t="shared" si="102"/>
        <v>7.19</v>
      </c>
      <c r="IG16" s="14">
        <f t="shared" si="102"/>
        <v>7.07</v>
      </c>
      <c r="IH16" s="14">
        <f t="shared" si="102"/>
        <v>7.18</v>
      </c>
      <c r="II16" s="14">
        <f t="shared" si="102"/>
        <v>7.23</v>
      </c>
      <c r="IJ16" s="15">
        <f t="shared" ref="IJ16:IO16" si="103">GZ16-HR16</f>
        <v>7.52</v>
      </c>
      <c r="IK16" s="15">
        <f t="shared" si="103"/>
        <v>7.57</v>
      </c>
      <c r="IL16" s="15">
        <f t="shared" si="103"/>
        <v>7.44</v>
      </c>
      <c r="IM16" s="15">
        <f t="shared" si="103"/>
        <v>7.47</v>
      </c>
      <c r="IN16" s="15">
        <f t="shared" si="103"/>
        <v>7.52</v>
      </c>
      <c r="IO16" s="15">
        <f t="shared" si="103"/>
        <v>7.5</v>
      </c>
      <c r="IP16" s="16">
        <f t="shared" ref="IP16" si="104">(HX16-HX15)*1000</f>
        <v>998000</v>
      </c>
      <c r="IQ16" s="16">
        <f t="shared" ref="IQ16" si="105">(HY16-HY15)*1000</f>
        <v>1000</v>
      </c>
      <c r="IR16" s="16">
        <f t="shared" ref="IR16" si="106">(HZ16-HZ15)*1000</f>
        <v>993000</v>
      </c>
      <c r="IS16" s="16">
        <f t="shared" ref="IS16" si="107">(IA16-IA15)*1000</f>
        <v>2000</v>
      </c>
      <c r="IT16" s="16">
        <f t="shared" ref="IT16" si="108">(IB16-IB15)*1000</f>
        <v>1989266.0000000033</v>
      </c>
      <c r="IU16" s="16">
        <f t="shared" ref="IU16" si="109">(IC16-IC15)*1000</f>
        <v>4466.0000000000082</v>
      </c>
      <c r="IV16" s="17">
        <f t="shared" ref="IV16" si="110">(IP16+IR16)-(IQ16+IS16)</f>
        <v>1988000</v>
      </c>
      <c r="IW16" s="17">
        <f t="shared" ref="IW16" si="111">IT16-IU16</f>
        <v>1984800.0000000033</v>
      </c>
      <c r="IX16" s="19">
        <f>(Raw_Data[[#This Row],[Sunset Time (POA&lt;20 W/m2)]]-Raw_Data[[#This Row],[Sunrise Time (POA&gt;20 W/m2)]])*24</f>
        <v>12.283333333333331</v>
      </c>
      <c r="IY16" s="68">
        <f>AVERAGEIF(Raw_Data[[#This Row],[GHI_UP_Net_IS2_W1]:[GHI_UP_Net_IS19_W6]],"&lt;&gt;"&amp;0,Raw_Data[[#This Row],[GHI_UP_Net_IS2_W1]:[GHI_UP_Net_IS19_W6]])</f>
        <v>7.1616666666666662</v>
      </c>
      <c r="IZ16" s="68">
        <f>AVERAGEIF(Raw_Data[[#This Row],[GHI_Down_IS2_W1]:[GHI_Down_IS19_W6]],"&lt;&gt;"&amp;0,Raw_Data[[#This Row],[GHI_Down_IS2_W1]:[GHI_Down_IS19_W6]])</f>
        <v>1.9950000000000001</v>
      </c>
      <c r="JA16" s="68">
        <f>AVERAGEIF(Raw_Data[[#This Row],[POA_Up_IS2_W1]:[POA_Up_IS19_W6]],"&lt;&gt;"&amp;0,Raw_Data[[#This Row],[POA_Up_IS2_W1]:[POA_Up_IS19_W6]])</f>
        <v>7.503333333333333</v>
      </c>
      <c r="JB16" s="68">
        <f>AVERAGEIF(Raw_Data[[#This Row],[POA_Down_IS2_W1]:[POA_Down_IS19_W6]],"&lt;&gt;"&amp;0,Raw_Data[[#This Row],[POA_Down_IS2_W1]:[POA_Down_IS19_W6]])</f>
        <v>0.47500000000000003</v>
      </c>
      <c r="JC16" s="69">
        <f>Raw_Data[[#This Row],[GHI-Down(KWh/m2)]]/Raw_Data[[#This Row],[GHI-UP (KWh/m2)]]</f>
        <v>0.27856644170351413</v>
      </c>
      <c r="JD16" s="72">
        <f>Raw_Data[[#This Row],[POA-Down(KWh/m2)]]/Raw_Data[[#This Row],[POA-UP(KWh/m2)]]</f>
        <v>6.3305197689915604E-2</v>
      </c>
      <c r="JE16" s="68">
        <f>AVERAGEIF(Raw_Data[[#This Row],[Amb_Temp_IS2_W1]:[Amb_Temp_IS19_W6]],"&lt;&gt;"&amp;0,Raw_Data[[#This Row],[Amb_Temp_IS2_W1]:[Amb_Temp_IS19_W6]])</f>
        <v>39.253333333333337</v>
      </c>
      <c r="JF16" s="68">
        <f>AVERAGEIF(Raw_Data[[#This Row],[MT_Temp_IS2_W1]:[MT_Temp_IS19_W6]],"&lt;&gt;"&amp;0,Raw_Data[[#This Row],[MT_Temp_IS2_W1]:[MT_Temp_IS19_W6]])</f>
        <v>51.390000000000008</v>
      </c>
      <c r="JG16" s="68">
        <f>AVERAGEIF(Raw_Data[[#This Row],[WS_Avg_IS2_W1]:[WS_Avg_IS19_W6]],"&lt;&gt;"&amp;0,Raw_Data[[#This Row],[WS_Avg_IS2_W1]:[WS_Avg_IS19_W6]])</f>
        <v>5.085</v>
      </c>
      <c r="JH16" s="68">
        <f>AVERAGEIF(Raw_Data[[#This Row],[WS_Max_IS2_W1]:[WS_Max_IS19_W6]],"&lt;&gt;"&amp;0,Raw_Data[[#This Row],[WS_Max_IS2_W1]:[WS_Max_IS19_W6]])</f>
        <v>9.6033333333333335</v>
      </c>
      <c r="JI16" s="70">
        <f>SUM(Raw_Data[[#This Row],[IS1_INV1_M1]:[IS20_INV4_M2]])</f>
        <v>2002346.7</v>
      </c>
      <c r="JJ16" s="73">
        <v>1970266</v>
      </c>
      <c r="JK16" s="71">
        <v>2414843.1</v>
      </c>
      <c r="JL16" s="143">
        <f>IFERROR(Raw_Data[[#This Row],[WPR_Eac]]/Raw_Data[[#This Row],[WPR_Edc]],"")</f>
        <v>0.81589814261638771</v>
      </c>
      <c r="JM16" s="6">
        <v>23</v>
      </c>
      <c r="JN16" s="6">
        <v>0</v>
      </c>
    </row>
    <row r="17" spans="2:274">
      <c r="B17" s="67">
        <f t="shared" si="21"/>
        <v>45756</v>
      </c>
      <c r="C17" s="9">
        <f>YEAR(Raw_Data[[#This Row],[Date]])+IF(MONTH(Raw_Data[[#This Row],[Date]])&gt;=4,1,0)</f>
        <v>2026</v>
      </c>
      <c r="D17" s="6">
        <f t="shared" si="90"/>
        <v>2025</v>
      </c>
      <c r="E17" s="7" t="s">
        <v>361</v>
      </c>
      <c r="F17" s="7" t="s">
        <v>361</v>
      </c>
      <c r="G17" s="8">
        <v>45748</v>
      </c>
      <c r="H17" s="6">
        <f t="shared" si="91"/>
        <v>30</v>
      </c>
      <c r="I17" s="9">
        <v>335090.89</v>
      </c>
      <c r="J17" s="10">
        <v>0.28055555555555556</v>
      </c>
      <c r="K17" s="10">
        <v>0.79513888888888884</v>
      </c>
      <c r="L17" s="9">
        <v>12141.5</v>
      </c>
      <c r="M17" s="9">
        <v>12617.2</v>
      </c>
      <c r="N17" s="9">
        <v>12564.6</v>
      </c>
      <c r="O17" s="9">
        <v>12566.7</v>
      </c>
      <c r="P17" s="9">
        <v>12637.2</v>
      </c>
      <c r="Q17" s="9">
        <v>12668.9</v>
      </c>
      <c r="R17" s="9">
        <v>12605.4</v>
      </c>
      <c r="S17" s="9">
        <v>12902.5</v>
      </c>
      <c r="T17" s="9">
        <v>12593</v>
      </c>
      <c r="U17" s="9">
        <v>12560.4</v>
      </c>
      <c r="V17" s="9">
        <v>12471.9</v>
      </c>
      <c r="W17" s="9">
        <v>12580.5</v>
      </c>
      <c r="X17" s="9">
        <v>12620.2</v>
      </c>
      <c r="Y17" s="9">
        <v>12541.9</v>
      </c>
      <c r="Z17" s="9">
        <v>12577</v>
      </c>
      <c r="AA17" s="9">
        <v>12690.9</v>
      </c>
      <c r="AB17" s="9">
        <v>12509.5</v>
      </c>
      <c r="AC17" s="9">
        <v>12615.2</v>
      </c>
      <c r="AD17" s="9">
        <v>12651.6</v>
      </c>
      <c r="AE17" s="9">
        <v>12707.1</v>
      </c>
      <c r="AF17" s="9">
        <v>12647.8</v>
      </c>
      <c r="AG17" s="9">
        <v>12659.2</v>
      </c>
      <c r="AH17" s="9">
        <v>12474.7</v>
      </c>
      <c r="AI17" s="9">
        <v>12579.4</v>
      </c>
      <c r="AJ17" s="9">
        <v>12423.9</v>
      </c>
      <c r="AK17" s="9">
        <v>10999.6</v>
      </c>
      <c r="AL17" s="9">
        <v>12438.2</v>
      </c>
      <c r="AM17" s="9">
        <v>12407.7</v>
      </c>
      <c r="AN17" s="9">
        <v>12659.8</v>
      </c>
      <c r="AO17" s="9">
        <v>12491.8</v>
      </c>
      <c r="AP17" s="9">
        <v>12500.6</v>
      </c>
      <c r="AQ17" s="9">
        <v>12672.5</v>
      </c>
      <c r="AR17" s="9">
        <v>12642.8</v>
      </c>
      <c r="AS17" s="9">
        <v>12735.9</v>
      </c>
      <c r="AT17" s="9">
        <v>12819.4</v>
      </c>
      <c r="AU17" s="9">
        <v>12749</v>
      </c>
      <c r="AV17" s="9">
        <v>12764.7</v>
      </c>
      <c r="AW17" s="9">
        <v>12593</v>
      </c>
      <c r="AX17" s="9">
        <v>12589.8</v>
      </c>
      <c r="AY17" s="9">
        <v>12550.7</v>
      </c>
      <c r="AZ17" s="9">
        <v>13324.5</v>
      </c>
      <c r="BA17" s="9">
        <v>12401.4</v>
      </c>
      <c r="BB17" s="9">
        <v>13218.2</v>
      </c>
      <c r="BC17" s="9">
        <v>12228.6</v>
      </c>
      <c r="BD17" s="9">
        <v>12633.8</v>
      </c>
      <c r="BE17" s="9">
        <v>13529.3</v>
      </c>
      <c r="BF17" s="9">
        <v>12099.1</v>
      </c>
      <c r="BG17" s="9">
        <v>13308.1</v>
      </c>
      <c r="BH17" s="9">
        <v>12551.1</v>
      </c>
      <c r="BI17" s="9">
        <v>12770.1</v>
      </c>
      <c r="BJ17" s="9">
        <v>12714.1</v>
      </c>
      <c r="BK17" s="9">
        <v>12124.9</v>
      </c>
      <c r="BL17" s="9">
        <v>12991.8</v>
      </c>
      <c r="BM17" s="9">
        <v>12599.1</v>
      </c>
      <c r="BN17" s="9">
        <v>12961.5</v>
      </c>
      <c r="BO17" s="9">
        <v>12700.3</v>
      </c>
      <c r="BP17" s="9">
        <v>11693</v>
      </c>
      <c r="BQ17" s="9">
        <v>13099.2</v>
      </c>
      <c r="BR17" s="9">
        <v>11738.9</v>
      </c>
      <c r="BS17" s="9">
        <v>13096</v>
      </c>
      <c r="BT17" s="9">
        <v>12996.1</v>
      </c>
      <c r="BU17" s="9">
        <v>11735.3</v>
      </c>
      <c r="BV17" s="9">
        <v>12666.6</v>
      </c>
      <c r="BW17" s="9">
        <v>12178.8</v>
      </c>
      <c r="BX17" s="9">
        <v>12419.1</v>
      </c>
      <c r="BY17" s="9">
        <v>11790.8</v>
      </c>
      <c r="BZ17" s="9">
        <v>12413.4</v>
      </c>
      <c r="CA17" s="9">
        <v>12784.4</v>
      </c>
      <c r="CB17" s="9">
        <v>13037</v>
      </c>
      <c r="CC17" s="9">
        <v>12015.6</v>
      </c>
      <c r="CD17" s="9">
        <v>12915.8</v>
      </c>
      <c r="CE17" s="9">
        <v>11551.7</v>
      </c>
      <c r="CF17" s="9">
        <v>12621.7</v>
      </c>
      <c r="CG17" s="9">
        <v>12475.3</v>
      </c>
      <c r="CH17" s="9">
        <v>11841.7</v>
      </c>
      <c r="CI17" s="9">
        <v>12891.3</v>
      </c>
      <c r="CJ17" s="9">
        <v>11645.1</v>
      </c>
      <c r="CK17" s="9">
        <v>13085.3</v>
      </c>
      <c r="CL17" s="9">
        <v>11806.6</v>
      </c>
      <c r="CM17" s="9">
        <v>12880.6</v>
      </c>
      <c r="CN17" s="9">
        <v>12103.1</v>
      </c>
      <c r="CO17" s="9">
        <v>12834.9</v>
      </c>
      <c r="CP17" s="9">
        <v>12151.8</v>
      </c>
      <c r="CQ17" s="9">
        <v>13139.2</v>
      </c>
      <c r="CR17" s="9">
        <v>12052.5</v>
      </c>
      <c r="CS17" s="9">
        <v>12667.3</v>
      </c>
      <c r="CT17" s="9">
        <v>11955</v>
      </c>
      <c r="CU17" s="9">
        <v>10597.2</v>
      </c>
      <c r="CV17" s="9">
        <v>12788.1</v>
      </c>
      <c r="CW17" s="9">
        <v>12498.7</v>
      </c>
      <c r="CX17" s="9">
        <v>11739.7</v>
      </c>
      <c r="CY17" s="9">
        <v>13158.3</v>
      </c>
      <c r="CZ17" s="9">
        <v>12874.9</v>
      </c>
      <c r="DA17" s="9">
        <v>12104.5</v>
      </c>
      <c r="DB17" s="9">
        <v>11971.5</v>
      </c>
      <c r="DC17" s="9">
        <v>12911</v>
      </c>
      <c r="DD17" s="9">
        <v>11704.6</v>
      </c>
      <c r="DE17" s="9">
        <v>12255.7</v>
      </c>
      <c r="DF17" s="9">
        <v>13029.9</v>
      </c>
      <c r="DG17" s="9">
        <v>11823.4</v>
      </c>
      <c r="DH17" s="9">
        <v>13074.6</v>
      </c>
      <c r="DI17" s="9">
        <v>11793.9</v>
      </c>
      <c r="DJ17" s="9">
        <v>12884.2</v>
      </c>
      <c r="DK17" s="9">
        <v>12032.7</v>
      </c>
      <c r="DL17" s="9">
        <v>12916.6</v>
      </c>
      <c r="DM17" s="9">
        <v>11394.5</v>
      </c>
      <c r="DN17" s="9">
        <v>12991.2</v>
      </c>
      <c r="DO17" s="9">
        <v>12004.8</v>
      </c>
      <c r="DP17" s="9">
        <v>12873.4</v>
      </c>
      <c r="DQ17" s="9">
        <v>11905.1</v>
      </c>
      <c r="DR17" s="9">
        <v>12895.2</v>
      </c>
      <c r="DS17" s="9">
        <v>12173.4</v>
      </c>
      <c r="DT17" s="9">
        <v>11838.9</v>
      </c>
      <c r="DU17" s="9">
        <v>12792.7</v>
      </c>
      <c r="DV17" s="9">
        <v>12025.4</v>
      </c>
      <c r="DW17" s="9">
        <v>11731.4</v>
      </c>
      <c r="DX17" s="9">
        <v>12876</v>
      </c>
      <c r="DY17" s="9">
        <v>13017</v>
      </c>
      <c r="DZ17" s="9">
        <v>12826.4</v>
      </c>
      <c r="EA17" s="9">
        <v>11974.2</v>
      </c>
      <c r="EB17" s="9">
        <v>12942.5</v>
      </c>
      <c r="EC17" s="9">
        <v>11841.6</v>
      </c>
      <c r="ED17" s="9">
        <v>12684.5</v>
      </c>
      <c r="EE17" s="9">
        <v>12013.8</v>
      </c>
      <c r="EF17" s="9">
        <v>12532.2</v>
      </c>
      <c r="EG17" s="9">
        <v>11077.6</v>
      </c>
      <c r="EH17" s="9">
        <v>12743.2</v>
      </c>
      <c r="EI17" s="9">
        <v>11848.4</v>
      </c>
      <c r="EJ17" s="9">
        <v>11907.4</v>
      </c>
      <c r="EK17" s="9">
        <v>11887.9</v>
      </c>
      <c r="EL17" s="9">
        <v>11769.3</v>
      </c>
      <c r="EM17" s="9">
        <v>10152.4</v>
      </c>
      <c r="EN17" s="9">
        <v>11663.6</v>
      </c>
      <c r="EO17" s="9">
        <v>10294.9</v>
      </c>
      <c r="EP17" s="9">
        <v>11655.3</v>
      </c>
      <c r="EQ17" s="9">
        <v>11715.6</v>
      </c>
      <c r="ER17" s="9">
        <v>13324.1</v>
      </c>
      <c r="ES17" s="9">
        <v>12074.3</v>
      </c>
      <c r="ET17" s="9">
        <v>13403</v>
      </c>
      <c r="EU17" s="9">
        <v>12355</v>
      </c>
      <c r="EV17" s="9">
        <v>13259.7</v>
      </c>
      <c r="EW17" s="9">
        <v>12095.7</v>
      </c>
      <c r="EX17" s="9">
        <v>12277.8</v>
      </c>
      <c r="EY17" s="9">
        <v>12031</v>
      </c>
      <c r="EZ17" s="9">
        <v>13151.7</v>
      </c>
      <c r="FA17" s="9">
        <v>13501.9</v>
      </c>
      <c r="FB17" s="9">
        <v>13342.2</v>
      </c>
      <c r="FC17" s="9">
        <v>13259.9</v>
      </c>
      <c r="FD17" s="9">
        <v>13264.4</v>
      </c>
      <c r="FE17" s="9">
        <v>13289.6</v>
      </c>
      <c r="FF17" s="9">
        <v>12468.4</v>
      </c>
      <c r="FG17" s="9">
        <v>13335.6</v>
      </c>
      <c r="FH17" s="9">
        <v>13384.5</v>
      </c>
      <c r="FI17" s="9">
        <v>13395.3</v>
      </c>
      <c r="FJ17" s="9">
        <v>13415.6</v>
      </c>
      <c r="FK17" s="9">
        <v>13378.7</v>
      </c>
      <c r="FL17" s="9">
        <v>13435.7</v>
      </c>
      <c r="FM17" s="9">
        <v>12473.8</v>
      </c>
      <c r="FN17" s="9">
        <v>13462.4</v>
      </c>
      <c r="FO17" s="9">
        <v>12504.2</v>
      </c>
      <c r="FP17" s="11">
        <v>37.99</v>
      </c>
      <c r="FQ17" s="11">
        <v>37.64</v>
      </c>
      <c r="FR17" s="11">
        <v>38.130000000000003</v>
      </c>
      <c r="FS17" s="11">
        <v>37.75</v>
      </c>
      <c r="FT17" s="11">
        <v>38.01</v>
      </c>
      <c r="FU17" s="11">
        <v>38.090000000000003</v>
      </c>
      <c r="FV17" s="11">
        <v>0</v>
      </c>
      <c r="FW17" s="11">
        <v>50.47</v>
      </c>
      <c r="FX17" s="11">
        <v>0</v>
      </c>
      <c r="FY17" s="11">
        <v>0</v>
      </c>
      <c r="FZ17" s="11">
        <v>50.7</v>
      </c>
      <c r="GA17" s="11">
        <v>50.8</v>
      </c>
      <c r="GB17" s="11">
        <v>4.1100000000000003</v>
      </c>
      <c r="GC17" s="11">
        <v>3.65</v>
      </c>
      <c r="GD17" s="11">
        <v>4.0199999999999996</v>
      </c>
      <c r="GE17" s="11">
        <v>2.33</v>
      </c>
      <c r="GF17" s="11">
        <v>3.75</v>
      </c>
      <c r="GG17" s="11">
        <v>4.12</v>
      </c>
      <c r="GH17" s="11">
        <v>9.01</v>
      </c>
      <c r="GI17" s="11">
        <v>9.2200000000000006</v>
      </c>
      <c r="GJ17" s="11">
        <v>8.8699999999999992</v>
      </c>
      <c r="GK17" s="11">
        <v>8.94</v>
      </c>
      <c r="GL17" s="11">
        <v>9.0299999999999994</v>
      </c>
      <c r="GM17" s="11">
        <v>9.42</v>
      </c>
      <c r="GN17" s="11">
        <v>7.13</v>
      </c>
      <c r="GO17" s="11">
        <v>7.18</v>
      </c>
      <c r="GP17" s="11">
        <v>7.2</v>
      </c>
      <c r="GQ17" s="11">
        <v>7.07</v>
      </c>
      <c r="GR17" s="11">
        <v>7.2</v>
      </c>
      <c r="GS17" s="11">
        <v>7.22</v>
      </c>
      <c r="GT17" s="108">
        <v>1.89</v>
      </c>
      <c r="GU17" s="108">
        <v>1.96</v>
      </c>
      <c r="GV17" s="108">
        <v>1.76</v>
      </c>
      <c r="GW17" s="108">
        <v>2.35</v>
      </c>
      <c r="GX17" s="108">
        <v>2.17</v>
      </c>
      <c r="GY17" s="108">
        <v>1.89</v>
      </c>
      <c r="GZ17" s="13">
        <v>7.51</v>
      </c>
      <c r="HA17" s="13">
        <v>7.56</v>
      </c>
      <c r="HB17" s="13">
        <v>7.45</v>
      </c>
      <c r="HC17" s="13">
        <v>7.45</v>
      </c>
      <c r="HD17" s="13">
        <v>7.51</v>
      </c>
      <c r="HE17" s="13">
        <v>7.5</v>
      </c>
      <c r="HF17" s="13">
        <v>0.46</v>
      </c>
      <c r="HG17" s="13">
        <v>0.51</v>
      </c>
      <c r="HH17" s="13">
        <v>0.44</v>
      </c>
      <c r="HI17" s="13">
        <v>0.46</v>
      </c>
      <c r="HJ17" s="13">
        <v>0.44</v>
      </c>
      <c r="HK17" s="13">
        <v>0.5</v>
      </c>
      <c r="HL17" s="12">
        <v>0</v>
      </c>
      <c r="HM17" s="12">
        <v>0</v>
      </c>
      <c r="HN17" s="12">
        <v>0</v>
      </c>
      <c r="HO17" s="12">
        <v>0</v>
      </c>
      <c r="HP17" s="12">
        <v>0</v>
      </c>
      <c r="HQ17" s="12">
        <v>0</v>
      </c>
      <c r="HR17" s="12">
        <v>0</v>
      </c>
      <c r="HS17" s="12">
        <v>0</v>
      </c>
      <c r="HT17" s="12">
        <v>0</v>
      </c>
      <c r="HU17" s="12">
        <v>0</v>
      </c>
      <c r="HV17" s="12">
        <v>0</v>
      </c>
      <c r="HW17" s="12">
        <v>0</v>
      </c>
      <c r="HX17" s="9">
        <v>907035</v>
      </c>
      <c r="HY17" s="9">
        <v>1688</v>
      </c>
      <c r="HZ17" s="9">
        <v>893915</v>
      </c>
      <c r="IA17" s="9">
        <v>1709</v>
      </c>
      <c r="IB17" s="11">
        <v>106065.208</v>
      </c>
      <c r="IC17" s="11">
        <v>238.46700000000001</v>
      </c>
      <c r="ID17" s="14">
        <f t="shared" ref="ID17:II17" si="112">GN17-HL17</f>
        <v>7.13</v>
      </c>
      <c r="IE17" s="14">
        <f t="shared" si="112"/>
        <v>7.18</v>
      </c>
      <c r="IF17" s="14">
        <f t="shared" si="112"/>
        <v>7.2</v>
      </c>
      <c r="IG17" s="14">
        <f t="shared" si="112"/>
        <v>7.07</v>
      </c>
      <c r="IH17" s="14">
        <f t="shared" si="112"/>
        <v>7.2</v>
      </c>
      <c r="II17" s="14">
        <f t="shared" si="112"/>
        <v>7.22</v>
      </c>
      <c r="IJ17" s="15">
        <f t="shared" ref="IJ17:IO17" si="113">GZ17-HR17</f>
        <v>7.51</v>
      </c>
      <c r="IK17" s="15">
        <f t="shared" si="113"/>
        <v>7.56</v>
      </c>
      <c r="IL17" s="15">
        <f t="shared" si="113"/>
        <v>7.45</v>
      </c>
      <c r="IM17" s="15">
        <f t="shared" si="113"/>
        <v>7.45</v>
      </c>
      <c r="IN17" s="15">
        <f t="shared" si="113"/>
        <v>7.51</v>
      </c>
      <c r="IO17" s="15">
        <f t="shared" si="113"/>
        <v>7.5</v>
      </c>
      <c r="IP17" s="16">
        <f t="shared" ref="IP17" si="114">(HX17-HX16)*1000</f>
        <v>996000</v>
      </c>
      <c r="IQ17" s="16">
        <f t="shared" ref="IQ17" si="115">(HY17-HY16)*1000</f>
        <v>2000</v>
      </c>
      <c r="IR17" s="16">
        <f t="shared" ref="IR17" si="116">(HZ17-HZ16)*1000</f>
        <v>991000</v>
      </c>
      <c r="IS17" s="16">
        <f t="shared" ref="IS17" si="117">(IA17-IA16)*1000</f>
        <v>2000</v>
      </c>
      <c r="IT17" s="16">
        <f t="shared" ref="IT17" si="118">(IB17-IB16)*1000</f>
        <v>1985667.0000000014</v>
      </c>
      <c r="IU17" s="16">
        <f t="shared" ref="IU17" si="119">(IC17-IC16)*1000</f>
        <v>3734.0000000000091</v>
      </c>
      <c r="IV17" s="17">
        <f t="shared" ref="IV17" si="120">(IP17+IR17)-(IQ17+IS17)</f>
        <v>1983000</v>
      </c>
      <c r="IW17" s="17">
        <f t="shared" ref="IW17" si="121">IT17-IU17</f>
        <v>1981933.0000000014</v>
      </c>
      <c r="IX17" s="19">
        <f>(Raw_Data[[#This Row],[Sunset Time (POA&lt;20 W/m2)]]-Raw_Data[[#This Row],[Sunrise Time (POA&gt;20 W/m2)]])*24</f>
        <v>12.349999999999998</v>
      </c>
      <c r="IY17" s="68">
        <f>AVERAGEIF(Raw_Data[[#This Row],[GHI_UP_Net_IS2_W1]:[GHI_UP_Net_IS19_W6]],"&lt;&gt;"&amp;0,Raw_Data[[#This Row],[GHI_UP_Net_IS2_W1]:[GHI_UP_Net_IS19_W6]])</f>
        <v>7.166666666666667</v>
      </c>
      <c r="IZ17" s="68">
        <f>AVERAGEIF(Raw_Data[[#This Row],[GHI_Down_IS2_W1]:[GHI_Down_IS19_W6]],"&lt;&gt;"&amp;0,Raw_Data[[#This Row],[GHI_Down_IS2_W1]:[GHI_Down_IS19_W6]])</f>
        <v>2.0033333333333334</v>
      </c>
      <c r="JA17" s="68">
        <f>AVERAGEIF(Raw_Data[[#This Row],[POA_Up_IS2_W1]:[POA_Up_IS19_W6]],"&lt;&gt;"&amp;0,Raw_Data[[#This Row],[POA_Up_IS2_W1]:[POA_Up_IS19_W6]])</f>
        <v>7.4966666666666661</v>
      </c>
      <c r="JB17" s="68">
        <f>AVERAGEIF(Raw_Data[[#This Row],[POA_Down_IS2_W1]:[POA_Down_IS19_W6]],"&lt;&gt;"&amp;0,Raw_Data[[#This Row],[POA_Down_IS2_W1]:[POA_Down_IS19_W6]])</f>
        <v>0.46833333333333332</v>
      </c>
      <c r="JC17" s="69">
        <f>Raw_Data[[#This Row],[GHI-Down(KWh/m2)]]/Raw_Data[[#This Row],[GHI-UP (KWh/m2)]]</f>
        <v>0.27953488372093022</v>
      </c>
      <c r="JD17" s="72">
        <f>Raw_Data[[#This Row],[POA-Down(KWh/m2)]]/Raw_Data[[#This Row],[POA-UP(KWh/m2)]]</f>
        <v>6.2472209871053806E-2</v>
      </c>
      <c r="JE17" s="68">
        <f>AVERAGEIF(Raw_Data[[#This Row],[Amb_Temp_IS2_W1]:[Amb_Temp_IS19_W6]],"&lt;&gt;"&amp;0,Raw_Data[[#This Row],[Amb_Temp_IS2_W1]:[Amb_Temp_IS19_W6]])</f>
        <v>37.934999999999995</v>
      </c>
      <c r="JF17" s="68">
        <f>AVERAGEIF(Raw_Data[[#This Row],[MT_Temp_IS2_W1]:[MT_Temp_IS19_W6]],"&lt;&gt;"&amp;0,Raw_Data[[#This Row],[MT_Temp_IS2_W1]:[MT_Temp_IS19_W6]])</f>
        <v>50.656666666666666</v>
      </c>
      <c r="JG17" s="68">
        <f>AVERAGEIF(Raw_Data[[#This Row],[WS_Avg_IS2_W1]:[WS_Avg_IS19_W6]],"&lt;&gt;"&amp;0,Raw_Data[[#This Row],[WS_Avg_IS2_W1]:[WS_Avg_IS19_W6]])</f>
        <v>3.6633333333333336</v>
      </c>
      <c r="JH17" s="68">
        <f>AVERAGEIF(Raw_Data[[#This Row],[WS_Max_IS2_W1]:[WS_Max_IS19_W6]],"&lt;&gt;"&amp;0,Raw_Data[[#This Row],[WS_Max_IS2_W1]:[WS_Max_IS19_W6]])</f>
        <v>9.081666666666667</v>
      </c>
      <c r="JI17" s="70">
        <f>SUM(Raw_Data[[#This Row],[IS1_INV1_M1]:[IS20_INV4_M2]])</f>
        <v>1998756.4999999991</v>
      </c>
      <c r="JJ17" s="73">
        <v>1953600</v>
      </c>
      <c r="JK17" s="71">
        <v>2394420.6</v>
      </c>
      <c r="JL17" s="143">
        <f>IFERROR(Raw_Data[[#This Row],[WPR_Eac]]/Raw_Data[[#This Row],[WPR_Edc]],"")</f>
        <v>0.81589675598347255</v>
      </c>
      <c r="JM17" s="6">
        <v>22</v>
      </c>
      <c r="JN17" s="6">
        <v>486</v>
      </c>
    </row>
    <row r="18" spans="2:274">
      <c r="B18" s="67">
        <f t="shared" si="21"/>
        <v>45757</v>
      </c>
      <c r="C18" s="9">
        <f>YEAR(Raw_Data[[#This Row],[Date]])+IF(MONTH(Raw_Data[[#This Row],[Date]])&gt;=4,1,0)</f>
        <v>2026</v>
      </c>
      <c r="D18" s="6">
        <f t="shared" si="90"/>
        <v>2025</v>
      </c>
      <c r="E18" s="7" t="s">
        <v>361</v>
      </c>
      <c r="F18" s="7" t="s">
        <v>361</v>
      </c>
      <c r="G18" s="8">
        <v>45748</v>
      </c>
      <c r="H18" s="6">
        <f t="shared" si="91"/>
        <v>30</v>
      </c>
      <c r="I18" s="9">
        <v>335090.89</v>
      </c>
      <c r="J18" s="10">
        <v>0.27500000000000002</v>
      </c>
      <c r="K18" s="10">
        <v>0.7944444444444444</v>
      </c>
      <c r="L18" s="9">
        <v>12197</v>
      </c>
      <c r="M18" s="9">
        <v>12689.1</v>
      </c>
      <c r="N18" s="9">
        <v>12631.8</v>
      </c>
      <c r="O18" s="9">
        <v>12632.3</v>
      </c>
      <c r="P18" s="9">
        <v>12711.6</v>
      </c>
      <c r="Q18" s="9">
        <v>12741.6</v>
      </c>
      <c r="R18" s="9">
        <v>12658.4</v>
      </c>
      <c r="S18" s="9">
        <v>12996.2</v>
      </c>
      <c r="T18" s="9">
        <v>12658.1</v>
      </c>
      <c r="U18" s="9">
        <v>12648</v>
      </c>
      <c r="V18" s="9">
        <v>12524.2</v>
      </c>
      <c r="W18" s="9">
        <v>12647</v>
      </c>
      <c r="X18" s="9">
        <v>12670.3</v>
      </c>
      <c r="Y18" s="9">
        <v>12605.7</v>
      </c>
      <c r="Z18" s="9">
        <v>12628</v>
      </c>
      <c r="AA18" s="9">
        <v>12746.3</v>
      </c>
      <c r="AB18" s="9">
        <v>12554.1</v>
      </c>
      <c r="AC18" s="9">
        <v>12670.6</v>
      </c>
      <c r="AD18" s="9">
        <v>12696.6</v>
      </c>
      <c r="AE18" s="9">
        <v>12757.1</v>
      </c>
      <c r="AF18" s="9">
        <v>12694.6</v>
      </c>
      <c r="AG18" s="9">
        <v>12699.2</v>
      </c>
      <c r="AH18" s="9">
        <v>12515</v>
      </c>
      <c r="AI18" s="9">
        <v>12616</v>
      </c>
      <c r="AJ18" s="9">
        <v>12457.4</v>
      </c>
      <c r="AK18" s="9">
        <v>10993.7</v>
      </c>
      <c r="AL18" s="9">
        <v>12469.6</v>
      </c>
      <c r="AM18" s="9">
        <v>12435</v>
      </c>
      <c r="AN18" s="9">
        <v>12714.7</v>
      </c>
      <c r="AO18" s="9">
        <v>12538.9</v>
      </c>
      <c r="AP18" s="9">
        <v>12529.2</v>
      </c>
      <c r="AQ18" s="9">
        <v>12725.8</v>
      </c>
      <c r="AR18" s="9">
        <v>12769</v>
      </c>
      <c r="AS18" s="9">
        <v>12870.7</v>
      </c>
      <c r="AT18" s="9">
        <v>12930</v>
      </c>
      <c r="AU18" s="9">
        <v>12853.8</v>
      </c>
      <c r="AV18" s="9">
        <v>12819.1</v>
      </c>
      <c r="AW18" s="9">
        <v>12639</v>
      </c>
      <c r="AX18" s="9">
        <v>12638.8</v>
      </c>
      <c r="AY18" s="9">
        <v>12606</v>
      </c>
      <c r="AZ18" s="9">
        <v>13437.7</v>
      </c>
      <c r="BA18" s="9">
        <v>12423.7</v>
      </c>
      <c r="BB18" s="9">
        <v>13311</v>
      </c>
      <c r="BC18" s="9">
        <v>12235.4</v>
      </c>
      <c r="BD18" s="9">
        <v>12714.5</v>
      </c>
      <c r="BE18" s="9">
        <v>13774.8</v>
      </c>
      <c r="BF18" s="9">
        <v>12115.4</v>
      </c>
      <c r="BG18" s="9">
        <v>13438.6</v>
      </c>
      <c r="BH18" s="9">
        <v>12608.2</v>
      </c>
      <c r="BI18" s="9">
        <v>12842.3</v>
      </c>
      <c r="BJ18" s="9">
        <v>12765</v>
      </c>
      <c r="BK18" s="9">
        <v>12143.4</v>
      </c>
      <c r="BL18" s="9">
        <v>13086.1</v>
      </c>
      <c r="BM18" s="9">
        <v>12780.1</v>
      </c>
      <c r="BN18" s="9">
        <v>13049.9</v>
      </c>
      <c r="BO18" s="9">
        <v>12764.7</v>
      </c>
      <c r="BP18" s="9">
        <v>11721</v>
      </c>
      <c r="BQ18" s="9">
        <v>13207.4</v>
      </c>
      <c r="BR18" s="9">
        <v>11769.5</v>
      </c>
      <c r="BS18" s="9">
        <v>13196.8</v>
      </c>
      <c r="BT18" s="9">
        <v>13094.3</v>
      </c>
      <c r="BU18" s="9">
        <v>11762</v>
      </c>
      <c r="BV18" s="9">
        <v>12753</v>
      </c>
      <c r="BW18" s="9">
        <v>12217.6</v>
      </c>
      <c r="BX18" s="9">
        <v>12481.1</v>
      </c>
      <c r="BY18" s="9">
        <v>11828.9</v>
      </c>
      <c r="BZ18" s="9">
        <v>12469.7</v>
      </c>
      <c r="CA18" s="9">
        <v>12878.5</v>
      </c>
      <c r="CB18" s="9">
        <v>13155.7</v>
      </c>
      <c r="CC18" s="9">
        <v>12053.7</v>
      </c>
      <c r="CD18" s="9">
        <v>13008.4</v>
      </c>
      <c r="CE18" s="9">
        <v>11577.8</v>
      </c>
      <c r="CF18" s="9">
        <v>12694.1</v>
      </c>
      <c r="CG18" s="9">
        <v>12525.6</v>
      </c>
      <c r="CH18" s="9">
        <v>11862</v>
      </c>
      <c r="CI18" s="9">
        <v>12980.2</v>
      </c>
      <c r="CJ18" s="9">
        <v>11666</v>
      </c>
      <c r="CK18" s="9">
        <v>13192</v>
      </c>
      <c r="CL18" s="9">
        <v>11826</v>
      </c>
      <c r="CM18" s="9">
        <v>12979.4</v>
      </c>
      <c r="CN18" s="9">
        <v>12127.2</v>
      </c>
      <c r="CO18" s="9">
        <v>12903.8</v>
      </c>
      <c r="CP18" s="9">
        <v>12187.5</v>
      </c>
      <c r="CQ18" s="9">
        <v>13245.6</v>
      </c>
      <c r="CR18" s="9">
        <v>12084</v>
      </c>
      <c r="CS18" s="9">
        <v>12735.8</v>
      </c>
      <c r="CT18" s="9">
        <v>12039.9</v>
      </c>
      <c r="CU18" s="9">
        <v>10641.1</v>
      </c>
      <c r="CV18" s="9">
        <v>12879.3</v>
      </c>
      <c r="CW18" s="9">
        <v>12572</v>
      </c>
      <c r="CX18" s="9">
        <v>11752</v>
      </c>
      <c r="CY18" s="9">
        <v>13250.8</v>
      </c>
      <c r="CZ18" s="9">
        <v>12946.2</v>
      </c>
      <c r="DA18" s="9">
        <v>12111</v>
      </c>
      <c r="DB18" s="9">
        <v>11981.4</v>
      </c>
      <c r="DC18" s="9">
        <v>13006.3</v>
      </c>
      <c r="DD18" s="9">
        <v>11727.8</v>
      </c>
      <c r="DE18" s="9">
        <v>12301.8</v>
      </c>
      <c r="DF18" s="9">
        <v>13148.7</v>
      </c>
      <c r="DG18" s="9">
        <v>11852.6</v>
      </c>
      <c r="DH18" s="9">
        <v>13174.2</v>
      </c>
      <c r="DI18" s="9">
        <v>11806.4</v>
      </c>
      <c r="DJ18" s="9">
        <v>12947</v>
      </c>
      <c r="DK18" s="9">
        <v>12056.9</v>
      </c>
      <c r="DL18" s="9">
        <v>13001.3</v>
      </c>
      <c r="DM18" s="9">
        <v>11415.2</v>
      </c>
      <c r="DN18" s="9">
        <v>13074.8</v>
      </c>
      <c r="DO18" s="9">
        <v>12026.7</v>
      </c>
      <c r="DP18" s="9">
        <v>12935.3</v>
      </c>
      <c r="DQ18" s="9">
        <v>11914.5</v>
      </c>
      <c r="DR18" s="9">
        <v>12954</v>
      </c>
      <c r="DS18" s="9">
        <v>12191.9</v>
      </c>
      <c r="DT18" s="9">
        <v>11860.2</v>
      </c>
      <c r="DU18" s="9">
        <v>12880.7</v>
      </c>
      <c r="DV18" s="9">
        <v>12049.3</v>
      </c>
      <c r="DW18" s="9">
        <v>11756.2</v>
      </c>
      <c r="DX18" s="9">
        <v>12975.7</v>
      </c>
      <c r="DY18" s="9">
        <v>13119.2</v>
      </c>
      <c r="DZ18" s="9">
        <v>12911.7</v>
      </c>
      <c r="EA18" s="9">
        <v>12002.7</v>
      </c>
      <c r="EB18" s="9">
        <v>13047.6</v>
      </c>
      <c r="EC18" s="9">
        <v>11856.4</v>
      </c>
      <c r="ED18" s="9">
        <v>12749</v>
      </c>
      <c r="EE18" s="9">
        <v>12029.7</v>
      </c>
      <c r="EF18" s="9">
        <v>12591.4</v>
      </c>
      <c r="EG18" s="9">
        <v>11098.8</v>
      </c>
      <c r="EH18" s="9">
        <v>12807.2</v>
      </c>
      <c r="EI18" s="9">
        <v>11868.2</v>
      </c>
      <c r="EJ18" s="9">
        <v>11926.6</v>
      </c>
      <c r="EK18" s="9">
        <v>11923.2</v>
      </c>
      <c r="EL18" s="9">
        <v>11789.6</v>
      </c>
      <c r="EM18" s="9">
        <v>10172.5</v>
      </c>
      <c r="EN18" s="9">
        <v>11693</v>
      </c>
      <c r="EO18" s="9">
        <v>10310.6</v>
      </c>
      <c r="EP18" s="9">
        <v>11709.6</v>
      </c>
      <c r="EQ18" s="9">
        <v>11765.8</v>
      </c>
      <c r="ER18" s="9">
        <v>13460.2</v>
      </c>
      <c r="ES18" s="9">
        <v>12092.4</v>
      </c>
      <c r="ET18" s="9">
        <v>13533.6</v>
      </c>
      <c r="EU18" s="9">
        <v>12377.2</v>
      </c>
      <c r="EV18" s="9">
        <v>13387.9</v>
      </c>
      <c r="EW18" s="9">
        <v>12127</v>
      </c>
      <c r="EX18" s="9">
        <v>12310.5</v>
      </c>
      <c r="EY18" s="9">
        <v>12073.1</v>
      </c>
      <c r="EZ18" s="9">
        <v>13209.2</v>
      </c>
      <c r="FA18" s="9">
        <v>13571.7</v>
      </c>
      <c r="FB18" s="9">
        <v>13457.7</v>
      </c>
      <c r="FC18" s="9">
        <v>13381</v>
      </c>
      <c r="FD18" s="9">
        <v>13389.9</v>
      </c>
      <c r="FE18" s="9">
        <v>13418.1</v>
      </c>
      <c r="FF18" s="9">
        <v>12492.1</v>
      </c>
      <c r="FG18" s="9">
        <v>13458.8</v>
      </c>
      <c r="FH18" s="9">
        <v>13519.5</v>
      </c>
      <c r="FI18" s="9">
        <v>13529.7</v>
      </c>
      <c r="FJ18" s="9">
        <v>13550.8</v>
      </c>
      <c r="FK18" s="9">
        <v>13511.7</v>
      </c>
      <c r="FL18" s="9">
        <v>13560.8</v>
      </c>
      <c r="FM18" s="9">
        <v>12493.7</v>
      </c>
      <c r="FN18" s="9">
        <v>13590.2</v>
      </c>
      <c r="FO18" s="9">
        <v>12536.2</v>
      </c>
      <c r="FP18" s="11">
        <v>34.841837016574559</v>
      </c>
      <c r="FQ18" s="11">
        <v>34.532651933701651</v>
      </c>
      <c r="FR18" s="11">
        <v>34.999599447513809</v>
      </c>
      <c r="FS18" s="11">
        <v>34.735207182320451</v>
      </c>
      <c r="FT18" s="11">
        <v>34.729005524861897</v>
      </c>
      <c r="FU18" s="11">
        <v>34.954281767955777</v>
      </c>
      <c r="FV18" s="11">
        <v>0</v>
      </c>
      <c r="FW18" s="11">
        <v>47.534654696132549</v>
      </c>
      <c r="FX18" s="11">
        <v>0</v>
      </c>
      <c r="FY18" s="11">
        <v>0</v>
      </c>
      <c r="FZ18" s="11">
        <v>47.9</v>
      </c>
      <c r="GA18" s="11">
        <v>48.265662983425386</v>
      </c>
      <c r="GB18" s="11">
        <v>5.1440191560773529</v>
      </c>
      <c r="GC18" s="11">
        <v>5.0089316682044194</v>
      </c>
      <c r="GD18" s="11">
        <v>4.8741802604972406</v>
      </c>
      <c r="GE18" s="11">
        <v>4.1020693808149185</v>
      </c>
      <c r="GF18" s="11">
        <v>5.1971614192955862</v>
      </c>
      <c r="GG18" s="11">
        <v>5.1107871159392291</v>
      </c>
      <c r="GH18" s="11">
        <v>11.23333</v>
      </c>
      <c r="GI18" s="11">
        <v>11.185</v>
      </c>
      <c r="GJ18" s="11">
        <v>11.8</v>
      </c>
      <c r="GK18" s="11">
        <v>10.96</v>
      </c>
      <c r="GL18" s="11">
        <v>11.11</v>
      </c>
      <c r="GM18" s="11">
        <v>11.311669999999999</v>
      </c>
      <c r="GN18" s="11">
        <v>7.0677266666666636</v>
      </c>
      <c r="GO18" s="11">
        <v>7.128645999999998</v>
      </c>
      <c r="GP18" s="11">
        <v>7.119418333333333</v>
      </c>
      <c r="GQ18" s="11">
        <v>7.0048606666666755</v>
      </c>
      <c r="GR18" s="11">
        <v>7.1412131666666712</v>
      </c>
      <c r="GS18" s="11">
        <v>7.1625076666666629</v>
      </c>
      <c r="GT18" s="108">
        <v>1.8648459999999989</v>
      </c>
      <c r="GU18" s="108">
        <v>1.9200765000000024</v>
      </c>
      <c r="GV18" s="108">
        <v>1.7367456666666663</v>
      </c>
      <c r="GW18" s="108">
        <v>2.3149180000000005</v>
      </c>
      <c r="GX18" s="108">
        <v>2.1244540000000005</v>
      </c>
      <c r="GY18" s="108">
        <v>1.8463368333333339</v>
      </c>
      <c r="GZ18" s="13">
        <v>7.4237851666666677</v>
      </c>
      <c r="HA18" s="13">
        <v>7.4681829999999998</v>
      </c>
      <c r="HB18" s="13">
        <v>7.3378769999999971</v>
      </c>
      <c r="HC18" s="13">
        <v>7.3760234999999987</v>
      </c>
      <c r="HD18" s="13">
        <v>7.4252656666666663</v>
      </c>
      <c r="HE18" s="13">
        <v>7.3925841666666683</v>
      </c>
      <c r="HF18" s="13">
        <v>0.477099</v>
      </c>
      <c r="HG18" s="13">
        <v>0.52983483333333359</v>
      </c>
      <c r="HH18" s="13">
        <v>0.4478598333333334</v>
      </c>
      <c r="HI18" s="13">
        <v>0.47866883333333343</v>
      </c>
      <c r="HJ18" s="13">
        <v>0.45597033333333348</v>
      </c>
      <c r="HK18" s="13">
        <v>0.5088094999999998</v>
      </c>
      <c r="HL18" s="12">
        <v>0</v>
      </c>
      <c r="HM18" s="12">
        <v>0</v>
      </c>
      <c r="HN18" s="12">
        <v>0</v>
      </c>
      <c r="HO18" s="12">
        <v>0</v>
      </c>
      <c r="HP18" s="12">
        <v>0</v>
      </c>
      <c r="HQ18" s="12">
        <v>0</v>
      </c>
      <c r="HR18" s="12">
        <v>0</v>
      </c>
      <c r="HS18" s="12">
        <v>0</v>
      </c>
      <c r="HT18" s="12">
        <v>0</v>
      </c>
      <c r="HU18" s="12">
        <v>0</v>
      </c>
      <c r="HV18" s="12">
        <v>0</v>
      </c>
      <c r="HW18" s="12">
        <v>0</v>
      </c>
      <c r="HX18" s="9">
        <v>908034</v>
      </c>
      <c r="HY18" s="9">
        <v>1689</v>
      </c>
      <c r="HZ18" s="9">
        <v>894911</v>
      </c>
      <c r="IA18" s="9">
        <v>1710</v>
      </c>
      <c r="IB18" s="11">
        <v>108060.342</v>
      </c>
      <c r="IC18" s="11">
        <v>243</v>
      </c>
      <c r="ID18" s="14">
        <f t="shared" ref="ID18:II18" si="122">GN18-HL18</f>
        <v>7.0677266666666636</v>
      </c>
      <c r="IE18" s="14">
        <f t="shared" si="122"/>
        <v>7.128645999999998</v>
      </c>
      <c r="IF18" s="14">
        <f t="shared" si="122"/>
        <v>7.119418333333333</v>
      </c>
      <c r="IG18" s="14">
        <f t="shared" si="122"/>
        <v>7.0048606666666755</v>
      </c>
      <c r="IH18" s="14">
        <f t="shared" si="122"/>
        <v>7.1412131666666712</v>
      </c>
      <c r="II18" s="14">
        <f t="shared" si="122"/>
        <v>7.1625076666666629</v>
      </c>
      <c r="IJ18" s="15">
        <f t="shared" ref="IJ18:IO18" si="123">GZ18-HR18</f>
        <v>7.4237851666666677</v>
      </c>
      <c r="IK18" s="15">
        <f t="shared" si="123"/>
        <v>7.4681829999999998</v>
      </c>
      <c r="IL18" s="15">
        <f t="shared" si="123"/>
        <v>7.3378769999999971</v>
      </c>
      <c r="IM18" s="15">
        <f t="shared" si="123"/>
        <v>7.3760234999999987</v>
      </c>
      <c r="IN18" s="15">
        <f t="shared" si="123"/>
        <v>7.4252656666666663</v>
      </c>
      <c r="IO18" s="15">
        <f t="shared" si="123"/>
        <v>7.3925841666666683</v>
      </c>
      <c r="IP18" s="16">
        <f t="shared" ref="IP18" si="124">(HX18-HX17)*1000</f>
        <v>999000</v>
      </c>
      <c r="IQ18" s="16">
        <f t="shared" ref="IQ18" si="125">(HY18-HY17)*1000</f>
        <v>1000</v>
      </c>
      <c r="IR18" s="16">
        <f t="shared" ref="IR18" si="126">(HZ18-HZ17)*1000</f>
        <v>996000</v>
      </c>
      <c r="IS18" s="16">
        <f t="shared" ref="IS18" si="127">(IA18-IA17)*1000</f>
        <v>1000</v>
      </c>
      <c r="IT18" s="16">
        <f t="shared" ref="IT18" si="128">(IB18-IB17)*1000</f>
        <v>1995134.0000000056</v>
      </c>
      <c r="IU18" s="16">
        <f t="shared" ref="IU18" si="129">(IC18-IC17)*1000</f>
        <v>4532.9999999999873</v>
      </c>
      <c r="IV18" s="17">
        <f t="shared" ref="IV18" si="130">(IP18+IR18)-(IQ18+IS18)</f>
        <v>1993000</v>
      </c>
      <c r="IW18" s="17">
        <f t="shared" ref="IW18" si="131">IT18-IU18</f>
        <v>1990601.0000000056</v>
      </c>
      <c r="IX18" s="19">
        <f>(Raw_Data[[#This Row],[Sunset Time (POA&lt;20 W/m2)]]-Raw_Data[[#This Row],[Sunrise Time (POA&gt;20 W/m2)]])*24</f>
        <v>12.466666666666665</v>
      </c>
      <c r="IY18" s="68">
        <f>AVERAGEIF(Raw_Data[[#This Row],[GHI_UP_Net_IS2_W1]:[GHI_UP_Net_IS19_W6]],"&lt;&gt;"&amp;0,Raw_Data[[#This Row],[GHI_UP_Net_IS2_W1]:[GHI_UP_Net_IS19_W6]])</f>
        <v>7.1040620833333348</v>
      </c>
      <c r="IZ18" s="68">
        <f>AVERAGEIF(Raw_Data[[#This Row],[GHI_Down_IS2_W1]:[GHI_Down_IS19_W6]],"&lt;&gt;"&amp;0,Raw_Data[[#This Row],[GHI_Down_IS2_W1]:[GHI_Down_IS19_W6]])</f>
        <v>1.967896166666667</v>
      </c>
      <c r="JA18" s="68">
        <f>AVERAGEIF(Raw_Data[[#This Row],[POA_Up_IS2_W1]:[POA_Up_IS19_W6]],"&lt;&gt;"&amp;0,Raw_Data[[#This Row],[POA_Up_IS2_W1]:[POA_Up_IS19_W6]])</f>
        <v>7.4039530833333318</v>
      </c>
      <c r="JB18" s="68">
        <f>AVERAGEIF(Raw_Data[[#This Row],[POA_Down_IS2_W1]:[POA_Down_IS19_W6]],"&lt;&gt;"&amp;0,Raw_Data[[#This Row],[POA_Down_IS2_W1]:[POA_Down_IS19_W6]])</f>
        <v>0.48304038888888901</v>
      </c>
      <c r="JC18" s="69">
        <f>Raw_Data[[#This Row],[GHI-Down(KWh/m2)]]/Raw_Data[[#This Row],[GHI-UP (KWh/m2)]]</f>
        <v>0.2770099900004393</v>
      </c>
      <c r="JD18" s="72">
        <f>Raw_Data[[#This Row],[POA-Down(KWh/m2)]]/Raw_Data[[#This Row],[POA-UP(KWh/m2)]]</f>
        <v>6.5240876522602104E-2</v>
      </c>
      <c r="JE18" s="68">
        <f>AVERAGEIF(Raw_Data[[#This Row],[Amb_Temp_IS2_W1]:[Amb_Temp_IS19_W6]],"&lt;&gt;"&amp;0,Raw_Data[[#This Row],[Amb_Temp_IS2_W1]:[Amb_Temp_IS19_W6]])</f>
        <v>34.798763812154696</v>
      </c>
      <c r="JF18" s="68">
        <f>AVERAGEIF(Raw_Data[[#This Row],[MT_Temp_IS2_W1]:[MT_Temp_IS19_W6]],"&lt;&gt;"&amp;0,Raw_Data[[#This Row],[MT_Temp_IS2_W1]:[MT_Temp_IS19_W6]])</f>
        <v>47.90010589318598</v>
      </c>
      <c r="JG18" s="68">
        <f>AVERAGEIF(Raw_Data[[#This Row],[WS_Avg_IS2_W1]:[WS_Avg_IS19_W6]],"&lt;&gt;"&amp;0,Raw_Data[[#This Row],[WS_Avg_IS2_W1]:[WS_Avg_IS19_W6]])</f>
        <v>4.9061915001381244</v>
      </c>
      <c r="JH18" s="68">
        <f>AVERAGEIF(Raw_Data[[#This Row],[WS_Max_IS2_W1]:[WS_Max_IS19_W6]],"&lt;&gt;"&amp;0,Raw_Data[[#This Row],[WS_Max_IS2_W1]:[WS_Max_IS19_W6]])</f>
        <v>11.266666666666666</v>
      </c>
      <c r="JI18" s="70">
        <f>SUM(Raw_Data[[#This Row],[IS1_INV1_M1]:[IS20_INV4_M2]])</f>
        <v>2008891.8999999997</v>
      </c>
      <c r="JJ18" s="73">
        <v>1975266.9999999925</v>
      </c>
      <c r="JK18" s="71">
        <v>2421411.127998109</v>
      </c>
      <c r="JL18" s="143">
        <f>IFERROR(Raw_Data[[#This Row],[WPR_Eac]]/Raw_Data[[#This Row],[WPR_Edc]],"")</f>
        <v>0.81575036025915837</v>
      </c>
      <c r="JM18" s="6">
        <v>25</v>
      </c>
      <c r="JN18" s="6">
        <v>0</v>
      </c>
    </row>
    <row r="19" spans="2:274">
      <c r="B19" s="67">
        <f t="shared" si="21"/>
        <v>45758</v>
      </c>
      <c r="C19" s="9">
        <f>YEAR(Raw_Data[[#This Row],[Date]])+IF(MONTH(Raw_Data[[#This Row],[Date]])&gt;=4,1,0)</f>
        <v>2026</v>
      </c>
      <c r="D19" s="6">
        <f t="shared" si="90"/>
        <v>2025</v>
      </c>
      <c r="E19" s="7" t="s">
        <v>361</v>
      </c>
      <c r="F19" s="7" t="s">
        <v>361</v>
      </c>
      <c r="G19" s="8">
        <v>45748</v>
      </c>
      <c r="H19" s="6">
        <f t="shared" si="91"/>
        <v>30</v>
      </c>
      <c r="I19" s="9">
        <v>335090.89</v>
      </c>
      <c r="J19" s="10">
        <v>0.28125</v>
      </c>
      <c r="K19" s="10">
        <v>0.79513888888888884</v>
      </c>
      <c r="L19" s="9">
        <v>10584.5</v>
      </c>
      <c r="M19" s="9">
        <v>11038.5</v>
      </c>
      <c r="N19" s="9">
        <v>10992.7</v>
      </c>
      <c r="O19" s="9">
        <v>10971.5</v>
      </c>
      <c r="P19" s="9">
        <v>11069.8</v>
      </c>
      <c r="Q19" s="9">
        <v>11095</v>
      </c>
      <c r="R19" s="9">
        <v>11023.5</v>
      </c>
      <c r="S19" s="9">
        <v>11348.8</v>
      </c>
      <c r="T19" s="9">
        <v>10990.1</v>
      </c>
      <c r="U19" s="9">
        <v>11020</v>
      </c>
      <c r="V19" s="9">
        <v>10872.7</v>
      </c>
      <c r="W19" s="9">
        <v>10972.1</v>
      </c>
      <c r="X19" s="9">
        <v>11013</v>
      </c>
      <c r="Y19" s="9">
        <v>10952</v>
      </c>
      <c r="Z19" s="9">
        <v>10982.3</v>
      </c>
      <c r="AA19" s="9">
        <v>11089.9</v>
      </c>
      <c r="AB19" s="9">
        <v>10915.6</v>
      </c>
      <c r="AC19" s="9">
        <v>11011.4</v>
      </c>
      <c r="AD19" s="9">
        <v>11028.9</v>
      </c>
      <c r="AE19" s="9">
        <v>11062</v>
      </c>
      <c r="AF19" s="9">
        <v>11031.9</v>
      </c>
      <c r="AG19" s="9">
        <v>11025.2</v>
      </c>
      <c r="AH19" s="9">
        <v>10869.4</v>
      </c>
      <c r="AI19" s="9">
        <v>10951.5</v>
      </c>
      <c r="AJ19" s="9">
        <v>10765.7</v>
      </c>
      <c r="AK19" s="9">
        <v>9534</v>
      </c>
      <c r="AL19" s="9">
        <v>10787.1</v>
      </c>
      <c r="AM19" s="9">
        <v>10749</v>
      </c>
      <c r="AN19" s="9">
        <v>11031.5</v>
      </c>
      <c r="AO19" s="9">
        <v>10879.9</v>
      </c>
      <c r="AP19" s="9">
        <v>10857</v>
      </c>
      <c r="AQ19" s="9">
        <v>11041.1</v>
      </c>
      <c r="AR19" s="9">
        <v>10962.7</v>
      </c>
      <c r="AS19" s="9">
        <v>11069.7</v>
      </c>
      <c r="AT19" s="9">
        <v>11154.2</v>
      </c>
      <c r="AU19" s="9">
        <v>11079.2</v>
      </c>
      <c r="AV19" s="9">
        <v>11100.1</v>
      </c>
      <c r="AW19" s="9">
        <v>10935.8</v>
      </c>
      <c r="AX19" s="9">
        <v>10946.4</v>
      </c>
      <c r="AY19" s="9">
        <v>10889.9</v>
      </c>
      <c r="AZ19" s="9">
        <v>11784.7</v>
      </c>
      <c r="BA19" s="9">
        <v>10782.3</v>
      </c>
      <c r="BB19" s="9">
        <v>11666.9</v>
      </c>
      <c r="BC19" s="9">
        <v>10611</v>
      </c>
      <c r="BD19" s="9">
        <v>11027.2</v>
      </c>
      <c r="BE19" s="9">
        <v>12084.1</v>
      </c>
      <c r="BF19" s="9">
        <v>10498.5</v>
      </c>
      <c r="BG19" s="9">
        <v>11793</v>
      </c>
      <c r="BH19" s="9">
        <v>10984.8</v>
      </c>
      <c r="BI19" s="9">
        <v>11164.5</v>
      </c>
      <c r="BJ19" s="9">
        <v>11065.7</v>
      </c>
      <c r="BK19" s="9">
        <v>10502.8</v>
      </c>
      <c r="BL19" s="9">
        <v>11384.8</v>
      </c>
      <c r="BM19" s="9">
        <v>11119.2</v>
      </c>
      <c r="BN19" s="9">
        <v>11331.2</v>
      </c>
      <c r="BO19" s="9">
        <v>11082</v>
      </c>
      <c r="BP19" s="9">
        <v>10103.700000000001</v>
      </c>
      <c r="BQ19" s="9">
        <v>11422.3</v>
      </c>
      <c r="BR19" s="9">
        <v>10217.5</v>
      </c>
      <c r="BS19" s="9">
        <v>11449.1</v>
      </c>
      <c r="BT19" s="9">
        <v>11350.8</v>
      </c>
      <c r="BU19" s="9">
        <v>10202.4</v>
      </c>
      <c r="BV19" s="9">
        <v>10998.7</v>
      </c>
      <c r="BW19" s="9">
        <v>10504</v>
      </c>
      <c r="BX19" s="9">
        <v>10671.4</v>
      </c>
      <c r="BY19" s="9">
        <v>10097.6</v>
      </c>
      <c r="BZ19" s="9">
        <v>10663.6</v>
      </c>
      <c r="CA19" s="9">
        <v>11038.4</v>
      </c>
      <c r="CB19" s="9">
        <v>11342</v>
      </c>
      <c r="CC19" s="9">
        <v>10289.700000000001</v>
      </c>
      <c r="CD19" s="9">
        <v>11179.2</v>
      </c>
      <c r="CE19" s="9">
        <v>9925.7000000000007</v>
      </c>
      <c r="CF19" s="9">
        <v>10909.6</v>
      </c>
      <c r="CG19" s="9">
        <v>10705.5</v>
      </c>
      <c r="CH19" s="9">
        <v>10170.299999999999</v>
      </c>
      <c r="CI19" s="9">
        <v>11141.9</v>
      </c>
      <c r="CJ19" s="9">
        <v>9988.4</v>
      </c>
      <c r="CK19" s="9">
        <v>11376.9</v>
      </c>
      <c r="CL19" s="9">
        <v>10140.700000000001</v>
      </c>
      <c r="CM19" s="9">
        <v>11156.6</v>
      </c>
      <c r="CN19" s="9">
        <v>10366.700000000001</v>
      </c>
      <c r="CO19" s="9">
        <v>11082.6</v>
      </c>
      <c r="CP19" s="9">
        <v>10449.6</v>
      </c>
      <c r="CQ19" s="9">
        <v>11428.9</v>
      </c>
      <c r="CR19" s="9">
        <v>10345.1</v>
      </c>
      <c r="CS19" s="9">
        <v>10952.9</v>
      </c>
      <c r="CT19" s="9">
        <v>10282.299999999999</v>
      </c>
      <c r="CU19" s="9">
        <v>9169.5</v>
      </c>
      <c r="CV19" s="9">
        <v>11049.5</v>
      </c>
      <c r="CW19" s="9">
        <v>10783.7</v>
      </c>
      <c r="CX19" s="9">
        <v>10067.799999999999</v>
      </c>
      <c r="CY19" s="9">
        <v>11412.6</v>
      </c>
      <c r="CZ19" s="9">
        <v>11119.3</v>
      </c>
      <c r="DA19" s="9">
        <v>10327.6</v>
      </c>
      <c r="DB19" s="9">
        <v>10213.799999999999</v>
      </c>
      <c r="DC19" s="9">
        <v>11173.6</v>
      </c>
      <c r="DD19" s="9">
        <v>10025.9</v>
      </c>
      <c r="DE19" s="9">
        <v>10501.4</v>
      </c>
      <c r="DF19" s="9">
        <v>11289.7</v>
      </c>
      <c r="DG19" s="9">
        <v>10130.5</v>
      </c>
      <c r="DH19" s="9">
        <v>11321.3</v>
      </c>
      <c r="DI19" s="9">
        <v>10088.6</v>
      </c>
      <c r="DJ19" s="9">
        <v>11080.5</v>
      </c>
      <c r="DK19" s="9">
        <v>10292.9</v>
      </c>
      <c r="DL19" s="9">
        <v>11153.9</v>
      </c>
      <c r="DM19" s="9">
        <v>9785.2999999999993</v>
      </c>
      <c r="DN19" s="9">
        <v>11225.8</v>
      </c>
      <c r="DO19" s="9">
        <v>10271.4</v>
      </c>
      <c r="DP19" s="9">
        <v>11099</v>
      </c>
      <c r="DQ19" s="9">
        <v>10207.1</v>
      </c>
      <c r="DR19" s="9">
        <v>11139.9</v>
      </c>
      <c r="DS19" s="9">
        <v>10418.299999999999</v>
      </c>
      <c r="DT19" s="9">
        <v>10154.9</v>
      </c>
      <c r="DU19" s="9">
        <v>11056.6</v>
      </c>
      <c r="DV19" s="9">
        <v>10281.4</v>
      </c>
      <c r="DW19" s="9">
        <v>10073.200000000001</v>
      </c>
      <c r="DX19" s="9">
        <v>11144.2</v>
      </c>
      <c r="DY19" s="9">
        <v>11306.9</v>
      </c>
      <c r="DZ19" s="9">
        <v>11091.7</v>
      </c>
      <c r="EA19" s="9">
        <v>10300.5</v>
      </c>
      <c r="EB19" s="9">
        <v>11245.8</v>
      </c>
      <c r="EC19" s="9">
        <v>10191.5</v>
      </c>
      <c r="ED19" s="9">
        <v>10918.3</v>
      </c>
      <c r="EE19" s="9">
        <v>10294</v>
      </c>
      <c r="EF19" s="9">
        <v>10803.3</v>
      </c>
      <c r="EG19" s="9">
        <v>9603.6</v>
      </c>
      <c r="EH19" s="9">
        <v>11015.6</v>
      </c>
      <c r="EI19" s="9">
        <v>10204.4</v>
      </c>
      <c r="EJ19" s="9">
        <v>10194.6</v>
      </c>
      <c r="EK19" s="9">
        <v>10156.1</v>
      </c>
      <c r="EL19" s="9">
        <v>10107.5</v>
      </c>
      <c r="EM19" s="9">
        <v>8744.2999999999993</v>
      </c>
      <c r="EN19" s="9">
        <v>9959.9</v>
      </c>
      <c r="EO19" s="9">
        <v>8841.2999999999993</v>
      </c>
      <c r="EP19" s="9">
        <v>9983.9</v>
      </c>
      <c r="EQ19" s="9">
        <v>10028.299999999999</v>
      </c>
      <c r="ER19" s="9">
        <v>11589.6</v>
      </c>
      <c r="ES19" s="9">
        <v>10309.6</v>
      </c>
      <c r="ET19" s="9">
        <v>11643.3</v>
      </c>
      <c r="EU19" s="9">
        <v>10535.1</v>
      </c>
      <c r="EV19" s="9">
        <v>11496.1</v>
      </c>
      <c r="EW19" s="9">
        <v>10295.1</v>
      </c>
      <c r="EX19" s="9">
        <v>10472.1</v>
      </c>
      <c r="EY19" s="9">
        <v>10252.9</v>
      </c>
      <c r="EZ19" s="9">
        <v>11279.9</v>
      </c>
      <c r="FA19" s="9">
        <v>11628.1</v>
      </c>
      <c r="FB19" s="9">
        <v>11551.9</v>
      </c>
      <c r="FC19" s="9">
        <v>11480.5</v>
      </c>
      <c r="FD19" s="9">
        <v>11501.7</v>
      </c>
      <c r="FE19" s="9">
        <v>11544.6</v>
      </c>
      <c r="FF19" s="9">
        <v>10624.9</v>
      </c>
      <c r="FG19" s="9">
        <v>11549.9</v>
      </c>
      <c r="FH19" s="9">
        <v>11611.9</v>
      </c>
      <c r="FI19" s="9">
        <v>11596.2</v>
      </c>
      <c r="FJ19" s="9">
        <v>11546.9</v>
      </c>
      <c r="FK19" s="9">
        <v>11523.5</v>
      </c>
      <c r="FL19" s="9">
        <v>11579</v>
      </c>
      <c r="FM19" s="9">
        <v>10573.5</v>
      </c>
      <c r="FN19" s="9">
        <v>11681</v>
      </c>
      <c r="FO19" s="9">
        <v>10646.2</v>
      </c>
      <c r="FP19" s="11">
        <v>34.077389502762479</v>
      </c>
      <c r="FQ19" s="11">
        <v>33.805883977900557</v>
      </c>
      <c r="FR19" s="11">
        <v>34.083756906077348</v>
      </c>
      <c r="FS19" s="11">
        <v>33.822541436464086</v>
      </c>
      <c r="FT19" s="11">
        <v>33.619240331491739</v>
      </c>
      <c r="FU19" s="11">
        <v>34.045000000000016</v>
      </c>
      <c r="FV19" s="11">
        <v>0</v>
      </c>
      <c r="FW19" s="11">
        <v>45.2</v>
      </c>
      <c r="FX19" s="11">
        <v>0</v>
      </c>
      <c r="FY19" s="11">
        <v>0</v>
      </c>
      <c r="FZ19" s="11">
        <v>45</v>
      </c>
      <c r="GA19" s="11">
        <v>45.400801104972409</v>
      </c>
      <c r="GB19" s="11">
        <v>6.0414085870165701</v>
      </c>
      <c r="GC19" s="11">
        <v>6.2044196207182303</v>
      </c>
      <c r="GD19" s="11">
        <v>5.8470600524861913</v>
      </c>
      <c r="GE19" s="11">
        <v>5.7590191013397911</v>
      </c>
      <c r="GF19" s="11">
        <v>6.108395261049731</v>
      </c>
      <c r="GG19" s="11">
        <v>6.2868943508287254</v>
      </c>
      <c r="GH19" s="11">
        <v>11.05667</v>
      </c>
      <c r="GI19" s="11">
        <v>11.205</v>
      </c>
      <c r="GJ19" s="11">
        <v>10.678330000000001</v>
      </c>
      <c r="GK19" s="11">
        <v>11.053330000000001</v>
      </c>
      <c r="GL19" s="11">
        <v>10.481669999999999</v>
      </c>
      <c r="GM19" s="11">
        <v>13.58</v>
      </c>
      <c r="GN19" s="11">
        <v>6.121315166666661</v>
      </c>
      <c r="GO19" s="11">
        <v>6.1518943333333267</v>
      </c>
      <c r="GP19" s="11">
        <v>6.1731939999999899</v>
      </c>
      <c r="GQ19" s="11">
        <v>6.0148071666666683</v>
      </c>
      <c r="GR19" s="11">
        <v>6.1001943333333264</v>
      </c>
      <c r="GS19" s="11">
        <v>6.0615424999999998</v>
      </c>
      <c r="GT19" s="108">
        <v>1.5809006666666661</v>
      </c>
      <c r="GU19" s="108">
        <v>1.6994058333333337</v>
      </c>
      <c r="GV19" s="108">
        <v>1.4741623333333338</v>
      </c>
      <c r="GW19" s="108">
        <v>1.9462905000000026</v>
      </c>
      <c r="GX19" s="108">
        <v>1.8366616666666677</v>
      </c>
      <c r="GY19" s="108">
        <v>1.6390154999999997</v>
      </c>
      <c r="GZ19" s="13">
        <v>6.3708786666666626</v>
      </c>
      <c r="HA19" s="13">
        <v>6.3996973333333287</v>
      </c>
      <c r="HB19" s="13">
        <v>6.290819666666664</v>
      </c>
      <c r="HC19" s="13">
        <v>6.243143333333335</v>
      </c>
      <c r="HD19" s="13">
        <v>6.2678051666666663</v>
      </c>
      <c r="HE19" s="13">
        <v>6.256901166666661</v>
      </c>
      <c r="HF19" s="13">
        <v>0.4323301666666664</v>
      </c>
      <c r="HG19" s="13">
        <v>0.48279800000000006</v>
      </c>
      <c r="HH19" s="13">
        <v>0.40684583333333296</v>
      </c>
      <c r="HI19" s="13">
        <v>0.43624633333333351</v>
      </c>
      <c r="HJ19" s="13">
        <v>0.41526683333333331</v>
      </c>
      <c r="HK19" s="13">
        <v>0.45731316666666655</v>
      </c>
      <c r="HL19" s="12">
        <v>0</v>
      </c>
      <c r="HM19" s="12">
        <v>0</v>
      </c>
      <c r="HN19" s="12">
        <v>0</v>
      </c>
      <c r="HO19" s="12">
        <v>0</v>
      </c>
      <c r="HP19" s="12">
        <v>0</v>
      </c>
      <c r="HQ19" s="12">
        <v>0</v>
      </c>
      <c r="HR19" s="12">
        <v>0</v>
      </c>
      <c r="HS19" s="12">
        <v>0</v>
      </c>
      <c r="HT19" s="12">
        <v>0</v>
      </c>
      <c r="HU19" s="12">
        <v>0</v>
      </c>
      <c r="HV19" s="12">
        <v>0</v>
      </c>
      <c r="HW19" s="12">
        <v>0</v>
      </c>
      <c r="HX19" s="9">
        <v>908902</v>
      </c>
      <c r="HY19" s="9">
        <v>1691</v>
      </c>
      <c r="HZ19" s="9">
        <v>895765</v>
      </c>
      <c r="IA19" s="9">
        <v>1712</v>
      </c>
      <c r="IB19" s="11">
        <v>109779.80899999999</v>
      </c>
      <c r="IC19" s="11">
        <v>247.6</v>
      </c>
      <c r="ID19" s="14">
        <f t="shared" ref="ID19:II19" si="132">GN19-HL19</f>
        <v>6.121315166666661</v>
      </c>
      <c r="IE19" s="14">
        <f t="shared" si="132"/>
        <v>6.1518943333333267</v>
      </c>
      <c r="IF19" s="14">
        <f t="shared" si="132"/>
        <v>6.1731939999999899</v>
      </c>
      <c r="IG19" s="14">
        <f t="shared" si="132"/>
        <v>6.0148071666666683</v>
      </c>
      <c r="IH19" s="14">
        <f t="shared" si="132"/>
        <v>6.1001943333333264</v>
      </c>
      <c r="II19" s="14">
        <f t="shared" si="132"/>
        <v>6.0615424999999998</v>
      </c>
      <c r="IJ19" s="15">
        <f t="shared" ref="IJ19:IO19" si="133">GZ19-HR19</f>
        <v>6.3708786666666626</v>
      </c>
      <c r="IK19" s="15">
        <f t="shared" si="133"/>
        <v>6.3996973333333287</v>
      </c>
      <c r="IL19" s="15">
        <f t="shared" si="133"/>
        <v>6.290819666666664</v>
      </c>
      <c r="IM19" s="15">
        <f t="shared" si="133"/>
        <v>6.243143333333335</v>
      </c>
      <c r="IN19" s="15">
        <f t="shared" si="133"/>
        <v>6.2678051666666663</v>
      </c>
      <c r="IO19" s="15">
        <f t="shared" si="133"/>
        <v>6.256901166666661</v>
      </c>
      <c r="IP19" s="16">
        <f t="shared" ref="IP19" si="134">(HX19-HX18)*1000</f>
        <v>868000</v>
      </c>
      <c r="IQ19" s="16">
        <f t="shared" ref="IQ19" si="135">(HY19-HY18)*1000</f>
        <v>2000</v>
      </c>
      <c r="IR19" s="16">
        <f t="shared" ref="IR19" si="136">(HZ19-HZ18)*1000</f>
        <v>854000</v>
      </c>
      <c r="IS19" s="16">
        <f t="shared" ref="IS19" si="137">(IA19-IA18)*1000</f>
        <v>2000</v>
      </c>
      <c r="IT19" s="16">
        <f t="shared" ref="IT19" si="138">(IB19-IB18)*1000</f>
        <v>1719466.9999999898</v>
      </c>
      <c r="IU19" s="16">
        <f t="shared" ref="IU19" si="139">(IC19-IC18)*1000</f>
        <v>4599.9999999999945</v>
      </c>
      <c r="IV19" s="17">
        <f t="shared" ref="IV19" si="140">(IP19+IR19)-(IQ19+IS19)</f>
        <v>1718000</v>
      </c>
      <c r="IW19" s="17">
        <f t="shared" ref="IW19" si="141">IT19-IU19</f>
        <v>1714866.9999999898</v>
      </c>
      <c r="IX19" s="19">
        <f>(Raw_Data[[#This Row],[Sunset Time (POA&lt;20 W/m2)]]-Raw_Data[[#This Row],[Sunrise Time (POA&gt;20 W/m2)]])*24</f>
        <v>12.333333333333332</v>
      </c>
      <c r="IY19" s="68">
        <f>AVERAGEIF(Raw_Data[[#This Row],[GHI_UP_Net_IS2_W1]:[GHI_UP_Net_IS19_W6]],"&lt;&gt;"&amp;0,Raw_Data[[#This Row],[GHI_UP_Net_IS2_W1]:[GHI_UP_Net_IS19_W6]])</f>
        <v>6.1038245833333287</v>
      </c>
      <c r="IZ19" s="68">
        <f>AVERAGEIF(Raw_Data[[#This Row],[GHI_Down_IS2_W1]:[GHI_Down_IS19_W6]],"&lt;&gt;"&amp;0,Raw_Data[[#This Row],[GHI_Down_IS2_W1]:[GHI_Down_IS19_W6]])</f>
        <v>1.6960727500000006</v>
      </c>
      <c r="JA19" s="68">
        <f>AVERAGEIF(Raw_Data[[#This Row],[POA_Up_IS2_W1]:[POA_Up_IS19_W6]],"&lt;&gt;"&amp;0,Raw_Data[[#This Row],[POA_Up_IS2_W1]:[POA_Up_IS19_W6]])</f>
        <v>6.30487422222222</v>
      </c>
      <c r="JB19" s="68">
        <f>AVERAGEIF(Raw_Data[[#This Row],[POA_Down_IS2_W1]:[POA_Down_IS19_W6]],"&lt;&gt;"&amp;0,Raw_Data[[#This Row],[POA_Down_IS2_W1]:[POA_Down_IS19_W6]])</f>
        <v>0.43846672222222205</v>
      </c>
      <c r="JC19" s="69">
        <f>Raw_Data[[#This Row],[GHI-Down(KWh/m2)]]/Raw_Data[[#This Row],[GHI-UP (KWh/m2)]]</f>
        <v>0.27787049362971156</v>
      </c>
      <c r="JD19" s="72">
        <f>Raw_Data[[#This Row],[POA-Down(KWh/m2)]]/Raw_Data[[#This Row],[POA-UP(KWh/m2)]]</f>
        <v>6.9544087124973578E-2</v>
      </c>
      <c r="JE19" s="68">
        <f>AVERAGEIF(Raw_Data[[#This Row],[Amb_Temp_IS2_W1]:[Amb_Temp_IS19_W6]],"&lt;&gt;"&amp;0,Raw_Data[[#This Row],[Amb_Temp_IS2_W1]:[Amb_Temp_IS19_W6]])</f>
        <v>33.908968692449371</v>
      </c>
      <c r="JF19" s="68">
        <f>AVERAGEIF(Raw_Data[[#This Row],[MT_Temp_IS2_W1]:[MT_Temp_IS19_W6]],"&lt;&gt;"&amp;0,Raw_Data[[#This Row],[MT_Temp_IS2_W1]:[MT_Temp_IS19_W6]])</f>
        <v>45.200267034990809</v>
      </c>
      <c r="JG19" s="68">
        <f>AVERAGEIF(Raw_Data[[#This Row],[WS_Avg_IS2_W1]:[WS_Avg_IS19_W6]],"&lt;&gt;"&amp;0,Raw_Data[[#This Row],[WS_Avg_IS2_W1]:[WS_Avg_IS19_W6]])</f>
        <v>6.0411994955732062</v>
      </c>
      <c r="JH19" s="68">
        <f>AVERAGEIF(Raw_Data[[#This Row],[WS_Max_IS2_W1]:[WS_Max_IS19_W6]],"&lt;&gt;"&amp;0,Raw_Data[[#This Row],[WS_Max_IS2_W1]:[WS_Max_IS19_W6]])</f>
        <v>11.342500000000001</v>
      </c>
      <c r="JI19" s="70">
        <f>SUM(Raw_Data[[#This Row],[IS1_INV1_M1]:[IS20_INV4_M2]])</f>
        <v>1730096.5999999999</v>
      </c>
      <c r="JJ19" s="73">
        <v>1704266.9999999928</v>
      </c>
      <c r="JK19" s="71">
        <v>2095267.9995106317</v>
      </c>
      <c r="JL19" s="143">
        <f>IFERROR(Raw_Data[[#This Row],[WPR_Eac]]/Raw_Data[[#This Row],[WPR_Edc]],"")</f>
        <v>0.81338855000794141</v>
      </c>
      <c r="JM19" s="6">
        <v>38</v>
      </c>
      <c r="JN19" s="6">
        <v>0</v>
      </c>
    </row>
    <row r="20" spans="2:274">
      <c r="B20" s="67">
        <f t="shared" si="21"/>
        <v>45759</v>
      </c>
      <c r="C20" s="9">
        <f>YEAR(Raw_Data[[#This Row],[Date]])+IF(MONTH(Raw_Data[[#This Row],[Date]])&gt;=4,1,0)</f>
        <v>2026</v>
      </c>
      <c r="D20" s="6">
        <f t="shared" si="90"/>
        <v>2025</v>
      </c>
      <c r="E20" s="7" t="s">
        <v>361</v>
      </c>
      <c r="F20" s="7" t="s">
        <v>361</v>
      </c>
      <c r="G20" s="8">
        <v>45748</v>
      </c>
      <c r="H20" s="6">
        <f t="shared" si="91"/>
        <v>30</v>
      </c>
      <c r="I20" s="9">
        <v>335090.89</v>
      </c>
      <c r="J20" s="10">
        <v>0.27986111111111112</v>
      </c>
      <c r="K20" s="10">
        <v>0.79513888888888884</v>
      </c>
      <c r="L20" s="9">
        <v>12241.6</v>
      </c>
      <c r="M20" s="9">
        <v>12830.5</v>
      </c>
      <c r="N20" s="9">
        <v>12707.6</v>
      </c>
      <c r="O20" s="9">
        <v>12695.4</v>
      </c>
      <c r="P20" s="9">
        <v>12800.2</v>
      </c>
      <c r="Q20" s="9">
        <v>12869.3</v>
      </c>
      <c r="R20" s="9">
        <v>12790.3</v>
      </c>
      <c r="S20" s="9">
        <v>13135.8</v>
      </c>
      <c r="T20" s="9">
        <v>12794.8</v>
      </c>
      <c r="U20" s="9">
        <v>12768.9</v>
      </c>
      <c r="V20" s="9">
        <v>12675.6</v>
      </c>
      <c r="W20" s="9">
        <v>12778.6</v>
      </c>
      <c r="X20" s="9">
        <v>12847.2</v>
      </c>
      <c r="Y20" s="9">
        <v>12769.7</v>
      </c>
      <c r="Z20" s="9">
        <v>12749.4</v>
      </c>
      <c r="AA20" s="9">
        <v>12912.7</v>
      </c>
      <c r="AB20" s="9">
        <v>12715.4</v>
      </c>
      <c r="AC20" s="9">
        <v>12823.9</v>
      </c>
      <c r="AD20" s="9">
        <v>12896.8</v>
      </c>
      <c r="AE20" s="9">
        <v>12933.7</v>
      </c>
      <c r="AF20" s="9">
        <v>12904.2</v>
      </c>
      <c r="AG20" s="9">
        <v>12883.6</v>
      </c>
      <c r="AH20" s="9">
        <v>12707.9</v>
      </c>
      <c r="AI20" s="9">
        <v>12811.3</v>
      </c>
      <c r="AJ20" s="9">
        <v>12633.3</v>
      </c>
      <c r="AK20" s="9">
        <v>11047.8</v>
      </c>
      <c r="AL20" s="9">
        <v>12622.9</v>
      </c>
      <c r="AM20" s="9">
        <v>12595.4</v>
      </c>
      <c r="AN20" s="9">
        <v>12910.3</v>
      </c>
      <c r="AO20" s="9">
        <v>12738.2</v>
      </c>
      <c r="AP20" s="9">
        <v>12737.2</v>
      </c>
      <c r="AQ20" s="9">
        <v>12956.7</v>
      </c>
      <c r="AR20" s="9">
        <v>12746.2</v>
      </c>
      <c r="AS20" s="9">
        <v>12860.3</v>
      </c>
      <c r="AT20" s="9">
        <v>12951.2</v>
      </c>
      <c r="AU20" s="9">
        <v>12865.5</v>
      </c>
      <c r="AV20" s="9">
        <v>11891.8</v>
      </c>
      <c r="AW20" s="9">
        <v>11762.9</v>
      </c>
      <c r="AX20" s="9">
        <v>11761.3</v>
      </c>
      <c r="AY20" s="9">
        <v>11721.3</v>
      </c>
      <c r="AZ20" s="9">
        <v>12444.7</v>
      </c>
      <c r="BA20" s="9">
        <v>11583.6</v>
      </c>
      <c r="BB20" s="9">
        <v>12343.4</v>
      </c>
      <c r="BC20" s="9">
        <v>11450</v>
      </c>
      <c r="BD20" s="9">
        <v>11842.3</v>
      </c>
      <c r="BE20" s="9">
        <v>12724.8</v>
      </c>
      <c r="BF20" s="9">
        <v>11310.2</v>
      </c>
      <c r="BG20" s="9">
        <v>12435.4</v>
      </c>
      <c r="BH20" s="9">
        <v>12800.9</v>
      </c>
      <c r="BI20" s="9">
        <v>13018.7</v>
      </c>
      <c r="BJ20" s="9">
        <v>12932</v>
      </c>
      <c r="BK20" s="9">
        <v>12188.8</v>
      </c>
      <c r="BL20" s="9">
        <v>13263.6</v>
      </c>
      <c r="BM20" s="9">
        <v>12953.6</v>
      </c>
      <c r="BN20" s="9">
        <v>13257.3</v>
      </c>
      <c r="BO20" s="9">
        <v>12968.2</v>
      </c>
      <c r="BP20" s="9">
        <v>11728.5</v>
      </c>
      <c r="BQ20" s="9">
        <v>13363.8</v>
      </c>
      <c r="BR20" s="9">
        <v>11807.6</v>
      </c>
      <c r="BS20" s="9">
        <v>13381.4</v>
      </c>
      <c r="BT20" s="9">
        <v>13254.3</v>
      </c>
      <c r="BU20" s="9">
        <v>11796.4</v>
      </c>
      <c r="BV20" s="9">
        <v>12865.2</v>
      </c>
      <c r="BW20" s="9">
        <v>12269</v>
      </c>
      <c r="BX20" s="9">
        <v>12547</v>
      </c>
      <c r="BY20" s="9">
        <v>11803.5</v>
      </c>
      <c r="BZ20" s="9">
        <v>12526.4</v>
      </c>
      <c r="CA20" s="9">
        <v>12958.8</v>
      </c>
      <c r="CB20" s="9">
        <v>13304</v>
      </c>
      <c r="CC20" s="9">
        <v>12039.3</v>
      </c>
      <c r="CD20" s="9">
        <v>13141.9</v>
      </c>
      <c r="CE20" s="9">
        <v>11556.4</v>
      </c>
      <c r="CF20" s="9">
        <v>12816.6</v>
      </c>
      <c r="CG20" s="9">
        <v>12580.1</v>
      </c>
      <c r="CH20" s="9">
        <v>11859.8</v>
      </c>
      <c r="CI20" s="9">
        <v>13090.7</v>
      </c>
      <c r="CJ20" s="9">
        <v>11641.9</v>
      </c>
      <c r="CK20" s="9">
        <v>13344.4</v>
      </c>
      <c r="CL20" s="9">
        <v>11818.6</v>
      </c>
      <c r="CM20" s="9">
        <v>13074</v>
      </c>
      <c r="CN20" s="9">
        <v>11284.8</v>
      </c>
      <c r="CO20" s="9">
        <v>11881.5</v>
      </c>
      <c r="CP20" s="9">
        <v>11303.2</v>
      </c>
      <c r="CQ20" s="9">
        <v>12176.3</v>
      </c>
      <c r="CR20" s="9">
        <v>11245.7</v>
      </c>
      <c r="CS20" s="9">
        <v>11735.7</v>
      </c>
      <c r="CT20" s="9">
        <v>11186.1</v>
      </c>
      <c r="CU20" s="9">
        <v>10191.6</v>
      </c>
      <c r="CV20" s="9">
        <v>11786.4</v>
      </c>
      <c r="CW20" s="9">
        <v>11600.8</v>
      </c>
      <c r="CX20" s="9">
        <v>11036.8</v>
      </c>
      <c r="CY20" s="9">
        <v>12151.8</v>
      </c>
      <c r="CZ20" s="9">
        <v>11913.6</v>
      </c>
      <c r="DA20" s="9">
        <v>11256.4</v>
      </c>
      <c r="DB20" s="9">
        <v>11146.6</v>
      </c>
      <c r="DC20" s="9">
        <v>11926.4</v>
      </c>
      <c r="DD20" s="9">
        <v>10988.2</v>
      </c>
      <c r="DE20" s="9">
        <v>11407.3</v>
      </c>
      <c r="DF20" s="9">
        <v>12076.8</v>
      </c>
      <c r="DG20" s="9">
        <v>11111.6</v>
      </c>
      <c r="DH20" s="9">
        <v>12094.4</v>
      </c>
      <c r="DI20" s="9">
        <v>11082.5</v>
      </c>
      <c r="DJ20" s="9">
        <v>11915.1</v>
      </c>
      <c r="DK20" s="9">
        <v>11260.4</v>
      </c>
      <c r="DL20" s="9">
        <v>11955.5</v>
      </c>
      <c r="DM20" s="9">
        <v>10813.9</v>
      </c>
      <c r="DN20" s="9">
        <v>12033.8</v>
      </c>
      <c r="DO20" s="9">
        <v>11233.6</v>
      </c>
      <c r="DP20" s="9">
        <v>11925.3</v>
      </c>
      <c r="DQ20" s="9">
        <v>11166.6</v>
      </c>
      <c r="DR20" s="9">
        <v>11938.5</v>
      </c>
      <c r="DS20" s="9">
        <v>11368.8</v>
      </c>
      <c r="DT20" s="9">
        <v>11131</v>
      </c>
      <c r="DU20" s="9">
        <v>11875.6</v>
      </c>
      <c r="DV20" s="9">
        <v>11250.7</v>
      </c>
      <c r="DW20" s="9">
        <v>11075.7</v>
      </c>
      <c r="DX20" s="9">
        <v>11948.6</v>
      </c>
      <c r="DY20" s="9">
        <v>12085.8</v>
      </c>
      <c r="DZ20" s="9">
        <v>11904.5</v>
      </c>
      <c r="EA20" s="9">
        <v>11235.5</v>
      </c>
      <c r="EB20" s="9">
        <v>12023.5</v>
      </c>
      <c r="EC20" s="9">
        <v>11139.7</v>
      </c>
      <c r="ED20" s="9">
        <v>11764.3</v>
      </c>
      <c r="EE20" s="9">
        <v>11252.5</v>
      </c>
      <c r="EF20" s="9">
        <v>11634.1</v>
      </c>
      <c r="EG20" s="9">
        <v>10629.3</v>
      </c>
      <c r="EH20" s="9">
        <v>11830.1</v>
      </c>
      <c r="EI20" s="9">
        <v>11170</v>
      </c>
      <c r="EJ20" s="9">
        <v>11139.2</v>
      </c>
      <c r="EK20" s="9">
        <v>11067.6</v>
      </c>
      <c r="EL20" s="9">
        <v>11051.7</v>
      </c>
      <c r="EM20" s="9">
        <v>9770.6</v>
      </c>
      <c r="EN20" s="9">
        <v>10896.4</v>
      </c>
      <c r="EO20" s="9">
        <v>9822.1</v>
      </c>
      <c r="EP20" s="9">
        <v>10860</v>
      </c>
      <c r="EQ20" s="9">
        <v>10901.9</v>
      </c>
      <c r="ER20" s="9">
        <v>12319.2</v>
      </c>
      <c r="ES20" s="9">
        <v>11206.2</v>
      </c>
      <c r="ET20" s="9">
        <v>12352.5</v>
      </c>
      <c r="EU20" s="9">
        <v>11406.7</v>
      </c>
      <c r="EV20" s="9">
        <v>12194.9</v>
      </c>
      <c r="EW20" s="9">
        <v>11146</v>
      </c>
      <c r="EX20" s="9">
        <v>11299.6</v>
      </c>
      <c r="EY20" s="9">
        <v>11089.8</v>
      </c>
      <c r="EZ20" s="9">
        <v>12093.1</v>
      </c>
      <c r="FA20" s="9">
        <v>12387.9</v>
      </c>
      <c r="FB20" s="9">
        <v>12319.1</v>
      </c>
      <c r="FC20" s="9">
        <v>12246.8</v>
      </c>
      <c r="FD20" s="9">
        <v>12263.2</v>
      </c>
      <c r="FE20" s="9">
        <v>12289.2</v>
      </c>
      <c r="FF20" s="9">
        <v>11495.4</v>
      </c>
      <c r="FG20" s="9">
        <v>12295.5</v>
      </c>
      <c r="FH20" s="9">
        <v>12362.3</v>
      </c>
      <c r="FI20" s="9">
        <v>12360.7</v>
      </c>
      <c r="FJ20" s="9">
        <v>12348.3</v>
      </c>
      <c r="FK20" s="9">
        <v>12325.7</v>
      </c>
      <c r="FL20" s="9">
        <v>12371.6</v>
      </c>
      <c r="FM20" s="9">
        <v>11497.6</v>
      </c>
      <c r="FN20" s="9">
        <v>12422.9</v>
      </c>
      <c r="FO20" s="9">
        <v>11546.7</v>
      </c>
      <c r="FP20" s="11">
        <v>34.240812672176268</v>
      </c>
      <c r="FQ20" s="11">
        <v>33.818057851239672</v>
      </c>
      <c r="FR20" s="11">
        <v>34.269586776859519</v>
      </c>
      <c r="FS20" s="11">
        <v>34.074132231404988</v>
      </c>
      <c r="FT20" s="11">
        <v>33.977534435261724</v>
      </c>
      <c r="FU20" s="11">
        <v>34.175564738292017</v>
      </c>
      <c r="FV20" s="11">
        <v>0</v>
      </c>
      <c r="FW20" s="11">
        <v>47.7</v>
      </c>
      <c r="FX20" s="11">
        <v>0</v>
      </c>
      <c r="FY20" s="11">
        <v>0</v>
      </c>
      <c r="FZ20" s="11">
        <v>48</v>
      </c>
      <c r="GA20" s="11">
        <v>48.2</v>
      </c>
      <c r="GB20" s="11">
        <v>4.744944710743801</v>
      </c>
      <c r="GC20" s="11">
        <v>5.0317881395729973</v>
      </c>
      <c r="GD20" s="11">
        <v>4.7593570206611604</v>
      </c>
      <c r="GE20" s="11">
        <v>4.3602592230853974</v>
      </c>
      <c r="GF20" s="11">
        <v>5.2778785716253473</v>
      </c>
      <c r="GG20" s="11">
        <v>5.2706402561983534</v>
      </c>
      <c r="GH20" s="11">
        <v>9.2649989999999995</v>
      </c>
      <c r="GI20" s="11">
        <v>8.7366659999999996</v>
      </c>
      <c r="GJ20" s="11">
        <v>9.2799999999999994</v>
      </c>
      <c r="GK20" s="11">
        <v>8.6183329999999998</v>
      </c>
      <c r="GL20" s="11">
        <v>8.9916660000000004</v>
      </c>
      <c r="GM20" s="11">
        <v>9.3233329999999999</v>
      </c>
      <c r="GN20" s="11">
        <v>7.1204748333333354</v>
      </c>
      <c r="GO20" s="11">
        <v>7.1962813333333324</v>
      </c>
      <c r="GP20" s="11">
        <v>7.1566551666666633</v>
      </c>
      <c r="GQ20" s="11">
        <v>7.0546703333333367</v>
      </c>
      <c r="GR20" s="11">
        <v>7.1627309999999955</v>
      </c>
      <c r="GS20" s="11">
        <v>7.15236566666667</v>
      </c>
      <c r="GT20" s="108">
        <v>1.8553333333333348</v>
      </c>
      <c r="GU20" s="108">
        <v>1.951796166666667</v>
      </c>
      <c r="GV20" s="108">
        <v>1.727706833333331</v>
      </c>
      <c r="GW20" s="108">
        <v>2.3024246666666679</v>
      </c>
      <c r="GX20" s="108">
        <v>2.134272333333334</v>
      </c>
      <c r="GY20" s="108">
        <v>1.8551941666666663</v>
      </c>
      <c r="GZ20" s="13">
        <v>7.442939166666668</v>
      </c>
      <c r="HA20" s="13">
        <v>7.4995889999999994</v>
      </c>
      <c r="HB20" s="13">
        <v>7.3439239999999932</v>
      </c>
      <c r="HC20" s="13">
        <v>7.3777508333333319</v>
      </c>
      <c r="HD20" s="13">
        <v>7.4113421666666648</v>
      </c>
      <c r="HE20" s="13">
        <v>7.3568914999999988</v>
      </c>
      <c r="HF20" s="13">
        <v>0.48368883333333296</v>
      </c>
      <c r="HG20" s="13">
        <v>0.54049333333333394</v>
      </c>
      <c r="HH20" s="13">
        <v>0.45408649999999962</v>
      </c>
      <c r="HI20" s="13">
        <v>0.48651116666666655</v>
      </c>
      <c r="HJ20" s="13">
        <v>0.46409533333333347</v>
      </c>
      <c r="HK20" s="13">
        <v>0.51177683333333324</v>
      </c>
      <c r="HL20" s="12">
        <v>0</v>
      </c>
      <c r="HM20" s="12">
        <v>0</v>
      </c>
      <c r="HN20" s="12">
        <v>0</v>
      </c>
      <c r="HO20" s="12">
        <v>0</v>
      </c>
      <c r="HP20" s="12">
        <v>0</v>
      </c>
      <c r="HQ20" s="12">
        <v>0</v>
      </c>
      <c r="HR20" s="12">
        <v>0</v>
      </c>
      <c r="HS20" s="12">
        <v>0</v>
      </c>
      <c r="HT20" s="12">
        <v>0</v>
      </c>
      <c r="HU20" s="12">
        <v>0</v>
      </c>
      <c r="HV20" s="12">
        <v>0</v>
      </c>
      <c r="HW20" s="12">
        <v>0</v>
      </c>
      <c r="HX20" s="9">
        <v>909901</v>
      </c>
      <c r="HY20" s="9">
        <v>1692</v>
      </c>
      <c r="HZ20" s="9">
        <v>896697</v>
      </c>
      <c r="IA20" s="9">
        <v>1714</v>
      </c>
      <c r="IB20" s="11">
        <v>111698.342</v>
      </c>
      <c r="IC20" s="11">
        <v>252.13300000000001</v>
      </c>
      <c r="ID20" s="14">
        <f t="shared" ref="ID20:II20" si="142">GN20-HL20</f>
        <v>7.1204748333333354</v>
      </c>
      <c r="IE20" s="14">
        <f t="shared" si="142"/>
        <v>7.1962813333333324</v>
      </c>
      <c r="IF20" s="14">
        <f t="shared" si="142"/>
        <v>7.1566551666666633</v>
      </c>
      <c r="IG20" s="14">
        <f t="shared" si="142"/>
        <v>7.0546703333333367</v>
      </c>
      <c r="IH20" s="14">
        <f t="shared" si="142"/>
        <v>7.1627309999999955</v>
      </c>
      <c r="II20" s="14">
        <f t="shared" si="142"/>
        <v>7.15236566666667</v>
      </c>
      <c r="IJ20" s="15">
        <f t="shared" ref="IJ20:IO20" si="143">GZ20-HR20</f>
        <v>7.442939166666668</v>
      </c>
      <c r="IK20" s="15">
        <f t="shared" si="143"/>
        <v>7.4995889999999994</v>
      </c>
      <c r="IL20" s="15">
        <f t="shared" si="143"/>
        <v>7.3439239999999932</v>
      </c>
      <c r="IM20" s="15">
        <f t="shared" si="143"/>
        <v>7.3777508333333319</v>
      </c>
      <c r="IN20" s="15">
        <f t="shared" si="143"/>
        <v>7.4113421666666648</v>
      </c>
      <c r="IO20" s="15">
        <f t="shared" si="143"/>
        <v>7.3568914999999988</v>
      </c>
      <c r="IP20" s="16">
        <f t="shared" ref="IP20" si="144">(HX20-HX19)*1000</f>
        <v>999000</v>
      </c>
      <c r="IQ20" s="16">
        <f t="shared" ref="IQ20" si="145">(HY20-HY19)*1000</f>
        <v>1000</v>
      </c>
      <c r="IR20" s="16">
        <f t="shared" ref="IR20" si="146">(HZ20-HZ19)*1000</f>
        <v>932000</v>
      </c>
      <c r="IS20" s="16">
        <f t="shared" ref="IS20" si="147">(IA20-IA19)*1000</f>
        <v>2000</v>
      </c>
      <c r="IT20" s="16">
        <f t="shared" ref="IT20" si="148">(IB20-IB19)*1000</f>
        <v>1918533.0000000102</v>
      </c>
      <c r="IU20" s="16">
        <f t="shared" ref="IU20" si="149">(IC20-IC19)*1000</f>
        <v>4533.0000000000155</v>
      </c>
      <c r="IV20" s="17">
        <f t="shared" ref="IV20" si="150">(IP20+IR20)-(IQ20+IS20)</f>
        <v>1928000</v>
      </c>
      <c r="IW20" s="17">
        <f t="shared" ref="IW20" si="151">IT20-IU20</f>
        <v>1914000.0000000102</v>
      </c>
      <c r="IX20" s="19">
        <f>(Raw_Data[[#This Row],[Sunset Time (POA&lt;20 W/m2)]]-Raw_Data[[#This Row],[Sunrise Time (POA&gt;20 W/m2)]])*24</f>
        <v>12.366666666666665</v>
      </c>
      <c r="IY20" s="68">
        <f>AVERAGEIF(Raw_Data[[#This Row],[GHI_UP_Net_IS2_W1]:[GHI_UP_Net_IS19_W6]],"&lt;&gt;"&amp;0,Raw_Data[[#This Row],[GHI_UP_Net_IS2_W1]:[GHI_UP_Net_IS19_W6]])</f>
        <v>7.1405297222222224</v>
      </c>
      <c r="IZ20" s="68">
        <f>AVERAGEIF(Raw_Data[[#This Row],[GHI_Down_IS2_W1]:[GHI_Down_IS19_W6]],"&lt;&gt;"&amp;0,Raw_Data[[#This Row],[GHI_Down_IS2_W1]:[GHI_Down_IS19_W6]])</f>
        <v>1.9711212500000002</v>
      </c>
      <c r="JA20" s="68">
        <f>AVERAGEIF(Raw_Data[[#This Row],[POA_Up_IS2_W1]:[POA_Up_IS19_W6]],"&lt;&gt;"&amp;0,Raw_Data[[#This Row],[POA_Up_IS2_W1]:[POA_Up_IS19_W6]])</f>
        <v>7.4054061111111089</v>
      </c>
      <c r="JB20" s="68">
        <f>AVERAGEIF(Raw_Data[[#This Row],[POA_Down_IS2_W1]:[POA_Down_IS19_W6]],"&lt;&gt;"&amp;0,Raw_Data[[#This Row],[POA_Down_IS2_W1]:[POA_Down_IS19_W6]])</f>
        <v>0.49010866666666658</v>
      </c>
      <c r="JC20" s="69">
        <f>Raw_Data[[#This Row],[GHI-Down(KWh/m2)]]/Raw_Data[[#This Row],[GHI-UP (KWh/m2)]]</f>
        <v>0.27604692182228779</v>
      </c>
      <c r="JD20" s="72">
        <f>Raw_Data[[#This Row],[POA-Down(KWh/m2)]]/Raw_Data[[#This Row],[POA-UP(KWh/m2)]]</f>
        <v>6.6182550870681492E-2</v>
      </c>
      <c r="JE20" s="68">
        <f>AVERAGEIF(Raw_Data[[#This Row],[Amb_Temp_IS2_W1]:[Amb_Temp_IS19_W6]],"&lt;&gt;"&amp;0,Raw_Data[[#This Row],[Amb_Temp_IS2_W1]:[Amb_Temp_IS19_W6]])</f>
        <v>34.092614784205701</v>
      </c>
      <c r="JF20" s="68">
        <f>AVERAGEIF(Raw_Data[[#This Row],[MT_Temp_IS2_W1]:[MT_Temp_IS19_W6]],"&lt;&gt;"&amp;0,Raw_Data[[#This Row],[MT_Temp_IS2_W1]:[MT_Temp_IS19_W6]])</f>
        <v>47.966666666666669</v>
      </c>
      <c r="JG20" s="68">
        <f>AVERAGEIF(Raw_Data[[#This Row],[WS_Avg_IS2_W1]:[WS_Avg_IS19_W6]],"&lt;&gt;"&amp;0,Raw_Data[[#This Row],[WS_Avg_IS2_W1]:[WS_Avg_IS19_W6]])</f>
        <v>4.9074779869811751</v>
      </c>
      <c r="JH20" s="68">
        <f>AVERAGEIF(Raw_Data[[#This Row],[WS_Max_IS2_W1]:[WS_Max_IS19_W6]],"&lt;&gt;"&amp;0,Raw_Data[[#This Row],[WS_Max_IS2_W1]:[WS_Max_IS19_W6]])</f>
        <v>9.0358328333333322</v>
      </c>
      <c r="JI20" s="70">
        <f>SUM(Raw_Data[[#This Row],[IS1_INV1_M1]:[IS20_INV4_M2]])</f>
        <v>1931231.100000001</v>
      </c>
      <c r="JJ20" s="73">
        <v>1932193.2499999851</v>
      </c>
      <c r="JK20" s="71">
        <v>2416992.9869403606</v>
      </c>
      <c r="JL20" s="143">
        <f>IFERROR(Raw_Data[[#This Row],[WPR_Eac]]/Raw_Data[[#This Row],[WPR_Edc]],"")</f>
        <v>0.79942029639313228</v>
      </c>
      <c r="JM20" s="6">
        <v>31</v>
      </c>
      <c r="JN20" s="6">
        <v>0</v>
      </c>
    </row>
    <row r="21" spans="2:274">
      <c r="B21" s="67">
        <f t="shared" si="21"/>
        <v>45760</v>
      </c>
      <c r="C21" s="9">
        <f>YEAR(Raw_Data[[#This Row],[Date]])+IF(MONTH(Raw_Data[[#This Row],[Date]])&gt;=4,1,0)</f>
        <v>2026</v>
      </c>
      <c r="D21" s="6">
        <f t="shared" ref="D21:D26" si="152">YEAR(B21)</f>
        <v>2025</v>
      </c>
      <c r="E21" s="7" t="s">
        <v>361</v>
      </c>
      <c r="F21" s="7" t="s">
        <v>361</v>
      </c>
      <c r="G21" s="8">
        <v>45748</v>
      </c>
      <c r="H21" s="6">
        <f t="shared" ref="H21:H26" si="153">DAY(EOMONTH(B21,0))</f>
        <v>30</v>
      </c>
      <c r="I21" s="9">
        <v>335090.89</v>
      </c>
      <c r="J21" s="10">
        <v>0.27777777777777779</v>
      </c>
      <c r="K21" s="10">
        <v>0.79583333333333328</v>
      </c>
      <c r="L21" s="9">
        <v>12283.4</v>
      </c>
      <c r="M21" s="9">
        <v>12765.9</v>
      </c>
      <c r="N21" s="9">
        <v>12689.7</v>
      </c>
      <c r="O21" s="9">
        <v>12691</v>
      </c>
      <c r="P21" s="9">
        <v>12767</v>
      </c>
      <c r="Q21" s="9">
        <v>12789.1</v>
      </c>
      <c r="R21" s="9">
        <v>12691.4</v>
      </c>
      <c r="S21" s="9">
        <v>12979.5</v>
      </c>
      <c r="T21" s="9">
        <v>12697.1</v>
      </c>
      <c r="U21" s="9">
        <v>12626.7</v>
      </c>
      <c r="V21" s="9">
        <v>12582.8</v>
      </c>
      <c r="W21" s="9">
        <v>12668.4</v>
      </c>
      <c r="X21" s="9">
        <v>12745.5</v>
      </c>
      <c r="Y21" s="9">
        <v>12669.6</v>
      </c>
      <c r="Z21" s="9">
        <v>12689.6</v>
      </c>
      <c r="AA21" s="9">
        <v>12837.3</v>
      </c>
      <c r="AB21" s="9">
        <v>12637.8</v>
      </c>
      <c r="AC21" s="9">
        <v>12754.5</v>
      </c>
      <c r="AD21" s="9">
        <v>12778.2</v>
      </c>
      <c r="AE21" s="9">
        <v>12834.6</v>
      </c>
      <c r="AF21" s="9">
        <v>12768.7</v>
      </c>
      <c r="AG21" s="9">
        <v>12785.3</v>
      </c>
      <c r="AH21" s="9">
        <v>12614.6</v>
      </c>
      <c r="AI21" s="9">
        <v>12710.1</v>
      </c>
      <c r="AJ21" s="9">
        <v>12561.3</v>
      </c>
      <c r="AK21" s="9">
        <v>11125</v>
      </c>
      <c r="AL21" s="9">
        <v>12569</v>
      </c>
      <c r="AM21" s="9">
        <v>12535</v>
      </c>
      <c r="AN21" s="9">
        <v>12787</v>
      </c>
      <c r="AO21" s="9">
        <v>12603.5</v>
      </c>
      <c r="AP21" s="9">
        <v>12627.2</v>
      </c>
      <c r="AQ21" s="9">
        <v>12810.5</v>
      </c>
      <c r="AR21" s="9">
        <v>12818.5</v>
      </c>
      <c r="AS21" s="9">
        <v>12921.2</v>
      </c>
      <c r="AT21" s="9">
        <v>13017</v>
      </c>
      <c r="AU21" s="9">
        <v>12923.2</v>
      </c>
      <c r="AV21" s="9">
        <v>12883.2</v>
      </c>
      <c r="AW21" s="9">
        <v>12727.2</v>
      </c>
      <c r="AX21" s="9">
        <v>12713.9</v>
      </c>
      <c r="AY21" s="9">
        <v>12692.6</v>
      </c>
      <c r="AZ21" s="9">
        <v>13492.2</v>
      </c>
      <c r="BA21" s="9">
        <v>12559.5</v>
      </c>
      <c r="BB21" s="9">
        <v>13373.8</v>
      </c>
      <c r="BC21" s="9">
        <v>12378.2</v>
      </c>
      <c r="BD21" s="9">
        <v>12790.6</v>
      </c>
      <c r="BE21" s="9">
        <v>13702.3</v>
      </c>
      <c r="BF21" s="9">
        <v>12218.6</v>
      </c>
      <c r="BG21" s="9">
        <v>13481.1</v>
      </c>
      <c r="BH21" s="9">
        <v>12735.6</v>
      </c>
      <c r="BI21" s="9">
        <v>12924.8</v>
      </c>
      <c r="BJ21" s="9">
        <v>12852.3</v>
      </c>
      <c r="BK21" s="9">
        <v>12249</v>
      </c>
      <c r="BL21" s="9">
        <v>13131.3</v>
      </c>
      <c r="BM21" s="9">
        <v>12835.7</v>
      </c>
      <c r="BN21" s="9">
        <v>13109.6</v>
      </c>
      <c r="BO21" s="9">
        <v>12841.2</v>
      </c>
      <c r="BP21" s="9">
        <v>11828</v>
      </c>
      <c r="BQ21" s="9">
        <v>13230.9</v>
      </c>
      <c r="BR21" s="9">
        <v>11892.5</v>
      </c>
      <c r="BS21" s="9">
        <v>13253.5</v>
      </c>
      <c r="BT21" s="9">
        <v>13152.9</v>
      </c>
      <c r="BU21" s="9">
        <v>11883.7</v>
      </c>
      <c r="BV21" s="9">
        <v>12782.2</v>
      </c>
      <c r="BW21" s="9">
        <v>12277</v>
      </c>
      <c r="BX21" s="9">
        <v>12535.8</v>
      </c>
      <c r="BY21" s="9">
        <v>11935.9</v>
      </c>
      <c r="BZ21" s="9">
        <v>12556.8</v>
      </c>
      <c r="CA21" s="9">
        <v>12948.8</v>
      </c>
      <c r="CB21" s="9">
        <v>13184.1</v>
      </c>
      <c r="CC21" s="9">
        <v>12172.3</v>
      </c>
      <c r="CD21" s="9">
        <v>13056.4</v>
      </c>
      <c r="CE21" s="9">
        <v>11704.8</v>
      </c>
      <c r="CF21" s="9">
        <v>12759.4</v>
      </c>
      <c r="CG21" s="9">
        <v>12617.8</v>
      </c>
      <c r="CH21" s="9">
        <v>11988.9</v>
      </c>
      <c r="CI21" s="9">
        <v>13033.5</v>
      </c>
      <c r="CJ21" s="9">
        <v>11792.7</v>
      </c>
      <c r="CK21" s="9">
        <v>13228.8</v>
      </c>
      <c r="CL21" s="9">
        <v>11937.7</v>
      </c>
      <c r="CM21" s="9">
        <v>13012.6</v>
      </c>
      <c r="CN21" s="9">
        <v>12269.2</v>
      </c>
      <c r="CO21" s="9">
        <v>12999.3</v>
      </c>
      <c r="CP21" s="9">
        <v>12346.8</v>
      </c>
      <c r="CQ21" s="9">
        <v>13313.7</v>
      </c>
      <c r="CR21" s="9">
        <v>12247</v>
      </c>
      <c r="CS21" s="9">
        <v>12856.9</v>
      </c>
      <c r="CT21" s="9">
        <v>12135.1</v>
      </c>
      <c r="CU21" s="9">
        <v>10767.4</v>
      </c>
      <c r="CV21" s="9">
        <v>12892.6</v>
      </c>
      <c r="CW21" s="9">
        <v>12659.2</v>
      </c>
      <c r="CX21" s="9">
        <v>11879.3</v>
      </c>
      <c r="CY21" s="9">
        <v>13281.7</v>
      </c>
      <c r="CZ21" s="9">
        <v>12984.6</v>
      </c>
      <c r="DA21" s="9">
        <v>12160.4</v>
      </c>
      <c r="DB21" s="9">
        <v>11989.3</v>
      </c>
      <c r="DC21" s="9">
        <v>13041.8</v>
      </c>
      <c r="DD21" s="9">
        <v>11842.5</v>
      </c>
      <c r="DE21" s="9">
        <v>12420</v>
      </c>
      <c r="DF21" s="9">
        <v>13200.9</v>
      </c>
      <c r="DG21" s="9">
        <v>12015.9</v>
      </c>
      <c r="DH21" s="9">
        <v>13238.8</v>
      </c>
      <c r="DI21" s="9">
        <v>11973.9</v>
      </c>
      <c r="DJ21" s="9">
        <v>13034.8</v>
      </c>
      <c r="DK21" s="9">
        <v>12195.5</v>
      </c>
      <c r="DL21" s="9">
        <v>13072</v>
      </c>
      <c r="DM21" s="9">
        <v>11554.5</v>
      </c>
      <c r="DN21" s="9">
        <v>13152.6</v>
      </c>
      <c r="DO21" s="9">
        <v>12174</v>
      </c>
      <c r="DP21" s="9">
        <v>13020</v>
      </c>
      <c r="DQ21" s="9">
        <v>12067.4</v>
      </c>
      <c r="DR21" s="9">
        <v>13038.2</v>
      </c>
      <c r="DS21" s="9">
        <v>12332</v>
      </c>
      <c r="DT21" s="9">
        <v>12016.3</v>
      </c>
      <c r="DU21" s="9">
        <v>12961.2</v>
      </c>
      <c r="DV21" s="9">
        <v>12188.1</v>
      </c>
      <c r="DW21" s="9">
        <v>11892</v>
      </c>
      <c r="DX21" s="9">
        <v>13027.3</v>
      </c>
      <c r="DY21" s="9">
        <v>13198.4</v>
      </c>
      <c r="DZ21" s="9">
        <v>12982.8</v>
      </c>
      <c r="EA21" s="9">
        <v>12159.1</v>
      </c>
      <c r="EB21" s="9">
        <v>13121.9</v>
      </c>
      <c r="EC21" s="9">
        <v>12017.2</v>
      </c>
      <c r="ED21" s="9">
        <v>12832</v>
      </c>
      <c r="EE21" s="9">
        <v>12177.1</v>
      </c>
      <c r="EF21" s="9">
        <v>12669.8</v>
      </c>
      <c r="EG21" s="9">
        <v>11240.9</v>
      </c>
      <c r="EH21" s="9">
        <v>12904.6</v>
      </c>
      <c r="EI21" s="9">
        <v>12019</v>
      </c>
      <c r="EJ21" s="9">
        <v>12018.3</v>
      </c>
      <c r="EK21" s="9">
        <v>11950.6</v>
      </c>
      <c r="EL21" s="9">
        <v>11885.1</v>
      </c>
      <c r="EM21" s="9">
        <v>10250.6</v>
      </c>
      <c r="EN21" s="9">
        <v>11694.5</v>
      </c>
      <c r="EO21" s="9">
        <v>10322.200000000001</v>
      </c>
      <c r="EP21" s="9">
        <v>11647.1</v>
      </c>
      <c r="EQ21" s="9">
        <v>11733.7</v>
      </c>
      <c r="ER21" s="9">
        <v>13526.1</v>
      </c>
      <c r="ES21" s="9">
        <v>12231.4</v>
      </c>
      <c r="ET21" s="9">
        <v>13582.7</v>
      </c>
      <c r="EU21" s="9">
        <v>12505</v>
      </c>
      <c r="EV21" s="9">
        <v>13423.8</v>
      </c>
      <c r="EW21" s="9">
        <v>12203.3</v>
      </c>
      <c r="EX21" s="9">
        <v>12407.5</v>
      </c>
      <c r="EY21" s="9">
        <v>12097.6</v>
      </c>
      <c r="EZ21" s="9">
        <v>13301.3</v>
      </c>
      <c r="FA21" s="9">
        <v>13639.1</v>
      </c>
      <c r="FB21" s="9">
        <v>13537.4</v>
      </c>
      <c r="FC21" s="9">
        <v>13451.7</v>
      </c>
      <c r="FD21" s="9">
        <v>13469.2</v>
      </c>
      <c r="FE21" s="9">
        <v>13490.6</v>
      </c>
      <c r="FF21" s="9">
        <v>12618</v>
      </c>
      <c r="FG21" s="9">
        <v>13521.8</v>
      </c>
      <c r="FH21" s="9">
        <v>13571</v>
      </c>
      <c r="FI21" s="9">
        <v>13574.9</v>
      </c>
      <c r="FJ21" s="9">
        <v>13591.4</v>
      </c>
      <c r="FK21" s="9">
        <v>13559.4</v>
      </c>
      <c r="FL21" s="9">
        <v>13615.6</v>
      </c>
      <c r="FM21" s="9">
        <v>12619.9</v>
      </c>
      <c r="FN21" s="9">
        <v>13633.9</v>
      </c>
      <c r="FO21" s="9">
        <v>12646.9</v>
      </c>
      <c r="FP21" s="11">
        <v>36.549999999999997</v>
      </c>
      <c r="FQ21" s="11">
        <v>36.11</v>
      </c>
      <c r="FR21" s="11">
        <v>36.5</v>
      </c>
      <c r="FS21" s="11">
        <v>36.590000000000003</v>
      </c>
      <c r="FT21" s="11">
        <v>36.44</v>
      </c>
      <c r="FU21" s="11">
        <v>36.39</v>
      </c>
      <c r="FV21" s="11">
        <v>0</v>
      </c>
      <c r="FW21" s="11">
        <v>51.13</v>
      </c>
      <c r="FX21" s="11">
        <v>0</v>
      </c>
      <c r="FY21" s="11">
        <v>0</v>
      </c>
      <c r="FZ21" s="11">
        <v>51.1</v>
      </c>
      <c r="GA21" s="11">
        <v>51.3</v>
      </c>
      <c r="GB21" s="11">
        <v>3.76</v>
      </c>
      <c r="GC21" s="11">
        <v>3.45</v>
      </c>
      <c r="GD21" s="11">
        <v>3.58</v>
      </c>
      <c r="GE21" s="11">
        <v>1.95</v>
      </c>
      <c r="GF21" s="11">
        <v>3.79</v>
      </c>
      <c r="GG21" s="11">
        <v>3.59</v>
      </c>
      <c r="GH21" s="11">
        <v>8.19</v>
      </c>
      <c r="GI21" s="11">
        <v>8.16</v>
      </c>
      <c r="GJ21" s="11">
        <v>8</v>
      </c>
      <c r="GK21" s="11">
        <v>8.1999999999999993</v>
      </c>
      <c r="GL21" s="11">
        <v>7.97</v>
      </c>
      <c r="GM21" s="11">
        <v>7.17</v>
      </c>
      <c r="GN21" s="11">
        <v>7.31</v>
      </c>
      <c r="GO21" s="11">
        <v>7.36</v>
      </c>
      <c r="GP21" s="11">
        <v>7.34</v>
      </c>
      <c r="GQ21" s="11">
        <v>7.26</v>
      </c>
      <c r="GR21" s="11">
        <v>7.39</v>
      </c>
      <c r="GS21" s="11">
        <v>7.41</v>
      </c>
      <c r="GT21" s="108">
        <v>1.9</v>
      </c>
      <c r="GU21" s="108">
        <v>1.99</v>
      </c>
      <c r="GV21" s="108">
        <v>1.77</v>
      </c>
      <c r="GW21" s="108">
        <v>2.35</v>
      </c>
      <c r="GX21" s="108">
        <v>2.2000000000000002</v>
      </c>
      <c r="GY21" s="108">
        <v>1.92</v>
      </c>
      <c r="GZ21" s="13">
        <v>7.62</v>
      </c>
      <c r="HA21" s="13">
        <v>7.68</v>
      </c>
      <c r="HB21" s="13">
        <v>7.52</v>
      </c>
      <c r="HC21" s="13">
        <v>7.59</v>
      </c>
      <c r="HD21" s="13">
        <v>7.63</v>
      </c>
      <c r="HE21" s="13">
        <v>7.61</v>
      </c>
      <c r="HF21" s="13">
        <v>0.48</v>
      </c>
      <c r="HG21" s="13">
        <v>0.53</v>
      </c>
      <c r="HH21" s="13">
        <v>0.45</v>
      </c>
      <c r="HI21" s="13">
        <v>0.48</v>
      </c>
      <c r="HJ21" s="13">
        <v>0.46</v>
      </c>
      <c r="HK21" s="13">
        <v>0.51</v>
      </c>
      <c r="HL21" s="12">
        <v>0</v>
      </c>
      <c r="HM21" s="12">
        <v>0</v>
      </c>
      <c r="HN21" s="12">
        <v>0</v>
      </c>
      <c r="HO21" s="12">
        <v>0</v>
      </c>
      <c r="HP21" s="12">
        <v>0</v>
      </c>
      <c r="HQ21" s="12">
        <v>0</v>
      </c>
      <c r="HR21" s="12">
        <v>0</v>
      </c>
      <c r="HS21" s="12">
        <v>0</v>
      </c>
      <c r="HT21" s="12">
        <v>0</v>
      </c>
      <c r="HU21" s="12">
        <v>0</v>
      </c>
      <c r="HV21" s="12">
        <v>0</v>
      </c>
      <c r="HW21" s="12">
        <v>0</v>
      </c>
      <c r="HX21" s="9">
        <v>910907</v>
      </c>
      <c r="HY21" s="9">
        <v>1693</v>
      </c>
      <c r="HZ21" s="9">
        <v>897690</v>
      </c>
      <c r="IA21" s="9">
        <v>1715</v>
      </c>
      <c r="IB21" s="11">
        <v>113706.14200000001</v>
      </c>
      <c r="IC21" s="11">
        <v>256.60000000000002</v>
      </c>
      <c r="ID21" s="14">
        <f t="shared" ref="ID21:II21" si="154">GN21-HL21</f>
        <v>7.31</v>
      </c>
      <c r="IE21" s="14">
        <f t="shared" si="154"/>
        <v>7.36</v>
      </c>
      <c r="IF21" s="14">
        <f t="shared" si="154"/>
        <v>7.34</v>
      </c>
      <c r="IG21" s="14">
        <f t="shared" si="154"/>
        <v>7.26</v>
      </c>
      <c r="IH21" s="14">
        <f t="shared" si="154"/>
        <v>7.39</v>
      </c>
      <c r="II21" s="14">
        <f t="shared" si="154"/>
        <v>7.41</v>
      </c>
      <c r="IJ21" s="15">
        <f t="shared" ref="IJ21:IO21" si="155">GZ21-HR21</f>
        <v>7.62</v>
      </c>
      <c r="IK21" s="15">
        <f t="shared" si="155"/>
        <v>7.68</v>
      </c>
      <c r="IL21" s="15">
        <f t="shared" si="155"/>
        <v>7.52</v>
      </c>
      <c r="IM21" s="15">
        <f t="shared" si="155"/>
        <v>7.59</v>
      </c>
      <c r="IN21" s="15">
        <f t="shared" si="155"/>
        <v>7.63</v>
      </c>
      <c r="IO21" s="15">
        <f t="shared" si="155"/>
        <v>7.61</v>
      </c>
      <c r="IP21" s="16">
        <f t="shared" ref="IP21" si="156">(HX21-HX20)*1000</f>
        <v>1006000</v>
      </c>
      <c r="IQ21" s="16">
        <f t="shared" ref="IQ21" si="157">(HY21-HY20)*1000</f>
        <v>1000</v>
      </c>
      <c r="IR21" s="16">
        <f t="shared" ref="IR21" si="158">(HZ21-HZ20)*1000</f>
        <v>993000</v>
      </c>
      <c r="IS21" s="16">
        <f t="shared" ref="IS21" si="159">(IA21-IA20)*1000</f>
        <v>1000</v>
      </c>
      <c r="IT21" s="16">
        <f t="shared" ref="IT21" si="160">(IB21-IB20)*1000</f>
        <v>2007800.0000000028</v>
      </c>
      <c r="IU21" s="16">
        <f t="shared" ref="IU21" si="161">(IC21-IC20)*1000</f>
        <v>4467.0000000000127</v>
      </c>
      <c r="IV21" s="17">
        <f t="shared" ref="IV21" si="162">(IP21+IR21)-(IQ21+IS21)</f>
        <v>1997000</v>
      </c>
      <c r="IW21" s="17">
        <f t="shared" ref="IW21" si="163">IT21-IU21</f>
        <v>2003333.0000000028</v>
      </c>
      <c r="IX21" s="19">
        <f>(Raw_Data[[#This Row],[Sunset Time (POA&lt;20 W/m2)]]-Raw_Data[[#This Row],[Sunrise Time (POA&gt;20 W/m2)]])*24</f>
        <v>12.433333333333332</v>
      </c>
      <c r="IY21" s="68">
        <f>AVERAGEIF(Raw_Data[[#This Row],[GHI_UP_Net_IS2_W1]:[GHI_UP_Net_IS19_W6]],"&lt;&gt;"&amp;0,Raw_Data[[#This Row],[GHI_UP_Net_IS2_W1]:[GHI_UP_Net_IS19_W6]])</f>
        <v>7.3449999999999989</v>
      </c>
      <c r="IZ21" s="68">
        <f>AVERAGEIF(Raw_Data[[#This Row],[GHI_Down_IS2_W1]:[GHI_Down_IS19_W6]],"&lt;&gt;"&amp;0,Raw_Data[[#This Row],[GHI_Down_IS2_W1]:[GHI_Down_IS19_W6]])</f>
        <v>2.0216666666666669</v>
      </c>
      <c r="JA21" s="68">
        <f>AVERAGEIF(Raw_Data[[#This Row],[POA_Up_IS2_W1]:[POA_Up_IS19_W6]],"&lt;&gt;"&amp;0,Raw_Data[[#This Row],[POA_Up_IS2_W1]:[POA_Up_IS19_W6]])</f>
        <v>7.6083333333333334</v>
      </c>
      <c r="JB21" s="68">
        <f>AVERAGEIF(Raw_Data[[#This Row],[POA_Down_IS2_W1]:[POA_Down_IS19_W6]],"&lt;&gt;"&amp;0,Raw_Data[[#This Row],[POA_Down_IS2_W1]:[POA_Down_IS19_W6]])</f>
        <v>0.48500000000000004</v>
      </c>
      <c r="JC21" s="69">
        <f>Raw_Data[[#This Row],[GHI-Down(KWh/m2)]]/Raw_Data[[#This Row],[GHI-UP (KWh/m2)]]</f>
        <v>0.27524393011118681</v>
      </c>
      <c r="JD21" s="72">
        <f>Raw_Data[[#This Row],[POA-Down(KWh/m2)]]/Raw_Data[[#This Row],[POA-UP(KWh/m2)]]</f>
        <v>6.3745892661555323E-2</v>
      </c>
      <c r="JE21" s="68">
        <f>AVERAGEIF(Raw_Data[[#This Row],[Amb_Temp_IS2_W1]:[Amb_Temp_IS19_W6]],"&lt;&gt;"&amp;0,Raw_Data[[#This Row],[Amb_Temp_IS2_W1]:[Amb_Temp_IS19_W6]])</f>
        <v>36.43</v>
      </c>
      <c r="JF21" s="68">
        <f>AVERAGEIF(Raw_Data[[#This Row],[MT_Temp_IS2_W1]:[MT_Temp_IS19_W6]],"&lt;&gt;"&amp;0,Raw_Data[[#This Row],[MT_Temp_IS2_W1]:[MT_Temp_IS19_W6]])</f>
        <v>51.176666666666669</v>
      </c>
      <c r="JG21" s="68">
        <f>AVERAGEIF(Raw_Data[[#This Row],[WS_Avg_IS2_W1]:[WS_Avg_IS19_W6]],"&lt;&gt;"&amp;0,Raw_Data[[#This Row],[WS_Avg_IS2_W1]:[WS_Avg_IS19_W6]])</f>
        <v>3.3533333333333331</v>
      </c>
      <c r="JH21" s="68">
        <f>AVERAGEIF(Raw_Data[[#This Row],[WS_Max_IS2_W1]:[WS_Max_IS19_W6]],"&lt;&gt;"&amp;0,Raw_Data[[#This Row],[WS_Max_IS2_W1]:[WS_Max_IS19_W6]])</f>
        <v>7.9483333333333333</v>
      </c>
      <c r="JI21" s="70">
        <f>SUM(Raw_Data[[#This Row],[IS1_INV1_M1]:[IS20_INV4_M2]])</f>
        <v>2021702.5000000002</v>
      </c>
      <c r="JJ21" s="73">
        <v>1974466.9999999898</v>
      </c>
      <c r="JK21" s="71">
        <v>2429273.7099342733</v>
      </c>
      <c r="JL21" s="143">
        <f>IFERROR(Raw_Data[[#This Row],[WPR_Eac]]/Raw_Data[[#This Row],[WPR_Edc]],"")</f>
        <v>0.81278078790611508</v>
      </c>
      <c r="JM21" s="6">
        <v>27</v>
      </c>
      <c r="JN21" s="6">
        <v>0</v>
      </c>
    </row>
    <row r="22" spans="2:274">
      <c r="B22" s="67">
        <f t="shared" si="21"/>
        <v>45761</v>
      </c>
      <c r="C22" s="9">
        <f>YEAR(Raw_Data[[#This Row],[Date]])+IF(MONTH(Raw_Data[[#This Row],[Date]])&gt;=4,1,0)</f>
        <v>2026</v>
      </c>
      <c r="D22" s="6">
        <f t="shared" si="152"/>
        <v>2025</v>
      </c>
      <c r="E22" s="7" t="s">
        <v>361</v>
      </c>
      <c r="F22" s="7" t="s">
        <v>361</v>
      </c>
      <c r="G22" s="8">
        <v>45748</v>
      </c>
      <c r="H22" s="6">
        <f t="shared" si="153"/>
        <v>30</v>
      </c>
      <c r="I22" s="9">
        <v>335090.89</v>
      </c>
      <c r="J22" s="10">
        <v>0.27638888888888891</v>
      </c>
      <c r="K22" s="10">
        <v>0.79583333333333328</v>
      </c>
      <c r="L22" s="9">
        <v>4209.3</v>
      </c>
      <c r="M22" s="9">
        <v>4402.2</v>
      </c>
      <c r="N22" s="9">
        <v>4385.8</v>
      </c>
      <c r="O22" s="9">
        <v>4405.2</v>
      </c>
      <c r="P22" s="9">
        <v>4407.8</v>
      </c>
      <c r="Q22" s="9">
        <v>4411.1000000000004</v>
      </c>
      <c r="R22" s="9">
        <v>4335.6000000000004</v>
      </c>
      <c r="S22" s="9">
        <v>4491.8999999999996</v>
      </c>
      <c r="T22" s="9">
        <v>4390.5</v>
      </c>
      <c r="U22" s="9">
        <v>4363.6000000000004</v>
      </c>
      <c r="V22" s="9">
        <v>4317.7</v>
      </c>
      <c r="W22" s="9">
        <v>4350.2</v>
      </c>
      <c r="X22" s="9">
        <v>4407</v>
      </c>
      <c r="Y22" s="9">
        <v>4357.6000000000004</v>
      </c>
      <c r="Z22" s="9">
        <v>4373.6000000000004</v>
      </c>
      <c r="AA22" s="9">
        <v>4466.7</v>
      </c>
      <c r="AB22" s="9">
        <v>4328</v>
      </c>
      <c r="AC22" s="9">
        <v>4380.5</v>
      </c>
      <c r="AD22" s="9">
        <v>4395.8999999999996</v>
      </c>
      <c r="AE22" s="9">
        <v>4402.5</v>
      </c>
      <c r="AF22" s="9">
        <v>4397.2</v>
      </c>
      <c r="AG22" s="9">
        <v>4393.8</v>
      </c>
      <c r="AH22" s="9">
        <v>4319.3</v>
      </c>
      <c r="AI22" s="9">
        <v>4361.7</v>
      </c>
      <c r="AJ22" s="9">
        <v>4298</v>
      </c>
      <c r="AK22" s="9">
        <v>3747.4</v>
      </c>
      <c r="AL22" s="9">
        <v>4295</v>
      </c>
      <c r="AM22" s="9">
        <v>4271.8999999999996</v>
      </c>
      <c r="AN22" s="9">
        <v>4405.7</v>
      </c>
      <c r="AO22" s="9">
        <v>4310.3</v>
      </c>
      <c r="AP22" s="9">
        <v>4339.7</v>
      </c>
      <c r="AQ22" s="9">
        <v>4436.1000000000004</v>
      </c>
      <c r="AR22" s="9">
        <v>4374.3999999999996</v>
      </c>
      <c r="AS22" s="9">
        <v>4450.8999999999996</v>
      </c>
      <c r="AT22" s="9">
        <v>4484.1000000000004</v>
      </c>
      <c r="AU22" s="9">
        <v>4427.6000000000004</v>
      </c>
      <c r="AV22" s="9">
        <v>4477.8999999999996</v>
      </c>
      <c r="AW22" s="9">
        <v>4393.5</v>
      </c>
      <c r="AX22" s="9">
        <v>4397.8999999999996</v>
      </c>
      <c r="AY22" s="9">
        <v>4388.8999999999996</v>
      </c>
      <c r="AZ22" s="9">
        <v>4830.5</v>
      </c>
      <c r="BA22" s="9">
        <v>4303.3999999999996</v>
      </c>
      <c r="BB22" s="9">
        <v>4757.8999999999996</v>
      </c>
      <c r="BC22" s="9">
        <v>4230.3</v>
      </c>
      <c r="BD22" s="9">
        <v>4421.3999999999996</v>
      </c>
      <c r="BE22" s="9">
        <v>4952.3999999999996</v>
      </c>
      <c r="BF22" s="9">
        <v>4145.5</v>
      </c>
      <c r="BG22" s="9">
        <v>4842.8</v>
      </c>
      <c r="BH22" s="9">
        <v>4092.6</v>
      </c>
      <c r="BI22" s="9">
        <v>4186.3</v>
      </c>
      <c r="BJ22" s="9">
        <v>4155.5</v>
      </c>
      <c r="BK22" s="9">
        <v>3896.3</v>
      </c>
      <c r="BL22" s="9">
        <v>4300.7</v>
      </c>
      <c r="BM22" s="9">
        <v>4137.8</v>
      </c>
      <c r="BN22" s="9">
        <v>4298.7</v>
      </c>
      <c r="BO22" s="9">
        <v>4146</v>
      </c>
      <c r="BP22" s="9">
        <v>3991.2</v>
      </c>
      <c r="BQ22" s="9">
        <v>4619.3999999999996</v>
      </c>
      <c r="BR22" s="9">
        <v>4017</v>
      </c>
      <c r="BS22" s="9">
        <v>4635.8</v>
      </c>
      <c r="BT22" s="9">
        <v>4586.3</v>
      </c>
      <c r="BU22" s="9">
        <v>4018</v>
      </c>
      <c r="BV22" s="9">
        <v>4345.7</v>
      </c>
      <c r="BW22" s="9">
        <v>4102.3</v>
      </c>
      <c r="BX22" s="9">
        <v>4308.7</v>
      </c>
      <c r="BY22" s="9">
        <v>4075</v>
      </c>
      <c r="BZ22" s="9">
        <v>4316.3999999999996</v>
      </c>
      <c r="CA22" s="9">
        <v>4529.3</v>
      </c>
      <c r="CB22" s="9">
        <v>4641.5</v>
      </c>
      <c r="CC22" s="9">
        <v>4144</v>
      </c>
      <c r="CD22" s="9">
        <v>4572.7</v>
      </c>
      <c r="CE22" s="9">
        <v>3990.5</v>
      </c>
      <c r="CF22" s="9">
        <v>4436.8</v>
      </c>
      <c r="CG22" s="9">
        <v>4340.6000000000004</v>
      </c>
      <c r="CH22" s="9">
        <v>4086.1</v>
      </c>
      <c r="CI22" s="9">
        <v>4580.6000000000004</v>
      </c>
      <c r="CJ22" s="9">
        <v>4021.5</v>
      </c>
      <c r="CK22" s="9">
        <v>4674.3999999999996</v>
      </c>
      <c r="CL22" s="9">
        <v>4058.5</v>
      </c>
      <c r="CM22" s="9">
        <v>4559.1000000000004</v>
      </c>
      <c r="CN22" s="9">
        <v>4172.2</v>
      </c>
      <c r="CO22" s="9">
        <v>4521.8</v>
      </c>
      <c r="CP22" s="9">
        <v>4217.5</v>
      </c>
      <c r="CQ22" s="9">
        <v>4701.7</v>
      </c>
      <c r="CR22" s="9">
        <v>4171.3999999999996</v>
      </c>
      <c r="CS22" s="9">
        <v>4457.2</v>
      </c>
      <c r="CT22" s="9">
        <v>4128.3</v>
      </c>
      <c r="CU22" s="9">
        <v>3655.5</v>
      </c>
      <c r="CV22" s="9">
        <v>4464.3999999999996</v>
      </c>
      <c r="CW22" s="9">
        <v>4369.2</v>
      </c>
      <c r="CX22" s="9">
        <v>4019.2</v>
      </c>
      <c r="CY22" s="9">
        <v>4660.8999999999996</v>
      </c>
      <c r="CZ22" s="9">
        <v>4500.8999999999996</v>
      </c>
      <c r="DA22" s="9">
        <v>4102.6000000000004</v>
      </c>
      <c r="DB22" s="9">
        <v>4041.2</v>
      </c>
      <c r="DC22" s="9">
        <v>4540.7</v>
      </c>
      <c r="DD22" s="9">
        <v>4008.9</v>
      </c>
      <c r="DE22" s="9">
        <v>4257.3999999999996</v>
      </c>
      <c r="DF22" s="9">
        <v>4657.5</v>
      </c>
      <c r="DG22" s="9">
        <v>4103.6000000000004</v>
      </c>
      <c r="DH22" s="9">
        <v>4672.5</v>
      </c>
      <c r="DI22" s="9">
        <v>4079.9</v>
      </c>
      <c r="DJ22" s="9">
        <v>4557.3</v>
      </c>
      <c r="DK22" s="9">
        <v>4159.1000000000004</v>
      </c>
      <c r="DL22" s="9">
        <v>4604.3</v>
      </c>
      <c r="DM22" s="9">
        <v>3936.6</v>
      </c>
      <c r="DN22" s="9">
        <v>4636.8999999999996</v>
      </c>
      <c r="DO22" s="9">
        <v>4168.2</v>
      </c>
      <c r="DP22" s="9">
        <v>4528.8</v>
      </c>
      <c r="DQ22" s="9">
        <v>4091.1</v>
      </c>
      <c r="DR22" s="9">
        <v>4549.8999999999996</v>
      </c>
      <c r="DS22" s="9">
        <v>4223</v>
      </c>
      <c r="DT22" s="9">
        <v>4104.5</v>
      </c>
      <c r="DU22" s="9">
        <v>4530.6000000000004</v>
      </c>
      <c r="DV22" s="9">
        <v>4154.3999999999996</v>
      </c>
      <c r="DW22" s="9">
        <v>4047.1</v>
      </c>
      <c r="DX22" s="9">
        <v>4562.6000000000004</v>
      </c>
      <c r="DY22" s="9">
        <v>4654</v>
      </c>
      <c r="DZ22" s="9">
        <v>4541.8999999999996</v>
      </c>
      <c r="EA22" s="9">
        <v>4164.2</v>
      </c>
      <c r="EB22" s="9">
        <v>4620.7</v>
      </c>
      <c r="EC22" s="9">
        <v>4099</v>
      </c>
      <c r="ED22" s="9">
        <v>4454.3</v>
      </c>
      <c r="EE22" s="9">
        <v>4152.5</v>
      </c>
      <c r="EF22" s="9">
        <v>4369.1000000000004</v>
      </c>
      <c r="EG22" s="9">
        <v>3832.7</v>
      </c>
      <c r="EH22" s="9">
        <v>4487.8</v>
      </c>
      <c r="EI22" s="9">
        <v>4110.7</v>
      </c>
      <c r="EJ22" s="9">
        <v>4023.9</v>
      </c>
      <c r="EK22" s="9">
        <v>3976</v>
      </c>
      <c r="EL22" s="9">
        <v>3991.5</v>
      </c>
      <c r="EM22" s="9">
        <v>3437.8</v>
      </c>
      <c r="EN22" s="9">
        <v>3899.2</v>
      </c>
      <c r="EO22" s="9">
        <v>3443.5</v>
      </c>
      <c r="EP22" s="9">
        <v>3858.6</v>
      </c>
      <c r="EQ22" s="9">
        <v>3896.7</v>
      </c>
      <c r="ER22" s="9">
        <v>4784.6000000000004</v>
      </c>
      <c r="ES22" s="9">
        <v>4105.3999999999996</v>
      </c>
      <c r="ET22" s="9">
        <v>4819.5</v>
      </c>
      <c r="EU22" s="9">
        <v>4232.8</v>
      </c>
      <c r="EV22" s="9">
        <v>4724</v>
      </c>
      <c r="EW22" s="9">
        <v>4113.2</v>
      </c>
      <c r="EX22" s="9">
        <v>4206.8</v>
      </c>
      <c r="EY22" s="9">
        <v>4051.7</v>
      </c>
      <c r="EZ22" s="9">
        <v>4615.2</v>
      </c>
      <c r="FA22" s="9">
        <v>4812.7</v>
      </c>
      <c r="FB22" s="9">
        <v>4731</v>
      </c>
      <c r="FC22" s="9">
        <v>4699.3</v>
      </c>
      <c r="FD22" s="9">
        <v>4729.7</v>
      </c>
      <c r="FE22" s="9">
        <v>4750.6000000000004</v>
      </c>
      <c r="FF22" s="9">
        <v>4282.8</v>
      </c>
      <c r="FG22" s="9">
        <v>4767.5</v>
      </c>
      <c r="FH22" s="9">
        <v>4786.8</v>
      </c>
      <c r="FI22" s="9">
        <v>4786.2</v>
      </c>
      <c r="FJ22" s="9">
        <v>4816.8</v>
      </c>
      <c r="FK22" s="9">
        <v>4792</v>
      </c>
      <c r="FL22" s="9">
        <v>4805.8</v>
      </c>
      <c r="FM22" s="9">
        <v>4269.2</v>
      </c>
      <c r="FN22" s="9">
        <v>4811.3</v>
      </c>
      <c r="FO22" s="9">
        <v>4275.6000000000004</v>
      </c>
      <c r="FP22" s="11">
        <v>37.909999999999997</v>
      </c>
      <c r="FQ22" s="11">
        <v>37.4</v>
      </c>
      <c r="FR22" s="11">
        <v>38.03</v>
      </c>
      <c r="FS22" s="11">
        <v>38.04</v>
      </c>
      <c r="FT22" s="11">
        <v>37.79</v>
      </c>
      <c r="FU22" s="11">
        <v>37.61</v>
      </c>
      <c r="FV22" s="11">
        <v>0</v>
      </c>
      <c r="FW22" s="11">
        <v>54.69</v>
      </c>
      <c r="FX22" s="11">
        <v>0</v>
      </c>
      <c r="FY22" s="11">
        <v>0</v>
      </c>
      <c r="FZ22" s="11">
        <v>54.5</v>
      </c>
      <c r="GA22" s="11">
        <v>54.68</v>
      </c>
      <c r="GB22" s="11">
        <v>2.74</v>
      </c>
      <c r="GC22" s="11">
        <v>2.29</v>
      </c>
      <c r="GD22" s="11">
        <v>2.74</v>
      </c>
      <c r="GE22" s="11">
        <v>0.79</v>
      </c>
      <c r="GF22" s="11">
        <v>2.14</v>
      </c>
      <c r="GG22" s="11">
        <v>2.48</v>
      </c>
      <c r="GH22" s="11">
        <v>6.69</v>
      </c>
      <c r="GI22" s="11">
        <v>7.1</v>
      </c>
      <c r="GJ22" s="11">
        <v>6.06</v>
      </c>
      <c r="GK22" s="11">
        <v>6.91</v>
      </c>
      <c r="GL22" s="11">
        <v>6.84</v>
      </c>
      <c r="GM22" s="11">
        <v>7.3</v>
      </c>
      <c r="GN22" s="11">
        <v>7.04</v>
      </c>
      <c r="GO22" s="11">
        <v>7.08</v>
      </c>
      <c r="GP22" s="11">
        <v>7.1</v>
      </c>
      <c r="GQ22" s="11">
        <v>7</v>
      </c>
      <c r="GR22" s="11">
        <v>7.13</v>
      </c>
      <c r="GS22" s="11">
        <v>7.15</v>
      </c>
      <c r="GT22" s="108">
        <v>1.84</v>
      </c>
      <c r="GU22" s="108">
        <v>1.93</v>
      </c>
      <c r="GV22" s="108">
        <v>1.72</v>
      </c>
      <c r="GW22" s="108">
        <v>2.2799999999999998</v>
      </c>
      <c r="GX22" s="108">
        <v>2.13</v>
      </c>
      <c r="GY22" s="108">
        <v>1.86</v>
      </c>
      <c r="GZ22" s="13">
        <v>7.32</v>
      </c>
      <c r="HA22" s="13">
        <v>7.38</v>
      </c>
      <c r="HB22" s="13">
        <v>7.26</v>
      </c>
      <c r="HC22" s="13">
        <v>7.3</v>
      </c>
      <c r="HD22" s="13">
        <v>7.33</v>
      </c>
      <c r="HE22" s="13">
        <v>7.32</v>
      </c>
      <c r="HF22" s="13">
        <v>0.48</v>
      </c>
      <c r="HG22" s="13">
        <v>0.53</v>
      </c>
      <c r="HH22" s="13">
        <v>0.45</v>
      </c>
      <c r="HI22" s="13">
        <v>0.48</v>
      </c>
      <c r="HJ22" s="13">
        <v>0.46</v>
      </c>
      <c r="HK22" s="13">
        <v>0.51</v>
      </c>
      <c r="HL22" s="12">
        <v>0</v>
      </c>
      <c r="HM22" s="12">
        <v>0</v>
      </c>
      <c r="HN22" s="12">
        <v>0</v>
      </c>
      <c r="HO22" s="12">
        <v>0</v>
      </c>
      <c r="HP22" s="12">
        <v>0</v>
      </c>
      <c r="HQ22" s="12">
        <v>0</v>
      </c>
      <c r="HR22" s="12">
        <v>0</v>
      </c>
      <c r="HS22" s="12">
        <v>0</v>
      </c>
      <c r="HT22" s="12">
        <v>0</v>
      </c>
      <c r="HU22" s="12">
        <v>0</v>
      </c>
      <c r="HV22" s="12">
        <v>0</v>
      </c>
      <c r="HW22" s="12">
        <v>0</v>
      </c>
      <c r="HX22" s="9">
        <v>911254</v>
      </c>
      <c r="HY22" s="9">
        <v>1695</v>
      </c>
      <c r="HZ22" s="9">
        <v>898036</v>
      </c>
      <c r="IA22" s="9">
        <v>1717</v>
      </c>
      <c r="IB22" s="11">
        <v>114398.14200000001</v>
      </c>
      <c r="IC22" s="11">
        <v>260.733</v>
      </c>
      <c r="ID22" s="14">
        <f t="shared" ref="ID22:II22" si="164">GN22-HL22</f>
        <v>7.04</v>
      </c>
      <c r="IE22" s="14">
        <f t="shared" si="164"/>
        <v>7.08</v>
      </c>
      <c r="IF22" s="14">
        <f t="shared" si="164"/>
        <v>7.1</v>
      </c>
      <c r="IG22" s="14">
        <f t="shared" si="164"/>
        <v>7</v>
      </c>
      <c r="IH22" s="14">
        <f t="shared" si="164"/>
        <v>7.13</v>
      </c>
      <c r="II22" s="14">
        <f t="shared" si="164"/>
        <v>7.15</v>
      </c>
      <c r="IJ22" s="15">
        <f t="shared" ref="IJ22:IO22" si="165">GZ22-HR22</f>
        <v>7.32</v>
      </c>
      <c r="IK22" s="15">
        <f t="shared" si="165"/>
        <v>7.38</v>
      </c>
      <c r="IL22" s="15">
        <f t="shared" si="165"/>
        <v>7.26</v>
      </c>
      <c r="IM22" s="15">
        <f t="shared" si="165"/>
        <v>7.3</v>
      </c>
      <c r="IN22" s="15">
        <f t="shared" si="165"/>
        <v>7.33</v>
      </c>
      <c r="IO22" s="15">
        <f t="shared" si="165"/>
        <v>7.32</v>
      </c>
      <c r="IP22" s="16">
        <f t="shared" ref="IP22" si="166">(HX22-HX21)*1000</f>
        <v>347000</v>
      </c>
      <c r="IQ22" s="16">
        <f t="shared" ref="IQ22" si="167">(HY22-HY21)*1000</f>
        <v>2000</v>
      </c>
      <c r="IR22" s="16">
        <f t="shared" ref="IR22" si="168">(HZ22-HZ21)*1000</f>
        <v>346000</v>
      </c>
      <c r="IS22" s="16">
        <f t="shared" ref="IS22" si="169">(IA22-IA21)*1000</f>
        <v>2000</v>
      </c>
      <c r="IT22" s="16">
        <f t="shared" ref="IT22" si="170">(IB22-IB21)*1000</f>
        <v>692000</v>
      </c>
      <c r="IU22" s="16">
        <f t="shared" ref="IU22" si="171">(IC22-IC21)*1000</f>
        <v>4132.9999999999818</v>
      </c>
      <c r="IV22" s="17">
        <f t="shared" ref="IV22" si="172">(IP22+IR22)-(IQ22+IS22)</f>
        <v>689000</v>
      </c>
      <c r="IW22" s="17">
        <f t="shared" ref="IW22" si="173">IT22-IU22</f>
        <v>687867</v>
      </c>
      <c r="IX22" s="19">
        <f>(Raw_Data[[#This Row],[Sunset Time (POA&lt;20 W/m2)]]-Raw_Data[[#This Row],[Sunrise Time (POA&gt;20 W/m2)]])*24</f>
        <v>12.466666666666665</v>
      </c>
      <c r="IY22" s="68">
        <f>AVERAGEIF(Raw_Data[[#This Row],[GHI_UP_Net_IS2_W1]:[GHI_UP_Net_IS19_W6]],"&lt;&gt;"&amp;0,Raw_Data[[#This Row],[GHI_UP_Net_IS2_W1]:[GHI_UP_Net_IS19_W6]])</f>
        <v>7.083333333333333</v>
      </c>
      <c r="IZ22" s="68">
        <f>AVERAGEIF(Raw_Data[[#This Row],[GHI_Down_IS2_W1]:[GHI_Down_IS19_W6]],"&lt;&gt;"&amp;0,Raw_Data[[#This Row],[GHI_Down_IS2_W1]:[GHI_Down_IS19_W6]])</f>
        <v>1.9599999999999997</v>
      </c>
      <c r="JA22" s="68">
        <f>AVERAGEIF(Raw_Data[[#This Row],[POA_Up_IS2_W1]:[POA_Up_IS19_W6]],"&lt;&gt;"&amp;0,Raw_Data[[#This Row],[POA_Up_IS2_W1]:[POA_Up_IS19_W6]])</f>
        <v>7.3183333333333342</v>
      </c>
      <c r="JB22" s="68">
        <f>AVERAGEIF(Raw_Data[[#This Row],[POA_Down_IS2_W1]:[POA_Down_IS19_W6]],"&lt;&gt;"&amp;0,Raw_Data[[#This Row],[POA_Down_IS2_W1]:[POA_Down_IS19_W6]])</f>
        <v>0.48500000000000004</v>
      </c>
      <c r="JC22" s="69">
        <f>Raw_Data[[#This Row],[GHI-Down(KWh/m2)]]/Raw_Data[[#This Row],[GHI-UP (KWh/m2)]]</f>
        <v>0.27670588235294113</v>
      </c>
      <c r="JD22" s="72">
        <f>Raw_Data[[#This Row],[POA-Down(KWh/m2)]]/Raw_Data[[#This Row],[POA-UP(KWh/m2)]]</f>
        <v>6.6271919836028231E-2</v>
      </c>
      <c r="JE22" s="68">
        <f>AVERAGEIF(Raw_Data[[#This Row],[Amb_Temp_IS2_W1]:[Amb_Temp_IS19_W6]],"&lt;&gt;"&amp;0,Raw_Data[[#This Row],[Amb_Temp_IS2_W1]:[Amb_Temp_IS19_W6]])</f>
        <v>37.79666666666666</v>
      </c>
      <c r="JF22" s="68">
        <f>AVERAGEIF(Raw_Data[[#This Row],[MT_Temp_IS2_W1]:[MT_Temp_IS19_W6]],"&lt;&gt;"&amp;0,Raw_Data[[#This Row],[MT_Temp_IS2_W1]:[MT_Temp_IS19_W6]])</f>
        <v>54.623333333333335</v>
      </c>
      <c r="JG22" s="68">
        <f>AVERAGEIF(Raw_Data[[#This Row],[WS_Avg_IS2_W1]:[WS_Avg_IS19_W6]],"&lt;&gt;"&amp;0,Raw_Data[[#This Row],[WS_Avg_IS2_W1]:[WS_Avg_IS19_W6]])</f>
        <v>2.1966666666666668</v>
      </c>
      <c r="JH22" s="68">
        <f>AVERAGEIF(Raw_Data[[#This Row],[WS_Max_IS2_W1]:[WS_Max_IS19_W6]],"&lt;&gt;"&amp;0,Raw_Data[[#This Row],[WS_Max_IS2_W1]:[WS_Max_IS19_W6]])</f>
        <v>6.8166666666666655</v>
      </c>
      <c r="JI22" s="70">
        <f>SUM(Raw_Data[[#This Row],[IS1_INV1_M1]:[IS20_INV4_M2]])</f>
        <v>695046.99999999988</v>
      </c>
      <c r="JJ22" s="73">
        <v>578599.00000001653</v>
      </c>
      <c r="JK22" s="71">
        <v>705188.28278011002</v>
      </c>
      <c r="JL22" s="143">
        <f>IFERROR(Raw_Data[[#This Row],[WPR_Eac]]/Raw_Data[[#This Row],[WPR_Edc]],"")</f>
        <v>0.82048867533500092</v>
      </c>
      <c r="JM22" s="6">
        <v>20</v>
      </c>
      <c r="JN22" s="6">
        <v>0</v>
      </c>
    </row>
    <row r="23" spans="2:274">
      <c r="B23" s="67">
        <f t="shared" si="21"/>
        <v>45762</v>
      </c>
      <c r="C23" s="9">
        <f>YEAR(Raw_Data[[#This Row],[Date]])+IF(MONTH(Raw_Data[[#This Row],[Date]])&gt;=4,1,0)</f>
        <v>2026</v>
      </c>
      <c r="D23" s="6">
        <f t="shared" si="152"/>
        <v>2025</v>
      </c>
      <c r="E23" s="7" t="s">
        <v>361</v>
      </c>
      <c r="F23" s="7" t="s">
        <v>361</v>
      </c>
      <c r="G23" s="8">
        <v>45748</v>
      </c>
      <c r="H23" s="6">
        <f t="shared" si="153"/>
        <v>30</v>
      </c>
      <c r="I23" s="9">
        <v>335090.89</v>
      </c>
      <c r="J23" s="10">
        <v>0.27430555555555558</v>
      </c>
      <c r="K23" s="10">
        <v>0.79513888888888884</v>
      </c>
      <c r="L23" s="9">
        <v>10376</v>
      </c>
      <c r="M23" s="9">
        <v>10827.4</v>
      </c>
      <c r="N23" s="9">
        <v>10789.4</v>
      </c>
      <c r="O23" s="9">
        <v>10797.6</v>
      </c>
      <c r="P23" s="9">
        <v>10842.7</v>
      </c>
      <c r="Q23" s="9">
        <v>10862.7</v>
      </c>
      <c r="R23" s="9">
        <v>10733.7</v>
      </c>
      <c r="S23" s="9">
        <v>11003</v>
      </c>
      <c r="T23" s="9">
        <v>10785.8</v>
      </c>
      <c r="U23" s="9">
        <v>10745.5</v>
      </c>
      <c r="V23" s="9">
        <v>10641.6</v>
      </c>
      <c r="W23" s="9">
        <v>10727.5</v>
      </c>
      <c r="X23" s="9">
        <v>10827</v>
      </c>
      <c r="Y23" s="9">
        <v>10717</v>
      </c>
      <c r="Z23" s="9">
        <v>10734.6</v>
      </c>
      <c r="AA23" s="9">
        <v>10917.7</v>
      </c>
      <c r="AB23" s="9">
        <v>10756.7</v>
      </c>
      <c r="AC23" s="9">
        <v>10820</v>
      </c>
      <c r="AD23" s="9">
        <v>10838.6</v>
      </c>
      <c r="AE23" s="9">
        <v>10881.9</v>
      </c>
      <c r="AF23" s="9">
        <v>10782.3</v>
      </c>
      <c r="AG23" s="9">
        <v>10885.5</v>
      </c>
      <c r="AH23" s="9">
        <v>10648</v>
      </c>
      <c r="AI23" s="9">
        <v>10763.2</v>
      </c>
      <c r="AJ23" s="9">
        <v>10029.9</v>
      </c>
      <c r="AK23" s="9">
        <v>8248.9</v>
      </c>
      <c r="AL23" s="9">
        <v>10639.4</v>
      </c>
      <c r="AM23" s="9">
        <v>10586.7</v>
      </c>
      <c r="AN23" s="9">
        <v>10854.3</v>
      </c>
      <c r="AO23" s="9">
        <v>10658.7</v>
      </c>
      <c r="AP23" s="9">
        <v>10687</v>
      </c>
      <c r="AQ23" s="9">
        <v>10877.5</v>
      </c>
      <c r="AR23" s="9">
        <v>10742.5</v>
      </c>
      <c r="AS23" s="9">
        <v>10857.5</v>
      </c>
      <c r="AT23" s="9">
        <v>10942.3</v>
      </c>
      <c r="AU23" s="9">
        <v>10838.6</v>
      </c>
      <c r="AV23" s="9">
        <v>10940.8</v>
      </c>
      <c r="AW23" s="9">
        <v>10765.4</v>
      </c>
      <c r="AX23" s="9">
        <v>10766.1</v>
      </c>
      <c r="AY23" s="9">
        <v>10719.7</v>
      </c>
      <c r="AZ23" s="9">
        <v>11421</v>
      </c>
      <c r="BA23" s="9">
        <v>10542.5</v>
      </c>
      <c r="BB23" s="9">
        <v>11355.6</v>
      </c>
      <c r="BC23" s="9">
        <v>10353.1</v>
      </c>
      <c r="BD23" s="9">
        <v>10709.9</v>
      </c>
      <c r="BE23" s="9">
        <v>11564.4</v>
      </c>
      <c r="BF23" s="9">
        <v>10208.200000000001</v>
      </c>
      <c r="BG23" s="9">
        <v>11466.4</v>
      </c>
      <c r="BH23" s="9">
        <v>10820.2</v>
      </c>
      <c r="BI23" s="9">
        <v>10993.1</v>
      </c>
      <c r="BJ23" s="9">
        <v>10929.3</v>
      </c>
      <c r="BK23" s="9">
        <v>10277.9</v>
      </c>
      <c r="BL23" s="9">
        <v>11194.7</v>
      </c>
      <c r="BM23" s="9">
        <v>10887.7</v>
      </c>
      <c r="BN23" s="9">
        <v>11188.3</v>
      </c>
      <c r="BO23" s="9">
        <v>10891.9</v>
      </c>
      <c r="BP23" s="9">
        <v>9958.1</v>
      </c>
      <c r="BQ23" s="9">
        <v>11308</v>
      </c>
      <c r="BR23" s="9">
        <v>9970.2000000000007</v>
      </c>
      <c r="BS23" s="9">
        <v>11323.9</v>
      </c>
      <c r="BT23" s="9">
        <v>11234</v>
      </c>
      <c r="BU23" s="9">
        <v>9977.2000000000007</v>
      </c>
      <c r="BV23" s="9">
        <v>10862.3</v>
      </c>
      <c r="BW23" s="9">
        <v>10350.299999999999</v>
      </c>
      <c r="BX23" s="9">
        <v>10544.6</v>
      </c>
      <c r="BY23" s="9">
        <v>9964.2999999999993</v>
      </c>
      <c r="BZ23" s="9">
        <v>10565.2</v>
      </c>
      <c r="CA23" s="9">
        <v>10962.9</v>
      </c>
      <c r="CB23" s="9">
        <v>11203.9</v>
      </c>
      <c r="CC23" s="9">
        <v>10175.700000000001</v>
      </c>
      <c r="CD23" s="9">
        <v>11101</v>
      </c>
      <c r="CE23" s="9">
        <v>9788.5</v>
      </c>
      <c r="CF23" s="9">
        <v>10829.8</v>
      </c>
      <c r="CG23" s="9">
        <v>10643.6</v>
      </c>
      <c r="CH23" s="9">
        <v>10068.799999999999</v>
      </c>
      <c r="CI23" s="9">
        <v>10990.6</v>
      </c>
      <c r="CJ23" s="9">
        <v>9883</v>
      </c>
      <c r="CK23" s="9">
        <v>11271.9</v>
      </c>
      <c r="CL23" s="9">
        <v>9979.7000000000007</v>
      </c>
      <c r="CM23" s="9">
        <v>11054.7</v>
      </c>
      <c r="CN23" s="9">
        <v>11849.4</v>
      </c>
      <c r="CO23" s="9">
        <v>12735.7</v>
      </c>
      <c r="CP23" s="9">
        <v>11948.4</v>
      </c>
      <c r="CQ23" s="9">
        <v>13008.3</v>
      </c>
      <c r="CR23" s="9">
        <v>11731.5</v>
      </c>
      <c r="CS23" s="9">
        <v>11900.3</v>
      </c>
      <c r="CT23" s="9">
        <v>11689.6</v>
      </c>
      <c r="CU23" s="9">
        <v>10359.700000000001</v>
      </c>
      <c r="CV23" s="9">
        <v>12575.4</v>
      </c>
      <c r="CW23" s="9">
        <v>12315.2</v>
      </c>
      <c r="CX23" s="9">
        <v>11413.8</v>
      </c>
      <c r="CY23" s="9">
        <v>12961.6</v>
      </c>
      <c r="CZ23" s="9">
        <v>12652.3</v>
      </c>
      <c r="DA23" s="9">
        <v>11652.5</v>
      </c>
      <c r="DB23" s="9">
        <v>11446.5</v>
      </c>
      <c r="DC23" s="9">
        <v>12690.4</v>
      </c>
      <c r="DD23" s="9">
        <v>11311.8</v>
      </c>
      <c r="DE23" s="9">
        <v>11977.4</v>
      </c>
      <c r="DF23" s="9">
        <v>12886.4</v>
      </c>
      <c r="DG23" s="9">
        <v>11524.1</v>
      </c>
      <c r="DH23" s="9">
        <v>12952.1</v>
      </c>
      <c r="DI23" s="9">
        <v>11491.7</v>
      </c>
      <c r="DJ23" s="9">
        <v>12718.2</v>
      </c>
      <c r="DK23" s="9">
        <v>11690.8</v>
      </c>
      <c r="DL23" s="9">
        <v>12794</v>
      </c>
      <c r="DM23" s="9">
        <v>11089.9</v>
      </c>
      <c r="DN23" s="9">
        <v>12875</v>
      </c>
      <c r="DO23" s="9">
        <v>11701.9</v>
      </c>
      <c r="DP23" s="9">
        <v>12725.6</v>
      </c>
      <c r="DQ23" s="9">
        <v>11616</v>
      </c>
      <c r="DR23" s="9">
        <v>12788.3</v>
      </c>
      <c r="DS23" s="9">
        <v>11846.7</v>
      </c>
      <c r="DT23" s="9">
        <v>11546.3</v>
      </c>
      <c r="DU23" s="9">
        <v>12642</v>
      </c>
      <c r="DV23" s="9">
        <v>11695.4</v>
      </c>
      <c r="DW23" s="9">
        <v>11391.8</v>
      </c>
      <c r="DX23" s="9">
        <v>12715.7</v>
      </c>
      <c r="DY23" s="9">
        <v>12865</v>
      </c>
      <c r="DZ23" s="9">
        <v>12659</v>
      </c>
      <c r="EA23" s="9">
        <v>11690.9</v>
      </c>
      <c r="EB23" s="9">
        <v>12806.4</v>
      </c>
      <c r="EC23" s="9">
        <v>11536.8</v>
      </c>
      <c r="ED23" s="9">
        <v>12502.4</v>
      </c>
      <c r="EE23" s="9">
        <v>11707.1</v>
      </c>
      <c r="EF23" s="9">
        <v>12293.5</v>
      </c>
      <c r="EG23" s="9">
        <v>10777.5</v>
      </c>
      <c r="EH23" s="9">
        <v>12561.6</v>
      </c>
      <c r="EI23" s="9">
        <v>11540.6</v>
      </c>
      <c r="EJ23" s="9">
        <v>11504.3</v>
      </c>
      <c r="EK23" s="9">
        <v>11423.3</v>
      </c>
      <c r="EL23" s="9">
        <v>11380.7</v>
      </c>
      <c r="EM23" s="9">
        <v>9809.1</v>
      </c>
      <c r="EN23" s="9">
        <v>11253.5</v>
      </c>
      <c r="EO23" s="9">
        <v>10072.6</v>
      </c>
      <c r="EP23" s="9">
        <v>11093.4</v>
      </c>
      <c r="EQ23" s="9">
        <v>11214.4</v>
      </c>
      <c r="ER23" s="9">
        <v>13228.5</v>
      </c>
      <c r="ES23" s="9">
        <v>11783</v>
      </c>
      <c r="ET23" s="9">
        <v>13288.6</v>
      </c>
      <c r="EU23" s="9">
        <v>12115.1</v>
      </c>
      <c r="EV23" s="9">
        <v>13137.3</v>
      </c>
      <c r="EW23" s="9">
        <v>11847.9</v>
      </c>
      <c r="EX23" s="9">
        <v>12075.4</v>
      </c>
      <c r="EY23" s="9">
        <v>11613.9</v>
      </c>
      <c r="EZ23" s="9">
        <v>13139.5</v>
      </c>
      <c r="FA23" s="9">
        <v>13563.2</v>
      </c>
      <c r="FB23" s="9">
        <v>13250.1</v>
      </c>
      <c r="FC23" s="9">
        <v>13145.5</v>
      </c>
      <c r="FD23" s="9">
        <v>13158.2</v>
      </c>
      <c r="FE23" s="9">
        <v>13170.9</v>
      </c>
      <c r="FF23" s="9">
        <v>12132.1</v>
      </c>
      <c r="FG23" s="9">
        <v>11921.7</v>
      </c>
      <c r="FH23" s="9">
        <v>13271.5</v>
      </c>
      <c r="FI23" s="9">
        <v>13298.8</v>
      </c>
      <c r="FJ23" s="9">
        <v>13293.8</v>
      </c>
      <c r="FK23" s="9">
        <v>13243.4</v>
      </c>
      <c r="FL23" s="9">
        <v>13294.8</v>
      </c>
      <c r="FM23" s="9">
        <v>12229</v>
      </c>
      <c r="FN23" s="9">
        <v>13332.2</v>
      </c>
      <c r="FO23" s="9">
        <v>12256.1</v>
      </c>
      <c r="FP23" s="11">
        <v>39.296387362637411</v>
      </c>
      <c r="FQ23" s="11">
        <v>38.691263736263771</v>
      </c>
      <c r="FR23" s="11">
        <v>39.0658379120879</v>
      </c>
      <c r="FS23" s="11">
        <v>39.119972527472513</v>
      </c>
      <c r="FT23" s="11">
        <v>38.88146978021981</v>
      </c>
      <c r="FU23" s="11">
        <v>38.824629120879095</v>
      </c>
      <c r="FV23" s="11">
        <v>0</v>
      </c>
      <c r="FW23" s="11">
        <v>52.46600274725273</v>
      </c>
      <c r="FX23" s="11">
        <v>0</v>
      </c>
      <c r="FY23" s="11">
        <v>0</v>
      </c>
      <c r="FZ23" s="11">
        <v>51.974313763736262</v>
      </c>
      <c r="GA23" s="11">
        <v>51.749478021977993</v>
      </c>
      <c r="GB23" s="11">
        <v>2.9130355756868149</v>
      </c>
      <c r="GC23" s="11">
        <v>2.7181546709065958</v>
      </c>
      <c r="GD23" s="11">
        <v>2.8893542820054967</v>
      </c>
      <c r="GE23" s="11">
        <v>0.72095921173076982</v>
      </c>
      <c r="GF23" s="11">
        <v>2.6897343257280202</v>
      </c>
      <c r="GG23" s="11">
        <v>2.6267856089285742</v>
      </c>
      <c r="GH23" s="11">
        <v>6.6849999999999996</v>
      </c>
      <c r="GI23" s="11">
        <v>9.5416659999999993</v>
      </c>
      <c r="GJ23" s="11">
        <v>6.3616659999999996</v>
      </c>
      <c r="GK23" s="11">
        <v>6.0433329999999996</v>
      </c>
      <c r="GL23" s="11">
        <v>5.6749999999999998</v>
      </c>
      <c r="GM23" s="11">
        <v>6.449999</v>
      </c>
      <c r="GN23" s="11">
        <v>7.0320510000000001</v>
      </c>
      <c r="GO23" s="11">
        <v>7.0273060000000056</v>
      </c>
      <c r="GP23" s="11">
        <v>7.0646570000000031</v>
      </c>
      <c r="GQ23" s="11">
        <v>6.9834394999999976</v>
      </c>
      <c r="GR23" s="11">
        <v>7.0727186666666695</v>
      </c>
      <c r="GS23" s="11">
        <v>7.102987500000002</v>
      </c>
      <c r="GT23" s="108">
        <v>1.8350648333333326</v>
      </c>
      <c r="GU23" s="108">
        <v>1.9403566666666652</v>
      </c>
      <c r="GV23" s="108">
        <v>1.7031038333333333</v>
      </c>
      <c r="GW23" s="108">
        <v>2.2706138333333326</v>
      </c>
      <c r="GX23" s="108">
        <v>2.1185941666666652</v>
      </c>
      <c r="GY23" s="108">
        <v>1.8721040000000011</v>
      </c>
      <c r="GZ23" s="13">
        <v>7.3027261666666705</v>
      </c>
      <c r="HA23" s="13">
        <v>7.3234318333333297</v>
      </c>
      <c r="HB23" s="13">
        <v>7.2221381666666709</v>
      </c>
      <c r="HC23" s="13">
        <v>7.2819873333333343</v>
      </c>
      <c r="HD23" s="13">
        <v>7.2676069999999955</v>
      </c>
      <c r="HE23" s="13">
        <v>7.2513543333333308</v>
      </c>
      <c r="HF23" s="13">
        <v>0.48493449999999988</v>
      </c>
      <c r="HG23" s="13">
        <v>0.53540316666666665</v>
      </c>
      <c r="HH23" s="13">
        <v>0.45749266666666694</v>
      </c>
      <c r="HI23" s="13">
        <v>0.49377549999999976</v>
      </c>
      <c r="HJ23" s="13">
        <v>0.45747650000000012</v>
      </c>
      <c r="HK23" s="13">
        <v>0.51055133333333291</v>
      </c>
      <c r="HL23" s="12">
        <v>0</v>
      </c>
      <c r="HM23" s="12">
        <v>0</v>
      </c>
      <c r="HN23" s="12">
        <v>0</v>
      </c>
      <c r="HO23" s="12">
        <v>0</v>
      </c>
      <c r="HP23" s="12">
        <v>0</v>
      </c>
      <c r="HQ23" s="12">
        <v>0</v>
      </c>
      <c r="HR23" s="12">
        <v>0</v>
      </c>
      <c r="HS23" s="12">
        <v>0</v>
      </c>
      <c r="HT23" s="12">
        <v>0</v>
      </c>
      <c r="HU23" s="12">
        <v>0</v>
      </c>
      <c r="HV23" s="12">
        <v>0</v>
      </c>
      <c r="HW23" s="12">
        <v>0</v>
      </c>
      <c r="HX23" s="9">
        <v>912129</v>
      </c>
      <c r="HY23" s="9">
        <v>1714</v>
      </c>
      <c r="HZ23" s="9">
        <v>899007</v>
      </c>
      <c r="IA23" s="9">
        <v>1718</v>
      </c>
      <c r="IB23" s="11">
        <v>116218.00900000001</v>
      </c>
      <c r="IC23" s="11">
        <v>262.66699999999997</v>
      </c>
      <c r="ID23" s="14">
        <f t="shared" ref="ID23:II23" si="174">GN23-HL23</f>
        <v>7.0320510000000001</v>
      </c>
      <c r="IE23" s="14">
        <f t="shared" si="174"/>
        <v>7.0273060000000056</v>
      </c>
      <c r="IF23" s="14">
        <f t="shared" si="174"/>
        <v>7.0646570000000031</v>
      </c>
      <c r="IG23" s="14">
        <f t="shared" si="174"/>
        <v>6.9834394999999976</v>
      </c>
      <c r="IH23" s="14">
        <f t="shared" si="174"/>
        <v>7.0727186666666695</v>
      </c>
      <c r="II23" s="14">
        <f t="shared" si="174"/>
        <v>7.102987500000002</v>
      </c>
      <c r="IJ23" s="15">
        <f t="shared" ref="IJ23:IO23" si="175">GZ23-HR23</f>
        <v>7.3027261666666705</v>
      </c>
      <c r="IK23" s="15">
        <f t="shared" si="175"/>
        <v>7.3234318333333297</v>
      </c>
      <c r="IL23" s="15">
        <f t="shared" si="175"/>
        <v>7.2221381666666709</v>
      </c>
      <c r="IM23" s="15">
        <f t="shared" si="175"/>
        <v>7.2819873333333343</v>
      </c>
      <c r="IN23" s="15">
        <f t="shared" si="175"/>
        <v>7.2676069999999955</v>
      </c>
      <c r="IO23" s="15">
        <f t="shared" si="175"/>
        <v>7.2513543333333308</v>
      </c>
      <c r="IP23" s="16">
        <f t="shared" ref="IP23" si="176">(HX23-HX22)*1000</f>
        <v>875000</v>
      </c>
      <c r="IQ23" s="16">
        <f t="shared" ref="IQ23" si="177">(HY23-HY22)*1000</f>
        <v>19000</v>
      </c>
      <c r="IR23" s="16">
        <f t="shared" ref="IR23" si="178">(HZ23-HZ22)*1000</f>
        <v>971000</v>
      </c>
      <c r="IS23" s="16">
        <f t="shared" ref="IS23" si="179">(IA23-IA22)*1000</f>
        <v>1000</v>
      </c>
      <c r="IT23" s="16">
        <f t="shared" ref="IT23" si="180">(IB23-IB22)*1000</f>
        <v>1819866.9999999984</v>
      </c>
      <c r="IU23" s="16">
        <f t="shared" ref="IU23" si="181">(IC23-IC22)*1000</f>
        <v>1933.9999999999691</v>
      </c>
      <c r="IV23" s="17">
        <f t="shared" ref="IV23" si="182">(IP23+IR23)-(IQ23+IS23)</f>
        <v>1826000</v>
      </c>
      <c r="IW23" s="17">
        <f t="shared" ref="IW23" si="183">IT23-IU23</f>
        <v>1817932.9999999984</v>
      </c>
      <c r="IX23" s="19">
        <f>(Raw_Data[[#This Row],[Sunset Time (POA&lt;20 W/m2)]]-Raw_Data[[#This Row],[Sunrise Time (POA&gt;20 W/m2)]])*24</f>
        <v>12.499999999999998</v>
      </c>
      <c r="IY23" s="68">
        <f>AVERAGEIF(Raw_Data[[#This Row],[GHI_UP_Net_IS2_W1]:[GHI_UP_Net_IS19_W6]],"&lt;&gt;"&amp;0,Raw_Data[[#This Row],[GHI_UP_Net_IS2_W1]:[GHI_UP_Net_IS19_W6]])</f>
        <v>7.0471932777777795</v>
      </c>
      <c r="IZ23" s="68">
        <f>AVERAGEIF(Raw_Data[[#This Row],[GHI_Down_IS2_W1]:[GHI_Down_IS19_W6]],"&lt;&gt;"&amp;0,Raw_Data[[#This Row],[GHI_Down_IS2_W1]:[GHI_Down_IS19_W6]])</f>
        <v>1.9566395555555551</v>
      </c>
      <c r="JA23" s="68">
        <f>AVERAGEIF(Raw_Data[[#This Row],[POA_Up_IS2_W1]:[POA_Up_IS19_W6]],"&lt;&gt;"&amp;0,Raw_Data[[#This Row],[POA_Up_IS2_W1]:[POA_Up_IS19_W6]])</f>
        <v>7.2748741388888893</v>
      </c>
      <c r="JB23" s="68">
        <f>AVERAGEIF(Raw_Data[[#This Row],[POA_Down_IS2_W1]:[POA_Down_IS19_W6]],"&lt;&gt;"&amp;0,Raw_Data[[#This Row],[POA_Down_IS2_W1]:[POA_Down_IS19_W6]])</f>
        <v>0.48993894444444441</v>
      </c>
      <c r="JC23" s="69">
        <f>Raw_Data[[#This Row],[GHI-Down(KWh/m2)]]/Raw_Data[[#This Row],[GHI-UP (KWh/m2)]]</f>
        <v>0.27764806192069569</v>
      </c>
      <c r="JD23" s="72">
        <f>Raw_Data[[#This Row],[POA-Down(KWh/m2)]]/Raw_Data[[#This Row],[POA-UP(KWh/m2)]]</f>
        <v>6.7346724505569805E-2</v>
      </c>
      <c r="JE23" s="68">
        <f>AVERAGEIF(Raw_Data[[#This Row],[Amb_Temp_IS2_W1]:[Amb_Temp_IS19_W6]],"&lt;&gt;"&amp;0,Raw_Data[[#This Row],[Amb_Temp_IS2_W1]:[Amb_Temp_IS19_W6]])</f>
        <v>38.979926739926753</v>
      </c>
      <c r="JF23" s="68">
        <f>AVERAGEIF(Raw_Data[[#This Row],[MT_Temp_IS2_W1]:[MT_Temp_IS19_W6]],"&lt;&gt;"&amp;0,Raw_Data[[#This Row],[MT_Temp_IS2_W1]:[MT_Temp_IS19_W6]])</f>
        <v>52.063264844322326</v>
      </c>
      <c r="JG23" s="68">
        <f>AVERAGEIF(Raw_Data[[#This Row],[WS_Avg_IS2_W1]:[WS_Avg_IS19_W6]],"&lt;&gt;"&amp;0,Raw_Data[[#This Row],[WS_Avg_IS2_W1]:[WS_Avg_IS19_W6]])</f>
        <v>2.4263372791643789</v>
      </c>
      <c r="JH23" s="68">
        <f>AVERAGEIF(Raw_Data[[#This Row],[WS_Max_IS2_W1]:[WS_Max_IS19_W6]],"&lt;&gt;"&amp;0,Raw_Data[[#This Row],[WS_Max_IS2_W1]:[WS_Max_IS19_W6]])</f>
        <v>6.7927773333333326</v>
      </c>
      <c r="JI23" s="70">
        <f>SUM(Raw_Data[[#This Row],[IS1_INV1_M1]:[IS20_INV4_M2]])</f>
        <v>1831071.4000000001</v>
      </c>
      <c r="JJ23" s="73">
        <v>1771266.0000000047</v>
      </c>
      <c r="JK23" s="71">
        <v>2281268.6529561901</v>
      </c>
      <c r="JL23" s="143">
        <f>IFERROR(Raw_Data[[#This Row],[WPR_Eac]]/Raw_Data[[#This Row],[WPR_Edc]],"")</f>
        <v>0.77643902120195418</v>
      </c>
      <c r="JM23" s="6">
        <v>32</v>
      </c>
      <c r="JN23" s="6">
        <v>46791</v>
      </c>
    </row>
    <row r="24" spans="2:274">
      <c r="B24" s="67">
        <f t="shared" si="21"/>
        <v>45763</v>
      </c>
      <c r="C24" s="9">
        <f>YEAR(Raw_Data[[#This Row],[Date]])+IF(MONTH(Raw_Data[[#This Row],[Date]])&gt;=4,1,0)</f>
        <v>2026</v>
      </c>
      <c r="D24" s="6">
        <f t="shared" si="152"/>
        <v>2025</v>
      </c>
      <c r="E24" s="7" t="s">
        <v>361</v>
      </c>
      <c r="F24" s="7" t="s">
        <v>361</v>
      </c>
      <c r="G24" s="8">
        <v>45748</v>
      </c>
      <c r="H24" s="6">
        <f t="shared" si="153"/>
        <v>30</v>
      </c>
      <c r="I24" s="9">
        <v>335090.89</v>
      </c>
      <c r="J24" s="10">
        <v>0.27291666666666664</v>
      </c>
      <c r="K24" s="10">
        <v>0.79583333333333328</v>
      </c>
      <c r="L24" s="9">
        <v>11551.5</v>
      </c>
      <c r="M24" s="9">
        <v>12085.9</v>
      </c>
      <c r="N24" s="9">
        <v>12073.3</v>
      </c>
      <c r="O24" s="9">
        <v>12083</v>
      </c>
      <c r="P24" s="9">
        <v>12136.6</v>
      </c>
      <c r="Q24" s="9">
        <v>12136.9</v>
      </c>
      <c r="R24" s="9">
        <v>11997.8</v>
      </c>
      <c r="S24" s="9">
        <v>12320.2</v>
      </c>
      <c r="T24" s="9">
        <v>12053</v>
      </c>
      <c r="U24" s="9">
        <v>12029.5</v>
      </c>
      <c r="V24" s="9">
        <v>11885.7</v>
      </c>
      <c r="W24" s="9">
        <v>12023</v>
      </c>
      <c r="X24" s="9">
        <v>12077.5</v>
      </c>
      <c r="Y24" s="9">
        <v>11971.6</v>
      </c>
      <c r="Z24" s="9">
        <v>12037.9</v>
      </c>
      <c r="AA24" s="9">
        <v>12167.6</v>
      </c>
      <c r="AB24" s="9">
        <v>12040.3</v>
      </c>
      <c r="AC24" s="9">
        <v>12083.7</v>
      </c>
      <c r="AD24" s="9">
        <v>12122.5</v>
      </c>
      <c r="AE24" s="9">
        <v>12154.7</v>
      </c>
      <c r="AF24" s="9">
        <v>12135.4</v>
      </c>
      <c r="AG24" s="9">
        <v>12139</v>
      </c>
      <c r="AH24" s="9">
        <v>11860.8</v>
      </c>
      <c r="AI24" s="9">
        <v>12011.2</v>
      </c>
      <c r="AJ24" s="9">
        <v>11847.3</v>
      </c>
      <c r="AK24" s="9">
        <v>10356.1</v>
      </c>
      <c r="AL24" s="9">
        <v>11848.4</v>
      </c>
      <c r="AM24" s="9">
        <v>11803.8</v>
      </c>
      <c r="AN24" s="9">
        <v>12115.5</v>
      </c>
      <c r="AO24" s="9">
        <v>11881.1</v>
      </c>
      <c r="AP24" s="9">
        <v>11917.3</v>
      </c>
      <c r="AQ24" s="9">
        <v>12166.8</v>
      </c>
      <c r="AR24" s="9">
        <v>12034.9</v>
      </c>
      <c r="AS24" s="9">
        <v>12179.7</v>
      </c>
      <c r="AT24" s="9">
        <v>12246.5</v>
      </c>
      <c r="AU24" s="9">
        <v>12140</v>
      </c>
      <c r="AV24" s="9">
        <v>12248.6</v>
      </c>
      <c r="AW24" s="9">
        <v>12063.4</v>
      </c>
      <c r="AX24" s="9">
        <v>12062</v>
      </c>
      <c r="AY24" s="9">
        <v>12024.9</v>
      </c>
      <c r="AZ24" s="9">
        <v>12891.7</v>
      </c>
      <c r="BA24" s="9">
        <v>11740.4</v>
      </c>
      <c r="BB24" s="9">
        <v>12793.5</v>
      </c>
      <c r="BC24" s="9">
        <v>11528.5</v>
      </c>
      <c r="BD24" s="9">
        <v>11977.7</v>
      </c>
      <c r="BE24" s="9">
        <v>13046.6</v>
      </c>
      <c r="BF24" s="9">
        <v>11358</v>
      </c>
      <c r="BG24" s="9">
        <v>12890.5</v>
      </c>
      <c r="BH24" s="9">
        <v>12081</v>
      </c>
      <c r="BI24" s="9">
        <v>12278.8</v>
      </c>
      <c r="BJ24" s="9">
        <v>12168.5</v>
      </c>
      <c r="BK24" s="9">
        <v>11424.2</v>
      </c>
      <c r="BL24" s="9">
        <v>12504.1</v>
      </c>
      <c r="BM24" s="9">
        <v>12155.6</v>
      </c>
      <c r="BN24" s="9">
        <v>12497</v>
      </c>
      <c r="BO24" s="9">
        <v>12184.6</v>
      </c>
      <c r="BP24" s="9">
        <v>11083</v>
      </c>
      <c r="BQ24" s="9">
        <v>12693.2</v>
      </c>
      <c r="BR24" s="9">
        <v>11097.8</v>
      </c>
      <c r="BS24" s="9">
        <v>12677.3</v>
      </c>
      <c r="BT24" s="9">
        <v>12564.8</v>
      </c>
      <c r="BU24" s="9">
        <v>11101.8</v>
      </c>
      <c r="BV24" s="9">
        <v>12195.4</v>
      </c>
      <c r="BW24" s="9">
        <v>11569.6</v>
      </c>
      <c r="BX24" s="9">
        <v>11812.4</v>
      </c>
      <c r="BY24" s="9">
        <v>11143</v>
      </c>
      <c r="BZ24" s="9">
        <v>11823.3</v>
      </c>
      <c r="CA24" s="9">
        <v>12341.6</v>
      </c>
      <c r="CB24" s="9">
        <v>12615.8</v>
      </c>
      <c r="CC24" s="9">
        <v>11393.1</v>
      </c>
      <c r="CD24" s="9">
        <v>12484.9</v>
      </c>
      <c r="CE24" s="9">
        <v>10934.9</v>
      </c>
      <c r="CF24" s="9">
        <v>12122.6</v>
      </c>
      <c r="CG24" s="9">
        <v>11906.1</v>
      </c>
      <c r="CH24" s="9">
        <v>11206.4</v>
      </c>
      <c r="CI24" s="9">
        <v>12461</v>
      </c>
      <c r="CJ24" s="9">
        <v>11030.4</v>
      </c>
      <c r="CK24" s="9">
        <v>12670.4</v>
      </c>
      <c r="CL24" s="9">
        <v>11153</v>
      </c>
      <c r="CM24" s="9">
        <v>12427.2</v>
      </c>
      <c r="CN24" s="9">
        <v>11492.4</v>
      </c>
      <c r="CO24" s="9">
        <v>12402.6</v>
      </c>
      <c r="CP24" s="9">
        <v>11576</v>
      </c>
      <c r="CQ24" s="9">
        <v>12750</v>
      </c>
      <c r="CR24" s="9">
        <v>11452.5</v>
      </c>
      <c r="CS24" s="9">
        <v>12203.6</v>
      </c>
      <c r="CT24" s="9">
        <v>11350</v>
      </c>
      <c r="CU24" s="9">
        <v>10042.799999999999</v>
      </c>
      <c r="CV24" s="9">
        <v>12256.7</v>
      </c>
      <c r="CW24" s="9">
        <v>11960.9</v>
      </c>
      <c r="CX24" s="9">
        <v>11063.2</v>
      </c>
      <c r="CY24" s="9">
        <v>12676.8</v>
      </c>
      <c r="CZ24" s="9">
        <v>12330.2</v>
      </c>
      <c r="DA24" s="9">
        <v>11291.1</v>
      </c>
      <c r="DB24" s="9">
        <v>11099.7</v>
      </c>
      <c r="DC24" s="9">
        <v>12412.4</v>
      </c>
      <c r="DD24" s="9">
        <v>10982.9</v>
      </c>
      <c r="DE24" s="9">
        <v>11629.7</v>
      </c>
      <c r="DF24" s="9">
        <v>12635.6</v>
      </c>
      <c r="DG24" s="9">
        <v>11197.9</v>
      </c>
      <c r="DH24" s="9">
        <v>12678.3</v>
      </c>
      <c r="DI24" s="9">
        <v>11169.1</v>
      </c>
      <c r="DJ24" s="9">
        <v>12416.8</v>
      </c>
      <c r="DK24" s="9">
        <v>11360.1</v>
      </c>
      <c r="DL24" s="9">
        <v>12502</v>
      </c>
      <c r="DM24" s="9">
        <v>10784.9</v>
      </c>
      <c r="DN24" s="9">
        <v>12591.8</v>
      </c>
      <c r="DO24" s="9">
        <v>11373.6</v>
      </c>
      <c r="DP24" s="9">
        <v>12427.4</v>
      </c>
      <c r="DQ24" s="9">
        <v>11295.7</v>
      </c>
      <c r="DR24" s="9">
        <v>12481.1</v>
      </c>
      <c r="DS24" s="9">
        <v>11524.6</v>
      </c>
      <c r="DT24" s="9">
        <v>11208.5</v>
      </c>
      <c r="DU24" s="9">
        <v>12356.1</v>
      </c>
      <c r="DV24" s="9">
        <v>11369</v>
      </c>
      <c r="DW24" s="9">
        <v>11081.1</v>
      </c>
      <c r="DX24" s="9">
        <v>12448</v>
      </c>
      <c r="DY24" s="9">
        <v>12615.6</v>
      </c>
      <c r="DZ24" s="9">
        <v>12387</v>
      </c>
      <c r="EA24" s="9">
        <v>11364</v>
      </c>
      <c r="EB24" s="9">
        <v>12546.9</v>
      </c>
      <c r="EC24" s="9">
        <v>11212.9</v>
      </c>
      <c r="ED24" s="9">
        <v>12207.7</v>
      </c>
      <c r="EE24" s="9">
        <v>11386.3</v>
      </c>
      <c r="EF24" s="9">
        <v>11968.3</v>
      </c>
      <c r="EG24" s="9">
        <v>10482</v>
      </c>
      <c r="EH24" s="9">
        <v>12258</v>
      </c>
      <c r="EI24" s="9">
        <v>11212.6</v>
      </c>
      <c r="EJ24" s="9">
        <v>11170</v>
      </c>
      <c r="EK24" s="9">
        <v>11078</v>
      </c>
      <c r="EL24" s="9">
        <v>11055.4</v>
      </c>
      <c r="EM24" s="9">
        <v>9526</v>
      </c>
      <c r="EN24" s="9">
        <v>10916.4</v>
      </c>
      <c r="EO24" s="9">
        <v>9757.6</v>
      </c>
      <c r="EP24" s="9">
        <v>10801.3</v>
      </c>
      <c r="EQ24" s="9">
        <v>10894.3</v>
      </c>
      <c r="ER24" s="9">
        <v>12970</v>
      </c>
      <c r="ES24" s="9">
        <v>11433</v>
      </c>
      <c r="ET24" s="9">
        <v>13058</v>
      </c>
      <c r="EU24" s="9">
        <v>11773</v>
      </c>
      <c r="EV24" s="9">
        <v>12914</v>
      </c>
      <c r="EW24" s="9">
        <v>11501</v>
      </c>
      <c r="EX24" s="9">
        <v>11747</v>
      </c>
      <c r="EY24" s="9">
        <v>11272</v>
      </c>
      <c r="EZ24" s="9">
        <v>12732</v>
      </c>
      <c r="FA24" s="9">
        <v>13183</v>
      </c>
      <c r="FB24" s="9">
        <v>12982</v>
      </c>
      <c r="FC24" s="9">
        <v>12903</v>
      </c>
      <c r="FD24" s="9">
        <v>12919.1</v>
      </c>
      <c r="FE24" s="9">
        <v>12939.7</v>
      </c>
      <c r="FF24" s="9">
        <v>11904.8</v>
      </c>
      <c r="FG24" s="9">
        <v>12976.5</v>
      </c>
      <c r="FH24" s="9">
        <v>13029</v>
      </c>
      <c r="FI24" s="9">
        <v>13039</v>
      </c>
      <c r="FJ24" s="9">
        <v>13033.8</v>
      </c>
      <c r="FK24" s="9">
        <v>12977.6</v>
      </c>
      <c r="FL24" s="9">
        <v>13037.2</v>
      </c>
      <c r="FM24" s="9">
        <v>11858.8</v>
      </c>
      <c r="FN24" s="9">
        <v>13106.2</v>
      </c>
      <c r="FO24" s="9">
        <v>11927.1</v>
      </c>
      <c r="FP24" s="11">
        <v>38.178362892223738</v>
      </c>
      <c r="FQ24" s="11">
        <v>37.794324693042263</v>
      </c>
      <c r="FR24" s="11">
        <v>38.368049113233319</v>
      </c>
      <c r="FS24" s="11">
        <v>38.033792633015018</v>
      </c>
      <c r="FT24" s="11">
        <v>37.907353342428394</v>
      </c>
      <c r="FU24" s="11">
        <v>38.094597544338328</v>
      </c>
      <c r="FV24" s="11">
        <v>0</v>
      </c>
      <c r="FW24" s="11">
        <v>53</v>
      </c>
      <c r="FX24" s="11">
        <v>0</v>
      </c>
      <c r="FY24" s="11">
        <v>0</v>
      </c>
      <c r="FZ24" s="11">
        <v>52.929437476125507</v>
      </c>
      <c r="GA24" s="11">
        <v>53.3</v>
      </c>
      <c r="GB24" s="11">
        <v>2.7818848487039558</v>
      </c>
      <c r="GC24" s="11">
        <v>2.0880012727967259</v>
      </c>
      <c r="GD24" s="11">
        <v>2.5502364070941335</v>
      </c>
      <c r="GE24" s="11">
        <v>1.3258230628512966</v>
      </c>
      <c r="GF24" s="11">
        <v>2.3987174849931789</v>
      </c>
      <c r="GG24" s="11">
        <v>2.6476465623465226</v>
      </c>
      <c r="GH24" s="11">
        <v>8.1166660000000004</v>
      </c>
      <c r="GI24" s="11">
        <v>7.2350000000000003</v>
      </c>
      <c r="GJ24" s="11">
        <v>6.3949999999999996</v>
      </c>
      <c r="GK24" s="11">
        <v>7.5449999999999999</v>
      </c>
      <c r="GL24" s="11">
        <v>7.648333</v>
      </c>
      <c r="GM24" s="11">
        <v>6.5633330000000001</v>
      </c>
      <c r="GN24" s="11">
        <v>6.856620000000003</v>
      </c>
      <c r="GO24" s="11">
        <v>6.8624634999999969</v>
      </c>
      <c r="GP24" s="11">
        <v>6.8865293333333337</v>
      </c>
      <c r="GQ24" s="11">
        <v>6.8094395000000061</v>
      </c>
      <c r="GR24" s="11">
        <v>6.9361165000000051</v>
      </c>
      <c r="GS24" s="11">
        <v>6.9683798333333264</v>
      </c>
      <c r="GT24" s="108">
        <v>1.8124211666666672</v>
      </c>
      <c r="GU24" s="108">
        <v>1.8652160000000004</v>
      </c>
      <c r="GV24" s="108">
        <v>1.6852998333333333</v>
      </c>
      <c r="GW24" s="108">
        <v>2.2424298333333357</v>
      </c>
      <c r="GX24" s="108">
        <v>1.9197533333333332</v>
      </c>
      <c r="GY24" s="108">
        <v>1.8142481666666646</v>
      </c>
      <c r="GZ24" s="13">
        <v>7.0899508333333348</v>
      </c>
      <c r="HA24" s="13">
        <v>7.1089318333333393</v>
      </c>
      <c r="HB24" s="13">
        <v>7.0053253333333387</v>
      </c>
      <c r="HC24" s="13">
        <v>7.0728835000000005</v>
      </c>
      <c r="HD24" s="13">
        <v>7.1012838333333361</v>
      </c>
      <c r="HE24" s="13">
        <v>7.1067974999999954</v>
      </c>
      <c r="HF24" s="13">
        <v>0.46885833333333282</v>
      </c>
      <c r="HG24" s="13">
        <v>0.51603400000000033</v>
      </c>
      <c r="HH24" s="13">
        <v>0.44253300000000012</v>
      </c>
      <c r="HI24" s="13">
        <v>0.47558516666666684</v>
      </c>
      <c r="HJ24" s="13">
        <v>0.44155033333333366</v>
      </c>
      <c r="HK24" s="13">
        <v>0.49528133333333257</v>
      </c>
      <c r="HL24" s="12">
        <v>0</v>
      </c>
      <c r="HM24" s="12">
        <v>0</v>
      </c>
      <c r="HN24" s="12">
        <v>0</v>
      </c>
      <c r="HO24" s="12">
        <v>0</v>
      </c>
      <c r="HP24" s="12">
        <v>0</v>
      </c>
      <c r="HQ24" s="12">
        <v>0</v>
      </c>
      <c r="HR24" s="12">
        <v>0</v>
      </c>
      <c r="HS24" s="12">
        <v>0</v>
      </c>
      <c r="HT24" s="12">
        <v>0</v>
      </c>
      <c r="HU24" s="12">
        <v>0</v>
      </c>
      <c r="HV24" s="12">
        <v>0</v>
      </c>
      <c r="HW24" s="12">
        <v>0</v>
      </c>
      <c r="HX24" s="9">
        <v>913108</v>
      </c>
      <c r="HY24" s="9">
        <v>1715</v>
      </c>
      <c r="HZ24" s="9">
        <v>899972</v>
      </c>
      <c r="IA24" s="9">
        <v>1739</v>
      </c>
      <c r="IB24" s="11">
        <v>118117.876</v>
      </c>
      <c r="IC24" s="11">
        <v>265.267</v>
      </c>
      <c r="ID24" s="14">
        <f t="shared" ref="ID24:II24" si="184">GN24-HL24</f>
        <v>6.856620000000003</v>
      </c>
      <c r="IE24" s="14">
        <f t="shared" si="184"/>
        <v>6.8624634999999969</v>
      </c>
      <c r="IF24" s="14">
        <f t="shared" si="184"/>
        <v>6.8865293333333337</v>
      </c>
      <c r="IG24" s="14">
        <f t="shared" si="184"/>
        <v>6.8094395000000061</v>
      </c>
      <c r="IH24" s="14">
        <f t="shared" si="184"/>
        <v>6.9361165000000051</v>
      </c>
      <c r="II24" s="14">
        <f t="shared" si="184"/>
        <v>6.9683798333333264</v>
      </c>
      <c r="IJ24" s="15">
        <f t="shared" ref="IJ24:IO24" si="185">GZ24-HR24</f>
        <v>7.0899508333333348</v>
      </c>
      <c r="IK24" s="15">
        <f t="shared" si="185"/>
        <v>7.1089318333333393</v>
      </c>
      <c r="IL24" s="15">
        <f t="shared" si="185"/>
        <v>7.0053253333333387</v>
      </c>
      <c r="IM24" s="15">
        <f t="shared" si="185"/>
        <v>7.0728835000000005</v>
      </c>
      <c r="IN24" s="15">
        <f t="shared" si="185"/>
        <v>7.1012838333333361</v>
      </c>
      <c r="IO24" s="15">
        <f t="shared" si="185"/>
        <v>7.1067974999999954</v>
      </c>
      <c r="IP24" s="16">
        <f t="shared" ref="IP24" si="186">(HX24-HX23)*1000</f>
        <v>979000</v>
      </c>
      <c r="IQ24" s="16">
        <f t="shared" ref="IQ24" si="187">(HY24-HY23)*1000</f>
        <v>1000</v>
      </c>
      <c r="IR24" s="16">
        <f t="shared" ref="IR24" si="188">(HZ24-HZ23)*1000</f>
        <v>965000</v>
      </c>
      <c r="IS24" s="16">
        <f t="shared" ref="IS24" si="189">(IA24-IA23)*1000</f>
        <v>21000</v>
      </c>
      <c r="IT24" s="16">
        <f t="shared" ref="IT24" si="190">(IB24-IB23)*1000</f>
        <v>1899866.9999999984</v>
      </c>
      <c r="IU24" s="16">
        <f t="shared" ref="IU24" si="191">(IC24-IC23)*1000</f>
        <v>2600.0000000000227</v>
      </c>
      <c r="IV24" s="17">
        <f t="shared" ref="IV24" si="192">(IP24+IR24)-(IQ24+IS24)</f>
        <v>1922000</v>
      </c>
      <c r="IW24" s="17">
        <f t="shared" ref="IW24" si="193">IT24-IU24</f>
        <v>1897266.9999999984</v>
      </c>
      <c r="IX24" s="19">
        <f>(Raw_Data[[#This Row],[Sunset Time (POA&lt;20 W/m2)]]-Raw_Data[[#This Row],[Sunrise Time (POA&gt;20 W/m2)]])*24</f>
        <v>12.55</v>
      </c>
      <c r="IY24" s="68">
        <f>AVERAGEIF(Raw_Data[[#This Row],[GHI_UP_Net_IS2_W1]:[GHI_UP_Net_IS19_W6]],"&lt;&gt;"&amp;0,Raw_Data[[#This Row],[GHI_UP_Net_IS2_W1]:[GHI_UP_Net_IS19_W6]])</f>
        <v>6.8865914444444458</v>
      </c>
      <c r="IZ24" s="68">
        <f>AVERAGEIF(Raw_Data[[#This Row],[GHI_Down_IS2_W1]:[GHI_Down_IS19_W6]],"&lt;&gt;"&amp;0,Raw_Data[[#This Row],[GHI_Down_IS2_W1]:[GHI_Down_IS19_W6]])</f>
        <v>1.8898947222222222</v>
      </c>
      <c r="JA24" s="68">
        <f>AVERAGEIF(Raw_Data[[#This Row],[POA_Up_IS2_W1]:[POA_Up_IS19_W6]],"&lt;&gt;"&amp;0,Raw_Data[[#This Row],[POA_Up_IS2_W1]:[POA_Up_IS19_W6]])</f>
        <v>7.0808621388888895</v>
      </c>
      <c r="JB24" s="68">
        <f>AVERAGEIF(Raw_Data[[#This Row],[POA_Down_IS2_W1]:[POA_Down_IS19_W6]],"&lt;&gt;"&amp;0,Raw_Data[[#This Row],[POA_Down_IS2_W1]:[POA_Down_IS19_W6]])</f>
        <v>0.47330702777777772</v>
      </c>
      <c r="JC24" s="69">
        <f>Raw_Data[[#This Row],[GHI-Down(KWh/m2)]]/Raw_Data[[#This Row],[GHI-UP (KWh/m2)]]</f>
        <v>0.27443107921653154</v>
      </c>
      <c r="JD24" s="72">
        <f>Raw_Data[[#This Row],[POA-Down(KWh/m2)]]/Raw_Data[[#This Row],[POA-UP(KWh/m2)]]</f>
        <v>6.6843135552424104E-2</v>
      </c>
      <c r="JE24" s="68">
        <f>AVERAGEIF(Raw_Data[[#This Row],[Amb_Temp_IS2_W1]:[Amb_Temp_IS19_W6]],"&lt;&gt;"&amp;0,Raw_Data[[#This Row],[Amb_Temp_IS2_W1]:[Amb_Temp_IS19_W6]])</f>
        <v>38.062746703046848</v>
      </c>
      <c r="JF24" s="68">
        <f>AVERAGEIF(Raw_Data[[#This Row],[MT_Temp_IS2_W1]:[MT_Temp_IS19_W6]],"&lt;&gt;"&amp;0,Raw_Data[[#This Row],[MT_Temp_IS2_W1]:[MT_Temp_IS19_W6]])</f>
        <v>53.076479158708501</v>
      </c>
      <c r="JG24" s="68">
        <f>AVERAGEIF(Raw_Data[[#This Row],[WS_Avg_IS2_W1]:[WS_Avg_IS19_W6]],"&lt;&gt;"&amp;0,Raw_Data[[#This Row],[WS_Avg_IS2_W1]:[WS_Avg_IS19_W6]])</f>
        <v>2.298718273130969</v>
      </c>
      <c r="JH24" s="68">
        <f>AVERAGEIF(Raw_Data[[#This Row],[WS_Max_IS2_W1]:[WS_Max_IS19_W6]],"&lt;&gt;"&amp;0,Raw_Data[[#This Row],[WS_Max_IS2_W1]:[WS_Max_IS19_W6]])</f>
        <v>7.2505553333333337</v>
      </c>
      <c r="JI24" s="70">
        <f>SUM(Raw_Data[[#This Row],[IS1_INV1_M1]:[IS20_INV4_M2]])</f>
        <v>1912076.8000000005</v>
      </c>
      <c r="JJ24" s="73">
        <v>1854401.000000027</v>
      </c>
      <c r="JK24" s="71">
        <v>2235134.4223106685</v>
      </c>
      <c r="JL24" s="143">
        <f>IFERROR(Raw_Data[[#This Row],[WPR_Eac]]/Raw_Data[[#This Row],[WPR_Edc]],"")</f>
        <v>0.82965972045786773</v>
      </c>
      <c r="JM24" s="6">
        <v>30</v>
      </c>
      <c r="JN24" s="6">
        <v>1891</v>
      </c>
    </row>
    <row r="25" spans="2:274">
      <c r="B25" s="67">
        <f t="shared" si="21"/>
        <v>45764</v>
      </c>
      <c r="C25" s="9">
        <f>YEAR(Raw_Data[[#This Row],[Date]])+IF(MONTH(Raw_Data[[#This Row],[Date]])&gt;=4,1,0)</f>
        <v>2026</v>
      </c>
      <c r="D25" s="6">
        <f t="shared" si="152"/>
        <v>2025</v>
      </c>
      <c r="E25" s="7" t="s">
        <v>361</v>
      </c>
      <c r="F25" s="7" t="s">
        <v>361</v>
      </c>
      <c r="G25" s="8">
        <v>45748</v>
      </c>
      <c r="H25" s="6">
        <f t="shared" si="153"/>
        <v>30</v>
      </c>
      <c r="I25" s="9">
        <v>335090.89</v>
      </c>
      <c r="J25" s="10">
        <v>0.27569444444444446</v>
      </c>
      <c r="K25" s="10">
        <v>0.79652777777777772</v>
      </c>
      <c r="L25" s="9">
        <v>12200.7</v>
      </c>
      <c r="M25" s="9">
        <v>12652.4</v>
      </c>
      <c r="N25" s="9">
        <v>12591.6</v>
      </c>
      <c r="O25" s="9">
        <v>12618.2</v>
      </c>
      <c r="P25" s="9">
        <v>12648.5</v>
      </c>
      <c r="Q25" s="9">
        <v>12682.5</v>
      </c>
      <c r="R25" s="9">
        <v>12550.4</v>
      </c>
      <c r="S25" s="9">
        <v>12806.4</v>
      </c>
      <c r="T25" s="9">
        <v>12593.5</v>
      </c>
      <c r="U25" s="9">
        <v>12541.5</v>
      </c>
      <c r="V25" s="9">
        <v>12478.5</v>
      </c>
      <c r="W25" s="9">
        <v>12565.7</v>
      </c>
      <c r="X25" s="9">
        <v>12689</v>
      </c>
      <c r="Y25" s="9">
        <v>12542.1</v>
      </c>
      <c r="Z25" s="9">
        <v>12697.5</v>
      </c>
      <c r="AA25" s="9">
        <v>12779.8</v>
      </c>
      <c r="AB25" s="9">
        <v>12659.4</v>
      </c>
      <c r="AC25" s="9">
        <v>12699.5</v>
      </c>
      <c r="AD25" s="9">
        <v>12717.8</v>
      </c>
      <c r="AE25" s="9">
        <v>12785.8</v>
      </c>
      <c r="AF25" s="9">
        <v>12725.2</v>
      </c>
      <c r="AG25" s="9">
        <v>12747</v>
      </c>
      <c r="AH25" s="9">
        <v>12553.2</v>
      </c>
      <c r="AI25" s="9">
        <v>12651.1</v>
      </c>
      <c r="AJ25" s="9">
        <v>12499.8</v>
      </c>
      <c r="AK25" s="9">
        <v>11053.4</v>
      </c>
      <c r="AL25" s="9">
        <v>12512.8</v>
      </c>
      <c r="AM25" s="9">
        <v>12470.5</v>
      </c>
      <c r="AN25" s="9">
        <v>12713.9</v>
      </c>
      <c r="AO25" s="9">
        <v>12501.8</v>
      </c>
      <c r="AP25" s="9">
        <v>12580.5</v>
      </c>
      <c r="AQ25" s="9">
        <v>12761.2</v>
      </c>
      <c r="AR25" s="9">
        <v>12772.1</v>
      </c>
      <c r="AS25" s="9">
        <v>12927.9</v>
      </c>
      <c r="AT25" s="9">
        <v>12996.9</v>
      </c>
      <c r="AU25" s="9">
        <v>12888.6</v>
      </c>
      <c r="AV25" s="9">
        <v>12803.7</v>
      </c>
      <c r="AW25" s="9">
        <v>12654.6</v>
      </c>
      <c r="AX25" s="9">
        <v>12640.9</v>
      </c>
      <c r="AY25" s="9">
        <v>12634.3</v>
      </c>
      <c r="AZ25" s="9">
        <v>13409.9</v>
      </c>
      <c r="BA25" s="9">
        <v>12444.4</v>
      </c>
      <c r="BB25" s="9">
        <v>13286.4</v>
      </c>
      <c r="BC25" s="9">
        <v>12269</v>
      </c>
      <c r="BD25" s="9">
        <v>12675</v>
      </c>
      <c r="BE25" s="9">
        <v>13632.5</v>
      </c>
      <c r="BF25" s="9">
        <v>12088.6</v>
      </c>
      <c r="BG25" s="9">
        <v>13411.2</v>
      </c>
      <c r="BH25" s="9">
        <v>12674.2</v>
      </c>
      <c r="BI25" s="9">
        <v>12851.7</v>
      </c>
      <c r="BJ25" s="9">
        <v>12772</v>
      </c>
      <c r="BK25" s="9">
        <v>12183.3</v>
      </c>
      <c r="BL25" s="9">
        <v>13069.4</v>
      </c>
      <c r="BM25" s="9">
        <v>12774.2</v>
      </c>
      <c r="BN25" s="9">
        <v>13040.4</v>
      </c>
      <c r="BO25" s="9">
        <v>12776.6</v>
      </c>
      <c r="BP25" s="9">
        <v>11788.9</v>
      </c>
      <c r="BQ25" s="9">
        <v>13201.4</v>
      </c>
      <c r="BR25" s="9">
        <v>11816</v>
      </c>
      <c r="BS25" s="9">
        <v>13193.2</v>
      </c>
      <c r="BT25" s="9">
        <v>13094.1</v>
      </c>
      <c r="BU25" s="9">
        <v>11806.1</v>
      </c>
      <c r="BV25" s="9">
        <v>12707.8</v>
      </c>
      <c r="BW25" s="9">
        <v>12201.4</v>
      </c>
      <c r="BX25" s="9">
        <v>12459.6</v>
      </c>
      <c r="BY25" s="9">
        <v>11866.3</v>
      </c>
      <c r="BZ25" s="9">
        <v>12491.2</v>
      </c>
      <c r="CA25" s="9">
        <v>12890</v>
      </c>
      <c r="CB25" s="9">
        <v>13130.8</v>
      </c>
      <c r="CC25" s="9">
        <v>12113.1</v>
      </c>
      <c r="CD25" s="9">
        <v>13008.9</v>
      </c>
      <c r="CE25" s="9">
        <v>11640.9</v>
      </c>
      <c r="CF25" s="9">
        <v>12709.9</v>
      </c>
      <c r="CG25" s="9">
        <v>12553.7</v>
      </c>
      <c r="CH25" s="9">
        <v>11919</v>
      </c>
      <c r="CI25" s="9">
        <v>12969.7</v>
      </c>
      <c r="CJ25" s="9">
        <v>11709</v>
      </c>
      <c r="CK25" s="9">
        <v>13157.3</v>
      </c>
      <c r="CL25" s="9">
        <v>11844</v>
      </c>
      <c r="CM25" s="9">
        <v>12934.5</v>
      </c>
      <c r="CN25" s="9">
        <v>12174.5</v>
      </c>
      <c r="CO25" s="9">
        <v>12897.4</v>
      </c>
      <c r="CP25" s="9">
        <v>12233.2</v>
      </c>
      <c r="CQ25" s="9">
        <v>13226.6</v>
      </c>
      <c r="CR25" s="9">
        <v>12126.1</v>
      </c>
      <c r="CS25" s="9">
        <v>12746.1</v>
      </c>
      <c r="CT25" s="9">
        <v>12029.4</v>
      </c>
      <c r="CU25" s="9">
        <v>10668</v>
      </c>
      <c r="CV25" s="9">
        <v>12745.2</v>
      </c>
      <c r="CW25" s="9">
        <v>12545.8</v>
      </c>
      <c r="CX25" s="9">
        <v>11747.2</v>
      </c>
      <c r="CY25" s="9">
        <v>13126.9</v>
      </c>
      <c r="CZ25" s="9">
        <v>12836.1</v>
      </c>
      <c r="DA25" s="9">
        <v>11969.3</v>
      </c>
      <c r="DB25" s="9">
        <v>11764.4</v>
      </c>
      <c r="DC25" s="9">
        <v>12887.5</v>
      </c>
      <c r="DD25" s="9">
        <v>11624.1</v>
      </c>
      <c r="DE25" s="9">
        <v>12287.6</v>
      </c>
      <c r="DF25" s="9">
        <v>13074.5</v>
      </c>
      <c r="DG25" s="9">
        <v>11866</v>
      </c>
      <c r="DH25" s="9">
        <v>13129.2</v>
      </c>
      <c r="DI25" s="9">
        <v>11839.7</v>
      </c>
      <c r="DJ25" s="9">
        <v>12927.6</v>
      </c>
      <c r="DK25" s="9">
        <v>12049.4</v>
      </c>
      <c r="DL25" s="9">
        <v>12967.8</v>
      </c>
      <c r="DM25" s="9">
        <v>11443.3</v>
      </c>
      <c r="DN25" s="9">
        <v>13066.9</v>
      </c>
      <c r="DO25" s="9">
        <v>12059.9</v>
      </c>
      <c r="DP25" s="9">
        <v>12943.4</v>
      </c>
      <c r="DQ25" s="9">
        <v>11983.9</v>
      </c>
      <c r="DR25" s="9">
        <v>12971.4</v>
      </c>
      <c r="DS25" s="9">
        <v>12231.7</v>
      </c>
      <c r="DT25" s="9">
        <v>11889.1</v>
      </c>
      <c r="DU25" s="9">
        <v>12825.5</v>
      </c>
      <c r="DV25" s="9">
        <v>12044.4</v>
      </c>
      <c r="DW25" s="9">
        <v>11747.2</v>
      </c>
      <c r="DX25" s="9">
        <v>12904.4</v>
      </c>
      <c r="DY25" s="9">
        <v>13072.9</v>
      </c>
      <c r="DZ25" s="9">
        <v>12858</v>
      </c>
      <c r="EA25" s="9">
        <v>12055.2</v>
      </c>
      <c r="EB25" s="9">
        <v>13013.9</v>
      </c>
      <c r="EC25" s="9">
        <v>11899.5</v>
      </c>
      <c r="ED25" s="9">
        <v>12717.1</v>
      </c>
      <c r="EE25" s="9">
        <v>12071.6</v>
      </c>
      <c r="EF25" s="9">
        <v>12546.1</v>
      </c>
      <c r="EG25" s="9">
        <v>11138</v>
      </c>
      <c r="EH25" s="9">
        <v>12806</v>
      </c>
      <c r="EI25" s="9">
        <v>11917.1</v>
      </c>
      <c r="EJ25" s="9">
        <v>11835.4</v>
      </c>
      <c r="EK25" s="9">
        <v>11728.6</v>
      </c>
      <c r="EL25" s="9">
        <v>11711.9</v>
      </c>
      <c r="EM25" s="9">
        <v>10093.299999999999</v>
      </c>
      <c r="EN25" s="9">
        <v>11552.5</v>
      </c>
      <c r="EO25" s="9">
        <v>10321.700000000001</v>
      </c>
      <c r="EP25" s="9">
        <v>11476.3</v>
      </c>
      <c r="EQ25" s="9">
        <v>11556.5</v>
      </c>
      <c r="ER25" s="9">
        <v>13428</v>
      </c>
      <c r="ES25" s="9">
        <v>12125</v>
      </c>
      <c r="ET25" s="9">
        <v>13486</v>
      </c>
      <c r="EU25" s="9">
        <v>12403</v>
      </c>
      <c r="EV25" s="9">
        <v>13373</v>
      </c>
      <c r="EW25" s="9">
        <v>12179</v>
      </c>
      <c r="EX25" s="9">
        <v>12377</v>
      </c>
      <c r="EY25" s="9">
        <v>11948</v>
      </c>
      <c r="EZ25" s="9">
        <v>13180.9</v>
      </c>
      <c r="FA25" s="9">
        <v>13518.8</v>
      </c>
      <c r="FB25" s="9">
        <v>13441.2</v>
      </c>
      <c r="FC25" s="9">
        <v>13354.5</v>
      </c>
      <c r="FD25" s="9">
        <v>13356.4</v>
      </c>
      <c r="FE25" s="9">
        <v>13390.5</v>
      </c>
      <c r="FF25" s="9">
        <v>12509.6</v>
      </c>
      <c r="FG25" s="9">
        <v>13418.7</v>
      </c>
      <c r="FH25" s="9">
        <v>13488.7</v>
      </c>
      <c r="FI25" s="9">
        <v>13486.6</v>
      </c>
      <c r="FJ25" s="9">
        <v>13503.5</v>
      </c>
      <c r="FK25" s="9">
        <v>13471.1</v>
      </c>
      <c r="FL25" s="9">
        <v>13511.8</v>
      </c>
      <c r="FM25" s="9">
        <v>12515.4</v>
      </c>
      <c r="FN25" s="9">
        <v>13550.4</v>
      </c>
      <c r="FO25" s="9">
        <v>12563.8</v>
      </c>
      <c r="FP25" s="11">
        <v>36.4</v>
      </c>
      <c r="FQ25" s="11">
        <v>36.06</v>
      </c>
      <c r="FR25" s="11">
        <v>36.659999999999997</v>
      </c>
      <c r="FS25" s="11">
        <v>36.17</v>
      </c>
      <c r="FT25" s="11">
        <v>36.07</v>
      </c>
      <c r="FU25" s="11">
        <v>36.369999999999997</v>
      </c>
      <c r="FV25" s="11">
        <v>0</v>
      </c>
      <c r="FW25" s="11">
        <v>50.17</v>
      </c>
      <c r="FX25" s="11">
        <v>0</v>
      </c>
      <c r="FY25" s="11">
        <v>0</v>
      </c>
      <c r="FZ25" s="11">
        <v>50.67</v>
      </c>
      <c r="GA25" s="11">
        <v>51.24</v>
      </c>
      <c r="GB25" s="11">
        <v>4.43</v>
      </c>
      <c r="GC25" s="11">
        <v>4.78</v>
      </c>
      <c r="GD25" s="11">
        <v>4.08</v>
      </c>
      <c r="GE25" s="11">
        <v>4.08</v>
      </c>
      <c r="GF25" s="11">
        <v>4.63</v>
      </c>
      <c r="GG25" s="11">
        <v>4.46</v>
      </c>
      <c r="GH25" s="11">
        <v>8.07</v>
      </c>
      <c r="GI25" s="11">
        <v>8.35</v>
      </c>
      <c r="GJ25" s="11">
        <v>8.09</v>
      </c>
      <c r="GK25" s="11">
        <v>8.14</v>
      </c>
      <c r="GL25" s="11">
        <v>8.39</v>
      </c>
      <c r="GM25" s="11">
        <v>8.17</v>
      </c>
      <c r="GN25" s="11">
        <v>7.19</v>
      </c>
      <c r="GO25" s="11">
        <v>7.28</v>
      </c>
      <c r="GP25" s="11">
        <v>7.25</v>
      </c>
      <c r="GQ25" s="11">
        <v>7.14</v>
      </c>
      <c r="GR25" s="11">
        <v>7.27</v>
      </c>
      <c r="GS25" s="11">
        <v>7.3</v>
      </c>
      <c r="GT25" s="108">
        <v>1.89</v>
      </c>
      <c r="GU25" s="108">
        <v>1.98</v>
      </c>
      <c r="GV25" s="108">
        <v>1.76</v>
      </c>
      <c r="GW25" s="108">
        <v>2.34</v>
      </c>
      <c r="GX25" s="108">
        <v>2.0499999999999998</v>
      </c>
      <c r="GY25" s="108">
        <v>1.91</v>
      </c>
      <c r="GZ25" s="13">
        <v>7.47</v>
      </c>
      <c r="HA25" s="13">
        <v>7.47</v>
      </c>
      <c r="HB25" s="13">
        <v>7.36</v>
      </c>
      <c r="HC25" s="13">
        <v>7.4</v>
      </c>
      <c r="HD25" s="13">
        <v>7.42</v>
      </c>
      <c r="HE25" s="13">
        <v>7.44</v>
      </c>
      <c r="HF25" s="13">
        <v>0.5</v>
      </c>
      <c r="HG25" s="13">
        <v>0.55000000000000004</v>
      </c>
      <c r="HH25" s="13">
        <v>0.47</v>
      </c>
      <c r="HI25" s="13">
        <v>0.51</v>
      </c>
      <c r="HJ25" s="13">
        <v>0.47</v>
      </c>
      <c r="HK25" s="13">
        <v>0.53</v>
      </c>
      <c r="HL25" s="12">
        <v>0</v>
      </c>
      <c r="HM25" s="12">
        <v>0</v>
      </c>
      <c r="HN25" s="12">
        <v>0</v>
      </c>
      <c r="HO25" s="12">
        <v>0</v>
      </c>
      <c r="HP25" s="12">
        <v>0</v>
      </c>
      <c r="HQ25" s="12">
        <v>0</v>
      </c>
      <c r="HR25" s="12">
        <v>0</v>
      </c>
      <c r="HS25" s="12">
        <v>0</v>
      </c>
      <c r="HT25" s="12">
        <v>0</v>
      </c>
      <c r="HU25" s="12">
        <v>0</v>
      </c>
      <c r="HV25" s="12">
        <v>0</v>
      </c>
      <c r="HW25" s="12">
        <v>0</v>
      </c>
      <c r="HX25" s="9">
        <v>914086</v>
      </c>
      <c r="HY25" s="9">
        <v>1716</v>
      </c>
      <c r="HZ25" s="9">
        <v>900968</v>
      </c>
      <c r="IA25" s="9">
        <v>1739</v>
      </c>
      <c r="IB25" s="11">
        <v>120111.67600000001</v>
      </c>
      <c r="IC25" s="11">
        <v>269.66699999999997</v>
      </c>
      <c r="ID25" s="14">
        <f t="shared" ref="ID25:II25" si="194">GN25-HL25</f>
        <v>7.19</v>
      </c>
      <c r="IE25" s="14">
        <f t="shared" si="194"/>
        <v>7.28</v>
      </c>
      <c r="IF25" s="14">
        <f t="shared" si="194"/>
        <v>7.25</v>
      </c>
      <c r="IG25" s="14">
        <f t="shared" si="194"/>
        <v>7.14</v>
      </c>
      <c r="IH25" s="14">
        <f t="shared" si="194"/>
        <v>7.27</v>
      </c>
      <c r="II25" s="14">
        <f t="shared" si="194"/>
        <v>7.3</v>
      </c>
      <c r="IJ25" s="15">
        <f t="shared" ref="IJ25:IO25" si="195">GZ25-HR25</f>
        <v>7.47</v>
      </c>
      <c r="IK25" s="15">
        <f t="shared" si="195"/>
        <v>7.47</v>
      </c>
      <c r="IL25" s="15">
        <f t="shared" si="195"/>
        <v>7.36</v>
      </c>
      <c r="IM25" s="15">
        <f t="shared" si="195"/>
        <v>7.4</v>
      </c>
      <c r="IN25" s="15">
        <f t="shared" si="195"/>
        <v>7.42</v>
      </c>
      <c r="IO25" s="15">
        <f t="shared" si="195"/>
        <v>7.44</v>
      </c>
      <c r="IP25" s="16">
        <f t="shared" ref="IP25" si="196">(HX25-HX24)*1000</f>
        <v>978000</v>
      </c>
      <c r="IQ25" s="16">
        <f t="shared" ref="IQ25" si="197">(HY25-HY24)*1000</f>
        <v>1000</v>
      </c>
      <c r="IR25" s="16">
        <f t="shared" ref="IR25" si="198">(HZ25-HZ24)*1000</f>
        <v>996000</v>
      </c>
      <c r="IS25" s="16">
        <f t="shared" ref="IS25" si="199">(IA25-IA24)*1000</f>
        <v>0</v>
      </c>
      <c r="IT25" s="16">
        <f t="shared" ref="IT25" si="200">(IB25-IB24)*1000</f>
        <v>1993800.0000000028</v>
      </c>
      <c r="IU25" s="16">
        <f t="shared" ref="IU25" si="201">(IC25-IC24)*1000</f>
        <v>4399.9999999999773</v>
      </c>
      <c r="IV25" s="17">
        <f t="shared" ref="IV25" si="202">(IP25+IR25)-(IQ25+IS25)</f>
        <v>1973000</v>
      </c>
      <c r="IW25" s="17">
        <f t="shared" ref="IW25" si="203">IT25-IU25</f>
        <v>1989400.0000000028</v>
      </c>
      <c r="IX25" s="19">
        <f>(Raw_Data[[#This Row],[Sunset Time (POA&lt;20 W/m2)]]-Raw_Data[[#This Row],[Sunrise Time (POA&gt;20 W/m2)]])*24</f>
        <v>12.499999999999998</v>
      </c>
      <c r="IY25" s="68">
        <f>AVERAGEIF(Raw_Data[[#This Row],[GHI_UP_Net_IS2_W1]:[GHI_UP_Net_IS19_W6]],"&lt;&gt;"&amp;0,Raw_Data[[#This Row],[GHI_UP_Net_IS2_W1]:[GHI_UP_Net_IS19_W6]])</f>
        <v>7.2383333333333324</v>
      </c>
      <c r="IZ25" s="68">
        <f>AVERAGEIF(Raw_Data[[#This Row],[GHI_Down_IS2_W1]:[GHI_Down_IS19_W6]],"&lt;&gt;"&amp;0,Raw_Data[[#This Row],[GHI_Down_IS2_W1]:[GHI_Down_IS19_W6]])</f>
        <v>1.9883333333333333</v>
      </c>
      <c r="JA25" s="68">
        <f>AVERAGEIF(Raw_Data[[#This Row],[POA_Up_IS2_W1]:[POA_Up_IS19_W6]],"&lt;&gt;"&amp;0,Raw_Data[[#This Row],[POA_Up_IS2_W1]:[POA_Up_IS19_W6]])</f>
        <v>7.4266666666666667</v>
      </c>
      <c r="JB25" s="68">
        <f>AVERAGEIF(Raw_Data[[#This Row],[POA_Down_IS2_W1]:[POA_Down_IS19_W6]],"&lt;&gt;"&amp;0,Raw_Data[[#This Row],[POA_Down_IS2_W1]:[POA_Down_IS19_W6]])</f>
        <v>0.505</v>
      </c>
      <c r="JC25" s="69">
        <f>Raw_Data[[#This Row],[GHI-Down(KWh/m2)]]/Raw_Data[[#This Row],[GHI-UP (KWh/m2)]]</f>
        <v>0.27469491135160029</v>
      </c>
      <c r="JD25" s="72">
        <f>Raw_Data[[#This Row],[POA-Down(KWh/m2)]]/Raw_Data[[#This Row],[POA-UP(KWh/m2)]]</f>
        <v>6.7998204667863549E-2</v>
      </c>
      <c r="JE25" s="68">
        <f>AVERAGEIF(Raw_Data[[#This Row],[Amb_Temp_IS2_W1]:[Amb_Temp_IS19_W6]],"&lt;&gt;"&amp;0,Raw_Data[[#This Row],[Amb_Temp_IS2_W1]:[Amb_Temp_IS19_W6]])</f>
        <v>36.288333333333334</v>
      </c>
      <c r="JF25" s="68">
        <f>AVERAGEIF(Raw_Data[[#This Row],[MT_Temp_IS2_W1]:[MT_Temp_IS19_W6]],"&lt;&gt;"&amp;0,Raw_Data[[#This Row],[MT_Temp_IS2_W1]:[MT_Temp_IS19_W6]])</f>
        <v>50.693333333333335</v>
      </c>
      <c r="JG25" s="68">
        <f>AVERAGEIF(Raw_Data[[#This Row],[WS_Avg_IS2_W1]:[WS_Avg_IS19_W6]],"&lt;&gt;"&amp;0,Raw_Data[[#This Row],[WS_Avg_IS2_W1]:[WS_Avg_IS19_W6]])</f>
        <v>4.41</v>
      </c>
      <c r="JH25" s="68">
        <f>AVERAGEIF(Raw_Data[[#This Row],[WS_Max_IS2_W1]:[WS_Max_IS19_W6]],"&lt;&gt;"&amp;0,Raw_Data[[#This Row],[WS_Max_IS2_W1]:[WS_Max_IS19_W6]])</f>
        <v>8.201666666666668</v>
      </c>
      <c r="JI25" s="70">
        <f>SUM(Raw_Data[[#This Row],[IS1_INV1_M1]:[IS20_INV4_M2]])</f>
        <v>2006708.9999999995</v>
      </c>
      <c r="JJ25" s="73">
        <v>1953533.0000000102</v>
      </c>
      <c r="JK25" s="71">
        <v>2395841.7796439012</v>
      </c>
      <c r="JL25" s="143">
        <f>IFERROR(Raw_Data[[#This Row],[WPR_Eac]]/Raw_Data[[#This Row],[WPR_Edc]],"")</f>
        <v>0.8153848123853854</v>
      </c>
      <c r="JM25" s="6">
        <v>32</v>
      </c>
      <c r="JN25" s="6">
        <v>0</v>
      </c>
    </row>
    <row r="26" spans="2:274">
      <c r="B26" s="67">
        <f t="shared" si="21"/>
        <v>45765</v>
      </c>
      <c r="C26" s="9">
        <f>YEAR(Raw_Data[[#This Row],[Date]])+IF(MONTH(Raw_Data[[#This Row],[Date]])&gt;=4,1,0)</f>
        <v>2026</v>
      </c>
      <c r="D26" s="6">
        <f t="shared" si="152"/>
        <v>2025</v>
      </c>
      <c r="E26" s="7" t="s">
        <v>361</v>
      </c>
      <c r="F26" s="7" t="s">
        <v>361</v>
      </c>
      <c r="G26" s="8">
        <v>45748</v>
      </c>
      <c r="H26" s="6">
        <f t="shared" si="153"/>
        <v>30</v>
      </c>
      <c r="I26" s="9">
        <v>335090.89</v>
      </c>
      <c r="J26" s="10">
        <v>0.27500000000000002</v>
      </c>
      <c r="K26" s="10">
        <v>0.79513888888888884</v>
      </c>
      <c r="L26" s="9">
        <v>11115.1</v>
      </c>
      <c r="M26" s="9">
        <v>11566.5</v>
      </c>
      <c r="N26" s="9">
        <v>11508.7</v>
      </c>
      <c r="O26" s="9">
        <v>11534.5</v>
      </c>
      <c r="P26" s="9">
        <v>11576.9</v>
      </c>
      <c r="Q26" s="9">
        <v>11600.6</v>
      </c>
      <c r="R26" s="9">
        <v>11494</v>
      </c>
      <c r="S26" s="9">
        <v>11800.1</v>
      </c>
      <c r="T26" s="9">
        <v>11536.6</v>
      </c>
      <c r="U26" s="9">
        <v>11483</v>
      </c>
      <c r="V26" s="9">
        <v>11396.9</v>
      </c>
      <c r="W26" s="9">
        <v>11500</v>
      </c>
      <c r="X26" s="9">
        <v>11576.1</v>
      </c>
      <c r="Y26" s="9">
        <v>11465</v>
      </c>
      <c r="Z26" s="9">
        <v>11595.7</v>
      </c>
      <c r="AA26" s="9">
        <v>11655.2</v>
      </c>
      <c r="AB26" s="9">
        <v>11562.1</v>
      </c>
      <c r="AC26" s="9">
        <v>11600.3</v>
      </c>
      <c r="AD26" s="9">
        <v>11604.1</v>
      </c>
      <c r="AE26" s="9">
        <v>11660.4</v>
      </c>
      <c r="AF26" s="9">
        <v>11617.2</v>
      </c>
      <c r="AG26" s="9">
        <v>11620.2</v>
      </c>
      <c r="AH26" s="9">
        <v>11458.8</v>
      </c>
      <c r="AI26" s="9">
        <v>11540.9</v>
      </c>
      <c r="AJ26" s="9">
        <v>11391.5</v>
      </c>
      <c r="AK26" s="9">
        <v>10118.4</v>
      </c>
      <c r="AL26" s="9">
        <v>11400.1</v>
      </c>
      <c r="AM26" s="9">
        <v>11364.7</v>
      </c>
      <c r="AN26" s="9">
        <v>11611.4</v>
      </c>
      <c r="AO26" s="9">
        <v>11453.7</v>
      </c>
      <c r="AP26" s="9">
        <v>11468.8</v>
      </c>
      <c r="AQ26" s="9">
        <v>11642.4</v>
      </c>
      <c r="AR26" s="9">
        <v>11682.6</v>
      </c>
      <c r="AS26" s="9">
        <v>11798.8</v>
      </c>
      <c r="AT26" s="9">
        <v>11880.4</v>
      </c>
      <c r="AU26" s="9">
        <v>11782.2</v>
      </c>
      <c r="AV26" s="9">
        <v>11690.8</v>
      </c>
      <c r="AW26" s="9">
        <v>11538</v>
      </c>
      <c r="AX26" s="9">
        <v>11543.4</v>
      </c>
      <c r="AY26" s="9">
        <v>11542.8</v>
      </c>
      <c r="AZ26" s="9">
        <v>12281.2</v>
      </c>
      <c r="BA26" s="9">
        <v>11345</v>
      </c>
      <c r="BB26" s="9">
        <v>12158.6</v>
      </c>
      <c r="BC26" s="9">
        <v>11189</v>
      </c>
      <c r="BD26" s="9">
        <v>11637.4</v>
      </c>
      <c r="BE26" s="9">
        <v>12569.4</v>
      </c>
      <c r="BF26" s="9">
        <v>11038</v>
      </c>
      <c r="BG26" s="9">
        <v>12285.6</v>
      </c>
      <c r="BH26" s="9">
        <v>11567.6</v>
      </c>
      <c r="BI26" s="9">
        <v>11742</v>
      </c>
      <c r="BJ26" s="9">
        <v>11654.1</v>
      </c>
      <c r="BK26" s="9">
        <v>11095.5</v>
      </c>
      <c r="BL26" s="9">
        <v>11968.8</v>
      </c>
      <c r="BM26" s="9">
        <v>11696.9</v>
      </c>
      <c r="BN26" s="9">
        <v>11931.6</v>
      </c>
      <c r="BO26" s="9">
        <v>11678.3</v>
      </c>
      <c r="BP26" s="9">
        <v>10756.8</v>
      </c>
      <c r="BQ26" s="9">
        <v>12086.7</v>
      </c>
      <c r="BR26" s="9">
        <v>10792.2</v>
      </c>
      <c r="BS26" s="9">
        <v>12069.5</v>
      </c>
      <c r="BT26" s="9">
        <v>11960.1</v>
      </c>
      <c r="BU26" s="9">
        <v>10776</v>
      </c>
      <c r="BV26" s="9">
        <v>11625.9</v>
      </c>
      <c r="BW26" s="9">
        <v>11121.4</v>
      </c>
      <c r="BX26" s="9">
        <v>11379.9</v>
      </c>
      <c r="BY26" s="9">
        <v>10808</v>
      </c>
      <c r="BZ26" s="9">
        <v>11367.2</v>
      </c>
      <c r="CA26" s="9">
        <v>11758.7</v>
      </c>
      <c r="CB26" s="9">
        <v>12004.7</v>
      </c>
      <c r="CC26" s="9">
        <v>10992.6</v>
      </c>
      <c r="CD26" s="9">
        <v>11855.6</v>
      </c>
      <c r="CE26" s="9">
        <v>10577.5</v>
      </c>
      <c r="CF26" s="9">
        <v>11590.1</v>
      </c>
      <c r="CG26" s="9">
        <v>11414.9</v>
      </c>
      <c r="CH26" s="9">
        <v>10835.7</v>
      </c>
      <c r="CI26" s="9">
        <v>11856.2</v>
      </c>
      <c r="CJ26" s="9">
        <v>10663.2</v>
      </c>
      <c r="CK26" s="9">
        <v>12041.5</v>
      </c>
      <c r="CL26" s="9">
        <v>10790.1</v>
      </c>
      <c r="CM26" s="9">
        <v>11829.8</v>
      </c>
      <c r="CN26" s="9">
        <v>11040.5</v>
      </c>
      <c r="CO26" s="9">
        <v>11754.5</v>
      </c>
      <c r="CP26" s="9">
        <v>11112.9</v>
      </c>
      <c r="CQ26" s="9">
        <v>12092</v>
      </c>
      <c r="CR26" s="9">
        <v>11009.7</v>
      </c>
      <c r="CS26" s="9">
        <v>11627.4</v>
      </c>
      <c r="CT26" s="9">
        <v>10950.3</v>
      </c>
      <c r="CU26" s="9">
        <v>9719.9</v>
      </c>
      <c r="CV26" s="9">
        <v>11668</v>
      </c>
      <c r="CW26" s="9">
        <v>11456.5</v>
      </c>
      <c r="CX26" s="9">
        <v>10704.5</v>
      </c>
      <c r="CY26" s="9">
        <v>12052.1</v>
      </c>
      <c r="CZ26" s="9">
        <v>11760.4</v>
      </c>
      <c r="DA26" s="9">
        <v>10949.8</v>
      </c>
      <c r="DB26" s="9">
        <v>10825.1</v>
      </c>
      <c r="DC26" s="9">
        <v>11826.2</v>
      </c>
      <c r="DD26" s="9">
        <v>10670.6</v>
      </c>
      <c r="DE26" s="9">
        <v>11199.4</v>
      </c>
      <c r="DF26" s="9">
        <v>11997</v>
      </c>
      <c r="DG26" s="9">
        <v>10803.6</v>
      </c>
      <c r="DH26" s="9">
        <v>12025</v>
      </c>
      <c r="DI26" s="9">
        <v>10774.5</v>
      </c>
      <c r="DJ26" s="9">
        <v>11816.6</v>
      </c>
      <c r="DK26" s="9">
        <v>10980.6</v>
      </c>
      <c r="DL26" s="9">
        <v>11864.8</v>
      </c>
      <c r="DM26" s="9">
        <v>10442</v>
      </c>
      <c r="DN26" s="9">
        <v>11946.3</v>
      </c>
      <c r="DO26" s="9">
        <v>10957.5</v>
      </c>
      <c r="DP26" s="9">
        <v>11827.2</v>
      </c>
      <c r="DQ26" s="9">
        <v>10908.3</v>
      </c>
      <c r="DR26" s="9">
        <v>11855.8</v>
      </c>
      <c r="DS26" s="9">
        <v>11116.3</v>
      </c>
      <c r="DT26" s="9">
        <v>10817.4</v>
      </c>
      <c r="DU26" s="9">
        <v>11719.5</v>
      </c>
      <c r="DV26" s="9">
        <v>10961.7</v>
      </c>
      <c r="DW26" s="9">
        <v>10706.8</v>
      </c>
      <c r="DX26" s="9">
        <v>11813.1</v>
      </c>
      <c r="DY26" s="9">
        <v>11952</v>
      </c>
      <c r="DZ26" s="9">
        <v>11758.4</v>
      </c>
      <c r="EA26" s="9">
        <v>10958.4</v>
      </c>
      <c r="EB26" s="9">
        <v>11891.1</v>
      </c>
      <c r="EC26" s="9">
        <v>10822</v>
      </c>
      <c r="ED26" s="9">
        <v>11603.9</v>
      </c>
      <c r="EE26" s="9">
        <v>10969.5</v>
      </c>
      <c r="EF26" s="9">
        <v>11370.9</v>
      </c>
      <c r="EG26" s="9">
        <v>10175.5</v>
      </c>
      <c r="EH26" s="9">
        <v>11681.8</v>
      </c>
      <c r="EI26" s="9">
        <v>10848.8</v>
      </c>
      <c r="EJ26" s="9">
        <v>10837.8</v>
      </c>
      <c r="EK26" s="9">
        <v>10779.3</v>
      </c>
      <c r="EL26" s="9">
        <v>10725.1</v>
      </c>
      <c r="EM26" s="9">
        <v>9278.2000000000007</v>
      </c>
      <c r="EN26" s="9">
        <v>10622.3</v>
      </c>
      <c r="EO26" s="9">
        <v>9467.4</v>
      </c>
      <c r="EP26" s="9">
        <v>10575</v>
      </c>
      <c r="EQ26" s="9">
        <v>10615.2</v>
      </c>
      <c r="ER26" s="9">
        <v>12348.7</v>
      </c>
      <c r="ES26" s="9">
        <v>11041.3</v>
      </c>
      <c r="ET26" s="9">
        <v>12401.4</v>
      </c>
      <c r="EU26" s="9">
        <v>11295.1</v>
      </c>
      <c r="EV26" s="9">
        <v>12277.7</v>
      </c>
      <c r="EW26" s="9">
        <v>11076</v>
      </c>
      <c r="EX26" s="9">
        <v>11247.6</v>
      </c>
      <c r="EY26" s="9">
        <v>10907.5</v>
      </c>
      <c r="EZ26" s="9">
        <v>12086.7</v>
      </c>
      <c r="FA26" s="9">
        <v>12428.5</v>
      </c>
      <c r="FB26" s="9">
        <v>12317.6</v>
      </c>
      <c r="FC26" s="9">
        <v>12256.3</v>
      </c>
      <c r="FD26" s="9">
        <v>12267</v>
      </c>
      <c r="FE26" s="9">
        <v>12296.1</v>
      </c>
      <c r="FF26" s="9">
        <v>11385.5</v>
      </c>
      <c r="FG26" s="9">
        <v>12314.5</v>
      </c>
      <c r="FH26" s="9">
        <v>12403.1</v>
      </c>
      <c r="FI26" s="9">
        <v>12408.3</v>
      </c>
      <c r="FJ26" s="9">
        <v>12443.2</v>
      </c>
      <c r="FK26" s="9">
        <v>12390.2</v>
      </c>
      <c r="FL26" s="9">
        <v>12436.8</v>
      </c>
      <c r="FM26" s="9">
        <v>11407.9</v>
      </c>
      <c r="FN26" s="9">
        <v>12453.4</v>
      </c>
      <c r="FO26" s="9">
        <v>11449.2</v>
      </c>
      <c r="FP26" s="11">
        <v>37.79</v>
      </c>
      <c r="FQ26" s="11">
        <v>37.35</v>
      </c>
      <c r="FR26" s="11">
        <v>37.64</v>
      </c>
      <c r="FS26" s="11">
        <v>37.479999999999997</v>
      </c>
      <c r="FT26" s="11">
        <v>37.4</v>
      </c>
      <c r="FU26" s="11">
        <v>37.65</v>
      </c>
      <c r="FV26" s="11">
        <v>0</v>
      </c>
      <c r="FW26" s="11">
        <v>46.76</v>
      </c>
      <c r="FX26" s="11">
        <v>0</v>
      </c>
      <c r="FY26" s="11">
        <v>0</v>
      </c>
      <c r="FZ26" s="11">
        <v>46.41</v>
      </c>
      <c r="GA26" s="11">
        <v>47.35</v>
      </c>
      <c r="GB26" s="11">
        <v>8.59</v>
      </c>
      <c r="GC26" s="11">
        <v>8.7200000000000006</v>
      </c>
      <c r="GD26" s="11">
        <v>8.4600000000000009</v>
      </c>
      <c r="GE26" s="11">
        <v>8.02</v>
      </c>
      <c r="GF26" s="11">
        <v>8.7200000000000006</v>
      </c>
      <c r="GG26" s="11">
        <v>8.75</v>
      </c>
      <c r="GH26" s="11">
        <v>15.18</v>
      </c>
      <c r="GI26" s="11">
        <v>15.7</v>
      </c>
      <c r="GJ26" s="11">
        <v>14.62</v>
      </c>
      <c r="GK26" s="11">
        <v>15.46</v>
      </c>
      <c r="GL26" s="11">
        <v>15.53</v>
      </c>
      <c r="GM26" s="11">
        <v>14.9</v>
      </c>
      <c r="GN26" s="11">
        <v>6.57</v>
      </c>
      <c r="GO26" s="11">
        <v>6.64</v>
      </c>
      <c r="GP26" s="11">
        <v>6.6</v>
      </c>
      <c r="GQ26" s="11">
        <v>6.48</v>
      </c>
      <c r="GR26" s="11">
        <v>6.6</v>
      </c>
      <c r="GS26" s="11">
        <v>6.65</v>
      </c>
      <c r="GT26" s="108">
        <v>1.85</v>
      </c>
      <c r="GU26" s="108">
        <v>1.78</v>
      </c>
      <c r="GV26" s="108">
        <v>1.72</v>
      </c>
      <c r="GW26" s="108">
        <v>2.19</v>
      </c>
      <c r="GX26" s="108">
        <v>1.92</v>
      </c>
      <c r="GY26" s="108">
        <v>1.69</v>
      </c>
      <c r="GZ26" s="13">
        <v>6.73</v>
      </c>
      <c r="HA26" s="13">
        <v>6.78</v>
      </c>
      <c r="HB26" s="13">
        <v>6.66</v>
      </c>
      <c r="HC26" s="13">
        <v>6.69</v>
      </c>
      <c r="HD26" s="13">
        <v>6.73</v>
      </c>
      <c r="HE26" s="13">
        <v>6.66</v>
      </c>
      <c r="HF26" s="13">
        <v>0.52</v>
      </c>
      <c r="HG26" s="13">
        <v>0.57999999999999996</v>
      </c>
      <c r="HH26" s="13">
        <v>0.49</v>
      </c>
      <c r="HI26" s="13">
        <v>0.53</v>
      </c>
      <c r="HJ26" s="13">
        <v>0.51</v>
      </c>
      <c r="HK26" s="13">
        <v>0.56000000000000005</v>
      </c>
      <c r="HL26" s="12">
        <v>0</v>
      </c>
      <c r="HM26" s="12">
        <v>0</v>
      </c>
      <c r="HN26" s="12">
        <v>0</v>
      </c>
      <c r="HO26" s="12">
        <v>0</v>
      </c>
      <c r="HP26" s="12">
        <v>0</v>
      </c>
      <c r="HQ26" s="12">
        <v>0</v>
      </c>
      <c r="HR26" s="12">
        <v>0</v>
      </c>
      <c r="HS26" s="12">
        <v>0</v>
      </c>
      <c r="HT26" s="12">
        <v>0</v>
      </c>
      <c r="HU26" s="12">
        <v>0</v>
      </c>
      <c r="HV26" s="12">
        <v>0</v>
      </c>
      <c r="HW26" s="12">
        <v>0</v>
      </c>
      <c r="HX26" s="9">
        <v>915005</v>
      </c>
      <c r="HY26" s="9">
        <v>1717</v>
      </c>
      <c r="HZ26" s="9">
        <v>901877</v>
      </c>
      <c r="IA26" s="9">
        <v>1741</v>
      </c>
      <c r="IB26" s="11">
        <v>121935.143</v>
      </c>
      <c r="IC26" s="11">
        <v>273.93299999999999</v>
      </c>
      <c r="ID26" s="14">
        <f t="shared" ref="ID26:II26" si="204">GN26-HL26</f>
        <v>6.57</v>
      </c>
      <c r="IE26" s="14">
        <f t="shared" si="204"/>
        <v>6.64</v>
      </c>
      <c r="IF26" s="14">
        <f t="shared" si="204"/>
        <v>6.6</v>
      </c>
      <c r="IG26" s="14">
        <f t="shared" si="204"/>
        <v>6.48</v>
      </c>
      <c r="IH26" s="14">
        <f t="shared" si="204"/>
        <v>6.6</v>
      </c>
      <c r="II26" s="14">
        <f t="shared" si="204"/>
        <v>6.65</v>
      </c>
      <c r="IJ26" s="15">
        <f t="shared" ref="IJ26:IO26" si="205">GZ26-HR26</f>
        <v>6.73</v>
      </c>
      <c r="IK26" s="15">
        <f t="shared" si="205"/>
        <v>6.78</v>
      </c>
      <c r="IL26" s="15">
        <f t="shared" si="205"/>
        <v>6.66</v>
      </c>
      <c r="IM26" s="15">
        <f t="shared" si="205"/>
        <v>6.69</v>
      </c>
      <c r="IN26" s="15">
        <f t="shared" si="205"/>
        <v>6.73</v>
      </c>
      <c r="IO26" s="15">
        <f t="shared" si="205"/>
        <v>6.66</v>
      </c>
      <c r="IP26" s="16">
        <f t="shared" ref="IP26" si="206">(HX26-HX25)*1000</f>
        <v>919000</v>
      </c>
      <c r="IQ26" s="16">
        <f t="shared" ref="IQ26" si="207">(HY26-HY25)*1000</f>
        <v>1000</v>
      </c>
      <c r="IR26" s="16">
        <f t="shared" ref="IR26" si="208">(HZ26-HZ25)*1000</f>
        <v>909000</v>
      </c>
      <c r="IS26" s="16">
        <f t="shared" ref="IS26" si="209">(IA26-IA25)*1000</f>
        <v>2000</v>
      </c>
      <c r="IT26" s="16">
        <f t="shared" ref="IT26" si="210">(IB26-IB25)*1000</f>
        <v>1823466.9999999898</v>
      </c>
      <c r="IU26" s="16">
        <f t="shared" ref="IU26" si="211">(IC26-IC25)*1000</f>
        <v>4266.00000000002</v>
      </c>
      <c r="IV26" s="17">
        <f t="shared" ref="IV26" si="212">(IP26+IR26)-(IQ26+IS26)</f>
        <v>1825000</v>
      </c>
      <c r="IW26" s="17">
        <f t="shared" ref="IW26" si="213">IT26-IU26</f>
        <v>1819200.9999999898</v>
      </c>
      <c r="IX26" s="19">
        <f>(Raw_Data[[#This Row],[Sunset Time (POA&lt;20 W/m2)]]-Raw_Data[[#This Row],[Sunrise Time (POA&gt;20 W/m2)]])*24</f>
        <v>12.483333333333331</v>
      </c>
      <c r="IY26" s="68">
        <f>AVERAGEIF(Raw_Data[[#This Row],[GHI_UP_Net_IS2_W1]:[GHI_UP_Net_IS19_W6]],"&lt;&gt;"&amp;0,Raw_Data[[#This Row],[GHI_UP_Net_IS2_W1]:[GHI_UP_Net_IS19_W6]])</f>
        <v>6.59</v>
      </c>
      <c r="IZ26" s="68">
        <f>AVERAGEIF(Raw_Data[[#This Row],[GHI_Down_IS2_W1]:[GHI_Down_IS19_W6]],"&lt;&gt;"&amp;0,Raw_Data[[#This Row],[GHI_Down_IS2_W1]:[GHI_Down_IS19_W6]])</f>
        <v>1.8583333333333332</v>
      </c>
      <c r="JA26" s="68">
        <f>AVERAGEIF(Raw_Data[[#This Row],[POA_Up_IS2_W1]:[POA_Up_IS19_W6]],"&lt;&gt;"&amp;0,Raw_Data[[#This Row],[POA_Up_IS2_W1]:[POA_Up_IS19_W6]])</f>
        <v>6.708333333333333</v>
      </c>
      <c r="JB26" s="68">
        <f>AVERAGEIF(Raw_Data[[#This Row],[POA_Down_IS2_W1]:[POA_Down_IS19_W6]],"&lt;&gt;"&amp;0,Raw_Data[[#This Row],[POA_Down_IS2_W1]:[POA_Down_IS19_W6]])</f>
        <v>0.53166666666666662</v>
      </c>
      <c r="JC26" s="69">
        <f>Raw_Data[[#This Row],[GHI-Down(KWh/m2)]]/Raw_Data[[#This Row],[GHI-UP (KWh/m2)]]</f>
        <v>0.28199291856348002</v>
      </c>
      <c r="JD26" s="72">
        <f>Raw_Data[[#This Row],[POA-Down(KWh/m2)]]/Raw_Data[[#This Row],[POA-UP(KWh/m2)]]</f>
        <v>7.9254658385093171E-2</v>
      </c>
      <c r="JE26" s="68">
        <f>AVERAGEIF(Raw_Data[[#This Row],[Amb_Temp_IS2_W1]:[Amb_Temp_IS19_W6]],"&lt;&gt;"&amp;0,Raw_Data[[#This Row],[Amb_Temp_IS2_W1]:[Amb_Temp_IS19_W6]])</f>
        <v>37.551666666666669</v>
      </c>
      <c r="JF26" s="68">
        <f>AVERAGEIF(Raw_Data[[#This Row],[MT_Temp_IS2_W1]:[MT_Temp_IS19_W6]],"&lt;&gt;"&amp;0,Raw_Data[[#This Row],[MT_Temp_IS2_W1]:[MT_Temp_IS19_W6]])</f>
        <v>46.839999999999996</v>
      </c>
      <c r="JG26" s="68">
        <f>AVERAGEIF(Raw_Data[[#This Row],[WS_Avg_IS2_W1]:[WS_Avg_IS19_W6]],"&lt;&gt;"&amp;0,Raw_Data[[#This Row],[WS_Avg_IS2_W1]:[WS_Avg_IS19_W6]])</f>
        <v>8.5433333333333348</v>
      </c>
      <c r="JH26" s="68">
        <f>AVERAGEIF(Raw_Data[[#This Row],[WS_Max_IS2_W1]:[WS_Max_IS19_W6]],"&lt;&gt;"&amp;0,Raw_Data[[#This Row],[WS_Max_IS2_W1]:[WS_Max_IS19_W6]])</f>
        <v>15.231666666666667</v>
      </c>
      <c r="JI26" s="70">
        <f>SUM(Raw_Data[[#This Row],[IS1_INV1_M1]:[IS20_INV4_M2]])</f>
        <v>1833798.2000000004</v>
      </c>
      <c r="JJ26" s="73">
        <v>1791617.4225000087</v>
      </c>
      <c r="JK26" s="71">
        <v>2180775.2853944772</v>
      </c>
      <c r="JL26" s="143">
        <f>IFERROR(Raw_Data[[#This Row],[WPR_Eac]]/Raw_Data[[#This Row],[WPR_Edc]],"")</f>
        <v>0.82155068176862878</v>
      </c>
      <c r="JM26" s="6">
        <v>28</v>
      </c>
      <c r="JN26" s="6">
        <v>5205</v>
      </c>
    </row>
    <row r="27" spans="2:274">
      <c r="B27" s="67">
        <f t="shared" si="21"/>
        <v>45766</v>
      </c>
      <c r="C27" s="9">
        <f>YEAR(Raw_Data[[#This Row],[Date]])+IF(MONTH(Raw_Data[[#This Row],[Date]])&gt;=4,1,0)</f>
        <v>2026</v>
      </c>
      <c r="D27" s="6">
        <f>YEAR(B27)</f>
        <v>2025</v>
      </c>
      <c r="E27" s="7" t="s">
        <v>361</v>
      </c>
      <c r="F27" s="7" t="s">
        <v>361</v>
      </c>
      <c r="G27" s="8">
        <v>45748</v>
      </c>
      <c r="H27" s="6">
        <f>DAY(EOMONTH(B27,0))</f>
        <v>30</v>
      </c>
      <c r="I27" s="9">
        <v>335090.89</v>
      </c>
      <c r="J27" s="10">
        <v>0.27291666666666664</v>
      </c>
      <c r="K27" s="10">
        <v>0.79652777777777772</v>
      </c>
      <c r="L27" s="9">
        <v>11176.2</v>
      </c>
      <c r="M27" s="9">
        <v>11624.8</v>
      </c>
      <c r="N27" s="9">
        <v>11579.5</v>
      </c>
      <c r="O27" s="9">
        <v>11584.9</v>
      </c>
      <c r="P27" s="9">
        <v>11654.2</v>
      </c>
      <c r="Q27" s="9">
        <v>11710.4</v>
      </c>
      <c r="R27" s="9">
        <v>11673.5</v>
      </c>
      <c r="S27" s="9">
        <v>11967.5</v>
      </c>
      <c r="T27" s="9">
        <v>11604</v>
      </c>
      <c r="U27" s="9">
        <v>11562.1</v>
      </c>
      <c r="V27" s="9">
        <v>11480.7</v>
      </c>
      <c r="W27" s="9">
        <v>11579.1</v>
      </c>
      <c r="X27" s="9">
        <v>11648.7</v>
      </c>
      <c r="Y27" s="9">
        <v>11557.4</v>
      </c>
      <c r="Z27" s="9">
        <v>11638.8</v>
      </c>
      <c r="AA27" s="9">
        <v>11736</v>
      </c>
      <c r="AB27" s="9">
        <v>11624.1</v>
      </c>
      <c r="AC27" s="9">
        <v>11662.1</v>
      </c>
      <c r="AD27" s="9">
        <v>11665.6</v>
      </c>
      <c r="AE27" s="9">
        <v>11720.7</v>
      </c>
      <c r="AF27" s="9">
        <v>11679.3</v>
      </c>
      <c r="AG27" s="9">
        <v>11662.5</v>
      </c>
      <c r="AH27" s="9">
        <v>11506.4</v>
      </c>
      <c r="AI27" s="9">
        <v>11591</v>
      </c>
      <c r="AJ27" s="9">
        <v>11444.6</v>
      </c>
      <c r="AK27" s="9">
        <v>10319.700000000001</v>
      </c>
      <c r="AL27" s="9">
        <v>11461.5</v>
      </c>
      <c r="AM27" s="9">
        <v>11424.9</v>
      </c>
      <c r="AN27" s="9">
        <v>11690.7</v>
      </c>
      <c r="AO27" s="9">
        <v>11546.7</v>
      </c>
      <c r="AP27" s="9">
        <v>11525.7</v>
      </c>
      <c r="AQ27" s="9">
        <v>11712.4</v>
      </c>
      <c r="AR27" s="9">
        <v>12475.3</v>
      </c>
      <c r="AS27" s="9">
        <v>12574.5</v>
      </c>
      <c r="AT27" s="9">
        <v>12641.5</v>
      </c>
      <c r="AU27" s="9">
        <v>12543.8</v>
      </c>
      <c r="AV27" s="9">
        <v>11768.1</v>
      </c>
      <c r="AW27" s="9">
        <v>11612.2</v>
      </c>
      <c r="AX27" s="9">
        <v>11620.1</v>
      </c>
      <c r="AY27" s="9">
        <v>11612</v>
      </c>
      <c r="AZ27" s="9">
        <v>12336.9</v>
      </c>
      <c r="BA27" s="9">
        <v>11333.9</v>
      </c>
      <c r="BB27" s="9">
        <v>12218.8</v>
      </c>
      <c r="BC27" s="9">
        <v>11182.8</v>
      </c>
      <c r="BD27" s="9">
        <v>11718.9</v>
      </c>
      <c r="BE27" s="9">
        <v>12732.7</v>
      </c>
      <c r="BF27" s="9">
        <v>11081.8</v>
      </c>
      <c r="BG27" s="9">
        <v>12342.2</v>
      </c>
      <c r="BH27" s="9">
        <v>11643.1</v>
      </c>
      <c r="BI27" s="9">
        <v>11826.5</v>
      </c>
      <c r="BJ27" s="9">
        <v>11733.9</v>
      </c>
      <c r="BK27" s="9">
        <v>11177.3</v>
      </c>
      <c r="BL27" s="9">
        <v>12054.1</v>
      </c>
      <c r="BM27" s="9">
        <v>11778</v>
      </c>
      <c r="BN27" s="9">
        <v>12017.7</v>
      </c>
      <c r="BO27" s="9">
        <v>11748.2</v>
      </c>
      <c r="BP27" s="9">
        <v>10864</v>
      </c>
      <c r="BQ27" s="9">
        <v>12167.7</v>
      </c>
      <c r="BR27" s="9">
        <v>10927.7</v>
      </c>
      <c r="BS27" s="9">
        <v>12155</v>
      </c>
      <c r="BT27" s="9">
        <v>12047.9</v>
      </c>
      <c r="BU27" s="9">
        <v>10901.4</v>
      </c>
      <c r="BV27" s="9">
        <v>11692.3</v>
      </c>
      <c r="BW27" s="9">
        <v>11185.8</v>
      </c>
      <c r="BX27" s="9">
        <v>11425.8</v>
      </c>
      <c r="BY27" s="9">
        <v>10904.1</v>
      </c>
      <c r="BZ27" s="9">
        <v>11418.3</v>
      </c>
      <c r="CA27" s="9">
        <v>11770.5</v>
      </c>
      <c r="CB27" s="9">
        <v>12091.7</v>
      </c>
      <c r="CC27" s="9">
        <v>11043.2</v>
      </c>
      <c r="CD27" s="9">
        <v>11942.5</v>
      </c>
      <c r="CE27" s="9">
        <v>10706.7</v>
      </c>
      <c r="CF27" s="9">
        <v>11660.4</v>
      </c>
      <c r="CG27" s="9">
        <v>11472.4</v>
      </c>
      <c r="CH27" s="9">
        <v>10948.5</v>
      </c>
      <c r="CI27" s="9">
        <v>11936.5</v>
      </c>
      <c r="CJ27" s="9">
        <v>10801.1</v>
      </c>
      <c r="CK27" s="9">
        <v>12147.4</v>
      </c>
      <c r="CL27" s="9">
        <v>10912</v>
      </c>
      <c r="CM27" s="9">
        <v>11916.3</v>
      </c>
      <c r="CN27" s="9">
        <v>11038.9</v>
      </c>
      <c r="CO27" s="9">
        <v>11746.4</v>
      </c>
      <c r="CP27" s="9">
        <v>11130.1</v>
      </c>
      <c r="CQ27" s="9">
        <v>12094</v>
      </c>
      <c r="CR27" s="9">
        <v>11028.3</v>
      </c>
      <c r="CS27" s="9">
        <v>11621.2</v>
      </c>
      <c r="CT27" s="9">
        <v>10983.1</v>
      </c>
      <c r="CU27" s="9">
        <v>9990.6</v>
      </c>
      <c r="CV27" s="9">
        <v>11747.8</v>
      </c>
      <c r="CW27" s="9">
        <v>11456.6</v>
      </c>
      <c r="CX27" s="9">
        <v>10781.3</v>
      </c>
      <c r="CY27" s="9">
        <v>12126.6</v>
      </c>
      <c r="CZ27" s="9">
        <v>11841.2</v>
      </c>
      <c r="DA27" s="9">
        <v>11094.2</v>
      </c>
      <c r="DB27" s="9">
        <v>11004.4</v>
      </c>
      <c r="DC27" s="9">
        <v>11886.8</v>
      </c>
      <c r="DD27" s="9">
        <v>10801.3</v>
      </c>
      <c r="DE27" s="9">
        <v>11192.4</v>
      </c>
      <c r="DF27" s="9">
        <v>12026.9</v>
      </c>
      <c r="DG27" s="9">
        <v>10829.9</v>
      </c>
      <c r="DH27" s="9">
        <v>12056.7</v>
      </c>
      <c r="DI27" s="9">
        <v>10809</v>
      </c>
      <c r="DJ27" s="9">
        <v>11808.1</v>
      </c>
      <c r="DK27" s="9">
        <v>11024.8</v>
      </c>
      <c r="DL27" s="9">
        <v>11887.9</v>
      </c>
      <c r="DM27" s="9">
        <v>10555.3</v>
      </c>
      <c r="DN27" s="9">
        <v>11960</v>
      </c>
      <c r="DO27" s="9">
        <v>10963.5</v>
      </c>
      <c r="DP27" s="9">
        <v>11833.9</v>
      </c>
      <c r="DQ27" s="9">
        <v>10940.1</v>
      </c>
      <c r="DR27" s="9">
        <v>11887.8</v>
      </c>
      <c r="DS27" s="9">
        <v>11125.8</v>
      </c>
      <c r="DT27" s="9">
        <v>10850.4</v>
      </c>
      <c r="DU27" s="9">
        <v>11746</v>
      </c>
      <c r="DV27" s="9">
        <v>10979.2</v>
      </c>
      <c r="DW27" s="9">
        <v>10789.1</v>
      </c>
      <c r="DX27" s="9">
        <v>11847.4</v>
      </c>
      <c r="DY27" s="9">
        <v>11965.3</v>
      </c>
      <c r="DZ27" s="9">
        <v>11774.3</v>
      </c>
      <c r="EA27" s="9">
        <v>10986.3</v>
      </c>
      <c r="EB27" s="9">
        <v>11903.6</v>
      </c>
      <c r="EC27" s="9">
        <v>10868.9</v>
      </c>
      <c r="ED27" s="9">
        <v>11611.8</v>
      </c>
      <c r="EE27" s="9">
        <v>10983.9</v>
      </c>
      <c r="EF27" s="9">
        <v>11506.3</v>
      </c>
      <c r="EG27" s="9">
        <v>10369.700000000001</v>
      </c>
      <c r="EH27" s="9">
        <v>11674.4</v>
      </c>
      <c r="EI27" s="9">
        <v>10913.5</v>
      </c>
      <c r="EJ27" s="9">
        <v>10956.3</v>
      </c>
      <c r="EK27" s="9">
        <v>10938.2</v>
      </c>
      <c r="EL27" s="9">
        <v>10862.6</v>
      </c>
      <c r="EM27" s="9">
        <v>9688.6</v>
      </c>
      <c r="EN27" s="9">
        <v>10845.5</v>
      </c>
      <c r="EO27" s="9">
        <v>9899.5</v>
      </c>
      <c r="EP27" s="9">
        <v>10769.7</v>
      </c>
      <c r="EQ27" s="9">
        <v>10797.7</v>
      </c>
      <c r="ER27" s="9">
        <v>12360.1</v>
      </c>
      <c r="ES27" s="9">
        <v>11057.9</v>
      </c>
      <c r="ET27" s="9">
        <v>12414.4</v>
      </c>
      <c r="EU27" s="9">
        <v>11268.8</v>
      </c>
      <c r="EV27" s="9">
        <v>12306.3</v>
      </c>
      <c r="EW27" s="9">
        <v>11123.5</v>
      </c>
      <c r="EX27" s="9">
        <v>11291.2</v>
      </c>
      <c r="EY27" s="9">
        <v>11023.3</v>
      </c>
      <c r="EZ27" s="9">
        <v>12074.4</v>
      </c>
      <c r="FA27" s="9">
        <v>12463.2</v>
      </c>
      <c r="FB27" s="9">
        <v>12313.7</v>
      </c>
      <c r="FC27" s="9">
        <v>12266.2</v>
      </c>
      <c r="FD27" s="9">
        <v>12274.8</v>
      </c>
      <c r="FE27" s="9">
        <v>12303.6</v>
      </c>
      <c r="FF27" s="9">
        <v>11378.6</v>
      </c>
      <c r="FG27" s="9">
        <v>12332.7</v>
      </c>
      <c r="FH27" s="9">
        <v>12383.3</v>
      </c>
      <c r="FI27" s="9">
        <v>12397.5</v>
      </c>
      <c r="FJ27" s="9">
        <v>12423.5</v>
      </c>
      <c r="FK27" s="9">
        <v>12379.8</v>
      </c>
      <c r="FL27" s="9">
        <v>12411.4</v>
      </c>
      <c r="FM27" s="9">
        <v>11366</v>
      </c>
      <c r="FN27" s="9">
        <v>12459</v>
      </c>
      <c r="FO27" s="9">
        <v>11417.4</v>
      </c>
      <c r="FP27" s="11">
        <v>34.380000000000003</v>
      </c>
      <c r="FQ27" s="11">
        <v>33.81</v>
      </c>
      <c r="FR27" s="11">
        <v>34.020000000000003</v>
      </c>
      <c r="FS27" s="11">
        <v>34.08</v>
      </c>
      <c r="FT27" s="11">
        <v>34.020000000000003</v>
      </c>
      <c r="FU27" s="11">
        <v>34.159999999999997</v>
      </c>
      <c r="FV27" s="11">
        <v>0</v>
      </c>
      <c r="FW27" s="11">
        <v>46.2</v>
      </c>
      <c r="FX27" s="11">
        <v>0</v>
      </c>
      <c r="FY27" s="11">
        <v>0</v>
      </c>
      <c r="FZ27" s="11">
        <v>45.6</v>
      </c>
      <c r="GA27" s="11">
        <v>46.3</v>
      </c>
      <c r="GB27" s="11">
        <v>6.42</v>
      </c>
      <c r="GC27" s="11">
        <v>6.49</v>
      </c>
      <c r="GD27" s="11">
        <v>6.35</v>
      </c>
      <c r="GE27" s="11">
        <v>6.1</v>
      </c>
      <c r="GF27" s="11">
        <v>6.33</v>
      </c>
      <c r="GG27" s="11">
        <v>6.36</v>
      </c>
      <c r="GH27" s="11">
        <v>10.11</v>
      </c>
      <c r="GI27" s="11">
        <v>10.71</v>
      </c>
      <c r="GJ27" s="11">
        <v>10.84</v>
      </c>
      <c r="GK27" s="11">
        <v>10.130000000000001</v>
      </c>
      <c r="GL27" s="11">
        <v>10.61</v>
      </c>
      <c r="GM27" s="11">
        <v>11.29</v>
      </c>
      <c r="GN27" s="11">
        <v>6.94</v>
      </c>
      <c r="GO27" s="11">
        <v>6.98</v>
      </c>
      <c r="GP27" s="11">
        <v>7</v>
      </c>
      <c r="GQ27" s="11">
        <v>6.89</v>
      </c>
      <c r="GR27" s="11">
        <v>7</v>
      </c>
      <c r="GS27" s="11">
        <v>7.03</v>
      </c>
      <c r="GT27" s="108">
        <v>1.86</v>
      </c>
      <c r="GU27" s="108">
        <v>1.91</v>
      </c>
      <c r="GV27" s="108">
        <v>1.74</v>
      </c>
      <c r="GW27" s="108">
        <v>2.23</v>
      </c>
      <c r="GX27" s="108">
        <v>2.04</v>
      </c>
      <c r="GY27" s="108">
        <v>1.83</v>
      </c>
      <c r="GZ27" s="13">
        <v>7.11</v>
      </c>
      <c r="HA27" s="13">
        <v>7.11</v>
      </c>
      <c r="HB27" s="13">
        <v>7.04</v>
      </c>
      <c r="HC27" s="13">
        <v>7.06</v>
      </c>
      <c r="HD27" s="13">
        <v>7.11</v>
      </c>
      <c r="HE27" s="13">
        <v>7.07</v>
      </c>
      <c r="HF27" s="13">
        <v>0.54</v>
      </c>
      <c r="HG27" s="13">
        <v>0.61</v>
      </c>
      <c r="HH27" s="13">
        <v>0.52</v>
      </c>
      <c r="HI27" s="13">
        <v>0.56000000000000005</v>
      </c>
      <c r="HJ27" s="13">
        <v>0.54</v>
      </c>
      <c r="HK27" s="13">
        <v>0.59</v>
      </c>
      <c r="HL27" s="12">
        <v>0</v>
      </c>
      <c r="HM27" s="12">
        <v>0</v>
      </c>
      <c r="HN27" s="12">
        <v>0</v>
      </c>
      <c r="HO27" s="12">
        <v>0</v>
      </c>
      <c r="HP27" s="12">
        <v>0</v>
      </c>
      <c r="HQ27" s="12">
        <v>0</v>
      </c>
      <c r="HR27" s="12">
        <v>0</v>
      </c>
      <c r="HS27" s="12">
        <v>0</v>
      </c>
      <c r="HT27" s="12">
        <v>0</v>
      </c>
      <c r="HU27" s="12">
        <v>0</v>
      </c>
      <c r="HV27" s="12">
        <v>0</v>
      </c>
      <c r="HW27" s="12">
        <v>0</v>
      </c>
      <c r="HX27" s="9">
        <v>915933</v>
      </c>
      <c r="HY27" s="9">
        <v>1718</v>
      </c>
      <c r="HZ27" s="9">
        <v>902790</v>
      </c>
      <c r="IA27" s="9">
        <v>1742</v>
      </c>
      <c r="IB27" s="11">
        <v>123771.21</v>
      </c>
      <c r="IC27" s="11">
        <v>278.267</v>
      </c>
      <c r="ID27" s="14">
        <f t="shared" ref="ID27:II27" si="214">GN27-HL27</f>
        <v>6.94</v>
      </c>
      <c r="IE27" s="14">
        <f t="shared" si="214"/>
        <v>6.98</v>
      </c>
      <c r="IF27" s="14">
        <f t="shared" si="214"/>
        <v>7</v>
      </c>
      <c r="IG27" s="14">
        <f t="shared" si="214"/>
        <v>6.89</v>
      </c>
      <c r="IH27" s="14">
        <f t="shared" si="214"/>
        <v>7</v>
      </c>
      <c r="II27" s="14">
        <f t="shared" si="214"/>
        <v>7.03</v>
      </c>
      <c r="IJ27" s="15">
        <f t="shared" ref="IJ27:IO27" si="215">GZ27-HR27</f>
        <v>7.11</v>
      </c>
      <c r="IK27" s="15">
        <f t="shared" si="215"/>
        <v>7.11</v>
      </c>
      <c r="IL27" s="15">
        <f t="shared" si="215"/>
        <v>7.04</v>
      </c>
      <c r="IM27" s="15">
        <f t="shared" si="215"/>
        <v>7.06</v>
      </c>
      <c r="IN27" s="15">
        <f t="shared" si="215"/>
        <v>7.11</v>
      </c>
      <c r="IO27" s="15">
        <f t="shared" si="215"/>
        <v>7.07</v>
      </c>
      <c r="IP27" s="16">
        <f t="shared" ref="IP27" si="216">(HX27-HX26)*1000</f>
        <v>928000</v>
      </c>
      <c r="IQ27" s="16">
        <f t="shared" ref="IQ27" si="217">(HY27-HY26)*1000</f>
        <v>1000</v>
      </c>
      <c r="IR27" s="16">
        <f t="shared" ref="IR27" si="218">(HZ27-HZ26)*1000</f>
        <v>913000</v>
      </c>
      <c r="IS27" s="16">
        <f t="shared" ref="IS27" si="219">(IA27-IA26)*1000</f>
        <v>1000</v>
      </c>
      <c r="IT27" s="16">
        <f t="shared" ref="IT27" si="220">(IB27-IB26)*1000</f>
        <v>1836067.00000001</v>
      </c>
      <c r="IU27" s="16">
        <f t="shared" ref="IU27" si="221">(IC27-IC26)*1000</f>
        <v>4334.0000000000036</v>
      </c>
      <c r="IV27" s="17">
        <f t="shared" ref="IV27" si="222">(IP27+IR27)-(IQ27+IS27)</f>
        <v>1839000</v>
      </c>
      <c r="IW27" s="17">
        <f t="shared" ref="IW27" si="223">IT27-IU27</f>
        <v>1831733.00000001</v>
      </c>
      <c r="IX27" s="19">
        <f>(Raw_Data[[#This Row],[Sunset Time (POA&lt;20 W/m2)]]-Raw_Data[[#This Row],[Sunrise Time (POA&gt;20 W/m2)]])*24</f>
        <v>12.566666666666665</v>
      </c>
      <c r="IY27" s="68">
        <f>AVERAGEIF(Raw_Data[[#This Row],[GHI_UP_Net_IS2_W1]:[GHI_UP_Net_IS19_W6]],"&lt;&gt;"&amp;0,Raw_Data[[#This Row],[GHI_UP_Net_IS2_W1]:[GHI_UP_Net_IS19_W6]])</f>
        <v>6.9733333333333336</v>
      </c>
      <c r="IZ27" s="68">
        <f>AVERAGEIF(Raw_Data[[#This Row],[GHI_Down_IS2_W1]:[GHI_Down_IS19_W6]],"&lt;&gt;"&amp;0,Raw_Data[[#This Row],[GHI_Down_IS2_W1]:[GHI_Down_IS19_W6]])</f>
        <v>1.9350000000000003</v>
      </c>
      <c r="JA27" s="68">
        <f>AVERAGEIF(Raw_Data[[#This Row],[POA_Up_IS2_W1]:[POA_Up_IS19_W6]],"&lt;&gt;"&amp;0,Raw_Data[[#This Row],[POA_Up_IS2_W1]:[POA_Up_IS19_W6]])</f>
        <v>7.083333333333333</v>
      </c>
      <c r="JB27" s="68">
        <f>AVERAGEIF(Raw_Data[[#This Row],[POA_Down_IS2_W1]:[POA_Down_IS19_W6]],"&lt;&gt;"&amp;0,Raw_Data[[#This Row],[POA_Down_IS2_W1]:[POA_Down_IS19_W6]])</f>
        <v>0.55999999999999994</v>
      </c>
      <c r="JC27" s="69">
        <f>Raw_Data[[#This Row],[GHI-Down(KWh/m2)]]/Raw_Data[[#This Row],[GHI-UP (KWh/m2)]]</f>
        <v>0.27748565965583177</v>
      </c>
      <c r="JD27" s="72">
        <f>Raw_Data[[#This Row],[POA-Down(KWh/m2)]]/Raw_Data[[#This Row],[POA-UP(KWh/m2)]]</f>
        <v>7.9058823529411765E-2</v>
      </c>
      <c r="JE27" s="68">
        <f>AVERAGEIF(Raw_Data[[#This Row],[Amb_Temp_IS2_W1]:[Amb_Temp_IS19_W6]],"&lt;&gt;"&amp;0,Raw_Data[[#This Row],[Amb_Temp_IS2_W1]:[Amb_Temp_IS19_W6]])</f>
        <v>34.07833333333334</v>
      </c>
      <c r="JF27" s="68">
        <f>AVERAGEIF(Raw_Data[[#This Row],[MT_Temp_IS2_W1]:[MT_Temp_IS19_W6]],"&lt;&gt;"&amp;0,Raw_Data[[#This Row],[MT_Temp_IS2_W1]:[MT_Temp_IS19_W6]])</f>
        <v>46.033333333333339</v>
      </c>
      <c r="JG27" s="68">
        <f>AVERAGEIF(Raw_Data[[#This Row],[WS_Avg_IS2_W1]:[WS_Avg_IS19_W6]],"&lt;&gt;"&amp;0,Raw_Data[[#This Row],[WS_Avg_IS2_W1]:[WS_Avg_IS19_W6]])</f>
        <v>6.3416666666666659</v>
      </c>
      <c r="JH27" s="68">
        <f>AVERAGEIF(Raw_Data[[#This Row],[WS_Max_IS2_W1]:[WS_Max_IS19_W6]],"&lt;&gt;"&amp;0,Raw_Data[[#This Row],[WS_Max_IS2_W1]:[WS_Max_IS19_W6]])</f>
        <v>10.615</v>
      </c>
      <c r="JI27" s="70">
        <f>SUM(Raw_Data[[#This Row],[IS1_INV1_M1]:[IS20_INV4_M2]])</f>
        <v>1847122.8999999997</v>
      </c>
      <c r="JJ27" s="73">
        <v>1871178.9211999967</v>
      </c>
      <c r="JK27" s="71">
        <v>2317495.1369384094</v>
      </c>
      <c r="JL27" s="143">
        <f>IFERROR(Raw_Data[[#This Row],[WPR_Eac]]/Raw_Data[[#This Row],[WPR_Edc]],"")</f>
        <v>0.80741438951710987</v>
      </c>
      <c r="JM27" s="6">
        <v>31</v>
      </c>
      <c r="JN27" s="6">
        <v>2760</v>
      </c>
    </row>
    <row r="28" spans="2:274">
      <c r="B28" s="67">
        <f t="shared" si="21"/>
        <v>45767</v>
      </c>
      <c r="C28" s="9">
        <f>YEAR(Raw_Data[[#This Row],[Date]])+IF(MONTH(Raw_Data[[#This Row],[Date]])&gt;=4,1,0)</f>
        <v>2026</v>
      </c>
      <c r="D28" s="6">
        <f>YEAR(B28)</f>
        <v>2025</v>
      </c>
      <c r="E28" s="7" t="s">
        <v>361</v>
      </c>
      <c r="F28" s="7" t="s">
        <v>361</v>
      </c>
      <c r="G28" s="8">
        <v>45748</v>
      </c>
      <c r="H28" s="6">
        <f>DAY(EOMONTH(B28,0))</f>
        <v>30</v>
      </c>
      <c r="I28" s="9">
        <v>335090.89</v>
      </c>
      <c r="J28" s="10">
        <v>0.27500000000000002</v>
      </c>
      <c r="K28" s="10">
        <v>0.79583333333333328</v>
      </c>
      <c r="L28" s="9">
        <v>12484.3</v>
      </c>
      <c r="M28" s="9">
        <v>12898.8</v>
      </c>
      <c r="N28" s="9">
        <v>12872.1</v>
      </c>
      <c r="O28" s="9">
        <v>12866.1</v>
      </c>
      <c r="P28" s="9">
        <v>12953.4</v>
      </c>
      <c r="Q28" s="9">
        <v>12992.7</v>
      </c>
      <c r="R28" s="9">
        <v>12959.2</v>
      </c>
      <c r="S28" s="9">
        <v>13184.4</v>
      </c>
      <c r="T28" s="9">
        <v>12868.4</v>
      </c>
      <c r="U28" s="9">
        <v>12890</v>
      </c>
      <c r="V28" s="9">
        <v>12768.6</v>
      </c>
      <c r="W28" s="9">
        <v>12853.6</v>
      </c>
      <c r="X28" s="9">
        <v>12937.1</v>
      </c>
      <c r="Y28" s="9">
        <v>12832.6</v>
      </c>
      <c r="Z28" s="9">
        <v>12956.4</v>
      </c>
      <c r="AA28" s="9">
        <v>13023.6</v>
      </c>
      <c r="AB28" s="9">
        <v>12902.8</v>
      </c>
      <c r="AC28" s="9">
        <v>12939.6</v>
      </c>
      <c r="AD28" s="9">
        <v>12959.6</v>
      </c>
      <c r="AE28" s="9">
        <v>13036</v>
      </c>
      <c r="AF28" s="9">
        <v>12960</v>
      </c>
      <c r="AG28" s="9">
        <v>12976.6</v>
      </c>
      <c r="AH28" s="9">
        <v>12812.4</v>
      </c>
      <c r="AI28" s="9">
        <v>12893.7</v>
      </c>
      <c r="AJ28" s="9">
        <v>12756.1</v>
      </c>
      <c r="AK28" s="9">
        <v>11520.7</v>
      </c>
      <c r="AL28" s="9">
        <v>12768.9</v>
      </c>
      <c r="AM28" s="9">
        <v>12730.7</v>
      </c>
      <c r="AN28" s="9">
        <v>12965</v>
      </c>
      <c r="AO28" s="9">
        <v>12813.8</v>
      </c>
      <c r="AP28" s="9">
        <v>12824.3</v>
      </c>
      <c r="AQ28" s="9">
        <v>12986.4</v>
      </c>
      <c r="AR28" s="9">
        <v>13145</v>
      </c>
      <c r="AS28" s="9">
        <v>13223.7</v>
      </c>
      <c r="AT28" s="9">
        <v>13309.5</v>
      </c>
      <c r="AU28" s="9">
        <v>13232.4</v>
      </c>
      <c r="AV28" s="9">
        <v>13049.2</v>
      </c>
      <c r="AW28" s="9">
        <v>12910.8</v>
      </c>
      <c r="AX28" s="9">
        <v>12901.9</v>
      </c>
      <c r="AY28" s="9">
        <v>12889.6</v>
      </c>
      <c r="AZ28" s="9">
        <v>13567.4</v>
      </c>
      <c r="BA28" s="9">
        <v>12703.5</v>
      </c>
      <c r="BB28" s="9">
        <v>13454.9</v>
      </c>
      <c r="BC28" s="9">
        <v>12547.4</v>
      </c>
      <c r="BD28" s="9">
        <v>13006.9</v>
      </c>
      <c r="BE28" s="9">
        <v>13890.2</v>
      </c>
      <c r="BF28" s="9">
        <v>12418.9</v>
      </c>
      <c r="BG28" s="9">
        <v>13560.6</v>
      </c>
      <c r="BH28" s="9">
        <v>12944.7</v>
      </c>
      <c r="BI28" s="9">
        <v>13121</v>
      </c>
      <c r="BJ28" s="9">
        <v>13036.1</v>
      </c>
      <c r="BK28" s="9">
        <v>12515</v>
      </c>
      <c r="BL28" s="9">
        <v>13304.6</v>
      </c>
      <c r="BM28" s="9">
        <v>13040.5</v>
      </c>
      <c r="BN28" s="9">
        <v>13263.8</v>
      </c>
      <c r="BO28" s="9">
        <v>13033.7</v>
      </c>
      <c r="BP28" s="9">
        <v>12179.3</v>
      </c>
      <c r="BQ28" s="9">
        <v>13414.6</v>
      </c>
      <c r="BR28" s="9">
        <v>12260.6</v>
      </c>
      <c r="BS28" s="9">
        <v>13410.1</v>
      </c>
      <c r="BT28" s="9">
        <v>13324.8</v>
      </c>
      <c r="BU28" s="9">
        <v>12229.9</v>
      </c>
      <c r="BV28" s="9">
        <v>13002.3</v>
      </c>
      <c r="BW28" s="9">
        <v>12549.5</v>
      </c>
      <c r="BX28" s="9">
        <v>12737.9</v>
      </c>
      <c r="BY28" s="9">
        <v>12245.2</v>
      </c>
      <c r="BZ28" s="9">
        <v>12765</v>
      </c>
      <c r="CA28" s="9">
        <v>13091.5</v>
      </c>
      <c r="CB28" s="9">
        <v>13342.3</v>
      </c>
      <c r="CC28" s="9">
        <v>12412.5</v>
      </c>
      <c r="CD28" s="9">
        <v>13233.9</v>
      </c>
      <c r="CE28" s="9">
        <v>12055.7</v>
      </c>
      <c r="CF28" s="9">
        <v>12960.2</v>
      </c>
      <c r="CG28" s="9">
        <v>12830.8</v>
      </c>
      <c r="CH28" s="9">
        <v>12298.5</v>
      </c>
      <c r="CI28" s="9">
        <v>13207</v>
      </c>
      <c r="CJ28" s="9">
        <v>12139.4</v>
      </c>
      <c r="CK28" s="9">
        <v>13397.8</v>
      </c>
      <c r="CL28" s="9">
        <v>12260.4</v>
      </c>
      <c r="CM28" s="9">
        <v>13190.1</v>
      </c>
      <c r="CN28" s="9">
        <v>12441</v>
      </c>
      <c r="CO28" s="9">
        <v>13103</v>
      </c>
      <c r="CP28" s="9">
        <v>12512</v>
      </c>
      <c r="CQ28" s="9">
        <v>13406</v>
      </c>
      <c r="CR28" s="9">
        <v>12416</v>
      </c>
      <c r="CS28" s="9">
        <v>12918</v>
      </c>
      <c r="CT28" s="9">
        <v>12334</v>
      </c>
      <c r="CU28" s="9">
        <v>11051</v>
      </c>
      <c r="CV28" s="9">
        <v>13085.5</v>
      </c>
      <c r="CW28" s="9">
        <v>12796.6</v>
      </c>
      <c r="CX28" s="9">
        <v>12175.9</v>
      </c>
      <c r="CY28" s="9">
        <v>13444.4</v>
      </c>
      <c r="CZ28" s="9">
        <v>13151.8</v>
      </c>
      <c r="DA28" s="9">
        <v>12452.5</v>
      </c>
      <c r="DB28" s="9">
        <v>12333.9</v>
      </c>
      <c r="DC28" s="9">
        <v>13162.2</v>
      </c>
      <c r="DD28" s="9">
        <v>12134.1</v>
      </c>
      <c r="DE28" s="9">
        <v>12579</v>
      </c>
      <c r="DF28" s="9">
        <v>13303.7</v>
      </c>
      <c r="DG28" s="9">
        <v>12214.8</v>
      </c>
      <c r="DH28" s="9">
        <v>13338.5</v>
      </c>
      <c r="DI28" s="9">
        <v>12200.5</v>
      </c>
      <c r="DJ28" s="9">
        <v>13150.1</v>
      </c>
      <c r="DK28" s="9">
        <v>12422.8</v>
      </c>
      <c r="DL28" s="9">
        <v>13179.2</v>
      </c>
      <c r="DM28" s="9">
        <v>11881.3</v>
      </c>
      <c r="DN28" s="9">
        <v>13266.5</v>
      </c>
      <c r="DO28" s="9">
        <v>12358.6</v>
      </c>
      <c r="DP28" s="9">
        <v>13160.2</v>
      </c>
      <c r="DQ28" s="9">
        <v>12325.5</v>
      </c>
      <c r="DR28" s="9">
        <v>13194.1</v>
      </c>
      <c r="DS28" s="9">
        <v>12525.2</v>
      </c>
      <c r="DT28" s="9">
        <v>12224</v>
      </c>
      <c r="DU28" s="9">
        <v>13064.6</v>
      </c>
      <c r="DV28" s="9">
        <v>12366.9</v>
      </c>
      <c r="DW28" s="9">
        <v>12156.4</v>
      </c>
      <c r="DX28" s="9">
        <v>13151.4</v>
      </c>
      <c r="DY28" s="9">
        <v>13261.5</v>
      </c>
      <c r="DZ28" s="9">
        <v>13086.5</v>
      </c>
      <c r="EA28" s="9">
        <v>12363.5</v>
      </c>
      <c r="EB28" s="9">
        <v>13195</v>
      </c>
      <c r="EC28" s="9">
        <v>12243.4</v>
      </c>
      <c r="ED28" s="9">
        <v>12961.1</v>
      </c>
      <c r="EE28" s="9">
        <v>12377.4</v>
      </c>
      <c r="EF28" s="9">
        <v>12857.9</v>
      </c>
      <c r="EG28" s="9">
        <v>11540</v>
      </c>
      <c r="EH28" s="9">
        <v>13012.6</v>
      </c>
      <c r="EI28" s="9">
        <v>12281.5</v>
      </c>
      <c r="EJ28" s="9">
        <v>12327.8</v>
      </c>
      <c r="EK28" s="9">
        <v>12311.9</v>
      </c>
      <c r="EL28" s="9">
        <v>12202</v>
      </c>
      <c r="EM28" s="9">
        <v>10604.7</v>
      </c>
      <c r="EN28" s="9">
        <v>12219.6</v>
      </c>
      <c r="EO28" s="9">
        <v>10894.9</v>
      </c>
      <c r="EP28" s="9">
        <v>12053.3</v>
      </c>
      <c r="EQ28" s="9">
        <v>12089.1</v>
      </c>
      <c r="ER28" s="9">
        <v>13585.6</v>
      </c>
      <c r="ES28" s="9">
        <v>12421.8</v>
      </c>
      <c r="ET28" s="9">
        <v>13630.3</v>
      </c>
      <c r="EU28" s="9">
        <v>12625.8</v>
      </c>
      <c r="EV28" s="9">
        <v>13539.5</v>
      </c>
      <c r="EW28" s="9">
        <v>12461.1</v>
      </c>
      <c r="EX28" s="9">
        <v>12626.8</v>
      </c>
      <c r="EY28" s="9">
        <v>12342.2</v>
      </c>
      <c r="EZ28" s="9">
        <v>13347.4</v>
      </c>
      <c r="FA28" s="9">
        <v>13658.6</v>
      </c>
      <c r="FB28" s="9">
        <v>13597.2</v>
      </c>
      <c r="FC28" s="9">
        <v>13525.6</v>
      </c>
      <c r="FD28" s="9">
        <v>13531.4</v>
      </c>
      <c r="FE28" s="9">
        <v>13552.1</v>
      </c>
      <c r="FF28" s="9">
        <v>12732.6</v>
      </c>
      <c r="FG28" s="9">
        <v>13577</v>
      </c>
      <c r="FH28" s="9">
        <v>13631.5</v>
      </c>
      <c r="FI28" s="9">
        <v>13636</v>
      </c>
      <c r="FJ28" s="9">
        <v>13648.3</v>
      </c>
      <c r="FK28" s="9">
        <v>13626.3</v>
      </c>
      <c r="FL28" s="9">
        <v>13660.1</v>
      </c>
      <c r="FM28" s="9">
        <v>12735.6</v>
      </c>
      <c r="FN28" s="9">
        <v>13697.5</v>
      </c>
      <c r="FO28" s="9">
        <v>12780.2</v>
      </c>
      <c r="FP28" s="11">
        <v>35.25</v>
      </c>
      <c r="FQ28" s="11">
        <v>34.76</v>
      </c>
      <c r="FR28" s="11">
        <v>35</v>
      </c>
      <c r="FS28" s="11">
        <v>35</v>
      </c>
      <c r="FT28" s="11">
        <v>35.19</v>
      </c>
      <c r="FU28" s="11">
        <v>35.14</v>
      </c>
      <c r="FV28" s="11">
        <v>0</v>
      </c>
      <c r="FW28" s="11">
        <v>47.8</v>
      </c>
      <c r="FX28" s="11">
        <v>0</v>
      </c>
      <c r="FY28" s="11">
        <v>0</v>
      </c>
      <c r="FZ28" s="11">
        <v>47.5</v>
      </c>
      <c r="GA28" s="11">
        <v>48.22</v>
      </c>
      <c r="GB28" s="11">
        <v>5.26</v>
      </c>
      <c r="GC28" s="11">
        <v>4.88</v>
      </c>
      <c r="GD28" s="11">
        <v>5.1100000000000003</v>
      </c>
      <c r="GE28" s="11">
        <v>4.18</v>
      </c>
      <c r="GF28" s="11">
        <v>5.25</v>
      </c>
      <c r="GG28" s="11">
        <v>4.93</v>
      </c>
      <c r="GH28" s="11">
        <v>10.51</v>
      </c>
      <c r="GI28" s="11">
        <v>10.199999999999999</v>
      </c>
      <c r="GJ28" s="11">
        <v>9.91</v>
      </c>
      <c r="GK28" s="11">
        <v>10.199999999999999</v>
      </c>
      <c r="GL28" s="11">
        <v>10.37</v>
      </c>
      <c r="GM28" s="11">
        <v>9.89</v>
      </c>
      <c r="GN28" s="11">
        <v>7.55</v>
      </c>
      <c r="GO28" s="11">
        <v>7.59</v>
      </c>
      <c r="GP28" s="11">
        <v>7.62</v>
      </c>
      <c r="GQ28" s="11">
        <v>7.48</v>
      </c>
      <c r="GR28" s="11">
        <v>7.62</v>
      </c>
      <c r="GS28" s="11">
        <v>7.63</v>
      </c>
      <c r="GT28" s="108">
        <v>1.99</v>
      </c>
      <c r="GU28" s="108">
        <v>2.13</v>
      </c>
      <c r="GV28" s="108">
        <v>1.86</v>
      </c>
      <c r="GW28" s="108">
        <v>2.4</v>
      </c>
      <c r="GX28" s="108">
        <v>2.27</v>
      </c>
      <c r="GY28" s="108">
        <v>2.04</v>
      </c>
      <c r="GZ28" s="13">
        <v>7.77</v>
      </c>
      <c r="HA28" s="13">
        <v>7.82</v>
      </c>
      <c r="HB28" s="13">
        <v>7.7</v>
      </c>
      <c r="HC28" s="13">
        <v>7.71</v>
      </c>
      <c r="HD28" s="13">
        <v>7.77</v>
      </c>
      <c r="HE28" s="13">
        <v>7.76</v>
      </c>
      <c r="HF28" s="13">
        <v>0.56000000000000005</v>
      </c>
      <c r="HG28" s="13">
        <v>0.62</v>
      </c>
      <c r="HH28" s="13">
        <v>0.53</v>
      </c>
      <c r="HI28" s="13">
        <v>0.56999999999999995</v>
      </c>
      <c r="HJ28" s="13">
        <v>0.54</v>
      </c>
      <c r="HK28" s="13">
        <v>0.6</v>
      </c>
      <c r="HL28" s="12">
        <v>0</v>
      </c>
      <c r="HM28" s="12">
        <v>0</v>
      </c>
      <c r="HN28" s="12">
        <v>0</v>
      </c>
      <c r="HO28" s="12">
        <v>0</v>
      </c>
      <c r="HP28" s="12">
        <v>0</v>
      </c>
      <c r="HQ28" s="12">
        <v>0</v>
      </c>
      <c r="HR28" s="12">
        <v>0</v>
      </c>
      <c r="HS28" s="12">
        <v>0</v>
      </c>
      <c r="HT28" s="12">
        <v>0</v>
      </c>
      <c r="HU28" s="12">
        <v>0</v>
      </c>
      <c r="HV28" s="12">
        <v>0</v>
      </c>
      <c r="HW28" s="12">
        <v>0</v>
      </c>
      <c r="HX28" s="9">
        <v>916961</v>
      </c>
      <c r="HY28" s="9">
        <v>1720</v>
      </c>
      <c r="HZ28" s="9">
        <v>903807</v>
      </c>
      <c r="IA28" s="9">
        <v>1744</v>
      </c>
      <c r="IB28" s="11">
        <v>125809.743</v>
      </c>
      <c r="IC28" s="11">
        <v>282.66699999999997</v>
      </c>
      <c r="ID28" s="14">
        <f t="shared" ref="ID28:II28" si="224">GN28-HL28</f>
        <v>7.55</v>
      </c>
      <c r="IE28" s="14">
        <f t="shared" si="224"/>
        <v>7.59</v>
      </c>
      <c r="IF28" s="14">
        <f t="shared" si="224"/>
        <v>7.62</v>
      </c>
      <c r="IG28" s="14">
        <f t="shared" si="224"/>
        <v>7.48</v>
      </c>
      <c r="IH28" s="14">
        <f t="shared" si="224"/>
        <v>7.62</v>
      </c>
      <c r="II28" s="14">
        <f t="shared" si="224"/>
        <v>7.63</v>
      </c>
      <c r="IJ28" s="15">
        <f t="shared" ref="IJ28:IO28" si="225">GZ28-HR28</f>
        <v>7.77</v>
      </c>
      <c r="IK28" s="15">
        <f t="shared" si="225"/>
        <v>7.82</v>
      </c>
      <c r="IL28" s="15">
        <f t="shared" si="225"/>
        <v>7.7</v>
      </c>
      <c r="IM28" s="15">
        <f t="shared" si="225"/>
        <v>7.71</v>
      </c>
      <c r="IN28" s="15">
        <f t="shared" si="225"/>
        <v>7.77</v>
      </c>
      <c r="IO28" s="15">
        <f t="shared" si="225"/>
        <v>7.76</v>
      </c>
      <c r="IP28" s="16">
        <f t="shared" ref="IP28" si="226">(HX28-HX27)*1000</f>
        <v>1028000</v>
      </c>
      <c r="IQ28" s="16">
        <f t="shared" ref="IQ28" si="227">(HY28-HY27)*1000</f>
        <v>2000</v>
      </c>
      <c r="IR28" s="16">
        <f t="shared" ref="IR28" si="228">(HZ28-HZ27)*1000</f>
        <v>1017000</v>
      </c>
      <c r="IS28" s="16">
        <f t="shared" ref="IS28" si="229">(IA28-IA27)*1000</f>
        <v>2000</v>
      </c>
      <c r="IT28" s="16">
        <f t="shared" ref="IT28" si="230">(IB28-IB27)*1000</f>
        <v>2038532.9999999958</v>
      </c>
      <c r="IU28" s="16">
        <f t="shared" ref="IU28" si="231">(IC28-IC27)*1000</f>
        <v>4399.9999999999773</v>
      </c>
      <c r="IV28" s="17">
        <f>(IP28+IR28)-(IQ28+IS28)</f>
        <v>2041000</v>
      </c>
      <c r="IW28" s="17">
        <f>IT28-IU28</f>
        <v>2034132.9999999958</v>
      </c>
      <c r="IX28" s="19">
        <f>(Raw_Data[[#This Row],[Sunset Time (POA&lt;20 W/m2)]]-Raw_Data[[#This Row],[Sunrise Time (POA&gt;20 W/m2)]])*24</f>
        <v>12.499999999999998</v>
      </c>
      <c r="IY28" s="68">
        <f>AVERAGEIF(Raw_Data[[#This Row],[GHI_UP_Net_IS2_W1]:[GHI_UP_Net_IS19_W6]],"&lt;&gt;"&amp;0,Raw_Data[[#This Row],[GHI_UP_Net_IS2_W1]:[GHI_UP_Net_IS19_W6]])</f>
        <v>7.581666666666667</v>
      </c>
      <c r="IZ28" s="68">
        <f>AVERAGEIF(Raw_Data[[#This Row],[GHI_Down_IS2_W1]:[GHI_Down_IS19_W6]],"&lt;&gt;"&amp;0,Raw_Data[[#This Row],[GHI_Down_IS2_W1]:[GHI_Down_IS19_W6]])</f>
        <v>2.1150000000000002</v>
      </c>
      <c r="JA28" s="68">
        <f>AVERAGEIF(Raw_Data[[#This Row],[POA_Up_IS2_W1]:[POA_Up_IS19_W6]],"&lt;&gt;"&amp;0,Raw_Data[[#This Row],[POA_Up_IS2_W1]:[POA_Up_IS19_W6]])</f>
        <v>7.754999999999999</v>
      </c>
      <c r="JB28" s="68">
        <f>AVERAGEIF(Raw_Data[[#This Row],[POA_Down_IS2_W1]:[POA_Down_IS19_W6]],"&lt;&gt;"&amp;0,Raw_Data[[#This Row],[POA_Down_IS2_W1]:[POA_Down_IS19_W6]])</f>
        <v>0.57000000000000006</v>
      </c>
      <c r="JC28" s="69">
        <f>Raw_Data[[#This Row],[GHI-Down(KWh/m2)]]/Raw_Data[[#This Row],[GHI-UP (KWh/m2)]]</f>
        <v>0.27896240932072985</v>
      </c>
      <c r="JD28" s="72">
        <f>Raw_Data[[#This Row],[POA-Down(KWh/m2)]]/Raw_Data[[#This Row],[POA-UP(KWh/m2)]]</f>
        <v>7.3500967117988411E-2</v>
      </c>
      <c r="JE28" s="68">
        <f>AVERAGEIF(Raw_Data[[#This Row],[Amb_Temp_IS2_W1]:[Amb_Temp_IS19_W6]],"&lt;&gt;"&amp;0,Raw_Data[[#This Row],[Amb_Temp_IS2_W1]:[Amb_Temp_IS19_W6]])</f>
        <v>35.056666666666665</v>
      </c>
      <c r="JF28" s="68">
        <f>AVERAGEIF(Raw_Data[[#This Row],[MT_Temp_IS2_W1]:[MT_Temp_IS19_W6]],"&lt;&gt;"&amp;0,Raw_Data[[#This Row],[MT_Temp_IS2_W1]:[MT_Temp_IS19_W6]])</f>
        <v>47.839999999999996</v>
      </c>
      <c r="JG28" s="68">
        <f>AVERAGEIF(Raw_Data[[#This Row],[WS_Avg_IS2_W1]:[WS_Avg_IS19_W6]],"&lt;&gt;"&amp;0,Raw_Data[[#This Row],[WS_Avg_IS2_W1]:[WS_Avg_IS19_W6]])</f>
        <v>4.9349999999999996</v>
      </c>
      <c r="JH28" s="68">
        <f>AVERAGEIF(Raw_Data[[#This Row],[WS_Max_IS2_W1]:[WS_Max_IS19_W6]],"&lt;&gt;"&amp;0,Raw_Data[[#This Row],[WS_Max_IS2_W1]:[WS_Max_IS19_W6]])</f>
        <v>10.18</v>
      </c>
      <c r="JI28" s="70">
        <f>SUM(Raw_Data[[#This Row],[IS1_INV1_M1]:[IS20_INV4_M2]])</f>
        <v>2052833.9000000006</v>
      </c>
      <c r="JJ28" s="73">
        <v>2000800.0000000177</v>
      </c>
      <c r="JK28" s="71">
        <v>2503528.7196609196</v>
      </c>
      <c r="JL28" s="143">
        <f>IFERROR(Raw_Data[[#This Row],[WPR_Eac]]/Raw_Data[[#This Row],[WPR_Edc]],"")</f>
        <v>0.79919195026091328</v>
      </c>
      <c r="JM28" s="6">
        <v>26</v>
      </c>
      <c r="JN28" s="6">
        <v>0</v>
      </c>
    </row>
    <row r="29" spans="2:274">
      <c r="B29" s="67">
        <f t="shared" si="21"/>
        <v>45768</v>
      </c>
      <c r="C29" s="9">
        <f>YEAR(Raw_Data[[#This Row],[Date]])+IF(MONTH(Raw_Data[[#This Row],[Date]])&gt;=4,1,0)</f>
        <v>2026</v>
      </c>
      <c r="D29" s="6">
        <f t="shared" ref="D29:D31" si="232">YEAR(B29)</f>
        <v>2025</v>
      </c>
      <c r="E29" s="7" t="s">
        <v>361</v>
      </c>
      <c r="F29" s="7" t="s">
        <v>361</v>
      </c>
      <c r="G29" s="8">
        <v>45748</v>
      </c>
      <c r="H29" s="6">
        <f t="shared" ref="H29:H31" si="233">DAY(EOMONTH(B29,0))</f>
        <v>30</v>
      </c>
      <c r="I29" s="9">
        <v>335090.89</v>
      </c>
      <c r="J29" s="10">
        <v>0.27083333333333331</v>
      </c>
      <c r="K29" s="10">
        <v>0.79861111111111116</v>
      </c>
      <c r="L29" s="9">
        <v>12685.7</v>
      </c>
      <c r="M29" s="9">
        <v>13134.5</v>
      </c>
      <c r="N29" s="9">
        <v>13119.1</v>
      </c>
      <c r="O29" s="9">
        <v>13095.7</v>
      </c>
      <c r="P29" s="9">
        <v>13212.1</v>
      </c>
      <c r="Q29" s="9">
        <v>13207.3</v>
      </c>
      <c r="R29" s="9">
        <v>13174.7</v>
      </c>
      <c r="S29" s="9">
        <v>13545.1</v>
      </c>
      <c r="T29" s="9">
        <v>13133.3</v>
      </c>
      <c r="U29" s="9">
        <v>13126.9</v>
      </c>
      <c r="V29" s="9">
        <v>13004.2</v>
      </c>
      <c r="W29" s="9">
        <v>13112.5</v>
      </c>
      <c r="X29" s="9">
        <v>13158.1</v>
      </c>
      <c r="Y29" s="9">
        <v>13054.7</v>
      </c>
      <c r="Z29" s="9">
        <v>13190.2</v>
      </c>
      <c r="AA29" s="9">
        <v>13249.2</v>
      </c>
      <c r="AB29" s="9">
        <v>13131.2</v>
      </c>
      <c r="AC29" s="9">
        <v>13167.2</v>
      </c>
      <c r="AD29" s="9">
        <v>13184.6</v>
      </c>
      <c r="AE29" s="9">
        <v>13263</v>
      </c>
      <c r="AF29" s="9">
        <v>13189</v>
      </c>
      <c r="AG29" s="9">
        <v>13205.8</v>
      </c>
      <c r="AH29" s="9">
        <v>13022.1</v>
      </c>
      <c r="AI29" s="9">
        <v>13111.4</v>
      </c>
      <c r="AJ29" s="9">
        <v>12979.1</v>
      </c>
      <c r="AK29" s="9">
        <v>11635</v>
      </c>
      <c r="AL29" s="9">
        <v>12997.4</v>
      </c>
      <c r="AM29" s="9">
        <v>12953.6</v>
      </c>
      <c r="AN29" s="9">
        <v>13192.7</v>
      </c>
      <c r="AO29" s="9">
        <v>13031.3</v>
      </c>
      <c r="AP29" s="9">
        <v>13047.2</v>
      </c>
      <c r="AQ29" s="9">
        <v>13213.6</v>
      </c>
      <c r="AR29" s="9">
        <v>13377.4</v>
      </c>
      <c r="AS29" s="9">
        <v>13435.2</v>
      </c>
      <c r="AT29" s="9">
        <v>13529.3</v>
      </c>
      <c r="AU29" s="9">
        <v>13442.9</v>
      </c>
      <c r="AV29" s="9">
        <v>13290.8</v>
      </c>
      <c r="AW29" s="9">
        <v>13142.3</v>
      </c>
      <c r="AX29" s="9">
        <v>13128.5</v>
      </c>
      <c r="AY29" s="9">
        <v>13101.7</v>
      </c>
      <c r="AZ29" s="9">
        <v>13891.5</v>
      </c>
      <c r="BA29" s="9">
        <v>12985.7</v>
      </c>
      <c r="BB29" s="9">
        <v>13769</v>
      </c>
      <c r="BC29" s="9">
        <v>12814.3</v>
      </c>
      <c r="BD29" s="9">
        <v>13283.9</v>
      </c>
      <c r="BE29" s="9">
        <v>14213.6</v>
      </c>
      <c r="BF29" s="9">
        <v>12666</v>
      </c>
      <c r="BG29" s="9">
        <v>13888.6</v>
      </c>
      <c r="BH29" s="9">
        <v>13180.9</v>
      </c>
      <c r="BI29" s="9">
        <v>13372.8</v>
      </c>
      <c r="BJ29" s="9">
        <v>13290.9</v>
      </c>
      <c r="BK29" s="9">
        <v>12739.2</v>
      </c>
      <c r="BL29" s="9">
        <v>13563.9</v>
      </c>
      <c r="BM29" s="9">
        <v>13275.6</v>
      </c>
      <c r="BN29" s="9">
        <v>13509.6</v>
      </c>
      <c r="BO29" s="9">
        <v>13269.7</v>
      </c>
      <c r="BP29" s="9">
        <v>12365.9</v>
      </c>
      <c r="BQ29" s="9">
        <v>13666.9</v>
      </c>
      <c r="BR29" s="9">
        <v>12448</v>
      </c>
      <c r="BS29" s="9">
        <v>13663.5</v>
      </c>
      <c r="BT29" s="9">
        <v>13575.2</v>
      </c>
      <c r="BU29" s="9">
        <v>12424</v>
      </c>
      <c r="BV29" s="9">
        <v>13254.6</v>
      </c>
      <c r="BW29" s="9">
        <v>12782.4</v>
      </c>
      <c r="BX29" s="9">
        <v>12983.7</v>
      </c>
      <c r="BY29" s="9">
        <v>12386.2</v>
      </c>
      <c r="BZ29" s="9">
        <v>12974.2</v>
      </c>
      <c r="CA29" s="9">
        <v>13340.5</v>
      </c>
      <c r="CB29" s="9">
        <v>13582.3</v>
      </c>
      <c r="CC29" s="9">
        <v>12610.7</v>
      </c>
      <c r="CD29" s="9">
        <v>13465.9</v>
      </c>
      <c r="CE29" s="9">
        <v>12178.1</v>
      </c>
      <c r="CF29" s="9">
        <v>13182.1</v>
      </c>
      <c r="CG29" s="9">
        <v>13033.9</v>
      </c>
      <c r="CH29" s="9">
        <v>12488</v>
      </c>
      <c r="CI29" s="9">
        <v>13437.4</v>
      </c>
      <c r="CJ29" s="9">
        <v>12299.4</v>
      </c>
      <c r="CK29" s="9">
        <v>13646</v>
      </c>
      <c r="CL29" s="9">
        <v>12459.9</v>
      </c>
      <c r="CM29" s="9">
        <v>13442.7</v>
      </c>
      <c r="CN29" s="9">
        <v>12704.8</v>
      </c>
      <c r="CO29" s="9">
        <v>13387.7</v>
      </c>
      <c r="CP29" s="9">
        <v>12772.7</v>
      </c>
      <c r="CQ29" s="9">
        <v>13688.3</v>
      </c>
      <c r="CR29" s="9">
        <v>12668</v>
      </c>
      <c r="CS29" s="9">
        <v>13245.2</v>
      </c>
      <c r="CT29" s="9">
        <v>12610.5</v>
      </c>
      <c r="CU29" s="9">
        <v>11219.8</v>
      </c>
      <c r="CV29" s="9">
        <v>13352.5</v>
      </c>
      <c r="CW29" s="9">
        <v>13052.9</v>
      </c>
      <c r="CX29" s="9">
        <v>12401.7</v>
      </c>
      <c r="CY29" s="9">
        <v>13711.1</v>
      </c>
      <c r="CZ29" s="9">
        <v>13412.3</v>
      </c>
      <c r="DA29" s="9">
        <v>12661.9</v>
      </c>
      <c r="DB29" s="9">
        <v>12521.4</v>
      </c>
      <c r="DC29" s="9">
        <v>13438.6</v>
      </c>
      <c r="DD29" s="9">
        <v>12332.9</v>
      </c>
      <c r="DE29" s="9">
        <v>12842.7</v>
      </c>
      <c r="DF29" s="9">
        <v>13596.2</v>
      </c>
      <c r="DG29" s="9">
        <v>12470.8</v>
      </c>
      <c r="DH29" s="9">
        <v>13630.2</v>
      </c>
      <c r="DI29" s="9">
        <v>12454.1</v>
      </c>
      <c r="DJ29" s="9">
        <v>13452.2</v>
      </c>
      <c r="DK29" s="9">
        <v>12673.8</v>
      </c>
      <c r="DL29" s="9">
        <v>13473.9</v>
      </c>
      <c r="DM29" s="9">
        <v>12067.5</v>
      </c>
      <c r="DN29" s="9">
        <v>13568.1</v>
      </c>
      <c r="DO29" s="9">
        <v>12625.7</v>
      </c>
      <c r="DP29" s="9">
        <v>13437.5</v>
      </c>
      <c r="DQ29" s="9">
        <v>12542.4</v>
      </c>
      <c r="DR29" s="9">
        <v>13470.4</v>
      </c>
      <c r="DS29" s="9">
        <v>12782.7</v>
      </c>
      <c r="DT29" s="9">
        <v>12460</v>
      </c>
      <c r="DU29" s="9">
        <v>13339.4</v>
      </c>
      <c r="DV29" s="9">
        <v>12620.5</v>
      </c>
      <c r="DW29" s="9">
        <v>12366</v>
      </c>
      <c r="DX29" s="9">
        <v>13428</v>
      </c>
      <c r="DY29" s="9">
        <v>13550.3</v>
      </c>
      <c r="DZ29" s="9">
        <v>13369</v>
      </c>
      <c r="EA29" s="9">
        <v>12612.6</v>
      </c>
      <c r="EB29" s="9">
        <v>13484.8</v>
      </c>
      <c r="EC29" s="9">
        <v>12474.7</v>
      </c>
      <c r="ED29" s="9">
        <v>13244.6</v>
      </c>
      <c r="EE29" s="9">
        <v>12631.8</v>
      </c>
      <c r="EF29" s="9">
        <v>13115.9</v>
      </c>
      <c r="EG29" s="9">
        <v>11693.7</v>
      </c>
      <c r="EH29" s="9">
        <v>13295</v>
      </c>
      <c r="EI29" s="9">
        <v>12501.2</v>
      </c>
      <c r="EJ29" s="9">
        <v>12590.9</v>
      </c>
      <c r="EK29" s="9">
        <v>12577</v>
      </c>
      <c r="EL29" s="9">
        <v>12429.3</v>
      </c>
      <c r="EM29" s="9">
        <v>10767.3</v>
      </c>
      <c r="EN29" s="9">
        <v>12356.6</v>
      </c>
      <c r="EO29" s="9">
        <v>10944.9</v>
      </c>
      <c r="EP29" s="9">
        <v>12207.4</v>
      </c>
      <c r="EQ29" s="9">
        <v>12274</v>
      </c>
      <c r="ER29" s="9">
        <v>13880.3</v>
      </c>
      <c r="ES29" s="9">
        <v>12672.3</v>
      </c>
      <c r="ET29" s="9">
        <v>13922.8</v>
      </c>
      <c r="EU29" s="9">
        <v>12891.6</v>
      </c>
      <c r="EV29" s="9">
        <v>13833.1</v>
      </c>
      <c r="EW29" s="9">
        <v>12706.7</v>
      </c>
      <c r="EX29" s="9">
        <v>12878.2</v>
      </c>
      <c r="EY29" s="9">
        <v>12603.8</v>
      </c>
      <c r="EZ29" s="9">
        <v>13652.7</v>
      </c>
      <c r="FA29" s="9">
        <v>13982.3</v>
      </c>
      <c r="FB29" s="9">
        <v>13891.6</v>
      </c>
      <c r="FC29" s="9">
        <v>13818.1</v>
      </c>
      <c r="FD29" s="9">
        <v>13825.7</v>
      </c>
      <c r="FE29" s="9">
        <v>13843.6</v>
      </c>
      <c r="FF29" s="9">
        <v>13008</v>
      </c>
      <c r="FG29" s="9">
        <v>13873.5</v>
      </c>
      <c r="FH29" s="9">
        <v>13932.6</v>
      </c>
      <c r="FI29" s="9">
        <v>13929.3</v>
      </c>
      <c r="FJ29" s="9">
        <v>13936.4</v>
      </c>
      <c r="FK29" s="9">
        <v>13903.2</v>
      </c>
      <c r="FL29" s="9">
        <v>13953.7</v>
      </c>
      <c r="FM29" s="9">
        <v>12997.9</v>
      </c>
      <c r="FN29" s="9">
        <v>14000.2</v>
      </c>
      <c r="FO29" s="9">
        <v>13049.2</v>
      </c>
      <c r="FP29" s="11">
        <v>35.381970310391353</v>
      </c>
      <c r="FQ29" s="11">
        <v>34.946086369770583</v>
      </c>
      <c r="FR29" s="11">
        <v>35.399392712550551</v>
      </c>
      <c r="FS29" s="11">
        <v>35.269568151147098</v>
      </c>
      <c r="FT29" s="11">
        <v>35.47655870445346</v>
      </c>
      <c r="FU29" s="11">
        <v>35.168326585695006</v>
      </c>
      <c r="FV29" s="11">
        <v>0</v>
      </c>
      <c r="FW29" s="11">
        <v>49.155222672064724</v>
      </c>
      <c r="FX29" s="11">
        <v>0</v>
      </c>
      <c r="FY29" s="11">
        <v>0</v>
      </c>
      <c r="FZ29" s="11">
        <v>49.4</v>
      </c>
      <c r="GA29" s="11">
        <v>49.852321187584344</v>
      </c>
      <c r="GB29" s="11">
        <v>3.5867452519568177</v>
      </c>
      <c r="GC29" s="11">
        <v>2.8730228182726054</v>
      </c>
      <c r="GD29" s="11">
        <v>3.2732364924696369</v>
      </c>
      <c r="GE29" s="11">
        <v>1.8480453655600528</v>
      </c>
      <c r="GF29" s="11">
        <v>3.4110705126855598</v>
      </c>
      <c r="GG29" s="11">
        <v>3.3170039323886651</v>
      </c>
      <c r="GH29" s="11">
        <v>8.7783329999999999</v>
      </c>
      <c r="GI29" s="11">
        <v>9.4550000000000001</v>
      </c>
      <c r="GJ29" s="11">
        <v>8.4466660000000005</v>
      </c>
      <c r="GK29" s="11">
        <v>9.2816659999999995</v>
      </c>
      <c r="GL29" s="11">
        <v>9.0333330000000007</v>
      </c>
      <c r="GM29" s="11">
        <v>8.341666</v>
      </c>
      <c r="GN29" s="11">
        <v>7.7368060000000058</v>
      </c>
      <c r="GO29" s="11">
        <v>7.7579084999999983</v>
      </c>
      <c r="GP29" s="11">
        <v>7.7874884999999958</v>
      </c>
      <c r="GQ29" s="11">
        <v>7.6666343333333336</v>
      </c>
      <c r="GR29" s="11">
        <v>7.8153873333333364</v>
      </c>
      <c r="GS29" s="11">
        <v>7.8451013333333366</v>
      </c>
      <c r="GT29" s="108">
        <v>2.0448785000000025</v>
      </c>
      <c r="GU29" s="108">
        <v>2.1563963333333334</v>
      </c>
      <c r="GV29" s="108">
        <v>1.9073293333333319</v>
      </c>
      <c r="GW29" s="108">
        <v>2.4540459999999999</v>
      </c>
      <c r="GX29" s="108">
        <v>2.3067856666666655</v>
      </c>
      <c r="GY29" s="108">
        <v>2.0654743333333316</v>
      </c>
      <c r="GZ29" s="13">
        <v>7.9110216666666702</v>
      </c>
      <c r="HA29" s="13">
        <v>7.9573801666666659</v>
      </c>
      <c r="HB29" s="13">
        <v>7.844040999999998</v>
      </c>
      <c r="HC29" s="13">
        <v>7.9102991666666682</v>
      </c>
      <c r="HD29" s="13">
        <v>7.9443476666666664</v>
      </c>
      <c r="HE29" s="13">
        <v>7.9000016666666699</v>
      </c>
      <c r="HF29" s="13">
        <v>0.5663493333333337</v>
      </c>
      <c r="HG29" s="13">
        <v>0.62861916666666628</v>
      </c>
      <c r="HH29" s="13">
        <v>0.53545566666666689</v>
      </c>
      <c r="HI29" s="13">
        <v>0.57426966666666701</v>
      </c>
      <c r="HJ29" s="13">
        <v>0.54426200000000058</v>
      </c>
      <c r="HK29" s="13">
        <v>0.59748549999999978</v>
      </c>
      <c r="HL29" s="12">
        <v>0</v>
      </c>
      <c r="HM29" s="12">
        <v>0</v>
      </c>
      <c r="HN29" s="12">
        <v>0</v>
      </c>
      <c r="HO29" s="12">
        <v>0</v>
      </c>
      <c r="HP29" s="12">
        <v>0</v>
      </c>
      <c r="HQ29" s="12">
        <v>0</v>
      </c>
      <c r="HR29" s="12">
        <v>0</v>
      </c>
      <c r="HS29" s="12">
        <v>0</v>
      </c>
      <c r="HT29" s="12">
        <v>0</v>
      </c>
      <c r="HU29" s="12">
        <v>0</v>
      </c>
      <c r="HV29" s="12">
        <v>0</v>
      </c>
      <c r="HW29" s="12">
        <v>0</v>
      </c>
      <c r="HX29" s="9">
        <v>918007</v>
      </c>
      <c r="HY29" s="9">
        <v>1721</v>
      </c>
      <c r="HZ29" s="9">
        <v>904844</v>
      </c>
      <c r="IA29" s="9">
        <v>1745</v>
      </c>
      <c r="IB29" s="11">
        <v>127887.01</v>
      </c>
      <c r="IC29" s="11">
        <v>287.06700000000001</v>
      </c>
      <c r="ID29" s="14">
        <f t="shared" ref="ID29:ID31" si="234">GN29-HL29</f>
        <v>7.7368060000000058</v>
      </c>
      <c r="IE29" s="14">
        <f t="shared" ref="IE29:IE31" si="235">GO29-HM29</f>
        <v>7.7579084999999983</v>
      </c>
      <c r="IF29" s="14">
        <f t="shared" ref="IF29:IF31" si="236">GP29-HN29</f>
        <v>7.7874884999999958</v>
      </c>
      <c r="IG29" s="14">
        <f t="shared" ref="IG29:IG31" si="237">GQ29-HO29</f>
        <v>7.6666343333333336</v>
      </c>
      <c r="IH29" s="14">
        <f t="shared" ref="IH29:IH31" si="238">GR29-HP29</f>
        <v>7.8153873333333364</v>
      </c>
      <c r="II29" s="14">
        <f t="shared" ref="II29:II31" si="239">GS29-HQ29</f>
        <v>7.8451013333333366</v>
      </c>
      <c r="IJ29" s="15">
        <f t="shared" ref="IJ29:IJ31" si="240">GZ29-HR29</f>
        <v>7.9110216666666702</v>
      </c>
      <c r="IK29" s="15">
        <f t="shared" ref="IK29:IK31" si="241">HA29-HS29</f>
        <v>7.9573801666666659</v>
      </c>
      <c r="IL29" s="15">
        <f t="shared" ref="IL29:IL31" si="242">HB29-HT29</f>
        <v>7.844040999999998</v>
      </c>
      <c r="IM29" s="15">
        <f t="shared" ref="IM29:IM31" si="243">HC29-HU29</f>
        <v>7.9102991666666682</v>
      </c>
      <c r="IN29" s="15">
        <f t="shared" ref="IN29:IN31" si="244">HD29-HV29</f>
        <v>7.9443476666666664</v>
      </c>
      <c r="IO29" s="15">
        <f t="shared" ref="IO29:IO31" si="245">HE29-HW29</f>
        <v>7.9000016666666699</v>
      </c>
      <c r="IP29" s="16">
        <f t="shared" ref="IP29:IP31" si="246">(HX29-HX28)*1000</f>
        <v>1046000</v>
      </c>
      <c r="IQ29" s="16">
        <f t="shared" ref="IQ29:IQ31" si="247">(HY29-HY28)*1000</f>
        <v>1000</v>
      </c>
      <c r="IR29" s="16">
        <f t="shared" ref="IR29:IR31" si="248">(HZ29-HZ28)*1000</f>
        <v>1037000</v>
      </c>
      <c r="IS29" s="16">
        <f t="shared" ref="IS29:IS31" si="249">(IA29-IA28)*1000</f>
        <v>1000</v>
      </c>
      <c r="IT29" s="16">
        <f t="shared" ref="IT29:IT31" si="250">(IB29-IB28)*1000</f>
        <v>2077266.9999999925</v>
      </c>
      <c r="IU29" s="16">
        <f t="shared" ref="IU29:IU31" si="251">(IC29-IC28)*1000</f>
        <v>4400.0000000000346</v>
      </c>
      <c r="IV29" s="17">
        <f t="shared" ref="IV29:IV31" si="252">(IP29+IR29)-(IQ29+IS29)</f>
        <v>2081000</v>
      </c>
      <c r="IW29" s="17">
        <f t="shared" ref="IW29:IW31" si="253">IT29-IU29</f>
        <v>2072866.9999999925</v>
      </c>
      <c r="IX29" s="19">
        <f>(Raw_Data[[#This Row],[Sunset Time (POA&lt;20 W/m2)]]-Raw_Data[[#This Row],[Sunrise Time (POA&gt;20 W/m2)]])*24</f>
        <v>12.66666666666667</v>
      </c>
      <c r="IY29" s="68">
        <f>AVERAGEIF(Raw_Data[[#This Row],[GHI_UP_Net_IS2_W1]:[GHI_UP_Net_IS19_W6]],"&lt;&gt;"&amp;0,Raw_Data[[#This Row],[GHI_UP_Net_IS2_W1]:[GHI_UP_Net_IS19_W6]])</f>
        <v>7.7682210000000014</v>
      </c>
      <c r="IZ29" s="68">
        <f>AVERAGEIF(Raw_Data[[#This Row],[GHI_Down_IS2_W1]:[GHI_Down_IS19_W6]],"&lt;&gt;"&amp;0,Raw_Data[[#This Row],[GHI_Down_IS2_W1]:[GHI_Down_IS19_W6]])</f>
        <v>2.1558183611111108</v>
      </c>
      <c r="JA29" s="68">
        <f>AVERAGEIF(Raw_Data[[#This Row],[POA_Up_IS2_W1]:[POA_Up_IS19_W6]],"&lt;&gt;"&amp;0,Raw_Data[[#This Row],[POA_Up_IS2_W1]:[POA_Up_IS19_W6]])</f>
        <v>7.9111818888888896</v>
      </c>
      <c r="JB29" s="68">
        <f>AVERAGEIF(Raw_Data[[#This Row],[POA_Down_IS2_W1]:[POA_Down_IS19_W6]],"&lt;&gt;"&amp;0,Raw_Data[[#This Row],[POA_Down_IS2_W1]:[POA_Down_IS19_W6]])</f>
        <v>0.57440688888888902</v>
      </c>
      <c r="JC29" s="69">
        <f>Raw_Data[[#This Row],[GHI-Down(KWh/m2)]]/Raw_Data[[#This Row],[GHI-UP (KWh/m2)]]</f>
        <v>0.27751764028226161</v>
      </c>
      <c r="JD29" s="72">
        <f>Raw_Data[[#This Row],[POA-Down(KWh/m2)]]/Raw_Data[[#This Row],[POA-UP(KWh/m2)]]</f>
        <v>7.2606962771976327E-2</v>
      </c>
      <c r="JE29" s="68">
        <f>AVERAGEIF(Raw_Data[[#This Row],[Amb_Temp_IS2_W1]:[Amb_Temp_IS19_W6]],"&lt;&gt;"&amp;0,Raw_Data[[#This Row],[Amb_Temp_IS2_W1]:[Amb_Temp_IS19_W6]])</f>
        <v>35.273650472334673</v>
      </c>
      <c r="JF29" s="68">
        <f>AVERAGEIF(Raw_Data[[#This Row],[MT_Temp_IS2_W1]:[MT_Temp_IS19_W6]],"&lt;&gt;"&amp;0,Raw_Data[[#This Row],[MT_Temp_IS2_W1]:[MT_Temp_IS19_W6]])</f>
        <v>49.469181286549691</v>
      </c>
      <c r="JG29" s="68">
        <f>AVERAGEIF(Raw_Data[[#This Row],[WS_Avg_IS2_W1]:[WS_Avg_IS19_W6]],"&lt;&gt;"&amp;0,Raw_Data[[#This Row],[WS_Avg_IS2_W1]:[WS_Avg_IS19_W6]])</f>
        <v>3.0515207288888893</v>
      </c>
      <c r="JH29" s="68">
        <f>AVERAGEIF(Raw_Data[[#This Row],[WS_Max_IS2_W1]:[WS_Max_IS19_W6]],"&lt;&gt;"&amp;0,Raw_Data[[#This Row],[WS_Max_IS2_W1]:[WS_Max_IS19_W6]])</f>
        <v>8.8894439999999992</v>
      </c>
      <c r="JI29" s="70">
        <f>SUM(Raw_Data[[#This Row],[IS1_INV1_M1]:[IS20_INV4_M2]])</f>
        <v>2091974.4999999995</v>
      </c>
      <c r="JJ29" s="73">
        <v>2035600.9999999963</v>
      </c>
      <c r="JK29" s="71">
        <v>2522395.4779733913</v>
      </c>
      <c r="JL29" s="143">
        <f>IFERROR(Raw_Data[[#This Row],[WPR_Eac]]/Raw_Data[[#This Row],[WPR_Edc]],"")</f>
        <v>0.80701104080454977</v>
      </c>
      <c r="JM29" s="6">
        <v>27</v>
      </c>
      <c r="JN29" s="6">
        <v>0</v>
      </c>
    </row>
    <row r="30" spans="2:274">
      <c r="B30" s="67">
        <f t="shared" si="21"/>
        <v>45769</v>
      </c>
      <c r="C30" s="9">
        <f>YEAR(Raw_Data[[#This Row],[Date]])+IF(MONTH(Raw_Data[[#This Row],[Date]])&gt;=4,1,0)</f>
        <v>2026</v>
      </c>
      <c r="D30" s="6">
        <f t="shared" si="232"/>
        <v>2025</v>
      </c>
      <c r="E30" s="7" t="s">
        <v>361</v>
      </c>
      <c r="F30" s="7" t="s">
        <v>361</v>
      </c>
      <c r="G30" s="8">
        <v>45748</v>
      </c>
      <c r="H30" s="6">
        <f t="shared" si="233"/>
        <v>30</v>
      </c>
      <c r="I30" s="9">
        <v>335090.89</v>
      </c>
      <c r="J30" s="10">
        <v>0.26805555555555555</v>
      </c>
      <c r="K30" s="10">
        <v>0.80138888888888893</v>
      </c>
      <c r="L30" s="9">
        <v>13163.5</v>
      </c>
      <c r="M30" s="9">
        <v>13581.5</v>
      </c>
      <c r="N30" s="9">
        <v>13541.4</v>
      </c>
      <c r="O30" s="9">
        <v>13553</v>
      </c>
      <c r="P30" s="9">
        <v>13658.1</v>
      </c>
      <c r="Q30" s="9">
        <v>13665.1</v>
      </c>
      <c r="R30" s="9">
        <v>13640.5</v>
      </c>
      <c r="S30" s="9">
        <v>13911.3</v>
      </c>
      <c r="T30" s="9">
        <v>13616.5</v>
      </c>
      <c r="U30" s="9">
        <v>13557</v>
      </c>
      <c r="V30" s="9">
        <v>13495.4</v>
      </c>
      <c r="W30" s="9">
        <v>13576.9</v>
      </c>
      <c r="X30" s="9">
        <v>13638</v>
      </c>
      <c r="Y30" s="9">
        <v>13527.4</v>
      </c>
      <c r="Z30" s="9">
        <v>13640.1</v>
      </c>
      <c r="AA30" s="9">
        <v>13685.8</v>
      </c>
      <c r="AB30" s="9">
        <v>13572.1</v>
      </c>
      <c r="AC30" s="9">
        <v>13602.2</v>
      </c>
      <c r="AD30" s="9">
        <v>13615.1</v>
      </c>
      <c r="AE30" s="9">
        <v>13705.3</v>
      </c>
      <c r="AF30" s="9">
        <v>13624.8</v>
      </c>
      <c r="AG30" s="9">
        <v>13640.4</v>
      </c>
      <c r="AH30" s="9">
        <v>13489.6</v>
      </c>
      <c r="AI30" s="9">
        <v>13562.9</v>
      </c>
      <c r="AJ30" s="9">
        <v>13443.8</v>
      </c>
      <c r="AK30" s="9">
        <v>12273.5</v>
      </c>
      <c r="AL30" s="9">
        <v>13452.6</v>
      </c>
      <c r="AM30" s="9">
        <v>13414.2</v>
      </c>
      <c r="AN30" s="9">
        <v>13639.9</v>
      </c>
      <c r="AO30" s="9">
        <v>13488</v>
      </c>
      <c r="AP30" s="9">
        <v>13505.6</v>
      </c>
      <c r="AQ30" s="9">
        <v>13650.4</v>
      </c>
      <c r="AR30" s="9">
        <v>13881.3</v>
      </c>
      <c r="AS30" s="9">
        <v>13949.9</v>
      </c>
      <c r="AT30" s="9">
        <v>14064.1</v>
      </c>
      <c r="AU30" s="9">
        <v>13976.4</v>
      </c>
      <c r="AV30" s="9">
        <v>13728.6</v>
      </c>
      <c r="AW30" s="9">
        <v>13596.2</v>
      </c>
      <c r="AX30" s="9">
        <v>13580</v>
      </c>
      <c r="AY30" s="9">
        <v>13538.3</v>
      </c>
      <c r="AZ30" s="9">
        <v>14275.3</v>
      </c>
      <c r="BA30" s="9">
        <v>13477.1</v>
      </c>
      <c r="BB30" s="9">
        <v>14154.6</v>
      </c>
      <c r="BC30" s="9">
        <v>13336.7</v>
      </c>
      <c r="BD30" s="9">
        <v>13758.9</v>
      </c>
      <c r="BE30" s="9">
        <v>14578.4</v>
      </c>
      <c r="BF30" s="9">
        <v>13167.9</v>
      </c>
      <c r="BG30" s="9">
        <v>14253.9</v>
      </c>
      <c r="BH30" s="9">
        <v>13609.6</v>
      </c>
      <c r="BI30" s="9">
        <v>13801.4</v>
      </c>
      <c r="BJ30" s="9">
        <v>13731.9</v>
      </c>
      <c r="BK30" s="9">
        <v>13263.9</v>
      </c>
      <c r="BL30" s="9">
        <v>13983.7</v>
      </c>
      <c r="BM30" s="9">
        <v>13750</v>
      </c>
      <c r="BN30" s="9">
        <v>13933.3</v>
      </c>
      <c r="BO30" s="9">
        <v>13703.7</v>
      </c>
      <c r="BP30" s="9">
        <v>12910.7</v>
      </c>
      <c r="BQ30" s="9">
        <v>14071.8</v>
      </c>
      <c r="BR30" s="9">
        <v>12994.4</v>
      </c>
      <c r="BS30" s="9">
        <v>14065.3</v>
      </c>
      <c r="BT30" s="9">
        <v>13976.4</v>
      </c>
      <c r="BU30" s="9">
        <v>12959</v>
      </c>
      <c r="BV30" s="9">
        <v>13681.5</v>
      </c>
      <c r="BW30" s="9">
        <v>13252</v>
      </c>
      <c r="BX30" s="9">
        <v>13458.7</v>
      </c>
      <c r="BY30" s="9">
        <v>12952.1</v>
      </c>
      <c r="BZ30" s="9">
        <v>13448.8</v>
      </c>
      <c r="CA30" s="9">
        <v>13795.1</v>
      </c>
      <c r="CB30" s="9">
        <v>13988.2</v>
      </c>
      <c r="CC30" s="9">
        <v>13136.9</v>
      </c>
      <c r="CD30" s="9">
        <v>13877.5</v>
      </c>
      <c r="CE30" s="9">
        <v>12798.3</v>
      </c>
      <c r="CF30" s="9">
        <v>13618.4</v>
      </c>
      <c r="CG30" s="9">
        <v>13502.3</v>
      </c>
      <c r="CH30" s="9">
        <v>13023.7</v>
      </c>
      <c r="CI30" s="9">
        <v>13852.8</v>
      </c>
      <c r="CJ30" s="9">
        <v>12866.5</v>
      </c>
      <c r="CK30" s="9">
        <v>14051.2</v>
      </c>
      <c r="CL30" s="9">
        <v>12998.5</v>
      </c>
      <c r="CM30" s="9">
        <v>13861.5</v>
      </c>
      <c r="CN30" s="9">
        <v>13245.1</v>
      </c>
      <c r="CO30" s="9">
        <v>13863.1</v>
      </c>
      <c r="CP30" s="9">
        <v>13297.3</v>
      </c>
      <c r="CQ30" s="9">
        <v>14118.3</v>
      </c>
      <c r="CR30" s="9">
        <v>13215</v>
      </c>
      <c r="CS30" s="9">
        <v>13725.3</v>
      </c>
      <c r="CT30" s="9">
        <v>13148.1</v>
      </c>
      <c r="CU30" s="9">
        <v>11905.3</v>
      </c>
      <c r="CV30" s="9">
        <v>13800.4</v>
      </c>
      <c r="CW30" s="9">
        <v>13561.7</v>
      </c>
      <c r="CX30" s="9">
        <v>12971</v>
      </c>
      <c r="CY30" s="9">
        <v>14116.5</v>
      </c>
      <c r="CZ30" s="9">
        <v>13841.6</v>
      </c>
      <c r="DA30" s="9">
        <v>13176.6</v>
      </c>
      <c r="DB30" s="9">
        <v>13047.6</v>
      </c>
      <c r="DC30" s="9">
        <v>13920.2</v>
      </c>
      <c r="DD30" s="9">
        <v>12987.6</v>
      </c>
      <c r="DE30" s="9">
        <v>13381.4</v>
      </c>
      <c r="DF30" s="9">
        <v>14038.1</v>
      </c>
      <c r="DG30" s="9">
        <v>13032.4</v>
      </c>
      <c r="DH30" s="9">
        <v>14054</v>
      </c>
      <c r="DI30" s="9">
        <v>13020.7</v>
      </c>
      <c r="DJ30" s="9">
        <v>13912.5</v>
      </c>
      <c r="DK30" s="9">
        <v>13232.3</v>
      </c>
      <c r="DL30" s="9">
        <v>13918.2</v>
      </c>
      <c r="DM30" s="9">
        <v>12716.9</v>
      </c>
      <c r="DN30" s="9">
        <v>14009</v>
      </c>
      <c r="DO30" s="9">
        <v>13162.2</v>
      </c>
      <c r="DP30" s="9">
        <v>13877.4</v>
      </c>
      <c r="DQ30" s="9">
        <v>13071.4</v>
      </c>
      <c r="DR30" s="9">
        <v>13946.4</v>
      </c>
      <c r="DS30" s="9">
        <v>13336.9</v>
      </c>
      <c r="DT30" s="9">
        <v>13036.7</v>
      </c>
      <c r="DU30" s="9">
        <v>13824.8</v>
      </c>
      <c r="DV30" s="9">
        <v>13171.6</v>
      </c>
      <c r="DW30" s="9">
        <v>12977.7</v>
      </c>
      <c r="DX30" s="9">
        <v>13877.2</v>
      </c>
      <c r="DY30" s="9">
        <v>14008.1</v>
      </c>
      <c r="DZ30" s="9">
        <v>13831.8</v>
      </c>
      <c r="EA30" s="9">
        <v>13176.4</v>
      </c>
      <c r="EB30" s="9">
        <v>13932.3</v>
      </c>
      <c r="EC30" s="9">
        <v>13050.3</v>
      </c>
      <c r="ED30" s="9">
        <v>13725.1</v>
      </c>
      <c r="EE30" s="9">
        <v>13186.3</v>
      </c>
      <c r="EF30" s="9">
        <v>13621.4</v>
      </c>
      <c r="EG30" s="9">
        <v>12382.4</v>
      </c>
      <c r="EH30" s="9">
        <v>13773.6</v>
      </c>
      <c r="EI30" s="9">
        <v>13109.3</v>
      </c>
      <c r="EJ30" s="9">
        <v>13149.3</v>
      </c>
      <c r="EK30" s="9">
        <v>13114.8</v>
      </c>
      <c r="EL30" s="9">
        <v>13057.3</v>
      </c>
      <c r="EM30" s="9">
        <v>11426.6</v>
      </c>
      <c r="EN30" s="9">
        <v>12954</v>
      </c>
      <c r="EO30" s="9">
        <v>11676.4</v>
      </c>
      <c r="EP30" s="9">
        <v>12921.7</v>
      </c>
      <c r="EQ30" s="9">
        <v>12958.4</v>
      </c>
      <c r="ER30" s="9">
        <v>14238.5</v>
      </c>
      <c r="ES30" s="9">
        <v>13194.3</v>
      </c>
      <c r="ET30" s="9">
        <v>14306.4</v>
      </c>
      <c r="EU30" s="9">
        <v>13418.8</v>
      </c>
      <c r="EV30" s="9">
        <v>14215.4</v>
      </c>
      <c r="EW30" s="9">
        <v>13235.2</v>
      </c>
      <c r="EX30" s="9">
        <v>13392.2</v>
      </c>
      <c r="EY30" s="9">
        <v>13182.5</v>
      </c>
      <c r="EZ30" s="9">
        <v>14101.5</v>
      </c>
      <c r="FA30" s="9">
        <v>14379.4</v>
      </c>
      <c r="FB30" s="9">
        <v>14310.6</v>
      </c>
      <c r="FC30" s="9">
        <v>14238.4</v>
      </c>
      <c r="FD30" s="9">
        <v>14241</v>
      </c>
      <c r="FE30" s="9">
        <v>14248.3</v>
      </c>
      <c r="FF30" s="9">
        <v>13528.8</v>
      </c>
      <c r="FG30" s="9">
        <v>14281.6</v>
      </c>
      <c r="FH30" s="9">
        <v>14317.5</v>
      </c>
      <c r="FI30" s="9">
        <v>14320.1</v>
      </c>
      <c r="FJ30" s="9">
        <v>14320.2</v>
      </c>
      <c r="FK30" s="9">
        <v>14288.6</v>
      </c>
      <c r="FL30" s="9">
        <v>14339.7</v>
      </c>
      <c r="FM30" s="9">
        <v>13519.4</v>
      </c>
      <c r="FN30" s="9">
        <v>14396.6</v>
      </c>
      <c r="FO30" s="9">
        <v>13556.5</v>
      </c>
      <c r="FP30" s="11">
        <v>35.857800269905546</v>
      </c>
      <c r="FQ30" s="11">
        <v>35.52809716599193</v>
      </c>
      <c r="FR30" s="11">
        <v>35.839365721997339</v>
      </c>
      <c r="FS30" s="11">
        <v>35.892685560053962</v>
      </c>
      <c r="FT30" s="11">
        <v>36.129865047233444</v>
      </c>
      <c r="FU30" s="11">
        <v>35.688839406207855</v>
      </c>
      <c r="FV30" s="11">
        <v>0</v>
      </c>
      <c r="FW30" s="11">
        <v>47.788731443994557</v>
      </c>
      <c r="FX30" s="11">
        <v>0</v>
      </c>
      <c r="FY30" s="11">
        <v>0</v>
      </c>
      <c r="FZ30" s="11">
        <v>47.5</v>
      </c>
      <c r="GA30" s="11">
        <v>47.550526315789469</v>
      </c>
      <c r="GB30" s="11">
        <v>4.490521634682862</v>
      </c>
      <c r="GC30" s="11">
        <v>3.9499795870850227</v>
      </c>
      <c r="GD30" s="11">
        <v>4.2085918226720684</v>
      </c>
      <c r="GE30" s="11">
        <v>2.8444915541430507</v>
      </c>
      <c r="GF30" s="11">
        <v>4.2561221565452092</v>
      </c>
      <c r="GG30" s="11">
        <v>3.7959647665317142</v>
      </c>
      <c r="GH30" s="11">
        <v>8.5850000000000009</v>
      </c>
      <c r="GI30" s="11">
        <v>8.4149999999999991</v>
      </c>
      <c r="GJ30" s="11">
        <v>7.9133339999999999</v>
      </c>
      <c r="GK30" s="11">
        <v>8.2233339999999995</v>
      </c>
      <c r="GL30" s="11">
        <v>8.58</v>
      </c>
      <c r="GM30" s="11">
        <v>7.8449989999999996</v>
      </c>
      <c r="GN30" s="11">
        <v>8.1280453333333362</v>
      </c>
      <c r="GO30" s="11">
        <v>8.182665666666658</v>
      </c>
      <c r="GP30" s="11">
        <v>8.216183666666673</v>
      </c>
      <c r="GQ30" s="11">
        <v>8.1030831666666554</v>
      </c>
      <c r="GR30" s="11">
        <v>8.2555594999999968</v>
      </c>
      <c r="GS30" s="11">
        <v>8.2942843333333318</v>
      </c>
      <c r="GT30" s="108">
        <v>2.1697946666666668</v>
      </c>
      <c r="GU30" s="108">
        <v>2.2592611666666684</v>
      </c>
      <c r="GV30" s="108">
        <v>2.0267903333333313</v>
      </c>
      <c r="GW30" s="108">
        <v>2.6018733333333346</v>
      </c>
      <c r="GX30" s="108">
        <v>2.4435103333333368</v>
      </c>
      <c r="GY30" s="108">
        <v>2.1861598333333343</v>
      </c>
      <c r="GZ30" s="13">
        <v>8.2835673333333322</v>
      </c>
      <c r="HA30" s="13">
        <v>8.3637808333333261</v>
      </c>
      <c r="HB30" s="13">
        <v>8.2316168333333319</v>
      </c>
      <c r="HC30" s="13">
        <v>8.3460288333333299</v>
      </c>
      <c r="HD30" s="13">
        <v>8.3567633333333298</v>
      </c>
      <c r="HE30" s="13">
        <v>8.3265288333333363</v>
      </c>
      <c r="HF30" s="13">
        <v>0.58771366666666613</v>
      </c>
      <c r="HG30" s="13">
        <v>0.65402400000000049</v>
      </c>
      <c r="HH30" s="13">
        <v>0.55341250000000042</v>
      </c>
      <c r="HI30" s="13">
        <v>0.60116633333333303</v>
      </c>
      <c r="HJ30" s="13">
        <v>0.56157966666666703</v>
      </c>
      <c r="HK30" s="13">
        <v>0.62391916666666647</v>
      </c>
      <c r="HL30" s="12">
        <v>0</v>
      </c>
      <c r="HM30" s="12">
        <v>0</v>
      </c>
      <c r="HN30" s="12">
        <v>0</v>
      </c>
      <c r="HO30" s="12">
        <v>0</v>
      </c>
      <c r="HP30" s="12">
        <v>0</v>
      </c>
      <c r="HQ30" s="12">
        <v>0</v>
      </c>
      <c r="HR30" s="12">
        <v>0</v>
      </c>
      <c r="HS30" s="12">
        <v>0</v>
      </c>
      <c r="HT30" s="12">
        <v>0</v>
      </c>
      <c r="HU30" s="12">
        <v>0</v>
      </c>
      <c r="HV30" s="12">
        <v>0</v>
      </c>
      <c r="HW30" s="12">
        <v>0</v>
      </c>
      <c r="HX30" s="9">
        <v>919090</v>
      </c>
      <c r="HY30" s="9">
        <v>1723</v>
      </c>
      <c r="HZ30" s="9">
        <v>905922</v>
      </c>
      <c r="IA30" s="9">
        <v>1747</v>
      </c>
      <c r="IB30" s="11">
        <v>130040.477</v>
      </c>
      <c r="IC30" s="11">
        <v>291.2</v>
      </c>
      <c r="ID30" s="14">
        <f t="shared" si="234"/>
        <v>8.1280453333333362</v>
      </c>
      <c r="IE30" s="14">
        <f t="shared" si="235"/>
        <v>8.182665666666658</v>
      </c>
      <c r="IF30" s="14">
        <f t="shared" si="236"/>
        <v>8.216183666666673</v>
      </c>
      <c r="IG30" s="14">
        <f t="shared" si="237"/>
        <v>8.1030831666666554</v>
      </c>
      <c r="IH30" s="14">
        <f t="shared" si="238"/>
        <v>8.2555594999999968</v>
      </c>
      <c r="II30" s="14">
        <f t="shared" si="239"/>
        <v>8.2942843333333318</v>
      </c>
      <c r="IJ30" s="15">
        <f t="shared" si="240"/>
        <v>8.2835673333333322</v>
      </c>
      <c r="IK30" s="15">
        <f t="shared" si="241"/>
        <v>8.3637808333333261</v>
      </c>
      <c r="IL30" s="15">
        <f t="shared" si="242"/>
        <v>8.2316168333333319</v>
      </c>
      <c r="IM30" s="15">
        <f t="shared" si="243"/>
        <v>8.3460288333333299</v>
      </c>
      <c r="IN30" s="15">
        <f t="shared" si="244"/>
        <v>8.3567633333333298</v>
      </c>
      <c r="IO30" s="15">
        <f t="shared" si="245"/>
        <v>8.3265288333333363</v>
      </c>
      <c r="IP30" s="16">
        <f t="shared" si="246"/>
        <v>1083000</v>
      </c>
      <c r="IQ30" s="16">
        <f t="shared" si="247"/>
        <v>2000</v>
      </c>
      <c r="IR30" s="16">
        <f t="shared" si="248"/>
        <v>1078000</v>
      </c>
      <c r="IS30" s="16">
        <f t="shared" si="249"/>
        <v>2000</v>
      </c>
      <c r="IT30" s="16">
        <f t="shared" si="250"/>
        <v>2153467.0000000042</v>
      </c>
      <c r="IU30" s="16">
        <f t="shared" si="251"/>
        <v>4132.9999999999818</v>
      </c>
      <c r="IV30" s="17">
        <f t="shared" si="252"/>
        <v>2157000</v>
      </c>
      <c r="IW30" s="17">
        <f t="shared" si="253"/>
        <v>2149334.0000000042</v>
      </c>
      <c r="IX30" s="19">
        <f>(Raw_Data[[#This Row],[Sunset Time (POA&lt;20 W/m2)]]-Raw_Data[[#This Row],[Sunrise Time (POA&gt;20 W/m2)]])*24</f>
        <v>12.800000000000002</v>
      </c>
      <c r="IY30" s="68">
        <f>AVERAGEIF(Raw_Data[[#This Row],[GHI_UP_Net_IS2_W1]:[GHI_UP_Net_IS19_W6]],"&lt;&gt;"&amp;0,Raw_Data[[#This Row],[GHI_UP_Net_IS2_W1]:[GHI_UP_Net_IS19_W6]])</f>
        <v>8.1966369444444407</v>
      </c>
      <c r="IZ30" s="68">
        <f>AVERAGEIF(Raw_Data[[#This Row],[GHI_Down_IS2_W1]:[GHI_Down_IS19_W6]],"&lt;&gt;"&amp;0,Raw_Data[[#This Row],[GHI_Down_IS2_W1]:[GHI_Down_IS19_W6]])</f>
        <v>2.2812316111111119</v>
      </c>
      <c r="JA30" s="68">
        <f>AVERAGEIF(Raw_Data[[#This Row],[POA_Up_IS2_W1]:[POA_Up_IS19_W6]],"&lt;&gt;"&amp;0,Raw_Data[[#This Row],[POA_Up_IS2_W1]:[POA_Up_IS19_W6]])</f>
        <v>8.3180476666666632</v>
      </c>
      <c r="JB30" s="68">
        <f>AVERAGEIF(Raw_Data[[#This Row],[POA_Down_IS2_W1]:[POA_Down_IS19_W6]],"&lt;&gt;"&amp;0,Raw_Data[[#This Row],[POA_Down_IS2_W1]:[POA_Down_IS19_W6]])</f>
        <v>0.59696922222222226</v>
      </c>
      <c r="JC30" s="69">
        <f>Raw_Data[[#This Row],[GHI-Down(KWh/m2)]]/Raw_Data[[#This Row],[GHI-UP (KWh/m2)]]</f>
        <v>0.27831312117066465</v>
      </c>
      <c r="JD30" s="72">
        <f>Raw_Data[[#This Row],[POA-Down(KWh/m2)]]/Raw_Data[[#This Row],[POA-UP(KWh/m2)]]</f>
        <v>7.1767949180489496E-2</v>
      </c>
      <c r="JE30" s="68">
        <f>AVERAGEIF(Raw_Data[[#This Row],[Amb_Temp_IS2_W1]:[Amb_Temp_IS19_W6]],"&lt;&gt;"&amp;0,Raw_Data[[#This Row],[Amb_Temp_IS2_W1]:[Amb_Temp_IS19_W6]])</f>
        <v>35.82277552856501</v>
      </c>
      <c r="JF30" s="68">
        <f>AVERAGEIF(Raw_Data[[#This Row],[MT_Temp_IS2_W1]:[MT_Temp_IS19_W6]],"&lt;&gt;"&amp;0,Raw_Data[[#This Row],[MT_Temp_IS2_W1]:[MT_Temp_IS19_W6]])</f>
        <v>47.613085919928004</v>
      </c>
      <c r="JG30" s="68">
        <f>AVERAGEIF(Raw_Data[[#This Row],[WS_Avg_IS2_W1]:[WS_Avg_IS19_W6]],"&lt;&gt;"&amp;0,Raw_Data[[#This Row],[WS_Avg_IS2_W1]:[WS_Avg_IS19_W6]])</f>
        <v>3.9242785869433217</v>
      </c>
      <c r="JH30" s="68">
        <f>AVERAGEIF(Raw_Data[[#This Row],[WS_Max_IS2_W1]:[WS_Max_IS19_W6]],"&lt;&gt;"&amp;0,Raw_Data[[#This Row],[WS_Max_IS2_W1]:[WS_Max_IS19_W6]])</f>
        <v>8.2602778333333333</v>
      </c>
      <c r="JI30" s="70">
        <f>SUM(Raw_Data[[#This Row],[IS1_INV1_M1]:[IS20_INV4_M2]])</f>
        <v>2169534.100000001</v>
      </c>
      <c r="JJ30" s="73">
        <v>2108067.0000000088</v>
      </c>
      <c r="JK30" s="71">
        <v>2649342.7304939586</v>
      </c>
      <c r="JL30" s="143">
        <f>IFERROR(Raw_Data[[#This Row],[WPR_Eac]]/Raw_Data[[#This Row],[WPR_Edc]],"")</f>
        <v>0.79569433419698354</v>
      </c>
      <c r="JM30" s="6">
        <v>29</v>
      </c>
      <c r="JN30" s="6">
        <v>0</v>
      </c>
    </row>
    <row r="31" spans="2:274">
      <c r="B31" s="67">
        <f t="shared" si="21"/>
        <v>45770</v>
      </c>
      <c r="C31" s="9">
        <f>YEAR(Raw_Data[[#This Row],[Date]])+IF(MONTH(Raw_Data[[#This Row],[Date]])&gt;=4,1,0)</f>
        <v>2026</v>
      </c>
      <c r="D31" s="6">
        <f t="shared" si="232"/>
        <v>2025</v>
      </c>
      <c r="E31" s="7" t="s">
        <v>361</v>
      </c>
      <c r="F31" s="7" t="s">
        <v>361</v>
      </c>
      <c r="G31" s="8">
        <v>45748</v>
      </c>
      <c r="H31" s="6">
        <f t="shared" si="233"/>
        <v>30</v>
      </c>
      <c r="I31" s="9">
        <v>335090.89</v>
      </c>
      <c r="J31" s="10">
        <v>0.26597222222222222</v>
      </c>
      <c r="K31" s="10">
        <v>0.80208333333333337</v>
      </c>
      <c r="L31" s="9">
        <v>12854.5</v>
      </c>
      <c r="M31" s="9">
        <v>13324.6</v>
      </c>
      <c r="N31" s="9">
        <v>13258.3</v>
      </c>
      <c r="O31" s="9">
        <v>13281</v>
      </c>
      <c r="P31" s="9">
        <v>13399.8</v>
      </c>
      <c r="Q31" s="9">
        <v>13412.9</v>
      </c>
      <c r="R31" s="9">
        <v>13429.7</v>
      </c>
      <c r="S31" s="9">
        <v>13700.5</v>
      </c>
      <c r="T31" s="9">
        <v>13327.3</v>
      </c>
      <c r="U31" s="9">
        <v>13266.7</v>
      </c>
      <c r="V31" s="9">
        <v>13201</v>
      </c>
      <c r="W31" s="9">
        <v>13285.3</v>
      </c>
      <c r="X31" s="9">
        <v>13362.6</v>
      </c>
      <c r="Y31" s="9">
        <v>13247.4</v>
      </c>
      <c r="Z31" s="9">
        <v>13342</v>
      </c>
      <c r="AA31" s="9">
        <v>13406.4</v>
      </c>
      <c r="AB31" s="9">
        <v>13293</v>
      </c>
      <c r="AC31" s="9">
        <v>13326.8</v>
      </c>
      <c r="AD31" s="9">
        <v>13357.4</v>
      </c>
      <c r="AE31" s="9">
        <v>13435.2</v>
      </c>
      <c r="AF31" s="9">
        <v>13367.8</v>
      </c>
      <c r="AG31" s="9">
        <v>13387.2</v>
      </c>
      <c r="AH31" s="9">
        <v>13190.8</v>
      </c>
      <c r="AI31" s="9">
        <v>13282.1</v>
      </c>
      <c r="AJ31" s="9">
        <v>13148.5</v>
      </c>
      <c r="AK31" s="9">
        <v>11797.8</v>
      </c>
      <c r="AL31" s="9">
        <v>13166.1</v>
      </c>
      <c r="AM31" s="9">
        <v>13117.8</v>
      </c>
      <c r="AN31" s="9">
        <v>13368.5</v>
      </c>
      <c r="AO31" s="9">
        <v>13227</v>
      </c>
      <c r="AP31" s="9">
        <v>13221.6</v>
      </c>
      <c r="AQ31" s="9">
        <v>13381.3</v>
      </c>
      <c r="AR31" s="9">
        <v>13419</v>
      </c>
      <c r="AS31" s="9">
        <v>13482.9</v>
      </c>
      <c r="AT31" s="9">
        <v>13622</v>
      </c>
      <c r="AU31" s="9">
        <v>13518.1</v>
      </c>
      <c r="AV31" s="9">
        <v>13467</v>
      </c>
      <c r="AW31" s="9">
        <v>13313.1</v>
      </c>
      <c r="AX31" s="9">
        <v>13305.9</v>
      </c>
      <c r="AY31" s="9">
        <v>13257.2</v>
      </c>
      <c r="AZ31" s="9">
        <v>14025.1</v>
      </c>
      <c r="BA31" s="9">
        <v>13147.1</v>
      </c>
      <c r="BB31" s="9">
        <v>13905.3</v>
      </c>
      <c r="BC31" s="9">
        <v>12998.2</v>
      </c>
      <c r="BD31" s="9">
        <v>13418.2</v>
      </c>
      <c r="BE31" s="9">
        <v>14292.6</v>
      </c>
      <c r="BF31" s="9">
        <v>12837.8</v>
      </c>
      <c r="BG31" s="9">
        <v>14013.3</v>
      </c>
      <c r="BH31" s="9">
        <v>13323.9</v>
      </c>
      <c r="BI31" s="9">
        <v>13520.7</v>
      </c>
      <c r="BJ31" s="9">
        <v>13448.2</v>
      </c>
      <c r="BK31" s="9">
        <v>12936.3</v>
      </c>
      <c r="BL31" s="9">
        <v>13714.5</v>
      </c>
      <c r="BM31" s="9">
        <v>13508.9</v>
      </c>
      <c r="BN31" s="9">
        <v>13671.1</v>
      </c>
      <c r="BO31" s="9">
        <v>13421.8</v>
      </c>
      <c r="BP31" s="9">
        <v>12510.5</v>
      </c>
      <c r="BQ31" s="9">
        <v>13814.2</v>
      </c>
      <c r="BR31" s="9">
        <v>12597.3</v>
      </c>
      <c r="BS31" s="9">
        <v>13798.5</v>
      </c>
      <c r="BT31" s="9">
        <v>13693.5</v>
      </c>
      <c r="BU31" s="9">
        <v>12585.1</v>
      </c>
      <c r="BV31" s="9">
        <v>13432.5</v>
      </c>
      <c r="BW31" s="9">
        <v>12980.6</v>
      </c>
      <c r="BX31" s="9">
        <v>13152.5</v>
      </c>
      <c r="BY31" s="9">
        <v>12546.8</v>
      </c>
      <c r="BZ31" s="9">
        <v>13130.4</v>
      </c>
      <c r="CA31" s="9">
        <v>13476.8</v>
      </c>
      <c r="CB31" s="9">
        <v>13709.6</v>
      </c>
      <c r="CC31" s="9">
        <v>12777</v>
      </c>
      <c r="CD31" s="9">
        <v>13601.5</v>
      </c>
      <c r="CE31" s="9">
        <v>12336.9</v>
      </c>
      <c r="CF31" s="9">
        <v>13360.4</v>
      </c>
      <c r="CG31" s="9">
        <v>13193.5</v>
      </c>
      <c r="CH31" s="9">
        <v>12665.3</v>
      </c>
      <c r="CI31" s="9">
        <v>13577.8</v>
      </c>
      <c r="CJ31" s="9">
        <v>12455.6</v>
      </c>
      <c r="CK31" s="9">
        <v>13794.4</v>
      </c>
      <c r="CL31" s="9">
        <v>12615.1</v>
      </c>
      <c r="CM31" s="9">
        <v>13587.4</v>
      </c>
      <c r="CN31" s="9">
        <v>12881.1</v>
      </c>
      <c r="CO31" s="9">
        <v>13552.2</v>
      </c>
      <c r="CP31" s="9">
        <v>12960.1</v>
      </c>
      <c r="CQ31" s="9">
        <v>13842.4</v>
      </c>
      <c r="CR31" s="9">
        <v>12859.9</v>
      </c>
      <c r="CS31" s="9">
        <v>13426.7</v>
      </c>
      <c r="CT31" s="9">
        <v>12804.4</v>
      </c>
      <c r="CU31" s="9">
        <v>11407.5</v>
      </c>
      <c r="CV31" s="9">
        <v>13495.2</v>
      </c>
      <c r="CW31" s="9">
        <v>13241.2</v>
      </c>
      <c r="CX31" s="9">
        <v>12559.1</v>
      </c>
      <c r="CY31" s="9">
        <v>13860.3</v>
      </c>
      <c r="CZ31" s="9">
        <v>13584.2</v>
      </c>
      <c r="DA31" s="9">
        <v>12868</v>
      </c>
      <c r="DB31" s="9">
        <v>12724.6</v>
      </c>
      <c r="DC31" s="9">
        <v>13638.3</v>
      </c>
      <c r="DD31" s="9">
        <v>12661.9</v>
      </c>
      <c r="DE31" s="9">
        <v>13049.8</v>
      </c>
      <c r="DF31" s="9">
        <v>13791.7</v>
      </c>
      <c r="DG31" s="9">
        <v>12649.9</v>
      </c>
      <c r="DH31" s="9">
        <v>13760.5</v>
      </c>
      <c r="DI31" s="9">
        <v>12644.2</v>
      </c>
      <c r="DJ31" s="9">
        <v>13607.9</v>
      </c>
      <c r="DK31" s="9">
        <v>12869.6</v>
      </c>
      <c r="DL31" s="9">
        <v>13639.9</v>
      </c>
      <c r="DM31" s="9">
        <v>12259.2</v>
      </c>
      <c r="DN31" s="9">
        <v>13720.8</v>
      </c>
      <c r="DO31" s="9">
        <v>12784.4</v>
      </c>
      <c r="DP31" s="9">
        <v>13590</v>
      </c>
      <c r="DQ31" s="9">
        <v>12745.4</v>
      </c>
      <c r="DR31" s="9">
        <v>13664.3</v>
      </c>
      <c r="DS31" s="9">
        <v>12966.6</v>
      </c>
      <c r="DT31" s="9">
        <v>12645</v>
      </c>
      <c r="DU31" s="9">
        <v>13542.6</v>
      </c>
      <c r="DV31" s="9">
        <v>12808.1</v>
      </c>
      <c r="DW31" s="9">
        <v>12575.9</v>
      </c>
      <c r="DX31" s="9">
        <v>13601.9</v>
      </c>
      <c r="DY31" s="9">
        <v>13705.1</v>
      </c>
      <c r="DZ31" s="9">
        <v>13555.2</v>
      </c>
      <c r="EA31" s="9">
        <v>12801.2</v>
      </c>
      <c r="EB31" s="9">
        <v>13640.8</v>
      </c>
      <c r="EC31" s="9">
        <v>12649.8</v>
      </c>
      <c r="ED31" s="9">
        <v>13436.9</v>
      </c>
      <c r="EE31" s="9">
        <v>12813.5</v>
      </c>
      <c r="EF31" s="9">
        <v>13322.2</v>
      </c>
      <c r="EG31" s="9">
        <v>11852.1</v>
      </c>
      <c r="EH31" s="9">
        <v>13459.4</v>
      </c>
      <c r="EI31" s="9">
        <v>12682.6</v>
      </c>
      <c r="EJ31" s="9">
        <v>12759.3</v>
      </c>
      <c r="EK31" s="9">
        <v>12744.6</v>
      </c>
      <c r="EL31" s="9">
        <v>12638.2</v>
      </c>
      <c r="EM31" s="9">
        <v>10922</v>
      </c>
      <c r="EN31" s="9">
        <v>12577</v>
      </c>
      <c r="EO31" s="9">
        <v>11207.6</v>
      </c>
      <c r="EP31" s="9">
        <v>12540.3</v>
      </c>
      <c r="EQ31" s="9">
        <v>12590.9</v>
      </c>
      <c r="ER31" s="9">
        <v>13981.5</v>
      </c>
      <c r="ES31" s="9">
        <v>12878.3</v>
      </c>
      <c r="ET31" s="9">
        <v>14093.6</v>
      </c>
      <c r="EU31" s="9">
        <v>13104.2</v>
      </c>
      <c r="EV31" s="9">
        <v>13984</v>
      </c>
      <c r="EW31" s="9">
        <v>12921.9</v>
      </c>
      <c r="EX31" s="9">
        <v>13078.1</v>
      </c>
      <c r="EY31" s="9">
        <v>12852.6</v>
      </c>
      <c r="EZ31" s="9">
        <v>13841.8</v>
      </c>
      <c r="FA31" s="9">
        <v>14168.8</v>
      </c>
      <c r="FB31" s="9">
        <v>14053.3</v>
      </c>
      <c r="FC31" s="9">
        <v>13980.5</v>
      </c>
      <c r="FD31" s="9">
        <v>13988.3</v>
      </c>
      <c r="FE31" s="9">
        <v>14001.3</v>
      </c>
      <c r="FF31" s="9">
        <v>13215</v>
      </c>
      <c r="FG31" s="9">
        <v>14048.4</v>
      </c>
      <c r="FH31" s="9">
        <v>14074.2</v>
      </c>
      <c r="FI31" s="9">
        <v>14090.7</v>
      </c>
      <c r="FJ31" s="9">
        <v>14101.6</v>
      </c>
      <c r="FK31" s="9">
        <v>14055.1</v>
      </c>
      <c r="FL31" s="9">
        <v>14116.1</v>
      </c>
      <c r="FM31" s="9">
        <v>13213.4</v>
      </c>
      <c r="FN31" s="9">
        <v>14147.6</v>
      </c>
      <c r="FO31" s="9">
        <v>13250.1</v>
      </c>
      <c r="FP31" s="11">
        <v>37.169878706199476</v>
      </c>
      <c r="FQ31" s="11">
        <v>36.713018867924518</v>
      </c>
      <c r="FR31" s="11">
        <v>37.173288409703474</v>
      </c>
      <c r="FS31" s="11">
        <v>37.21114555256063</v>
      </c>
      <c r="FT31" s="11">
        <v>37.46014824797841</v>
      </c>
      <c r="FU31" s="11">
        <v>37.067991913746596</v>
      </c>
      <c r="FV31" s="11">
        <v>0</v>
      </c>
      <c r="FW31" s="11">
        <v>50.324730458221062</v>
      </c>
      <c r="FX31" s="11">
        <v>0</v>
      </c>
      <c r="FY31" s="11">
        <v>0</v>
      </c>
      <c r="FZ31" s="11">
        <v>50.5</v>
      </c>
      <c r="GA31" s="11">
        <v>50.964959568733114</v>
      </c>
      <c r="GB31" s="11">
        <v>3.6256310130727765</v>
      </c>
      <c r="GC31" s="11">
        <v>2.8990048318598398</v>
      </c>
      <c r="GD31" s="11">
        <v>3.4472146059299233</v>
      </c>
      <c r="GE31" s="11">
        <v>1.6725583272641504</v>
      </c>
      <c r="GF31" s="11">
        <v>3.5661386641509463</v>
      </c>
      <c r="GG31" s="11">
        <v>3.3419360518867944</v>
      </c>
      <c r="GH31" s="11">
        <v>8.4799989999999994</v>
      </c>
      <c r="GI31" s="11">
        <v>7.7316659999999997</v>
      </c>
      <c r="GJ31" s="11">
        <v>7.5283329999999999</v>
      </c>
      <c r="GK31" s="11">
        <v>7.26</v>
      </c>
      <c r="GL31" s="11">
        <v>7.148333</v>
      </c>
      <c r="GM31" s="11">
        <v>7.8816660000000001</v>
      </c>
      <c r="GN31" s="11">
        <v>7.9011356666666686</v>
      </c>
      <c r="GO31" s="11">
        <v>7.9265234999999965</v>
      </c>
      <c r="GP31" s="11">
        <v>7.9349436666666628</v>
      </c>
      <c r="GQ31" s="11">
        <v>7.8446624999999965</v>
      </c>
      <c r="GR31" s="11">
        <v>7.9781288333333276</v>
      </c>
      <c r="GS31" s="11">
        <v>8.0296308333333375</v>
      </c>
      <c r="GT31" s="108">
        <v>2.1093114999999982</v>
      </c>
      <c r="GU31" s="108">
        <v>2.1840520000000003</v>
      </c>
      <c r="GV31" s="108">
        <v>1.9686171666666668</v>
      </c>
      <c r="GW31" s="108">
        <v>2.5291678333333358</v>
      </c>
      <c r="GX31" s="108">
        <v>2.3596224999999986</v>
      </c>
      <c r="GY31" s="108">
        <v>2.1080704999999997</v>
      </c>
      <c r="GZ31" s="13">
        <v>8.044951999999995</v>
      </c>
      <c r="HA31" s="13">
        <v>8.0888453333333334</v>
      </c>
      <c r="HB31" s="13">
        <v>7.9478409999999942</v>
      </c>
      <c r="HC31" s="13">
        <v>8.0569851666666619</v>
      </c>
      <c r="HD31" s="13">
        <v>8.0642533333333368</v>
      </c>
      <c r="HE31" s="13">
        <v>8.0641981666666673</v>
      </c>
      <c r="HF31" s="13">
        <v>0.5648076666666676</v>
      </c>
      <c r="HG31" s="13">
        <v>0.63283033333333338</v>
      </c>
      <c r="HH31" s="13">
        <v>0.53662133333333317</v>
      </c>
      <c r="HI31" s="13">
        <v>0.57917816666666655</v>
      </c>
      <c r="HJ31" s="13">
        <v>0.54379849999999952</v>
      </c>
      <c r="HK31" s="13">
        <v>0.60536216666666665</v>
      </c>
      <c r="HL31" s="12">
        <v>0</v>
      </c>
      <c r="HM31" s="12">
        <v>0</v>
      </c>
      <c r="HN31" s="12">
        <v>0</v>
      </c>
      <c r="HO31" s="12">
        <v>0</v>
      </c>
      <c r="HP31" s="12">
        <v>0</v>
      </c>
      <c r="HQ31" s="12">
        <v>0</v>
      </c>
      <c r="HR31" s="12">
        <v>0</v>
      </c>
      <c r="HS31" s="12">
        <v>0</v>
      </c>
      <c r="HT31" s="12">
        <v>0</v>
      </c>
      <c r="HU31" s="12">
        <v>0</v>
      </c>
      <c r="HV31" s="12">
        <v>0</v>
      </c>
      <c r="HW31" s="12">
        <v>0</v>
      </c>
      <c r="HX31" s="9">
        <v>920148</v>
      </c>
      <c r="HY31" s="9">
        <v>1723</v>
      </c>
      <c r="HZ31" s="9">
        <v>906974</v>
      </c>
      <c r="IA31" s="9">
        <v>1748</v>
      </c>
      <c r="IB31" s="11">
        <v>132145.01</v>
      </c>
      <c r="IC31" s="11">
        <v>294.46699999999998</v>
      </c>
      <c r="ID31" s="14">
        <f t="shared" si="234"/>
        <v>7.9011356666666686</v>
      </c>
      <c r="IE31" s="14">
        <f t="shared" si="235"/>
        <v>7.9265234999999965</v>
      </c>
      <c r="IF31" s="14">
        <f t="shared" si="236"/>
        <v>7.9349436666666628</v>
      </c>
      <c r="IG31" s="14">
        <f t="shared" si="237"/>
        <v>7.8446624999999965</v>
      </c>
      <c r="IH31" s="14">
        <f t="shared" si="238"/>
        <v>7.9781288333333276</v>
      </c>
      <c r="II31" s="14">
        <f t="shared" si="239"/>
        <v>8.0296308333333375</v>
      </c>
      <c r="IJ31" s="15">
        <f t="shared" si="240"/>
        <v>8.044951999999995</v>
      </c>
      <c r="IK31" s="15">
        <f t="shared" si="241"/>
        <v>8.0888453333333334</v>
      </c>
      <c r="IL31" s="15">
        <f t="shared" si="242"/>
        <v>7.9478409999999942</v>
      </c>
      <c r="IM31" s="15">
        <f t="shared" si="243"/>
        <v>8.0569851666666619</v>
      </c>
      <c r="IN31" s="15">
        <f t="shared" si="244"/>
        <v>8.0642533333333368</v>
      </c>
      <c r="IO31" s="15">
        <f t="shared" si="245"/>
        <v>8.0641981666666673</v>
      </c>
      <c r="IP31" s="16">
        <f t="shared" si="246"/>
        <v>1058000</v>
      </c>
      <c r="IQ31" s="16">
        <f t="shared" si="247"/>
        <v>0</v>
      </c>
      <c r="IR31" s="16">
        <f t="shared" si="248"/>
        <v>1052000</v>
      </c>
      <c r="IS31" s="16">
        <f t="shared" si="249"/>
        <v>1000</v>
      </c>
      <c r="IT31" s="16">
        <f t="shared" si="250"/>
        <v>2104533.0000000102</v>
      </c>
      <c r="IU31" s="16">
        <f t="shared" si="251"/>
        <v>3266.9999999999959</v>
      </c>
      <c r="IV31" s="17">
        <f t="shared" si="252"/>
        <v>2109000</v>
      </c>
      <c r="IW31" s="17">
        <f t="shared" si="253"/>
        <v>2101266.0000000102</v>
      </c>
      <c r="IX31" s="19">
        <f>(Raw_Data[[#This Row],[Sunset Time (POA&lt;20 W/m2)]]-Raw_Data[[#This Row],[Sunrise Time (POA&gt;20 W/m2)]])*24</f>
        <v>12.866666666666669</v>
      </c>
      <c r="IY31" s="68">
        <f>AVERAGEIF(Raw_Data[[#This Row],[GHI_UP_Net_IS2_W1]:[GHI_UP_Net_IS19_W6]],"&lt;&gt;"&amp;0,Raw_Data[[#This Row],[GHI_UP_Net_IS2_W1]:[GHI_UP_Net_IS19_W6]])</f>
        <v>7.9358374999999981</v>
      </c>
      <c r="IZ31" s="68">
        <f>AVERAGEIF(Raw_Data[[#This Row],[GHI_Down_IS2_W1]:[GHI_Down_IS19_W6]],"&lt;&gt;"&amp;0,Raw_Data[[#This Row],[GHI_Down_IS2_W1]:[GHI_Down_IS19_W6]])</f>
        <v>2.2098069166666665</v>
      </c>
      <c r="JA31" s="68">
        <f>AVERAGEIF(Raw_Data[[#This Row],[POA_Up_IS2_W1]:[POA_Up_IS19_W6]],"&lt;&gt;"&amp;0,Raw_Data[[#This Row],[POA_Up_IS2_W1]:[POA_Up_IS19_W6]])</f>
        <v>8.044512499999998</v>
      </c>
      <c r="JB31" s="68">
        <f>AVERAGEIF(Raw_Data[[#This Row],[POA_Down_IS2_W1]:[POA_Down_IS19_W6]],"&lt;&gt;"&amp;0,Raw_Data[[#This Row],[POA_Down_IS2_W1]:[POA_Down_IS19_W6]])</f>
        <v>0.57709969444444442</v>
      </c>
      <c r="JC31" s="69">
        <f>Raw_Data[[#This Row],[GHI-Down(KWh/m2)]]/Raw_Data[[#This Row],[GHI-UP (KWh/m2)]]</f>
        <v>0.27845919434044197</v>
      </c>
      <c r="JD31" s="72">
        <f>Raw_Data[[#This Row],[POA-Down(KWh/m2)]]/Raw_Data[[#This Row],[POA-UP(KWh/m2)]]</f>
        <v>7.173830539071753E-2</v>
      </c>
      <c r="JE31" s="68">
        <f>AVERAGEIF(Raw_Data[[#This Row],[Amb_Temp_IS2_W1]:[Amb_Temp_IS19_W6]],"&lt;&gt;"&amp;0,Raw_Data[[#This Row],[Amb_Temp_IS2_W1]:[Amb_Temp_IS19_W6]])</f>
        <v>37.132578616352184</v>
      </c>
      <c r="JF31" s="68">
        <f>AVERAGEIF(Raw_Data[[#This Row],[MT_Temp_IS2_W1]:[MT_Temp_IS19_W6]],"&lt;&gt;"&amp;0,Raw_Data[[#This Row],[MT_Temp_IS2_W1]:[MT_Temp_IS19_W6]])</f>
        <v>50.596563342318063</v>
      </c>
      <c r="JG31" s="68">
        <f>AVERAGEIF(Raw_Data[[#This Row],[WS_Avg_IS2_W1]:[WS_Avg_IS19_W6]],"&lt;&gt;"&amp;0,Raw_Data[[#This Row],[WS_Avg_IS2_W1]:[WS_Avg_IS19_W6]])</f>
        <v>3.0920805823607385</v>
      </c>
      <c r="JH31" s="68">
        <f>AVERAGEIF(Raw_Data[[#This Row],[WS_Max_IS2_W1]:[WS_Max_IS19_W6]],"&lt;&gt;"&amp;0,Raw_Data[[#This Row],[WS_Max_IS2_W1]:[WS_Max_IS19_W6]])</f>
        <v>7.6716661666666672</v>
      </c>
      <c r="JI31" s="70">
        <f>SUM(Raw_Data[[#This Row],[IS1_INV1_M1]:[IS20_INV4_M2]])</f>
        <v>2119554.2000000002</v>
      </c>
      <c r="JJ31" s="73">
        <v>2063066.9999999956</v>
      </c>
      <c r="JK31" s="71">
        <v>2552057.5985613526</v>
      </c>
      <c r="JL31" s="143">
        <f>IFERROR(Raw_Data[[#This Row],[WPR_Eac]]/Raw_Data[[#This Row],[WPR_Edc]],"")</f>
        <v>0.8083935884374196</v>
      </c>
      <c r="JM31" s="6">
        <v>29</v>
      </c>
      <c r="JN31" s="6">
        <v>0</v>
      </c>
    </row>
    <row r="32" spans="2:274">
      <c r="B32" s="67">
        <f t="shared" si="21"/>
        <v>45771</v>
      </c>
      <c r="C32" s="9">
        <f>YEAR(Raw_Data[[#This Row],[Date]])+IF(MONTH(Raw_Data[[#This Row],[Date]])&gt;=4,1,0)</f>
        <v>2026</v>
      </c>
      <c r="D32" s="6">
        <f>YEAR(B32)</f>
        <v>2025</v>
      </c>
      <c r="E32" s="7" t="s">
        <v>361</v>
      </c>
      <c r="F32" s="7" t="s">
        <v>361</v>
      </c>
      <c r="G32" s="8">
        <v>45748</v>
      </c>
      <c r="H32" s="6">
        <f>DAY(EOMONTH(B32,0))</f>
        <v>30</v>
      </c>
      <c r="I32" s="9">
        <v>335090.89</v>
      </c>
      <c r="J32" s="10">
        <v>0.26805555555555555</v>
      </c>
      <c r="K32" s="10">
        <v>0.8</v>
      </c>
      <c r="L32" s="9">
        <v>12717.8</v>
      </c>
      <c r="M32" s="9">
        <v>13224.5</v>
      </c>
      <c r="N32" s="9">
        <v>13176.8</v>
      </c>
      <c r="O32" s="9">
        <v>13147.7</v>
      </c>
      <c r="P32" s="9">
        <v>13287.3</v>
      </c>
      <c r="Q32" s="9">
        <v>13283.2</v>
      </c>
      <c r="R32" s="9">
        <v>13301.2</v>
      </c>
      <c r="S32" s="9">
        <v>13519.8</v>
      </c>
      <c r="T32" s="9">
        <v>13195.4</v>
      </c>
      <c r="U32" s="9">
        <v>13133.1</v>
      </c>
      <c r="V32" s="9">
        <v>13056.6</v>
      </c>
      <c r="W32" s="9">
        <v>13140.3</v>
      </c>
      <c r="X32" s="9">
        <v>13239.2</v>
      </c>
      <c r="Y32" s="9">
        <v>13106</v>
      </c>
      <c r="Z32" s="9">
        <v>13229.3</v>
      </c>
      <c r="AA32" s="9">
        <v>13289</v>
      </c>
      <c r="AB32" s="9">
        <v>13173</v>
      </c>
      <c r="AC32" s="9">
        <v>13199.1</v>
      </c>
      <c r="AD32" s="9">
        <v>13238.2</v>
      </c>
      <c r="AE32" s="9">
        <v>13320.3</v>
      </c>
      <c r="AF32" s="9">
        <v>13245.3</v>
      </c>
      <c r="AG32" s="9">
        <v>13263.4</v>
      </c>
      <c r="AH32" s="9">
        <v>13064</v>
      </c>
      <c r="AI32" s="9">
        <v>13152.5</v>
      </c>
      <c r="AJ32" s="9">
        <v>13005</v>
      </c>
      <c r="AK32" s="9">
        <v>11582.1</v>
      </c>
      <c r="AL32" s="9">
        <v>13018.5</v>
      </c>
      <c r="AM32" s="9">
        <v>12979.8</v>
      </c>
      <c r="AN32" s="9">
        <v>13255.7</v>
      </c>
      <c r="AO32" s="9">
        <v>13129.4</v>
      </c>
      <c r="AP32" s="9">
        <v>13087.6</v>
      </c>
      <c r="AQ32" s="9">
        <v>13256.2</v>
      </c>
      <c r="AR32" s="9">
        <v>13233.9</v>
      </c>
      <c r="AS32" s="9">
        <v>13299.2</v>
      </c>
      <c r="AT32" s="9">
        <v>13428.8</v>
      </c>
      <c r="AU32" s="9">
        <v>13331.9</v>
      </c>
      <c r="AV32" s="9">
        <v>13339.7</v>
      </c>
      <c r="AW32" s="9">
        <v>13175.7</v>
      </c>
      <c r="AX32" s="9">
        <v>13161</v>
      </c>
      <c r="AY32" s="9">
        <v>13136.3</v>
      </c>
      <c r="AZ32" s="9">
        <v>13901.4</v>
      </c>
      <c r="BA32" s="9">
        <v>13015</v>
      </c>
      <c r="BB32" s="9">
        <v>13786.3</v>
      </c>
      <c r="BC32" s="9">
        <v>12844.8</v>
      </c>
      <c r="BD32" s="9">
        <v>13198.5</v>
      </c>
      <c r="BE32" s="9">
        <v>14071.8</v>
      </c>
      <c r="BF32" s="9">
        <v>12698.8</v>
      </c>
      <c r="BG32" s="9">
        <v>13886.7</v>
      </c>
      <c r="BH32" s="9">
        <v>13182.7</v>
      </c>
      <c r="BI32" s="9">
        <v>13378.7</v>
      </c>
      <c r="BJ32" s="9">
        <v>13319.5</v>
      </c>
      <c r="BK32" s="9">
        <v>12778</v>
      </c>
      <c r="BL32" s="9">
        <v>13592.8</v>
      </c>
      <c r="BM32" s="9">
        <v>13367.3</v>
      </c>
      <c r="BN32" s="9">
        <v>13547.9</v>
      </c>
      <c r="BO32" s="9">
        <v>13296.6</v>
      </c>
      <c r="BP32" s="9">
        <v>12322.1</v>
      </c>
      <c r="BQ32" s="9">
        <v>13709</v>
      </c>
      <c r="BR32" s="9">
        <v>12389.1</v>
      </c>
      <c r="BS32" s="9">
        <v>13682.2</v>
      </c>
      <c r="BT32" s="9">
        <v>13573.5</v>
      </c>
      <c r="BU32" s="9">
        <v>12380.8</v>
      </c>
      <c r="BV32" s="9">
        <v>13310.8</v>
      </c>
      <c r="BW32" s="9">
        <v>12836.2</v>
      </c>
      <c r="BX32" s="9">
        <v>13009.8</v>
      </c>
      <c r="BY32" s="9">
        <v>12371.5</v>
      </c>
      <c r="BZ32" s="9">
        <v>12982.1</v>
      </c>
      <c r="CA32" s="9">
        <v>13353.4</v>
      </c>
      <c r="CB32" s="9">
        <v>13598.6</v>
      </c>
      <c r="CC32" s="9">
        <v>12613</v>
      </c>
      <c r="CD32" s="9">
        <v>13476.9</v>
      </c>
      <c r="CE32" s="9">
        <v>12127.2</v>
      </c>
      <c r="CF32" s="9">
        <v>13217.1</v>
      </c>
      <c r="CG32" s="9">
        <v>13057.3</v>
      </c>
      <c r="CH32" s="9">
        <v>12478.6</v>
      </c>
      <c r="CI32" s="9">
        <v>13454</v>
      </c>
      <c r="CJ32" s="9">
        <v>12264.9</v>
      </c>
      <c r="CK32" s="9">
        <v>13670.7</v>
      </c>
      <c r="CL32" s="9">
        <v>12435.9</v>
      </c>
      <c r="CM32" s="9">
        <v>13460.3</v>
      </c>
      <c r="CN32" s="9">
        <v>12730.9</v>
      </c>
      <c r="CO32" s="9">
        <v>13441.4</v>
      </c>
      <c r="CP32" s="9">
        <v>12815.6</v>
      </c>
      <c r="CQ32" s="9">
        <v>13747.7</v>
      </c>
      <c r="CR32" s="9">
        <v>12712.4</v>
      </c>
      <c r="CS32" s="9">
        <v>13304</v>
      </c>
      <c r="CT32" s="9">
        <v>12665.1</v>
      </c>
      <c r="CU32" s="9">
        <v>11214.7</v>
      </c>
      <c r="CV32" s="9">
        <v>13389.4</v>
      </c>
      <c r="CW32" s="9">
        <v>13120.5</v>
      </c>
      <c r="CX32" s="9">
        <v>12373.6</v>
      </c>
      <c r="CY32" s="9">
        <v>13770.6</v>
      </c>
      <c r="CZ32" s="9">
        <v>13497.5</v>
      </c>
      <c r="DA32" s="9">
        <v>12749.3</v>
      </c>
      <c r="DB32" s="9">
        <v>12616.1</v>
      </c>
      <c r="DC32" s="9">
        <v>13532.4</v>
      </c>
      <c r="DD32" s="9">
        <v>12490.5</v>
      </c>
      <c r="DE32" s="9">
        <v>12911.7</v>
      </c>
      <c r="DF32" s="9">
        <v>13703.4</v>
      </c>
      <c r="DG32" s="9">
        <v>12494.9</v>
      </c>
      <c r="DH32" s="9">
        <v>13679.3</v>
      </c>
      <c r="DI32" s="9">
        <v>12470.9</v>
      </c>
      <c r="DJ32" s="9">
        <v>13507.2</v>
      </c>
      <c r="DK32" s="9">
        <v>12715.1</v>
      </c>
      <c r="DL32" s="9">
        <v>13547</v>
      </c>
      <c r="DM32" s="9">
        <v>12074</v>
      </c>
      <c r="DN32" s="9">
        <v>13631.7</v>
      </c>
      <c r="DO32" s="9">
        <v>12637.7</v>
      </c>
      <c r="DP32" s="9">
        <v>13508.1</v>
      </c>
      <c r="DQ32" s="9">
        <v>12591.4</v>
      </c>
      <c r="DR32" s="9">
        <v>13561.8</v>
      </c>
      <c r="DS32" s="9">
        <v>12809.9</v>
      </c>
      <c r="DT32" s="9">
        <v>12476.6</v>
      </c>
      <c r="DU32" s="9">
        <v>13425.4</v>
      </c>
      <c r="DV32" s="9">
        <v>12651.8</v>
      </c>
      <c r="DW32" s="9">
        <v>12390</v>
      </c>
      <c r="DX32" s="9">
        <v>13496.5</v>
      </c>
      <c r="DY32" s="9">
        <v>13611.4</v>
      </c>
      <c r="DZ32" s="9">
        <v>13441.8</v>
      </c>
      <c r="EA32" s="9">
        <v>12629.5</v>
      </c>
      <c r="EB32" s="9">
        <v>13540.4</v>
      </c>
      <c r="EC32" s="9">
        <v>12482.8</v>
      </c>
      <c r="ED32" s="9">
        <v>13309.3</v>
      </c>
      <c r="EE32" s="9">
        <v>12640.3</v>
      </c>
      <c r="EF32" s="9">
        <v>13183.3</v>
      </c>
      <c r="EG32" s="9">
        <v>11674.6</v>
      </c>
      <c r="EH32" s="9">
        <v>13340.8</v>
      </c>
      <c r="EI32" s="9">
        <v>12492.4</v>
      </c>
      <c r="EJ32" s="9">
        <v>12566.7</v>
      </c>
      <c r="EK32" s="9">
        <v>12548</v>
      </c>
      <c r="EL32" s="9">
        <v>12448.9</v>
      </c>
      <c r="EM32" s="9">
        <v>10735.9</v>
      </c>
      <c r="EN32" s="9">
        <v>12381.1</v>
      </c>
      <c r="EO32" s="9">
        <v>11010.7</v>
      </c>
      <c r="EP32" s="9">
        <v>12347.2</v>
      </c>
      <c r="EQ32" s="9">
        <v>12410.7</v>
      </c>
      <c r="ER32" s="9">
        <v>13880.4</v>
      </c>
      <c r="ES32" s="9">
        <v>12722</v>
      </c>
      <c r="ET32" s="9">
        <v>13998.2</v>
      </c>
      <c r="EU32" s="9">
        <v>12953.2</v>
      </c>
      <c r="EV32" s="9">
        <v>13896.9</v>
      </c>
      <c r="EW32" s="9">
        <v>12771.2</v>
      </c>
      <c r="EX32" s="9">
        <v>12945.1</v>
      </c>
      <c r="EY32" s="9">
        <v>12696.7</v>
      </c>
      <c r="EZ32" s="9">
        <v>13736.1</v>
      </c>
      <c r="FA32" s="9">
        <v>14079.2</v>
      </c>
      <c r="FB32" s="9">
        <v>13949.4</v>
      </c>
      <c r="FC32" s="9">
        <v>13879.3</v>
      </c>
      <c r="FD32" s="9">
        <v>13882</v>
      </c>
      <c r="FE32" s="9">
        <v>13901.2</v>
      </c>
      <c r="FF32" s="9">
        <v>13067.1</v>
      </c>
      <c r="FG32" s="9">
        <v>13943</v>
      </c>
      <c r="FH32" s="9">
        <v>13977.8</v>
      </c>
      <c r="FI32" s="9">
        <v>13986.7</v>
      </c>
      <c r="FJ32" s="9">
        <v>14002.4</v>
      </c>
      <c r="FK32" s="9">
        <v>13961</v>
      </c>
      <c r="FL32" s="9">
        <v>14018.3</v>
      </c>
      <c r="FM32" s="9">
        <v>13059.3</v>
      </c>
      <c r="FN32" s="9">
        <v>14058.9</v>
      </c>
      <c r="FO32" s="9">
        <v>13105.9</v>
      </c>
      <c r="FP32" s="11">
        <v>38.074724091520899</v>
      </c>
      <c r="FQ32" s="11">
        <v>37.612422611036322</v>
      </c>
      <c r="FR32" s="11">
        <v>37.913162853297415</v>
      </c>
      <c r="FS32" s="11">
        <v>38.046137281292104</v>
      </c>
      <c r="FT32" s="11">
        <v>38.122839838492617</v>
      </c>
      <c r="FU32" s="11">
        <v>37.960699865410461</v>
      </c>
      <c r="FV32" s="11">
        <v>0</v>
      </c>
      <c r="FW32" s="11">
        <v>50.7</v>
      </c>
      <c r="FX32" s="11">
        <v>0</v>
      </c>
      <c r="FY32" s="11">
        <v>0</v>
      </c>
      <c r="FZ32" s="11">
        <v>50.8</v>
      </c>
      <c r="GA32" s="11">
        <v>51.379327052489963</v>
      </c>
      <c r="GB32" s="11">
        <v>4.4578800277254418</v>
      </c>
      <c r="GC32" s="11">
        <v>4.2877476941722765</v>
      </c>
      <c r="GD32" s="11">
        <v>4.3096857724091553</v>
      </c>
      <c r="GE32" s="11">
        <v>2.4896051062853277</v>
      </c>
      <c r="GF32" s="11">
        <v>4.2938490769851994</v>
      </c>
      <c r="GG32" s="11">
        <v>4.1789410292059275</v>
      </c>
      <c r="GH32" s="11">
        <v>9.3316660000000002</v>
      </c>
      <c r="GI32" s="11">
        <v>8.7583339999999996</v>
      </c>
      <c r="GJ32" s="11">
        <v>8.4433330000000009</v>
      </c>
      <c r="GK32" s="11">
        <v>9.9916660000000004</v>
      </c>
      <c r="GL32" s="11">
        <v>9.1316659999999992</v>
      </c>
      <c r="GM32" s="11">
        <v>8.6466659999999997</v>
      </c>
      <c r="GN32" s="11">
        <v>7.7399368333333394</v>
      </c>
      <c r="GO32" s="11">
        <v>7.8041650000000029</v>
      </c>
      <c r="GP32" s="11">
        <v>7.7782461666666647</v>
      </c>
      <c r="GQ32" s="11">
        <v>7.6933691666666659</v>
      </c>
      <c r="GR32" s="11">
        <v>7.8100984999999961</v>
      </c>
      <c r="GS32" s="11">
        <v>7.906712166666666</v>
      </c>
      <c r="GT32" s="108">
        <v>2.0599011666666658</v>
      </c>
      <c r="GU32" s="108">
        <v>2.1474008333333323</v>
      </c>
      <c r="GV32" s="108">
        <v>1.9243033333333355</v>
      </c>
      <c r="GW32" s="108">
        <v>2.4789671666666653</v>
      </c>
      <c r="GX32" s="108">
        <v>2.3136226666666659</v>
      </c>
      <c r="GY32" s="108">
        <v>2.0613403333333307</v>
      </c>
      <c r="GZ32" s="13">
        <v>7.8735731666666702</v>
      </c>
      <c r="HA32" s="13">
        <v>7.9551981666666718</v>
      </c>
      <c r="HB32" s="13">
        <v>7.7899138333333378</v>
      </c>
      <c r="HC32" s="13">
        <v>7.8928460000000005</v>
      </c>
      <c r="HD32" s="13">
        <v>7.9140443333333348</v>
      </c>
      <c r="HE32" s="13">
        <v>7.8904886666666672</v>
      </c>
      <c r="HF32" s="13">
        <v>0.55385216666666626</v>
      </c>
      <c r="HG32" s="13">
        <v>0.6200043333333326</v>
      </c>
      <c r="HH32" s="13">
        <v>0.52681249999999946</v>
      </c>
      <c r="HI32" s="13">
        <v>0.56835133333333332</v>
      </c>
      <c r="HJ32" s="13">
        <v>0.53543750000000068</v>
      </c>
      <c r="HK32" s="13">
        <v>0.59263316666666699</v>
      </c>
      <c r="HL32" s="12">
        <v>0</v>
      </c>
      <c r="HM32" s="12">
        <v>0</v>
      </c>
      <c r="HN32" s="12">
        <v>0</v>
      </c>
      <c r="HO32" s="12">
        <v>0</v>
      </c>
      <c r="HP32" s="12">
        <v>0</v>
      </c>
      <c r="HQ32" s="12">
        <v>0</v>
      </c>
      <c r="HR32" s="12">
        <v>0</v>
      </c>
      <c r="HS32" s="12">
        <v>0</v>
      </c>
      <c r="HT32" s="12">
        <v>0</v>
      </c>
      <c r="HU32" s="12">
        <v>0</v>
      </c>
      <c r="HV32" s="12">
        <v>0</v>
      </c>
      <c r="HW32" s="12">
        <v>0</v>
      </c>
      <c r="HX32" s="9">
        <v>921192</v>
      </c>
      <c r="HY32" s="9">
        <v>1725</v>
      </c>
      <c r="HZ32" s="9">
        <v>908012</v>
      </c>
      <c r="IA32" s="9">
        <v>1750</v>
      </c>
      <c r="IB32" s="11">
        <v>134228.277</v>
      </c>
      <c r="IC32" s="11">
        <v>298.733</v>
      </c>
      <c r="ID32" s="14">
        <f t="shared" ref="ID32:II32" si="254">GN32-HL32</f>
        <v>7.7399368333333394</v>
      </c>
      <c r="IE32" s="14">
        <f t="shared" si="254"/>
        <v>7.8041650000000029</v>
      </c>
      <c r="IF32" s="14">
        <f t="shared" si="254"/>
        <v>7.7782461666666647</v>
      </c>
      <c r="IG32" s="14">
        <f t="shared" si="254"/>
        <v>7.6933691666666659</v>
      </c>
      <c r="IH32" s="14">
        <f t="shared" si="254"/>
        <v>7.8100984999999961</v>
      </c>
      <c r="II32" s="14">
        <f t="shared" si="254"/>
        <v>7.906712166666666</v>
      </c>
      <c r="IJ32" s="15">
        <f t="shared" ref="IJ32:IO32" si="255">GZ32-HR32</f>
        <v>7.8735731666666702</v>
      </c>
      <c r="IK32" s="15">
        <f t="shared" si="255"/>
        <v>7.9551981666666718</v>
      </c>
      <c r="IL32" s="15">
        <f t="shared" si="255"/>
        <v>7.7899138333333378</v>
      </c>
      <c r="IM32" s="15">
        <f t="shared" si="255"/>
        <v>7.8928460000000005</v>
      </c>
      <c r="IN32" s="15">
        <f t="shared" si="255"/>
        <v>7.9140443333333348</v>
      </c>
      <c r="IO32" s="15">
        <f t="shared" si="255"/>
        <v>7.8904886666666672</v>
      </c>
      <c r="IP32" s="16">
        <f t="shared" ref="IP32" si="256">(HX32-HX31)*1000</f>
        <v>1044000</v>
      </c>
      <c r="IQ32" s="16">
        <f t="shared" ref="IQ32" si="257">(HY32-HY31)*1000</f>
        <v>2000</v>
      </c>
      <c r="IR32" s="16">
        <f t="shared" ref="IR32" si="258">(HZ32-HZ31)*1000</f>
        <v>1038000</v>
      </c>
      <c r="IS32" s="16">
        <f t="shared" ref="IS32" si="259">(IA32-IA31)*1000</f>
        <v>2000</v>
      </c>
      <c r="IT32" s="16">
        <f t="shared" ref="IT32" si="260">(IB32-IB31)*1000</f>
        <v>2083266.9999999925</v>
      </c>
      <c r="IU32" s="16">
        <f t="shared" ref="IU32" si="261">(IC32-IC31)*1000</f>
        <v>4266.00000000002</v>
      </c>
      <c r="IV32" s="17">
        <f t="shared" ref="IV32" si="262">(IP32+IR32)-(IQ32+IS32)</f>
        <v>2078000</v>
      </c>
      <c r="IW32" s="17">
        <f t="shared" ref="IW32" si="263">IT32-IU32</f>
        <v>2079000.9999999925</v>
      </c>
      <c r="IX32" s="19">
        <f>(Raw_Data[[#This Row],[Sunset Time (POA&lt;20 W/m2)]]-Raw_Data[[#This Row],[Sunrise Time (POA&gt;20 W/m2)]])*24</f>
        <v>12.766666666666669</v>
      </c>
      <c r="IY32" s="68">
        <f>AVERAGEIF(Raw_Data[[#This Row],[GHI_UP_Net_IS2_W1]:[GHI_UP_Net_IS19_W6]],"&lt;&gt;"&amp;0,Raw_Data[[#This Row],[GHI_UP_Net_IS2_W1]:[GHI_UP_Net_IS19_W6]])</f>
        <v>7.7887546388888893</v>
      </c>
      <c r="IZ32" s="68">
        <f>AVERAGEIF(Raw_Data[[#This Row],[GHI_Down_IS2_W1]:[GHI_Down_IS19_W6]],"&lt;&gt;"&amp;0,Raw_Data[[#This Row],[GHI_Down_IS2_W1]:[GHI_Down_IS19_W6]])</f>
        <v>2.1642559166666659</v>
      </c>
      <c r="JA32" s="68">
        <f>AVERAGEIF(Raw_Data[[#This Row],[POA_Up_IS2_W1]:[POA_Up_IS19_W6]],"&lt;&gt;"&amp;0,Raw_Data[[#This Row],[POA_Up_IS2_W1]:[POA_Up_IS19_W6]])</f>
        <v>7.8860106944444475</v>
      </c>
      <c r="JB32" s="68">
        <f>AVERAGEIF(Raw_Data[[#This Row],[POA_Down_IS2_W1]:[POA_Down_IS19_W6]],"&lt;&gt;"&amp;0,Raw_Data[[#This Row],[POA_Down_IS2_W1]:[POA_Down_IS19_W6]])</f>
        <v>0.56618183333333316</v>
      </c>
      <c r="JC32" s="69">
        <f>Raw_Data[[#This Row],[GHI-Down(KWh/m2)]]/Raw_Data[[#This Row],[GHI-UP (KWh/m2)]]</f>
        <v>0.27786931505848661</v>
      </c>
      <c r="JD32" s="72">
        <f>Raw_Data[[#This Row],[POA-Down(KWh/m2)]]/Raw_Data[[#This Row],[POA-UP(KWh/m2)]]</f>
        <v>7.1795722231545803E-2</v>
      </c>
      <c r="JE32" s="68">
        <f>AVERAGEIF(Raw_Data[[#This Row],[Amb_Temp_IS2_W1]:[Amb_Temp_IS19_W6]],"&lt;&gt;"&amp;0,Raw_Data[[#This Row],[Amb_Temp_IS2_W1]:[Amb_Temp_IS19_W6]])</f>
        <v>37.954997756841635</v>
      </c>
      <c r="JF32" s="68">
        <f>AVERAGEIF(Raw_Data[[#This Row],[MT_Temp_IS2_W1]:[MT_Temp_IS19_W6]],"&lt;&gt;"&amp;0,Raw_Data[[#This Row],[MT_Temp_IS2_W1]:[MT_Temp_IS19_W6]])</f>
        <v>50.959775684163326</v>
      </c>
      <c r="JG32" s="68">
        <f>AVERAGEIF(Raw_Data[[#This Row],[WS_Avg_IS2_W1]:[WS_Avg_IS19_W6]],"&lt;&gt;"&amp;0,Raw_Data[[#This Row],[WS_Avg_IS2_W1]:[WS_Avg_IS19_W6]])</f>
        <v>4.0029514511305546</v>
      </c>
      <c r="JH32" s="68">
        <f>AVERAGEIF(Raw_Data[[#This Row],[WS_Max_IS2_W1]:[WS_Max_IS19_W6]],"&lt;&gt;"&amp;0,Raw_Data[[#This Row],[WS_Max_IS2_W1]:[WS_Max_IS19_W6]])</f>
        <v>9.0505551666666673</v>
      </c>
      <c r="JI32" s="70">
        <f>SUM(Raw_Data[[#This Row],[IS1_INV1_M1]:[IS20_INV4_M2]])</f>
        <v>2097488.7999999993</v>
      </c>
      <c r="JJ32" s="73">
        <v>2039600.0000000058</v>
      </c>
      <c r="JK32" s="71">
        <v>2501438.2634622022</v>
      </c>
      <c r="JL32" s="143">
        <f>IFERROR(Raw_Data[[#This Row],[WPR_Eac]]/Raw_Data[[#This Row],[WPR_Edc]],"")</f>
        <v>0.81537091272323747</v>
      </c>
      <c r="JM32" s="6">
        <v>29</v>
      </c>
      <c r="JN32" s="6">
        <v>0</v>
      </c>
    </row>
    <row r="33" spans="2:274">
      <c r="B33" s="67">
        <f t="shared" si="21"/>
        <v>45772</v>
      </c>
      <c r="C33" s="9">
        <f>YEAR(Raw_Data[[#This Row],[Date]])+IF(MONTH(Raw_Data[[#This Row],[Date]])&gt;=4,1,0)</f>
        <v>2026</v>
      </c>
      <c r="D33" s="6">
        <f>YEAR(B33)</f>
        <v>2025</v>
      </c>
      <c r="E33" s="7" t="s">
        <v>361</v>
      </c>
      <c r="F33" s="7" t="s">
        <v>361</v>
      </c>
      <c r="G33" s="8">
        <v>45748</v>
      </c>
      <c r="H33" s="6">
        <f>DAY(EOMONTH(B33,0))</f>
        <v>30</v>
      </c>
      <c r="I33" s="9">
        <v>335090.89</v>
      </c>
      <c r="J33" s="10">
        <v>0.26944444444444443</v>
      </c>
      <c r="K33" s="10">
        <v>0.7993055555555556</v>
      </c>
      <c r="L33" s="9">
        <v>12294</v>
      </c>
      <c r="M33" s="9">
        <v>12797.3</v>
      </c>
      <c r="N33" s="9">
        <v>12718.6</v>
      </c>
      <c r="O33" s="9">
        <v>12728.8</v>
      </c>
      <c r="P33" s="9">
        <v>12795.4</v>
      </c>
      <c r="Q33" s="9">
        <v>12791.8</v>
      </c>
      <c r="R33" s="9">
        <v>12813.5</v>
      </c>
      <c r="S33" s="9">
        <v>13065.7</v>
      </c>
      <c r="T33" s="9">
        <v>12744</v>
      </c>
      <c r="U33" s="9">
        <v>12673.4</v>
      </c>
      <c r="V33" s="9">
        <v>12597.7</v>
      </c>
      <c r="W33" s="9">
        <v>12669.1</v>
      </c>
      <c r="X33" s="9">
        <v>12775.3</v>
      </c>
      <c r="Y33" s="9">
        <v>12619.7</v>
      </c>
      <c r="Z33" s="9">
        <v>12706.8</v>
      </c>
      <c r="AA33" s="9">
        <v>12779.2</v>
      </c>
      <c r="AB33" s="9">
        <v>12662.1</v>
      </c>
      <c r="AC33" s="9">
        <v>12662.4</v>
      </c>
      <c r="AD33" s="9">
        <v>12740.7</v>
      </c>
      <c r="AE33" s="9">
        <v>12815.3</v>
      </c>
      <c r="AF33" s="9">
        <v>12725.2</v>
      </c>
      <c r="AG33" s="9">
        <v>12727.8</v>
      </c>
      <c r="AH33" s="9">
        <v>12524.2</v>
      </c>
      <c r="AI33" s="9">
        <v>12616.3</v>
      </c>
      <c r="AJ33" s="9">
        <v>12460</v>
      </c>
      <c r="AK33" s="9">
        <v>11108.4</v>
      </c>
      <c r="AL33" s="9">
        <v>12479.9</v>
      </c>
      <c r="AM33" s="9">
        <v>12455.7</v>
      </c>
      <c r="AN33" s="9">
        <v>12687.7</v>
      </c>
      <c r="AO33" s="9">
        <v>12552.4</v>
      </c>
      <c r="AP33" s="9">
        <v>12504.5</v>
      </c>
      <c r="AQ33" s="9">
        <v>12684.1</v>
      </c>
      <c r="AR33" s="9">
        <v>12641.7</v>
      </c>
      <c r="AS33" s="9">
        <v>12717.2</v>
      </c>
      <c r="AT33" s="9">
        <v>12849.6</v>
      </c>
      <c r="AU33" s="9">
        <v>12764.1</v>
      </c>
      <c r="AV33" s="9">
        <v>12756.4</v>
      </c>
      <c r="AW33" s="9">
        <v>12591.3</v>
      </c>
      <c r="AX33" s="9">
        <v>12579.7</v>
      </c>
      <c r="AY33" s="9">
        <v>12543.4</v>
      </c>
      <c r="AZ33" s="9">
        <v>13147.5</v>
      </c>
      <c r="BA33" s="9">
        <v>12307.8</v>
      </c>
      <c r="BB33" s="9">
        <v>13037.4</v>
      </c>
      <c r="BC33" s="9">
        <v>12049.2</v>
      </c>
      <c r="BD33" s="9">
        <v>12599</v>
      </c>
      <c r="BE33" s="9">
        <v>13429.9</v>
      </c>
      <c r="BF33" s="9">
        <v>12087.9</v>
      </c>
      <c r="BG33" s="9">
        <v>13164.7</v>
      </c>
      <c r="BH33" s="9">
        <v>12656.7</v>
      </c>
      <c r="BI33" s="9">
        <v>12846.5</v>
      </c>
      <c r="BJ33" s="9">
        <v>12760</v>
      </c>
      <c r="BK33" s="9">
        <v>12264.9</v>
      </c>
      <c r="BL33" s="9">
        <v>12916.9</v>
      </c>
      <c r="BM33" s="9">
        <v>12861.7</v>
      </c>
      <c r="BN33" s="9">
        <v>13004.8</v>
      </c>
      <c r="BO33" s="9">
        <v>12736.8</v>
      </c>
      <c r="BP33" s="9">
        <v>11868.3</v>
      </c>
      <c r="BQ33" s="9">
        <v>13166.9</v>
      </c>
      <c r="BR33" s="9">
        <v>11914.8</v>
      </c>
      <c r="BS33" s="9">
        <v>13128</v>
      </c>
      <c r="BT33" s="9">
        <v>12920.8</v>
      </c>
      <c r="BU33" s="9">
        <v>11915.8</v>
      </c>
      <c r="BV33" s="9">
        <v>12794.7</v>
      </c>
      <c r="BW33" s="9">
        <v>12370.6</v>
      </c>
      <c r="BX33" s="9">
        <v>12546.5</v>
      </c>
      <c r="BY33" s="9">
        <v>11955.1</v>
      </c>
      <c r="BZ33" s="9">
        <v>12509.6</v>
      </c>
      <c r="CA33" s="9">
        <v>12883</v>
      </c>
      <c r="CB33" s="9">
        <v>13074.2</v>
      </c>
      <c r="CC33" s="9">
        <v>12196.1</v>
      </c>
      <c r="CD33" s="9">
        <v>12961.7</v>
      </c>
      <c r="CE33" s="9">
        <v>11702</v>
      </c>
      <c r="CF33" s="9">
        <v>12736.6</v>
      </c>
      <c r="CG33" s="9">
        <v>12581.2</v>
      </c>
      <c r="CH33" s="9">
        <v>12039.5</v>
      </c>
      <c r="CI33" s="9">
        <v>12968.9</v>
      </c>
      <c r="CJ33" s="9">
        <v>11830.4</v>
      </c>
      <c r="CK33" s="9">
        <v>13162.5</v>
      </c>
      <c r="CL33" s="9">
        <v>12017.1</v>
      </c>
      <c r="CM33" s="9">
        <v>12976.6</v>
      </c>
      <c r="CN33" s="9">
        <v>12277.6</v>
      </c>
      <c r="CO33" s="9">
        <v>12928</v>
      </c>
      <c r="CP33" s="9">
        <v>12400.2</v>
      </c>
      <c r="CQ33" s="9">
        <v>12813</v>
      </c>
      <c r="CR33" s="9">
        <v>12265.8</v>
      </c>
      <c r="CS33" s="9">
        <v>12625.9</v>
      </c>
      <c r="CT33" s="9">
        <v>12218.8</v>
      </c>
      <c r="CU33" s="9">
        <v>10788.5</v>
      </c>
      <c r="CV33" s="9">
        <v>12821.5</v>
      </c>
      <c r="CW33" s="9">
        <v>12615.5</v>
      </c>
      <c r="CX33" s="9">
        <v>11866.5</v>
      </c>
      <c r="CY33" s="9">
        <v>13132.4</v>
      </c>
      <c r="CZ33" s="9">
        <v>12849.2</v>
      </c>
      <c r="DA33" s="9">
        <v>12194.2</v>
      </c>
      <c r="DB33" s="9">
        <v>12027.7</v>
      </c>
      <c r="DC33" s="9">
        <v>12896.9</v>
      </c>
      <c r="DD33" s="9">
        <v>11952.7</v>
      </c>
      <c r="DE33" s="9">
        <v>12358</v>
      </c>
      <c r="DF33" s="9">
        <v>13056.8</v>
      </c>
      <c r="DG33" s="9">
        <v>11956.8</v>
      </c>
      <c r="DH33" s="9">
        <v>12972.5</v>
      </c>
      <c r="DI33" s="9">
        <v>11900</v>
      </c>
      <c r="DJ33" s="9">
        <v>12816.9</v>
      </c>
      <c r="DK33" s="9">
        <v>12115.2</v>
      </c>
      <c r="DL33" s="9">
        <v>12845.5</v>
      </c>
      <c r="DM33" s="9">
        <v>11483.2</v>
      </c>
      <c r="DN33" s="9">
        <v>12927.6</v>
      </c>
      <c r="DO33" s="9">
        <v>12037.6</v>
      </c>
      <c r="DP33" s="9">
        <v>12803.1</v>
      </c>
      <c r="DQ33" s="9">
        <v>11947.5</v>
      </c>
      <c r="DR33" s="9">
        <v>12835.8</v>
      </c>
      <c r="DS33" s="9">
        <v>12150.6</v>
      </c>
      <c r="DT33" s="9">
        <v>11971.9</v>
      </c>
      <c r="DU33" s="9">
        <v>12863.6</v>
      </c>
      <c r="DV33" s="9">
        <v>12111.6</v>
      </c>
      <c r="DW33" s="9">
        <v>11885.8</v>
      </c>
      <c r="DX33" s="9">
        <v>12899.4</v>
      </c>
      <c r="DY33" s="9">
        <v>12993.6</v>
      </c>
      <c r="DZ33" s="9">
        <v>12857.8</v>
      </c>
      <c r="EA33" s="9">
        <v>12086.4</v>
      </c>
      <c r="EB33" s="9">
        <v>12926.1</v>
      </c>
      <c r="EC33" s="9">
        <v>11935.4</v>
      </c>
      <c r="ED33" s="9">
        <v>12706.9</v>
      </c>
      <c r="EE33" s="9">
        <v>12012.5</v>
      </c>
      <c r="EF33" s="9">
        <v>12614.6</v>
      </c>
      <c r="EG33" s="9">
        <v>11126.2</v>
      </c>
      <c r="EH33" s="9">
        <v>12747.2</v>
      </c>
      <c r="EI33" s="9">
        <v>11948.8</v>
      </c>
      <c r="EJ33" s="9">
        <v>12052.6</v>
      </c>
      <c r="EK33" s="9">
        <v>12073.6</v>
      </c>
      <c r="EL33" s="9">
        <v>11876.2</v>
      </c>
      <c r="EM33" s="9">
        <v>10267.799999999999</v>
      </c>
      <c r="EN33" s="9">
        <v>11926.7</v>
      </c>
      <c r="EO33" s="9">
        <v>10590.8</v>
      </c>
      <c r="EP33" s="9">
        <v>12004.4</v>
      </c>
      <c r="EQ33" s="9">
        <v>12049.4</v>
      </c>
      <c r="ER33" s="9">
        <v>13381.7</v>
      </c>
      <c r="ES33" s="9">
        <v>12336.3</v>
      </c>
      <c r="ET33" s="9">
        <v>13542.8</v>
      </c>
      <c r="EU33" s="9">
        <v>12520.5</v>
      </c>
      <c r="EV33" s="9">
        <v>13406.6</v>
      </c>
      <c r="EW33" s="9">
        <v>12407.1</v>
      </c>
      <c r="EX33" s="9">
        <v>12549.5</v>
      </c>
      <c r="EY33" s="9">
        <v>12344.8</v>
      </c>
      <c r="EZ33" s="9">
        <v>13336</v>
      </c>
      <c r="FA33" s="9">
        <v>13676.9</v>
      </c>
      <c r="FB33" s="9">
        <v>13357.8</v>
      </c>
      <c r="FC33" s="9">
        <v>13401.9</v>
      </c>
      <c r="FD33" s="9">
        <v>13373.5</v>
      </c>
      <c r="FE33" s="9">
        <v>13273.2</v>
      </c>
      <c r="FF33" s="9">
        <v>12661.1</v>
      </c>
      <c r="FG33" s="9">
        <v>13472.3</v>
      </c>
      <c r="FH33" s="9">
        <v>13480.3</v>
      </c>
      <c r="FI33" s="9">
        <v>13541.3</v>
      </c>
      <c r="FJ33" s="9">
        <v>13577</v>
      </c>
      <c r="FK33" s="9">
        <v>13337.1</v>
      </c>
      <c r="FL33" s="9">
        <v>13544.3</v>
      </c>
      <c r="FM33" s="9">
        <v>12691.7</v>
      </c>
      <c r="FN33" s="9">
        <v>13606.6</v>
      </c>
      <c r="FO33" s="9">
        <v>12714.1</v>
      </c>
      <c r="FP33" s="11">
        <v>38.152182061579659</v>
      </c>
      <c r="FQ33" s="11">
        <v>37.775261044176688</v>
      </c>
      <c r="FR33" s="11">
        <v>38.031927710843362</v>
      </c>
      <c r="FS33" s="11">
        <v>37.812851405622503</v>
      </c>
      <c r="FT33" s="11">
        <v>37.666439089692126</v>
      </c>
      <c r="FU33" s="11">
        <v>38.078714859437795</v>
      </c>
      <c r="FV33" s="11">
        <v>0</v>
      </c>
      <c r="FW33" s="11">
        <v>49.9</v>
      </c>
      <c r="FX33" s="11">
        <v>0</v>
      </c>
      <c r="FY33" s="11">
        <v>0</v>
      </c>
      <c r="FZ33" s="11">
        <v>50</v>
      </c>
      <c r="GA33" s="11">
        <v>50.999464524765706</v>
      </c>
      <c r="GB33" s="11">
        <v>5.5839399585006708</v>
      </c>
      <c r="GC33" s="11">
        <v>5.7299662708567629</v>
      </c>
      <c r="GD33" s="11">
        <v>5.7321595368139286</v>
      </c>
      <c r="GE33" s="11">
        <v>5.2444888574029456</v>
      </c>
      <c r="GF33" s="11">
        <v>5.7476570797858075</v>
      </c>
      <c r="GG33" s="11">
        <v>5.6110506198527483</v>
      </c>
      <c r="GH33" s="11">
        <v>9.7283340000000003</v>
      </c>
      <c r="GI33" s="11">
        <v>10.83</v>
      </c>
      <c r="GJ33" s="11">
        <v>10.045</v>
      </c>
      <c r="GK33" s="11">
        <v>10.93333</v>
      </c>
      <c r="GL33" s="11">
        <v>10.828329999999999</v>
      </c>
      <c r="GM33" s="11">
        <v>10.705</v>
      </c>
      <c r="GN33" s="11">
        <v>7.4581693333333332</v>
      </c>
      <c r="GO33" s="11">
        <v>7.4814403333333281</v>
      </c>
      <c r="GP33" s="11">
        <v>7.3431246666666734</v>
      </c>
      <c r="GQ33" s="11">
        <v>7.3657418333333293</v>
      </c>
      <c r="GR33" s="11">
        <v>7.4782888333333348</v>
      </c>
      <c r="GS33" s="11">
        <v>7.6500705000000027</v>
      </c>
      <c r="GT33" s="108">
        <v>2.0231546666666684</v>
      </c>
      <c r="GU33" s="108">
        <v>2.0423421666666681</v>
      </c>
      <c r="GV33" s="108">
        <v>1.8590238333333324</v>
      </c>
      <c r="GW33" s="108">
        <v>2.4277608333333345</v>
      </c>
      <c r="GX33" s="108">
        <v>2.2171049999999992</v>
      </c>
      <c r="GY33" s="108">
        <v>1.982085999999998</v>
      </c>
      <c r="GZ33" s="13">
        <v>7.5718731666666637</v>
      </c>
      <c r="HA33" s="13">
        <v>7.5903721666666693</v>
      </c>
      <c r="HB33" s="13">
        <v>7.339127166666664</v>
      </c>
      <c r="HC33" s="13">
        <v>7.572255833333335</v>
      </c>
      <c r="HD33" s="13">
        <v>7.5796575000000024</v>
      </c>
      <c r="HE33" s="13">
        <v>7.6174390000000027</v>
      </c>
      <c r="HF33" s="13">
        <v>0.54805116666666653</v>
      </c>
      <c r="HG33" s="13">
        <v>0.61472633333333482</v>
      </c>
      <c r="HH33" s="13">
        <v>0.51392566666666717</v>
      </c>
      <c r="HI33" s="13">
        <v>0.56239099999999964</v>
      </c>
      <c r="HJ33" s="13">
        <v>0.53437783333333333</v>
      </c>
      <c r="HK33" s="13">
        <v>0.59350716666666592</v>
      </c>
      <c r="HL33" s="12">
        <v>0</v>
      </c>
      <c r="HM33" s="12">
        <v>0</v>
      </c>
      <c r="HN33" s="12">
        <v>0</v>
      </c>
      <c r="HO33" s="12">
        <v>0</v>
      </c>
      <c r="HP33" s="12">
        <v>0</v>
      </c>
      <c r="HQ33" s="12">
        <v>0</v>
      </c>
      <c r="HR33" s="12">
        <v>0</v>
      </c>
      <c r="HS33" s="12">
        <v>0</v>
      </c>
      <c r="HT33" s="12">
        <v>0</v>
      </c>
      <c r="HU33" s="12">
        <v>0</v>
      </c>
      <c r="HV33" s="12">
        <v>0</v>
      </c>
      <c r="HW33" s="12">
        <v>0</v>
      </c>
      <c r="HX33" s="9">
        <v>922200</v>
      </c>
      <c r="HY33" s="9">
        <v>1726</v>
      </c>
      <c r="HZ33" s="9">
        <v>909014</v>
      </c>
      <c r="IA33" s="9">
        <v>1751</v>
      </c>
      <c r="IB33" s="11">
        <v>136226.611</v>
      </c>
      <c r="IC33" s="11">
        <v>301.66699999999997</v>
      </c>
      <c r="ID33" s="14">
        <f t="shared" ref="ID33:II33" si="264">GN33-HL33</f>
        <v>7.4581693333333332</v>
      </c>
      <c r="IE33" s="14">
        <f t="shared" si="264"/>
        <v>7.4814403333333281</v>
      </c>
      <c r="IF33" s="14">
        <f t="shared" si="264"/>
        <v>7.3431246666666734</v>
      </c>
      <c r="IG33" s="14">
        <f t="shared" si="264"/>
        <v>7.3657418333333293</v>
      </c>
      <c r="IH33" s="14">
        <f t="shared" si="264"/>
        <v>7.4782888333333348</v>
      </c>
      <c r="II33" s="14">
        <f t="shared" si="264"/>
        <v>7.6500705000000027</v>
      </c>
      <c r="IJ33" s="15">
        <f t="shared" ref="IJ33:IO33" si="265">GZ33-HR33</f>
        <v>7.5718731666666637</v>
      </c>
      <c r="IK33" s="15">
        <f t="shared" si="265"/>
        <v>7.5903721666666693</v>
      </c>
      <c r="IL33" s="15">
        <f t="shared" si="265"/>
        <v>7.339127166666664</v>
      </c>
      <c r="IM33" s="15">
        <f t="shared" si="265"/>
        <v>7.572255833333335</v>
      </c>
      <c r="IN33" s="15">
        <f t="shared" si="265"/>
        <v>7.5796575000000024</v>
      </c>
      <c r="IO33" s="15">
        <f t="shared" si="265"/>
        <v>7.6174390000000027</v>
      </c>
      <c r="IP33" s="16">
        <f t="shared" ref="IP33" si="266">(HX33-HX32)*1000</f>
        <v>1008000</v>
      </c>
      <c r="IQ33" s="16">
        <f t="shared" ref="IQ33" si="267">(HY33-HY32)*1000</f>
        <v>1000</v>
      </c>
      <c r="IR33" s="16">
        <f t="shared" ref="IR33" si="268">(HZ33-HZ32)*1000</f>
        <v>1002000</v>
      </c>
      <c r="IS33" s="16">
        <f t="shared" ref="IS33" si="269">(IA33-IA32)*1000</f>
        <v>1000</v>
      </c>
      <c r="IT33" s="16">
        <f t="shared" ref="IT33" si="270">(IB33-IB32)*1000</f>
        <v>1998334.0000000026</v>
      </c>
      <c r="IU33" s="16">
        <f t="shared" ref="IU33" si="271">(IC33-IC32)*1000</f>
        <v>2933.9999999999691</v>
      </c>
      <c r="IV33" s="17">
        <f t="shared" ref="IV33" si="272">(IP33+IR33)-(IQ33+IS33)</f>
        <v>2008000</v>
      </c>
      <c r="IW33" s="17">
        <f t="shared" ref="IW33" si="273">IT33-IU33</f>
        <v>1995400.0000000026</v>
      </c>
      <c r="IX33" s="19">
        <f>(Raw_Data[[#This Row],[Sunset Time (POA&lt;20 W/m2)]]-Raw_Data[[#This Row],[Sunrise Time (POA&gt;20 W/m2)]])*24</f>
        <v>12.716666666666667</v>
      </c>
      <c r="IY33" s="68">
        <f>AVERAGEIF(Raw_Data[[#This Row],[GHI_UP_Net_IS2_W1]:[GHI_UP_Net_IS19_W6]],"&lt;&gt;"&amp;0,Raw_Data[[#This Row],[GHI_UP_Net_IS2_W1]:[GHI_UP_Net_IS19_W6]])</f>
        <v>7.4628059166666683</v>
      </c>
      <c r="IZ33" s="68">
        <f>AVERAGEIF(Raw_Data[[#This Row],[GHI_Down_IS2_W1]:[GHI_Down_IS19_W6]],"&lt;&gt;"&amp;0,Raw_Data[[#This Row],[GHI_Down_IS2_W1]:[GHI_Down_IS19_W6]])</f>
        <v>2.0919120833333338</v>
      </c>
      <c r="JA33" s="68">
        <f>AVERAGEIF(Raw_Data[[#This Row],[POA_Up_IS2_W1]:[POA_Up_IS19_W6]],"&lt;&gt;"&amp;0,Raw_Data[[#This Row],[POA_Up_IS2_W1]:[POA_Up_IS19_W6]])</f>
        <v>7.5451208055555563</v>
      </c>
      <c r="JB33" s="68">
        <f>AVERAGEIF(Raw_Data[[#This Row],[POA_Down_IS2_W1]:[POA_Down_IS19_W6]],"&lt;&gt;"&amp;0,Raw_Data[[#This Row],[POA_Down_IS2_W1]:[POA_Down_IS19_W6]])</f>
        <v>0.56116319444444462</v>
      </c>
      <c r="JC33" s="69">
        <f>Raw_Data[[#This Row],[GHI-Down(KWh/m2)]]/Raw_Data[[#This Row],[GHI-UP (KWh/m2)]]</f>
        <v>0.28031173618778843</v>
      </c>
      <c r="JD33" s="72">
        <f>Raw_Data[[#This Row],[POA-Down(KWh/m2)]]/Raw_Data[[#This Row],[POA-UP(KWh/m2)]]</f>
        <v>7.4374315389523507E-2</v>
      </c>
      <c r="JE33" s="68">
        <f>AVERAGEIF(Raw_Data[[#This Row],[Amb_Temp_IS2_W1]:[Amb_Temp_IS19_W6]],"&lt;&gt;"&amp;0,Raw_Data[[#This Row],[Amb_Temp_IS2_W1]:[Amb_Temp_IS19_W6]])</f>
        <v>37.919562695225352</v>
      </c>
      <c r="JF33" s="68">
        <f>AVERAGEIF(Raw_Data[[#This Row],[MT_Temp_IS2_W1]:[MT_Temp_IS19_W6]],"&lt;&gt;"&amp;0,Raw_Data[[#This Row],[MT_Temp_IS2_W1]:[MT_Temp_IS19_W6]])</f>
        <v>50.299821508255235</v>
      </c>
      <c r="JG33" s="68">
        <f>AVERAGEIF(Raw_Data[[#This Row],[WS_Avg_IS2_W1]:[WS_Avg_IS19_W6]],"&lt;&gt;"&amp;0,Raw_Data[[#This Row],[WS_Avg_IS2_W1]:[WS_Avg_IS19_W6]])</f>
        <v>5.6082103872021447</v>
      </c>
      <c r="JH33" s="68">
        <f>AVERAGEIF(Raw_Data[[#This Row],[WS_Max_IS2_W1]:[WS_Max_IS19_W6]],"&lt;&gt;"&amp;0,Raw_Data[[#This Row],[WS_Max_IS2_W1]:[WS_Max_IS19_W6]])</f>
        <v>10.511665666666667</v>
      </c>
      <c r="JI33" s="70">
        <f>SUM(Raw_Data[[#This Row],[IS1_INV1_M1]:[IS20_INV4_M2]])</f>
        <v>2012458.2000000004</v>
      </c>
      <c r="JJ33" s="73">
        <v>1957866.9999999984</v>
      </c>
      <c r="JK33" s="71">
        <v>2419487.3874452626</v>
      </c>
      <c r="JL33" s="143">
        <f>IFERROR(Raw_Data[[#This Row],[WPR_Eac]]/Raw_Data[[#This Row],[WPR_Edc]],"")</f>
        <v>0.80920735944290689</v>
      </c>
      <c r="JM33" s="6">
        <v>25</v>
      </c>
      <c r="JN33" s="6">
        <v>0</v>
      </c>
    </row>
    <row r="34" spans="2:274">
      <c r="B34" s="67">
        <f t="shared" si="21"/>
        <v>45773</v>
      </c>
      <c r="C34" s="9">
        <f>YEAR(Raw_Data[[#This Row],[Date]])+IF(MONTH(Raw_Data[[#This Row],[Date]])&gt;=4,1,0)</f>
        <v>2026</v>
      </c>
      <c r="D34" s="6">
        <f t="shared" ref="D34" si="274">YEAR(B34)</f>
        <v>2025</v>
      </c>
      <c r="E34" s="7" t="s">
        <v>361</v>
      </c>
      <c r="F34" s="7" t="s">
        <v>361</v>
      </c>
      <c r="G34" s="8">
        <v>45748</v>
      </c>
      <c r="H34" s="6">
        <f t="shared" ref="H34" si="275">DAY(EOMONTH(B34,0))</f>
        <v>30</v>
      </c>
      <c r="I34" s="9">
        <v>335090.89</v>
      </c>
      <c r="J34" s="10">
        <v>0.26874999999999999</v>
      </c>
      <c r="K34" s="10">
        <v>0.8041666666666667</v>
      </c>
      <c r="L34" s="9">
        <v>12203.6</v>
      </c>
      <c r="M34" s="9">
        <v>12788.4</v>
      </c>
      <c r="N34" s="9">
        <v>12736</v>
      </c>
      <c r="O34" s="9">
        <v>12709.9</v>
      </c>
      <c r="P34" s="9">
        <v>12850.2</v>
      </c>
      <c r="Q34" s="9">
        <v>12888.5</v>
      </c>
      <c r="R34" s="9">
        <v>12896.9</v>
      </c>
      <c r="S34" s="9">
        <v>13186.9</v>
      </c>
      <c r="T34" s="9">
        <v>12755.9</v>
      </c>
      <c r="U34" s="9">
        <v>12682.6</v>
      </c>
      <c r="V34" s="9">
        <v>12618.4</v>
      </c>
      <c r="W34" s="9">
        <v>12695.7</v>
      </c>
      <c r="X34" s="9">
        <v>12824.6</v>
      </c>
      <c r="Y34" s="9">
        <v>12663.4</v>
      </c>
      <c r="Z34" s="9">
        <v>12798.1</v>
      </c>
      <c r="AA34" s="9">
        <v>12878.5</v>
      </c>
      <c r="AB34" s="9">
        <v>12741.5</v>
      </c>
      <c r="AC34" s="9">
        <v>12756.6</v>
      </c>
      <c r="AD34" s="9">
        <v>12829.5</v>
      </c>
      <c r="AE34" s="9">
        <v>12895.3</v>
      </c>
      <c r="AF34" s="9">
        <v>12833</v>
      </c>
      <c r="AG34" s="9">
        <v>12823.7</v>
      </c>
      <c r="AH34" s="9">
        <v>12611.6</v>
      </c>
      <c r="AI34" s="9">
        <v>12722.6</v>
      </c>
      <c r="AJ34" s="9">
        <v>12573</v>
      </c>
      <c r="AK34" s="9">
        <v>11037.5</v>
      </c>
      <c r="AL34" s="9">
        <v>12575.1</v>
      </c>
      <c r="AM34" s="9">
        <v>12538.8</v>
      </c>
      <c r="AN34" s="9">
        <v>12826.3</v>
      </c>
      <c r="AO34" s="9">
        <v>12706.6</v>
      </c>
      <c r="AP34" s="9">
        <v>12657.1</v>
      </c>
      <c r="AQ34" s="9">
        <v>12855.2</v>
      </c>
      <c r="AR34" s="9">
        <v>12758.8</v>
      </c>
      <c r="AS34" s="9">
        <v>12826.8</v>
      </c>
      <c r="AT34" s="9">
        <v>12938.5</v>
      </c>
      <c r="AU34" s="9">
        <v>12840.9</v>
      </c>
      <c r="AV34" s="9">
        <v>12932.8</v>
      </c>
      <c r="AW34" s="9">
        <v>12757.5</v>
      </c>
      <c r="AX34" s="9">
        <v>12749.3</v>
      </c>
      <c r="AY34" s="9">
        <v>12684.5</v>
      </c>
      <c r="AZ34" s="9">
        <v>13519.5</v>
      </c>
      <c r="BA34" s="9">
        <v>12501.8</v>
      </c>
      <c r="BB34" s="9">
        <v>13398.9</v>
      </c>
      <c r="BC34" s="9">
        <v>12283.8</v>
      </c>
      <c r="BD34" s="9">
        <v>12831.1</v>
      </c>
      <c r="BE34" s="9">
        <v>13741.7</v>
      </c>
      <c r="BF34" s="9">
        <v>12227.4</v>
      </c>
      <c r="BG34" s="9">
        <v>13493.9</v>
      </c>
      <c r="BH34" s="9">
        <v>12754.2</v>
      </c>
      <c r="BI34" s="9">
        <v>12970.3</v>
      </c>
      <c r="BJ34" s="9">
        <v>12869.8</v>
      </c>
      <c r="BK34" s="9">
        <v>12195.1</v>
      </c>
      <c r="BL34" s="9">
        <v>13168.7</v>
      </c>
      <c r="BM34" s="9">
        <v>12970.6</v>
      </c>
      <c r="BN34" s="9">
        <v>13161.8</v>
      </c>
      <c r="BO34" s="9">
        <v>12895.7</v>
      </c>
      <c r="BP34" s="9">
        <v>11742.4</v>
      </c>
      <c r="BQ34" s="9">
        <v>13312.6</v>
      </c>
      <c r="BR34" s="9">
        <v>11795.5</v>
      </c>
      <c r="BS34" s="9">
        <v>13282.8</v>
      </c>
      <c r="BT34" s="9">
        <v>13161.9</v>
      </c>
      <c r="BU34" s="9">
        <v>11807.8</v>
      </c>
      <c r="BV34" s="9">
        <v>12869.4</v>
      </c>
      <c r="BW34" s="9">
        <v>12329.1</v>
      </c>
      <c r="BX34" s="9">
        <v>12567.8</v>
      </c>
      <c r="BY34" s="9">
        <v>11796.5</v>
      </c>
      <c r="BZ34" s="9">
        <v>12506.6</v>
      </c>
      <c r="CA34" s="9">
        <v>12930.2</v>
      </c>
      <c r="CB34" s="9">
        <v>13180.1</v>
      </c>
      <c r="CC34" s="9">
        <v>12064.7</v>
      </c>
      <c r="CD34" s="9">
        <v>13042.2</v>
      </c>
      <c r="CE34" s="9">
        <v>11566.1</v>
      </c>
      <c r="CF34" s="9">
        <v>12794.4</v>
      </c>
      <c r="CG34" s="9">
        <v>12586.2</v>
      </c>
      <c r="CH34" s="9">
        <v>11891.4</v>
      </c>
      <c r="CI34" s="9">
        <v>13042.2</v>
      </c>
      <c r="CJ34" s="9">
        <v>11659.3</v>
      </c>
      <c r="CK34" s="9">
        <v>13269.6</v>
      </c>
      <c r="CL34" s="9">
        <v>11884</v>
      </c>
      <c r="CM34" s="9">
        <v>13069.3</v>
      </c>
      <c r="CN34" s="9">
        <v>12174</v>
      </c>
      <c r="CO34" s="9">
        <v>13016</v>
      </c>
      <c r="CP34" s="9">
        <v>12317</v>
      </c>
      <c r="CQ34" s="9">
        <v>13311</v>
      </c>
      <c r="CR34" s="9">
        <v>12182</v>
      </c>
      <c r="CS34" s="9">
        <v>12863</v>
      </c>
      <c r="CT34" s="9">
        <v>12130</v>
      </c>
      <c r="CU34" s="9">
        <v>10671</v>
      </c>
      <c r="CV34" s="9">
        <v>12940.5</v>
      </c>
      <c r="CW34" s="9">
        <v>12677.3</v>
      </c>
      <c r="CX34" s="9">
        <v>11772.4</v>
      </c>
      <c r="CY34" s="9">
        <v>13315.6</v>
      </c>
      <c r="CZ34" s="9">
        <v>13019.9</v>
      </c>
      <c r="DA34" s="9">
        <v>12156</v>
      </c>
      <c r="DB34" s="9">
        <v>11999.5</v>
      </c>
      <c r="DC34" s="9">
        <v>13102.9</v>
      </c>
      <c r="DD34" s="9">
        <v>11900.4</v>
      </c>
      <c r="DE34" s="9">
        <v>12367.3</v>
      </c>
      <c r="DF34" s="9">
        <v>13249</v>
      </c>
      <c r="DG34" s="9">
        <v>11867</v>
      </c>
      <c r="DH34" s="9">
        <v>13233</v>
      </c>
      <c r="DI34" s="9">
        <v>11844</v>
      </c>
      <c r="DJ34" s="9">
        <v>13053.1</v>
      </c>
      <c r="DK34" s="9">
        <v>12099.5</v>
      </c>
      <c r="DL34" s="9">
        <v>13107.5</v>
      </c>
      <c r="DM34" s="9">
        <v>11447.1</v>
      </c>
      <c r="DN34" s="9">
        <v>13165</v>
      </c>
      <c r="DO34" s="9">
        <v>12001.3</v>
      </c>
      <c r="DP34" s="9">
        <v>13038.6</v>
      </c>
      <c r="DQ34" s="9">
        <v>11960.1</v>
      </c>
      <c r="DR34" s="9">
        <v>13120.8</v>
      </c>
      <c r="DS34" s="9">
        <v>12180.9</v>
      </c>
      <c r="DT34" s="9">
        <v>11855.2</v>
      </c>
      <c r="DU34" s="9">
        <v>12956.7</v>
      </c>
      <c r="DV34" s="9">
        <v>12031.8</v>
      </c>
      <c r="DW34" s="9">
        <v>11737.6</v>
      </c>
      <c r="DX34" s="9">
        <v>13015.8</v>
      </c>
      <c r="DY34" s="9">
        <v>13125.2</v>
      </c>
      <c r="DZ34" s="9">
        <v>12956.3</v>
      </c>
      <c r="EA34" s="9">
        <v>12000.8</v>
      </c>
      <c r="EB34" s="9">
        <v>13047.9</v>
      </c>
      <c r="EC34" s="9">
        <v>11833.9</v>
      </c>
      <c r="ED34" s="9">
        <v>12821.8</v>
      </c>
      <c r="EE34" s="9">
        <v>12007.2</v>
      </c>
      <c r="EF34" s="9">
        <v>12683.2</v>
      </c>
      <c r="EG34" s="9">
        <v>11052.2</v>
      </c>
      <c r="EH34" s="9">
        <v>12853.8</v>
      </c>
      <c r="EI34" s="9">
        <v>11847.4</v>
      </c>
      <c r="EJ34" s="9">
        <v>11941.7</v>
      </c>
      <c r="EK34" s="9">
        <v>11947.5</v>
      </c>
      <c r="EL34" s="9">
        <v>11797.1</v>
      </c>
      <c r="EM34" s="9">
        <v>10179.6</v>
      </c>
      <c r="EN34" s="9">
        <v>11810.9</v>
      </c>
      <c r="EO34" s="9">
        <v>10472.4</v>
      </c>
      <c r="EP34" s="9">
        <v>11737.7</v>
      </c>
      <c r="EQ34" s="9">
        <v>11800.9</v>
      </c>
      <c r="ER34" s="9">
        <v>13450.1</v>
      </c>
      <c r="ES34" s="9">
        <v>12134.8</v>
      </c>
      <c r="ET34" s="9">
        <v>13547.9</v>
      </c>
      <c r="EU34" s="9">
        <v>12425.8</v>
      </c>
      <c r="EV34" s="9">
        <v>13422.1</v>
      </c>
      <c r="EW34" s="9">
        <v>12245</v>
      </c>
      <c r="EX34" s="9">
        <v>12456.3</v>
      </c>
      <c r="EY34" s="9">
        <v>12148.6</v>
      </c>
      <c r="EZ34" s="9">
        <v>6657.4</v>
      </c>
      <c r="FA34" s="9">
        <v>6853.2</v>
      </c>
      <c r="FB34" s="9">
        <v>6743.5</v>
      </c>
      <c r="FC34" s="9">
        <v>6723.9</v>
      </c>
      <c r="FD34" s="9">
        <v>6723.6</v>
      </c>
      <c r="FE34" s="9">
        <v>6733.5</v>
      </c>
      <c r="FF34" s="9">
        <v>6284.1</v>
      </c>
      <c r="FG34" s="9">
        <v>6756.6</v>
      </c>
      <c r="FH34" s="9">
        <v>13532.7</v>
      </c>
      <c r="FI34" s="9">
        <v>13563.9</v>
      </c>
      <c r="FJ34" s="9">
        <v>13581.6</v>
      </c>
      <c r="FK34" s="9">
        <v>13512.9</v>
      </c>
      <c r="FL34" s="9">
        <v>13579.6</v>
      </c>
      <c r="FM34" s="9">
        <v>12561.3</v>
      </c>
      <c r="FN34" s="9">
        <v>13628.3</v>
      </c>
      <c r="FO34" s="9">
        <v>12614</v>
      </c>
      <c r="FP34" s="11">
        <v>38.048530997304546</v>
      </c>
      <c r="FQ34" s="11">
        <v>37.499070080862523</v>
      </c>
      <c r="FR34" s="11">
        <v>37.946361185983847</v>
      </c>
      <c r="FS34" s="11">
        <v>38.038207547169783</v>
      </c>
      <c r="FT34" s="11">
        <v>37.98652291105126</v>
      </c>
      <c r="FU34" s="11">
        <v>37.769757412398924</v>
      </c>
      <c r="FV34" s="11">
        <v>0</v>
      </c>
      <c r="FW34" s="11">
        <v>51.1</v>
      </c>
      <c r="FX34" s="11">
        <v>0</v>
      </c>
      <c r="FY34" s="11">
        <v>0</v>
      </c>
      <c r="FZ34" s="11">
        <v>51.228561307277644</v>
      </c>
      <c r="GA34" s="11">
        <v>51.856037735849114</v>
      </c>
      <c r="GB34" s="11">
        <v>3.630637754716985</v>
      </c>
      <c r="GC34" s="11">
        <v>3.3533556611455535</v>
      </c>
      <c r="GD34" s="11">
        <v>3.4762375168463646</v>
      </c>
      <c r="GE34" s="11">
        <v>2.9331288071024275</v>
      </c>
      <c r="GF34" s="11">
        <v>3.4911768400808665</v>
      </c>
      <c r="GG34" s="11">
        <v>3.4239396408355751</v>
      </c>
      <c r="GH34" s="11">
        <v>8.1683330000000005</v>
      </c>
      <c r="GI34" s="11">
        <v>7.119999</v>
      </c>
      <c r="GJ34" s="11">
        <v>6.233333</v>
      </c>
      <c r="GK34" s="11">
        <v>6.858333</v>
      </c>
      <c r="GL34" s="11">
        <v>6.9383330000000001</v>
      </c>
      <c r="GM34" s="11">
        <v>6.841666</v>
      </c>
      <c r="GN34" s="11">
        <v>7.2965456666666615</v>
      </c>
      <c r="GO34" s="11">
        <v>7.3299238333333303</v>
      </c>
      <c r="GP34" s="11">
        <v>7.3341655000000019</v>
      </c>
      <c r="GQ34" s="11">
        <v>7.2353528333333399</v>
      </c>
      <c r="GR34" s="11">
        <v>7.3326261666666639</v>
      </c>
      <c r="GS34" s="11">
        <v>7.4408975000000019</v>
      </c>
      <c r="GT34" s="108">
        <v>1.9676483333333306</v>
      </c>
      <c r="GU34" s="108">
        <v>2.0710446666666673</v>
      </c>
      <c r="GV34" s="108">
        <v>1.8317223333333352</v>
      </c>
      <c r="GW34" s="108">
        <v>2.3756953333333288</v>
      </c>
      <c r="GX34" s="108">
        <v>2.2120270000000026</v>
      </c>
      <c r="GY34" s="108">
        <v>1.9935886666666678</v>
      </c>
      <c r="GZ34" s="13">
        <v>7.3866999999999994</v>
      </c>
      <c r="HA34" s="13">
        <v>7.4619083333333336</v>
      </c>
      <c r="HB34" s="13">
        <v>7.3409688333333243</v>
      </c>
      <c r="HC34" s="13">
        <v>7.4218868333333257</v>
      </c>
      <c r="HD34" s="13">
        <v>7.4041643333333376</v>
      </c>
      <c r="HE34" s="13">
        <v>7.4475001666666696</v>
      </c>
      <c r="HF34" s="13">
        <v>0.56065866666666619</v>
      </c>
      <c r="HG34" s="13">
        <v>0.62912916666666741</v>
      </c>
      <c r="HH34" s="13">
        <v>0.53395450000000022</v>
      </c>
      <c r="HI34" s="13">
        <v>0.5818485000000011</v>
      </c>
      <c r="HJ34" s="13">
        <v>0.54190933333333324</v>
      </c>
      <c r="HK34" s="13">
        <v>0.59574083333333394</v>
      </c>
      <c r="HL34" s="12">
        <v>0</v>
      </c>
      <c r="HM34" s="12">
        <v>0</v>
      </c>
      <c r="HN34" s="12">
        <v>0</v>
      </c>
      <c r="HO34" s="12">
        <v>0</v>
      </c>
      <c r="HP34" s="12">
        <v>0</v>
      </c>
      <c r="HQ34" s="12">
        <v>0</v>
      </c>
      <c r="HR34" s="12">
        <v>0</v>
      </c>
      <c r="HS34" s="12">
        <v>0</v>
      </c>
      <c r="HT34" s="12">
        <v>0</v>
      </c>
      <c r="HU34" s="12">
        <v>0</v>
      </c>
      <c r="HV34" s="12">
        <v>0</v>
      </c>
      <c r="HW34" s="12">
        <v>0</v>
      </c>
      <c r="HX34" s="9">
        <v>923208</v>
      </c>
      <c r="HY34" s="9">
        <v>1727</v>
      </c>
      <c r="HZ34" s="9">
        <v>909961</v>
      </c>
      <c r="IA34" s="9">
        <v>1752</v>
      </c>
      <c r="IB34" s="11">
        <v>138179.81099999999</v>
      </c>
      <c r="IC34" s="11">
        <v>304.93299999999999</v>
      </c>
      <c r="ID34" s="14">
        <f t="shared" ref="ID34" si="276">GN34-HL34</f>
        <v>7.2965456666666615</v>
      </c>
      <c r="IE34" s="14">
        <f t="shared" ref="IE34" si="277">GO34-HM34</f>
        <v>7.3299238333333303</v>
      </c>
      <c r="IF34" s="14">
        <f t="shared" ref="IF34" si="278">GP34-HN34</f>
        <v>7.3341655000000019</v>
      </c>
      <c r="IG34" s="14">
        <f t="shared" ref="IG34" si="279">GQ34-HO34</f>
        <v>7.2353528333333399</v>
      </c>
      <c r="IH34" s="14">
        <f t="shared" ref="IH34" si="280">GR34-HP34</f>
        <v>7.3326261666666639</v>
      </c>
      <c r="II34" s="14">
        <f t="shared" ref="II34" si="281">GS34-HQ34</f>
        <v>7.4408975000000019</v>
      </c>
      <c r="IJ34" s="15">
        <f t="shared" ref="IJ34" si="282">GZ34-HR34</f>
        <v>7.3866999999999994</v>
      </c>
      <c r="IK34" s="15">
        <f t="shared" ref="IK34" si="283">HA34-HS34</f>
        <v>7.4619083333333336</v>
      </c>
      <c r="IL34" s="15">
        <f t="shared" ref="IL34" si="284">HB34-HT34</f>
        <v>7.3409688333333243</v>
      </c>
      <c r="IM34" s="15">
        <f t="shared" ref="IM34" si="285">HC34-HU34</f>
        <v>7.4218868333333257</v>
      </c>
      <c r="IN34" s="15">
        <f t="shared" ref="IN34" si="286">HD34-HV34</f>
        <v>7.4041643333333376</v>
      </c>
      <c r="IO34" s="15">
        <f t="shared" ref="IO34" si="287">HE34-HW34</f>
        <v>7.4475001666666696</v>
      </c>
      <c r="IP34" s="16">
        <f t="shared" ref="IP34" si="288">(HX34-HX33)*1000</f>
        <v>1008000</v>
      </c>
      <c r="IQ34" s="16">
        <f t="shared" ref="IQ34" si="289">(HY34-HY33)*1000</f>
        <v>1000</v>
      </c>
      <c r="IR34" s="16">
        <f t="shared" ref="IR34" si="290">(HZ34-HZ33)*1000</f>
        <v>947000</v>
      </c>
      <c r="IS34" s="16">
        <f t="shared" ref="IS34" si="291">(IA34-IA33)*1000</f>
        <v>1000</v>
      </c>
      <c r="IT34" s="16">
        <f t="shared" ref="IT34" si="292">(IB34-IB33)*1000</f>
        <v>1953199.9999999825</v>
      </c>
      <c r="IU34" s="16">
        <f t="shared" ref="IU34" si="293">(IC34-IC33)*1000</f>
        <v>3266.0000000000196</v>
      </c>
      <c r="IV34" s="17">
        <f t="shared" ref="IV34" si="294">(IP34+IR34)-(IQ34+IS34)</f>
        <v>1953000</v>
      </c>
      <c r="IW34" s="17">
        <f t="shared" ref="IW34" si="295">IT34-IU34</f>
        <v>1949933.9999999825</v>
      </c>
      <c r="IX34" s="19">
        <f>(Raw_Data[[#This Row],[Sunset Time (POA&lt;20 W/m2)]]-Raw_Data[[#This Row],[Sunrise Time (POA&gt;20 W/m2)]])*24</f>
        <v>12.85</v>
      </c>
      <c r="IY34" s="68">
        <f>AVERAGEIF(Raw_Data[[#This Row],[GHI_UP_Net_IS2_W1]:[GHI_UP_Net_IS19_W6]],"&lt;&gt;"&amp;0,Raw_Data[[#This Row],[GHI_UP_Net_IS2_W1]:[GHI_UP_Net_IS19_W6]])</f>
        <v>7.328251916666666</v>
      </c>
      <c r="IZ34" s="68">
        <f>AVERAGEIF(Raw_Data[[#This Row],[GHI_Down_IS2_W1]:[GHI_Down_IS19_W6]],"&lt;&gt;"&amp;0,Raw_Data[[#This Row],[GHI_Down_IS2_W1]:[GHI_Down_IS19_W6]])</f>
        <v>2.0752877222222219</v>
      </c>
      <c r="JA34" s="68">
        <f>AVERAGEIF(Raw_Data[[#This Row],[POA_Up_IS2_W1]:[POA_Up_IS19_W6]],"&lt;&gt;"&amp;0,Raw_Data[[#This Row],[POA_Up_IS2_W1]:[POA_Up_IS19_W6]])</f>
        <v>7.4105214166666658</v>
      </c>
      <c r="JB34" s="68">
        <f>AVERAGEIF(Raw_Data[[#This Row],[POA_Down_IS2_W1]:[POA_Down_IS19_W6]],"&lt;&gt;"&amp;0,Raw_Data[[#This Row],[POA_Down_IS2_W1]:[POA_Down_IS19_W6]])</f>
        <v>0.57387350000000048</v>
      </c>
      <c r="JC34" s="69">
        <f>Raw_Data[[#This Row],[GHI-Down(KWh/m2)]]/Raw_Data[[#This Row],[GHI-UP (KWh/m2)]]</f>
        <v>0.28319000845240988</v>
      </c>
      <c r="JD34" s="72">
        <f>Raw_Data[[#This Row],[POA-Down(KWh/m2)]]/Raw_Data[[#This Row],[POA-UP(KWh/m2)]]</f>
        <v>7.7440367247212566E-2</v>
      </c>
      <c r="JE34" s="68">
        <f>AVERAGEIF(Raw_Data[[#This Row],[Amb_Temp_IS2_W1]:[Amb_Temp_IS19_W6]],"&lt;&gt;"&amp;0,Raw_Data[[#This Row],[Amb_Temp_IS2_W1]:[Amb_Temp_IS19_W6]])</f>
        <v>37.881408355795145</v>
      </c>
      <c r="JF34" s="68">
        <f>AVERAGEIF(Raw_Data[[#This Row],[MT_Temp_IS2_W1]:[MT_Temp_IS19_W6]],"&lt;&gt;"&amp;0,Raw_Data[[#This Row],[MT_Temp_IS2_W1]:[MT_Temp_IS19_W6]])</f>
        <v>51.39486634770892</v>
      </c>
      <c r="JG34" s="68">
        <f>AVERAGEIF(Raw_Data[[#This Row],[WS_Avg_IS2_W1]:[WS_Avg_IS19_W6]],"&lt;&gt;"&amp;0,Raw_Data[[#This Row],[WS_Avg_IS2_W1]:[WS_Avg_IS19_W6]])</f>
        <v>3.3847460367879623</v>
      </c>
      <c r="JH34" s="68">
        <f>AVERAGEIF(Raw_Data[[#This Row],[WS_Max_IS2_W1]:[WS_Max_IS19_W6]],"&lt;&gt;"&amp;0,Raw_Data[[#This Row],[WS_Max_IS2_W1]:[WS_Max_IS19_W6]])</f>
        <v>7.0266661666666677</v>
      </c>
      <c r="JI34" s="70">
        <f>SUM(Raw_Data[[#This Row],[IS1_INV1_M1]:[IS20_INV4_M2]])</f>
        <v>1966464.5000000002</v>
      </c>
      <c r="JJ34" s="73">
        <v>1933666.9999999867</v>
      </c>
      <c r="JK34" s="71">
        <v>2384346.2582467296</v>
      </c>
      <c r="JL34" s="143">
        <f>IFERROR(Raw_Data[[#This Row],[WPR_Eac]]/Raw_Data[[#This Row],[WPR_Edc]],"")</f>
        <v>0.81098414012311337</v>
      </c>
      <c r="JM34" s="6">
        <v>32</v>
      </c>
      <c r="JN34" s="6">
        <v>0</v>
      </c>
    </row>
    <row r="35" spans="2:274">
      <c r="B35" s="67">
        <f t="shared" si="21"/>
        <v>45774</v>
      </c>
      <c r="C35" s="9">
        <f>YEAR(Raw_Data[[#This Row],[Date]])+IF(MONTH(Raw_Data[[#This Row],[Date]])&gt;=4,1,0)</f>
        <v>2026</v>
      </c>
      <c r="D35" s="6">
        <f t="shared" ref="D35:D40" si="296">YEAR(B35)</f>
        <v>2025</v>
      </c>
      <c r="E35" s="7" t="s">
        <v>361</v>
      </c>
      <c r="F35" s="7" t="s">
        <v>361</v>
      </c>
      <c r="G35" s="8">
        <v>45748</v>
      </c>
      <c r="H35" s="6">
        <f t="shared" ref="H35:H40" si="297">DAY(EOMONTH(B35,0))</f>
        <v>30</v>
      </c>
      <c r="I35" s="9">
        <v>335090.89</v>
      </c>
      <c r="J35" s="10">
        <v>0.26944444444444443</v>
      </c>
      <c r="K35" s="10">
        <v>0.80277777777777781</v>
      </c>
      <c r="L35" s="9">
        <v>12236.3</v>
      </c>
      <c r="M35" s="9">
        <v>12808.1</v>
      </c>
      <c r="N35" s="9">
        <v>12780.8</v>
      </c>
      <c r="O35" s="9">
        <v>12751</v>
      </c>
      <c r="P35" s="9">
        <v>12878.6</v>
      </c>
      <c r="Q35" s="9">
        <v>12914.8</v>
      </c>
      <c r="R35" s="9">
        <v>12937.6</v>
      </c>
      <c r="S35" s="9">
        <v>13297.3</v>
      </c>
      <c r="T35" s="9">
        <v>12818.9</v>
      </c>
      <c r="U35" s="9">
        <v>12721.8</v>
      </c>
      <c r="V35" s="9">
        <v>12674.6</v>
      </c>
      <c r="W35" s="9">
        <v>12765.3</v>
      </c>
      <c r="X35" s="9">
        <v>12849.5</v>
      </c>
      <c r="Y35" s="9">
        <v>12706</v>
      </c>
      <c r="Z35" s="9">
        <v>12796.3</v>
      </c>
      <c r="AA35" s="9">
        <v>12898.9</v>
      </c>
      <c r="AB35" s="9">
        <v>12757.9</v>
      </c>
      <c r="AC35" s="9">
        <v>12786.5</v>
      </c>
      <c r="AD35" s="9">
        <v>12847.9</v>
      </c>
      <c r="AE35" s="9">
        <v>12916.4</v>
      </c>
      <c r="AF35" s="9">
        <v>12840.2</v>
      </c>
      <c r="AG35" s="9">
        <v>12852.8</v>
      </c>
      <c r="AH35" s="9">
        <v>12610.8</v>
      </c>
      <c r="AI35" s="9">
        <v>12736.4</v>
      </c>
      <c r="AJ35" s="9">
        <v>12584.2</v>
      </c>
      <c r="AK35" s="9">
        <v>11053.3</v>
      </c>
      <c r="AL35" s="9">
        <v>12588.7</v>
      </c>
      <c r="AM35" s="9">
        <v>12547.7</v>
      </c>
      <c r="AN35" s="9">
        <v>12841.9</v>
      </c>
      <c r="AO35" s="9">
        <v>12691.9</v>
      </c>
      <c r="AP35" s="9">
        <v>12650.9</v>
      </c>
      <c r="AQ35" s="9">
        <v>12863.3</v>
      </c>
      <c r="AR35" s="9">
        <v>12823.7</v>
      </c>
      <c r="AS35" s="9">
        <v>12853.4</v>
      </c>
      <c r="AT35" s="9">
        <v>12963.9</v>
      </c>
      <c r="AU35" s="9">
        <v>12867.5</v>
      </c>
      <c r="AV35" s="9">
        <v>12950.4</v>
      </c>
      <c r="AW35" s="9">
        <v>12770.7</v>
      </c>
      <c r="AX35" s="9">
        <v>12768.5</v>
      </c>
      <c r="AY35" s="9">
        <v>12714.4</v>
      </c>
      <c r="AZ35" s="9">
        <v>13574.3</v>
      </c>
      <c r="BA35" s="9">
        <v>12517.9</v>
      </c>
      <c r="BB35" s="9">
        <v>13442.4</v>
      </c>
      <c r="BC35" s="9">
        <v>12302</v>
      </c>
      <c r="BD35" s="9">
        <v>12692.5</v>
      </c>
      <c r="BE35" s="9">
        <v>13667</v>
      </c>
      <c r="BF35" s="9">
        <v>12226.9</v>
      </c>
      <c r="BG35" s="9">
        <v>13555.6</v>
      </c>
      <c r="BH35" s="9">
        <v>12792.5</v>
      </c>
      <c r="BI35" s="9">
        <v>13000.9</v>
      </c>
      <c r="BJ35" s="9">
        <v>12890.8</v>
      </c>
      <c r="BK35" s="9">
        <v>12252.4</v>
      </c>
      <c r="BL35" s="9">
        <v>13207.1</v>
      </c>
      <c r="BM35" s="9">
        <v>12996.6</v>
      </c>
      <c r="BN35" s="9">
        <v>13175.4</v>
      </c>
      <c r="BO35" s="9">
        <v>12900.4</v>
      </c>
      <c r="BP35" s="9">
        <v>11768.1</v>
      </c>
      <c r="BQ35" s="9">
        <v>13345.3</v>
      </c>
      <c r="BR35" s="9">
        <v>11818.3</v>
      </c>
      <c r="BS35" s="9">
        <v>13329.7</v>
      </c>
      <c r="BT35" s="9">
        <v>13219.7</v>
      </c>
      <c r="BU35" s="9">
        <v>11842.5</v>
      </c>
      <c r="BV35" s="9">
        <v>12904.6</v>
      </c>
      <c r="BW35" s="9">
        <v>12386.2</v>
      </c>
      <c r="BX35" s="9">
        <v>12563.7</v>
      </c>
      <c r="BY35" s="9">
        <v>11823.7</v>
      </c>
      <c r="BZ35" s="9">
        <v>12524.8</v>
      </c>
      <c r="CA35" s="9">
        <v>12973</v>
      </c>
      <c r="CB35" s="9">
        <v>13247.6</v>
      </c>
      <c r="CC35" s="9">
        <v>12093.7</v>
      </c>
      <c r="CD35" s="9">
        <v>13117.5</v>
      </c>
      <c r="CE35" s="9">
        <v>11608</v>
      </c>
      <c r="CF35" s="9">
        <v>12810.4</v>
      </c>
      <c r="CG35" s="9">
        <v>12612.4</v>
      </c>
      <c r="CH35" s="9">
        <v>11928.5</v>
      </c>
      <c r="CI35" s="9">
        <v>13105.9</v>
      </c>
      <c r="CJ35" s="9">
        <v>11712.2</v>
      </c>
      <c r="CK35" s="9">
        <v>13342.9</v>
      </c>
      <c r="CL35" s="9">
        <v>11940.5</v>
      </c>
      <c r="CM35" s="9">
        <v>13136.1</v>
      </c>
      <c r="CN35" s="9">
        <v>12187</v>
      </c>
      <c r="CO35" s="9">
        <v>13010</v>
      </c>
      <c r="CP35" s="9">
        <v>12316</v>
      </c>
      <c r="CQ35" s="9">
        <v>13319</v>
      </c>
      <c r="CR35" s="9">
        <v>12188</v>
      </c>
      <c r="CS35" s="9">
        <v>12859</v>
      </c>
      <c r="CT35" s="9">
        <v>12115</v>
      </c>
      <c r="CU35" s="9">
        <v>10688</v>
      </c>
      <c r="CV35" s="9">
        <v>12983.6</v>
      </c>
      <c r="CW35" s="9">
        <v>12663.5</v>
      </c>
      <c r="CX35" s="9">
        <v>11819.1</v>
      </c>
      <c r="CY35" s="9">
        <v>13349.7</v>
      </c>
      <c r="CZ35" s="9">
        <v>13012</v>
      </c>
      <c r="DA35" s="9">
        <v>12157.8</v>
      </c>
      <c r="DB35" s="9">
        <v>11988.3</v>
      </c>
      <c r="DC35" s="9">
        <v>13142</v>
      </c>
      <c r="DD35" s="9">
        <v>11923.9</v>
      </c>
      <c r="DE35" s="9">
        <v>12396.6</v>
      </c>
      <c r="DF35" s="9">
        <v>13287.5</v>
      </c>
      <c r="DG35" s="9">
        <v>11917.2</v>
      </c>
      <c r="DH35" s="9">
        <v>13268</v>
      </c>
      <c r="DI35" s="9">
        <v>11895.1</v>
      </c>
      <c r="DJ35" s="9">
        <v>13089.4</v>
      </c>
      <c r="DK35" s="9">
        <v>12153.1</v>
      </c>
      <c r="DL35" s="9">
        <v>13132.9</v>
      </c>
      <c r="DM35" s="9">
        <v>11505.3</v>
      </c>
      <c r="DN35" s="9">
        <v>13204.2</v>
      </c>
      <c r="DO35" s="9">
        <v>12071.5</v>
      </c>
      <c r="DP35" s="9">
        <v>13081.4</v>
      </c>
      <c r="DQ35" s="9">
        <v>12018.9</v>
      </c>
      <c r="DR35" s="9">
        <v>13144.1</v>
      </c>
      <c r="DS35" s="9">
        <v>12243.2</v>
      </c>
      <c r="DT35" s="9">
        <v>11884.8</v>
      </c>
      <c r="DU35" s="9">
        <v>12983.2</v>
      </c>
      <c r="DV35" s="9">
        <v>12080.9</v>
      </c>
      <c r="DW35" s="9">
        <v>11790.9</v>
      </c>
      <c r="DX35" s="9">
        <v>13056.5</v>
      </c>
      <c r="DY35" s="9">
        <v>13191.6</v>
      </c>
      <c r="DZ35" s="9">
        <v>12999.7</v>
      </c>
      <c r="EA35" s="9">
        <v>12057.9</v>
      </c>
      <c r="EB35" s="9">
        <v>13114</v>
      </c>
      <c r="EC35" s="9">
        <v>11900.8</v>
      </c>
      <c r="ED35" s="9">
        <v>12861.7</v>
      </c>
      <c r="EE35" s="9">
        <v>12066.2</v>
      </c>
      <c r="EF35" s="9">
        <v>12714.5</v>
      </c>
      <c r="EG35" s="9">
        <v>11117.4</v>
      </c>
      <c r="EH35" s="9">
        <v>12893.9</v>
      </c>
      <c r="EI35" s="9">
        <v>11897.5</v>
      </c>
      <c r="EJ35" s="9">
        <v>12055</v>
      </c>
      <c r="EK35" s="9">
        <v>12085.8</v>
      </c>
      <c r="EL35" s="9">
        <v>11858.2</v>
      </c>
      <c r="EM35" s="9">
        <v>10260</v>
      </c>
      <c r="EN35" s="9">
        <v>11890.2</v>
      </c>
      <c r="EO35" s="9">
        <v>10530</v>
      </c>
      <c r="EP35" s="9">
        <v>11792.6</v>
      </c>
      <c r="EQ35" s="9">
        <v>11841</v>
      </c>
      <c r="ER35" s="9">
        <v>13532.7</v>
      </c>
      <c r="ES35" s="9">
        <v>12207.2</v>
      </c>
      <c r="ET35" s="9">
        <v>13609.5</v>
      </c>
      <c r="EU35" s="9">
        <v>12476.9</v>
      </c>
      <c r="EV35" s="9">
        <v>13487.7</v>
      </c>
      <c r="EW35" s="9">
        <v>12291.3</v>
      </c>
      <c r="EX35" s="9">
        <v>12491.4</v>
      </c>
      <c r="EY35" s="9">
        <v>12203.1</v>
      </c>
      <c r="EZ35" s="9">
        <v>13427.4</v>
      </c>
      <c r="FA35" s="9">
        <v>13860.5</v>
      </c>
      <c r="FB35" s="9">
        <v>13566.8</v>
      </c>
      <c r="FC35" s="9">
        <v>13474.6</v>
      </c>
      <c r="FD35" s="9">
        <v>13484.6</v>
      </c>
      <c r="FE35" s="9">
        <v>13509.7</v>
      </c>
      <c r="FF35" s="9">
        <v>12631.6</v>
      </c>
      <c r="FG35" s="9">
        <v>13565.5</v>
      </c>
      <c r="FH35" s="9">
        <v>13592.4</v>
      </c>
      <c r="FI35" s="9">
        <v>13620.3</v>
      </c>
      <c r="FJ35" s="9">
        <v>13634</v>
      </c>
      <c r="FK35" s="9">
        <v>13566.8</v>
      </c>
      <c r="FL35" s="9">
        <v>13632</v>
      </c>
      <c r="FM35" s="9">
        <v>12602.4</v>
      </c>
      <c r="FN35" s="9">
        <v>13686</v>
      </c>
      <c r="FO35" s="9">
        <v>12654</v>
      </c>
      <c r="FP35" s="11">
        <v>39.881641991924646</v>
      </c>
      <c r="FQ35" s="11">
        <v>39.328169582772503</v>
      </c>
      <c r="FR35" s="11">
        <v>39.913835800807441</v>
      </c>
      <c r="FS35" s="11">
        <v>39.842166890982504</v>
      </c>
      <c r="FT35" s="11">
        <v>39.826635262449493</v>
      </c>
      <c r="FU35" s="11">
        <v>39.499569313593483</v>
      </c>
      <c r="FV35" s="11">
        <v>0</v>
      </c>
      <c r="FW35" s="11">
        <v>53.05329744279949</v>
      </c>
      <c r="FX35" s="11">
        <v>0</v>
      </c>
      <c r="FY35" s="11">
        <v>0</v>
      </c>
      <c r="FZ35" s="11">
        <v>52.9</v>
      </c>
      <c r="GA35" s="11">
        <v>53.314226110363386</v>
      </c>
      <c r="GB35" s="11">
        <v>2.7854911522207253</v>
      </c>
      <c r="GC35" s="11">
        <v>1.911471450955587</v>
      </c>
      <c r="GD35" s="11">
        <v>2.5634431513189817</v>
      </c>
      <c r="GE35" s="11">
        <v>1.0419874027860028</v>
      </c>
      <c r="GF35" s="11">
        <v>2.605235445625842</v>
      </c>
      <c r="GG35" s="11">
        <v>2.124190128075369</v>
      </c>
      <c r="GH35" s="11">
        <v>8.0816660000000002</v>
      </c>
      <c r="GI35" s="11">
        <v>6.8949999999999996</v>
      </c>
      <c r="GJ35" s="11">
        <v>7.8150000000000004</v>
      </c>
      <c r="GK35" s="11">
        <v>6.5416660000000002</v>
      </c>
      <c r="GL35" s="11">
        <v>6.54</v>
      </c>
      <c r="GM35" s="11">
        <v>6.42</v>
      </c>
      <c r="GN35" s="11">
        <v>7.4358824999999875</v>
      </c>
      <c r="GO35" s="11">
        <v>7.4581386666666631</v>
      </c>
      <c r="GP35" s="11">
        <v>7.4698811666666645</v>
      </c>
      <c r="GQ35" s="11">
        <v>7.3696058333333356</v>
      </c>
      <c r="GR35" s="11">
        <v>7.5563386666666608</v>
      </c>
      <c r="GS35" s="11">
        <v>7.5914720000000031</v>
      </c>
      <c r="GT35" s="108">
        <v>1.9925063333333335</v>
      </c>
      <c r="GU35" s="108">
        <v>2.099137333333331</v>
      </c>
      <c r="GV35" s="108">
        <v>1.8676696666666657</v>
      </c>
      <c r="GW35" s="108">
        <v>2.4158323333333325</v>
      </c>
      <c r="GX35" s="108">
        <v>2.2504949999999977</v>
      </c>
      <c r="GY35" s="108">
        <v>2.0194139999999989</v>
      </c>
      <c r="GZ35" s="13">
        <v>7.511223666666667</v>
      </c>
      <c r="HA35" s="13">
        <v>7.5838864999999913</v>
      </c>
      <c r="HB35" s="13">
        <v>7.4501585000000032</v>
      </c>
      <c r="HC35" s="13">
        <v>7.5477249999999998</v>
      </c>
      <c r="HD35" s="13">
        <v>7.5769530000000032</v>
      </c>
      <c r="HE35" s="13">
        <v>7.5766733333333356</v>
      </c>
      <c r="HF35" s="13">
        <v>0.5514401666666664</v>
      </c>
      <c r="HG35" s="13">
        <v>0.61742099999999933</v>
      </c>
      <c r="HH35" s="13">
        <v>0.52495766666666643</v>
      </c>
      <c r="HI35" s="13">
        <v>0.57037383333333369</v>
      </c>
      <c r="HJ35" s="13">
        <v>0.53495100000000007</v>
      </c>
      <c r="HK35" s="13">
        <v>0.59107416666666679</v>
      </c>
      <c r="HL35" s="12">
        <v>0</v>
      </c>
      <c r="HM35" s="12">
        <v>0</v>
      </c>
      <c r="HN35" s="12">
        <v>0</v>
      </c>
      <c r="HO35" s="12">
        <v>0</v>
      </c>
      <c r="HP35" s="12">
        <v>0</v>
      </c>
      <c r="HQ35" s="12">
        <v>0</v>
      </c>
      <c r="HR35" s="12">
        <v>0</v>
      </c>
      <c r="HS35" s="12">
        <v>0</v>
      </c>
      <c r="HT35" s="12">
        <v>0</v>
      </c>
      <c r="HU35" s="12">
        <v>0</v>
      </c>
      <c r="HV35" s="12">
        <v>0</v>
      </c>
      <c r="HW35" s="12">
        <v>0</v>
      </c>
      <c r="HX35" s="9">
        <v>924218</v>
      </c>
      <c r="HY35" s="9">
        <v>1729</v>
      </c>
      <c r="HZ35" s="9">
        <v>910965</v>
      </c>
      <c r="IA35" s="9">
        <v>1753</v>
      </c>
      <c r="IB35" s="11">
        <v>140192.41099999999</v>
      </c>
      <c r="IC35" s="11">
        <v>309.267</v>
      </c>
      <c r="ID35" s="14">
        <f t="shared" ref="ID35:II35" si="298">GN35-HL35</f>
        <v>7.4358824999999875</v>
      </c>
      <c r="IE35" s="14">
        <f t="shared" si="298"/>
        <v>7.4581386666666631</v>
      </c>
      <c r="IF35" s="14">
        <f t="shared" si="298"/>
        <v>7.4698811666666645</v>
      </c>
      <c r="IG35" s="14">
        <f t="shared" si="298"/>
        <v>7.3696058333333356</v>
      </c>
      <c r="IH35" s="14">
        <f t="shared" si="298"/>
        <v>7.5563386666666608</v>
      </c>
      <c r="II35" s="14">
        <f t="shared" si="298"/>
        <v>7.5914720000000031</v>
      </c>
      <c r="IJ35" s="15">
        <f t="shared" ref="IJ35:IO35" si="299">GZ35-HR35</f>
        <v>7.511223666666667</v>
      </c>
      <c r="IK35" s="15">
        <f t="shared" si="299"/>
        <v>7.5838864999999913</v>
      </c>
      <c r="IL35" s="15">
        <f t="shared" si="299"/>
        <v>7.4501585000000032</v>
      </c>
      <c r="IM35" s="15">
        <f t="shared" si="299"/>
        <v>7.5477249999999998</v>
      </c>
      <c r="IN35" s="15">
        <f t="shared" si="299"/>
        <v>7.5769530000000032</v>
      </c>
      <c r="IO35" s="15">
        <f t="shared" si="299"/>
        <v>7.5766733333333356</v>
      </c>
      <c r="IP35" s="16">
        <f t="shared" ref="IP35" si="300">(HX35-HX34)*1000</f>
        <v>1010000</v>
      </c>
      <c r="IQ35" s="16">
        <f t="shared" ref="IQ35" si="301">(HY35-HY34)*1000</f>
        <v>2000</v>
      </c>
      <c r="IR35" s="16">
        <f t="shared" ref="IR35" si="302">(HZ35-HZ34)*1000</f>
        <v>1004000</v>
      </c>
      <c r="IS35" s="16">
        <f t="shared" ref="IS35" si="303">(IA35-IA34)*1000</f>
        <v>1000</v>
      </c>
      <c r="IT35" s="16">
        <f t="shared" ref="IT35" si="304">(IB35-IB34)*1000</f>
        <v>2012600.0000000058</v>
      </c>
      <c r="IU35" s="16">
        <f t="shared" ref="IU35" si="305">(IC35-IC34)*1000</f>
        <v>4334.0000000000036</v>
      </c>
      <c r="IV35" s="17">
        <f t="shared" ref="IV35" si="306">(IP35+IR35)-(IQ35+IS35)</f>
        <v>2011000</v>
      </c>
      <c r="IW35" s="17">
        <f t="shared" ref="IW35" si="307">IT35-IU35</f>
        <v>2008266.0000000058</v>
      </c>
      <c r="IX35" s="19">
        <f>(Raw_Data[[#This Row],[Sunset Time (POA&lt;20 W/m2)]]-Raw_Data[[#This Row],[Sunrise Time (POA&gt;20 W/m2)]])*24</f>
        <v>12.800000000000002</v>
      </c>
      <c r="IY35" s="68">
        <f>AVERAGEIF(Raw_Data[[#This Row],[GHI_UP_Net_IS2_W1]:[GHI_UP_Net_IS19_W6]],"&lt;&gt;"&amp;0,Raw_Data[[#This Row],[GHI_UP_Net_IS2_W1]:[GHI_UP_Net_IS19_W6]])</f>
        <v>7.480219805555552</v>
      </c>
      <c r="IZ35" s="68">
        <f>AVERAGEIF(Raw_Data[[#This Row],[GHI_Down_IS2_W1]:[GHI_Down_IS19_W6]],"&lt;&gt;"&amp;0,Raw_Data[[#This Row],[GHI_Down_IS2_W1]:[GHI_Down_IS19_W6]])</f>
        <v>2.1075091111111099</v>
      </c>
      <c r="JA35" s="68">
        <f>AVERAGEIF(Raw_Data[[#This Row],[POA_Up_IS2_W1]:[POA_Up_IS19_W6]],"&lt;&gt;"&amp;0,Raw_Data[[#This Row],[POA_Up_IS2_W1]:[POA_Up_IS19_W6]])</f>
        <v>7.5411033333333322</v>
      </c>
      <c r="JB35" s="68">
        <f>AVERAGEIF(Raw_Data[[#This Row],[POA_Down_IS2_W1]:[POA_Down_IS19_W6]],"&lt;&gt;"&amp;0,Raw_Data[[#This Row],[POA_Down_IS2_W1]:[POA_Down_IS19_W6]])</f>
        <v>0.56503630555555551</v>
      </c>
      <c r="JC35" s="69">
        <f>Raw_Data[[#This Row],[GHI-Down(KWh/m2)]]/Raw_Data[[#This Row],[GHI-UP (KWh/m2)]]</f>
        <v>0.28174427568904659</v>
      </c>
      <c r="JD35" s="72">
        <f>Raw_Data[[#This Row],[POA-Down(KWh/m2)]]/Raw_Data[[#This Row],[POA-UP(KWh/m2)]]</f>
        <v>7.4927537865443511E-2</v>
      </c>
      <c r="JE35" s="68">
        <f>AVERAGEIF(Raw_Data[[#This Row],[Amb_Temp_IS2_W1]:[Amb_Temp_IS19_W6]],"&lt;&gt;"&amp;0,Raw_Data[[#This Row],[Amb_Temp_IS2_W1]:[Amb_Temp_IS19_W6]])</f>
        <v>39.715336473755009</v>
      </c>
      <c r="JF35" s="68">
        <f>AVERAGEIF(Raw_Data[[#This Row],[MT_Temp_IS2_W1]:[MT_Temp_IS19_W6]],"&lt;&gt;"&amp;0,Raw_Data[[#This Row],[MT_Temp_IS2_W1]:[MT_Temp_IS19_W6]])</f>
        <v>53.089174517720956</v>
      </c>
      <c r="JG35" s="68">
        <f>AVERAGEIF(Raw_Data[[#This Row],[WS_Avg_IS2_W1]:[WS_Avg_IS19_W6]],"&lt;&gt;"&amp;0,Raw_Data[[#This Row],[WS_Avg_IS2_W1]:[WS_Avg_IS19_W6]])</f>
        <v>2.1719697884970848</v>
      </c>
      <c r="JH35" s="68">
        <f>AVERAGEIF(Raw_Data[[#This Row],[WS_Max_IS2_W1]:[WS_Max_IS19_W6]],"&lt;&gt;"&amp;0,Raw_Data[[#This Row],[WS_Max_IS2_W1]:[WS_Max_IS19_W6]])</f>
        <v>7.0488886666666666</v>
      </c>
      <c r="JI35" s="70">
        <f>SUM(Raw_Data[[#This Row],[IS1_INV1_M1]:[IS20_INV4_M2]])</f>
        <v>2025932.0999999996</v>
      </c>
      <c r="JJ35" s="73">
        <v>1967668.0000000342</v>
      </c>
      <c r="JK35" s="71">
        <v>2361247.704104044</v>
      </c>
      <c r="JL35" s="143">
        <f>IFERROR(Raw_Data[[#This Row],[WPR_Eac]]/Raw_Data[[#This Row],[WPR_Edc]],"")</f>
        <v>0.83331706223792801</v>
      </c>
      <c r="JM35" s="6">
        <v>28</v>
      </c>
      <c r="JN35" s="6">
        <v>0</v>
      </c>
    </row>
    <row r="36" spans="2:274">
      <c r="B36" s="67">
        <f t="shared" si="21"/>
        <v>45775</v>
      </c>
      <c r="C36" s="9">
        <f>YEAR(Raw_Data[[#This Row],[Date]])+IF(MONTH(Raw_Data[[#This Row],[Date]])&gt;=4,1,0)</f>
        <v>2026</v>
      </c>
      <c r="D36" s="6">
        <f t="shared" si="296"/>
        <v>2025</v>
      </c>
      <c r="E36" s="7" t="s">
        <v>361</v>
      </c>
      <c r="F36" s="7" t="s">
        <v>361</v>
      </c>
      <c r="G36" s="8">
        <v>45748</v>
      </c>
      <c r="H36" s="6">
        <f t="shared" si="297"/>
        <v>30</v>
      </c>
      <c r="I36" s="9">
        <v>335090.89</v>
      </c>
      <c r="J36" s="10">
        <v>0.26666666666666666</v>
      </c>
      <c r="K36" s="10">
        <v>0.80208333333333337</v>
      </c>
      <c r="L36" s="9">
        <v>12107.7</v>
      </c>
      <c r="M36" s="9">
        <v>12728.4</v>
      </c>
      <c r="N36" s="9">
        <v>12683</v>
      </c>
      <c r="O36" s="9">
        <v>12655.5</v>
      </c>
      <c r="P36" s="9">
        <v>12788.8</v>
      </c>
      <c r="Q36" s="9">
        <v>12830</v>
      </c>
      <c r="R36" s="9">
        <v>12838</v>
      </c>
      <c r="S36" s="9">
        <v>13225.8</v>
      </c>
      <c r="T36" s="9">
        <v>12750.1</v>
      </c>
      <c r="U36" s="9">
        <v>12643.1</v>
      </c>
      <c r="V36" s="9">
        <v>12576.8</v>
      </c>
      <c r="W36" s="9">
        <v>12686.8</v>
      </c>
      <c r="X36" s="9">
        <v>12759.2</v>
      </c>
      <c r="Y36" s="9">
        <v>12622.6</v>
      </c>
      <c r="Z36" s="9">
        <v>12692.4</v>
      </c>
      <c r="AA36" s="9">
        <v>12810.7</v>
      </c>
      <c r="AB36" s="9">
        <v>12662.1</v>
      </c>
      <c r="AC36" s="9">
        <v>12695</v>
      </c>
      <c r="AD36" s="9">
        <v>12761.3</v>
      </c>
      <c r="AE36" s="9">
        <v>12816.3</v>
      </c>
      <c r="AF36" s="9">
        <v>12759.3</v>
      </c>
      <c r="AG36" s="9">
        <v>12754.3</v>
      </c>
      <c r="AH36" s="9">
        <v>12503.4</v>
      </c>
      <c r="AI36" s="9">
        <v>12631.8</v>
      </c>
      <c r="AJ36" s="9">
        <v>12467.3</v>
      </c>
      <c r="AK36" s="9">
        <v>10898.2</v>
      </c>
      <c r="AL36" s="9">
        <v>12457.7</v>
      </c>
      <c r="AM36" s="9">
        <v>12422.9</v>
      </c>
      <c r="AN36" s="9">
        <v>12758.2</v>
      </c>
      <c r="AO36" s="9">
        <v>12603.5</v>
      </c>
      <c r="AP36" s="9">
        <v>12552.5</v>
      </c>
      <c r="AQ36" s="9">
        <v>12792.8</v>
      </c>
      <c r="AR36" s="9">
        <v>12712.1</v>
      </c>
      <c r="AS36" s="9">
        <v>12752.2</v>
      </c>
      <c r="AT36" s="9">
        <v>12861.7</v>
      </c>
      <c r="AU36" s="9">
        <v>12760.2</v>
      </c>
      <c r="AV36" s="9">
        <v>12884.8</v>
      </c>
      <c r="AW36" s="9">
        <v>12692.1</v>
      </c>
      <c r="AX36" s="9">
        <v>12702.8</v>
      </c>
      <c r="AY36" s="9">
        <v>12627.3</v>
      </c>
      <c r="AZ36" s="9">
        <v>13557</v>
      </c>
      <c r="BA36" s="9">
        <v>12413.8</v>
      </c>
      <c r="BB36" s="9">
        <v>13434.6</v>
      </c>
      <c r="BC36" s="9">
        <v>12187.7</v>
      </c>
      <c r="BD36" s="9">
        <v>12692.5</v>
      </c>
      <c r="BE36" s="9">
        <v>13711.9</v>
      </c>
      <c r="BF36" s="9">
        <v>12099.6</v>
      </c>
      <c r="BG36" s="9">
        <v>13533.3</v>
      </c>
      <c r="BH36" s="9">
        <v>12697</v>
      </c>
      <c r="BI36" s="9">
        <v>12912.1</v>
      </c>
      <c r="BJ36" s="9">
        <v>12799.6</v>
      </c>
      <c r="BK36" s="9">
        <v>12080</v>
      </c>
      <c r="BL36" s="9">
        <v>13136</v>
      </c>
      <c r="BM36" s="9">
        <v>12928.2</v>
      </c>
      <c r="BN36" s="9">
        <v>13103.2</v>
      </c>
      <c r="BO36" s="9">
        <v>12806.9</v>
      </c>
      <c r="BP36" s="9">
        <v>11601.4</v>
      </c>
      <c r="BQ36" s="9">
        <v>13287.2</v>
      </c>
      <c r="BR36" s="9">
        <v>11661.4</v>
      </c>
      <c r="BS36" s="9">
        <v>13259.1</v>
      </c>
      <c r="BT36" s="9">
        <v>13133.4</v>
      </c>
      <c r="BU36" s="9">
        <v>11673.1</v>
      </c>
      <c r="BV36" s="9">
        <v>12828.8</v>
      </c>
      <c r="BW36" s="9">
        <v>12237.2</v>
      </c>
      <c r="BX36" s="9">
        <v>12438.1</v>
      </c>
      <c r="BY36" s="9">
        <v>11648.7</v>
      </c>
      <c r="BZ36" s="9">
        <v>12372.9</v>
      </c>
      <c r="CA36" s="9">
        <v>12887</v>
      </c>
      <c r="CB36" s="9">
        <v>13180.5</v>
      </c>
      <c r="CC36" s="9">
        <v>11916.2</v>
      </c>
      <c r="CD36" s="9">
        <v>13039.5</v>
      </c>
      <c r="CE36" s="9">
        <v>11425.3</v>
      </c>
      <c r="CF36" s="9">
        <v>12688.2</v>
      </c>
      <c r="CG36" s="9">
        <v>12460.8</v>
      </c>
      <c r="CH36" s="9">
        <v>11734.1</v>
      </c>
      <c r="CI36" s="9">
        <v>13025.8</v>
      </c>
      <c r="CJ36" s="9">
        <v>11539.8</v>
      </c>
      <c r="CK36" s="9">
        <v>13255.7</v>
      </c>
      <c r="CL36" s="9">
        <v>11738.3</v>
      </c>
      <c r="CM36" s="9">
        <v>13052.2</v>
      </c>
      <c r="CN36" s="9">
        <v>12027.3</v>
      </c>
      <c r="CO36" s="9">
        <v>12932.5</v>
      </c>
      <c r="CP36" s="9">
        <v>12147.9</v>
      </c>
      <c r="CQ36" s="9">
        <v>13263.3</v>
      </c>
      <c r="CR36" s="9">
        <v>12028.3</v>
      </c>
      <c r="CS36" s="9">
        <v>12768.7</v>
      </c>
      <c r="CT36" s="9">
        <v>11979.6</v>
      </c>
      <c r="CU36" s="9">
        <v>10546</v>
      </c>
      <c r="CV36" s="9">
        <v>12944.7</v>
      </c>
      <c r="CW36" s="9">
        <v>12549.2</v>
      </c>
      <c r="CX36" s="9">
        <v>11660.8</v>
      </c>
      <c r="CY36" s="9">
        <v>13307</v>
      </c>
      <c r="CZ36" s="9">
        <v>12968.3</v>
      </c>
      <c r="DA36" s="9">
        <v>12033.6</v>
      </c>
      <c r="DB36" s="9">
        <v>11875.6</v>
      </c>
      <c r="DC36" s="9">
        <v>13062.8</v>
      </c>
      <c r="DD36" s="9">
        <v>11732.4</v>
      </c>
      <c r="DE36" s="9">
        <v>12246.9</v>
      </c>
      <c r="DF36" s="9">
        <v>13208.6</v>
      </c>
      <c r="DG36" s="9">
        <v>11761.5</v>
      </c>
      <c r="DH36" s="9">
        <v>13208</v>
      </c>
      <c r="DI36" s="9">
        <v>11730.3</v>
      </c>
      <c r="DJ36" s="9">
        <v>12996.4</v>
      </c>
      <c r="DK36" s="9">
        <v>11928.9</v>
      </c>
      <c r="DL36" s="9">
        <v>13065.8</v>
      </c>
      <c r="DM36" s="9">
        <v>11338.1</v>
      </c>
      <c r="DN36" s="9">
        <v>13124.7</v>
      </c>
      <c r="DO36" s="9">
        <v>11910.5</v>
      </c>
      <c r="DP36" s="9">
        <v>12988.2</v>
      </c>
      <c r="DQ36" s="9">
        <v>11850.5</v>
      </c>
      <c r="DR36" s="9">
        <v>12901.4</v>
      </c>
      <c r="DS36" s="9">
        <v>12068.9</v>
      </c>
      <c r="DT36" s="9">
        <v>11743.5</v>
      </c>
      <c r="DU36" s="9">
        <v>12898.4</v>
      </c>
      <c r="DV36" s="9">
        <v>11933</v>
      </c>
      <c r="DW36" s="9">
        <v>11641</v>
      </c>
      <c r="DX36" s="9">
        <v>12980.1</v>
      </c>
      <c r="DY36" s="9">
        <v>13103.6</v>
      </c>
      <c r="DZ36" s="9">
        <v>12922.5</v>
      </c>
      <c r="EA36" s="9">
        <v>11910.2</v>
      </c>
      <c r="EB36" s="9">
        <v>13035.6</v>
      </c>
      <c r="EC36" s="9">
        <v>11744.4</v>
      </c>
      <c r="ED36" s="9">
        <v>12764</v>
      </c>
      <c r="EE36" s="9">
        <v>11901.6</v>
      </c>
      <c r="EF36" s="9">
        <v>12612.8</v>
      </c>
      <c r="EG36" s="9">
        <v>10952.3</v>
      </c>
      <c r="EH36" s="9">
        <v>12794.4</v>
      </c>
      <c r="EI36" s="9">
        <v>11741.4</v>
      </c>
      <c r="EJ36" s="9">
        <v>11903</v>
      </c>
      <c r="EK36" s="9">
        <v>11941.5</v>
      </c>
      <c r="EL36" s="9">
        <v>11722.7</v>
      </c>
      <c r="EM36" s="9">
        <v>10134</v>
      </c>
      <c r="EN36" s="9">
        <v>11691.1</v>
      </c>
      <c r="EO36" s="9">
        <v>10351.9</v>
      </c>
      <c r="EP36" s="9">
        <v>11613.3</v>
      </c>
      <c r="EQ36" s="9">
        <v>11667.1</v>
      </c>
      <c r="ER36" s="9">
        <v>13511.1</v>
      </c>
      <c r="ES36" s="9">
        <v>12077.3</v>
      </c>
      <c r="ET36" s="9">
        <v>13583.7</v>
      </c>
      <c r="EU36" s="9">
        <v>12367</v>
      </c>
      <c r="EV36" s="9">
        <v>13454.9</v>
      </c>
      <c r="EW36" s="9">
        <v>12147.3</v>
      </c>
      <c r="EX36" s="9">
        <v>12376.1</v>
      </c>
      <c r="EY36" s="9">
        <v>12045.3</v>
      </c>
      <c r="EZ36" s="9">
        <v>13405.3</v>
      </c>
      <c r="FA36" s="9">
        <v>13865.3</v>
      </c>
      <c r="FB36" s="9">
        <v>13489.4</v>
      </c>
      <c r="FC36" s="9">
        <v>13412.5</v>
      </c>
      <c r="FD36" s="9">
        <v>13418.4</v>
      </c>
      <c r="FE36" s="9">
        <v>13451.4</v>
      </c>
      <c r="FF36" s="9">
        <v>12506.8</v>
      </c>
      <c r="FG36" s="9">
        <v>13513.5</v>
      </c>
      <c r="FH36" s="9">
        <v>13531.8</v>
      </c>
      <c r="FI36" s="9">
        <v>13573.4</v>
      </c>
      <c r="FJ36" s="9">
        <v>13591.5</v>
      </c>
      <c r="FK36" s="9">
        <v>13513.9</v>
      </c>
      <c r="FL36" s="9">
        <v>13595.2</v>
      </c>
      <c r="FM36" s="9">
        <v>12480.8</v>
      </c>
      <c r="FN36" s="9">
        <v>13642</v>
      </c>
      <c r="FO36" s="9">
        <v>12539.4</v>
      </c>
      <c r="FP36" s="11">
        <v>39.561472556894252</v>
      </c>
      <c r="FQ36" s="11">
        <v>39.047148594377568</v>
      </c>
      <c r="FR36" s="11">
        <v>39.59310575635876</v>
      </c>
      <c r="FS36" s="11">
        <v>39.393962516733581</v>
      </c>
      <c r="FT36" s="11">
        <v>39.467255689424334</v>
      </c>
      <c r="FU36" s="11">
        <v>39.295595716198136</v>
      </c>
      <c r="FV36" s="11">
        <v>0</v>
      </c>
      <c r="FW36" s="11">
        <v>53.5</v>
      </c>
      <c r="FX36" s="11">
        <v>0</v>
      </c>
      <c r="FY36" s="11">
        <v>0</v>
      </c>
      <c r="FZ36" s="11">
        <v>53.5</v>
      </c>
      <c r="GA36" s="11">
        <v>54.245836680053586</v>
      </c>
      <c r="GB36" s="11">
        <v>3.1908320700133892</v>
      </c>
      <c r="GC36" s="11">
        <v>2.6463765167068289</v>
      </c>
      <c r="GD36" s="11">
        <v>2.9371953464524765</v>
      </c>
      <c r="GE36" s="11">
        <v>1.2685296291298533</v>
      </c>
      <c r="GF36" s="11">
        <v>2.765405960682731</v>
      </c>
      <c r="GG36" s="11">
        <v>2.8808722832664051</v>
      </c>
      <c r="GH36" s="11">
        <v>9.8100009999999997</v>
      </c>
      <c r="GI36" s="11">
        <v>8.2816659999999995</v>
      </c>
      <c r="GJ36" s="11">
        <v>8.1216670000000004</v>
      </c>
      <c r="GK36" s="11">
        <v>8.2916670000000003</v>
      </c>
      <c r="GL36" s="11">
        <v>8.0666659999999997</v>
      </c>
      <c r="GM36" s="11">
        <v>7.63</v>
      </c>
      <c r="GN36" s="11">
        <v>7.4336356666666665</v>
      </c>
      <c r="GO36" s="11">
        <v>7.4429028333333358</v>
      </c>
      <c r="GP36" s="11">
        <v>7.4744234999999986</v>
      </c>
      <c r="GQ36" s="11">
        <v>7.4125106666666696</v>
      </c>
      <c r="GR36" s="11">
        <v>7.5022788333333352</v>
      </c>
      <c r="GS36" s="11">
        <v>7.545784666666667</v>
      </c>
      <c r="GT36" s="108">
        <v>1.9429730000000003</v>
      </c>
      <c r="GU36" s="108">
        <v>2.0511793333333346</v>
      </c>
      <c r="GV36" s="108">
        <v>1.8229833333333305</v>
      </c>
      <c r="GW36" s="108">
        <v>2.3544425000000015</v>
      </c>
      <c r="GX36" s="108">
        <v>2.2009246666666664</v>
      </c>
      <c r="GY36" s="108">
        <v>1.9837786666666666</v>
      </c>
      <c r="GZ36" s="13">
        <v>7.499984999999997</v>
      </c>
      <c r="HA36" s="13">
        <v>7.544112333333338</v>
      </c>
      <c r="HB36" s="13">
        <v>7.4255508333333289</v>
      </c>
      <c r="HC36" s="13">
        <v>7.487820333333338</v>
      </c>
      <c r="HD36" s="13">
        <v>7.5359298333333342</v>
      </c>
      <c r="HE36" s="13">
        <v>7.5421330000000042</v>
      </c>
      <c r="HF36" s="13">
        <v>0.53620716666666646</v>
      </c>
      <c r="HG36" s="13">
        <v>0.60072566666666682</v>
      </c>
      <c r="HH36" s="13">
        <v>0.51166416666666703</v>
      </c>
      <c r="HI36" s="13">
        <v>0.55003216666666621</v>
      </c>
      <c r="HJ36" s="13">
        <v>0.51944633333333379</v>
      </c>
      <c r="HK36" s="13">
        <v>0.5731679999999999</v>
      </c>
      <c r="HL36" s="12">
        <v>0</v>
      </c>
      <c r="HM36" s="12">
        <v>0</v>
      </c>
      <c r="HN36" s="12">
        <v>0</v>
      </c>
      <c r="HO36" s="12">
        <v>0</v>
      </c>
      <c r="HP36" s="12">
        <v>0</v>
      </c>
      <c r="HQ36" s="12">
        <v>0</v>
      </c>
      <c r="HR36" s="12">
        <v>0</v>
      </c>
      <c r="HS36" s="12">
        <v>0</v>
      </c>
      <c r="HT36" s="12">
        <v>0</v>
      </c>
      <c r="HU36" s="12">
        <v>0</v>
      </c>
      <c r="HV36" s="12">
        <v>0</v>
      </c>
      <c r="HW36" s="12">
        <v>0</v>
      </c>
      <c r="HX36" s="9">
        <v>925221</v>
      </c>
      <c r="HY36" s="9">
        <v>1730</v>
      </c>
      <c r="HZ36" s="9">
        <v>911960</v>
      </c>
      <c r="IA36" s="9">
        <v>1755</v>
      </c>
      <c r="IB36" s="11">
        <v>142188.27799999999</v>
      </c>
      <c r="IC36" s="11">
        <v>313</v>
      </c>
      <c r="ID36" s="14">
        <f t="shared" ref="ID36:II36" si="308">GN36-HL36</f>
        <v>7.4336356666666665</v>
      </c>
      <c r="IE36" s="14">
        <f t="shared" si="308"/>
        <v>7.4429028333333358</v>
      </c>
      <c r="IF36" s="14">
        <f t="shared" si="308"/>
        <v>7.4744234999999986</v>
      </c>
      <c r="IG36" s="14">
        <f t="shared" si="308"/>
        <v>7.4125106666666696</v>
      </c>
      <c r="IH36" s="14">
        <f t="shared" si="308"/>
        <v>7.5022788333333352</v>
      </c>
      <c r="II36" s="14">
        <f t="shared" si="308"/>
        <v>7.545784666666667</v>
      </c>
      <c r="IJ36" s="15">
        <f t="shared" ref="IJ36:IO36" si="309">GZ36-HR36</f>
        <v>7.499984999999997</v>
      </c>
      <c r="IK36" s="15">
        <f t="shared" si="309"/>
        <v>7.544112333333338</v>
      </c>
      <c r="IL36" s="15">
        <f t="shared" si="309"/>
        <v>7.4255508333333289</v>
      </c>
      <c r="IM36" s="15">
        <f t="shared" si="309"/>
        <v>7.487820333333338</v>
      </c>
      <c r="IN36" s="15">
        <f t="shared" si="309"/>
        <v>7.5359298333333342</v>
      </c>
      <c r="IO36" s="15">
        <f t="shared" si="309"/>
        <v>7.5421330000000042</v>
      </c>
      <c r="IP36" s="16">
        <f t="shared" ref="IP36" si="310">(HX36-HX35)*1000</f>
        <v>1003000</v>
      </c>
      <c r="IQ36" s="16">
        <f t="shared" ref="IQ36" si="311">(HY36-HY35)*1000</f>
        <v>1000</v>
      </c>
      <c r="IR36" s="16">
        <f t="shared" ref="IR36" si="312">(HZ36-HZ35)*1000</f>
        <v>995000</v>
      </c>
      <c r="IS36" s="16">
        <f t="shared" ref="IS36" si="313">(IA36-IA35)*1000</f>
        <v>2000</v>
      </c>
      <c r="IT36" s="16">
        <f t="shared" ref="IT36" si="314">(IB36-IB35)*1000</f>
        <v>1995866.9999999984</v>
      </c>
      <c r="IU36" s="16">
        <f t="shared" ref="IU36" si="315">(IC36-IC35)*1000</f>
        <v>3733.0000000000041</v>
      </c>
      <c r="IV36" s="17">
        <f t="shared" ref="IV36" si="316">(IP36+IR36)-(IQ36+IS36)</f>
        <v>1995000</v>
      </c>
      <c r="IW36" s="17">
        <f t="shared" ref="IW36" si="317">IT36-IU36</f>
        <v>1992133.9999999984</v>
      </c>
      <c r="IX36" s="19">
        <f>(Raw_Data[[#This Row],[Sunset Time (POA&lt;20 W/m2)]]-Raw_Data[[#This Row],[Sunrise Time (POA&gt;20 W/m2)]])*24</f>
        <v>12.85</v>
      </c>
      <c r="IY36" s="68">
        <f>AVERAGEIF(Raw_Data[[#This Row],[GHI_UP_Net_IS2_W1]:[GHI_UP_Net_IS19_W6]],"&lt;&gt;"&amp;0,Raw_Data[[#This Row],[GHI_UP_Net_IS2_W1]:[GHI_UP_Net_IS19_W6]])</f>
        <v>7.4685893611111132</v>
      </c>
      <c r="IZ36" s="68">
        <f>AVERAGEIF(Raw_Data[[#This Row],[GHI_Down_IS2_W1]:[GHI_Down_IS19_W6]],"&lt;&gt;"&amp;0,Raw_Data[[#This Row],[GHI_Down_IS2_W1]:[GHI_Down_IS19_W6]])</f>
        <v>2.0593802499999998</v>
      </c>
      <c r="JA36" s="68">
        <f>AVERAGEIF(Raw_Data[[#This Row],[POA_Up_IS2_W1]:[POA_Up_IS19_W6]],"&lt;&gt;"&amp;0,Raw_Data[[#This Row],[POA_Up_IS2_W1]:[POA_Up_IS19_W6]])</f>
        <v>7.5059218888888912</v>
      </c>
      <c r="JB36" s="68">
        <f>AVERAGEIF(Raw_Data[[#This Row],[POA_Down_IS2_W1]:[POA_Down_IS19_W6]],"&lt;&gt;"&amp;0,Raw_Data[[#This Row],[POA_Down_IS2_W1]:[POA_Down_IS19_W6]])</f>
        <v>0.54854058333333333</v>
      </c>
      <c r="JC36" s="69">
        <f>Raw_Data[[#This Row],[GHI-Down(KWh/m2)]]/Raw_Data[[#This Row],[GHI-UP (KWh/m2)]]</f>
        <v>0.27573885113073382</v>
      </c>
      <c r="JD36" s="72">
        <f>Raw_Data[[#This Row],[POA-Down(KWh/m2)]]/Raw_Data[[#This Row],[POA-UP(KWh/m2)]]</f>
        <v>7.3081040737360284E-2</v>
      </c>
      <c r="JE36" s="68">
        <f>AVERAGEIF(Raw_Data[[#This Row],[Amb_Temp_IS2_W1]:[Amb_Temp_IS19_W6]],"&lt;&gt;"&amp;0,Raw_Data[[#This Row],[Amb_Temp_IS2_W1]:[Amb_Temp_IS19_W6]])</f>
        <v>39.393090138331104</v>
      </c>
      <c r="JF36" s="68">
        <f>AVERAGEIF(Raw_Data[[#This Row],[MT_Temp_IS2_W1]:[MT_Temp_IS19_W6]],"&lt;&gt;"&amp;0,Raw_Data[[#This Row],[MT_Temp_IS2_W1]:[MT_Temp_IS19_W6]])</f>
        <v>53.748612226684521</v>
      </c>
      <c r="JG36" s="68">
        <f>AVERAGEIF(Raw_Data[[#This Row],[WS_Avg_IS2_W1]:[WS_Avg_IS19_W6]],"&lt;&gt;"&amp;0,Raw_Data[[#This Row],[WS_Avg_IS2_W1]:[WS_Avg_IS19_W6]])</f>
        <v>2.6148686343752807</v>
      </c>
      <c r="JH36" s="68">
        <f>AVERAGEIF(Raw_Data[[#This Row],[WS_Max_IS2_W1]:[WS_Max_IS19_W6]],"&lt;&gt;"&amp;0,Raw_Data[[#This Row],[WS_Max_IS2_W1]:[WS_Max_IS19_W6]])</f>
        <v>8.3669445000000007</v>
      </c>
      <c r="JI36" s="70">
        <f>SUM(Raw_Data[[#This Row],[IS1_INV1_M1]:[IS20_INV4_M2]])</f>
        <v>2009060.1999999997</v>
      </c>
      <c r="JJ36" s="73">
        <v>1975400.0000000233</v>
      </c>
      <c r="JK36" s="71">
        <v>2389697.0666675069</v>
      </c>
      <c r="JL36" s="143">
        <f>IFERROR(Raw_Data[[#This Row],[WPR_Eac]]/Raw_Data[[#This Row],[WPR_Edc]],"")</f>
        <v>0.82663197254318455</v>
      </c>
      <c r="JM36" s="6">
        <v>24</v>
      </c>
      <c r="JN36" s="6">
        <v>0</v>
      </c>
    </row>
    <row r="37" spans="2:274">
      <c r="B37" s="67">
        <f t="shared" si="21"/>
        <v>45776</v>
      </c>
      <c r="C37" s="9">
        <f>YEAR(Raw_Data[[#This Row],[Date]])+IF(MONTH(Raw_Data[[#This Row],[Date]])&gt;=4,1,0)</f>
        <v>2026</v>
      </c>
      <c r="D37" s="6">
        <f t="shared" si="296"/>
        <v>2025</v>
      </c>
      <c r="E37" s="7" t="s">
        <v>361</v>
      </c>
      <c r="F37" s="7" t="s">
        <v>361</v>
      </c>
      <c r="G37" s="8">
        <v>45748</v>
      </c>
      <c r="H37" s="6">
        <f t="shared" si="297"/>
        <v>30</v>
      </c>
      <c r="I37" s="9">
        <v>335090.89</v>
      </c>
      <c r="J37" s="10">
        <v>0.2673611111111111</v>
      </c>
      <c r="K37" s="10">
        <v>0.80347222222222225</v>
      </c>
      <c r="L37" s="9">
        <v>11396.6</v>
      </c>
      <c r="M37" s="9">
        <v>11935.6</v>
      </c>
      <c r="N37" s="9">
        <v>11908.9</v>
      </c>
      <c r="O37" s="9">
        <v>11888.8</v>
      </c>
      <c r="P37" s="9">
        <v>11987</v>
      </c>
      <c r="Q37" s="9">
        <v>12043.5</v>
      </c>
      <c r="R37" s="9">
        <v>12074.1</v>
      </c>
      <c r="S37" s="9">
        <v>12444.7</v>
      </c>
      <c r="T37" s="9">
        <v>11963.4</v>
      </c>
      <c r="U37" s="9">
        <v>11872.7</v>
      </c>
      <c r="V37" s="9">
        <v>11782.1</v>
      </c>
      <c r="W37" s="9">
        <v>11891.9</v>
      </c>
      <c r="X37" s="9">
        <v>11952.8</v>
      </c>
      <c r="Y37" s="9">
        <v>11823</v>
      </c>
      <c r="Z37" s="9">
        <v>11893.3</v>
      </c>
      <c r="AA37" s="9">
        <v>12016.3</v>
      </c>
      <c r="AB37" s="9">
        <v>11873.9</v>
      </c>
      <c r="AC37" s="9">
        <v>11906.1</v>
      </c>
      <c r="AD37" s="9">
        <v>11957.8</v>
      </c>
      <c r="AE37" s="9">
        <v>12010.1</v>
      </c>
      <c r="AF37" s="9">
        <v>11961.7</v>
      </c>
      <c r="AG37" s="9">
        <v>11954.2</v>
      </c>
      <c r="AH37" s="9">
        <v>11722</v>
      </c>
      <c r="AI37" s="9">
        <v>11838</v>
      </c>
      <c r="AJ37" s="9">
        <v>11669.6</v>
      </c>
      <c r="AK37" s="9">
        <v>10245.299999999999</v>
      </c>
      <c r="AL37" s="9">
        <v>11666.8</v>
      </c>
      <c r="AM37" s="9">
        <v>11620.2</v>
      </c>
      <c r="AN37" s="9">
        <v>11953.4</v>
      </c>
      <c r="AO37" s="9">
        <v>11795.1</v>
      </c>
      <c r="AP37" s="9">
        <v>11753.9</v>
      </c>
      <c r="AQ37" s="9">
        <v>11986.9</v>
      </c>
      <c r="AR37" s="9">
        <v>11920</v>
      </c>
      <c r="AS37" s="9">
        <v>11956.4</v>
      </c>
      <c r="AT37" s="9">
        <v>12052.9</v>
      </c>
      <c r="AU37" s="9">
        <v>11944</v>
      </c>
      <c r="AV37" s="9">
        <v>12048.6</v>
      </c>
      <c r="AW37" s="9">
        <v>11861.5</v>
      </c>
      <c r="AX37" s="9">
        <v>11875.3</v>
      </c>
      <c r="AY37" s="9">
        <v>11835.4</v>
      </c>
      <c r="AZ37" s="9">
        <v>12785.5</v>
      </c>
      <c r="BA37" s="9">
        <v>11659</v>
      </c>
      <c r="BB37" s="9">
        <v>12659.3</v>
      </c>
      <c r="BC37" s="9">
        <v>11460.8</v>
      </c>
      <c r="BD37" s="9">
        <v>11973.8</v>
      </c>
      <c r="BE37" s="9">
        <v>13039.3</v>
      </c>
      <c r="BF37" s="9">
        <v>11404.1</v>
      </c>
      <c r="BG37" s="9">
        <v>12800.4</v>
      </c>
      <c r="BH37" s="9">
        <v>11910.4</v>
      </c>
      <c r="BI37" s="9">
        <v>12110</v>
      </c>
      <c r="BJ37" s="9">
        <v>11995.7</v>
      </c>
      <c r="BK37" s="9">
        <v>11353</v>
      </c>
      <c r="BL37" s="9">
        <v>12318.6</v>
      </c>
      <c r="BM37" s="9">
        <v>12115.6</v>
      </c>
      <c r="BN37" s="9">
        <v>12283.4</v>
      </c>
      <c r="BO37" s="9">
        <v>11983.6</v>
      </c>
      <c r="BP37" s="9">
        <v>10918.9</v>
      </c>
      <c r="BQ37" s="9">
        <v>12466.4</v>
      </c>
      <c r="BR37" s="9">
        <v>10994.6</v>
      </c>
      <c r="BS37" s="9">
        <v>12449.9</v>
      </c>
      <c r="BT37" s="9">
        <v>12332.6</v>
      </c>
      <c r="BU37" s="9">
        <v>10997.1</v>
      </c>
      <c r="BV37" s="9">
        <v>12014.8</v>
      </c>
      <c r="BW37" s="9">
        <v>11473.3</v>
      </c>
      <c r="BX37" s="9">
        <v>11642.7</v>
      </c>
      <c r="BY37" s="9">
        <v>10933.3</v>
      </c>
      <c r="BZ37" s="9">
        <v>11581.4</v>
      </c>
      <c r="CA37" s="9">
        <v>12047.8</v>
      </c>
      <c r="CB37" s="9">
        <v>12347.6</v>
      </c>
      <c r="CC37" s="9">
        <v>11157.3</v>
      </c>
      <c r="CD37" s="9">
        <v>12180.9</v>
      </c>
      <c r="CE37" s="9">
        <v>10698.3</v>
      </c>
      <c r="CF37" s="9">
        <v>11872</v>
      </c>
      <c r="CG37" s="9">
        <v>11642.5</v>
      </c>
      <c r="CH37" s="9">
        <v>11034</v>
      </c>
      <c r="CI37" s="9">
        <v>12179.7</v>
      </c>
      <c r="CJ37" s="9">
        <v>10846.7</v>
      </c>
      <c r="CK37" s="9">
        <v>12430.3</v>
      </c>
      <c r="CL37" s="9">
        <v>11014.7</v>
      </c>
      <c r="CM37" s="9">
        <v>12217.6</v>
      </c>
      <c r="CN37" s="9">
        <v>11259.4</v>
      </c>
      <c r="CO37" s="9">
        <v>12103.8</v>
      </c>
      <c r="CP37" s="9">
        <v>11279.9</v>
      </c>
      <c r="CQ37" s="9">
        <v>12470</v>
      </c>
      <c r="CR37" s="9">
        <v>11249.2</v>
      </c>
      <c r="CS37" s="9">
        <v>11932</v>
      </c>
      <c r="CT37" s="9">
        <v>11215.1</v>
      </c>
      <c r="CU37" s="9">
        <v>9878.1</v>
      </c>
      <c r="CV37" s="9">
        <v>12120.3</v>
      </c>
      <c r="CW37" s="9">
        <v>11755.1</v>
      </c>
      <c r="CX37" s="9">
        <v>10927.7</v>
      </c>
      <c r="CY37" s="9">
        <v>12528.9</v>
      </c>
      <c r="CZ37" s="9">
        <v>12191.8</v>
      </c>
      <c r="DA37" s="9">
        <v>11283</v>
      </c>
      <c r="DB37" s="9">
        <v>11143.4</v>
      </c>
      <c r="DC37" s="9">
        <v>12288.5</v>
      </c>
      <c r="DD37" s="9">
        <v>11010.2</v>
      </c>
      <c r="DE37" s="9">
        <v>11487.8</v>
      </c>
      <c r="DF37" s="9">
        <v>12496.1</v>
      </c>
      <c r="DG37" s="9">
        <v>11052.1</v>
      </c>
      <c r="DH37" s="9">
        <v>12493.1</v>
      </c>
      <c r="DI37" s="9">
        <v>11021.6</v>
      </c>
      <c r="DJ37" s="9">
        <v>12224.1</v>
      </c>
      <c r="DK37" s="9">
        <v>11170.3</v>
      </c>
      <c r="DL37" s="9">
        <v>12329.1</v>
      </c>
      <c r="DM37" s="9">
        <v>10669.5</v>
      </c>
      <c r="DN37" s="9">
        <v>12405.1</v>
      </c>
      <c r="DO37" s="9">
        <v>11209.7</v>
      </c>
      <c r="DP37" s="9">
        <v>12242.8</v>
      </c>
      <c r="DQ37" s="9">
        <v>11160.4</v>
      </c>
      <c r="DR37" s="9">
        <v>12223.7</v>
      </c>
      <c r="DS37" s="9">
        <v>11360.7</v>
      </c>
      <c r="DT37" s="9">
        <v>11029.1</v>
      </c>
      <c r="DU37" s="9">
        <v>12154.9</v>
      </c>
      <c r="DV37" s="9">
        <v>11233</v>
      </c>
      <c r="DW37" s="9">
        <v>10954.1</v>
      </c>
      <c r="DX37" s="9">
        <v>12276.4</v>
      </c>
      <c r="DY37" s="9">
        <v>12434.2</v>
      </c>
      <c r="DZ37" s="9">
        <v>12203.9</v>
      </c>
      <c r="EA37" s="9">
        <v>11234.6</v>
      </c>
      <c r="EB37" s="9">
        <v>12359.3</v>
      </c>
      <c r="EC37" s="9">
        <v>11076.7</v>
      </c>
      <c r="ED37" s="9">
        <v>12034.1</v>
      </c>
      <c r="EE37" s="9">
        <v>11208.5</v>
      </c>
      <c r="EF37" s="9">
        <v>11881.5</v>
      </c>
      <c r="EG37" s="9">
        <v>10338</v>
      </c>
      <c r="EH37" s="9">
        <v>12065.8</v>
      </c>
      <c r="EI37" s="9">
        <v>11078.6</v>
      </c>
      <c r="EJ37" s="9">
        <v>11187.7</v>
      </c>
      <c r="EK37" s="9">
        <v>11205</v>
      </c>
      <c r="EL37" s="9">
        <v>11040.5</v>
      </c>
      <c r="EM37" s="9">
        <v>9538.4</v>
      </c>
      <c r="EN37" s="9">
        <v>10960.2</v>
      </c>
      <c r="EO37" s="9">
        <v>9709.9</v>
      </c>
      <c r="EP37" s="9">
        <v>10950.3</v>
      </c>
      <c r="EQ37" s="9">
        <v>10987.6</v>
      </c>
      <c r="ER37" s="9">
        <v>12775.9</v>
      </c>
      <c r="ES37" s="9">
        <v>11311</v>
      </c>
      <c r="ET37" s="9">
        <v>12870.2</v>
      </c>
      <c r="EU37" s="9">
        <v>11594.8</v>
      </c>
      <c r="EV37" s="9">
        <v>12778.2</v>
      </c>
      <c r="EW37" s="9">
        <v>11396.9</v>
      </c>
      <c r="EX37" s="9">
        <v>11604.5</v>
      </c>
      <c r="EY37" s="9">
        <v>11300.4</v>
      </c>
      <c r="EZ37" s="9">
        <v>12516.7</v>
      </c>
      <c r="FA37" s="9">
        <v>12955.3</v>
      </c>
      <c r="FB37" s="9">
        <v>12764.9</v>
      </c>
      <c r="FC37" s="9">
        <v>12676.2</v>
      </c>
      <c r="FD37" s="9">
        <v>12671.1</v>
      </c>
      <c r="FE37" s="9">
        <v>12706.2</v>
      </c>
      <c r="FF37" s="9">
        <v>11693</v>
      </c>
      <c r="FG37" s="9">
        <v>12756.8</v>
      </c>
      <c r="FH37" s="9">
        <v>12791.1</v>
      </c>
      <c r="FI37" s="9">
        <v>12825.2</v>
      </c>
      <c r="FJ37" s="9">
        <v>12869</v>
      </c>
      <c r="FK37" s="9">
        <v>12813.1</v>
      </c>
      <c r="FL37" s="9">
        <v>12859.7</v>
      </c>
      <c r="FM37" s="9">
        <v>11670.3</v>
      </c>
      <c r="FN37" s="9">
        <v>12882.1</v>
      </c>
      <c r="FO37" s="9">
        <v>11736.8</v>
      </c>
      <c r="FP37" s="11">
        <v>40.081866666666642</v>
      </c>
      <c r="FQ37" s="11">
        <v>39.445413333333313</v>
      </c>
      <c r="FR37" s="11">
        <v>40.038746666666675</v>
      </c>
      <c r="FS37" s="11">
        <v>39.894573333333298</v>
      </c>
      <c r="FT37" s="11">
        <v>39.804359999999988</v>
      </c>
      <c r="FU37" s="11">
        <v>39.775040000000011</v>
      </c>
      <c r="FV37" s="11">
        <v>0</v>
      </c>
      <c r="FW37" s="11">
        <v>53.3</v>
      </c>
      <c r="FX37" s="11">
        <v>0</v>
      </c>
      <c r="FY37" s="11">
        <v>0</v>
      </c>
      <c r="FZ37" s="11">
        <v>53.3</v>
      </c>
      <c r="GA37" s="11">
        <v>53.5</v>
      </c>
      <c r="GB37" s="11">
        <v>2.6929021230666677</v>
      </c>
      <c r="GC37" s="11">
        <v>2.053828810066666</v>
      </c>
      <c r="GD37" s="11">
        <v>2.6025932500933311</v>
      </c>
      <c r="GE37" s="11">
        <v>0.80976441416000022</v>
      </c>
      <c r="GF37" s="11">
        <v>2.4159132391999996</v>
      </c>
      <c r="GG37" s="11">
        <v>2.5624332425733365</v>
      </c>
      <c r="GH37" s="11">
        <v>8.0483329999999995</v>
      </c>
      <c r="GI37" s="11">
        <v>7.7350000000000003</v>
      </c>
      <c r="GJ37" s="11">
        <v>6.8033340000000004</v>
      </c>
      <c r="GK37" s="11">
        <v>6.8916659999999998</v>
      </c>
      <c r="GL37" s="11">
        <v>8.3466660000000008</v>
      </c>
      <c r="GM37" s="11">
        <v>6.93</v>
      </c>
      <c r="GN37" s="11">
        <v>6.9853419999999948</v>
      </c>
      <c r="GO37" s="11">
        <v>7.016442166666665</v>
      </c>
      <c r="GP37" s="11">
        <v>7.0403701666666683</v>
      </c>
      <c r="GQ37" s="11">
        <v>6.9368781666666752</v>
      </c>
      <c r="GR37" s="11">
        <v>7.0497933333333211</v>
      </c>
      <c r="GS37" s="11">
        <v>7.0537881666666724</v>
      </c>
      <c r="GT37" s="108">
        <v>1.8571829999999978</v>
      </c>
      <c r="GU37" s="108">
        <v>1.9079235000000003</v>
      </c>
      <c r="GV37" s="108">
        <v>1.739692</v>
      </c>
      <c r="GW37" s="108">
        <v>2.2462603333333329</v>
      </c>
      <c r="GX37" s="108">
        <v>2.0595524999999992</v>
      </c>
      <c r="GY37" s="108">
        <v>1.8309349999999995</v>
      </c>
      <c r="GZ37" s="13">
        <v>7.0112961666666633</v>
      </c>
      <c r="HA37" s="13">
        <v>7.0616200000000013</v>
      </c>
      <c r="HB37" s="13">
        <v>6.9504824999999952</v>
      </c>
      <c r="HC37" s="13">
        <v>6.9884526666666664</v>
      </c>
      <c r="HD37" s="13">
        <v>7.0519683333333356</v>
      </c>
      <c r="HE37" s="13">
        <v>6.9887125000000037</v>
      </c>
      <c r="HF37" s="13">
        <v>0.52113933333333318</v>
      </c>
      <c r="HG37" s="13">
        <v>0.58314233333333321</v>
      </c>
      <c r="HH37" s="13">
        <v>0.5004835000000003</v>
      </c>
      <c r="HI37" s="13">
        <v>0.54055199999999981</v>
      </c>
      <c r="HJ37" s="13">
        <v>0.50724399999999992</v>
      </c>
      <c r="HK37" s="13">
        <v>0.55139183333333397</v>
      </c>
      <c r="HL37" s="12">
        <v>0</v>
      </c>
      <c r="HM37" s="12">
        <v>0</v>
      </c>
      <c r="HN37" s="12">
        <v>0</v>
      </c>
      <c r="HO37" s="12">
        <v>0</v>
      </c>
      <c r="HP37" s="12">
        <v>0</v>
      </c>
      <c r="HQ37" s="12">
        <v>0</v>
      </c>
      <c r="HR37" s="12">
        <v>0</v>
      </c>
      <c r="HS37" s="12">
        <v>0</v>
      </c>
      <c r="HT37" s="12">
        <v>0</v>
      </c>
      <c r="HU37" s="12">
        <v>0</v>
      </c>
      <c r="HV37" s="12">
        <v>0</v>
      </c>
      <c r="HW37" s="12">
        <v>0</v>
      </c>
      <c r="HX37" s="9">
        <v>926162</v>
      </c>
      <c r="HY37" s="9">
        <v>1732</v>
      </c>
      <c r="HZ37" s="9">
        <v>912897</v>
      </c>
      <c r="IA37" s="9">
        <v>1757</v>
      </c>
      <c r="IB37" s="11">
        <v>144064.27799999999</v>
      </c>
      <c r="IC37" s="11">
        <v>317.39999999999998</v>
      </c>
      <c r="ID37" s="14">
        <f t="shared" ref="ID37:II37" si="318">GN37-HL37</f>
        <v>6.9853419999999948</v>
      </c>
      <c r="IE37" s="14">
        <f t="shared" si="318"/>
        <v>7.016442166666665</v>
      </c>
      <c r="IF37" s="14">
        <f t="shared" si="318"/>
        <v>7.0403701666666683</v>
      </c>
      <c r="IG37" s="14">
        <f t="shared" si="318"/>
        <v>6.9368781666666752</v>
      </c>
      <c r="IH37" s="14">
        <f t="shared" si="318"/>
        <v>7.0497933333333211</v>
      </c>
      <c r="II37" s="14">
        <f t="shared" si="318"/>
        <v>7.0537881666666724</v>
      </c>
      <c r="IJ37" s="15">
        <f t="shared" ref="IJ37:IO37" si="319">GZ37-HR37</f>
        <v>7.0112961666666633</v>
      </c>
      <c r="IK37" s="15">
        <f t="shared" si="319"/>
        <v>7.0616200000000013</v>
      </c>
      <c r="IL37" s="15">
        <f t="shared" si="319"/>
        <v>6.9504824999999952</v>
      </c>
      <c r="IM37" s="15">
        <f t="shared" si="319"/>
        <v>6.9884526666666664</v>
      </c>
      <c r="IN37" s="15">
        <f t="shared" si="319"/>
        <v>7.0519683333333356</v>
      </c>
      <c r="IO37" s="15">
        <f t="shared" si="319"/>
        <v>6.9887125000000037</v>
      </c>
      <c r="IP37" s="16">
        <f t="shared" ref="IP37" si="320">(HX37-HX36)*1000</f>
        <v>941000</v>
      </c>
      <c r="IQ37" s="16">
        <f t="shared" ref="IQ37" si="321">(HY37-HY36)*1000</f>
        <v>2000</v>
      </c>
      <c r="IR37" s="16">
        <f t="shared" ref="IR37" si="322">(HZ37-HZ36)*1000</f>
        <v>937000</v>
      </c>
      <c r="IS37" s="16">
        <f t="shared" ref="IS37" si="323">(IA37-IA36)*1000</f>
        <v>2000</v>
      </c>
      <c r="IT37" s="16">
        <f t="shared" ref="IT37" si="324">(IB37-IB36)*1000</f>
        <v>1876000</v>
      </c>
      <c r="IU37" s="16">
        <f t="shared" ref="IU37" si="325">(IC37-IC36)*1000</f>
        <v>4399.9999999999773</v>
      </c>
      <c r="IV37" s="17">
        <f t="shared" ref="IV37" si="326">(IP37+IR37)-(IQ37+IS37)</f>
        <v>1874000</v>
      </c>
      <c r="IW37" s="17">
        <f t="shared" ref="IW37" si="327">IT37-IU37</f>
        <v>1871600</v>
      </c>
      <c r="IX37" s="19">
        <f>(Raw_Data[[#This Row],[Sunset Time (POA&lt;20 W/m2)]]-Raw_Data[[#This Row],[Sunrise Time (POA&gt;20 W/m2)]])*24</f>
        <v>12.866666666666669</v>
      </c>
      <c r="IY37" s="68">
        <f>AVERAGEIF(Raw_Data[[#This Row],[GHI_UP_Net_IS2_W1]:[GHI_UP_Net_IS19_W6]],"&lt;&gt;"&amp;0,Raw_Data[[#This Row],[GHI_UP_Net_IS2_W1]:[GHI_UP_Net_IS19_W6]])</f>
        <v>7.013768999999999</v>
      </c>
      <c r="IZ37" s="68">
        <f>AVERAGEIF(Raw_Data[[#This Row],[GHI_Down_IS2_W1]:[GHI_Down_IS19_W6]],"&lt;&gt;"&amp;0,Raw_Data[[#This Row],[GHI_Down_IS2_W1]:[GHI_Down_IS19_W6]])</f>
        <v>1.9402577222222217</v>
      </c>
      <c r="JA37" s="68">
        <f>AVERAGEIF(Raw_Data[[#This Row],[POA_Up_IS2_W1]:[POA_Up_IS19_W6]],"&lt;&gt;"&amp;0,Raw_Data[[#This Row],[POA_Up_IS2_W1]:[POA_Up_IS19_W6]])</f>
        <v>7.0087553611111124</v>
      </c>
      <c r="JB37" s="68">
        <f>AVERAGEIF(Raw_Data[[#This Row],[POA_Down_IS2_W1]:[POA_Down_IS19_W6]],"&lt;&gt;"&amp;0,Raw_Data[[#This Row],[POA_Down_IS2_W1]:[POA_Down_IS19_W6]])</f>
        <v>0.53399216666666682</v>
      </c>
      <c r="JC37" s="69">
        <f>Raw_Data[[#This Row],[GHI-Down(KWh/m2)]]/Raw_Data[[#This Row],[GHI-UP (KWh/m2)]]</f>
        <v>0.27663553251072598</v>
      </c>
      <c r="JD37" s="72">
        <f>Raw_Data[[#This Row],[POA-Down(KWh/m2)]]/Raw_Data[[#This Row],[POA-UP(KWh/m2)]]</f>
        <v>7.6189300261439274E-2</v>
      </c>
      <c r="JE37" s="68">
        <f>AVERAGEIF(Raw_Data[[#This Row],[Amb_Temp_IS2_W1]:[Amb_Temp_IS19_W6]],"&lt;&gt;"&amp;0,Raw_Data[[#This Row],[Amb_Temp_IS2_W1]:[Amb_Temp_IS19_W6]])</f>
        <v>39.839999999999989</v>
      </c>
      <c r="JF37" s="68">
        <f>AVERAGEIF(Raw_Data[[#This Row],[MT_Temp_IS2_W1]:[MT_Temp_IS19_W6]],"&lt;&gt;"&amp;0,Raw_Data[[#This Row],[MT_Temp_IS2_W1]:[MT_Temp_IS19_W6]])</f>
        <v>53.366666666666667</v>
      </c>
      <c r="JG37" s="68">
        <f>AVERAGEIF(Raw_Data[[#This Row],[WS_Avg_IS2_W1]:[WS_Avg_IS19_W6]],"&lt;&gt;"&amp;0,Raw_Data[[#This Row],[WS_Avg_IS2_W1]:[WS_Avg_IS19_W6]])</f>
        <v>2.1895725131933337</v>
      </c>
      <c r="JH37" s="68">
        <f>AVERAGEIF(Raw_Data[[#This Row],[WS_Max_IS2_W1]:[WS_Max_IS19_W6]],"&lt;&gt;"&amp;0,Raw_Data[[#This Row],[WS_Max_IS2_W1]:[WS_Max_IS19_W6]])</f>
        <v>7.4591664999999994</v>
      </c>
      <c r="JI37" s="70">
        <f>SUM(Raw_Data[[#This Row],[IS1_INV1_M1]:[IS20_INV4_M2]])</f>
        <v>1887754.9000000004</v>
      </c>
      <c r="JJ37" s="73">
        <v>1853600.9999999951</v>
      </c>
      <c r="JK37" s="71">
        <v>2231330.655469398</v>
      </c>
      <c r="JL37" s="143">
        <f>IFERROR(Raw_Data[[#This Row],[WPR_Eac]]/Raw_Data[[#This Row],[WPR_Edc]],"")</f>
        <v>0.83071551742296967</v>
      </c>
      <c r="JM37" s="6">
        <v>33</v>
      </c>
      <c r="JN37" s="6">
        <v>5405</v>
      </c>
    </row>
    <row r="38" spans="2:274">
      <c r="B38" s="67">
        <f t="shared" si="21"/>
        <v>45777</v>
      </c>
      <c r="C38" s="9">
        <f>YEAR(Raw_Data[[#This Row],[Date]])+IF(MONTH(Raw_Data[[#This Row],[Date]])&gt;=4,1,0)</f>
        <v>2026</v>
      </c>
      <c r="D38" s="6">
        <f t="shared" si="296"/>
        <v>2025</v>
      </c>
      <c r="E38" s="7" t="s">
        <v>361</v>
      </c>
      <c r="F38" s="7" t="s">
        <v>361</v>
      </c>
      <c r="G38" s="8">
        <v>45748</v>
      </c>
      <c r="H38" s="6">
        <f t="shared" si="297"/>
        <v>30</v>
      </c>
      <c r="I38" s="9">
        <v>335090.89</v>
      </c>
      <c r="J38" s="10">
        <v>0.27013888888888887</v>
      </c>
      <c r="K38" s="10">
        <v>0.8</v>
      </c>
      <c r="L38" s="9">
        <v>11960.4</v>
      </c>
      <c r="M38" s="9">
        <v>12569.4</v>
      </c>
      <c r="N38" s="9">
        <v>12564.4</v>
      </c>
      <c r="O38" s="9">
        <v>12512.7</v>
      </c>
      <c r="P38" s="9">
        <v>12676.2</v>
      </c>
      <c r="Q38" s="9">
        <v>12691.5</v>
      </c>
      <c r="R38" s="9">
        <v>12735.8</v>
      </c>
      <c r="S38" s="9">
        <v>13096.8</v>
      </c>
      <c r="T38" s="9">
        <v>12610</v>
      </c>
      <c r="U38" s="9">
        <v>12575</v>
      </c>
      <c r="V38" s="9">
        <v>12414.4</v>
      </c>
      <c r="W38" s="9">
        <v>12522</v>
      </c>
      <c r="X38" s="9">
        <v>12591.4</v>
      </c>
      <c r="Y38" s="9">
        <v>12449.4</v>
      </c>
      <c r="Z38" s="9">
        <v>12587.4</v>
      </c>
      <c r="AA38" s="9">
        <v>12662</v>
      </c>
      <c r="AB38" s="9">
        <v>12531.1</v>
      </c>
      <c r="AC38" s="9">
        <v>12558.7</v>
      </c>
      <c r="AD38" s="9">
        <v>12615.4</v>
      </c>
      <c r="AE38" s="9">
        <v>12673.9</v>
      </c>
      <c r="AF38" s="9">
        <v>12613.9</v>
      </c>
      <c r="AG38" s="9">
        <v>12615.8</v>
      </c>
      <c r="AH38" s="9">
        <v>12327.7</v>
      </c>
      <c r="AI38" s="9">
        <v>12467.3</v>
      </c>
      <c r="AJ38" s="9">
        <v>12314</v>
      </c>
      <c r="AK38" s="9">
        <v>10754.4</v>
      </c>
      <c r="AL38" s="9">
        <v>12292.6</v>
      </c>
      <c r="AM38" s="9">
        <v>12250.5</v>
      </c>
      <c r="AN38" s="9">
        <v>12624.2</v>
      </c>
      <c r="AO38" s="9">
        <v>12441.8</v>
      </c>
      <c r="AP38" s="9">
        <v>12384.4</v>
      </c>
      <c r="AQ38" s="9">
        <v>12654.2</v>
      </c>
      <c r="AR38" s="9">
        <v>12588.3</v>
      </c>
      <c r="AS38" s="9">
        <v>12646.5</v>
      </c>
      <c r="AT38" s="9">
        <v>12731.1</v>
      </c>
      <c r="AU38" s="9">
        <v>12616.9</v>
      </c>
      <c r="AV38" s="9">
        <v>12735.9</v>
      </c>
      <c r="AW38" s="9">
        <v>12542.7</v>
      </c>
      <c r="AX38" s="9">
        <v>12558.7</v>
      </c>
      <c r="AY38" s="9">
        <v>12491.9</v>
      </c>
      <c r="AZ38" s="9">
        <v>13436.1</v>
      </c>
      <c r="BA38" s="9">
        <v>12233</v>
      </c>
      <c r="BB38" s="9">
        <v>13301.7</v>
      </c>
      <c r="BC38" s="9">
        <v>11995.3</v>
      </c>
      <c r="BD38" s="9">
        <v>12613.6</v>
      </c>
      <c r="BE38" s="9">
        <v>13726.4</v>
      </c>
      <c r="BF38" s="9">
        <v>11945.4</v>
      </c>
      <c r="BG38" s="9">
        <v>13445.2</v>
      </c>
      <c r="BH38" s="9">
        <v>12558.7</v>
      </c>
      <c r="BI38" s="9">
        <v>12774.8</v>
      </c>
      <c r="BJ38" s="9">
        <v>12634.5</v>
      </c>
      <c r="BK38" s="9">
        <v>11939.5</v>
      </c>
      <c r="BL38" s="9">
        <v>13016.8</v>
      </c>
      <c r="BM38" s="9">
        <v>12789.9</v>
      </c>
      <c r="BN38" s="9">
        <v>12969</v>
      </c>
      <c r="BO38" s="9">
        <v>12665.5</v>
      </c>
      <c r="BP38" s="9">
        <v>11467.5</v>
      </c>
      <c r="BQ38" s="9">
        <v>13157.5</v>
      </c>
      <c r="BR38" s="9">
        <v>11516.1</v>
      </c>
      <c r="BS38" s="9">
        <v>13134</v>
      </c>
      <c r="BT38" s="9">
        <v>13015.4</v>
      </c>
      <c r="BU38" s="9">
        <v>11517.2</v>
      </c>
      <c r="BV38" s="9">
        <v>12690.3</v>
      </c>
      <c r="BW38" s="9">
        <v>12037.7</v>
      </c>
      <c r="BX38" s="9">
        <v>12287.7</v>
      </c>
      <c r="BY38" s="9">
        <v>11523.3</v>
      </c>
      <c r="BZ38" s="9">
        <v>12234.7</v>
      </c>
      <c r="CA38" s="9">
        <v>12767.7</v>
      </c>
      <c r="CB38" s="9">
        <v>13075.5</v>
      </c>
      <c r="CC38" s="9">
        <v>11781.7</v>
      </c>
      <c r="CD38" s="9">
        <v>12926.2</v>
      </c>
      <c r="CE38" s="9">
        <v>11304.3</v>
      </c>
      <c r="CF38" s="9">
        <v>12546.9</v>
      </c>
      <c r="CG38" s="9">
        <v>12326.1</v>
      </c>
      <c r="CH38" s="9">
        <v>11594.9</v>
      </c>
      <c r="CI38" s="9">
        <v>12905.5</v>
      </c>
      <c r="CJ38" s="9">
        <v>11353.9</v>
      </c>
      <c r="CK38" s="9">
        <v>13127.9</v>
      </c>
      <c r="CL38" s="9">
        <v>11605.5</v>
      </c>
      <c r="CM38" s="9">
        <v>12934.7</v>
      </c>
      <c r="CN38" s="9">
        <v>11894.1</v>
      </c>
      <c r="CO38" s="9">
        <v>12829</v>
      </c>
      <c r="CP38" s="9">
        <v>11987.5</v>
      </c>
      <c r="CQ38" s="9">
        <v>13179.1</v>
      </c>
      <c r="CR38" s="9">
        <v>11877.2</v>
      </c>
      <c r="CS38" s="9">
        <v>12645.1</v>
      </c>
      <c r="CT38" s="9">
        <v>11844.2</v>
      </c>
      <c r="CU38" s="9">
        <v>10422.299999999999</v>
      </c>
      <c r="CV38" s="9">
        <v>12779.7</v>
      </c>
      <c r="CW38" s="9">
        <v>12425</v>
      </c>
      <c r="CX38" s="9">
        <v>11508.4</v>
      </c>
      <c r="CY38" s="9">
        <v>13161.3</v>
      </c>
      <c r="CZ38" s="9">
        <v>12837.9</v>
      </c>
      <c r="DA38" s="9">
        <v>11845</v>
      </c>
      <c r="DB38" s="9">
        <v>11684.7</v>
      </c>
      <c r="DC38" s="9">
        <v>12916.4</v>
      </c>
      <c r="DD38" s="9">
        <v>11569.6</v>
      </c>
      <c r="DE38" s="9">
        <v>12102</v>
      </c>
      <c r="DF38" s="9">
        <v>13104.4</v>
      </c>
      <c r="DG38" s="9">
        <v>11597.1</v>
      </c>
      <c r="DH38" s="9">
        <v>13099.2</v>
      </c>
      <c r="DI38" s="9">
        <v>11571.4</v>
      </c>
      <c r="DJ38" s="9">
        <v>12862.3</v>
      </c>
      <c r="DK38" s="9">
        <v>11823.9</v>
      </c>
      <c r="DL38" s="9">
        <v>12939.9</v>
      </c>
      <c r="DM38" s="9">
        <v>11189.8</v>
      </c>
      <c r="DN38" s="9">
        <v>13004.5</v>
      </c>
      <c r="DO38" s="9">
        <v>11749.2</v>
      </c>
      <c r="DP38" s="9">
        <v>12858.1</v>
      </c>
      <c r="DQ38" s="9">
        <v>11684.8</v>
      </c>
      <c r="DR38" s="9">
        <v>12884.9</v>
      </c>
      <c r="DS38" s="9">
        <v>11905.6</v>
      </c>
      <c r="DT38" s="9">
        <v>11590.7</v>
      </c>
      <c r="DU38" s="9">
        <v>12765.6</v>
      </c>
      <c r="DV38" s="9">
        <v>11769.4</v>
      </c>
      <c r="DW38" s="9">
        <v>11481</v>
      </c>
      <c r="DX38" s="9">
        <v>12850.8</v>
      </c>
      <c r="DY38" s="9">
        <v>12982.5</v>
      </c>
      <c r="DZ38" s="9">
        <v>12781.8</v>
      </c>
      <c r="EA38" s="9">
        <v>11748.4</v>
      </c>
      <c r="EB38" s="9">
        <v>12924.3</v>
      </c>
      <c r="EC38" s="9">
        <v>11580</v>
      </c>
      <c r="ED38" s="9">
        <v>12619.6</v>
      </c>
      <c r="EE38" s="9">
        <v>11742.9</v>
      </c>
      <c r="EF38" s="9">
        <v>12443.1</v>
      </c>
      <c r="EG38" s="9">
        <v>10818.4</v>
      </c>
      <c r="EH38" s="9">
        <v>12653.6</v>
      </c>
      <c r="EI38" s="9">
        <v>11583.4</v>
      </c>
      <c r="EJ38" s="9">
        <v>11689.3</v>
      </c>
      <c r="EK38" s="9">
        <v>11691.1</v>
      </c>
      <c r="EL38" s="9">
        <v>11504</v>
      </c>
      <c r="EM38" s="9">
        <v>9955.7999999999993</v>
      </c>
      <c r="EN38" s="9">
        <v>11444.8</v>
      </c>
      <c r="EO38" s="9">
        <v>10148.700000000001</v>
      </c>
      <c r="EP38" s="9">
        <v>11459.5</v>
      </c>
      <c r="EQ38" s="9">
        <v>11502.6</v>
      </c>
      <c r="ER38" s="9">
        <v>13412.6</v>
      </c>
      <c r="ES38" s="9">
        <v>11904.2</v>
      </c>
      <c r="ET38" s="9">
        <v>13484.8</v>
      </c>
      <c r="EU38" s="9">
        <v>12190.5</v>
      </c>
      <c r="EV38" s="9">
        <v>13340.6</v>
      </c>
      <c r="EW38" s="9">
        <v>11927.9</v>
      </c>
      <c r="EX38" s="9">
        <v>12165.7</v>
      </c>
      <c r="EY38" s="9">
        <v>11835.8</v>
      </c>
      <c r="EZ38" s="9">
        <v>13203.5</v>
      </c>
      <c r="FA38" s="9">
        <v>13662</v>
      </c>
      <c r="FB38" s="9">
        <v>13408.1</v>
      </c>
      <c r="FC38" s="9">
        <v>13313.3</v>
      </c>
      <c r="FD38" s="9">
        <v>13317.6</v>
      </c>
      <c r="FE38" s="9">
        <v>13346</v>
      </c>
      <c r="FF38" s="9">
        <v>12329.3</v>
      </c>
      <c r="FG38" s="9">
        <v>13393.7</v>
      </c>
      <c r="FH38" s="9">
        <v>13473.8</v>
      </c>
      <c r="FI38" s="9">
        <v>13497.5</v>
      </c>
      <c r="FJ38" s="9">
        <v>13513.7</v>
      </c>
      <c r="FK38" s="9">
        <v>13455.7</v>
      </c>
      <c r="FL38" s="9">
        <v>13508.6</v>
      </c>
      <c r="FM38" s="9">
        <v>12314.6</v>
      </c>
      <c r="FN38" s="9">
        <v>13546.7</v>
      </c>
      <c r="FO38" s="9">
        <v>12385.3</v>
      </c>
      <c r="FP38" s="11">
        <v>37.986537433155078</v>
      </c>
      <c r="FQ38" s="11">
        <v>37.656122994652442</v>
      </c>
      <c r="FR38" s="11">
        <v>37.656122994652442</v>
      </c>
      <c r="FS38" s="11">
        <v>37.918529411764688</v>
      </c>
      <c r="FT38" s="11">
        <v>37.776965240641729</v>
      </c>
      <c r="FU38" s="11">
        <v>37.914585561497319</v>
      </c>
      <c r="FV38" s="11">
        <v>0</v>
      </c>
      <c r="FW38" s="11">
        <v>52.240120320855645</v>
      </c>
      <c r="FX38" s="11">
        <v>0</v>
      </c>
      <c r="FY38" s="11">
        <v>0</v>
      </c>
      <c r="FZ38" s="11">
        <v>52.48106744652403</v>
      </c>
      <c r="GA38" s="11">
        <v>53.487660427807455</v>
      </c>
      <c r="GB38" s="11">
        <v>3.2158042167112275</v>
      </c>
      <c r="GC38" s="11">
        <v>2.8912365067647054</v>
      </c>
      <c r="GD38" s="11">
        <v>3.9102293536096298</v>
      </c>
      <c r="GE38" s="11">
        <v>2.6764593247860975</v>
      </c>
      <c r="GF38" s="11">
        <v>3.1864860482620316</v>
      </c>
      <c r="GG38" s="11">
        <v>3.2449084911630997</v>
      </c>
      <c r="GH38" s="11">
        <v>6.4133339999999999</v>
      </c>
      <c r="GI38" s="11">
        <v>6.9749999999999996</v>
      </c>
      <c r="GJ38" s="11">
        <v>9.4049999999999994</v>
      </c>
      <c r="GK38" s="11">
        <v>6.1749999999999998</v>
      </c>
      <c r="GL38" s="11">
        <v>6.2083339999999998</v>
      </c>
      <c r="GM38" s="11">
        <v>7.9416659999999997</v>
      </c>
      <c r="GN38" s="11">
        <v>7.3276725000000038</v>
      </c>
      <c r="GO38" s="11">
        <v>7.3116393333333383</v>
      </c>
      <c r="GP38" s="11">
        <v>7.7004423333333332</v>
      </c>
      <c r="GQ38" s="11">
        <v>7.3133598333333341</v>
      </c>
      <c r="GR38" s="11">
        <v>7.3969996666666642</v>
      </c>
      <c r="GS38" s="11">
        <v>7.4090066666666701</v>
      </c>
      <c r="GT38" s="108">
        <v>1.9150071666666693</v>
      </c>
      <c r="GU38" s="108">
        <v>2.0194735000000006</v>
      </c>
      <c r="GV38" s="108">
        <v>1.6493323333333341</v>
      </c>
      <c r="GW38" s="108">
        <v>2.336632000000002</v>
      </c>
      <c r="GX38" s="108">
        <v>2.1629123333333333</v>
      </c>
      <c r="GY38" s="108">
        <v>1.9604615000000003</v>
      </c>
      <c r="GZ38" s="13">
        <v>7.3689348333333307</v>
      </c>
      <c r="HA38" s="13">
        <v>7.3803546666666584</v>
      </c>
      <c r="HB38" s="13">
        <v>7.6357003333333404</v>
      </c>
      <c r="HC38" s="13">
        <v>7.3690474999999926</v>
      </c>
      <c r="HD38" s="13">
        <v>7.4045526666666657</v>
      </c>
      <c r="HE38" s="13">
        <v>7.3743116666666682</v>
      </c>
      <c r="HF38" s="13">
        <v>0.53473650000000039</v>
      </c>
      <c r="HG38" s="13">
        <v>0.59843816666666594</v>
      </c>
      <c r="HH38" s="13">
        <v>0.52457350000000069</v>
      </c>
      <c r="HI38" s="13">
        <v>0.55325766666666742</v>
      </c>
      <c r="HJ38" s="13">
        <v>0.52028533333333304</v>
      </c>
      <c r="HK38" s="13">
        <v>0.57180999999999982</v>
      </c>
      <c r="HL38" s="12">
        <v>0</v>
      </c>
      <c r="HM38" s="12">
        <v>0</v>
      </c>
      <c r="HN38" s="12">
        <v>0</v>
      </c>
      <c r="HO38" s="12">
        <v>0</v>
      </c>
      <c r="HP38" s="12">
        <v>0</v>
      </c>
      <c r="HQ38" s="12">
        <v>0</v>
      </c>
      <c r="HR38" s="12">
        <v>0</v>
      </c>
      <c r="HS38" s="12">
        <v>0</v>
      </c>
      <c r="HT38" s="12">
        <v>0</v>
      </c>
      <c r="HU38" s="12">
        <v>0</v>
      </c>
      <c r="HV38" s="12">
        <v>0</v>
      </c>
      <c r="HW38" s="12">
        <v>0</v>
      </c>
      <c r="HX38" s="9">
        <v>927155</v>
      </c>
      <c r="HY38" s="9">
        <v>1733</v>
      </c>
      <c r="HZ38" s="9">
        <v>913890</v>
      </c>
      <c r="IA38" s="9">
        <v>1758</v>
      </c>
      <c r="IB38" s="11">
        <v>146037.41099999999</v>
      </c>
      <c r="IC38" s="11">
        <v>321.86700000000002</v>
      </c>
      <c r="ID38" s="14">
        <f t="shared" ref="ID38:II38" si="328">GN38-HL38</f>
        <v>7.3276725000000038</v>
      </c>
      <c r="IE38" s="14">
        <f t="shared" si="328"/>
        <v>7.3116393333333383</v>
      </c>
      <c r="IF38" s="14">
        <f t="shared" si="328"/>
        <v>7.7004423333333332</v>
      </c>
      <c r="IG38" s="14">
        <f t="shared" si="328"/>
        <v>7.3133598333333341</v>
      </c>
      <c r="IH38" s="14">
        <f t="shared" si="328"/>
        <v>7.3969996666666642</v>
      </c>
      <c r="II38" s="14">
        <f t="shared" si="328"/>
        <v>7.4090066666666701</v>
      </c>
      <c r="IJ38" s="15">
        <f t="shared" ref="IJ38:IO38" si="329">GZ38-HR38</f>
        <v>7.3689348333333307</v>
      </c>
      <c r="IK38" s="15">
        <f t="shared" si="329"/>
        <v>7.3803546666666584</v>
      </c>
      <c r="IL38" s="15">
        <f t="shared" si="329"/>
        <v>7.6357003333333404</v>
      </c>
      <c r="IM38" s="15">
        <f t="shared" si="329"/>
        <v>7.3690474999999926</v>
      </c>
      <c r="IN38" s="15">
        <f t="shared" si="329"/>
        <v>7.4045526666666657</v>
      </c>
      <c r="IO38" s="15">
        <f t="shared" si="329"/>
        <v>7.3743116666666682</v>
      </c>
      <c r="IP38" s="16">
        <f t="shared" ref="IP38" si="330">(HX38-HX37)*1000</f>
        <v>993000</v>
      </c>
      <c r="IQ38" s="16">
        <f t="shared" ref="IQ38" si="331">(HY38-HY37)*1000</f>
        <v>1000</v>
      </c>
      <c r="IR38" s="16">
        <f t="shared" ref="IR38" si="332">(HZ38-HZ37)*1000</f>
        <v>993000</v>
      </c>
      <c r="IS38" s="16">
        <f t="shared" ref="IS38" si="333">(IA38-IA37)*1000</f>
        <v>1000</v>
      </c>
      <c r="IT38" s="16">
        <f t="shared" ref="IT38" si="334">(IB38-IB37)*1000</f>
        <v>1973133.0000000016</v>
      </c>
      <c r="IU38" s="16">
        <f t="shared" ref="IU38" si="335">(IC38-IC37)*1000</f>
        <v>4467.0000000000418</v>
      </c>
      <c r="IV38" s="17">
        <f t="shared" ref="IV38" si="336">(IP38+IR38)-(IQ38+IS38)</f>
        <v>1984000</v>
      </c>
      <c r="IW38" s="17">
        <f t="shared" ref="IW38" si="337">IT38-IU38</f>
        <v>1968666.0000000016</v>
      </c>
      <c r="IX38" s="19">
        <f>(Raw_Data[[#This Row],[Sunset Time (POA&lt;20 W/m2)]]-Raw_Data[[#This Row],[Sunrise Time (POA&gt;20 W/m2)]])*24</f>
        <v>12.716666666666667</v>
      </c>
      <c r="IY38" s="68">
        <f>AVERAGEIF(Raw_Data[[#This Row],[GHI_UP_Net_IS2_W1]:[GHI_UP_Net_IS19_W6]],"&lt;&gt;"&amp;0,Raw_Data[[#This Row],[GHI_UP_Net_IS2_W1]:[GHI_UP_Net_IS19_W6]])</f>
        <v>7.40985338888889</v>
      </c>
      <c r="IZ38" s="68">
        <f>AVERAGEIF(Raw_Data[[#This Row],[GHI_Down_IS2_W1]:[GHI_Down_IS19_W6]],"&lt;&gt;"&amp;0,Raw_Data[[#This Row],[GHI_Down_IS2_W1]:[GHI_Down_IS19_W6]])</f>
        <v>2.00730313888889</v>
      </c>
      <c r="JA38" s="68">
        <f>AVERAGEIF(Raw_Data[[#This Row],[POA_Up_IS2_W1]:[POA_Up_IS19_W6]],"&lt;&gt;"&amp;0,Raw_Data[[#This Row],[POA_Up_IS2_W1]:[POA_Up_IS19_W6]])</f>
        <v>7.422150277777777</v>
      </c>
      <c r="JB38" s="68">
        <f>AVERAGEIF(Raw_Data[[#This Row],[POA_Down_IS2_W1]:[POA_Down_IS19_W6]],"&lt;&gt;"&amp;0,Raw_Data[[#This Row],[POA_Down_IS2_W1]:[POA_Down_IS19_W6]])</f>
        <v>0.5505168611111112</v>
      </c>
      <c r="JC38" s="69">
        <f>Raw_Data[[#This Row],[GHI-Down(KWh/m2)]]/Raw_Data[[#This Row],[GHI-UP (KWh/m2)]]</f>
        <v>0.27089647170332015</v>
      </c>
      <c r="JD38" s="72">
        <f>Raw_Data[[#This Row],[POA-Down(KWh/m2)]]/Raw_Data[[#This Row],[POA-UP(KWh/m2)]]</f>
        <v>7.4172152342344949E-2</v>
      </c>
      <c r="JE38" s="68">
        <f>AVERAGEIF(Raw_Data[[#This Row],[Amb_Temp_IS2_W1]:[Amb_Temp_IS19_W6]],"&lt;&gt;"&amp;0,Raw_Data[[#This Row],[Amb_Temp_IS2_W1]:[Amb_Temp_IS19_W6]])</f>
        <v>37.818143939393948</v>
      </c>
      <c r="JF38" s="68">
        <f>AVERAGEIF(Raw_Data[[#This Row],[MT_Temp_IS2_W1]:[MT_Temp_IS19_W6]],"&lt;&gt;"&amp;0,Raw_Data[[#This Row],[MT_Temp_IS2_W1]:[MT_Temp_IS19_W6]])</f>
        <v>52.736282731729041</v>
      </c>
      <c r="JG38" s="68">
        <f>AVERAGEIF(Raw_Data[[#This Row],[WS_Avg_IS2_W1]:[WS_Avg_IS19_W6]],"&lt;&gt;"&amp;0,Raw_Data[[#This Row],[WS_Avg_IS2_W1]:[WS_Avg_IS19_W6]])</f>
        <v>3.1875206568827985</v>
      </c>
      <c r="JH38" s="68">
        <f>AVERAGEIF(Raw_Data[[#This Row],[WS_Max_IS2_W1]:[WS_Max_IS19_W6]],"&lt;&gt;"&amp;0,Raw_Data[[#This Row],[WS_Max_IS2_W1]:[WS_Max_IS19_W6]])</f>
        <v>7.1863889999999992</v>
      </c>
      <c r="JI38" s="70">
        <f>SUM(Raw_Data[[#This Row],[IS1_INV1_M1]:[IS20_INV4_M2]])</f>
        <v>1986574.7000000004</v>
      </c>
      <c r="JJ38" s="73">
        <v>1914133.0000000307</v>
      </c>
      <c r="JK38" s="71">
        <v>2334647.9761764482</v>
      </c>
      <c r="JL38" s="143">
        <f>IFERROR(Raw_Data[[#This Row],[WPR_Eac]]/Raw_Data[[#This Row],[WPR_Edc]],"")</f>
        <v>0.81988077840107076</v>
      </c>
      <c r="JM38" s="6">
        <v>27</v>
      </c>
      <c r="JN38" s="6">
        <v>0</v>
      </c>
    </row>
    <row r="39" spans="2:274">
      <c r="B39" s="67">
        <f t="shared" si="21"/>
        <v>45778</v>
      </c>
      <c r="C39" s="9">
        <f>YEAR(Raw_Data[[#This Row],[Date]])+IF(MONTH(Raw_Data[[#This Row],[Date]])&gt;=4,1,0)</f>
        <v>2026</v>
      </c>
      <c r="D39" s="6">
        <f t="shared" si="296"/>
        <v>2025</v>
      </c>
      <c r="E39" s="7" t="s">
        <v>361</v>
      </c>
      <c r="F39" s="7" t="s">
        <v>361</v>
      </c>
      <c r="G39" s="8">
        <v>45778</v>
      </c>
      <c r="H39" s="6">
        <f t="shared" si="297"/>
        <v>31</v>
      </c>
      <c r="I39" s="9">
        <v>335090.89</v>
      </c>
      <c r="J39" s="10">
        <v>0.27013888888888887</v>
      </c>
      <c r="K39" s="10">
        <v>0.71944444444444444</v>
      </c>
      <c r="L39" s="9">
        <v>10523.5</v>
      </c>
      <c r="M39" s="9">
        <v>11053.3</v>
      </c>
      <c r="N39" s="9">
        <v>11067</v>
      </c>
      <c r="O39" s="9">
        <v>11026.7</v>
      </c>
      <c r="P39" s="9">
        <v>11177.1</v>
      </c>
      <c r="Q39" s="9">
        <v>11188.3</v>
      </c>
      <c r="R39" s="9">
        <v>11170</v>
      </c>
      <c r="S39" s="9">
        <v>11518.2</v>
      </c>
      <c r="T39" s="9">
        <v>11103.6</v>
      </c>
      <c r="U39" s="9">
        <v>11064.6</v>
      </c>
      <c r="V39" s="9">
        <v>10906</v>
      </c>
      <c r="W39" s="9">
        <v>10995.9</v>
      </c>
      <c r="X39" s="9">
        <v>11082.1</v>
      </c>
      <c r="Y39" s="9">
        <v>10943.1</v>
      </c>
      <c r="Z39" s="9">
        <v>11056</v>
      </c>
      <c r="AA39" s="9">
        <v>11147.7</v>
      </c>
      <c r="AB39" s="9">
        <v>11042.7</v>
      </c>
      <c r="AC39" s="9">
        <v>11086.4</v>
      </c>
      <c r="AD39" s="9">
        <v>11139.6</v>
      </c>
      <c r="AE39" s="9">
        <v>11182.9</v>
      </c>
      <c r="AF39" s="9">
        <v>11131.3</v>
      </c>
      <c r="AG39" s="9">
        <v>11118.9</v>
      </c>
      <c r="AH39" s="9">
        <v>10870.2</v>
      </c>
      <c r="AI39" s="9">
        <v>10993</v>
      </c>
      <c r="AJ39" s="9">
        <v>10846.6</v>
      </c>
      <c r="AK39" s="9">
        <v>9479.1</v>
      </c>
      <c r="AL39" s="9">
        <v>10842.5</v>
      </c>
      <c r="AM39" s="9">
        <v>10771.8</v>
      </c>
      <c r="AN39" s="9">
        <v>11146.9</v>
      </c>
      <c r="AO39" s="9">
        <v>10975.5</v>
      </c>
      <c r="AP39" s="9">
        <v>10910.4</v>
      </c>
      <c r="AQ39" s="9">
        <v>11167.7</v>
      </c>
      <c r="AR39" s="9">
        <v>11096.7</v>
      </c>
      <c r="AS39" s="9">
        <v>11145.7</v>
      </c>
      <c r="AT39" s="9">
        <v>11210.6</v>
      </c>
      <c r="AU39" s="9">
        <v>11109.3</v>
      </c>
      <c r="AV39" s="9">
        <v>11250.2</v>
      </c>
      <c r="AW39" s="9">
        <v>11070</v>
      </c>
      <c r="AX39" s="9">
        <v>11092.2</v>
      </c>
      <c r="AY39" s="9">
        <v>11041.7</v>
      </c>
      <c r="AZ39" s="9">
        <v>11882.1</v>
      </c>
      <c r="BA39" s="9">
        <v>10762</v>
      </c>
      <c r="BB39" s="9">
        <v>11781.4</v>
      </c>
      <c r="BC39" s="9">
        <v>10550.6</v>
      </c>
      <c r="BD39" s="9">
        <v>11097.6</v>
      </c>
      <c r="BE39" s="9">
        <v>12119</v>
      </c>
      <c r="BF39" s="9">
        <v>10501.2</v>
      </c>
      <c r="BG39" s="9">
        <v>11891.3</v>
      </c>
      <c r="BH39" s="9">
        <v>11078.5</v>
      </c>
      <c r="BI39" s="9">
        <v>11266.2</v>
      </c>
      <c r="BJ39" s="9">
        <v>11137.5</v>
      </c>
      <c r="BK39" s="9">
        <v>10516.1</v>
      </c>
      <c r="BL39" s="9">
        <v>11517.3</v>
      </c>
      <c r="BM39" s="9">
        <v>11282.1</v>
      </c>
      <c r="BN39" s="9">
        <v>11484.7</v>
      </c>
      <c r="BO39" s="9">
        <v>11193</v>
      </c>
      <c r="BP39" s="9">
        <v>10110.700000000001</v>
      </c>
      <c r="BQ39" s="9">
        <v>11608.5</v>
      </c>
      <c r="BR39" s="9">
        <v>10136.700000000001</v>
      </c>
      <c r="BS39" s="9">
        <v>11608.8</v>
      </c>
      <c r="BT39" s="9">
        <v>11466.5</v>
      </c>
      <c r="BU39" s="9">
        <v>10120.700000000001</v>
      </c>
      <c r="BV39" s="9">
        <v>11189</v>
      </c>
      <c r="BW39" s="9">
        <v>10568.4</v>
      </c>
      <c r="BX39" s="9">
        <v>10854</v>
      </c>
      <c r="BY39" s="9">
        <v>10173.1</v>
      </c>
      <c r="BZ39" s="9">
        <v>10793.1</v>
      </c>
      <c r="CA39" s="9">
        <v>11247.8</v>
      </c>
      <c r="CB39" s="9">
        <v>11586.8</v>
      </c>
      <c r="CC39" s="9">
        <v>10391.9</v>
      </c>
      <c r="CD39" s="9">
        <v>11433.9</v>
      </c>
      <c r="CE39" s="9">
        <v>9966.2000000000007</v>
      </c>
      <c r="CF39" s="9">
        <v>11061.3</v>
      </c>
      <c r="CG39" s="9">
        <v>10864.4</v>
      </c>
      <c r="CH39" s="9">
        <v>10216.4</v>
      </c>
      <c r="CI39" s="9">
        <v>11421</v>
      </c>
      <c r="CJ39" s="9">
        <v>9987.6</v>
      </c>
      <c r="CK39" s="9">
        <v>11599.6</v>
      </c>
      <c r="CL39" s="9">
        <v>10216.299999999999</v>
      </c>
      <c r="CM39" s="9">
        <v>11417.9</v>
      </c>
      <c r="CN39" s="9">
        <v>10502.3</v>
      </c>
      <c r="CO39" s="9">
        <v>11355.5</v>
      </c>
      <c r="CP39" s="9">
        <v>10586.1</v>
      </c>
      <c r="CQ39" s="9">
        <v>11703</v>
      </c>
      <c r="CR39" s="9">
        <v>10476.799999999999</v>
      </c>
      <c r="CS39" s="9">
        <v>11168.8</v>
      </c>
      <c r="CT39" s="9">
        <v>10453.4</v>
      </c>
      <c r="CU39" s="9">
        <v>9195.7000000000007</v>
      </c>
      <c r="CV39" s="9">
        <v>11306.2</v>
      </c>
      <c r="CW39" s="9">
        <v>10973.5</v>
      </c>
      <c r="CX39" s="9">
        <v>10105</v>
      </c>
      <c r="CY39" s="9">
        <v>11674.7</v>
      </c>
      <c r="CZ39" s="9">
        <v>11366.8</v>
      </c>
      <c r="DA39" s="9">
        <v>10427.5</v>
      </c>
      <c r="DB39" s="9">
        <v>10265.700000000001</v>
      </c>
      <c r="DC39" s="9">
        <v>11474.8</v>
      </c>
      <c r="DD39" s="9">
        <v>10267.299999999999</v>
      </c>
      <c r="DE39" s="9">
        <v>10679.1</v>
      </c>
      <c r="DF39" s="9">
        <v>11655</v>
      </c>
      <c r="DG39" s="9">
        <v>10224.299999999999</v>
      </c>
      <c r="DH39" s="9">
        <v>11624.3</v>
      </c>
      <c r="DI39" s="9">
        <v>10202.200000000001</v>
      </c>
      <c r="DJ39" s="9">
        <v>11364.1</v>
      </c>
      <c r="DK39" s="9">
        <v>10404.700000000001</v>
      </c>
      <c r="DL39" s="9">
        <v>11478.1</v>
      </c>
      <c r="DM39" s="9">
        <v>9878.7999999999993</v>
      </c>
      <c r="DN39" s="9">
        <v>11537.8</v>
      </c>
      <c r="DO39" s="9">
        <v>10324</v>
      </c>
      <c r="DP39" s="9">
        <v>11385</v>
      </c>
      <c r="DQ39" s="9">
        <v>10318.299999999999</v>
      </c>
      <c r="DR39" s="9">
        <v>11446.9</v>
      </c>
      <c r="DS39" s="9">
        <v>10488.3</v>
      </c>
      <c r="DT39" s="9">
        <v>10213.200000000001</v>
      </c>
      <c r="DU39" s="9">
        <v>11318.5</v>
      </c>
      <c r="DV39" s="9">
        <v>10340.9</v>
      </c>
      <c r="DW39" s="9">
        <v>10148.299999999999</v>
      </c>
      <c r="DX39" s="9">
        <v>11365.5</v>
      </c>
      <c r="DY39" s="9">
        <v>11518.2</v>
      </c>
      <c r="DZ39" s="9">
        <v>11332.6</v>
      </c>
      <c r="EA39" s="9">
        <v>10358.299999999999</v>
      </c>
      <c r="EB39" s="9">
        <v>11457</v>
      </c>
      <c r="EC39" s="9">
        <v>10170.799999999999</v>
      </c>
      <c r="ED39" s="9">
        <v>11149.6</v>
      </c>
      <c r="EE39" s="9">
        <v>10358.4</v>
      </c>
      <c r="EF39" s="9">
        <v>11004.5</v>
      </c>
      <c r="EG39" s="9">
        <v>9556.4</v>
      </c>
      <c r="EH39" s="9">
        <v>11167.2</v>
      </c>
      <c r="EI39" s="9">
        <v>10224.6</v>
      </c>
      <c r="EJ39" s="9">
        <v>10360.299999999999</v>
      </c>
      <c r="EK39" s="9">
        <v>10356.5</v>
      </c>
      <c r="EL39" s="9">
        <v>10199.9</v>
      </c>
      <c r="EM39" s="9">
        <v>8840.7000000000007</v>
      </c>
      <c r="EN39" s="9">
        <v>10220.1</v>
      </c>
      <c r="EO39" s="9">
        <v>9061.7000000000007</v>
      </c>
      <c r="EP39" s="9">
        <v>10125</v>
      </c>
      <c r="EQ39" s="9">
        <v>10157</v>
      </c>
      <c r="ER39" s="9">
        <v>11947</v>
      </c>
      <c r="ES39" s="9">
        <v>10516.3</v>
      </c>
      <c r="ET39" s="9">
        <v>12029.1</v>
      </c>
      <c r="EU39" s="9">
        <v>10791.7</v>
      </c>
      <c r="EV39" s="9">
        <v>11880.1</v>
      </c>
      <c r="EW39" s="9">
        <v>10545.4</v>
      </c>
      <c r="EX39" s="9">
        <v>10758.6</v>
      </c>
      <c r="EY39" s="9">
        <v>10458.700000000001</v>
      </c>
      <c r="EZ39" s="9">
        <v>11758.7</v>
      </c>
      <c r="FA39" s="9">
        <v>12257.6</v>
      </c>
      <c r="FB39" s="9">
        <v>11930.4</v>
      </c>
      <c r="FC39" s="9">
        <v>11846.8</v>
      </c>
      <c r="FD39" s="9">
        <v>11842.6</v>
      </c>
      <c r="FE39" s="9">
        <v>11877.4</v>
      </c>
      <c r="FF39" s="9">
        <v>10905.8</v>
      </c>
      <c r="FG39" s="9">
        <v>11927.9</v>
      </c>
      <c r="FH39" s="9">
        <v>12026.7</v>
      </c>
      <c r="FI39" s="9">
        <v>12063.5</v>
      </c>
      <c r="FJ39" s="9">
        <v>12089.2</v>
      </c>
      <c r="FK39" s="9">
        <v>12012.8</v>
      </c>
      <c r="FL39" s="9">
        <v>12054.4</v>
      </c>
      <c r="FM39" s="9">
        <v>10894.9</v>
      </c>
      <c r="FN39" s="9">
        <v>12102.5</v>
      </c>
      <c r="FO39" s="9">
        <v>10972.1</v>
      </c>
      <c r="FP39" s="11">
        <v>37.483640776699048</v>
      </c>
      <c r="FQ39" s="11">
        <v>37.196472491909397</v>
      </c>
      <c r="FR39" s="11">
        <v>37.753414239482169</v>
      </c>
      <c r="FS39" s="11">
        <v>37.312459546925567</v>
      </c>
      <c r="FT39" s="11">
        <v>37.083899676375452</v>
      </c>
      <c r="FU39" s="11">
        <v>37.389546925566371</v>
      </c>
      <c r="FV39" s="11">
        <v>0</v>
      </c>
      <c r="FW39" s="11">
        <v>52.6</v>
      </c>
      <c r="FX39" s="11">
        <v>0</v>
      </c>
      <c r="FY39" s="11">
        <v>0</v>
      </c>
      <c r="FZ39" s="11">
        <v>52.412936229773429</v>
      </c>
      <c r="GA39" s="11">
        <v>52.9</v>
      </c>
      <c r="GB39" s="11">
        <v>3.9351805331715215</v>
      </c>
      <c r="GC39" s="11">
        <v>4.3205311066343084</v>
      </c>
      <c r="GD39" s="11">
        <v>3.6808574397087392</v>
      </c>
      <c r="GE39" s="11">
        <v>3.4537997602589021</v>
      </c>
      <c r="GF39" s="11">
        <v>4.1683870622977377</v>
      </c>
      <c r="GG39" s="11">
        <v>4.2587430966019442</v>
      </c>
      <c r="GH39" s="11">
        <v>8.5149989999999995</v>
      </c>
      <c r="GI39" s="11">
        <v>8.6583330000000007</v>
      </c>
      <c r="GJ39" s="11">
        <v>9.4383330000000001</v>
      </c>
      <c r="GK39" s="11">
        <v>7.7466660000000003</v>
      </c>
      <c r="GL39" s="11">
        <v>7.7050000000000001</v>
      </c>
      <c r="GM39" s="11">
        <v>8.9616659999999992</v>
      </c>
      <c r="GN39" s="11">
        <v>6.3911291666666683</v>
      </c>
      <c r="GO39" s="11">
        <v>6.4241915000000018</v>
      </c>
      <c r="GP39" s="11">
        <v>6.4456931666666639</v>
      </c>
      <c r="GQ39" s="11">
        <v>6.3801221666666716</v>
      </c>
      <c r="GR39" s="11">
        <v>6.4441230000000065</v>
      </c>
      <c r="GS39" s="11">
        <v>6.4756633333333324</v>
      </c>
      <c r="GT39" s="108">
        <v>1.7393386666666659</v>
      </c>
      <c r="GU39" s="108">
        <v>1.736300833333333</v>
      </c>
      <c r="GV39" s="108">
        <v>1.629924333333334</v>
      </c>
      <c r="GW39" s="108">
        <v>2.1131221666666664</v>
      </c>
      <c r="GX39" s="108">
        <v>1.8921054999999991</v>
      </c>
      <c r="GY39" s="108">
        <v>1.6729411666666671</v>
      </c>
      <c r="GZ39" s="13">
        <v>6.4459369999999998</v>
      </c>
      <c r="HA39" s="13">
        <v>6.4986795000000006</v>
      </c>
      <c r="HB39" s="13">
        <v>6.4104873333333305</v>
      </c>
      <c r="HC39" s="13">
        <v>6.4631255000000012</v>
      </c>
      <c r="HD39" s="13">
        <v>6.500650000000002</v>
      </c>
      <c r="HE39" s="13">
        <v>6.4470008333333295</v>
      </c>
      <c r="HF39" s="13">
        <v>0.47495150000000014</v>
      </c>
      <c r="HG39" s="13">
        <v>0.53317733333333339</v>
      </c>
      <c r="HH39" s="13">
        <v>0.45447533333333345</v>
      </c>
      <c r="HI39" s="13">
        <v>0.49499583333333325</v>
      </c>
      <c r="HJ39" s="13">
        <v>0.46483533333333332</v>
      </c>
      <c r="HK39" s="13">
        <v>0.50914533333333367</v>
      </c>
      <c r="HL39" s="12">
        <v>0</v>
      </c>
      <c r="HM39" s="12">
        <v>0</v>
      </c>
      <c r="HN39" s="12">
        <v>0</v>
      </c>
      <c r="HO39" s="12">
        <v>0</v>
      </c>
      <c r="HP39" s="12">
        <v>0</v>
      </c>
      <c r="HQ39" s="12">
        <v>0</v>
      </c>
      <c r="HR39" s="12">
        <v>0</v>
      </c>
      <c r="HS39" s="12">
        <v>0</v>
      </c>
      <c r="HT39" s="12">
        <v>0</v>
      </c>
      <c r="HU39" s="12">
        <v>0</v>
      </c>
      <c r="HV39" s="12">
        <v>0</v>
      </c>
      <c r="HW39" s="12">
        <v>0</v>
      </c>
      <c r="HX39" s="9">
        <v>928030</v>
      </c>
      <c r="HY39" s="9">
        <v>1735</v>
      </c>
      <c r="HZ39" s="9">
        <v>914751</v>
      </c>
      <c r="IA39" s="9">
        <v>1760</v>
      </c>
      <c r="IB39" s="11">
        <v>147780.67800000001</v>
      </c>
      <c r="IC39" s="11">
        <v>327</v>
      </c>
      <c r="ID39" s="14">
        <f t="shared" ref="ID39:II39" si="338">GN39-HL39</f>
        <v>6.3911291666666683</v>
      </c>
      <c r="IE39" s="14">
        <f t="shared" si="338"/>
        <v>6.4241915000000018</v>
      </c>
      <c r="IF39" s="14">
        <f t="shared" si="338"/>
        <v>6.4456931666666639</v>
      </c>
      <c r="IG39" s="14">
        <f t="shared" si="338"/>
        <v>6.3801221666666716</v>
      </c>
      <c r="IH39" s="14">
        <f t="shared" si="338"/>
        <v>6.4441230000000065</v>
      </c>
      <c r="II39" s="14">
        <f t="shared" si="338"/>
        <v>6.4756633333333324</v>
      </c>
      <c r="IJ39" s="15">
        <f t="shared" ref="IJ39:IO39" si="339">GZ39-HR39</f>
        <v>6.4459369999999998</v>
      </c>
      <c r="IK39" s="15">
        <f t="shared" si="339"/>
        <v>6.4986795000000006</v>
      </c>
      <c r="IL39" s="15">
        <f t="shared" si="339"/>
        <v>6.4104873333333305</v>
      </c>
      <c r="IM39" s="15">
        <f t="shared" si="339"/>
        <v>6.4631255000000012</v>
      </c>
      <c r="IN39" s="15">
        <f t="shared" si="339"/>
        <v>6.500650000000002</v>
      </c>
      <c r="IO39" s="15">
        <f t="shared" si="339"/>
        <v>6.4470008333333295</v>
      </c>
      <c r="IP39" s="16">
        <f t="shared" ref="IP39" si="340">(HX39-HX38)*1000</f>
        <v>875000</v>
      </c>
      <c r="IQ39" s="16">
        <f t="shared" ref="IQ39" si="341">(HY39-HY38)*1000</f>
        <v>2000</v>
      </c>
      <c r="IR39" s="16">
        <f t="shared" ref="IR39" si="342">(HZ39-HZ38)*1000</f>
        <v>861000</v>
      </c>
      <c r="IS39" s="16">
        <f t="shared" ref="IS39" si="343">(IA39-IA38)*1000</f>
        <v>2000</v>
      </c>
      <c r="IT39" s="16">
        <f t="shared" ref="IT39" si="344">(IB39-IB38)*1000</f>
        <v>1743267.0000000217</v>
      </c>
      <c r="IU39" s="16">
        <f t="shared" ref="IU39" si="345">(IC39-IC38)*1000</f>
        <v>5132.9999999999818</v>
      </c>
      <c r="IV39" s="17">
        <f t="shared" ref="IV39" si="346">(IP39+IR39)-(IQ39+IS39)</f>
        <v>1732000</v>
      </c>
      <c r="IW39" s="17">
        <f t="shared" ref="IW39" si="347">IT39-IU39</f>
        <v>1738134.0000000217</v>
      </c>
      <c r="IX39" s="19">
        <f>(Raw_Data[[#This Row],[Sunset Time (POA&lt;20 W/m2)]]-Raw_Data[[#This Row],[Sunrise Time (POA&gt;20 W/m2)]])*24</f>
        <v>10.783333333333333</v>
      </c>
      <c r="IY39" s="68">
        <f>AVERAGEIF(Raw_Data[[#This Row],[GHI_UP_Net_IS2_W1]:[GHI_UP_Net_IS19_W6]],"&lt;&gt;"&amp;0,Raw_Data[[#This Row],[GHI_UP_Net_IS2_W1]:[GHI_UP_Net_IS19_W6]])</f>
        <v>6.4268203888888893</v>
      </c>
      <c r="IZ39" s="68">
        <f>AVERAGEIF(Raw_Data[[#This Row],[GHI_Down_IS2_W1]:[GHI_Down_IS19_W6]],"&lt;&gt;"&amp;0,Raw_Data[[#This Row],[GHI_Down_IS2_W1]:[GHI_Down_IS19_W6]])</f>
        <v>1.797288777777778</v>
      </c>
      <c r="JA39" s="68">
        <f>AVERAGEIF(Raw_Data[[#This Row],[POA_Up_IS2_W1]:[POA_Up_IS19_W6]],"&lt;&gt;"&amp;0,Raw_Data[[#This Row],[POA_Up_IS2_W1]:[POA_Up_IS19_W6]])</f>
        <v>6.4609800277777767</v>
      </c>
      <c r="JB39" s="68">
        <f>AVERAGEIF(Raw_Data[[#This Row],[POA_Down_IS2_W1]:[POA_Down_IS19_W6]],"&lt;&gt;"&amp;0,Raw_Data[[#This Row],[POA_Down_IS2_W1]:[POA_Down_IS19_W6]])</f>
        <v>0.48859677777777782</v>
      </c>
      <c r="JC39" s="69">
        <f>Raw_Data[[#This Row],[GHI-Down(KWh/m2)]]/Raw_Data[[#This Row],[GHI-UP (KWh/m2)]]</f>
        <v>0.27965442769881188</v>
      </c>
      <c r="JD39" s="72">
        <f>Raw_Data[[#This Row],[POA-Down(KWh/m2)]]/Raw_Data[[#This Row],[POA-UP(KWh/m2)]]</f>
        <v>7.5622703626562413E-2</v>
      </c>
      <c r="JE39" s="68">
        <f>AVERAGEIF(Raw_Data[[#This Row],[Amb_Temp_IS2_W1]:[Amb_Temp_IS19_W6]],"&lt;&gt;"&amp;0,Raw_Data[[#This Row],[Amb_Temp_IS2_W1]:[Amb_Temp_IS19_W6]])</f>
        <v>37.369905609493003</v>
      </c>
      <c r="JF39" s="68">
        <f>AVERAGEIF(Raw_Data[[#This Row],[MT_Temp_IS2_W1]:[MT_Temp_IS19_W6]],"&lt;&gt;"&amp;0,Raw_Data[[#This Row],[MT_Temp_IS2_W1]:[MT_Temp_IS19_W6]])</f>
        <v>52.637645409924481</v>
      </c>
      <c r="JG39" s="68">
        <f>AVERAGEIF(Raw_Data[[#This Row],[WS_Avg_IS2_W1]:[WS_Avg_IS19_W6]],"&lt;&gt;"&amp;0,Raw_Data[[#This Row],[WS_Avg_IS2_W1]:[WS_Avg_IS19_W6]])</f>
        <v>3.9695831664455259</v>
      </c>
      <c r="JH39" s="68">
        <f>AVERAGEIF(Raw_Data[[#This Row],[WS_Max_IS2_W1]:[WS_Max_IS19_W6]],"&lt;&gt;"&amp;0,Raw_Data[[#This Row],[WS_Max_IS2_W1]:[WS_Max_IS19_W6]])</f>
        <v>8.5041661666666659</v>
      </c>
      <c r="JI39" s="70">
        <f>SUM(Raw_Data[[#This Row],[IS1_INV1_M1]:[IS20_INV4_M2]])</f>
        <v>1755655.6000000003</v>
      </c>
      <c r="JJ39" s="73">
        <v>1728266.9999999925</v>
      </c>
      <c r="JK39" s="71">
        <v>2113702.1268428215</v>
      </c>
      <c r="JL39" s="143">
        <f>IFERROR(Raw_Data[[#This Row],[WPR_Eac]]/Raw_Data[[#This Row],[WPR_Edc]],"")</f>
        <v>0.81764926952193462</v>
      </c>
      <c r="JM39" s="6">
        <v>30</v>
      </c>
      <c r="JN39" s="6">
        <v>33591</v>
      </c>
    </row>
    <row r="40" spans="2:274">
      <c r="B40" s="67">
        <f t="shared" si="21"/>
        <v>45779</v>
      </c>
      <c r="C40" s="9">
        <f>YEAR(Raw_Data[[#This Row],[Date]])+IF(MONTH(Raw_Data[[#This Row],[Date]])&gt;=4,1,0)</f>
        <v>2026</v>
      </c>
      <c r="D40" s="6">
        <f t="shared" si="296"/>
        <v>2025</v>
      </c>
      <c r="E40" s="7" t="s">
        <v>361</v>
      </c>
      <c r="F40" s="7" t="s">
        <v>361</v>
      </c>
      <c r="G40" s="8">
        <v>45778</v>
      </c>
      <c r="H40" s="6">
        <f t="shared" si="297"/>
        <v>31</v>
      </c>
      <c r="I40" s="9">
        <v>335090.89</v>
      </c>
      <c r="J40" s="10">
        <v>0.2673611111111111</v>
      </c>
      <c r="K40" s="10">
        <v>0.79791666666666672</v>
      </c>
      <c r="L40" s="9">
        <v>10102.200000000001</v>
      </c>
      <c r="M40" s="9">
        <v>10623.5</v>
      </c>
      <c r="N40" s="9">
        <v>10592.4</v>
      </c>
      <c r="O40" s="9">
        <v>10546</v>
      </c>
      <c r="P40" s="9">
        <v>10693.4</v>
      </c>
      <c r="Q40" s="9">
        <v>10727</v>
      </c>
      <c r="R40" s="9">
        <v>10670.6</v>
      </c>
      <c r="S40" s="9">
        <v>11057.9</v>
      </c>
      <c r="T40" s="9">
        <v>10643.8</v>
      </c>
      <c r="U40" s="9">
        <v>10613.3</v>
      </c>
      <c r="V40" s="9">
        <v>10514.3</v>
      </c>
      <c r="W40" s="9">
        <v>10666.4</v>
      </c>
      <c r="X40" s="9">
        <v>10623.4</v>
      </c>
      <c r="Y40" s="9">
        <v>10583.7</v>
      </c>
      <c r="Z40" s="9">
        <v>10635.5</v>
      </c>
      <c r="AA40" s="9">
        <v>10711</v>
      </c>
      <c r="AB40" s="9">
        <v>10614.5</v>
      </c>
      <c r="AC40" s="9">
        <v>10624.5</v>
      </c>
      <c r="AD40" s="9">
        <v>10628.8</v>
      </c>
      <c r="AE40" s="9">
        <v>10689.2</v>
      </c>
      <c r="AF40" s="9">
        <v>10654.7</v>
      </c>
      <c r="AG40" s="9">
        <v>10638.3</v>
      </c>
      <c r="AH40" s="9">
        <v>10429.700000000001</v>
      </c>
      <c r="AI40" s="9">
        <v>10530</v>
      </c>
      <c r="AJ40" s="9">
        <v>10417.9</v>
      </c>
      <c r="AK40" s="9">
        <v>9084.1</v>
      </c>
      <c r="AL40" s="9">
        <v>10339.700000000001</v>
      </c>
      <c r="AM40" s="9">
        <v>10343.6</v>
      </c>
      <c r="AN40" s="9">
        <v>10699.2</v>
      </c>
      <c r="AO40" s="9">
        <v>10619.5</v>
      </c>
      <c r="AP40" s="9">
        <v>10491.3</v>
      </c>
      <c r="AQ40" s="9">
        <v>10729.9</v>
      </c>
      <c r="AR40" s="9">
        <v>10622.3</v>
      </c>
      <c r="AS40" s="9">
        <v>10674.7</v>
      </c>
      <c r="AT40" s="9">
        <v>10750.8</v>
      </c>
      <c r="AU40" s="9">
        <v>10647</v>
      </c>
      <c r="AV40" s="9">
        <v>10792</v>
      </c>
      <c r="AW40" s="9">
        <v>10634.2</v>
      </c>
      <c r="AX40" s="9">
        <v>10656.2</v>
      </c>
      <c r="AY40" s="9">
        <v>10581.8</v>
      </c>
      <c r="AZ40" s="9">
        <v>11329.3</v>
      </c>
      <c r="BA40" s="9">
        <v>10149.9</v>
      </c>
      <c r="BB40" s="9">
        <v>11269.9</v>
      </c>
      <c r="BC40" s="9">
        <v>10006.5</v>
      </c>
      <c r="BD40" s="9">
        <v>10833.2</v>
      </c>
      <c r="BE40" s="9">
        <v>12045.8</v>
      </c>
      <c r="BF40" s="9">
        <v>10087.799999999999</v>
      </c>
      <c r="BG40" s="9">
        <v>11301.1</v>
      </c>
      <c r="BH40" s="9">
        <v>10735.3</v>
      </c>
      <c r="BI40" s="9">
        <v>10867.2</v>
      </c>
      <c r="BJ40" s="9">
        <v>10668.1</v>
      </c>
      <c r="BK40" s="9">
        <v>10038</v>
      </c>
      <c r="BL40" s="9">
        <v>11086.6</v>
      </c>
      <c r="BM40" s="9">
        <v>10844.2</v>
      </c>
      <c r="BN40" s="9">
        <v>10977</v>
      </c>
      <c r="BO40" s="9">
        <v>10857</v>
      </c>
      <c r="BP40" s="9">
        <v>9710.2000000000007</v>
      </c>
      <c r="BQ40" s="9">
        <v>11213</v>
      </c>
      <c r="BR40" s="9">
        <v>9737.2999999999993</v>
      </c>
      <c r="BS40" s="9">
        <v>11185.4</v>
      </c>
      <c r="BT40" s="9">
        <v>11061</v>
      </c>
      <c r="BU40" s="9">
        <v>9739.6</v>
      </c>
      <c r="BV40" s="9">
        <v>10788.9</v>
      </c>
      <c r="BW40" s="9">
        <v>10194.299999999999</v>
      </c>
      <c r="BX40" s="9">
        <v>10473.299999999999</v>
      </c>
      <c r="BY40" s="9">
        <v>9822.6</v>
      </c>
      <c r="BZ40" s="9">
        <v>10400.700000000001</v>
      </c>
      <c r="CA40" s="9">
        <v>10768</v>
      </c>
      <c r="CB40" s="9">
        <v>11174.5</v>
      </c>
      <c r="CC40" s="9">
        <v>9931.6</v>
      </c>
      <c r="CD40" s="9">
        <v>11004.8</v>
      </c>
      <c r="CE40" s="9">
        <v>9527.6</v>
      </c>
      <c r="CF40" s="9">
        <v>10598.5</v>
      </c>
      <c r="CG40" s="9">
        <v>10314.700000000001</v>
      </c>
      <c r="CH40" s="9">
        <v>9766.7000000000007</v>
      </c>
      <c r="CI40" s="9">
        <v>10956.2</v>
      </c>
      <c r="CJ40" s="9">
        <v>9586.7999999999993</v>
      </c>
      <c r="CK40" s="9">
        <v>11142.5</v>
      </c>
      <c r="CL40" s="9">
        <v>9716.9</v>
      </c>
      <c r="CM40" s="9">
        <v>10927.9</v>
      </c>
      <c r="CN40" s="9">
        <v>9955.9</v>
      </c>
      <c r="CO40" s="9">
        <v>10775.5</v>
      </c>
      <c r="CP40" s="9">
        <v>10156.1</v>
      </c>
      <c r="CQ40" s="9">
        <v>11210.8</v>
      </c>
      <c r="CR40" s="9">
        <v>10020</v>
      </c>
      <c r="CS40" s="9">
        <v>10755.1</v>
      </c>
      <c r="CT40" s="9">
        <v>9897.2000000000007</v>
      </c>
      <c r="CU40" s="9">
        <v>8633.7999999999993</v>
      </c>
      <c r="CV40" s="9">
        <v>10808.9</v>
      </c>
      <c r="CW40" s="9">
        <v>10440.700000000001</v>
      </c>
      <c r="CX40" s="9">
        <v>9520.7000000000007</v>
      </c>
      <c r="CY40" s="9">
        <v>11199.8</v>
      </c>
      <c r="CZ40" s="9">
        <v>10831</v>
      </c>
      <c r="DA40" s="9">
        <v>10014.299999999999</v>
      </c>
      <c r="DB40" s="9">
        <v>9970.5</v>
      </c>
      <c r="DC40" s="9">
        <v>10743.5</v>
      </c>
      <c r="DD40" s="9">
        <v>9643.4</v>
      </c>
      <c r="DE40" s="9">
        <v>10040.299999999999</v>
      </c>
      <c r="DF40" s="9">
        <v>11056.3</v>
      </c>
      <c r="DG40" s="9">
        <v>9647.1</v>
      </c>
      <c r="DH40" s="9">
        <v>11011.7</v>
      </c>
      <c r="DI40" s="9">
        <v>9581</v>
      </c>
      <c r="DJ40" s="9">
        <v>10744.2</v>
      </c>
      <c r="DK40" s="9">
        <v>9834.7000000000007</v>
      </c>
      <c r="DL40" s="9">
        <v>10916</v>
      </c>
      <c r="DM40" s="9">
        <v>9347</v>
      </c>
      <c r="DN40" s="9">
        <v>10985</v>
      </c>
      <c r="DO40" s="9">
        <v>9829</v>
      </c>
      <c r="DP40" s="9">
        <v>10789</v>
      </c>
      <c r="DQ40" s="9">
        <v>9765</v>
      </c>
      <c r="DR40" s="9">
        <v>10741</v>
      </c>
      <c r="DS40" s="9">
        <v>9949</v>
      </c>
      <c r="DT40" s="9">
        <v>9709.4</v>
      </c>
      <c r="DU40" s="9">
        <v>10834.8</v>
      </c>
      <c r="DV40" s="9">
        <v>9838.7000000000007</v>
      </c>
      <c r="DW40" s="9">
        <v>9631</v>
      </c>
      <c r="DX40" s="9">
        <v>10955.4</v>
      </c>
      <c r="DY40" s="9">
        <v>11015</v>
      </c>
      <c r="DZ40" s="9">
        <v>10806.1</v>
      </c>
      <c r="EA40" s="9">
        <v>9844.5</v>
      </c>
      <c r="EB40" s="9">
        <v>10886.9</v>
      </c>
      <c r="EC40" s="9">
        <v>9649.2999999999993</v>
      </c>
      <c r="ED40" s="9">
        <v>10611.6</v>
      </c>
      <c r="EE40" s="9">
        <v>9823</v>
      </c>
      <c r="EF40" s="9">
        <v>10445.700000000001</v>
      </c>
      <c r="EG40" s="9">
        <v>9060.2999999999993</v>
      </c>
      <c r="EH40" s="9">
        <v>10516.4</v>
      </c>
      <c r="EI40" s="9">
        <v>9620.1</v>
      </c>
      <c r="EJ40" s="9">
        <v>9973.6</v>
      </c>
      <c r="EK40" s="9">
        <v>10058.6</v>
      </c>
      <c r="EL40" s="9">
        <v>9697.6</v>
      </c>
      <c r="EM40" s="9">
        <v>8468.9</v>
      </c>
      <c r="EN40" s="9">
        <v>9854.2999999999993</v>
      </c>
      <c r="EO40" s="9">
        <v>8657.4</v>
      </c>
      <c r="EP40" s="9">
        <v>9903.1</v>
      </c>
      <c r="EQ40" s="9">
        <v>9907.6</v>
      </c>
      <c r="ER40" s="9">
        <v>11417.9</v>
      </c>
      <c r="ES40" s="9">
        <v>9876.9</v>
      </c>
      <c r="ET40" s="9">
        <v>11562.9</v>
      </c>
      <c r="EU40" s="9">
        <v>10100.200000000001</v>
      </c>
      <c r="EV40" s="9">
        <v>11381.7</v>
      </c>
      <c r="EW40" s="9">
        <v>10010.6</v>
      </c>
      <c r="EX40" s="9">
        <v>10260.200000000001</v>
      </c>
      <c r="EY40" s="9">
        <v>9966.1</v>
      </c>
      <c r="EZ40" s="9">
        <v>11041.3</v>
      </c>
      <c r="FA40" s="9">
        <v>11619.9</v>
      </c>
      <c r="FB40" s="9">
        <v>11396.9</v>
      </c>
      <c r="FC40" s="9">
        <v>11331.4</v>
      </c>
      <c r="FD40" s="9">
        <v>11323.5</v>
      </c>
      <c r="FE40" s="9">
        <v>11368.4</v>
      </c>
      <c r="FF40" s="9">
        <v>10298.799999999999</v>
      </c>
      <c r="FG40" s="9">
        <v>11509.6</v>
      </c>
      <c r="FH40" s="9">
        <v>11378.2</v>
      </c>
      <c r="FI40" s="9">
        <v>11469.9</v>
      </c>
      <c r="FJ40" s="9">
        <v>11388.1</v>
      </c>
      <c r="FK40" s="9">
        <v>11431.6</v>
      </c>
      <c r="FL40" s="9">
        <v>11454.5</v>
      </c>
      <c r="FM40" s="9">
        <v>10124.700000000001</v>
      </c>
      <c r="FN40" s="9">
        <v>11575</v>
      </c>
      <c r="FO40" s="9">
        <v>10299.5</v>
      </c>
      <c r="FP40" s="11">
        <v>36.747973509933772</v>
      </c>
      <c r="FQ40" s="11">
        <v>36.552092715231765</v>
      </c>
      <c r="FR40" s="11">
        <v>36.909377483443741</v>
      </c>
      <c r="FS40" s="11">
        <v>36.686357615894053</v>
      </c>
      <c r="FT40" s="11">
        <v>36.712119205298031</v>
      </c>
      <c r="FU40" s="11">
        <v>36.934529801324494</v>
      </c>
      <c r="FV40" s="11">
        <v>0</v>
      </c>
      <c r="FW40" s="11">
        <v>49.4</v>
      </c>
      <c r="FX40" s="11">
        <v>0</v>
      </c>
      <c r="FY40" s="11">
        <v>0</v>
      </c>
      <c r="FZ40" s="11">
        <v>49.6</v>
      </c>
      <c r="GA40" s="11">
        <v>49.9</v>
      </c>
      <c r="GB40" s="11">
        <v>3.0763243709933783</v>
      </c>
      <c r="GC40" s="11">
        <v>3.1891279110860928</v>
      </c>
      <c r="GD40" s="11">
        <v>2.7980219862781484</v>
      </c>
      <c r="GE40" s="11">
        <v>1.6586555608344367</v>
      </c>
      <c r="GF40" s="11">
        <v>3.118297888543049</v>
      </c>
      <c r="GG40" s="11">
        <v>2.787116893245035</v>
      </c>
      <c r="GH40" s="11">
        <v>7.18</v>
      </c>
      <c r="GI40" s="11">
        <v>7.4283330000000003</v>
      </c>
      <c r="GJ40" s="11">
        <v>6.6716670000000002</v>
      </c>
      <c r="GK40" s="11">
        <v>7.1533329999999999</v>
      </c>
      <c r="GL40" s="11">
        <v>7.3833339999999996</v>
      </c>
      <c r="GM40" s="11">
        <v>7.3266660000000003</v>
      </c>
      <c r="GN40" s="11">
        <v>6.416356833333329</v>
      </c>
      <c r="GO40" s="11">
        <v>6.472447166666659</v>
      </c>
      <c r="GP40" s="11">
        <v>6.5078921666666654</v>
      </c>
      <c r="GQ40" s="11">
        <v>6.4281121666666685</v>
      </c>
      <c r="GR40" s="11">
        <v>6.4873858333333283</v>
      </c>
      <c r="GS40" s="11">
        <v>6.5052176666666615</v>
      </c>
      <c r="GT40" s="108">
        <v>1.4841055000000007</v>
      </c>
      <c r="GU40" s="108">
        <v>1.6319193333333317</v>
      </c>
      <c r="GV40" s="108">
        <v>1.3972001666666638</v>
      </c>
      <c r="GW40" s="108">
        <v>1.8613858333333344</v>
      </c>
      <c r="GX40" s="108">
        <v>1.7228011666666669</v>
      </c>
      <c r="GY40" s="108">
        <v>1.586231666666666</v>
      </c>
      <c r="GZ40" s="13">
        <v>6.4469803333333378</v>
      </c>
      <c r="HA40" s="13">
        <v>6.5172010000000018</v>
      </c>
      <c r="HB40" s="13">
        <v>6.4253728333333351</v>
      </c>
      <c r="HC40" s="13">
        <v>6.4643501666666658</v>
      </c>
      <c r="HD40" s="13">
        <v>6.484831000000006</v>
      </c>
      <c r="HE40" s="13">
        <v>6.4602028333333372</v>
      </c>
      <c r="HF40" s="13">
        <v>0.47216933333333316</v>
      </c>
      <c r="HG40" s="13">
        <v>0.52442216666666708</v>
      </c>
      <c r="HH40" s="13">
        <v>0.46946466666666625</v>
      </c>
      <c r="HI40" s="13">
        <v>0.49842133333333366</v>
      </c>
      <c r="HJ40" s="13">
        <v>0.4781898333333332</v>
      </c>
      <c r="HK40" s="13">
        <v>0.5166065000000003</v>
      </c>
      <c r="HL40" s="12">
        <v>0</v>
      </c>
      <c r="HM40" s="12">
        <v>0</v>
      </c>
      <c r="HN40" s="12">
        <v>0</v>
      </c>
      <c r="HO40" s="12">
        <v>0</v>
      </c>
      <c r="HP40" s="12">
        <v>0</v>
      </c>
      <c r="HQ40" s="12">
        <v>0</v>
      </c>
      <c r="HR40" s="12">
        <v>0</v>
      </c>
      <c r="HS40" s="12">
        <v>0</v>
      </c>
      <c r="HT40" s="12">
        <v>0</v>
      </c>
      <c r="HU40" s="12">
        <v>0</v>
      </c>
      <c r="HV40" s="12">
        <v>0</v>
      </c>
      <c r="HW40" s="12">
        <v>0</v>
      </c>
      <c r="HX40" s="9">
        <v>928871</v>
      </c>
      <c r="HY40" s="9">
        <v>1736</v>
      </c>
      <c r="HZ40" s="9">
        <v>915591</v>
      </c>
      <c r="IA40" s="9">
        <v>1762</v>
      </c>
      <c r="IB40" s="11">
        <v>149449.61199999999</v>
      </c>
      <c r="IC40" s="11">
        <v>331.267</v>
      </c>
      <c r="ID40" s="14">
        <f t="shared" ref="ID40:II40" si="348">GN40-HL40</f>
        <v>6.416356833333329</v>
      </c>
      <c r="IE40" s="14">
        <f t="shared" si="348"/>
        <v>6.472447166666659</v>
      </c>
      <c r="IF40" s="14">
        <f t="shared" si="348"/>
        <v>6.5078921666666654</v>
      </c>
      <c r="IG40" s="14">
        <f t="shared" si="348"/>
        <v>6.4281121666666685</v>
      </c>
      <c r="IH40" s="14">
        <f t="shared" si="348"/>
        <v>6.4873858333333283</v>
      </c>
      <c r="II40" s="14">
        <f t="shared" si="348"/>
        <v>6.5052176666666615</v>
      </c>
      <c r="IJ40" s="15">
        <f t="shared" ref="IJ40:IO40" si="349">GZ40-HR40</f>
        <v>6.4469803333333378</v>
      </c>
      <c r="IK40" s="15">
        <f t="shared" si="349"/>
        <v>6.5172010000000018</v>
      </c>
      <c r="IL40" s="15">
        <f t="shared" si="349"/>
        <v>6.4253728333333351</v>
      </c>
      <c r="IM40" s="15">
        <f t="shared" si="349"/>
        <v>6.4643501666666658</v>
      </c>
      <c r="IN40" s="15">
        <f t="shared" si="349"/>
        <v>6.484831000000006</v>
      </c>
      <c r="IO40" s="15">
        <f t="shared" si="349"/>
        <v>6.4602028333333372</v>
      </c>
      <c r="IP40" s="16">
        <f t="shared" ref="IP40" si="350">(HX40-HX39)*1000</f>
        <v>841000</v>
      </c>
      <c r="IQ40" s="16">
        <f t="shared" ref="IQ40" si="351">(HY40-HY39)*1000</f>
        <v>1000</v>
      </c>
      <c r="IR40" s="16">
        <f t="shared" ref="IR40" si="352">(HZ40-HZ39)*1000</f>
        <v>840000</v>
      </c>
      <c r="IS40" s="16">
        <f t="shared" ref="IS40" si="353">(IA40-IA39)*1000</f>
        <v>2000</v>
      </c>
      <c r="IT40" s="16">
        <f t="shared" ref="IT40" si="354">(IB40-IB39)*1000</f>
        <v>1668933.9999999793</v>
      </c>
      <c r="IU40" s="16">
        <f t="shared" ref="IU40" si="355">(IC40-IC39)*1000</f>
        <v>4266.9999999999964</v>
      </c>
      <c r="IV40" s="17">
        <f t="shared" ref="IV40" si="356">(IP40+IR40)-(IQ40+IS40)</f>
        <v>1678000</v>
      </c>
      <c r="IW40" s="17">
        <f t="shared" ref="IW40" si="357">IT40-IU40</f>
        <v>1664666.9999999793</v>
      </c>
      <c r="IX40" s="19">
        <f>(Raw_Data[[#This Row],[Sunset Time (POA&lt;20 W/m2)]]-Raw_Data[[#This Row],[Sunrise Time (POA&gt;20 W/m2)]])*24</f>
        <v>12.733333333333336</v>
      </c>
      <c r="IY40" s="68">
        <f>AVERAGEIF(Raw_Data[[#This Row],[GHI_UP_Net_IS2_W1]:[GHI_UP_Net_IS19_W6]],"&lt;&gt;"&amp;0,Raw_Data[[#This Row],[GHI_UP_Net_IS2_W1]:[GHI_UP_Net_IS19_W6]])</f>
        <v>6.4695686388888847</v>
      </c>
      <c r="IZ40" s="68">
        <f>AVERAGEIF(Raw_Data[[#This Row],[GHI_Down_IS2_W1]:[GHI_Down_IS19_W6]],"&lt;&gt;"&amp;0,Raw_Data[[#This Row],[GHI_Down_IS2_W1]:[GHI_Down_IS19_W6]])</f>
        <v>1.6139406111111108</v>
      </c>
      <c r="JA40" s="68">
        <f>AVERAGEIF(Raw_Data[[#This Row],[POA_Up_IS2_W1]:[POA_Up_IS19_W6]],"&lt;&gt;"&amp;0,Raw_Data[[#This Row],[POA_Up_IS2_W1]:[POA_Up_IS19_W6]])</f>
        <v>6.4664896944444479</v>
      </c>
      <c r="JB40" s="68">
        <f>AVERAGEIF(Raw_Data[[#This Row],[POA_Down_IS2_W1]:[POA_Down_IS19_W6]],"&lt;&gt;"&amp;0,Raw_Data[[#This Row],[POA_Down_IS2_W1]:[POA_Down_IS19_W6]])</f>
        <v>0.49321230555555567</v>
      </c>
      <c r="JC40" s="69">
        <f>Raw_Data[[#This Row],[GHI-Down(KWh/m2)]]/Raw_Data[[#This Row],[GHI-UP (KWh/m2)]]</f>
        <v>0.24946649478446475</v>
      </c>
      <c r="JD40" s="72">
        <f>Raw_Data[[#This Row],[POA-Down(KWh/m2)]]/Raw_Data[[#This Row],[POA-UP(KWh/m2)]]</f>
        <v>7.6272031482442312E-2</v>
      </c>
      <c r="JE40" s="68">
        <f>AVERAGEIF(Raw_Data[[#This Row],[Amb_Temp_IS2_W1]:[Amb_Temp_IS19_W6]],"&lt;&gt;"&amp;0,Raw_Data[[#This Row],[Amb_Temp_IS2_W1]:[Amb_Temp_IS19_W6]])</f>
        <v>36.757075055187642</v>
      </c>
      <c r="JF40" s="68">
        <f>AVERAGEIF(Raw_Data[[#This Row],[MT_Temp_IS2_W1]:[MT_Temp_IS19_W6]],"&lt;&gt;"&amp;0,Raw_Data[[#This Row],[MT_Temp_IS2_W1]:[MT_Temp_IS19_W6]])</f>
        <v>49.633333333333333</v>
      </c>
      <c r="JG40" s="68">
        <f>AVERAGEIF(Raw_Data[[#This Row],[WS_Avg_IS2_W1]:[WS_Avg_IS19_W6]],"&lt;&gt;"&amp;0,Raw_Data[[#This Row],[WS_Avg_IS2_W1]:[WS_Avg_IS19_W6]])</f>
        <v>2.7712574351633568</v>
      </c>
      <c r="JH40" s="68">
        <f>AVERAGEIF(Raw_Data[[#This Row],[WS_Max_IS2_W1]:[WS_Max_IS19_W6]],"&lt;&gt;"&amp;0,Raw_Data[[#This Row],[WS_Max_IS2_W1]:[WS_Max_IS19_W6]])</f>
        <v>7.1905555000000012</v>
      </c>
      <c r="JI40" s="70">
        <f>SUM(Raw_Data[[#This Row],[IS1_INV1_M1]:[IS20_INV4_M2]])</f>
        <v>1677908.7999999998</v>
      </c>
      <c r="JJ40" s="73">
        <v>1642199.9999999825</v>
      </c>
      <c r="JK40" s="71">
        <v>2113024.5465521808</v>
      </c>
      <c r="JL40" s="143">
        <f>IFERROR(Raw_Data[[#This Row],[WPR_Eac]]/Raw_Data[[#This Row],[WPR_Edc]],"")</f>
        <v>0.77717980261022424</v>
      </c>
      <c r="JM40" s="6">
        <v>25</v>
      </c>
      <c r="JN40" s="6">
        <v>0</v>
      </c>
    </row>
    <row r="41" spans="2:274">
      <c r="B41" s="67">
        <f t="shared" si="21"/>
        <v>45780</v>
      </c>
      <c r="C41" s="9">
        <f>YEAR(Raw_Data[[#This Row],[Date]])+IF(MONTH(Raw_Data[[#This Row],[Date]])&gt;=4,1,0)</f>
        <v>2026</v>
      </c>
      <c r="D41" s="6">
        <f t="shared" ref="D41:D46" si="358">YEAR(B41)</f>
        <v>2025</v>
      </c>
      <c r="E41" s="7" t="s">
        <v>361</v>
      </c>
      <c r="F41" s="7" t="s">
        <v>361</v>
      </c>
      <c r="G41" s="8">
        <v>45778</v>
      </c>
      <c r="H41" s="6">
        <f t="shared" ref="H41:H46" si="359">DAY(EOMONTH(B41,0))</f>
        <v>31</v>
      </c>
      <c r="I41" s="9">
        <v>335090.89</v>
      </c>
      <c r="J41" s="10">
        <v>0.27430555555555558</v>
      </c>
      <c r="K41" s="10">
        <v>0.80555555555555558</v>
      </c>
      <c r="L41" s="9">
        <v>10982.3</v>
      </c>
      <c r="M41" s="9">
        <v>11490</v>
      </c>
      <c r="N41" s="9">
        <v>11382.2</v>
      </c>
      <c r="O41" s="9">
        <v>11383.1</v>
      </c>
      <c r="P41" s="9">
        <v>11410.4</v>
      </c>
      <c r="Q41" s="9">
        <v>11584.1</v>
      </c>
      <c r="R41" s="9">
        <v>11435.3</v>
      </c>
      <c r="S41" s="9">
        <v>11917.2</v>
      </c>
      <c r="T41" s="9">
        <v>11537.3</v>
      </c>
      <c r="U41" s="9">
        <v>11539.9</v>
      </c>
      <c r="V41" s="9">
        <v>11297.3</v>
      </c>
      <c r="W41" s="9">
        <v>11403.5</v>
      </c>
      <c r="X41" s="9">
        <v>11538.3</v>
      </c>
      <c r="Y41" s="9">
        <v>11337.7</v>
      </c>
      <c r="Z41" s="9">
        <v>11467.2</v>
      </c>
      <c r="AA41" s="9">
        <v>11608.2</v>
      </c>
      <c r="AB41" s="9">
        <v>11460.4</v>
      </c>
      <c r="AC41" s="9">
        <v>11488.8</v>
      </c>
      <c r="AD41" s="9">
        <v>11451.2</v>
      </c>
      <c r="AE41" s="9">
        <v>11518.9</v>
      </c>
      <c r="AF41" s="9">
        <v>11438.8</v>
      </c>
      <c r="AG41" s="9">
        <v>11412.7</v>
      </c>
      <c r="AH41" s="9">
        <v>11209</v>
      </c>
      <c r="AI41" s="9">
        <v>11284.8</v>
      </c>
      <c r="AJ41" s="9">
        <v>11161.7</v>
      </c>
      <c r="AK41" s="9">
        <v>9766.2000000000007</v>
      </c>
      <c r="AL41" s="9">
        <v>11210.2</v>
      </c>
      <c r="AM41" s="9">
        <v>11102</v>
      </c>
      <c r="AN41" s="9">
        <v>11464</v>
      </c>
      <c r="AO41" s="9">
        <v>11287.7</v>
      </c>
      <c r="AP41" s="9">
        <v>11236.4</v>
      </c>
      <c r="AQ41" s="9">
        <v>11502.7</v>
      </c>
      <c r="AR41" s="9">
        <v>11419.5</v>
      </c>
      <c r="AS41" s="9">
        <v>11525.4</v>
      </c>
      <c r="AT41" s="9">
        <v>11536.8</v>
      </c>
      <c r="AU41" s="9">
        <v>11419.5</v>
      </c>
      <c r="AV41" s="9">
        <v>11552.4</v>
      </c>
      <c r="AW41" s="9">
        <v>11328.5</v>
      </c>
      <c r="AX41" s="9">
        <v>11357.4</v>
      </c>
      <c r="AY41" s="9">
        <v>11405.8</v>
      </c>
      <c r="AZ41" s="9">
        <v>12105.9</v>
      </c>
      <c r="BA41" s="9">
        <v>10797</v>
      </c>
      <c r="BB41" s="9">
        <v>11929.8</v>
      </c>
      <c r="BC41" s="9">
        <v>10594.8</v>
      </c>
      <c r="BD41" s="9">
        <v>11285.4</v>
      </c>
      <c r="BE41" s="9">
        <v>12702.1</v>
      </c>
      <c r="BF41" s="9">
        <v>10574.1</v>
      </c>
      <c r="BG41" s="9">
        <v>12206.6</v>
      </c>
      <c r="BH41" s="9">
        <v>11532.4</v>
      </c>
      <c r="BI41" s="9">
        <v>11663.8</v>
      </c>
      <c r="BJ41" s="9">
        <v>11518.8</v>
      </c>
      <c r="BK41" s="9">
        <v>10778.9</v>
      </c>
      <c r="BL41" s="9">
        <v>11948.4</v>
      </c>
      <c r="BM41" s="9">
        <v>11693.6</v>
      </c>
      <c r="BN41" s="9">
        <v>11883.5</v>
      </c>
      <c r="BO41" s="9">
        <v>11645.3</v>
      </c>
      <c r="BP41" s="9">
        <v>10456.6</v>
      </c>
      <c r="BQ41" s="9">
        <v>12045.1</v>
      </c>
      <c r="BR41" s="9">
        <v>10523.1</v>
      </c>
      <c r="BS41" s="9">
        <v>12042</v>
      </c>
      <c r="BT41" s="9">
        <v>11887.9</v>
      </c>
      <c r="BU41" s="9">
        <v>10519.1</v>
      </c>
      <c r="BV41" s="9">
        <v>11474.7</v>
      </c>
      <c r="BW41" s="9">
        <v>10838</v>
      </c>
      <c r="BX41" s="9">
        <v>11225.6</v>
      </c>
      <c r="BY41" s="9">
        <v>10571.2</v>
      </c>
      <c r="BZ41" s="9">
        <v>11224.3</v>
      </c>
      <c r="CA41" s="9">
        <v>11563</v>
      </c>
      <c r="CB41" s="9">
        <v>12108.4</v>
      </c>
      <c r="CC41" s="9">
        <v>10721.3</v>
      </c>
      <c r="CD41" s="9">
        <v>11900.4</v>
      </c>
      <c r="CE41" s="9">
        <v>10285.299999999999</v>
      </c>
      <c r="CF41" s="9">
        <v>11485</v>
      </c>
      <c r="CG41" s="9">
        <v>11168.4</v>
      </c>
      <c r="CH41" s="9">
        <v>10604.4</v>
      </c>
      <c r="CI41" s="9">
        <v>11877.2</v>
      </c>
      <c r="CJ41" s="9">
        <v>10426.6</v>
      </c>
      <c r="CK41" s="9">
        <v>12094.6</v>
      </c>
      <c r="CL41" s="9">
        <v>10520.2</v>
      </c>
      <c r="CM41" s="9">
        <v>11846.7</v>
      </c>
      <c r="CN41" s="9">
        <v>10707</v>
      </c>
      <c r="CO41" s="9">
        <v>11647.8</v>
      </c>
      <c r="CP41" s="9">
        <v>10860.4</v>
      </c>
      <c r="CQ41" s="9">
        <v>12074</v>
      </c>
      <c r="CR41" s="9">
        <v>10727.9</v>
      </c>
      <c r="CS41" s="9">
        <v>11433.5</v>
      </c>
      <c r="CT41" s="9">
        <v>10506.6</v>
      </c>
      <c r="CU41" s="9">
        <v>9296.5</v>
      </c>
      <c r="CV41" s="9">
        <v>11278</v>
      </c>
      <c r="CW41" s="9">
        <v>11090.2</v>
      </c>
      <c r="CX41" s="9">
        <v>10122.700000000001</v>
      </c>
      <c r="CY41" s="9">
        <v>11810.7</v>
      </c>
      <c r="CZ41" s="9">
        <v>11469.5</v>
      </c>
      <c r="DA41" s="9">
        <v>10501.1</v>
      </c>
      <c r="DB41" s="9">
        <v>10408.299999999999</v>
      </c>
      <c r="DC41" s="9">
        <v>11334.2</v>
      </c>
      <c r="DD41" s="9">
        <v>10119.799999999999</v>
      </c>
      <c r="DE41" s="9">
        <v>10758.2</v>
      </c>
      <c r="DF41" s="9">
        <v>11818.3</v>
      </c>
      <c r="DG41" s="9">
        <v>10390.5</v>
      </c>
      <c r="DH41" s="9">
        <v>11780.7</v>
      </c>
      <c r="DI41" s="9">
        <v>10296.1</v>
      </c>
      <c r="DJ41" s="9">
        <v>11529</v>
      </c>
      <c r="DK41" s="9">
        <v>10534</v>
      </c>
      <c r="DL41" s="9">
        <v>11720.9</v>
      </c>
      <c r="DM41" s="9">
        <v>10015.700000000001</v>
      </c>
      <c r="DN41" s="9">
        <v>11795.1</v>
      </c>
      <c r="DO41" s="9">
        <v>10565.6</v>
      </c>
      <c r="DP41" s="9">
        <v>11553</v>
      </c>
      <c r="DQ41" s="9">
        <v>10449.799999999999</v>
      </c>
      <c r="DR41" s="9">
        <v>11482.2</v>
      </c>
      <c r="DS41" s="9">
        <v>10660.1</v>
      </c>
      <c r="DT41" s="9">
        <v>10483.299999999999</v>
      </c>
      <c r="DU41" s="9">
        <v>11640.1</v>
      </c>
      <c r="DV41" s="9">
        <v>10579.5</v>
      </c>
      <c r="DW41" s="9">
        <v>10369.1</v>
      </c>
      <c r="DX41" s="9">
        <v>11728.1</v>
      </c>
      <c r="DY41" s="9">
        <v>11936.1</v>
      </c>
      <c r="DZ41" s="9">
        <v>11644.1</v>
      </c>
      <c r="EA41" s="9">
        <v>10711.2</v>
      </c>
      <c r="EB41" s="9">
        <v>11825.6</v>
      </c>
      <c r="EC41" s="9">
        <v>10488.7</v>
      </c>
      <c r="ED41" s="9">
        <v>11404.9</v>
      </c>
      <c r="EE41" s="9">
        <v>10578.9</v>
      </c>
      <c r="EF41" s="9">
        <v>11136.5</v>
      </c>
      <c r="EG41" s="9">
        <v>9796.4</v>
      </c>
      <c r="EH41" s="9">
        <v>11436.2</v>
      </c>
      <c r="EI41" s="9">
        <v>10507.6</v>
      </c>
      <c r="EJ41" s="9">
        <v>10678.2</v>
      </c>
      <c r="EK41" s="9">
        <v>10677</v>
      </c>
      <c r="EL41" s="9">
        <v>10405.299999999999</v>
      </c>
      <c r="EM41" s="9">
        <v>9067.2000000000007</v>
      </c>
      <c r="EN41" s="9">
        <v>10466.6</v>
      </c>
      <c r="EO41" s="9">
        <v>9194.1</v>
      </c>
      <c r="EP41" s="9">
        <v>10556.8</v>
      </c>
      <c r="EQ41" s="9">
        <v>10572.7</v>
      </c>
      <c r="ER41" s="9">
        <v>12519.7</v>
      </c>
      <c r="ES41" s="9">
        <v>10802.4</v>
      </c>
      <c r="ET41" s="9">
        <v>12612.6</v>
      </c>
      <c r="EU41" s="9">
        <v>11045</v>
      </c>
      <c r="EV41" s="9">
        <v>12359.3</v>
      </c>
      <c r="EW41" s="9">
        <v>10801.2</v>
      </c>
      <c r="EX41" s="9">
        <v>11083.3</v>
      </c>
      <c r="EY41" s="9">
        <v>10748.6</v>
      </c>
      <c r="EZ41" s="9">
        <v>9787.4</v>
      </c>
      <c r="FA41" s="9">
        <v>9832.2999999999993</v>
      </c>
      <c r="FB41" s="9">
        <v>12499.2</v>
      </c>
      <c r="FC41" s="9">
        <v>12442</v>
      </c>
      <c r="FD41" s="9">
        <v>12429.9</v>
      </c>
      <c r="FE41" s="9">
        <v>12479.3</v>
      </c>
      <c r="FF41" s="9">
        <v>11213.3</v>
      </c>
      <c r="FG41" s="9">
        <v>12530</v>
      </c>
      <c r="FH41" s="9">
        <v>12556.7</v>
      </c>
      <c r="FI41" s="9">
        <v>12631.3</v>
      </c>
      <c r="FJ41" s="9">
        <v>12537.3</v>
      </c>
      <c r="FK41" s="9">
        <v>12581.1</v>
      </c>
      <c r="FL41" s="9">
        <v>12598.2</v>
      </c>
      <c r="FM41" s="9">
        <v>11205.2</v>
      </c>
      <c r="FN41" s="9">
        <v>12641</v>
      </c>
      <c r="FO41" s="9">
        <v>11312.2</v>
      </c>
      <c r="FP41" s="11">
        <v>37.830761154855594</v>
      </c>
      <c r="FQ41" s="11">
        <v>37.426233595800532</v>
      </c>
      <c r="FR41" s="11">
        <v>37.767099737532831</v>
      </c>
      <c r="FS41" s="11">
        <v>37.682086614173251</v>
      </c>
      <c r="FT41" s="11">
        <v>37.577664041994744</v>
      </c>
      <c r="FU41" s="11">
        <v>37.711574803149603</v>
      </c>
      <c r="FV41" s="11">
        <v>0</v>
      </c>
      <c r="FW41" s="11">
        <v>51.125763188976428</v>
      </c>
      <c r="FX41" s="11">
        <v>0</v>
      </c>
      <c r="FY41" s="11">
        <v>0</v>
      </c>
      <c r="FZ41" s="11">
        <v>50.95043307086614</v>
      </c>
      <c r="GA41" s="11">
        <v>51.380170603674522</v>
      </c>
      <c r="GB41" s="11">
        <v>4.2451660471128623</v>
      </c>
      <c r="GC41" s="11">
        <v>4.4656428338582694</v>
      </c>
      <c r="GD41" s="11">
        <v>3.9139696528871419</v>
      </c>
      <c r="GE41" s="11">
        <v>3.2982588003805775</v>
      </c>
      <c r="GF41" s="11">
        <v>4.2792517775590575</v>
      </c>
      <c r="GG41" s="11">
        <v>4.2210081303149654</v>
      </c>
      <c r="GH41" s="11">
        <v>9.5316659999999995</v>
      </c>
      <c r="GI41" s="11">
        <v>10.18167</v>
      </c>
      <c r="GJ41" s="11">
        <v>9.0766670000000005</v>
      </c>
      <c r="GK41" s="11">
        <v>9.4066659999999995</v>
      </c>
      <c r="GL41" s="11">
        <v>11.06</v>
      </c>
      <c r="GM41" s="11">
        <v>9.5500000000000007</v>
      </c>
      <c r="GN41" s="11">
        <v>6.9264035000000055</v>
      </c>
      <c r="GO41" s="11">
        <v>6.888905666666659</v>
      </c>
      <c r="GP41" s="11">
        <v>6.9038198333333334</v>
      </c>
      <c r="GQ41" s="11">
        <v>6.904967166666669</v>
      </c>
      <c r="GR41" s="11">
        <v>6.9722309999999972</v>
      </c>
      <c r="GS41" s="11">
        <v>7.1033645000000005</v>
      </c>
      <c r="GT41" s="108">
        <v>1.6074908333333342</v>
      </c>
      <c r="GU41" s="108">
        <v>1.7368474999999985</v>
      </c>
      <c r="GV41" s="108">
        <v>1.4794350000000027</v>
      </c>
      <c r="GW41" s="108">
        <v>1.9952469999999991</v>
      </c>
      <c r="GX41" s="108">
        <v>1.8768388333333359</v>
      </c>
      <c r="GY41" s="108">
        <v>1.7413546666666657</v>
      </c>
      <c r="GZ41" s="13">
        <v>6.9542046666666701</v>
      </c>
      <c r="HA41" s="13">
        <v>6.930137666666667</v>
      </c>
      <c r="HB41" s="13">
        <v>6.8012343333333298</v>
      </c>
      <c r="HC41" s="13">
        <v>0</v>
      </c>
      <c r="HD41" s="13">
        <v>6.9381826666666706</v>
      </c>
      <c r="HE41" s="13">
        <v>7.0720230000000051</v>
      </c>
      <c r="HF41" s="13">
        <v>0.52090233333333325</v>
      </c>
      <c r="HG41" s="13">
        <v>0.57677399999999956</v>
      </c>
      <c r="HH41" s="13">
        <v>0.50954316666666688</v>
      </c>
      <c r="HI41" s="13">
        <v>0.546434166666667</v>
      </c>
      <c r="HJ41" s="13">
        <v>0.5334060000000006</v>
      </c>
      <c r="HK41" s="13">
        <v>0.5843563333333337</v>
      </c>
      <c r="HL41" s="12">
        <v>0</v>
      </c>
      <c r="HM41" s="12">
        <v>0</v>
      </c>
      <c r="HN41" s="12">
        <v>0</v>
      </c>
      <c r="HO41" s="12">
        <v>0</v>
      </c>
      <c r="HP41" s="12">
        <v>0</v>
      </c>
      <c r="HQ41" s="12">
        <v>0</v>
      </c>
      <c r="HR41" s="12">
        <v>0</v>
      </c>
      <c r="HS41" s="12">
        <v>0</v>
      </c>
      <c r="HT41" s="12">
        <v>0</v>
      </c>
      <c r="HU41" s="12">
        <v>0</v>
      </c>
      <c r="HV41" s="12">
        <v>0</v>
      </c>
      <c r="HW41" s="12">
        <v>0</v>
      </c>
      <c r="HX41" s="9">
        <v>929776</v>
      </c>
      <c r="HY41" s="9">
        <v>1738</v>
      </c>
      <c r="HZ41" s="9">
        <v>916470</v>
      </c>
      <c r="IA41" s="9">
        <v>1763</v>
      </c>
      <c r="IB41" s="11">
        <v>151241.212</v>
      </c>
      <c r="IC41" s="11">
        <v>335.6</v>
      </c>
      <c r="ID41" s="14">
        <f t="shared" ref="ID41:II41" si="360">GN41-HL41</f>
        <v>6.9264035000000055</v>
      </c>
      <c r="IE41" s="14">
        <f t="shared" si="360"/>
        <v>6.888905666666659</v>
      </c>
      <c r="IF41" s="14">
        <f t="shared" si="360"/>
        <v>6.9038198333333334</v>
      </c>
      <c r="IG41" s="14">
        <f t="shared" si="360"/>
        <v>6.904967166666669</v>
      </c>
      <c r="IH41" s="14">
        <f t="shared" si="360"/>
        <v>6.9722309999999972</v>
      </c>
      <c r="II41" s="14">
        <f t="shared" si="360"/>
        <v>7.1033645000000005</v>
      </c>
      <c r="IJ41" s="15">
        <f t="shared" ref="IJ41:IO41" si="361">GZ41-HR41</f>
        <v>6.9542046666666701</v>
      </c>
      <c r="IK41" s="15">
        <f t="shared" si="361"/>
        <v>6.930137666666667</v>
      </c>
      <c r="IL41" s="15">
        <f t="shared" si="361"/>
        <v>6.8012343333333298</v>
      </c>
      <c r="IM41" s="15">
        <f t="shared" si="361"/>
        <v>0</v>
      </c>
      <c r="IN41" s="15">
        <f t="shared" si="361"/>
        <v>6.9381826666666706</v>
      </c>
      <c r="IO41" s="15">
        <f t="shared" si="361"/>
        <v>7.0720230000000051</v>
      </c>
      <c r="IP41" s="16">
        <f t="shared" ref="IP41" si="362">(HX41-HX40)*1000</f>
        <v>905000</v>
      </c>
      <c r="IQ41" s="16">
        <f t="shared" ref="IQ41" si="363">(HY41-HY40)*1000</f>
        <v>2000</v>
      </c>
      <c r="IR41" s="16">
        <f t="shared" ref="IR41" si="364">(HZ41-HZ40)*1000</f>
        <v>879000</v>
      </c>
      <c r="IS41" s="16">
        <f t="shared" ref="IS41" si="365">(IA41-IA40)*1000</f>
        <v>1000</v>
      </c>
      <c r="IT41" s="16">
        <f t="shared" ref="IT41" si="366">(IB41-IB40)*1000</f>
        <v>1791600.0000000058</v>
      </c>
      <c r="IU41" s="16">
        <f t="shared" ref="IU41" si="367">(IC41-IC40)*1000</f>
        <v>4333.0000000000273</v>
      </c>
      <c r="IV41" s="17">
        <f t="shared" ref="IV41" si="368">(IP41+IR41)-(IQ41+IS41)</f>
        <v>1781000</v>
      </c>
      <c r="IW41" s="17">
        <f t="shared" ref="IW41" si="369">IT41-IU41</f>
        <v>1787267.0000000058</v>
      </c>
      <c r="IX41" s="19">
        <f>(Raw_Data[[#This Row],[Sunset Time (POA&lt;20 W/m2)]]-Raw_Data[[#This Row],[Sunrise Time (POA&gt;20 W/m2)]])*24</f>
        <v>12.75</v>
      </c>
      <c r="IY41" s="68">
        <f>AVERAGEIF(Raw_Data[[#This Row],[GHI_UP_Net_IS2_W1]:[GHI_UP_Net_IS19_W6]],"&lt;&gt;"&amp;0,Raw_Data[[#This Row],[GHI_UP_Net_IS2_W1]:[GHI_UP_Net_IS19_W6]])</f>
        <v>6.9499486111111111</v>
      </c>
      <c r="IZ41" s="68">
        <f>AVERAGEIF(Raw_Data[[#This Row],[GHI_Down_IS2_W1]:[GHI_Down_IS19_W6]],"&lt;&gt;"&amp;0,Raw_Data[[#This Row],[GHI_Down_IS2_W1]:[GHI_Down_IS19_W6]])</f>
        <v>1.7395356388888894</v>
      </c>
      <c r="JA41" s="68">
        <f>AVERAGEIF(Raw_Data[[#This Row],[POA_Up_IS2_W1]:[POA_Up_IS19_W6]],"&lt;&gt;"&amp;0,Raw_Data[[#This Row],[POA_Up_IS2_W1]:[POA_Up_IS19_W6]])</f>
        <v>6.9391564666666685</v>
      </c>
      <c r="JB41" s="68">
        <f>AVERAGEIF(Raw_Data[[#This Row],[POA_Down_IS2_W1]:[POA_Down_IS19_W6]],"&lt;&gt;"&amp;0,Raw_Data[[#This Row],[POA_Down_IS2_W1]:[POA_Down_IS19_W6]])</f>
        <v>0.54523600000000016</v>
      </c>
      <c r="JC41" s="69">
        <f>Raw_Data[[#This Row],[GHI-Down(KWh/m2)]]/Raw_Data[[#This Row],[GHI-UP (KWh/m2)]]</f>
        <v>0.25029474838243215</v>
      </c>
      <c r="JD41" s="72">
        <f>Raw_Data[[#This Row],[POA-Down(KWh/m2)]]/Raw_Data[[#This Row],[POA-UP(KWh/m2)]]</f>
        <v>7.8573815509007064E-2</v>
      </c>
      <c r="JE41" s="68">
        <f>AVERAGEIF(Raw_Data[[#This Row],[Amb_Temp_IS2_W1]:[Amb_Temp_IS19_W6]],"&lt;&gt;"&amp;0,Raw_Data[[#This Row],[Amb_Temp_IS2_W1]:[Amb_Temp_IS19_W6]])</f>
        <v>37.665903324584427</v>
      </c>
      <c r="JF41" s="68">
        <f>AVERAGEIF(Raw_Data[[#This Row],[MT_Temp_IS2_W1]:[MT_Temp_IS19_W6]],"&lt;&gt;"&amp;0,Raw_Data[[#This Row],[MT_Temp_IS2_W1]:[MT_Temp_IS19_W6]])</f>
        <v>51.152122287839028</v>
      </c>
      <c r="JG41" s="68">
        <f>AVERAGEIF(Raw_Data[[#This Row],[WS_Avg_IS2_W1]:[WS_Avg_IS19_W6]],"&lt;&gt;"&amp;0,Raw_Data[[#This Row],[WS_Avg_IS2_W1]:[WS_Avg_IS19_W6]])</f>
        <v>4.0705495403521459</v>
      </c>
      <c r="JH41" s="68">
        <f>AVERAGEIF(Raw_Data[[#This Row],[WS_Max_IS2_W1]:[WS_Max_IS19_W6]],"&lt;&gt;"&amp;0,Raw_Data[[#This Row],[WS_Max_IS2_W1]:[WS_Max_IS19_W6]])</f>
        <v>9.8011114999999993</v>
      </c>
      <c r="JI41" s="70">
        <f>SUM(Raw_Data[[#This Row],[IS1_INV1_M1]:[IS20_INV4_M2]])</f>
        <v>1800994.4000000008</v>
      </c>
      <c r="JJ41" s="73">
        <v>1770200.0000000116</v>
      </c>
      <c r="JK41" s="71">
        <v>2275579.5513930675</v>
      </c>
      <c r="JL41" s="143">
        <f>IFERROR(Raw_Data[[#This Row],[WPR_Eac]]/Raw_Data[[#This Row],[WPR_Edc]],"")</f>
        <v>0.77791171876031673</v>
      </c>
      <c r="JM41" s="6">
        <v>18</v>
      </c>
      <c r="JN41" s="6">
        <v>660</v>
      </c>
    </row>
    <row r="42" spans="2:274">
      <c r="B42" s="67">
        <f t="shared" si="21"/>
        <v>45781</v>
      </c>
      <c r="C42" s="9">
        <f>YEAR(Raw_Data[[#This Row],[Date]])+IF(MONTH(Raw_Data[[#This Row],[Date]])&gt;=4,1,0)</f>
        <v>2026</v>
      </c>
      <c r="D42" s="6">
        <f t="shared" si="358"/>
        <v>2025</v>
      </c>
      <c r="E42" s="7" t="s">
        <v>361</v>
      </c>
      <c r="F42" s="7" t="s">
        <v>361</v>
      </c>
      <c r="G42" s="8">
        <v>45778</v>
      </c>
      <c r="H42" s="6">
        <f t="shared" si="359"/>
        <v>31</v>
      </c>
      <c r="I42" s="9">
        <v>335090.89</v>
      </c>
      <c r="J42" s="10">
        <v>0.26944444444444443</v>
      </c>
      <c r="K42" s="10">
        <v>0.80138888888888893</v>
      </c>
      <c r="L42" s="9">
        <v>11687.2</v>
      </c>
      <c r="M42" s="9">
        <v>12235.8</v>
      </c>
      <c r="N42" s="9">
        <v>12183.7</v>
      </c>
      <c r="O42" s="9">
        <v>12122.8</v>
      </c>
      <c r="P42" s="9">
        <v>12267.6</v>
      </c>
      <c r="Q42" s="9">
        <v>12296.1</v>
      </c>
      <c r="R42" s="9">
        <v>12342.8</v>
      </c>
      <c r="S42" s="9">
        <v>12592.5</v>
      </c>
      <c r="T42" s="9">
        <v>12240.9</v>
      </c>
      <c r="U42" s="9">
        <v>12302.7</v>
      </c>
      <c r="V42" s="9">
        <v>12108.5</v>
      </c>
      <c r="W42" s="9">
        <v>12249.1</v>
      </c>
      <c r="X42" s="9">
        <v>12212</v>
      </c>
      <c r="Y42" s="9">
        <v>12192.1</v>
      </c>
      <c r="Z42" s="9">
        <v>12253.3</v>
      </c>
      <c r="AA42" s="9">
        <v>12288.2</v>
      </c>
      <c r="AB42" s="9">
        <v>12187.4</v>
      </c>
      <c r="AC42" s="9">
        <v>12199.3</v>
      </c>
      <c r="AD42" s="9">
        <v>12247.2</v>
      </c>
      <c r="AE42" s="9">
        <v>12318.3</v>
      </c>
      <c r="AF42" s="9">
        <v>12261.2</v>
      </c>
      <c r="AG42" s="9">
        <v>12268.5</v>
      </c>
      <c r="AH42" s="9">
        <v>12016.6</v>
      </c>
      <c r="AI42" s="9">
        <v>12131.9</v>
      </c>
      <c r="AJ42" s="9">
        <v>11984</v>
      </c>
      <c r="AK42" s="9">
        <v>10529.2</v>
      </c>
      <c r="AL42" s="9">
        <v>11997.5</v>
      </c>
      <c r="AM42" s="9">
        <v>11956.4</v>
      </c>
      <c r="AN42" s="9">
        <v>12284.3</v>
      </c>
      <c r="AO42" s="9">
        <v>12181.1</v>
      </c>
      <c r="AP42" s="9">
        <v>12027</v>
      </c>
      <c r="AQ42" s="9">
        <v>12257.4</v>
      </c>
      <c r="AR42" s="9">
        <v>12299.7</v>
      </c>
      <c r="AS42" s="9">
        <v>12246.2</v>
      </c>
      <c r="AT42" s="9">
        <v>12431.1</v>
      </c>
      <c r="AU42" s="9">
        <v>12327.2</v>
      </c>
      <c r="AV42" s="9">
        <v>12337.6</v>
      </c>
      <c r="AW42" s="9">
        <v>12176.9</v>
      </c>
      <c r="AX42" s="9">
        <v>12188.3</v>
      </c>
      <c r="AY42" s="9">
        <v>12111.7</v>
      </c>
      <c r="AZ42" s="9">
        <v>12899.4</v>
      </c>
      <c r="BA42" s="9">
        <v>11795.9</v>
      </c>
      <c r="BB42" s="9">
        <v>12742.2</v>
      </c>
      <c r="BC42" s="9">
        <v>11580.1</v>
      </c>
      <c r="BD42" s="9">
        <v>12282.9</v>
      </c>
      <c r="BE42" s="9">
        <v>13364.7</v>
      </c>
      <c r="BF42" s="9">
        <v>11647.3</v>
      </c>
      <c r="BG42" s="9">
        <v>12926.9</v>
      </c>
      <c r="BH42" s="9">
        <v>12359.8</v>
      </c>
      <c r="BI42" s="9">
        <v>12477.7</v>
      </c>
      <c r="BJ42" s="9">
        <v>12309.4</v>
      </c>
      <c r="BK42" s="9">
        <v>11703.5</v>
      </c>
      <c r="BL42" s="9">
        <v>12632.2</v>
      </c>
      <c r="BM42" s="9">
        <v>12483.6</v>
      </c>
      <c r="BN42" s="9">
        <v>12592.7</v>
      </c>
      <c r="BO42" s="9">
        <v>12520.3</v>
      </c>
      <c r="BP42" s="9">
        <v>11278.8</v>
      </c>
      <c r="BQ42" s="9">
        <v>12797.9</v>
      </c>
      <c r="BR42" s="9">
        <v>11262.1</v>
      </c>
      <c r="BS42" s="9">
        <v>12730.4</v>
      </c>
      <c r="BT42" s="9">
        <v>12626.9</v>
      </c>
      <c r="BU42" s="9">
        <v>11237</v>
      </c>
      <c r="BV42" s="9">
        <v>12397</v>
      </c>
      <c r="BW42" s="9">
        <v>11871.8</v>
      </c>
      <c r="BX42" s="9">
        <v>11957.3</v>
      </c>
      <c r="BY42" s="9">
        <v>11228.2</v>
      </c>
      <c r="BZ42" s="9">
        <v>11950.2</v>
      </c>
      <c r="CA42" s="9">
        <v>12334.3</v>
      </c>
      <c r="CB42" s="9">
        <v>12612</v>
      </c>
      <c r="CC42" s="9">
        <v>11466</v>
      </c>
      <c r="CD42" s="9">
        <v>12527.7</v>
      </c>
      <c r="CE42" s="9">
        <v>11030.3</v>
      </c>
      <c r="CF42" s="9">
        <v>12222.9</v>
      </c>
      <c r="CG42" s="9">
        <v>11937.5</v>
      </c>
      <c r="CH42" s="9">
        <v>11340.5</v>
      </c>
      <c r="CI42" s="9">
        <v>12503.6</v>
      </c>
      <c r="CJ42" s="9">
        <v>11132.5</v>
      </c>
      <c r="CK42" s="9">
        <v>12719.5</v>
      </c>
      <c r="CL42" s="9">
        <v>11355.8</v>
      </c>
      <c r="CM42" s="9">
        <v>12551.8</v>
      </c>
      <c r="CN42" s="9">
        <v>11493.5</v>
      </c>
      <c r="CO42" s="9">
        <v>12339.8</v>
      </c>
      <c r="CP42" s="9">
        <v>11613.8</v>
      </c>
      <c r="CQ42" s="9">
        <v>12682.1</v>
      </c>
      <c r="CR42" s="9">
        <v>11475.8</v>
      </c>
      <c r="CS42" s="9">
        <v>12116.6</v>
      </c>
      <c r="CT42" s="9">
        <v>11468.2</v>
      </c>
      <c r="CU42" s="9">
        <v>10059.1</v>
      </c>
      <c r="CV42" s="9">
        <v>12443.7</v>
      </c>
      <c r="CW42" s="9">
        <v>11974.5</v>
      </c>
      <c r="CX42" s="9">
        <v>11155.6</v>
      </c>
      <c r="CY42" s="9">
        <v>12758.9</v>
      </c>
      <c r="CZ42" s="9">
        <v>12442</v>
      </c>
      <c r="DA42" s="9">
        <v>11586.6</v>
      </c>
      <c r="DB42" s="9">
        <v>11450.3</v>
      </c>
      <c r="DC42" s="9">
        <v>12496.3</v>
      </c>
      <c r="DD42" s="9">
        <v>11316.7</v>
      </c>
      <c r="DE42" s="9">
        <v>11685.9</v>
      </c>
      <c r="DF42" s="9">
        <v>12620.2</v>
      </c>
      <c r="DG42" s="9">
        <v>11147.7</v>
      </c>
      <c r="DH42" s="9">
        <v>12666.5</v>
      </c>
      <c r="DI42" s="9">
        <v>11135.2</v>
      </c>
      <c r="DJ42" s="9">
        <v>12359.7</v>
      </c>
      <c r="DK42" s="9">
        <v>11414.3</v>
      </c>
      <c r="DL42" s="9">
        <v>12407</v>
      </c>
      <c r="DM42" s="9">
        <v>10795</v>
      </c>
      <c r="DN42" s="9">
        <v>12466</v>
      </c>
      <c r="DO42" s="9">
        <v>11292</v>
      </c>
      <c r="DP42" s="9">
        <v>12324</v>
      </c>
      <c r="DQ42" s="9">
        <v>11263</v>
      </c>
      <c r="DR42" s="9">
        <v>12280</v>
      </c>
      <c r="DS42" s="9">
        <v>11433</v>
      </c>
      <c r="DT42" s="9">
        <v>11163.9</v>
      </c>
      <c r="DU42" s="9">
        <v>12300.1</v>
      </c>
      <c r="DV42" s="9">
        <v>11318.1</v>
      </c>
      <c r="DW42" s="9">
        <v>11081.3</v>
      </c>
      <c r="DX42" s="9">
        <v>12409.2</v>
      </c>
      <c r="DY42" s="9">
        <v>12467.2</v>
      </c>
      <c r="DZ42" s="9">
        <v>12292.6</v>
      </c>
      <c r="EA42" s="9">
        <v>11311.5</v>
      </c>
      <c r="EB42" s="9">
        <v>12392.5</v>
      </c>
      <c r="EC42" s="9">
        <v>11163.4</v>
      </c>
      <c r="ED42" s="9">
        <v>12138.9</v>
      </c>
      <c r="EE42" s="9">
        <v>11295.4</v>
      </c>
      <c r="EF42" s="9">
        <v>12010.1</v>
      </c>
      <c r="EG42" s="9">
        <v>10462.1</v>
      </c>
      <c r="EH42" s="9">
        <v>12156</v>
      </c>
      <c r="EI42" s="9">
        <v>11163.7</v>
      </c>
      <c r="EJ42" s="9">
        <v>11444</v>
      </c>
      <c r="EK42" s="9">
        <v>11558.9</v>
      </c>
      <c r="EL42" s="9">
        <v>11247.1</v>
      </c>
      <c r="EM42" s="9">
        <v>9729.6</v>
      </c>
      <c r="EN42" s="9">
        <v>11333.9</v>
      </c>
      <c r="EO42" s="9">
        <v>10032.4</v>
      </c>
      <c r="EP42" s="9">
        <v>11270.6</v>
      </c>
      <c r="EQ42" s="9">
        <v>11312.8</v>
      </c>
      <c r="ER42" s="9">
        <v>12823.7</v>
      </c>
      <c r="ES42" s="9">
        <v>11413</v>
      </c>
      <c r="ET42" s="9">
        <v>12889.3</v>
      </c>
      <c r="EU42" s="9">
        <v>11649.8</v>
      </c>
      <c r="EV42" s="9">
        <v>12838.4</v>
      </c>
      <c r="EW42" s="9">
        <v>11567.6</v>
      </c>
      <c r="EX42" s="9">
        <v>11746.8</v>
      </c>
      <c r="EY42" s="9">
        <v>11526.3</v>
      </c>
      <c r="EZ42" s="9">
        <v>12505.7</v>
      </c>
      <c r="FA42" s="9">
        <v>12875.9</v>
      </c>
      <c r="FB42" s="9">
        <v>12826</v>
      </c>
      <c r="FC42" s="9">
        <v>12736.7</v>
      </c>
      <c r="FD42" s="9">
        <v>12740.4</v>
      </c>
      <c r="FE42" s="9">
        <v>12775</v>
      </c>
      <c r="FF42" s="9">
        <v>11778.4</v>
      </c>
      <c r="FG42" s="9">
        <v>12798.2</v>
      </c>
      <c r="FH42" s="9">
        <v>12895.7</v>
      </c>
      <c r="FI42" s="9">
        <v>12893</v>
      </c>
      <c r="FJ42" s="9">
        <v>12781</v>
      </c>
      <c r="FK42" s="9">
        <v>12859</v>
      </c>
      <c r="FL42" s="9">
        <v>12891</v>
      </c>
      <c r="FM42" s="9">
        <v>11722</v>
      </c>
      <c r="FN42" s="9">
        <v>12869.3</v>
      </c>
      <c r="FO42" s="9">
        <v>11829.3</v>
      </c>
      <c r="FP42" s="11">
        <v>30.869722222222201</v>
      </c>
      <c r="FQ42" s="11">
        <v>30.535145502645502</v>
      </c>
      <c r="FR42" s="11">
        <v>30.649867724867672</v>
      </c>
      <c r="FS42" s="11">
        <v>30.62149470899471</v>
      </c>
      <c r="FT42" s="11">
        <v>30.311600529100506</v>
      </c>
      <c r="FU42" s="11">
        <v>30.541468253968244</v>
      </c>
      <c r="FV42" s="11">
        <v>0</v>
      </c>
      <c r="FW42" s="11">
        <v>43.5</v>
      </c>
      <c r="FX42" s="11">
        <v>0</v>
      </c>
      <c r="FY42" s="11">
        <v>0</v>
      </c>
      <c r="FZ42" s="11">
        <v>43.392121283068853</v>
      </c>
      <c r="GA42" s="11">
        <v>43.7</v>
      </c>
      <c r="GB42" s="11">
        <v>4.549587572751328</v>
      </c>
      <c r="GC42" s="11">
        <v>4.3386550368650827</v>
      </c>
      <c r="GD42" s="11">
        <v>4.0510866816137563</v>
      </c>
      <c r="GE42" s="11">
        <v>3.0603702303703697</v>
      </c>
      <c r="GF42" s="11">
        <v>4.4053326865079399</v>
      </c>
      <c r="GG42" s="11">
        <v>4.1705112988095214</v>
      </c>
      <c r="GH42" s="11">
        <v>8.0283329999999999</v>
      </c>
      <c r="GI42" s="11">
        <v>7.74</v>
      </c>
      <c r="GJ42" s="11">
        <v>8.1899990000000003</v>
      </c>
      <c r="GK42" s="11">
        <v>7.41</v>
      </c>
      <c r="GL42" s="11">
        <v>7.6733330000000004</v>
      </c>
      <c r="GM42" s="11">
        <v>7.9683330000000003</v>
      </c>
      <c r="GN42" s="11">
        <v>6.840958166666665</v>
      </c>
      <c r="GO42" s="11">
        <v>6.9159184999999974</v>
      </c>
      <c r="GP42" s="11">
        <v>6.9383043333333267</v>
      </c>
      <c r="GQ42" s="11">
        <v>6.8834510000000044</v>
      </c>
      <c r="GR42" s="11">
        <v>6.886177333333336</v>
      </c>
      <c r="GS42" s="11">
        <v>6.9069948333333304</v>
      </c>
      <c r="GT42" s="108">
        <v>1.498927666666666</v>
      </c>
      <c r="GU42" s="108">
        <v>1.4141440000000014</v>
      </c>
      <c r="GV42" s="108">
        <v>1.3706403333333317</v>
      </c>
      <c r="GW42" s="108">
        <v>1.8051276666666662</v>
      </c>
      <c r="GX42" s="108">
        <v>1.5488761666666673</v>
      </c>
      <c r="GY42" s="108">
        <v>1.4813958333333319</v>
      </c>
      <c r="GZ42" s="13">
        <v>6.9193458333333284</v>
      </c>
      <c r="HA42" s="13">
        <v>6.9365535000000014</v>
      </c>
      <c r="HB42" s="13">
        <v>6.8088449999999936</v>
      </c>
      <c r="HC42" s="13">
        <v>0</v>
      </c>
      <c r="HD42" s="13">
        <v>6.780376333333332</v>
      </c>
      <c r="HE42" s="13">
        <v>6.8861001666666724</v>
      </c>
      <c r="HF42" s="13">
        <v>0.42172550000000003</v>
      </c>
      <c r="HG42" s="13">
        <v>0.47634150000000053</v>
      </c>
      <c r="HH42" s="13">
        <v>0.39371999999999968</v>
      </c>
      <c r="HI42" s="13">
        <v>0.44683099999999959</v>
      </c>
      <c r="HJ42" s="13">
        <v>0.3714286666666668</v>
      </c>
      <c r="HK42" s="13">
        <v>0.4241626666666663</v>
      </c>
      <c r="HL42" s="12">
        <v>0</v>
      </c>
      <c r="HM42" s="12">
        <v>0</v>
      </c>
      <c r="HN42" s="12">
        <v>0</v>
      </c>
      <c r="HO42" s="12">
        <v>0</v>
      </c>
      <c r="HP42" s="12">
        <v>0</v>
      </c>
      <c r="HQ42" s="12">
        <v>0</v>
      </c>
      <c r="HR42" s="12">
        <v>0</v>
      </c>
      <c r="HS42" s="12">
        <v>0</v>
      </c>
      <c r="HT42" s="12">
        <v>0</v>
      </c>
      <c r="HU42" s="12">
        <v>0</v>
      </c>
      <c r="HV42" s="12">
        <v>0</v>
      </c>
      <c r="HW42" s="12">
        <v>0</v>
      </c>
      <c r="HX42" s="9">
        <v>930744</v>
      </c>
      <c r="HY42" s="9">
        <v>1739</v>
      </c>
      <c r="HZ42" s="9">
        <v>917418</v>
      </c>
      <c r="IA42" s="9">
        <v>1765</v>
      </c>
      <c r="IB42" s="11">
        <v>153151.679</v>
      </c>
      <c r="IC42" s="11">
        <v>340</v>
      </c>
      <c r="ID42" s="14">
        <f t="shared" ref="ID42:II42" si="370">GN42-HL42</f>
        <v>6.840958166666665</v>
      </c>
      <c r="IE42" s="14">
        <f t="shared" si="370"/>
        <v>6.9159184999999974</v>
      </c>
      <c r="IF42" s="14">
        <f t="shared" si="370"/>
        <v>6.9383043333333267</v>
      </c>
      <c r="IG42" s="14">
        <f t="shared" si="370"/>
        <v>6.8834510000000044</v>
      </c>
      <c r="IH42" s="14">
        <f t="shared" si="370"/>
        <v>6.886177333333336</v>
      </c>
      <c r="II42" s="14">
        <f t="shared" si="370"/>
        <v>6.9069948333333304</v>
      </c>
      <c r="IJ42" s="15">
        <f t="shared" ref="IJ42:IO42" si="371">GZ42-HR42</f>
        <v>6.9193458333333284</v>
      </c>
      <c r="IK42" s="15">
        <f t="shared" si="371"/>
        <v>6.9365535000000014</v>
      </c>
      <c r="IL42" s="15">
        <f t="shared" si="371"/>
        <v>6.8088449999999936</v>
      </c>
      <c r="IM42" s="15">
        <f t="shared" si="371"/>
        <v>0</v>
      </c>
      <c r="IN42" s="15">
        <f t="shared" si="371"/>
        <v>6.780376333333332</v>
      </c>
      <c r="IO42" s="15">
        <f t="shared" si="371"/>
        <v>6.8861001666666724</v>
      </c>
      <c r="IP42" s="16">
        <f t="shared" ref="IP42" si="372">(HX42-HX41)*1000</f>
        <v>968000</v>
      </c>
      <c r="IQ42" s="16">
        <f t="shared" ref="IQ42" si="373">(HY42-HY41)*1000</f>
        <v>1000</v>
      </c>
      <c r="IR42" s="16">
        <f t="shared" ref="IR42" si="374">(HZ42-HZ41)*1000</f>
        <v>948000</v>
      </c>
      <c r="IS42" s="16">
        <f t="shared" ref="IS42" si="375">(IA42-IA41)*1000</f>
        <v>2000</v>
      </c>
      <c r="IT42" s="16">
        <f t="shared" ref="IT42" si="376">(IB42-IB41)*1000</f>
        <v>1910467.0000000042</v>
      </c>
      <c r="IU42" s="16">
        <f t="shared" ref="IU42" si="377">(IC42-IC41)*1000</f>
        <v>4399.9999999999773</v>
      </c>
      <c r="IV42" s="17">
        <f t="shared" ref="IV42" si="378">(IP42+IR42)-(IQ42+IS42)</f>
        <v>1913000</v>
      </c>
      <c r="IW42" s="17">
        <f t="shared" ref="IW42" si="379">IT42-IU42</f>
        <v>1906067.0000000042</v>
      </c>
      <c r="IX42" s="19">
        <f>(Raw_Data[[#This Row],[Sunset Time (POA&lt;20 W/m2)]]-Raw_Data[[#This Row],[Sunrise Time (POA&gt;20 W/m2)]])*24</f>
        <v>12.766666666666669</v>
      </c>
      <c r="IY42" s="68">
        <f>AVERAGEIF(Raw_Data[[#This Row],[GHI_UP_Net_IS2_W1]:[GHI_UP_Net_IS19_W6]],"&lt;&gt;"&amp;0,Raw_Data[[#This Row],[GHI_UP_Net_IS2_W1]:[GHI_UP_Net_IS19_W6]])</f>
        <v>6.8953006944444439</v>
      </c>
      <c r="IZ42" s="68">
        <f>AVERAGEIF(Raw_Data[[#This Row],[GHI_Down_IS2_W1]:[GHI_Down_IS19_W6]],"&lt;&gt;"&amp;0,Raw_Data[[#This Row],[GHI_Down_IS2_W1]:[GHI_Down_IS19_W6]])</f>
        <v>1.5198519444444438</v>
      </c>
      <c r="JA42" s="68">
        <f>AVERAGEIF(Raw_Data[[#This Row],[POA_Up_IS2_W1]:[POA_Up_IS19_W6]],"&lt;&gt;"&amp;0,Raw_Data[[#This Row],[POA_Up_IS2_W1]:[POA_Up_IS19_W6]])</f>
        <v>6.8662441666666663</v>
      </c>
      <c r="JB42" s="68">
        <f>AVERAGEIF(Raw_Data[[#This Row],[POA_Down_IS2_W1]:[POA_Down_IS19_W6]],"&lt;&gt;"&amp;0,Raw_Data[[#This Row],[POA_Down_IS2_W1]:[POA_Down_IS19_W6]])</f>
        <v>0.42236822222222209</v>
      </c>
      <c r="JC42" s="69">
        <f>Raw_Data[[#This Row],[GHI-Down(KWh/m2)]]/Raw_Data[[#This Row],[GHI-UP (KWh/m2)]]</f>
        <v>0.22041851571012577</v>
      </c>
      <c r="JD42" s="72">
        <f>Raw_Data[[#This Row],[POA-Down(KWh/m2)]]/Raw_Data[[#This Row],[POA-UP(KWh/m2)]]</f>
        <v>6.1513720160532519E-2</v>
      </c>
      <c r="JE42" s="68">
        <f>AVERAGEIF(Raw_Data[[#This Row],[Amb_Temp_IS2_W1]:[Amb_Temp_IS19_W6]],"&lt;&gt;"&amp;0,Raw_Data[[#This Row],[Amb_Temp_IS2_W1]:[Amb_Temp_IS19_W6]])</f>
        <v>30.588216490299803</v>
      </c>
      <c r="JF42" s="68">
        <f>AVERAGEIF(Raw_Data[[#This Row],[MT_Temp_IS2_W1]:[MT_Temp_IS19_W6]],"&lt;&gt;"&amp;0,Raw_Data[[#This Row],[MT_Temp_IS2_W1]:[MT_Temp_IS19_W6]])</f>
        <v>43.530707094356295</v>
      </c>
      <c r="JG42" s="68">
        <f>AVERAGEIF(Raw_Data[[#This Row],[WS_Avg_IS2_W1]:[WS_Avg_IS19_W6]],"&lt;&gt;"&amp;0,Raw_Data[[#This Row],[WS_Avg_IS2_W1]:[WS_Avg_IS19_W6]])</f>
        <v>4.0959239178196665</v>
      </c>
      <c r="JH42" s="68">
        <f>AVERAGEIF(Raw_Data[[#This Row],[WS_Max_IS2_W1]:[WS_Max_IS19_W6]],"&lt;&gt;"&amp;0,Raw_Data[[#This Row],[WS_Max_IS2_W1]:[WS_Max_IS19_W6]])</f>
        <v>7.8349996666666675</v>
      </c>
      <c r="JI42" s="70">
        <f>SUM(Raw_Data[[#This Row],[IS1_INV1_M1]:[IS20_INV4_M2]])</f>
        <v>1923381.7000000002</v>
      </c>
      <c r="JJ42" s="73">
        <v>1875332.9999999842</v>
      </c>
      <c r="JK42" s="71">
        <v>2288521.4309668271</v>
      </c>
      <c r="JL42" s="143">
        <f>IFERROR(Raw_Data[[#This Row],[WPR_Eac]]/Raw_Data[[#This Row],[WPR_Edc]],"")</f>
        <v>0.81945179740253338</v>
      </c>
      <c r="JM42" s="6">
        <v>23</v>
      </c>
      <c r="JN42" s="6">
        <v>9683</v>
      </c>
    </row>
    <row r="43" spans="2:274">
      <c r="B43" s="67">
        <f t="shared" si="21"/>
        <v>45782</v>
      </c>
      <c r="C43" s="9">
        <f>YEAR(Raw_Data[[#This Row],[Date]])+IF(MONTH(Raw_Data[[#This Row],[Date]])&gt;=4,1,0)</f>
        <v>2026</v>
      </c>
      <c r="D43" s="6">
        <f t="shared" si="358"/>
        <v>2025</v>
      </c>
      <c r="E43" s="7" t="s">
        <v>361</v>
      </c>
      <c r="F43" s="7" t="s">
        <v>361</v>
      </c>
      <c r="G43" s="8">
        <v>45778</v>
      </c>
      <c r="H43" s="6">
        <f t="shared" si="359"/>
        <v>31</v>
      </c>
      <c r="I43" s="9">
        <v>335090.89</v>
      </c>
      <c r="J43" s="10">
        <v>0.31111111111111112</v>
      </c>
      <c r="K43" s="10">
        <v>0.80069444444444449</v>
      </c>
      <c r="L43" s="9">
        <v>4614.3999999999996</v>
      </c>
      <c r="M43" s="9">
        <v>4868.5</v>
      </c>
      <c r="N43" s="9">
        <v>4825.8999999999996</v>
      </c>
      <c r="O43" s="9">
        <v>4779.8</v>
      </c>
      <c r="P43" s="9">
        <v>4866.6000000000004</v>
      </c>
      <c r="Q43" s="9">
        <v>4885.8999999999996</v>
      </c>
      <c r="R43" s="9">
        <v>4930.5</v>
      </c>
      <c r="S43" s="9">
        <v>5137.3</v>
      </c>
      <c r="T43" s="9">
        <v>4887.3999999999996</v>
      </c>
      <c r="U43" s="9">
        <v>4926.6000000000004</v>
      </c>
      <c r="V43" s="9">
        <v>4820.2</v>
      </c>
      <c r="W43" s="9">
        <v>4877.7</v>
      </c>
      <c r="X43" s="9">
        <v>4879.7</v>
      </c>
      <c r="Y43" s="9">
        <v>4875.7</v>
      </c>
      <c r="Z43" s="9">
        <v>4734.5</v>
      </c>
      <c r="AA43" s="9">
        <v>4902.3999999999996</v>
      </c>
      <c r="AB43" s="9">
        <v>4774.7</v>
      </c>
      <c r="AC43" s="9">
        <v>4697.3</v>
      </c>
      <c r="AD43" s="9">
        <v>4739.3</v>
      </c>
      <c r="AE43" s="9">
        <v>4785.2</v>
      </c>
      <c r="AF43" s="9">
        <v>4845</v>
      </c>
      <c r="AG43" s="9">
        <v>4722</v>
      </c>
      <c r="AH43" s="9">
        <v>4694.3999999999996</v>
      </c>
      <c r="AI43" s="9">
        <v>4711.3999999999996</v>
      </c>
      <c r="AJ43" s="9">
        <v>4776.3</v>
      </c>
      <c r="AK43" s="9">
        <v>4185</v>
      </c>
      <c r="AL43" s="9">
        <v>4783.8</v>
      </c>
      <c r="AM43" s="9">
        <v>4760.8999999999996</v>
      </c>
      <c r="AN43" s="9">
        <v>4937.3</v>
      </c>
      <c r="AO43" s="9">
        <v>4920.3999999999996</v>
      </c>
      <c r="AP43" s="9">
        <v>4855.3999999999996</v>
      </c>
      <c r="AQ43" s="9">
        <v>4945.5</v>
      </c>
      <c r="AR43" s="9">
        <v>4957.8</v>
      </c>
      <c r="AS43" s="9">
        <v>4952.7</v>
      </c>
      <c r="AT43" s="9">
        <v>4964.2</v>
      </c>
      <c r="AU43" s="9">
        <v>4932</v>
      </c>
      <c r="AV43" s="9">
        <v>4877.6000000000004</v>
      </c>
      <c r="AW43" s="9">
        <v>4747.7</v>
      </c>
      <c r="AX43" s="9">
        <v>4944.2</v>
      </c>
      <c r="AY43" s="9">
        <v>4738.3</v>
      </c>
      <c r="AZ43" s="9">
        <v>5192.2</v>
      </c>
      <c r="BA43" s="9">
        <v>4607.7</v>
      </c>
      <c r="BB43" s="9">
        <v>5191.5</v>
      </c>
      <c r="BC43" s="9">
        <v>4522.8999999999996</v>
      </c>
      <c r="BD43" s="9">
        <v>4859.3</v>
      </c>
      <c r="BE43" s="9">
        <v>5431.7</v>
      </c>
      <c r="BF43" s="9">
        <v>4560.3</v>
      </c>
      <c r="BG43" s="9">
        <v>5346.5</v>
      </c>
      <c r="BH43" s="9">
        <v>4952</v>
      </c>
      <c r="BI43" s="9">
        <v>5000.8999999999996</v>
      </c>
      <c r="BJ43" s="9">
        <v>4909.7</v>
      </c>
      <c r="BK43" s="9">
        <v>4649.8999999999996</v>
      </c>
      <c r="BL43" s="9">
        <v>5077.3</v>
      </c>
      <c r="BM43" s="9">
        <v>5031.2</v>
      </c>
      <c r="BN43" s="9">
        <v>5088.2</v>
      </c>
      <c r="BO43" s="9">
        <v>5042.1000000000004</v>
      </c>
      <c r="BP43" s="9">
        <v>4479.3</v>
      </c>
      <c r="BQ43" s="9">
        <v>5191.8999999999996</v>
      </c>
      <c r="BR43" s="9">
        <v>4462.3999999999996</v>
      </c>
      <c r="BS43" s="9">
        <v>5131.1000000000004</v>
      </c>
      <c r="BT43" s="9">
        <v>5057.3999999999996</v>
      </c>
      <c r="BU43" s="9">
        <v>4452.7</v>
      </c>
      <c r="BV43" s="9">
        <v>4920.8</v>
      </c>
      <c r="BW43" s="9">
        <v>4657.5</v>
      </c>
      <c r="BX43" s="9">
        <v>4740.8999999999996</v>
      </c>
      <c r="BY43" s="9">
        <v>4490.8</v>
      </c>
      <c r="BZ43" s="9">
        <v>4601.2</v>
      </c>
      <c r="CA43" s="9">
        <v>4801.1000000000004</v>
      </c>
      <c r="CB43" s="9">
        <v>5135.1000000000004</v>
      </c>
      <c r="CC43" s="9">
        <v>4586.1000000000004</v>
      </c>
      <c r="CD43" s="9">
        <v>5054.8999999999996</v>
      </c>
      <c r="CE43" s="9">
        <v>4393.3999999999996</v>
      </c>
      <c r="CF43" s="9">
        <v>4913.1000000000004</v>
      </c>
      <c r="CG43" s="9">
        <v>4755.6000000000004</v>
      </c>
      <c r="CH43" s="9">
        <v>4505</v>
      </c>
      <c r="CI43" s="9">
        <v>5049.8999999999996</v>
      </c>
      <c r="CJ43" s="9">
        <v>4415.2</v>
      </c>
      <c r="CK43" s="9">
        <v>5137</v>
      </c>
      <c r="CL43" s="9">
        <v>4479.2</v>
      </c>
      <c r="CM43" s="9">
        <v>5027.7</v>
      </c>
      <c r="CN43" s="9">
        <v>6567.7</v>
      </c>
      <c r="CO43" s="9">
        <v>7071.9</v>
      </c>
      <c r="CP43" s="9">
        <v>6693.6</v>
      </c>
      <c r="CQ43" s="9">
        <v>7258.8</v>
      </c>
      <c r="CR43" s="9">
        <v>6593.8</v>
      </c>
      <c r="CS43" s="9">
        <v>7000.5</v>
      </c>
      <c r="CT43" s="9">
        <v>6774</v>
      </c>
      <c r="CU43" s="9">
        <v>5825.9</v>
      </c>
      <c r="CV43" s="9">
        <v>7194.5</v>
      </c>
      <c r="CW43" s="9">
        <v>6912</v>
      </c>
      <c r="CX43" s="9">
        <v>6449.7</v>
      </c>
      <c r="CY43" s="9">
        <v>7397.3</v>
      </c>
      <c r="CZ43" s="9">
        <v>7200</v>
      </c>
      <c r="DA43" s="9">
        <v>6685.5</v>
      </c>
      <c r="DB43" s="9">
        <v>6619.4</v>
      </c>
      <c r="DC43" s="9">
        <v>7293</v>
      </c>
      <c r="DD43" s="9">
        <v>6569.6</v>
      </c>
      <c r="DE43" s="9">
        <v>6777.1</v>
      </c>
      <c r="DF43" s="9">
        <v>7400.6</v>
      </c>
      <c r="DG43" s="9">
        <v>6544</v>
      </c>
      <c r="DH43" s="9">
        <v>7410</v>
      </c>
      <c r="DI43" s="9">
        <v>6531.5</v>
      </c>
      <c r="DJ43" s="9">
        <v>7224.4</v>
      </c>
      <c r="DK43" s="9">
        <v>6695.9</v>
      </c>
      <c r="DL43" s="9">
        <v>7487.8</v>
      </c>
      <c r="DM43" s="9">
        <v>6419.9</v>
      </c>
      <c r="DN43" s="9">
        <v>7362.8</v>
      </c>
      <c r="DO43" s="9">
        <v>6660.6</v>
      </c>
      <c r="DP43" s="9">
        <v>7242.3</v>
      </c>
      <c r="DQ43" s="9">
        <v>6589.5</v>
      </c>
      <c r="DR43" s="9">
        <v>7361.2</v>
      </c>
      <c r="DS43" s="9">
        <v>6764.8</v>
      </c>
      <c r="DT43" s="9">
        <v>6456.2</v>
      </c>
      <c r="DU43" s="9">
        <v>7142.5</v>
      </c>
      <c r="DV43" s="9">
        <v>6550.4</v>
      </c>
      <c r="DW43" s="9">
        <v>6434.1</v>
      </c>
      <c r="DX43" s="9">
        <v>6987.7</v>
      </c>
      <c r="DY43" s="9">
        <v>7226.7</v>
      </c>
      <c r="DZ43" s="9">
        <v>7155.4</v>
      </c>
      <c r="EA43" s="9">
        <v>6637.5</v>
      </c>
      <c r="EB43" s="9">
        <v>7249</v>
      </c>
      <c r="EC43" s="9">
        <v>6544.3</v>
      </c>
      <c r="ED43" s="9">
        <v>7051.2</v>
      </c>
      <c r="EE43" s="9">
        <v>6554.5</v>
      </c>
      <c r="EF43" s="9">
        <v>6999.6</v>
      </c>
      <c r="EG43" s="9">
        <v>6125.5</v>
      </c>
      <c r="EH43" s="9">
        <v>7089.9</v>
      </c>
      <c r="EI43" s="9">
        <v>6586.6</v>
      </c>
      <c r="EJ43" s="9">
        <v>6047.9</v>
      </c>
      <c r="EK43" s="9">
        <v>6663.9</v>
      </c>
      <c r="EL43" s="9">
        <v>6505.7</v>
      </c>
      <c r="EM43" s="9">
        <v>5597.7</v>
      </c>
      <c r="EN43" s="9">
        <v>6555.8</v>
      </c>
      <c r="EO43" s="9">
        <v>5805.2</v>
      </c>
      <c r="EP43" s="9">
        <v>6497.2</v>
      </c>
      <c r="EQ43" s="9">
        <v>6424.5</v>
      </c>
      <c r="ER43" s="9">
        <v>7328.6</v>
      </c>
      <c r="ES43" s="9">
        <v>6451.3</v>
      </c>
      <c r="ET43" s="9">
        <v>7499.3</v>
      </c>
      <c r="EU43" s="9">
        <v>6242.6</v>
      </c>
      <c r="EV43" s="9">
        <v>7053.3</v>
      </c>
      <c r="EW43" s="9">
        <v>6677.5</v>
      </c>
      <c r="EX43" s="9">
        <v>6342.7</v>
      </c>
      <c r="EY43" s="9">
        <v>6721.6</v>
      </c>
      <c r="EZ43" s="9">
        <v>6955.7</v>
      </c>
      <c r="FA43" s="9">
        <v>7207.9</v>
      </c>
      <c r="FB43" s="9">
        <v>6775</v>
      </c>
      <c r="FC43" s="9">
        <v>6802.9</v>
      </c>
      <c r="FD43" s="9">
        <v>6702</v>
      </c>
      <c r="FE43" s="9">
        <v>6801.3</v>
      </c>
      <c r="FF43" s="9">
        <v>6243.8</v>
      </c>
      <c r="FG43" s="9">
        <v>6885.4</v>
      </c>
      <c r="FH43" s="9">
        <v>6854.8</v>
      </c>
      <c r="FI43" s="9">
        <v>7182.2</v>
      </c>
      <c r="FJ43" s="9">
        <v>7377.7</v>
      </c>
      <c r="FK43" s="9">
        <v>6836.7</v>
      </c>
      <c r="FL43" s="9">
        <v>6775.2</v>
      </c>
      <c r="FM43" s="9">
        <v>6144.6</v>
      </c>
      <c r="FN43" s="9">
        <v>6886.4</v>
      </c>
      <c r="FO43" s="9">
        <v>6211.6</v>
      </c>
      <c r="FP43" s="11">
        <v>28.111999999999956</v>
      </c>
      <c r="FQ43" s="11">
        <v>27.915652173913028</v>
      </c>
      <c r="FR43" s="11">
        <v>28.247289855072481</v>
      </c>
      <c r="FS43" s="11">
        <v>28.068478260869565</v>
      </c>
      <c r="FT43" s="11">
        <v>27.767478260869566</v>
      </c>
      <c r="FU43" s="11">
        <v>27.977289855072449</v>
      </c>
      <c r="FV43" s="11">
        <v>0</v>
      </c>
      <c r="FW43" s="11">
        <v>41.547982583454278</v>
      </c>
      <c r="FX43" s="11">
        <v>0</v>
      </c>
      <c r="FY43" s="11">
        <v>0</v>
      </c>
      <c r="FZ43" s="11">
        <v>41.636813831640019</v>
      </c>
      <c r="GA43" s="11">
        <v>42.334978229317841</v>
      </c>
      <c r="GB43" s="11">
        <v>3.6820022814347819</v>
      </c>
      <c r="GC43" s="11">
        <v>3.5467051562173917</v>
      </c>
      <c r="GD43" s="11">
        <v>3.4518163050724615</v>
      </c>
      <c r="GE43" s="11">
        <v>2.1764491881014498</v>
      </c>
      <c r="GF43" s="11">
        <v>3.8504104907246388</v>
      </c>
      <c r="GG43" s="11">
        <v>3.7500046523188382</v>
      </c>
      <c r="GH43" s="11">
        <v>7.5716659999999996</v>
      </c>
      <c r="GI43" s="11">
        <v>8.1116659999999996</v>
      </c>
      <c r="GJ43" s="11">
        <v>7.7566660000000001</v>
      </c>
      <c r="GK43" s="11">
        <v>6.5916670000000002</v>
      </c>
      <c r="GL43" s="11">
        <v>8.9399990000000003</v>
      </c>
      <c r="GM43" s="11">
        <v>7.761666</v>
      </c>
      <c r="GN43" s="11">
        <v>5.2296626666666572</v>
      </c>
      <c r="GO43" s="11">
        <v>5.3203128333333281</v>
      </c>
      <c r="GP43" s="11">
        <v>5.3949101666666675</v>
      </c>
      <c r="GQ43" s="11">
        <v>5.2677076666666709</v>
      </c>
      <c r="GR43" s="11">
        <v>5.4490368333333326</v>
      </c>
      <c r="GS43" s="11">
        <v>5.5053751666666679</v>
      </c>
      <c r="GT43" s="108">
        <v>0.98872300000000091</v>
      </c>
      <c r="GU43" s="108">
        <v>0.94834483333333297</v>
      </c>
      <c r="GV43" s="108">
        <v>0.98998099999999944</v>
      </c>
      <c r="GW43" s="108">
        <v>1.2417708333333344</v>
      </c>
      <c r="GX43" s="108">
        <v>1.1087908333333345</v>
      </c>
      <c r="GY43" s="108">
        <v>1.1168485000000001</v>
      </c>
      <c r="GZ43" s="13">
        <v>5.1928329999999958</v>
      </c>
      <c r="HA43" s="13">
        <v>5.3064843333333238</v>
      </c>
      <c r="HB43" s="13">
        <v>5.2465008333333252</v>
      </c>
      <c r="HC43" s="13">
        <v>0</v>
      </c>
      <c r="HD43" s="13">
        <v>5.3817003333333329</v>
      </c>
      <c r="HE43" s="13">
        <v>5.4464526666666684</v>
      </c>
      <c r="HF43" s="13">
        <v>0.33354200000000006</v>
      </c>
      <c r="HG43" s="13">
        <v>0.40921449999999987</v>
      </c>
      <c r="HH43" s="13">
        <v>0.33008066666666686</v>
      </c>
      <c r="HI43" s="13">
        <v>0.37318150000000005</v>
      </c>
      <c r="HJ43" s="13">
        <v>0.32993183333333365</v>
      </c>
      <c r="HK43" s="13">
        <v>0.3659635</v>
      </c>
      <c r="HL43" s="12">
        <v>0</v>
      </c>
      <c r="HM43" s="12">
        <v>0</v>
      </c>
      <c r="HN43" s="12">
        <v>0</v>
      </c>
      <c r="HO43" s="12">
        <v>0</v>
      </c>
      <c r="HP43" s="12">
        <v>0</v>
      </c>
      <c r="HQ43" s="12">
        <v>0</v>
      </c>
      <c r="HR43" s="12">
        <v>0</v>
      </c>
      <c r="HS43" s="12">
        <v>0</v>
      </c>
      <c r="HT43" s="12">
        <v>0</v>
      </c>
      <c r="HU43" s="12">
        <v>0</v>
      </c>
      <c r="HV43" s="12">
        <v>0</v>
      </c>
      <c r="HW43" s="12">
        <v>0</v>
      </c>
      <c r="HX43" s="9">
        <v>931131</v>
      </c>
      <c r="HY43" s="9">
        <v>1741</v>
      </c>
      <c r="HZ43" s="9">
        <v>917959</v>
      </c>
      <c r="IA43" s="9">
        <v>1766</v>
      </c>
      <c r="IB43" s="11">
        <v>154076.14499999999</v>
      </c>
      <c r="IC43" s="11">
        <v>344.53300000000002</v>
      </c>
      <c r="ID43" s="14">
        <f t="shared" ref="ID43:II43" si="380">GN43-HL43</f>
        <v>5.2296626666666572</v>
      </c>
      <c r="IE43" s="14">
        <f t="shared" si="380"/>
        <v>5.3203128333333281</v>
      </c>
      <c r="IF43" s="14">
        <f t="shared" si="380"/>
        <v>5.3949101666666675</v>
      </c>
      <c r="IG43" s="14">
        <f t="shared" si="380"/>
        <v>5.2677076666666709</v>
      </c>
      <c r="IH43" s="14">
        <f t="shared" si="380"/>
        <v>5.4490368333333326</v>
      </c>
      <c r="II43" s="14">
        <f t="shared" si="380"/>
        <v>5.5053751666666679</v>
      </c>
      <c r="IJ43" s="15">
        <f t="shared" ref="IJ43:IO43" si="381">GZ43-HR43</f>
        <v>5.1928329999999958</v>
      </c>
      <c r="IK43" s="15">
        <f t="shared" si="381"/>
        <v>5.3064843333333238</v>
      </c>
      <c r="IL43" s="15">
        <f t="shared" si="381"/>
        <v>5.2465008333333252</v>
      </c>
      <c r="IM43" s="15">
        <f t="shared" si="381"/>
        <v>0</v>
      </c>
      <c r="IN43" s="15">
        <f t="shared" si="381"/>
        <v>5.3817003333333329</v>
      </c>
      <c r="IO43" s="15">
        <f t="shared" si="381"/>
        <v>5.4464526666666684</v>
      </c>
      <c r="IP43" s="16">
        <f t="shared" ref="IP43" si="382">(HX43-HX42)*1000</f>
        <v>387000</v>
      </c>
      <c r="IQ43" s="16">
        <f t="shared" ref="IQ43" si="383">(HY43-HY42)*1000</f>
        <v>2000</v>
      </c>
      <c r="IR43" s="16">
        <f t="shared" ref="IR43" si="384">(HZ43-HZ42)*1000</f>
        <v>541000</v>
      </c>
      <c r="IS43" s="16">
        <f t="shared" ref="IS43" si="385">(IA43-IA42)*1000</f>
        <v>1000</v>
      </c>
      <c r="IT43" s="16">
        <f t="shared" ref="IT43" si="386">(IB43-IB42)*1000</f>
        <v>924465.9999999858</v>
      </c>
      <c r="IU43" s="16">
        <f t="shared" ref="IU43" si="387">(IC43-IC42)*1000</f>
        <v>4533.0000000000155</v>
      </c>
      <c r="IV43" s="17">
        <f t="shared" ref="IV43" si="388">(IP43+IR43)-(IQ43+IS43)</f>
        <v>925000</v>
      </c>
      <c r="IW43" s="17">
        <f t="shared" ref="IW43" si="389">IT43-IU43</f>
        <v>919932.9999999858</v>
      </c>
      <c r="IX43" s="19">
        <f>(Raw_Data[[#This Row],[Sunset Time (POA&lt;20 W/m2)]]-Raw_Data[[#This Row],[Sunrise Time (POA&gt;20 W/m2)]])*24</f>
        <v>11.75</v>
      </c>
      <c r="IY43" s="68">
        <f>AVERAGEIF(Raw_Data[[#This Row],[GHI_UP_Net_IS2_W1]:[GHI_UP_Net_IS19_W6]],"&lt;&gt;"&amp;0,Raw_Data[[#This Row],[GHI_UP_Net_IS2_W1]:[GHI_UP_Net_IS19_W6]])</f>
        <v>5.3611675555555536</v>
      </c>
      <c r="IZ43" s="68">
        <f>AVERAGEIF(Raw_Data[[#This Row],[GHI_Down_IS2_W1]:[GHI_Down_IS19_W6]],"&lt;&gt;"&amp;0,Raw_Data[[#This Row],[GHI_Down_IS2_W1]:[GHI_Down_IS19_W6]])</f>
        <v>1.0657431666666672</v>
      </c>
      <c r="JA43" s="68">
        <f>AVERAGEIF(Raw_Data[[#This Row],[POA_Up_IS2_W1]:[POA_Up_IS19_W6]],"&lt;&gt;"&amp;0,Raw_Data[[#This Row],[POA_Up_IS2_W1]:[POA_Up_IS19_W6]])</f>
        <v>5.3147942333333296</v>
      </c>
      <c r="JB43" s="68">
        <f>AVERAGEIF(Raw_Data[[#This Row],[POA_Down_IS2_W1]:[POA_Down_IS19_W6]],"&lt;&gt;"&amp;0,Raw_Data[[#This Row],[POA_Down_IS2_W1]:[POA_Down_IS19_W6]])</f>
        <v>0.3569856666666667</v>
      </c>
      <c r="JC43" s="69">
        <f>Raw_Data[[#This Row],[GHI-Down(KWh/m2)]]/Raw_Data[[#This Row],[GHI-UP (KWh/m2)]]</f>
        <v>0.19878937854913381</v>
      </c>
      <c r="JD43" s="72">
        <f>Raw_Data[[#This Row],[POA-Down(KWh/m2)]]/Raw_Data[[#This Row],[POA-UP(KWh/m2)]]</f>
        <v>6.7168294950672558E-2</v>
      </c>
      <c r="JE43" s="68">
        <f>AVERAGEIF(Raw_Data[[#This Row],[Amb_Temp_IS2_W1]:[Amb_Temp_IS19_W6]],"&lt;&gt;"&amp;0,Raw_Data[[#This Row],[Amb_Temp_IS2_W1]:[Amb_Temp_IS19_W6]])</f>
        <v>28.014698067632839</v>
      </c>
      <c r="JF43" s="68">
        <f>AVERAGEIF(Raw_Data[[#This Row],[MT_Temp_IS2_W1]:[MT_Temp_IS19_W6]],"&lt;&gt;"&amp;0,Raw_Data[[#This Row],[MT_Temp_IS2_W1]:[MT_Temp_IS19_W6]])</f>
        <v>41.839924881470715</v>
      </c>
      <c r="JG43" s="68">
        <f>AVERAGEIF(Raw_Data[[#This Row],[WS_Avg_IS2_W1]:[WS_Avg_IS19_W6]],"&lt;&gt;"&amp;0,Raw_Data[[#This Row],[WS_Avg_IS2_W1]:[WS_Avg_IS19_W6]])</f>
        <v>3.4095646789782603</v>
      </c>
      <c r="JH43" s="68">
        <f>AVERAGEIF(Raw_Data[[#This Row],[WS_Max_IS2_W1]:[WS_Max_IS19_W6]],"&lt;&gt;"&amp;0,Raw_Data[[#This Row],[WS_Max_IS2_W1]:[WS_Max_IS19_W6]])</f>
        <v>7.7888883333333334</v>
      </c>
      <c r="JI43" s="70">
        <f>SUM(Raw_Data[[#This Row],[IS1_INV1_M1]:[IS20_INV4_M2]])</f>
        <v>929392.89999999991</v>
      </c>
      <c r="JJ43" s="73">
        <v>824866.00000003818</v>
      </c>
      <c r="JK43" s="71">
        <v>1074671.732889893</v>
      </c>
      <c r="JL43" s="143">
        <f>IFERROR(Raw_Data[[#This Row],[WPR_Eac]]/Raw_Data[[#This Row],[WPR_Edc]],"")</f>
        <v>0.7675515925052725</v>
      </c>
      <c r="JM43" s="6">
        <v>26</v>
      </c>
      <c r="JN43" s="6">
        <v>38830</v>
      </c>
    </row>
    <row r="44" spans="2:274">
      <c r="B44" s="67">
        <f t="shared" si="21"/>
        <v>45783</v>
      </c>
      <c r="C44" s="9">
        <f>YEAR(Raw_Data[[#This Row],[Date]])+IF(MONTH(Raw_Data[[#This Row],[Date]])&gt;=4,1,0)</f>
        <v>2026</v>
      </c>
      <c r="D44" s="6">
        <f t="shared" si="358"/>
        <v>2025</v>
      </c>
      <c r="E44" s="7" t="s">
        <v>361</v>
      </c>
      <c r="F44" s="7" t="s">
        <v>361</v>
      </c>
      <c r="G44" s="8">
        <v>45778</v>
      </c>
      <c r="H44" s="6">
        <f t="shared" si="359"/>
        <v>31</v>
      </c>
      <c r="I44" s="9">
        <v>335090.89</v>
      </c>
      <c r="J44" s="10">
        <v>0.2673611111111111</v>
      </c>
      <c r="K44" s="10">
        <v>0.80347222222222225</v>
      </c>
      <c r="L44" s="9">
        <v>8512.6</v>
      </c>
      <c r="M44" s="9">
        <v>8949</v>
      </c>
      <c r="N44" s="9">
        <v>8938.4</v>
      </c>
      <c r="O44" s="9">
        <v>8896.2999999999993</v>
      </c>
      <c r="P44" s="9">
        <v>9000.2999999999993</v>
      </c>
      <c r="Q44" s="9">
        <v>9006.7999999999993</v>
      </c>
      <c r="R44" s="9">
        <v>9014.7000000000007</v>
      </c>
      <c r="S44" s="9">
        <v>9393.2999999999993</v>
      </c>
      <c r="T44" s="9">
        <v>8969.2999999999993</v>
      </c>
      <c r="U44" s="9">
        <v>8993.2999999999993</v>
      </c>
      <c r="V44" s="9">
        <v>8806.2999999999993</v>
      </c>
      <c r="W44" s="9">
        <v>8949.2000000000007</v>
      </c>
      <c r="X44" s="9">
        <v>8959.1</v>
      </c>
      <c r="Y44" s="9">
        <v>8943.7000000000007</v>
      </c>
      <c r="Z44" s="9">
        <v>9002.7999999999993</v>
      </c>
      <c r="AA44" s="9">
        <v>9023.5</v>
      </c>
      <c r="AB44" s="9">
        <v>8962.6</v>
      </c>
      <c r="AC44" s="9">
        <v>8559.4</v>
      </c>
      <c r="AD44" s="9">
        <v>8962.4</v>
      </c>
      <c r="AE44" s="9">
        <v>9033.9</v>
      </c>
      <c r="AF44" s="9">
        <v>9058.9</v>
      </c>
      <c r="AG44" s="9">
        <v>8589.4</v>
      </c>
      <c r="AH44" s="9">
        <v>8833</v>
      </c>
      <c r="AI44" s="9">
        <v>8905.4</v>
      </c>
      <c r="AJ44" s="9">
        <v>8811</v>
      </c>
      <c r="AK44" s="9">
        <v>7735.7</v>
      </c>
      <c r="AL44" s="9">
        <v>8772.4</v>
      </c>
      <c r="AM44" s="9">
        <v>8779.5</v>
      </c>
      <c r="AN44" s="9">
        <v>9000.1</v>
      </c>
      <c r="AO44" s="9">
        <v>9026.7999999999993</v>
      </c>
      <c r="AP44" s="9">
        <v>8908.1</v>
      </c>
      <c r="AQ44" s="9">
        <v>9059.6</v>
      </c>
      <c r="AR44" s="9">
        <v>9060.9</v>
      </c>
      <c r="AS44" s="9">
        <v>9000</v>
      </c>
      <c r="AT44" s="9">
        <v>9147.4</v>
      </c>
      <c r="AU44" s="9">
        <v>9077.2999999999993</v>
      </c>
      <c r="AV44" s="9">
        <v>9142.2000000000007</v>
      </c>
      <c r="AW44" s="9">
        <v>9007.1</v>
      </c>
      <c r="AX44" s="9">
        <v>9061.2000000000007</v>
      </c>
      <c r="AY44" s="9">
        <v>8831.6</v>
      </c>
      <c r="AZ44" s="9">
        <v>9828.9</v>
      </c>
      <c r="BA44" s="9">
        <v>8881.2999999999993</v>
      </c>
      <c r="BB44" s="9">
        <v>9741.5</v>
      </c>
      <c r="BC44" s="9">
        <v>8370.4</v>
      </c>
      <c r="BD44" s="9">
        <v>9331.2000000000007</v>
      </c>
      <c r="BE44" s="9">
        <v>10199.9</v>
      </c>
      <c r="BF44" s="9">
        <v>8748.2000000000007</v>
      </c>
      <c r="BG44" s="9">
        <v>9816.1</v>
      </c>
      <c r="BH44" s="9">
        <v>9075.7000000000007</v>
      </c>
      <c r="BI44" s="9">
        <v>9157.6</v>
      </c>
      <c r="BJ44" s="9">
        <v>8996.2999999999993</v>
      </c>
      <c r="BK44" s="9">
        <v>8505.7999999999993</v>
      </c>
      <c r="BL44" s="9">
        <v>9157.5</v>
      </c>
      <c r="BM44" s="9">
        <v>9227.9</v>
      </c>
      <c r="BN44" s="9">
        <v>9263.5</v>
      </c>
      <c r="BO44" s="9">
        <v>8843.4</v>
      </c>
      <c r="BP44" s="9">
        <v>8020.7</v>
      </c>
      <c r="BQ44" s="9">
        <v>9344.4</v>
      </c>
      <c r="BR44" s="9">
        <v>8240.4</v>
      </c>
      <c r="BS44" s="9">
        <v>9376.6</v>
      </c>
      <c r="BT44" s="9">
        <v>8937.5</v>
      </c>
      <c r="BU44" s="9">
        <v>8212.7000000000007</v>
      </c>
      <c r="BV44" s="9">
        <v>9033.2999999999993</v>
      </c>
      <c r="BW44" s="9">
        <v>8571.9</v>
      </c>
      <c r="BX44" s="9">
        <v>8662.1</v>
      </c>
      <c r="BY44" s="9">
        <v>8228.7000000000007</v>
      </c>
      <c r="BZ44" s="9">
        <v>8664.1</v>
      </c>
      <c r="CA44" s="9">
        <v>9088.1</v>
      </c>
      <c r="CB44" s="9">
        <v>9308.5</v>
      </c>
      <c r="CC44" s="9">
        <v>8409.7999999999993</v>
      </c>
      <c r="CD44" s="9">
        <v>9193.4</v>
      </c>
      <c r="CE44" s="9">
        <v>7546.1</v>
      </c>
      <c r="CF44" s="9">
        <v>8978.2999999999993</v>
      </c>
      <c r="CG44" s="9">
        <v>8655.2000000000007</v>
      </c>
      <c r="CH44" s="9">
        <v>8244</v>
      </c>
      <c r="CI44" s="9">
        <v>9193.6</v>
      </c>
      <c r="CJ44" s="9">
        <v>7936.8</v>
      </c>
      <c r="CK44" s="9">
        <v>9354.2999999999993</v>
      </c>
      <c r="CL44" s="9">
        <v>7956.1</v>
      </c>
      <c r="CM44" s="9">
        <v>9156.9</v>
      </c>
      <c r="CN44" s="9">
        <v>8432.6</v>
      </c>
      <c r="CO44" s="9">
        <v>9113.7000000000007</v>
      </c>
      <c r="CP44" s="9">
        <v>8584.5</v>
      </c>
      <c r="CQ44" s="9">
        <v>9268.2000000000007</v>
      </c>
      <c r="CR44" s="9">
        <v>8475.1</v>
      </c>
      <c r="CS44" s="9">
        <v>9020.2999999999993</v>
      </c>
      <c r="CT44" s="9">
        <v>8461.7000000000007</v>
      </c>
      <c r="CU44" s="9">
        <v>7408.6</v>
      </c>
      <c r="CV44" s="9">
        <v>9265.2000000000007</v>
      </c>
      <c r="CW44" s="9">
        <v>8900</v>
      </c>
      <c r="CX44" s="9">
        <v>8263.1</v>
      </c>
      <c r="CY44" s="9">
        <v>9539.4</v>
      </c>
      <c r="CZ44" s="9">
        <v>9289.6</v>
      </c>
      <c r="DA44" s="9">
        <v>8613.1</v>
      </c>
      <c r="DB44" s="9">
        <v>8533.6</v>
      </c>
      <c r="DC44" s="9">
        <v>9374.5</v>
      </c>
      <c r="DD44" s="9">
        <v>8244.4</v>
      </c>
      <c r="DE44" s="9">
        <v>8744.4</v>
      </c>
      <c r="DF44" s="9">
        <v>9545</v>
      </c>
      <c r="DG44" s="9">
        <v>8401.7999999999993</v>
      </c>
      <c r="DH44" s="9">
        <v>9566.7000000000007</v>
      </c>
      <c r="DI44" s="9">
        <v>8388.4</v>
      </c>
      <c r="DJ44" s="9">
        <v>9345.5</v>
      </c>
      <c r="DK44" s="9">
        <v>8591.6</v>
      </c>
      <c r="DL44" s="9">
        <v>9462.2000000000007</v>
      </c>
      <c r="DM44" s="9">
        <v>8066.2</v>
      </c>
      <c r="DN44" s="9">
        <v>9335.7000000000007</v>
      </c>
      <c r="DO44" s="9">
        <v>8536.2999999999993</v>
      </c>
      <c r="DP44" s="9">
        <v>9369</v>
      </c>
      <c r="DQ44" s="9">
        <v>8572.4</v>
      </c>
      <c r="DR44" s="9">
        <v>9300.6</v>
      </c>
      <c r="DS44" s="9">
        <v>8292.7000000000007</v>
      </c>
      <c r="DT44" s="9">
        <v>8430</v>
      </c>
      <c r="DU44" s="9">
        <v>9237.2000000000007</v>
      </c>
      <c r="DV44" s="9">
        <v>8566.5</v>
      </c>
      <c r="DW44" s="9">
        <v>8287.2999999999993</v>
      </c>
      <c r="DX44" s="9">
        <v>9313</v>
      </c>
      <c r="DY44" s="9">
        <v>9442.2000000000007</v>
      </c>
      <c r="DZ44" s="9">
        <v>9354.1</v>
      </c>
      <c r="EA44" s="9">
        <v>8593.2999999999993</v>
      </c>
      <c r="EB44" s="9">
        <v>9426.7999999999993</v>
      </c>
      <c r="EC44" s="9">
        <v>8488.1</v>
      </c>
      <c r="ED44" s="9">
        <v>9236.2999999999993</v>
      </c>
      <c r="EE44" s="9">
        <v>8460</v>
      </c>
      <c r="EF44" s="9">
        <v>9141.6</v>
      </c>
      <c r="EG44" s="9">
        <v>7938.1</v>
      </c>
      <c r="EH44" s="9">
        <v>9249.5</v>
      </c>
      <c r="EI44" s="9">
        <v>8524.2999999999993</v>
      </c>
      <c r="EJ44" s="9">
        <v>8584.9</v>
      </c>
      <c r="EK44" s="9">
        <v>8751.1</v>
      </c>
      <c r="EL44" s="9">
        <v>8605.6</v>
      </c>
      <c r="EM44" s="9">
        <v>7414.7</v>
      </c>
      <c r="EN44" s="9">
        <v>8572.7000000000007</v>
      </c>
      <c r="EO44" s="9">
        <v>7564.7</v>
      </c>
      <c r="EP44" s="9">
        <v>8548.4</v>
      </c>
      <c r="EQ44" s="9">
        <v>8555.6</v>
      </c>
      <c r="ER44" s="9">
        <v>9755.4</v>
      </c>
      <c r="ES44" s="9">
        <v>8592.4</v>
      </c>
      <c r="ET44" s="9">
        <v>9816.1</v>
      </c>
      <c r="EU44" s="9">
        <v>8787.9</v>
      </c>
      <c r="EV44" s="9">
        <v>9722.4</v>
      </c>
      <c r="EW44" s="9">
        <v>8733.2000000000007</v>
      </c>
      <c r="EX44" s="9">
        <v>8832</v>
      </c>
      <c r="EY44" s="9">
        <v>8710.2000000000007</v>
      </c>
      <c r="EZ44" s="9">
        <v>9457.1</v>
      </c>
      <c r="FA44" s="9">
        <v>9755.7000000000007</v>
      </c>
      <c r="FB44" s="9">
        <v>9627.5</v>
      </c>
      <c r="FC44" s="9">
        <v>9629.7000000000007</v>
      </c>
      <c r="FD44" s="9">
        <v>9639.6</v>
      </c>
      <c r="FE44" s="9">
        <v>9671.2999999999993</v>
      </c>
      <c r="FF44" s="9">
        <v>8857.6</v>
      </c>
      <c r="FG44" s="9">
        <v>9695.1</v>
      </c>
      <c r="FH44" s="9">
        <v>9626.4</v>
      </c>
      <c r="FI44" s="9">
        <v>9680.2000000000007</v>
      </c>
      <c r="FJ44" s="9">
        <v>9711.1</v>
      </c>
      <c r="FK44" s="9">
        <v>9602.2999999999993</v>
      </c>
      <c r="FL44" s="9">
        <v>9466.1</v>
      </c>
      <c r="FM44" s="9">
        <v>8769.2999999999993</v>
      </c>
      <c r="FN44" s="9">
        <v>9656</v>
      </c>
      <c r="FO44" s="9">
        <v>8784.4</v>
      </c>
      <c r="FP44" s="11">
        <v>28.73083776595746</v>
      </c>
      <c r="FQ44" s="11">
        <v>28.502180851063816</v>
      </c>
      <c r="FR44" s="11">
        <v>28.685252659574473</v>
      </c>
      <c r="FS44" s="11">
        <v>28.566090425531897</v>
      </c>
      <c r="FT44" s="11">
        <v>28.796715425531946</v>
      </c>
      <c r="FU44" s="11">
        <v>28.544268617021267</v>
      </c>
      <c r="FV44" s="11">
        <v>0</v>
      </c>
      <c r="FW44" s="11">
        <v>37.292050599201026</v>
      </c>
      <c r="FX44" s="11">
        <v>0</v>
      </c>
      <c r="FY44" s="11">
        <v>0</v>
      </c>
      <c r="FZ44" s="11">
        <v>37.1</v>
      </c>
      <c r="GA44" s="11">
        <v>37</v>
      </c>
      <c r="GB44" s="11">
        <v>4.2860215175531922</v>
      </c>
      <c r="GC44" s="11">
        <v>4.2080937828457419</v>
      </c>
      <c r="GD44" s="11">
        <v>4.05477599069149</v>
      </c>
      <c r="GE44" s="11">
        <v>2.7387033285505358</v>
      </c>
      <c r="GF44" s="11">
        <v>4.2914005478723416</v>
      </c>
      <c r="GG44" s="11">
        <v>4.0296031096941487</v>
      </c>
      <c r="GH44" s="11">
        <v>8.8633330000000008</v>
      </c>
      <c r="GI44" s="11">
        <v>9.9133329999999997</v>
      </c>
      <c r="GJ44" s="11">
        <v>9.7733340000000002</v>
      </c>
      <c r="GK44" s="11">
        <v>8.5816660000000002</v>
      </c>
      <c r="GL44" s="11">
        <v>10.22833</v>
      </c>
      <c r="GM44" s="11">
        <v>9.1816659999999999</v>
      </c>
      <c r="GN44" s="11">
        <v>4.907859666666667</v>
      </c>
      <c r="GO44" s="11">
        <v>5.0207466666666623</v>
      </c>
      <c r="GP44" s="11">
        <v>5.1317000000000004</v>
      </c>
      <c r="GQ44" s="11">
        <v>4.8708139999999913</v>
      </c>
      <c r="GR44" s="11">
        <v>5.0736843333333272</v>
      </c>
      <c r="GS44" s="11">
        <v>5.089533833333336</v>
      </c>
      <c r="GT44" s="108">
        <v>1.1459818333333323</v>
      </c>
      <c r="GU44" s="108">
        <v>1.0120721666666672</v>
      </c>
      <c r="GV44" s="108">
        <v>1.1127666666666669</v>
      </c>
      <c r="GW44" s="108">
        <v>1.3232001666666671</v>
      </c>
      <c r="GX44" s="108">
        <v>1.1851773333333337</v>
      </c>
      <c r="GY44" s="108">
        <v>1.0180261666666666</v>
      </c>
      <c r="GZ44" s="13">
        <v>4.8399578333333295</v>
      </c>
      <c r="HA44" s="13">
        <v>4.9465898333333405</v>
      </c>
      <c r="HB44" s="13">
        <v>4.9726123333333243</v>
      </c>
      <c r="HC44" s="13">
        <v>0</v>
      </c>
      <c r="HD44" s="13">
        <v>5.0160961666666672</v>
      </c>
      <c r="HE44" s="13">
        <v>4.9388876666666697</v>
      </c>
      <c r="HF44" s="13">
        <v>0.31160466666666647</v>
      </c>
      <c r="HG44" s="13">
        <v>0.36162900000000014</v>
      </c>
      <c r="HH44" s="13">
        <v>0.32208716666666698</v>
      </c>
      <c r="HI44" s="13">
        <v>0.32833066666666638</v>
      </c>
      <c r="HJ44" s="13">
        <v>0.31898099999999996</v>
      </c>
      <c r="HK44" s="13">
        <v>0.34358650000000018</v>
      </c>
      <c r="HL44" s="12">
        <v>0</v>
      </c>
      <c r="HM44" s="12">
        <v>0</v>
      </c>
      <c r="HN44" s="12">
        <v>0</v>
      </c>
      <c r="HO44" s="12">
        <v>0</v>
      </c>
      <c r="HP44" s="12">
        <v>0</v>
      </c>
      <c r="HQ44" s="12">
        <v>0</v>
      </c>
      <c r="HR44" s="12">
        <v>0</v>
      </c>
      <c r="HS44" s="12">
        <v>0</v>
      </c>
      <c r="HT44" s="12">
        <v>0</v>
      </c>
      <c r="HU44" s="12">
        <v>0</v>
      </c>
      <c r="HV44" s="12">
        <v>0</v>
      </c>
      <c r="HW44" s="12">
        <v>0</v>
      </c>
      <c r="HX44" s="9">
        <v>931841</v>
      </c>
      <c r="HY44" s="9">
        <v>1742</v>
      </c>
      <c r="HZ44" s="9">
        <v>918672</v>
      </c>
      <c r="IA44" s="9">
        <v>1768</v>
      </c>
      <c r="IB44" s="11">
        <v>155494.079</v>
      </c>
      <c r="IC44" s="11">
        <v>349.13299999999998</v>
      </c>
      <c r="ID44" s="14">
        <f t="shared" ref="ID44:II44" si="390">GN44-HL44</f>
        <v>4.907859666666667</v>
      </c>
      <c r="IE44" s="14">
        <f t="shared" si="390"/>
        <v>5.0207466666666623</v>
      </c>
      <c r="IF44" s="14">
        <f t="shared" si="390"/>
        <v>5.1317000000000004</v>
      </c>
      <c r="IG44" s="14">
        <f t="shared" si="390"/>
        <v>4.8708139999999913</v>
      </c>
      <c r="IH44" s="14">
        <f t="shared" si="390"/>
        <v>5.0736843333333272</v>
      </c>
      <c r="II44" s="14">
        <f t="shared" si="390"/>
        <v>5.089533833333336</v>
      </c>
      <c r="IJ44" s="15">
        <f t="shared" ref="IJ44:IO44" si="391">GZ44-HR44</f>
        <v>4.8399578333333295</v>
      </c>
      <c r="IK44" s="15">
        <f t="shared" si="391"/>
        <v>4.9465898333333405</v>
      </c>
      <c r="IL44" s="15">
        <f t="shared" si="391"/>
        <v>4.9726123333333243</v>
      </c>
      <c r="IM44" s="15">
        <f t="shared" si="391"/>
        <v>0</v>
      </c>
      <c r="IN44" s="15">
        <f t="shared" si="391"/>
        <v>5.0160961666666672</v>
      </c>
      <c r="IO44" s="15">
        <f t="shared" si="391"/>
        <v>4.9388876666666697</v>
      </c>
      <c r="IP44" s="16">
        <f t="shared" ref="IP44" si="392">(HX44-HX43)*1000</f>
        <v>710000</v>
      </c>
      <c r="IQ44" s="16">
        <f t="shared" ref="IQ44" si="393">(HY44-HY43)*1000</f>
        <v>1000</v>
      </c>
      <c r="IR44" s="16">
        <f t="shared" ref="IR44" si="394">(HZ44-HZ43)*1000</f>
        <v>713000</v>
      </c>
      <c r="IS44" s="16">
        <f t="shared" ref="IS44" si="395">(IA44-IA43)*1000</f>
        <v>2000</v>
      </c>
      <c r="IT44" s="16">
        <f t="shared" ref="IT44" si="396">(IB44-IB43)*1000</f>
        <v>1417934.0000000084</v>
      </c>
      <c r="IU44" s="16">
        <f t="shared" ref="IU44" si="397">(IC44-IC43)*1000</f>
        <v>4599.9999999999654</v>
      </c>
      <c r="IV44" s="17">
        <f t="shared" ref="IV44" si="398">(IP44+IR44)-(IQ44+IS44)</f>
        <v>1420000</v>
      </c>
      <c r="IW44" s="17">
        <f t="shared" ref="IW44" si="399">IT44-IU44</f>
        <v>1413334.0000000084</v>
      </c>
      <c r="IX44" s="19">
        <f>(Raw_Data[[#This Row],[Sunset Time (POA&lt;20 W/m2)]]-Raw_Data[[#This Row],[Sunrise Time (POA&gt;20 W/m2)]])*24</f>
        <v>12.866666666666669</v>
      </c>
      <c r="IY44" s="68">
        <f>AVERAGEIF(Raw_Data[[#This Row],[GHI_UP_Net_IS2_W1]:[GHI_UP_Net_IS19_W6]],"&lt;&gt;"&amp;0,Raw_Data[[#This Row],[GHI_UP_Net_IS2_W1]:[GHI_UP_Net_IS19_W6]])</f>
        <v>5.0157230833333308</v>
      </c>
      <c r="IZ44" s="68">
        <f>AVERAGEIF(Raw_Data[[#This Row],[GHI_Down_IS2_W1]:[GHI_Down_IS19_W6]],"&lt;&gt;"&amp;0,Raw_Data[[#This Row],[GHI_Down_IS2_W1]:[GHI_Down_IS19_W6]])</f>
        <v>1.1328707222222223</v>
      </c>
      <c r="JA44" s="68">
        <f>AVERAGEIF(Raw_Data[[#This Row],[POA_Up_IS2_W1]:[POA_Up_IS19_W6]],"&lt;&gt;"&amp;0,Raw_Data[[#This Row],[POA_Up_IS2_W1]:[POA_Up_IS19_W6]])</f>
        <v>4.9428287666666666</v>
      </c>
      <c r="JB44" s="68">
        <f>AVERAGEIF(Raw_Data[[#This Row],[POA_Down_IS2_W1]:[POA_Down_IS19_W6]],"&lt;&gt;"&amp;0,Raw_Data[[#This Row],[POA_Down_IS2_W1]:[POA_Down_IS19_W6]])</f>
        <v>0.33103650000000001</v>
      </c>
      <c r="JC44" s="69">
        <f>Raw_Data[[#This Row],[GHI-Down(KWh/m2)]]/Raw_Data[[#This Row],[GHI-UP (KWh/m2)]]</f>
        <v>0.22586388909440017</v>
      </c>
      <c r="JD44" s="72">
        <f>Raw_Data[[#This Row],[POA-Down(KWh/m2)]]/Raw_Data[[#This Row],[POA-UP(KWh/m2)]]</f>
        <v>6.6973086794435657E-2</v>
      </c>
      <c r="JE44" s="68">
        <f>AVERAGEIF(Raw_Data[[#This Row],[Amb_Temp_IS2_W1]:[Amb_Temp_IS19_W6]],"&lt;&gt;"&amp;0,Raw_Data[[#This Row],[Amb_Temp_IS2_W1]:[Amb_Temp_IS19_W6]])</f>
        <v>28.637557624113473</v>
      </c>
      <c r="JF44" s="68">
        <f>AVERAGEIF(Raw_Data[[#This Row],[MT_Temp_IS2_W1]:[MT_Temp_IS19_W6]],"&lt;&gt;"&amp;0,Raw_Data[[#This Row],[MT_Temp_IS2_W1]:[MT_Temp_IS19_W6]])</f>
        <v>37.130683533067007</v>
      </c>
      <c r="JG44" s="68">
        <f>AVERAGEIF(Raw_Data[[#This Row],[WS_Avg_IS2_W1]:[WS_Avg_IS19_W6]],"&lt;&gt;"&amp;0,Raw_Data[[#This Row],[WS_Avg_IS2_W1]:[WS_Avg_IS19_W6]])</f>
        <v>3.9347663795345746</v>
      </c>
      <c r="JH44" s="68">
        <f>AVERAGEIF(Raw_Data[[#This Row],[WS_Max_IS2_W1]:[WS_Max_IS19_W6]],"&lt;&gt;"&amp;0,Raw_Data[[#This Row],[WS_Max_IS2_W1]:[WS_Max_IS19_W6]])</f>
        <v>9.4236103333333325</v>
      </c>
      <c r="JI44" s="70">
        <f>SUM(Raw_Data[[#This Row],[IS1_INV1_M1]:[IS20_INV4_M2]])</f>
        <v>1427314.3</v>
      </c>
      <c r="JJ44" s="73">
        <v>1391199.9999999825</v>
      </c>
      <c r="JK44" s="71">
        <v>1679849.6539214405</v>
      </c>
      <c r="JL44" s="143">
        <f>IFERROR(Raw_Data[[#This Row],[WPR_Eac]]/Raw_Data[[#This Row],[WPR_Edc]],"")</f>
        <v>0.82816935238958189</v>
      </c>
      <c r="JM44" s="6">
        <v>29</v>
      </c>
      <c r="JN44" s="6">
        <v>123474</v>
      </c>
    </row>
    <row r="45" spans="2:274">
      <c r="B45" s="67">
        <f t="shared" si="21"/>
        <v>45784</v>
      </c>
      <c r="C45" s="9">
        <f>YEAR(Raw_Data[[#This Row],[Date]])+IF(MONTH(Raw_Data[[#This Row],[Date]])&gt;=4,1,0)</f>
        <v>2026</v>
      </c>
      <c r="D45" s="6">
        <f t="shared" si="358"/>
        <v>2025</v>
      </c>
      <c r="E45" s="7" t="s">
        <v>361</v>
      </c>
      <c r="F45" s="7" t="s">
        <v>361</v>
      </c>
      <c r="G45" s="8">
        <v>45778</v>
      </c>
      <c r="H45" s="6">
        <f t="shared" si="359"/>
        <v>31</v>
      </c>
      <c r="I45" s="9">
        <v>335090.89</v>
      </c>
      <c r="J45" s="10">
        <v>0.2638888888888889</v>
      </c>
      <c r="K45" s="10">
        <v>0.80277777777777781</v>
      </c>
      <c r="L45" s="9">
        <v>12020.2</v>
      </c>
      <c r="M45" s="9">
        <v>12665.5</v>
      </c>
      <c r="N45" s="9">
        <v>12657.9</v>
      </c>
      <c r="O45" s="9">
        <v>12579.5</v>
      </c>
      <c r="P45" s="9">
        <v>12770.2</v>
      </c>
      <c r="Q45" s="9">
        <v>12832.9</v>
      </c>
      <c r="R45" s="9">
        <v>12860.3</v>
      </c>
      <c r="S45" s="9">
        <v>13296.5</v>
      </c>
      <c r="T45" s="9">
        <v>12686</v>
      </c>
      <c r="U45" s="9">
        <v>12578.7</v>
      </c>
      <c r="V45" s="9">
        <v>12604.3</v>
      </c>
      <c r="W45" s="9">
        <v>12736.4</v>
      </c>
      <c r="X45" s="9">
        <v>12715.3</v>
      </c>
      <c r="Y45" s="9">
        <v>12697.7</v>
      </c>
      <c r="Z45" s="9">
        <v>12804.2</v>
      </c>
      <c r="AA45" s="9">
        <v>12841.8</v>
      </c>
      <c r="AB45" s="9">
        <v>12686.9</v>
      </c>
      <c r="AC45" s="9">
        <v>12717.3</v>
      </c>
      <c r="AD45" s="9">
        <v>12644.7</v>
      </c>
      <c r="AE45" s="9">
        <v>12829.3</v>
      </c>
      <c r="AF45" s="9">
        <v>12789.6</v>
      </c>
      <c r="AG45" s="9">
        <v>12778.2</v>
      </c>
      <c r="AH45" s="9">
        <v>12476.1</v>
      </c>
      <c r="AI45" s="9">
        <v>12611</v>
      </c>
      <c r="AJ45" s="9">
        <v>12474.7</v>
      </c>
      <c r="AK45" s="9">
        <v>10917.7</v>
      </c>
      <c r="AL45" s="9">
        <v>12449.2</v>
      </c>
      <c r="AM45" s="9">
        <v>12426</v>
      </c>
      <c r="AN45" s="9">
        <v>12814.3</v>
      </c>
      <c r="AO45" s="9">
        <v>12694.2</v>
      </c>
      <c r="AP45" s="9">
        <v>12502.1</v>
      </c>
      <c r="AQ45" s="9">
        <v>12793.2</v>
      </c>
      <c r="AR45" s="9">
        <v>12747.5</v>
      </c>
      <c r="AS45" s="9">
        <v>12797.9</v>
      </c>
      <c r="AT45" s="9">
        <v>12939.3</v>
      </c>
      <c r="AU45" s="9">
        <v>12803.6</v>
      </c>
      <c r="AV45" s="9">
        <v>12876.5</v>
      </c>
      <c r="AW45" s="9">
        <v>12682.6</v>
      </c>
      <c r="AX45" s="9">
        <v>12677.4</v>
      </c>
      <c r="AY45" s="9">
        <v>12594.9</v>
      </c>
      <c r="AZ45" s="9">
        <v>13562.1</v>
      </c>
      <c r="BA45" s="9">
        <v>12309</v>
      </c>
      <c r="BB45" s="9">
        <v>13440.7</v>
      </c>
      <c r="BC45" s="9">
        <v>12076.4</v>
      </c>
      <c r="BD45" s="9">
        <v>12841.8</v>
      </c>
      <c r="BE45" s="9">
        <v>14060.3</v>
      </c>
      <c r="BF45" s="9">
        <v>12147.8</v>
      </c>
      <c r="BG45" s="9">
        <v>13590.4</v>
      </c>
      <c r="BH45" s="9">
        <v>12839.4</v>
      </c>
      <c r="BI45" s="9">
        <v>13017.2</v>
      </c>
      <c r="BJ45" s="9">
        <v>12839.2</v>
      </c>
      <c r="BK45" s="9">
        <v>12105</v>
      </c>
      <c r="BL45" s="9">
        <v>13109.7</v>
      </c>
      <c r="BM45" s="9">
        <v>13068.6</v>
      </c>
      <c r="BN45" s="9">
        <v>13119.4</v>
      </c>
      <c r="BO45" s="9">
        <v>12925.4</v>
      </c>
      <c r="BP45" s="9">
        <v>11650.9</v>
      </c>
      <c r="BQ45" s="9">
        <v>13297.8</v>
      </c>
      <c r="BR45" s="9">
        <v>11674.4</v>
      </c>
      <c r="BS45" s="9">
        <v>13282.7</v>
      </c>
      <c r="BT45" s="9">
        <v>13144.8</v>
      </c>
      <c r="BU45" s="9">
        <v>11640</v>
      </c>
      <c r="BV45" s="9">
        <v>12860.3</v>
      </c>
      <c r="BW45" s="9">
        <v>12225.2</v>
      </c>
      <c r="BX45" s="9">
        <v>12353.2</v>
      </c>
      <c r="BY45" s="9">
        <v>11635.4</v>
      </c>
      <c r="BZ45" s="9">
        <v>12370.8</v>
      </c>
      <c r="CA45" s="9">
        <v>12883.2</v>
      </c>
      <c r="CB45" s="9">
        <v>13055.9</v>
      </c>
      <c r="CC45" s="9">
        <v>11899.7</v>
      </c>
      <c r="CD45" s="9">
        <v>13042</v>
      </c>
      <c r="CE45" s="9">
        <v>11412.5</v>
      </c>
      <c r="CF45" s="9">
        <v>12688.2</v>
      </c>
      <c r="CG45" s="9">
        <v>12346.6</v>
      </c>
      <c r="CH45" s="9">
        <v>11708.2</v>
      </c>
      <c r="CI45" s="9">
        <v>13023.8</v>
      </c>
      <c r="CJ45" s="9">
        <v>11408.5</v>
      </c>
      <c r="CK45" s="9">
        <v>13230.7</v>
      </c>
      <c r="CL45" s="9">
        <v>11675</v>
      </c>
      <c r="CM45" s="9">
        <v>12995.2</v>
      </c>
      <c r="CN45" s="9">
        <v>11917.7</v>
      </c>
      <c r="CO45" s="9">
        <v>12904.2</v>
      </c>
      <c r="CP45" s="9">
        <v>12082.5</v>
      </c>
      <c r="CQ45" s="9">
        <v>13278.3</v>
      </c>
      <c r="CR45" s="9">
        <v>11931.1</v>
      </c>
      <c r="CS45" s="9">
        <v>12725</v>
      </c>
      <c r="CT45" s="9">
        <v>11894.6</v>
      </c>
      <c r="CU45" s="9">
        <v>10467.1</v>
      </c>
      <c r="CV45" s="9">
        <v>12987.3</v>
      </c>
      <c r="CW45" s="9">
        <v>12492.9</v>
      </c>
      <c r="CX45" s="9">
        <v>11480.1</v>
      </c>
      <c r="CY45" s="9">
        <v>13326.3</v>
      </c>
      <c r="CZ45" s="9">
        <v>12970.2</v>
      </c>
      <c r="DA45" s="9">
        <v>11989.2</v>
      </c>
      <c r="DB45" s="9">
        <v>11800.4</v>
      </c>
      <c r="DC45" s="9">
        <v>13014.6</v>
      </c>
      <c r="DD45" s="9">
        <v>11254.4</v>
      </c>
      <c r="DE45" s="9">
        <v>11910.9</v>
      </c>
      <c r="DF45" s="9">
        <v>13166.7</v>
      </c>
      <c r="DG45" s="9">
        <v>11589.5</v>
      </c>
      <c r="DH45" s="9">
        <v>13204.1</v>
      </c>
      <c r="DI45" s="9">
        <v>11495.9</v>
      </c>
      <c r="DJ45" s="9">
        <v>12901.2</v>
      </c>
      <c r="DK45" s="9">
        <v>11864.6</v>
      </c>
      <c r="DL45" s="9">
        <v>12982.1</v>
      </c>
      <c r="DM45" s="9">
        <v>11211.3</v>
      </c>
      <c r="DN45" s="9">
        <v>13059.6</v>
      </c>
      <c r="DO45" s="9">
        <v>11770.2</v>
      </c>
      <c r="DP45" s="9">
        <v>12893.4</v>
      </c>
      <c r="DQ45" s="9">
        <v>11747.8</v>
      </c>
      <c r="DR45" s="9">
        <v>12953.7</v>
      </c>
      <c r="DS45" s="9">
        <v>11948.5</v>
      </c>
      <c r="DT45" s="9">
        <v>11609.8</v>
      </c>
      <c r="DU45" s="9">
        <v>12869.6</v>
      </c>
      <c r="DV45" s="9">
        <v>11797.1</v>
      </c>
      <c r="DW45" s="9">
        <v>11535.7</v>
      </c>
      <c r="DX45" s="9">
        <v>12975.8</v>
      </c>
      <c r="DY45" s="9">
        <v>13047.6</v>
      </c>
      <c r="DZ45" s="9">
        <v>12845.4</v>
      </c>
      <c r="EA45" s="9">
        <v>11793.9</v>
      </c>
      <c r="EB45" s="9">
        <v>12978.2</v>
      </c>
      <c r="EC45" s="9">
        <v>11628.8</v>
      </c>
      <c r="ED45" s="9">
        <v>12690.4</v>
      </c>
      <c r="EE45" s="9">
        <v>11770.8</v>
      </c>
      <c r="EF45" s="9">
        <v>12516.3</v>
      </c>
      <c r="EG45" s="9">
        <v>10883.4</v>
      </c>
      <c r="EH45" s="9">
        <v>12696.5</v>
      </c>
      <c r="EI45" s="9">
        <v>11639.8</v>
      </c>
      <c r="EJ45" s="9">
        <v>11865.5</v>
      </c>
      <c r="EK45" s="9">
        <v>11967</v>
      </c>
      <c r="EL45" s="9">
        <v>11691.3</v>
      </c>
      <c r="EM45" s="9">
        <v>10096.299999999999</v>
      </c>
      <c r="EN45" s="9">
        <v>11670.6</v>
      </c>
      <c r="EO45" s="9">
        <v>10343.1</v>
      </c>
      <c r="EP45" s="9">
        <v>11712.5</v>
      </c>
      <c r="EQ45" s="9">
        <v>11759.1</v>
      </c>
      <c r="ER45" s="9">
        <v>13575.9</v>
      </c>
      <c r="ES45" s="9">
        <v>11953.8</v>
      </c>
      <c r="ET45" s="9">
        <v>13624.9</v>
      </c>
      <c r="EU45" s="9">
        <v>12225.4</v>
      </c>
      <c r="EV45" s="9">
        <v>13517</v>
      </c>
      <c r="EW45" s="9">
        <v>12088.1</v>
      </c>
      <c r="EX45" s="9">
        <v>12245.2</v>
      </c>
      <c r="EY45" s="9">
        <v>11999.4</v>
      </c>
      <c r="EZ45" s="9">
        <v>13237.9</v>
      </c>
      <c r="FA45" s="9">
        <v>13652.6</v>
      </c>
      <c r="FB45" s="9">
        <v>13556.8</v>
      </c>
      <c r="FC45" s="9">
        <v>13492.7</v>
      </c>
      <c r="FD45" s="9">
        <v>13497.1</v>
      </c>
      <c r="FE45" s="9">
        <v>13522.1</v>
      </c>
      <c r="FF45" s="9">
        <v>12380.5</v>
      </c>
      <c r="FG45" s="9">
        <v>13510.1</v>
      </c>
      <c r="FH45" s="9">
        <v>13628</v>
      </c>
      <c r="FI45" s="9">
        <v>13643.2</v>
      </c>
      <c r="FJ45" s="9">
        <v>13559.7</v>
      </c>
      <c r="FK45" s="9">
        <v>13534.6</v>
      </c>
      <c r="FL45" s="9">
        <v>13645.2</v>
      </c>
      <c r="FM45" s="9">
        <v>12350.4</v>
      </c>
      <c r="FN45" s="9">
        <v>13668.9</v>
      </c>
      <c r="FO45" s="9">
        <v>12440.1</v>
      </c>
      <c r="FP45" s="11">
        <v>30.735303430079167</v>
      </c>
      <c r="FQ45" s="11">
        <v>30.300738786279716</v>
      </c>
      <c r="FR45" s="11">
        <v>30.805356200527712</v>
      </c>
      <c r="FS45" s="11">
        <v>30.440527704485486</v>
      </c>
      <c r="FT45" s="11">
        <v>30.184841688654345</v>
      </c>
      <c r="FU45" s="11">
        <v>30.384762532981533</v>
      </c>
      <c r="FV45" s="11">
        <v>0</v>
      </c>
      <c r="FW45" s="11">
        <v>46.108364116094911</v>
      </c>
      <c r="FX45" s="11">
        <v>0</v>
      </c>
      <c r="FY45" s="11">
        <v>0</v>
      </c>
      <c r="FZ45" s="11">
        <v>46</v>
      </c>
      <c r="GA45" s="11">
        <v>46.2</v>
      </c>
      <c r="GB45" s="11">
        <v>2.1814269373350941</v>
      </c>
      <c r="GC45" s="11">
        <v>2.128564151279686</v>
      </c>
      <c r="GD45" s="11">
        <v>1.9692853408970981</v>
      </c>
      <c r="GE45" s="11">
        <v>0.2360466046569922</v>
      </c>
      <c r="GF45" s="11">
        <v>2.2239423275725603</v>
      </c>
      <c r="GG45" s="11">
        <v>1.9594898360026389</v>
      </c>
      <c r="GH45" s="11">
        <v>6.2633330000000003</v>
      </c>
      <c r="GI45" s="11">
        <v>5.03</v>
      </c>
      <c r="GJ45" s="11">
        <v>5.1666660000000002</v>
      </c>
      <c r="GK45" s="11">
        <v>4.5316660000000004</v>
      </c>
      <c r="GL45" s="11">
        <v>5.415</v>
      </c>
      <c r="GM45" s="11">
        <v>5.4666670000000002</v>
      </c>
      <c r="GN45" s="11">
        <v>7.2282648333333261</v>
      </c>
      <c r="GO45" s="11">
        <v>7.2733329999999974</v>
      </c>
      <c r="GP45" s="11">
        <v>7.3079713333333327</v>
      </c>
      <c r="GQ45" s="11">
        <v>7.2039718333333376</v>
      </c>
      <c r="GR45" s="11">
        <v>7.2352705000000022</v>
      </c>
      <c r="GS45" s="11">
        <v>7.0700493333333325</v>
      </c>
      <c r="GT45" s="108">
        <v>1.6681288333333324</v>
      </c>
      <c r="GU45" s="108">
        <v>1.6089526666666654</v>
      </c>
      <c r="GV45" s="108">
        <v>1.5418235000000007</v>
      </c>
      <c r="GW45" s="108">
        <v>1.8978275000000009</v>
      </c>
      <c r="GX45" s="108">
        <v>1.8244578333333323</v>
      </c>
      <c r="GY45" s="108">
        <v>1.532803333333332</v>
      </c>
      <c r="GZ45" s="13">
        <v>7.1913501666666635</v>
      </c>
      <c r="HA45" s="13">
        <v>7.2343735000000011</v>
      </c>
      <c r="HB45" s="13">
        <v>7.1079843333333352</v>
      </c>
      <c r="HC45" s="13">
        <v>7.1572493333333291</v>
      </c>
      <c r="HD45" s="13">
        <v>7.1658473333333337</v>
      </c>
      <c r="HE45" s="13">
        <v>7.2052263333333348</v>
      </c>
      <c r="HF45" s="13">
        <v>0.47263383333333348</v>
      </c>
      <c r="HG45" s="13">
        <v>0.52613050000000039</v>
      </c>
      <c r="HH45" s="13">
        <v>0.48816783333333313</v>
      </c>
      <c r="HI45" s="13">
        <v>0.47344033333333307</v>
      </c>
      <c r="HJ45" s="13">
        <v>0.47615099999999944</v>
      </c>
      <c r="HK45" s="13">
        <v>0.49896516666666646</v>
      </c>
      <c r="HL45" s="12">
        <v>0</v>
      </c>
      <c r="HM45" s="12">
        <v>0</v>
      </c>
      <c r="HN45" s="12">
        <v>0</v>
      </c>
      <c r="HO45" s="12">
        <v>0</v>
      </c>
      <c r="HP45" s="12">
        <v>0</v>
      </c>
      <c r="HQ45" s="12">
        <v>0</v>
      </c>
      <c r="HR45" s="12">
        <v>0</v>
      </c>
      <c r="HS45" s="12">
        <v>0</v>
      </c>
      <c r="HT45" s="12">
        <v>0</v>
      </c>
      <c r="HU45" s="12">
        <v>0</v>
      </c>
      <c r="HV45" s="12">
        <v>0</v>
      </c>
      <c r="HW45" s="12">
        <v>0</v>
      </c>
      <c r="HX45" s="9">
        <v>932847</v>
      </c>
      <c r="HY45" s="9">
        <v>1744</v>
      </c>
      <c r="HZ45" s="9">
        <v>919663</v>
      </c>
      <c r="IA45" s="9">
        <v>1769</v>
      </c>
      <c r="IB45" s="11">
        <v>157484.61199999999</v>
      </c>
      <c r="IC45" s="11">
        <v>353.66699999999997</v>
      </c>
      <c r="ID45" s="14">
        <f t="shared" ref="ID45:II45" si="400">GN45-HL45</f>
        <v>7.2282648333333261</v>
      </c>
      <c r="IE45" s="14">
        <f t="shared" si="400"/>
        <v>7.2733329999999974</v>
      </c>
      <c r="IF45" s="14">
        <f t="shared" si="400"/>
        <v>7.3079713333333327</v>
      </c>
      <c r="IG45" s="14">
        <f t="shared" si="400"/>
        <v>7.2039718333333376</v>
      </c>
      <c r="IH45" s="14">
        <f t="shared" si="400"/>
        <v>7.2352705000000022</v>
      </c>
      <c r="II45" s="14">
        <f t="shared" si="400"/>
        <v>7.0700493333333325</v>
      </c>
      <c r="IJ45" s="15">
        <f t="shared" ref="IJ45:IO45" si="401">GZ45-HR45</f>
        <v>7.1913501666666635</v>
      </c>
      <c r="IK45" s="15">
        <f t="shared" si="401"/>
        <v>7.2343735000000011</v>
      </c>
      <c r="IL45" s="15">
        <f t="shared" si="401"/>
        <v>7.1079843333333352</v>
      </c>
      <c r="IM45" s="15">
        <f t="shared" si="401"/>
        <v>7.1572493333333291</v>
      </c>
      <c r="IN45" s="15">
        <f t="shared" si="401"/>
        <v>7.1658473333333337</v>
      </c>
      <c r="IO45" s="15">
        <f t="shared" si="401"/>
        <v>7.2052263333333348</v>
      </c>
      <c r="IP45" s="16">
        <f t="shared" ref="IP45" si="402">(HX45-HX44)*1000</f>
        <v>1006000</v>
      </c>
      <c r="IQ45" s="16">
        <f t="shared" ref="IQ45" si="403">(HY45-HY44)*1000</f>
        <v>2000</v>
      </c>
      <c r="IR45" s="16">
        <f t="shared" ref="IR45" si="404">(HZ45-HZ44)*1000</f>
        <v>991000</v>
      </c>
      <c r="IS45" s="16">
        <f t="shared" ref="IS45" si="405">(IA45-IA44)*1000</f>
        <v>1000</v>
      </c>
      <c r="IT45" s="16">
        <f t="shared" ref="IT45" si="406">(IB45-IB44)*1000</f>
        <v>1990532.9999999958</v>
      </c>
      <c r="IU45" s="16">
        <f t="shared" ref="IU45" si="407">(IC45-IC44)*1000</f>
        <v>4533.9999999999918</v>
      </c>
      <c r="IV45" s="17">
        <f t="shared" ref="IV45" si="408">(IP45+IR45)-(IQ45+IS45)</f>
        <v>1994000</v>
      </c>
      <c r="IW45" s="17">
        <f t="shared" ref="IW45" si="409">IT45-IU45</f>
        <v>1985998.9999999958</v>
      </c>
      <c r="IX45" s="19">
        <f>(Raw_Data[[#This Row],[Sunset Time (POA&lt;20 W/m2)]]-Raw_Data[[#This Row],[Sunrise Time (POA&gt;20 W/m2)]])*24</f>
        <v>12.933333333333335</v>
      </c>
      <c r="IY45" s="68">
        <f>AVERAGEIF(Raw_Data[[#This Row],[GHI_UP_Net_IS2_W1]:[GHI_UP_Net_IS19_W6]],"&lt;&gt;"&amp;0,Raw_Data[[#This Row],[GHI_UP_Net_IS2_W1]:[GHI_UP_Net_IS19_W6]])</f>
        <v>7.2198101388888878</v>
      </c>
      <c r="IZ45" s="68">
        <f>AVERAGEIF(Raw_Data[[#This Row],[GHI_Down_IS2_W1]:[GHI_Down_IS19_W6]],"&lt;&gt;"&amp;0,Raw_Data[[#This Row],[GHI_Down_IS2_W1]:[GHI_Down_IS19_W6]])</f>
        <v>1.6789989444444438</v>
      </c>
      <c r="JA45" s="68">
        <f>AVERAGEIF(Raw_Data[[#This Row],[POA_Up_IS2_W1]:[POA_Up_IS19_W6]],"&lt;&gt;"&amp;0,Raw_Data[[#This Row],[POA_Up_IS2_W1]:[POA_Up_IS19_W6]])</f>
        <v>7.1770051666666665</v>
      </c>
      <c r="JB45" s="68">
        <f>AVERAGEIF(Raw_Data[[#This Row],[POA_Down_IS2_W1]:[POA_Down_IS19_W6]],"&lt;&gt;"&amp;0,Raw_Data[[#This Row],[POA_Down_IS2_W1]:[POA_Down_IS19_W6]])</f>
        <v>0.48924811111111094</v>
      </c>
      <c r="JC45" s="69">
        <f>Raw_Data[[#This Row],[GHI-Down(KWh/m2)]]/Raw_Data[[#This Row],[GHI-UP (KWh/m2)]]</f>
        <v>0.23255444563571831</v>
      </c>
      <c r="JD45" s="72">
        <f>Raw_Data[[#This Row],[POA-Down(KWh/m2)]]/Raw_Data[[#This Row],[POA-UP(KWh/m2)]]</f>
        <v>6.8168839195407796E-2</v>
      </c>
      <c r="JE45" s="68">
        <f>AVERAGEIF(Raw_Data[[#This Row],[Amb_Temp_IS2_W1]:[Amb_Temp_IS19_W6]],"&lt;&gt;"&amp;0,Raw_Data[[#This Row],[Amb_Temp_IS2_W1]:[Amb_Temp_IS19_W6]])</f>
        <v>30.475255057167995</v>
      </c>
      <c r="JF45" s="68">
        <f>AVERAGEIF(Raw_Data[[#This Row],[MT_Temp_IS2_W1]:[MT_Temp_IS19_W6]],"&lt;&gt;"&amp;0,Raw_Data[[#This Row],[MT_Temp_IS2_W1]:[MT_Temp_IS19_W6]])</f>
        <v>46.102788038698314</v>
      </c>
      <c r="JG45" s="68">
        <f>AVERAGEIF(Raw_Data[[#This Row],[WS_Avg_IS2_W1]:[WS_Avg_IS19_W6]],"&lt;&gt;"&amp;0,Raw_Data[[#This Row],[WS_Avg_IS2_W1]:[WS_Avg_IS19_W6]])</f>
        <v>1.7831258662906784</v>
      </c>
      <c r="JH45" s="68">
        <f>AVERAGEIF(Raw_Data[[#This Row],[WS_Max_IS2_W1]:[WS_Max_IS19_W6]],"&lt;&gt;"&amp;0,Raw_Data[[#This Row],[WS_Max_IS2_W1]:[WS_Max_IS19_W6]])</f>
        <v>5.3122220000000002</v>
      </c>
      <c r="JI45" s="70">
        <f>SUM(Raw_Data[[#This Row],[IS1_INV1_M1]:[IS20_INV4_M2]])</f>
        <v>2004778.5000000002</v>
      </c>
      <c r="JJ45" s="73">
        <v>1963866.9999999984</v>
      </c>
      <c r="JK45" s="71">
        <v>2383493.6741868788</v>
      </c>
      <c r="JL45" s="143">
        <f>IFERROR(Raw_Data[[#This Row],[WPR_Eac]]/Raw_Data[[#This Row],[WPR_Edc]],"")</f>
        <v>0.82394470825267252</v>
      </c>
      <c r="JM45" s="6">
        <v>23</v>
      </c>
      <c r="JN45" s="6">
        <v>0</v>
      </c>
    </row>
    <row r="46" spans="2:274">
      <c r="B46" s="67">
        <f t="shared" si="21"/>
        <v>45785</v>
      </c>
      <c r="C46" s="9">
        <f>YEAR(Raw_Data[[#This Row],[Date]])+IF(MONTH(Raw_Data[[#This Row],[Date]])&gt;=4,1,0)</f>
        <v>2026</v>
      </c>
      <c r="D46" s="6">
        <f t="shared" si="358"/>
        <v>2025</v>
      </c>
      <c r="E46" s="7" t="s">
        <v>361</v>
      </c>
      <c r="F46" s="7" t="s">
        <v>361</v>
      </c>
      <c r="G46" s="8">
        <v>45778</v>
      </c>
      <c r="H46" s="6">
        <f t="shared" si="359"/>
        <v>31</v>
      </c>
      <c r="I46" s="9">
        <v>335090.89</v>
      </c>
      <c r="J46" s="10">
        <v>0.26597222222222222</v>
      </c>
      <c r="K46" s="10">
        <v>0.8</v>
      </c>
      <c r="L46" s="9">
        <v>10833</v>
      </c>
      <c r="M46" s="9">
        <v>11395.6</v>
      </c>
      <c r="N46" s="9">
        <v>11318.9</v>
      </c>
      <c r="O46" s="9">
        <v>11259</v>
      </c>
      <c r="P46" s="9">
        <v>11434</v>
      </c>
      <c r="Q46" s="9">
        <v>11435.8</v>
      </c>
      <c r="R46" s="9">
        <v>11524.9</v>
      </c>
      <c r="S46" s="9">
        <v>11950.8</v>
      </c>
      <c r="T46" s="9">
        <v>11472.5</v>
      </c>
      <c r="U46" s="9">
        <v>11374.3</v>
      </c>
      <c r="V46" s="9">
        <v>11307.7</v>
      </c>
      <c r="W46" s="9">
        <v>11449.9</v>
      </c>
      <c r="X46" s="9">
        <v>11484.3</v>
      </c>
      <c r="Y46" s="9">
        <v>11429.8</v>
      </c>
      <c r="Z46" s="9">
        <v>11678.5</v>
      </c>
      <c r="AA46" s="9">
        <v>11654.4</v>
      </c>
      <c r="AB46" s="9">
        <v>11732.3</v>
      </c>
      <c r="AC46" s="9">
        <v>11804</v>
      </c>
      <c r="AD46" s="9">
        <v>11711.5</v>
      </c>
      <c r="AE46" s="9">
        <v>11847.7</v>
      </c>
      <c r="AF46" s="9">
        <v>11967.2</v>
      </c>
      <c r="AG46" s="9">
        <v>11930.6</v>
      </c>
      <c r="AH46" s="9">
        <v>11823.9</v>
      </c>
      <c r="AI46" s="9">
        <v>11862.1</v>
      </c>
      <c r="AJ46" s="9">
        <v>11780.3</v>
      </c>
      <c r="AK46" s="9">
        <v>10250.700000000001</v>
      </c>
      <c r="AL46" s="9">
        <v>11575.6</v>
      </c>
      <c r="AM46" s="9">
        <v>11673.9</v>
      </c>
      <c r="AN46" s="9">
        <v>12131.2</v>
      </c>
      <c r="AO46" s="9">
        <v>12161.1</v>
      </c>
      <c r="AP46" s="9">
        <v>12081</v>
      </c>
      <c r="AQ46" s="9">
        <v>12232.8</v>
      </c>
      <c r="AR46" s="9">
        <v>12314.6</v>
      </c>
      <c r="AS46" s="9">
        <v>12324.9</v>
      </c>
      <c r="AT46" s="9">
        <v>12264.5</v>
      </c>
      <c r="AU46" s="9">
        <v>12244.8</v>
      </c>
      <c r="AV46" s="9">
        <v>12416</v>
      </c>
      <c r="AW46" s="9">
        <v>12249.2</v>
      </c>
      <c r="AX46" s="9">
        <v>12065.5</v>
      </c>
      <c r="AY46" s="9">
        <v>12228.5</v>
      </c>
      <c r="AZ46" s="9">
        <v>13016.5</v>
      </c>
      <c r="BA46" s="9">
        <v>11750.3</v>
      </c>
      <c r="BB46" s="9">
        <v>12902.7</v>
      </c>
      <c r="BC46" s="9">
        <v>11552.1</v>
      </c>
      <c r="BD46" s="9">
        <v>12174.6</v>
      </c>
      <c r="BE46" s="9">
        <v>13503.8</v>
      </c>
      <c r="BF46" s="9">
        <v>11669.6</v>
      </c>
      <c r="BG46" s="9">
        <v>13058.3</v>
      </c>
      <c r="BH46" s="9">
        <v>11792.1</v>
      </c>
      <c r="BI46" s="9">
        <v>11884.8</v>
      </c>
      <c r="BJ46" s="9">
        <v>11757.5</v>
      </c>
      <c r="BK46" s="9">
        <v>11149.6</v>
      </c>
      <c r="BL46" s="9">
        <v>12153.1</v>
      </c>
      <c r="BM46" s="9">
        <v>11959.2</v>
      </c>
      <c r="BN46" s="9">
        <v>12152.6</v>
      </c>
      <c r="BO46" s="9">
        <v>12131</v>
      </c>
      <c r="BP46" s="9">
        <v>10674.4</v>
      </c>
      <c r="BQ46" s="9">
        <v>12285.1</v>
      </c>
      <c r="BR46" s="9">
        <v>10575.1</v>
      </c>
      <c r="BS46" s="9">
        <v>12136.1</v>
      </c>
      <c r="BT46" s="9">
        <v>11950.6</v>
      </c>
      <c r="BU46" s="9">
        <v>10501.2</v>
      </c>
      <c r="BV46" s="9">
        <v>11722.2</v>
      </c>
      <c r="BW46" s="9">
        <v>11100.2</v>
      </c>
      <c r="BX46" s="9">
        <v>11567.5</v>
      </c>
      <c r="BY46" s="9">
        <v>10935.2</v>
      </c>
      <c r="BZ46" s="9">
        <v>11446.2</v>
      </c>
      <c r="CA46" s="9">
        <v>12075.6</v>
      </c>
      <c r="CB46" s="9">
        <v>12017.6</v>
      </c>
      <c r="CC46" s="9">
        <v>11055.3</v>
      </c>
      <c r="CD46" s="9">
        <v>12028.8</v>
      </c>
      <c r="CE46" s="9">
        <v>10583.1</v>
      </c>
      <c r="CF46" s="9">
        <v>11607.3</v>
      </c>
      <c r="CG46" s="9">
        <v>11365.2</v>
      </c>
      <c r="CH46" s="9">
        <v>10700</v>
      </c>
      <c r="CI46" s="9">
        <v>11974.5</v>
      </c>
      <c r="CJ46" s="9">
        <v>10538.7</v>
      </c>
      <c r="CK46" s="9">
        <v>12116.5</v>
      </c>
      <c r="CL46" s="9">
        <v>10667.1</v>
      </c>
      <c r="CM46" s="9">
        <v>11864</v>
      </c>
      <c r="CN46" s="9">
        <v>11118.4</v>
      </c>
      <c r="CO46" s="9">
        <v>12036.1</v>
      </c>
      <c r="CP46" s="9">
        <v>11395</v>
      </c>
      <c r="CQ46" s="9">
        <v>12507.1</v>
      </c>
      <c r="CR46" s="9">
        <v>11282.7</v>
      </c>
      <c r="CS46" s="9">
        <v>12054.8</v>
      </c>
      <c r="CT46" s="9">
        <v>11275.9</v>
      </c>
      <c r="CU46" s="9">
        <v>9954.2999999999993</v>
      </c>
      <c r="CV46" s="9">
        <v>12422.6</v>
      </c>
      <c r="CW46" s="9">
        <v>11897.4</v>
      </c>
      <c r="CX46" s="9">
        <v>11000.2</v>
      </c>
      <c r="CY46" s="9">
        <v>12847.7</v>
      </c>
      <c r="CZ46" s="9">
        <v>12528.8</v>
      </c>
      <c r="DA46" s="9">
        <v>11602.9</v>
      </c>
      <c r="DB46" s="9">
        <v>11466.4</v>
      </c>
      <c r="DC46" s="9">
        <v>12655</v>
      </c>
      <c r="DD46" s="9">
        <v>11206.6</v>
      </c>
      <c r="DE46" s="9">
        <v>11601.3</v>
      </c>
      <c r="DF46" s="9">
        <v>12612.1</v>
      </c>
      <c r="DG46" s="9">
        <v>11050.3</v>
      </c>
      <c r="DH46" s="9">
        <v>12699</v>
      </c>
      <c r="DI46" s="9">
        <v>10965.7</v>
      </c>
      <c r="DJ46" s="9">
        <v>12372.8</v>
      </c>
      <c r="DK46" s="9">
        <v>11331.3</v>
      </c>
      <c r="DL46" s="9">
        <v>12484</v>
      </c>
      <c r="DM46" s="9">
        <v>10747</v>
      </c>
      <c r="DN46" s="9">
        <v>12529</v>
      </c>
      <c r="DO46" s="9">
        <v>11242</v>
      </c>
      <c r="DP46" s="9">
        <v>12362</v>
      </c>
      <c r="DQ46" s="9">
        <v>11220</v>
      </c>
      <c r="DR46" s="9">
        <v>12399</v>
      </c>
      <c r="DS46" s="9">
        <v>11387</v>
      </c>
      <c r="DT46" s="9">
        <v>11045.4</v>
      </c>
      <c r="DU46" s="9">
        <v>12268.6</v>
      </c>
      <c r="DV46" s="9">
        <v>11228.9</v>
      </c>
      <c r="DW46" s="9">
        <v>10983.9</v>
      </c>
      <c r="DX46" s="9">
        <v>12413.3</v>
      </c>
      <c r="DY46" s="9">
        <v>12481.2</v>
      </c>
      <c r="DZ46" s="9">
        <v>12302.8</v>
      </c>
      <c r="EA46" s="9">
        <v>11217.4</v>
      </c>
      <c r="EB46" s="9">
        <v>12392.8</v>
      </c>
      <c r="EC46" s="9">
        <v>11049.7</v>
      </c>
      <c r="ED46" s="9">
        <v>12127.7</v>
      </c>
      <c r="EE46" s="9">
        <v>11200.6</v>
      </c>
      <c r="EF46" s="9">
        <v>11903.4</v>
      </c>
      <c r="EG46" s="9">
        <v>10353.700000000001</v>
      </c>
      <c r="EH46" s="9">
        <v>12087</v>
      </c>
      <c r="EI46" s="9">
        <v>11068.5</v>
      </c>
      <c r="EJ46" s="9">
        <v>11234.8</v>
      </c>
      <c r="EK46" s="9">
        <v>11310.6</v>
      </c>
      <c r="EL46" s="9">
        <v>11076.5</v>
      </c>
      <c r="EM46" s="9">
        <v>9563.5</v>
      </c>
      <c r="EN46" s="9">
        <v>11032.5</v>
      </c>
      <c r="EO46" s="9">
        <v>9767.2999999999993</v>
      </c>
      <c r="EP46" s="9">
        <v>10986.1</v>
      </c>
      <c r="EQ46" s="9">
        <v>11038.5</v>
      </c>
      <c r="ER46" s="9">
        <v>12835.4</v>
      </c>
      <c r="ES46" s="9">
        <v>11259.5</v>
      </c>
      <c r="ET46" s="9">
        <v>12852.5</v>
      </c>
      <c r="EU46" s="9">
        <v>11504.6</v>
      </c>
      <c r="EV46" s="9">
        <v>12741.6</v>
      </c>
      <c r="EW46" s="9">
        <v>11343.5</v>
      </c>
      <c r="EX46" s="9">
        <v>11525.5</v>
      </c>
      <c r="EY46" s="9">
        <v>11268.9</v>
      </c>
      <c r="EZ46" s="9">
        <v>12617.2</v>
      </c>
      <c r="FA46" s="9">
        <v>13024.4</v>
      </c>
      <c r="FB46" s="9">
        <v>12842.6</v>
      </c>
      <c r="FC46" s="9">
        <v>12794.8</v>
      </c>
      <c r="FD46" s="9">
        <v>12789</v>
      </c>
      <c r="FE46" s="9">
        <v>12794.3</v>
      </c>
      <c r="FF46" s="9">
        <v>11654.5</v>
      </c>
      <c r="FG46" s="9">
        <v>12744.9</v>
      </c>
      <c r="FH46" s="9">
        <v>12854.3</v>
      </c>
      <c r="FI46" s="9">
        <v>12893.1</v>
      </c>
      <c r="FJ46" s="9">
        <v>12735.5</v>
      </c>
      <c r="FK46" s="9">
        <v>12758.7</v>
      </c>
      <c r="FL46" s="9">
        <v>12940.5</v>
      </c>
      <c r="FM46" s="9">
        <v>11700.2</v>
      </c>
      <c r="FN46" s="9">
        <v>12933.5</v>
      </c>
      <c r="FO46" s="9">
        <v>11771.4</v>
      </c>
      <c r="FP46" s="11">
        <v>33.513889655172392</v>
      </c>
      <c r="FQ46" s="11">
        <v>33.24649655172415</v>
      </c>
      <c r="FR46" s="11">
        <v>33.788151724137961</v>
      </c>
      <c r="FS46" s="11">
        <v>33.470606896551729</v>
      </c>
      <c r="FT46" s="11">
        <v>33.161462068965513</v>
      </c>
      <c r="FU46" s="11">
        <v>33.485600000000012</v>
      </c>
      <c r="FV46" s="11">
        <v>0</v>
      </c>
      <c r="FW46" s="11">
        <v>48.6</v>
      </c>
      <c r="FX46" s="11">
        <v>0</v>
      </c>
      <c r="FY46" s="11">
        <v>0</v>
      </c>
      <c r="FZ46" s="11">
        <v>48.8</v>
      </c>
      <c r="GA46" s="11">
        <v>49.541779310344779</v>
      </c>
      <c r="GB46" s="11">
        <v>3.1727837979310358</v>
      </c>
      <c r="GC46" s="11">
        <v>3.0788021578896614</v>
      </c>
      <c r="GD46" s="11">
        <v>2.918758508124137</v>
      </c>
      <c r="GE46" s="11">
        <v>0.53347124289655179</v>
      </c>
      <c r="GF46" s="11">
        <v>3.0948688285517258</v>
      </c>
      <c r="GG46" s="11">
        <v>2.7122412550068971</v>
      </c>
      <c r="GH46" s="11">
        <v>6.1733330000000004</v>
      </c>
      <c r="GI46" s="11">
        <v>6.3116659999999998</v>
      </c>
      <c r="GJ46" s="11">
        <v>5.8616659999999996</v>
      </c>
      <c r="GK46" s="11">
        <v>6.13</v>
      </c>
      <c r="GL46" s="11">
        <v>5.8566659999999997</v>
      </c>
      <c r="GM46" s="11">
        <v>6.4133339999999999</v>
      </c>
      <c r="GN46" s="11">
        <v>6.5032220000000018</v>
      </c>
      <c r="GO46" s="11">
        <v>6.9382385000000015</v>
      </c>
      <c r="GP46" s="11">
        <v>7.0570528333333398</v>
      </c>
      <c r="GQ46" s="11">
        <v>6.7381996666666648</v>
      </c>
      <c r="GR46" s="11">
        <v>6.9620459999999991</v>
      </c>
      <c r="GS46" s="11">
        <v>7.0164581666666663</v>
      </c>
      <c r="GT46" s="108">
        <v>1.5718716666666668</v>
      </c>
      <c r="GU46" s="108">
        <v>1.6011053333333323</v>
      </c>
      <c r="GV46" s="108">
        <v>1.5531509999999999</v>
      </c>
      <c r="GW46" s="108">
        <v>1.8474371666666656</v>
      </c>
      <c r="GX46" s="108">
        <v>1.8837313333333352</v>
      </c>
      <c r="GY46" s="108">
        <v>1.486322999999999</v>
      </c>
      <c r="GZ46" s="13">
        <v>6.44520316666667</v>
      </c>
      <c r="HA46" s="13">
        <v>6.8889404999999986</v>
      </c>
      <c r="HB46" s="13">
        <v>6.8580215000000004</v>
      </c>
      <c r="HC46" s="13">
        <v>6.7249621666666615</v>
      </c>
      <c r="HD46" s="13">
        <v>6.9023816666666713</v>
      </c>
      <c r="HE46" s="13">
        <v>6.8742418333333397</v>
      </c>
      <c r="HF46" s="13">
        <v>0.44733566666666641</v>
      </c>
      <c r="HG46" s="13">
        <v>0.53473833333333298</v>
      </c>
      <c r="HH46" s="13">
        <v>0.48915999999999971</v>
      </c>
      <c r="HI46" s="13">
        <v>0.46493633333333301</v>
      </c>
      <c r="HJ46" s="13">
        <v>0.49554733333333295</v>
      </c>
      <c r="HK46" s="13">
        <v>0.50490633333333312</v>
      </c>
      <c r="HL46" s="12">
        <v>0</v>
      </c>
      <c r="HM46" s="12">
        <v>0</v>
      </c>
      <c r="HN46" s="12">
        <v>0</v>
      </c>
      <c r="HO46" s="12">
        <v>0</v>
      </c>
      <c r="HP46" s="12">
        <v>0</v>
      </c>
      <c r="HQ46" s="12">
        <v>0</v>
      </c>
      <c r="HR46" s="12">
        <v>0</v>
      </c>
      <c r="HS46" s="12">
        <v>0</v>
      </c>
      <c r="HT46" s="12">
        <v>0</v>
      </c>
      <c r="HU46" s="12">
        <v>0</v>
      </c>
      <c r="HV46" s="12">
        <v>0</v>
      </c>
      <c r="HW46" s="12">
        <v>0</v>
      </c>
      <c r="HX46" s="9">
        <v>933780</v>
      </c>
      <c r="HY46" s="9">
        <v>1746</v>
      </c>
      <c r="HZ46" s="9">
        <v>920605</v>
      </c>
      <c r="IA46" s="9">
        <v>1772</v>
      </c>
      <c r="IB46" s="11">
        <v>159355.47899999999</v>
      </c>
      <c r="IC46" s="11">
        <v>358.06700000000001</v>
      </c>
      <c r="ID46" s="14">
        <f t="shared" ref="ID46:II46" si="410">GN46-HL46</f>
        <v>6.5032220000000018</v>
      </c>
      <c r="IE46" s="14">
        <f t="shared" si="410"/>
        <v>6.9382385000000015</v>
      </c>
      <c r="IF46" s="14">
        <f t="shared" si="410"/>
        <v>7.0570528333333398</v>
      </c>
      <c r="IG46" s="14">
        <f t="shared" si="410"/>
        <v>6.7381996666666648</v>
      </c>
      <c r="IH46" s="14">
        <f t="shared" si="410"/>
        <v>6.9620459999999991</v>
      </c>
      <c r="II46" s="14">
        <f t="shared" si="410"/>
        <v>7.0164581666666663</v>
      </c>
      <c r="IJ46" s="15">
        <f t="shared" ref="IJ46:IO46" si="411">GZ46-HR46</f>
        <v>6.44520316666667</v>
      </c>
      <c r="IK46" s="15">
        <f t="shared" si="411"/>
        <v>6.8889404999999986</v>
      </c>
      <c r="IL46" s="15">
        <f t="shared" si="411"/>
        <v>6.8580215000000004</v>
      </c>
      <c r="IM46" s="15">
        <f t="shared" si="411"/>
        <v>6.7249621666666615</v>
      </c>
      <c r="IN46" s="15">
        <f t="shared" si="411"/>
        <v>6.9023816666666713</v>
      </c>
      <c r="IO46" s="15">
        <f t="shared" si="411"/>
        <v>6.8742418333333397</v>
      </c>
      <c r="IP46" s="16">
        <f t="shared" ref="IP46" si="412">(HX46-HX45)*1000</f>
        <v>933000</v>
      </c>
      <c r="IQ46" s="16">
        <f t="shared" ref="IQ46" si="413">(HY46-HY45)*1000</f>
        <v>2000</v>
      </c>
      <c r="IR46" s="16">
        <f t="shared" ref="IR46" si="414">(HZ46-HZ45)*1000</f>
        <v>942000</v>
      </c>
      <c r="IS46" s="16">
        <f t="shared" ref="IS46" si="415">(IA46-IA45)*1000</f>
        <v>3000</v>
      </c>
      <c r="IT46" s="16">
        <f t="shared" ref="IT46" si="416">(IB46-IB45)*1000</f>
        <v>1870866.9999999984</v>
      </c>
      <c r="IU46" s="16">
        <f t="shared" ref="IU46" si="417">(IC46-IC45)*1000</f>
        <v>4400.0000000000346</v>
      </c>
      <c r="IV46" s="17">
        <f t="shared" ref="IV46" si="418">(IP46+IR46)-(IQ46+IS46)</f>
        <v>1870000</v>
      </c>
      <c r="IW46" s="17">
        <f t="shared" ref="IW46" si="419">IT46-IU46</f>
        <v>1866466.9999999984</v>
      </c>
      <c r="IX46" s="19">
        <f>(Raw_Data[[#This Row],[Sunset Time (POA&lt;20 W/m2)]]-Raw_Data[[#This Row],[Sunrise Time (POA&gt;20 W/m2)]])*24</f>
        <v>12.816666666666666</v>
      </c>
      <c r="IY46" s="68">
        <f>AVERAGEIF(Raw_Data[[#This Row],[GHI_UP_Net_IS2_W1]:[GHI_UP_Net_IS19_W6]],"&lt;&gt;"&amp;0,Raw_Data[[#This Row],[GHI_UP_Net_IS2_W1]:[GHI_UP_Net_IS19_W6]])</f>
        <v>6.8692028611111127</v>
      </c>
      <c r="IZ46" s="68">
        <f>AVERAGEIF(Raw_Data[[#This Row],[GHI_Down_IS2_W1]:[GHI_Down_IS19_W6]],"&lt;&gt;"&amp;0,Raw_Data[[#This Row],[GHI_Down_IS2_W1]:[GHI_Down_IS19_W6]])</f>
        <v>1.6572699166666665</v>
      </c>
      <c r="JA46" s="68">
        <f>AVERAGEIF(Raw_Data[[#This Row],[POA_Up_IS2_W1]:[POA_Up_IS19_W6]],"&lt;&gt;"&amp;0,Raw_Data[[#This Row],[POA_Up_IS2_W1]:[POA_Up_IS19_W6]])</f>
        <v>6.7822918055555563</v>
      </c>
      <c r="JB46" s="68">
        <f>AVERAGEIF(Raw_Data[[#This Row],[POA_Down_IS2_W1]:[POA_Down_IS19_W6]],"&lt;&gt;"&amp;0,Raw_Data[[#This Row],[POA_Down_IS2_W1]:[POA_Down_IS19_W6]])</f>
        <v>0.489437333333333</v>
      </c>
      <c r="JC46" s="69">
        <f>Raw_Data[[#This Row],[GHI-Down(KWh/m2)]]/Raw_Data[[#This Row],[GHI-UP (KWh/m2)]]</f>
        <v>0.24126087847092617</v>
      </c>
      <c r="JD46" s="72">
        <f>Raw_Data[[#This Row],[POA-Down(KWh/m2)]]/Raw_Data[[#This Row],[POA-UP(KWh/m2)]]</f>
        <v>7.2164004051318148E-2</v>
      </c>
      <c r="JE46" s="68">
        <f>AVERAGEIF(Raw_Data[[#This Row],[Amb_Temp_IS2_W1]:[Amb_Temp_IS19_W6]],"&lt;&gt;"&amp;0,Raw_Data[[#This Row],[Amb_Temp_IS2_W1]:[Amb_Temp_IS19_W6]])</f>
        <v>33.444367816091955</v>
      </c>
      <c r="JF46" s="68">
        <f>AVERAGEIF(Raw_Data[[#This Row],[MT_Temp_IS2_W1]:[MT_Temp_IS19_W6]],"&lt;&gt;"&amp;0,Raw_Data[[#This Row],[MT_Temp_IS2_W1]:[MT_Temp_IS19_W6]])</f>
        <v>48.980593103448257</v>
      </c>
      <c r="JG46" s="68">
        <f>AVERAGEIF(Raw_Data[[#This Row],[WS_Avg_IS2_W1]:[WS_Avg_IS19_W6]],"&lt;&gt;"&amp;0,Raw_Data[[#This Row],[WS_Avg_IS2_W1]:[WS_Avg_IS19_W6]])</f>
        <v>2.5851542984000013</v>
      </c>
      <c r="JH46" s="68">
        <f>AVERAGEIF(Raw_Data[[#This Row],[WS_Max_IS2_W1]:[WS_Max_IS19_W6]],"&lt;&gt;"&amp;0,Raw_Data[[#This Row],[WS_Max_IS2_W1]:[WS_Max_IS19_W6]])</f>
        <v>6.1244441666666667</v>
      </c>
      <c r="JI46" s="70">
        <f>SUM(Raw_Data[[#This Row],[IS1_INV1_M1]:[IS20_INV4_M2]])</f>
        <v>1883342.0999999994</v>
      </c>
      <c r="JJ46" s="73">
        <v>1853399.9999999942</v>
      </c>
      <c r="JK46" s="71">
        <v>2246484.3891694713</v>
      </c>
      <c r="JL46" s="143">
        <f>IFERROR(Raw_Data[[#This Row],[WPR_Eac]]/Raw_Data[[#This Row],[WPR_Edc]],"")</f>
        <v>0.82502242567783834</v>
      </c>
      <c r="JM46" s="6">
        <v>22</v>
      </c>
      <c r="JN46" s="6">
        <v>5888</v>
      </c>
    </row>
    <row r="47" spans="2:274">
      <c r="B47" s="67">
        <f t="shared" si="21"/>
        <v>45786</v>
      </c>
      <c r="C47" s="9">
        <f>YEAR(Raw_Data[[#This Row],[Date]])+IF(MONTH(Raw_Data[[#This Row],[Date]])&gt;=4,1,0)</f>
        <v>2026</v>
      </c>
      <c r="D47" s="6">
        <f t="shared" ref="D47:D52" si="420">YEAR(B47)</f>
        <v>2025</v>
      </c>
      <c r="E47" s="7" t="s">
        <v>361</v>
      </c>
      <c r="F47" s="7" t="s">
        <v>361</v>
      </c>
      <c r="G47" s="8">
        <v>45778</v>
      </c>
      <c r="H47" s="6">
        <f t="shared" ref="H47:H52" si="421">DAY(EOMONTH(B47,0))</f>
        <v>31</v>
      </c>
      <c r="I47" s="9">
        <v>335090.89</v>
      </c>
      <c r="J47" s="10">
        <v>0.28055555555555556</v>
      </c>
      <c r="K47" s="10">
        <v>0.80347222222222225</v>
      </c>
      <c r="L47" s="9">
        <v>11188.1</v>
      </c>
      <c r="M47" s="9">
        <v>11805.4</v>
      </c>
      <c r="N47" s="9">
        <v>11777.5</v>
      </c>
      <c r="O47" s="9">
        <v>11675.9</v>
      </c>
      <c r="P47" s="9">
        <v>11869</v>
      </c>
      <c r="Q47" s="9">
        <v>11836.7</v>
      </c>
      <c r="R47" s="9">
        <v>11975.4</v>
      </c>
      <c r="S47" s="9">
        <v>12458</v>
      </c>
      <c r="T47" s="9">
        <v>11827.6</v>
      </c>
      <c r="U47" s="9">
        <v>11853.7</v>
      </c>
      <c r="V47" s="9">
        <v>11674.7</v>
      </c>
      <c r="W47" s="9">
        <v>11834.7</v>
      </c>
      <c r="X47" s="9">
        <v>11692.9</v>
      </c>
      <c r="Y47" s="9">
        <v>11762.6</v>
      </c>
      <c r="Z47" s="9">
        <v>11868.9</v>
      </c>
      <c r="AA47" s="9">
        <v>11884.6</v>
      </c>
      <c r="AB47" s="9">
        <v>11786.1</v>
      </c>
      <c r="AC47" s="9">
        <v>11747.5</v>
      </c>
      <c r="AD47" s="9">
        <v>11660.3</v>
      </c>
      <c r="AE47" s="9">
        <v>11863.8</v>
      </c>
      <c r="AF47" s="9">
        <v>11825.3</v>
      </c>
      <c r="AG47" s="9">
        <v>11804.5</v>
      </c>
      <c r="AH47" s="9">
        <v>11532.9</v>
      </c>
      <c r="AI47" s="9">
        <v>11652.7</v>
      </c>
      <c r="AJ47" s="9">
        <v>11371.9</v>
      </c>
      <c r="AK47" s="9">
        <v>10071.299999999999</v>
      </c>
      <c r="AL47" s="9">
        <v>11491.3</v>
      </c>
      <c r="AM47" s="9">
        <v>11464.2</v>
      </c>
      <c r="AN47" s="9">
        <v>11875.9</v>
      </c>
      <c r="AO47" s="9">
        <v>11778.9</v>
      </c>
      <c r="AP47" s="9">
        <v>11594.2</v>
      </c>
      <c r="AQ47" s="9">
        <v>11780.2</v>
      </c>
      <c r="AR47" s="9">
        <v>11803.9</v>
      </c>
      <c r="AS47" s="9">
        <v>11790.4</v>
      </c>
      <c r="AT47" s="9">
        <v>11928.6</v>
      </c>
      <c r="AU47" s="9">
        <v>11823.6</v>
      </c>
      <c r="AV47" s="9">
        <v>11960</v>
      </c>
      <c r="AW47" s="9">
        <v>11781.4</v>
      </c>
      <c r="AX47" s="9">
        <v>11535</v>
      </c>
      <c r="AY47" s="9">
        <v>11727.3</v>
      </c>
      <c r="AZ47" s="9">
        <v>12754</v>
      </c>
      <c r="BA47" s="9">
        <v>11407</v>
      </c>
      <c r="BB47" s="9">
        <v>12598.9</v>
      </c>
      <c r="BC47" s="9">
        <v>11206.1</v>
      </c>
      <c r="BD47" s="9">
        <v>11831.9</v>
      </c>
      <c r="BE47" s="9">
        <v>13319.1</v>
      </c>
      <c r="BF47" s="9">
        <v>11258.1</v>
      </c>
      <c r="BG47" s="9">
        <v>12790.2</v>
      </c>
      <c r="BH47" s="9">
        <v>11994.5</v>
      </c>
      <c r="BI47" s="9">
        <v>12108.8</v>
      </c>
      <c r="BJ47" s="9">
        <v>11899.2</v>
      </c>
      <c r="BK47" s="9">
        <v>11196.5</v>
      </c>
      <c r="BL47" s="9">
        <v>12304.4</v>
      </c>
      <c r="BM47" s="9">
        <v>12158.5</v>
      </c>
      <c r="BN47" s="9">
        <v>12224.2</v>
      </c>
      <c r="BO47" s="9">
        <v>12149.3</v>
      </c>
      <c r="BP47" s="9">
        <v>10794.9</v>
      </c>
      <c r="BQ47" s="9">
        <v>12478.3</v>
      </c>
      <c r="BR47" s="9">
        <v>10805.9</v>
      </c>
      <c r="BS47" s="9">
        <v>12396.8</v>
      </c>
      <c r="BT47" s="9">
        <v>12271.4</v>
      </c>
      <c r="BU47" s="9">
        <v>10789.7</v>
      </c>
      <c r="BV47" s="9">
        <v>11860.1</v>
      </c>
      <c r="BW47" s="9">
        <v>11395.8</v>
      </c>
      <c r="BX47" s="9">
        <v>11470.9</v>
      </c>
      <c r="BY47" s="9">
        <v>10768.4</v>
      </c>
      <c r="BZ47" s="9">
        <v>11457.2</v>
      </c>
      <c r="CA47" s="9">
        <v>11962.6</v>
      </c>
      <c r="CB47" s="9">
        <v>12180.7</v>
      </c>
      <c r="CC47" s="9">
        <v>11016.6</v>
      </c>
      <c r="CD47" s="9">
        <v>12181.5</v>
      </c>
      <c r="CE47" s="9">
        <v>10595.1</v>
      </c>
      <c r="CF47" s="9">
        <v>11798.5</v>
      </c>
      <c r="CG47" s="9">
        <v>11483.3</v>
      </c>
      <c r="CH47" s="9">
        <v>10877.4</v>
      </c>
      <c r="CI47" s="9">
        <v>12179.8</v>
      </c>
      <c r="CJ47" s="9">
        <v>10683.6</v>
      </c>
      <c r="CK47" s="9">
        <v>12446</v>
      </c>
      <c r="CL47" s="9">
        <v>10898.9</v>
      </c>
      <c r="CM47" s="9">
        <v>12204.5</v>
      </c>
      <c r="CN47" s="9">
        <v>10956.1</v>
      </c>
      <c r="CO47" s="9">
        <v>11981.3</v>
      </c>
      <c r="CP47" s="9">
        <v>11203.2</v>
      </c>
      <c r="CQ47" s="9">
        <v>12393.6</v>
      </c>
      <c r="CR47" s="9">
        <v>11042.1</v>
      </c>
      <c r="CS47" s="9">
        <v>11808.6</v>
      </c>
      <c r="CT47" s="9">
        <v>11021.7</v>
      </c>
      <c r="CU47" s="9">
        <v>9654.6</v>
      </c>
      <c r="CV47" s="9">
        <v>12174.5</v>
      </c>
      <c r="CW47" s="9">
        <v>11602.5</v>
      </c>
      <c r="CX47" s="9">
        <v>10673</v>
      </c>
      <c r="CY47" s="9">
        <v>12539.8</v>
      </c>
      <c r="CZ47" s="9">
        <v>12135.2</v>
      </c>
      <c r="DA47" s="9">
        <v>11174.2</v>
      </c>
      <c r="DB47" s="9">
        <v>11037.6</v>
      </c>
      <c r="DC47" s="9">
        <v>12258.1</v>
      </c>
      <c r="DD47" s="9">
        <v>10949.6</v>
      </c>
      <c r="DE47" s="9">
        <v>11324.1</v>
      </c>
      <c r="DF47" s="9">
        <v>12427.8</v>
      </c>
      <c r="DG47" s="9">
        <v>10813.4</v>
      </c>
      <c r="DH47" s="9">
        <v>12446.7</v>
      </c>
      <c r="DI47" s="9">
        <v>10702.2</v>
      </c>
      <c r="DJ47" s="9">
        <v>12067.9</v>
      </c>
      <c r="DK47" s="9">
        <v>11075.5</v>
      </c>
      <c r="DL47" s="9">
        <v>12188.1</v>
      </c>
      <c r="DM47" s="9">
        <v>10477</v>
      </c>
      <c r="DN47" s="9">
        <v>12240.3</v>
      </c>
      <c r="DO47" s="9">
        <v>10958.4</v>
      </c>
      <c r="DP47" s="9">
        <v>12030.3</v>
      </c>
      <c r="DQ47" s="9">
        <v>10877.7</v>
      </c>
      <c r="DR47" s="9">
        <v>12138.5</v>
      </c>
      <c r="DS47" s="9">
        <v>11107.9</v>
      </c>
      <c r="DT47" s="9">
        <v>10841.3</v>
      </c>
      <c r="DU47" s="9">
        <v>12070.4</v>
      </c>
      <c r="DV47" s="9">
        <v>11002.3</v>
      </c>
      <c r="DW47" s="9">
        <v>10758.5</v>
      </c>
      <c r="DX47" s="9">
        <v>12186.5</v>
      </c>
      <c r="DY47" s="9">
        <v>12247.3</v>
      </c>
      <c r="DZ47" s="9">
        <v>12046.7</v>
      </c>
      <c r="EA47" s="9">
        <v>10971.5</v>
      </c>
      <c r="EB47" s="9">
        <v>12161.1</v>
      </c>
      <c r="EC47" s="9">
        <v>10822.2</v>
      </c>
      <c r="ED47" s="9">
        <v>11849.6</v>
      </c>
      <c r="EE47" s="9">
        <v>10941.5</v>
      </c>
      <c r="EF47" s="9">
        <v>11625.4</v>
      </c>
      <c r="EG47" s="9">
        <v>10114.200000000001</v>
      </c>
      <c r="EH47" s="9">
        <v>11828</v>
      </c>
      <c r="EI47" s="9">
        <v>10836.5</v>
      </c>
      <c r="EJ47" s="9">
        <v>11086.9</v>
      </c>
      <c r="EK47" s="9">
        <v>11191.5</v>
      </c>
      <c r="EL47" s="9">
        <v>10937.8</v>
      </c>
      <c r="EM47" s="9">
        <v>9436.7000000000007</v>
      </c>
      <c r="EN47" s="9">
        <v>10953.3</v>
      </c>
      <c r="EO47" s="9">
        <v>9705</v>
      </c>
      <c r="EP47" s="9">
        <v>10938.4</v>
      </c>
      <c r="EQ47" s="9">
        <v>10983.7</v>
      </c>
      <c r="ER47" s="9">
        <v>12743.1</v>
      </c>
      <c r="ES47" s="9">
        <v>11067.4</v>
      </c>
      <c r="ET47" s="9">
        <v>12802.3</v>
      </c>
      <c r="EU47" s="9">
        <v>11310.6</v>
      </c>
      <c r="EV47" s="9">
        <v>12727.1</v>
      </c>
      <c r="EW47" s="9">
        <v>11222</v>
      </c>
      <c r="EX47" s="9">
        <v>11405.1</v>
      </c>
      <c r="EY47" s="9">
        <v>11180.9</v>
      </c>
      <c r="EZ47" s="9">
        <v>12310.2</v>
      </c>
      <c r="FA47" s="9">
        <v>12796.1</v>
      </c>
      <c r="FB47" s="9">
        <v>12673.1</v>
      </c>
      <c r="FC47" s="9">
        <v>12601.5</v>
      </c>
      <c r="FD47" s="9">
        <v>12618.9</v>
      </c>
      <c r="FE47" s="9">
        <v>12671.8</v>
      </c>
      <c r="FF47" s="9">
        <v>11444.8</v>
      </c>
      <c r="FG47" s="9">
        <v>12614.9</v>
      </c>
      <c r="FH47" s="9">
        <v>12765.6</v>
      </c>
      <c r="FI47" s="9">
        <v>12771.6</v>
      </c>
      <c r="FJ47" s="9">
        <v>12570</v>
      </c>
      <c r="FK47" s="9">
        <v>12599.6</v>
      </c>
      <c r="FL47" s="9">
        <v>12783.5</v>
      </c>
      <c r="FM47" s="9">
        <v>11378.2</v>
      </c>
      <c r="FN47" s="9">
        <v>12789.7</v>
      </c>
      <c r="FO47" s="9">
        <v>11447.2</v>
      </c>
      <c r="FP47" s="11">
        <v>30.308794037940395</v>
      </c>
      <c r="FQ47" s="11">
        <v>30.070392953929542</v>
      </c>
      <c r="FR47" s="11">
        <v>30.231775067750682</v>
      </c>
      <c r="FS47" s="11">
        <v>30.36867208672091</v>
      </c>
      <c r="FT47" s="11">
        <v>30.117886178861802</v>
      </c>
      <c r="FU47" s="11">
        <v>30.208604336043361</v>
      </c>
      <c r="FV47" s="11">
        <v>0</v>
      </c>
      <c r="FW47" s="11">
        <v>41.292086720867196</v>
      </c>
      <c r="FX47" s="11">
        <v>0</v>
      </c>
      <c r="FY47" s="11">
        <v>0</v>
      </c>
      <c r="FZ47" s="11">
        <v>41.6</v>
      </c>
      <c r="GA47" s="11">
        <v>41</v>
      </c>
      <c r="GB47" s="11">
        <v>3.8334709227642301</v>
      </c>
      <c r="GC47" s="11">
        <v>3.8178001829268315</v>
      </c>
      <c r="GD47" s="11">
        <v>3.7078431138211387</v>
      </c>
      <c r="GE47" s="11">
        <v>3.2276082650271025</v>
      </c>
      <c r="GF47" s="11">
        <v>3.7887057940379423</v>
      </c>
      <c r="GG47" s="11">
        <v>3.1608716003929533</v>
      </c>
      <c r="GH47" s="11">
        <v>6.949999</v>
      </c>
      <c r="GI47" s="11">
        <v>6.443333</v>
      </c>
      <c r="GJ47" s="11">
        <v>6.4950000000000001</v>
      </c>
      <c r="GK47" s="11">
        <v>6.8616659999999996</v>
      </c>
      <c r="GL47" s="11">
        <v>7.136666</v>
      </c>
      <c r="GM47" s="11">
        <v>7.3283329999999998</v>
      </c>
      <c r="GN47" s="11">
        <v>6.5047905000000057</v>
      </c>
      <c r="GO47" s="11">
        <v>6.5147866666666587</v>
      </c>
      <c r="GP47" s="11">
        <v>6.6022009999999973</v>
      </c>
      <c r="GQ47" s="11">
        <v>6.4838386666666672</v>
      </c>
      <c r="GR47" s="11">
        <v>6.5588908333333338</v>
      </c>
      <c r="GS47" s="11">
        <v>6.5801603333333292</v>
      </c>
      <c r="GT47" s="108">
        <v>1.3630478333333351</v>
      </c>
      <c r="GU47" s="108">
        <v>1.4023286666666683</v>
      </c>
      <c r="GV47" s="108">
        <v>1.2894841666666654</v>
      </c>
      <c r="GW47" s="108">
        <v>1.5395166666666666</v>
      </c>
      <c r="GX47" s="108">
        <v>1.5715496666666702</v>
      </c>
      <c r="GY47" s="108">
        <v>1.3328423333333332</v>
      </c>
      <c r="GZ47" s="13">
        <v>6.4905015000000015</v>
      </c>
      <c r="HA47" s="13">
        <v>6.5061315000000013</v>
      </c>
      <c r="HB47" s="13">
        <v>6.4977136666666651</v>
      </c>
      <c r="HC47" s="13">
        <v>6.4479981666666664</v>
      </c>
      <c r="HD47" s="13">
        <v>6.4956756666666671</v>
      </c>
      <c r="HE47" s="13">
        <v>6.5077101666666728</v>
      </c>
      <c r="HF47" s="13">
        <v>0.41979766666666662</v>
      </c>
      <c r="HG47" s="13">
        <v>0.4850523333333332</v>
      </c>
      <c r="HH47" s="13">
        <v>0.42159983333333323</v>
      </c>
      <c r="HI47" s="13">
        <v>0.42359083333333347</v>
      </c>
      <c r="HJ47" s="13">
        <v>0.4235106666666667</v>
      </c>
      <c r="HK47" s="13">
        <v>0.45129449999999949</v>
      </c>
      <c r="HL47" s="12">
        <v>0</v>
      </c>
      <c r="HM47" s="12">
        <v>0</v>
      </c>
      <c r="HN47" s="12">
        <v>0</v>
      </c>
      <c r="HO47" s="12">
        <v>0</v>
      </c>
      <c r="HP47" s="12">
        <v>0</v>
      </c>
      <c r="HQ47" s="12">
        <v>0</v>
      </c>
      <c r="HR47" s="12">
        <v>0</v>
      </c>
      <c r="HS47" s="12">
        <v>0</v>
      </c>
      <c r="HT47" s="12">
        <v>0</v>
      </c>
      <c r="HU47" s="12">
        <v>0</v>
      </c>
      <c r="HV47" s="12">
        <v>0</v>
      </c>
      <c r="HW47" s="12">
        <v>0</v>
      </c>
      <c r="HX47" s="9">
        <v>934715</v>
      </c>
      <c r="HY47" s="9">
        <v>1747</v>
      </c>
      <c r="HZ47" s="9">
        <v>921530</v>
      </c>
      <c r="IA47" s="9">
        <v>1773</v>
      </c>
      <c r="IB47" s="11">
        <v>161210.74600000001</v>
      </c>
      <c r="IC47" s="11">
        <v>362.46699999999998</v>
      </c>
      <c r="ID47" s="14">
        <f t="shared" ref="ID47:II47" si="422">GN47-HL47</f>
        <v>6.5047905000000057</v>
      </c>
      <c r="IE47" s="14">
        <f t="shared" si="422"/>
        <v>6.5147866666666587</v>
      </c>
      <c r="IF47" s="14">
        <f t="shared" si="422"/>
        <v>6.6022009999999973</v>
      </c>
      <c r="IG47" s="14">
        <f t="shared" si="422"/>
        <v>6.4838386666666672</v>
      </c>
      <c r="IH47" s="14">
        <f t="shared" si="422"/>
        <v>6.5588908333333338</v>
      </c>
      <c r="II47" s="14">
        <f t="shared" si="422"/>
        <v>6.5801603333333292</v>
      </c>
      <c r="IJ47" s="15">
        <f t="shared" ref="IJ47:IO47" si="423">GZ47-HR47</f>
        <v>6.4905015000000015</v>
      </c>
      <c r="IK47" s="15">
        <f t="shared" si="423"/>
        <v>6.5061315000000013</v>
      </c>
      <c r="IL47" s="15">
        <f t="shared" si="423"/>
        <v>6.4977136666666651</v>
      </c>
      <c r="IM47" s="15">
        <f t="shared" si="423"/>
        <v>6.4479981666666664</v>
      </c>
      <c r="IN47" s="15">
        <f t="shared" si="423"/>
        <v>6.4956756666666671</v>
      </c>
      <c r="IO47" s="15">
        <f t="shared" si="423"/>
        <v>6.5077101666666728</v>
      </c>
      <c r="IP47" s="16">
        <f t="shared" ref="IP47" si="424">(HX47-HX46)*1000</f>
        <v>935000</v>
      </c>
      <c r="IQ47" s="16">
        <f t="shared" ref="IQ47" si="425">(HY47-HY46)*1000</f>
        <v>1000</v>
      </c>
      <c r="IR47" s="16">
        <f t="shared" ref="IR47" si="426">(HZ47-HZ46)*1000</f>
        <v>925000</v>
      </c>
      <c r="IS47" s="16">
        <f t="shared" ref="IS47" si="427">(IA47-IA46)*1000</f>
        <v>1000</v>
      </c>
      <c r="IT47" s="16">
        <f t="shared" ref="IT47" si="428">(IB47-IB46)*1000</f>
        <v>1855267.0000000217</v>
      </c>
      <c r="IU47" s="16">
        <f t="shared" ref="IU47" si="429">(IC47-IC46)*1000</f>
        <v>4399.9999999999773</v>
      </c>
      <c r="IV47" s="17">
        <f t="shared" ref="IV47" si="430">(IP47+IR47)-(IQ47+IS47)</f>
        <v>1858000</v>
      </c>
      <c r="IW47" s="17">
        <f t="shared" ref="IW47" si="431">IT47-IU47</f>
        <v>1850867.0000000217</v>
      </c>
      <c r="IX47" s="19">
        <f>(Raw_Data[[#This Row],[Sunset Time (POA&lt;20 W/m2)]]-Raw_Data[[#This Row],[Sunrise Time (POA&gt;20 W/m2)]])*24</f>
        <v>12.55</v>
      </c>
      <c r="IY47" s="68">
        <f>AVERAGEIF(Raw_Data[[#This Row],[GHI_UP_Net_IS2_W1]:[GHI_UP_Net_IS19_W6]],"&lt;&gt;"&amp;0,Raw_Data[[#This Row],[GHI_UP_Net_IS2_W1]:[GHI_UP_Net_IS19_W6]])</f>
        <v>6.5407779999999995</v>
      </c>
      <c r="IZ47" s="68">
        <f>AVERAGEIF(Raw_Data[[#This Row],[GHI_Down_IS2_W1]:[GHI_Down_IS19_W6]],"&lt;&gt;"&amp;0,Raw_Data[[#This Row],[GHI_Down_IS2_W1]:[GHI_Down_IS19_W6]])</f>
        <v>1.4164615555555564</v>
      </c>
      <c r="JA47" s="68">
        <f>AVERAGEIF(Raw_Data[[#This Row],[POA_Up_IS2_W1]:[POA_Up_IS19_W6]],"&lt;&gt;"&amp;0,Raw_Data[[#This Row],[POA_Up_IS2_W1]:[POA_Up_IS19_W6]])</f>
        <v>6.4909551111111128</v>
      </c>
      <c r="JB47" s="68">
        <f>AVERAGEIF(Raw_Data[[#This Row],[POA_Down_IS2_W1]:[POA_Down_IS19_W6]],"&lt;&gt;"&amp;0,Raw_Data[[#This Row],[POA_Down_IS2_W1]:[POA_Down_IS19_W6]])</f>
        <v>0.43747430555555544</v>
      </c>
      <c r="JC47" s="69">
        <f>Raw_Data[[#This Row],[GHI-Down(KWh/m2)]]/Raw_Data[[#This Row],[GHI-UP (KWh/m2)]]</f>
        <v>0.2165585738509328</v>
      </c>
      <c r="JD47" s="72">
        <f>Raw_Data[[#This Row],[POA-Down(KWh/m2)]]/Raw_Data[[#This Row],[POA-UP(KWh/m2)]]</f>
        <v>6.7397524411576037E-2</v>
      </c>
      <c r="JE47" s="68">
        <f>AVERAGEIF(Raw_Data[[#This Row],[Amb_Temp_IS2_W1]:[Amb_Temp_IS19_W6]],"&lt;&gt;"&amp;0,Raw_Data[[#This Row],[Amb_Temp_IS2_W1]:[Amb_Temp_IS19_W6]])</f>
        <v>30.217687443541113</v>
      </c>
      <c r="JF47" s="68">
        <f>AVERAGEIF(Raw_Data[[#This Row],[MT_Temp_IS2_W1]:[MT_Temp_IS19_W6]],"&lt;&gt;"&amp;0,Raw_Data[[#This Row],[MT_Temp_IS2_W1]:[MT_Temp_IS19_W6]])</f>
        <v>41.297362240289068</v>
      </c>
      <c r="JG47" s="68">
        <f>AVERAGEIF(Raw_Data[[#This Row],[WS_Avg_IS2_W1]:[WS_Avg_IS19_W6]],"&lt;&gt;"&amp;0,Raw_Data[[#This Row],[WS_Avg_IS2_W1]:[WS_Avg_IS19_W6]])</f>
        <v>3.5893833131616995</v>
      </c>
      <c r="JH47" s="68">
        <f>AVERAGEIF(Raw_Data[[#This Row],[WS_Max_IS2_W1]:[WS_Max_IS19_W6]],"&lt;&gt;"&amp;0,Raw_Data[[#This Row],[WS_Max_IS2_W1]:[WS_Max_IS19_W6]])</f>
        <v>6.869166166666667</v>
      </c>
      <c r="JI47" s="70">
        <f>SUM(Raw_Data[[#This Row],[IS1_INV1_M1]:[IS20_INV4_M2]])</f>
        <v>1867148.5000000002</v>
      </c>
      <c r="JJ47" s="73">
        <v>1824067.00000001</v>
      </c>
      <c r="JK47" s="71">
        <v>2175313.6838066382</v>
      </c>
      <c r="JL47" s="143">
        <f>IFERROR(Raw_Data[[#This Row],[WPR_Eac]]/Raw_Data[[#This Row],[WPR_Edc]],"")</f>
        <v>0.83853055932973652</v>
      </c>
      <c r="JM47" s="6">
        <v>23</v>
      </c>
      <c r="JN47" s="6">
        <v>413</v>
      </c>
    </row>
    <row r="48" spans="2:274">
      <c r="B48" s="67">
        <f t="shared" si="21"/>
        <v>45787</v>
      </c>
      <c r="C48" s="9">
        <f>YEAR(Raw_Data[[#This Row],[Date]])+IF(MONTH(Raw_Data[[#This Row],[Date]])&gt;=4,1,0)</f>
        <v>2026</v>
      </c>
      <c r="D48" s="6">
        <f t="shared" si="420"/>
        <v>2025</v>
      </c>
      <c r="E48" s="7" t="s">
        <v>361</v>
      </c>
      <c r="F48" s="7" t="s">
        <v>361</v>
      </c>
      <c r="G48" s="8">
        <v>45778</v>
      </c>
      <c r="H48" s="6">
        <f t="shared" si="421"/>
        <v>31</v>
      </c>
      <c r="I48" s="9">
        <v>335090.89</v>
      </c>
      <c r="J48" s="10">
        <v>0.26458333333333334</v>
      </c>
      <c r="K48" s="10">
        <v>0.80347222222222225</v>
      </c>
      <c r="L48" s="9">
        <v>12151.2</v>
      </c>
      <c r="M48" s="9">
        <v>12779.7</v>
      </c>
      <c r="N48" s="9">
        <v>12721</v>
      </c>
      <c r="O48" s="9">
        <v>12648.3</v>
      </c>
      <c r="P48" s="9">
        <v>12811.1</v>
      </c>
      <c r="Q48" s="9">
        <v>12840.6</v>
      </c>
      <c r="R48" s="9">
        <v>12893.5</v>
      </c>
      <c r="S48" s="9">
        <v>13318.1</v>
      </c>
      <c r="T48" s="9">
        <v>12798.6</v>
      </c>
      <c r="U48" s="9">
        <v>12855.6</v>
      </c>
      <c r="V48" s="9">
        <v>12652.7</v>
      </c>
      <c r="W48" s="9">
        <v>12790.7</v>
      </c>
      <c r="X48" s="9">
        <v>12697</v>
      </c>
      <c r="Y48" s="9">
        <v>12718.6</v>
      </c>
      <c r="Z48" s="9">
        <v>12797.4</v>
      </c>
      <c r="AA48" s="9">
        <v>12836.3</v>
      </c>
      <c r="AB48" s="9">
        <v>12724.7</v>
      </c>
      <c r="AC48" s="9">
        <v>12711.2</v>
      </c>
      <c r="AD48" s="9">
        <v>12721.2</v>
      </c>
      <c r="AE48" s="9">
        <v>12815.9</v>
      </c>
      <c r="AF48" s="9">
        <v>12766.2</v>
      </c>
      <c r="AG48" s="9">
        <v>12762.3</v>
      </c>
      <c r="AH48" s="9">
        <v>12490.6</v>
      </c>
      <c r="AI48" s="9">
        <v>12618.1</v>
      </c>
      <c r="AJ48" s="9">
        <v>12333.9</v>
      </c>
      <c r="AK48" s="9">
        <v>10920.4</v>
      </c>
      <c r="AL48" s="9">
        <v>12455.8</v>
      </c>
      <c r="AM48" s="9">
        <v>12440.4</v>
      </c>
      <c r="AN48" s="9">
        <v>12825.7</v>
      </c>
      <c r="AO48" s="9">
        <v>12716.2</v>
      </c>
      <c r="AP48" s="9">
        <v>12563.4</v>
      </c>
      <c r="AQ48" s="9">
        <v>12736.7</v>
      </c>
      <c r="AR48" s="9">
        <v>12819.4</v>
      </c>
      <c r="AS48" s="9">
        <v>12838.5</v>
      </c>
      <c r="AT48" s="9">
        <v>12936.2</v>
      </c>
      <c r="AU48" s="9">
        <v>12815.9</v>
      </c>
      <c r="AV48" s="9">
        <v>12897.2</v>
      </c>
      <c r="AW48" s="9">
        <v>12725.2</v>
      </c>
      <c r="AX48" s="9">
        <v>12640.4</v>
      </c>
      <c r="AY48" s="9">
        <v>12695.3</v>
      </c>
      <c r="AZ48" s="9">
        <v>13594.6</v>
      </c>
      <c r="BA48" s="9">
        <v>12391.1</v>
      </c>
      <c r="BB48" s="9">
        <v>13473.6</v>
      </c>
      <c r="BC48" s="9">
        <v>12168.7</v>
      </c>
      <c r="BD48" s="9">
        <v>12781.1</v>
      </c>
      <c r="BE48" s="9">
        <v>14063.9</v>
      </c>
      <c r="BF48" s="9">
        <v>12220.3</v>
      </c>
      <c r="BG48" s="9">
        <v>13605.8</v>
      </c>
      <c r="BH48" s="9">
        <v>12889.3</v>
      </c>
      <c r="BI48" s="9">
        <v>13054.7</v>
      </c>
      <c r="BJ48" s="9">
        <v>12869.7</v>
      </c>
      <c r="BK48" s="9">
        <v>12146.6</v>
      </c>
      <c r="BL48" s="9">
        <v>13225.6</v>
      </c>
      <c r="BM48" s="9">
        <v>13063.7</v>
      </c>
      <c r="BN48" s="9">
        <v>13148.9</v>
      </c>
      <c r="BO48" s="9">
        <v>13059.6</v>
      </c>
      <c r="BP48" s="9">
        <v>11700.6</v>
      </c>
      <c r="BQ48" s="9">
        <v>13382.6</v>
      </c>
      <c r="BR48" s="9">
        <v>11714.9</v>
      </c>
      <c r="BS48" s="9">
        <v>13324.6</v>
      </c>
      <c r="BT48" s="9">
        <v>13197.2</v>
      </c>
      <c r="BU48" s="9">
        <v>11692.3</v>
      </c>
      <c r="BV48" s="9">
        <v>12830.2</v>
      </c>
      <c r="BW48" s="9">
        <v>12304.1</v>
      </c>
      <c r="BX48" s="9">
        <v>12415.3</v>
      </c>
      <c r="BY48" s="9">
        <v>11683.9</v>
      </c>
      <c r="BZ48" s="9">
        <v>12406</v>
      </c>
      <c r="CA48" s="9">
        <v>12931.5</v>
      </c>
      <c r="CB48" s="9">
        <v>13126.1</v>
      </c>
      <c r="CC48" s="9">
        <v>11931</v>
      </c>
      <c r="CD48" s="9">
        <v>13089.5</v>
      </c>
      <c r="CE48" s="9">
        <v>11455.4</v>
      </c>
      <c r="CF48" s="9">
        <v>12734.4</v>
      </c>
      <c r="CG48" s="9">
        <v>12412.6</v>
      </c>
      <c r="CH48" s="9">
        <v>11763.2</v>
      </c>
      <c r="CI48" s="9">
        <v>13083.4</v>
      </c>
      <c r="CJ48" s="9">
        <v>11560.2</v>
      </c>
      <c r="CK48" s="9">
        <v>13322.3</v>
      </c>
      <c r="CL48" s="9">
        <v>11779.3</v>
      </c>
      <c r="CM48" s="9">
        <v>13095.3</v>
      </c>
      <c r="CN48" s="9">
        <v>11974.6</v>
      </c>
      <c r="CO48" s="9">
        <v>12931.3</v>
      </c>
      <c r="CP48" s="9">
        <v>12131.7</v>
      </c>
      <c r="CQ48" s="9">
        <v>13318.4</v>
      </c>
      <c r="CR48" s="9">
        <v>11988.3</v>
      </c>
      <c r="CS48" s="9">
        <v>12794.1</v>
      </c>
      <c r="CT48" s="9">
        <v>11953.4</v>
      </c>
      <c r="CU48" s="9">
        <v>10499</v>
      </c>
      <c r="CV48" s="9">
        <v>13040.8</v>
      </c>
      <c r="CW48" s="9">
        <v>12563.1</v>
      </c>
      <c r="CX48" s="9">
        <v>11618.5</v>
      </c>
      <c r="CY48" s="9">
        <v>13412.6</v>
      </c>
      <c r="CZ48" s="9">
        <v>13071.5</v>
      </c>
      <c r="DA48" s="9">
        <v>12134.8</v>
      </c>
      <c r="DB48" s="9">
        <v>11984.8</v>
      </c>
      <c r="DC48" s="9">
        <v>13147.9</v>
      </c>
      <c r="DD48" s="9">
        <v>11806.8</v>
      </c>
      <c r="DE48" s="9">
        <v>12267.6</v>
      </c>
      <c r="DF48" s="9">
        <v>13320.7</v>
      </c>
      <c r="DG48" s="9">
        <v>11730.8</v>
      </c>
      <c r="DH48" s="9">
        <v>13354.1</v>
      </c>
      <c r="DI48" s="9">
        <v>11540.8</v>
      </c>
      <c r="DJ48" s="9">
        <v>13049.6</v>
      </c>
      <c r="DK48" s="9">
        <v>12002.9</v>
      </c>
      <c r="DL48" s="9">
        <v>13115.4</v>
      </c>
      <c r="DM48" s="9">
        <v>11361.8</v>
      </c>
      <c r="DN48" s="9">
        <v>13179</v>
      </c>
      <c r="DO48" s="9">
        <v>11905.6</v>
      </c>
      <c r="DP48" s="9">
        <v>13015.6</v>
      </c>
      <c r="DQ48" s="9">
        <v>11855.8</v>
      </c>
      <c r="DR48" s="9">
        <v>13060</v>
      </c>
      <c r="DS48" s="9">
        <v>12068.2</v>
      </c>
      <c r="DT48" s="9">
        <v>11726</v>
      </c>
      <c r="DU48" s="9">
        <v>12987.3</v>
      </c>
      <c r="DV48" s="9">
        <v>11918.5</v>
      </c>
      <c r="DW48" s="9">
        <v>11664.9</v>
      </c>
      <c r="DX48" s="9">
        <v>13088.5</v>
      </c>
      <c r="DY48" s="9">
        <v>13179</v>
      </c>
      <c r="DZ48" s="9">
        <v>12962.2</v>
      </c>
      <c r="EA48" s="9">
        <v>11882.9</v>
      </c>
      <c r="EB48" s="9">
        <v>13113.8</v>
      </c>
      <c r="EC48" s="9">
        <v>11761.6</v>
      </c>
      <c r="ED48" s="9">
        <v>12828.7</v>
      </c>
      <c r="EE48" s="9">
        <v>11897.3</v>
      </c>
      <c r="EF48" s="9">
        <v>12643.7</v>
      </c>
      <c r="EG48" s="9">
        <v>10987.6</v>
      </c>
      <c r="EH48" s="9">
        <v>12834.5</v>
      </c>
      <c r="EI48" s="9">
        <v>11762</v>
      </c>
      <c r="EJ48" s="9">
        <v>11950.1</v>
      </c>
      <c r="EK48" s="9">
        <v>12027.3</v>
      </c>
      <c r="EL48" s="9">
        <v>11781.4</v>
      </c>
      <c r="EM48" s="9">
        <v>10181.700000000001</v>
      </c>
      <c r="EN48" s="9">
        <v>11777.1</v>
      </c>
      <c r="EO48" s="9">
        <v>10421.9</v>
      </c>
      <c r="EP48" s="9">
        <v>11764.1</v>
      </c>
      <c r="EQ48" s="9">
        <v>11829.5</v>
      </c>
      <c r="ER48" s="9">
        <v>13607.1</v>
      </c>
      <c r="ES48" s="9">
        <v>12028.6</v>
      </c>
      <c r="ET48" s="9">
        <v>13655.6</v>
      </c>
      <c r="EU48" s="9">
        <v>12317</v>
      </c>
      <c r="EV48" s="9">
        <v>13571.3</v>
      </c>
      <c r="EW48" s="9">
        <v>12188.7</v>
      </c>
      <c r="EX48" s="9">
        <v>12396.7</v>
      </c>
      <c r="EY48" s="9">
        <v>12070.3</v>
      </c>
      <c r="EZ48" s="9">
        <v>13280.6</v>
      </c>
      <c r="FA48" s="9">
        <v>13700.2</v>
      </c>
      <c r="FB48" s="9">
        <v>13583.7</v>
      </c>
      <c r="FC48" s="9">
        <v>13520.4</v>
      </c>
      <c r="FD48" s="9">
        <v>13534.9</v>
      </c>
      <c r="FE48" s="9">
        <v>13550.4</v>
      </c>
      <c r="FF48" s="9">
        <v>12459.5</v>
      </c>
      <c r="FG48" s="9">
        <v>13531</v>
      </c>
      <c r="FH48" s="9">
        <v>13599.6</v>
      </c>
      <c r="FI48" s="9">
        <v>13641.6</v>
      </c>
      <c r="FJ48" s="9">
        <v>13465.6</v>
      </c>
      <c r="FK48" s="9">
        <v>13496.5</v>
      </c>
      <c r="FL48" s="9">
        <v>13651.1</v>
      </c>
      <c r="FM48" s="9">
        <v>12402.5</v>
      </c>
      <c r="FN48" s="9">
        <v>13631.1</v>
      </c>
      <c r="FO48" s="9">
        <v>12463.7</v>
      </c>
      <c r="FP48" s="11">
        <v>33.985507246376848</v>
      </c>
      <c r="FQ48" s="11">
        <v>33.64143610013172</v>
      </c>
      <c r="FR48" s="11">
        <v>34.085349143609982</v>
      </c>
      <c r="FS48" s="11">
        <v>34.104545454545409</v>
      </c>
      <c r="FT48" s="11">
        <v>33.81156785243742</v>
      </c>
      <c r="FU48" s="11">
        <v>33.806271409749698</v>
      </c>
      <c r="FV48" s="11">
        <v>0</v>
      </c>
      <c r="FW48" s="11">
        <v>48.317312252964477</v>
      </c>
      <c r="FX48" s="11">
        <v>0</v>
      </c>
      <c r="FY48" s="11">
        <v>0</v>
      </c>
      <c r="FZ48" s="11">
        <v>48.5</v>
      </c>
      <c r="GA48" s="11">
        <v>48.3</v>
      </c>
      <c r="GB48" s="11">
        <v>2.2701514423847158</v>
      </c>
      <c r="GC48" s="11">
        <v>1.79150631571805</v>
      </c>
      <c r="GD48" s="11">
        <v>2.0729446294729952</v>
      </c>
      <c r="GE48" s="11">
        <v>0.87494288197628467</v>
      </c>
      <c r="GF48" s="11">
        <v>2.1826964910408422</v>
      </c>
      <c r="GG48" s="11">
        <v>0.70304564864295138</v>
      </c>
      <c r="GH48" s="11">
        <v>4.5366660000000003</v>
      </c>
      <c r="GI48" s="11">
        <v>4.8266660000000003</v>
      </c>
      <c r="GJ48" s="11">
        <v>4.66</v>
      </c>
      <c r="GK48" s="11">
        <v>4.483333</v>
      </c>
      <c r="GL48" s="11">
        <v>5.1183329999999998</v>
      </c>
      <c r="GM48" s="11">
        <v>4.0049999999999999</v>
      </c>
      <c r="GN48" s="11">
        <v>7.3409464999999976</v>
      </c>
      <c r="GO48" s="11">
        <v>7.3399474999999983</v>
      </c>
      <c r="GP48" s="11">
        <v>7.4325566666666667</v>
      </c>
      <c r="GQ48" s="11">
        <v>7.3056861666666633</v>
      </c>
      <c r="GR48" s="11">
        <v>7.3887583333333398</v>
      </c>
      <c r="GS48" s="11">
        <v>7.4375511666666583</v>
      </c>
      <c r="GT48" s="108">
        <v>1.6935710000000019</v>
      </c>
      <c r="GU48" s="108">
        <v>1.652744999999999</v>
      </c>
      <c r="GV48" s="108">
        <v>1.5602131666666683</v>
      </c>
      <c r="GW48" s="108">
        <v>1.8445431666666674</v>
      </c>
      <c r="GX48" s="108">
        <v>1.9440466666666658</v>
      </c>
      <c r="GY48" s="108">
        <v>1.5467320000000009</v>
      </c>
      <c r="GZ48" s="13">
        <v>7.2782134999999997</v>
      </c>
      <c r="HA48" s="13">
        <v>7.2729303333333357</v>
      </c>
      <c r="HB48" s="13">
        <v>7.2500791666666622</v>
      </c>
      <c r="HC48" s="13">
        <v>7.2124253333333277</v>
      </c>
      <c r="HD48" s="13">
        <v>7.271260333333327</v>
      </c>
      <c r="HE48" s="13">
        <v>7.2685824999999973</v>
      </c>
      <c r="HF48" s="13">
        <v>0.49524983333333328</v>
      </c>
      <c r="HG48" s="13">
        <v>0.55514550000000018</v>
      </c>
      <c r="HH48" s="13">
        <v>0.49329816666666693</v>
      </c>
      <c r="HI48" s="13">
        <v>0.47345350000000058</v>
      </c>
      <c r="HJ48" s="13">
        <v>0.50577083333333384</v>
      </c>
      <c r="HK48" s="13">
        <v>0.52053516666666622</v>
      </c>
      <c r="HL48" s="12">
        <v>0</v>
      </c>
      <c r="HM48" s="12">
        <v>0</v>
      </c>
      <c r="HN48" s="12">
        <v>0</v>
      </c>
      <c r="HO48" s="12">
        <v>0</v>
      </c>
      <c r="HP48" s="12">
        <v>0</v>
      </c>
      <c r="HQ48" s="12">
        <v>0</v>
      </c>
      <c r="HR48" s="12">
        <v>0</v>
      </c>
      <c r="HS48" s="12">
        <v>0</v>
      </c>
      <c r="HT48" s="12">
        <v>0</v>
      </c>
      <c r="HU48" s="12">
        <v>0</v>
      </c>
      <c r="HV48" s="12">
        <v>0</v>
      </c>
      <c r="HW48" s="12">
        <v>0</v>
      </c>
      <c r="HX48" s="9">
        <v>935723</v>
      </c>
      <c r="HY48" s="9">
        <v>1748</v>
      </c>
      <c r="HZ48" s="9">
        <v>922528</v>
      </c>
      <c r="IA48" s="9">
        <v>1774</v>
      </c>
      <c r="IB48" s="11">
        <v>163212.81299999999</v>
      </c>
      <c r="IC48" s="11">
        <v>366.733</v>
      </c>
      <c r="ID48" s="14">
        <f t="shared" ref="ID48:II48" si="432">GN48-HL48</f>
        <v>7.3409464999999976</v>
      </c>
      <c r="IE48" s="14">
        <f t="shared" si="432"/>
        <v>7.3399474999999983</v>
      </c>
      <c r="IF48" s="14">
        <f t="shared" si="432"/>
        <v>7.4325566666666667</v>
      </c>
      <c r="IG48" s="14">
        <f t="shared" si="432"/>
        <v>7.3056861666666633</v>
      </c>
      <c r="IH48" s="14">
        <f t="shared" si="432"/>
        <v>7.3887583333333398</v>
      </c>
      <c r="II48" s="14">
        <f t="shared" si="432"/>
        <v>7.4375511666666583</v>
      </c>
      <c r="IJ48" s="15">
        <f t="shared" ref="IJ48:IO48" si="433">GZ48-HR48</f>
        <v>7.2782134999999997</v>
      </c>
      <c r="IK48" s="15">
        <f t="shared" si="433"/>
        <v>7.2729303333333357</v>
      </c>
      <c r="IL48" s="15">
        <f t="shared" si="433"/>
        <v>7.2500791666666622</v>
      </c>
      <c r="IM48" s="15">
        <f t="shared" si="433"/>
        <v>7.2124253333333277</v>
      </c>
      <c r="IN48" s="15">
        <f t="shared" si="433"/>
        <v>7.271260333333327</v>
      </c>
      <c r="IO48" s="15">
        <f t="shared" si="433"/>
        <v>7.2685824999999973</v>
      </c>
      <c r="IP48" s="16">
        <f t="shared" ref="IP48" si="434">(HX48-HX47)*1000</f>
        <v>1008000</v>
      </c>
      <c r="IQ48" s="16">
        <f t="shared" ref="IQ48" si="435">(HY48-HY47)*1000</f>
        <v>1000</v>
      </c>
      <c r="IR48" s="16">
        <f t="shared" ref="IR48" si="436">(HZ48-HZ47)*1000</f>
        <v>998000</v>
      </c>
      <c r="IS48" s="16">
        <f t="shared" ref="IS48" si="437">(IA48-IA47)*1000</f>
        <v>1000</v>
      </c>
      <c r="IT48" s="16">
        <f t="shared" ref="IT48" si="438">(IB48-IB47)*1000</f>
        <v>2002066.9999999809</v>
      </c>
      <c r="IU48" s="16">
        <f t="shared" ref="IU48" si="439">(IC48-IC47)*1000</f>
        <v>4266.00000000002</v>
      </c>
      <c r="IV48" s="17">
        <f t="shared" ref="IV48" si="440">(IP48+IR48)-(IQ48+IS48)</f>
        <v>2004000</v>
      </c>
      <c r="IW48" s="17">
        <f t="shared" ref="IW48" si="441">IT48-IU48</f>
        <v>1997800.9999999809</v>
      </c>
      <c r="IX48" s="19">
        <f>(Raw_Data[[#This Row],[Sunset Time (POA&lt;20 W/m2)]]-Raw_Data[[#This Row],[Sunrise Time (POA&gt;20 W/m2)]])*24</f>
        <v>12.933333333333335</v>
      </c>
      <c r="IY48" s="68">
        <f>AVERAGEIF(Raw_Data[[#This Row],[GHI_UP_Net_IS2_W1]:[GHI_UP_Net_IS19_W6]],"&lt;&gt;"&amp;0,Raw_Data[[#This Row],[GHI_UP_Net_IS2_W1]:[GHI_UP_Net_IS19_W6]])</f>
        <v>7.3742410555555544</v>
      </c>
      <c r="IZ48" s="68">
        <f>AVERAGEIF(Raw_Data[[#This Row],[GHI_Down_IS2_W1]:[GHI_Down_IS19_W6]],"&lt;&gt;"&amp;0,Raw_Data[[#This Row],[GHI_Down_IS2_W1]:[GHI_Down_IS19_W6]])</f>
        <v>1.706975166666667</v>
      </c>
      <c r="JA48" s="68">
        <f>AVERAGEIF(Raw_Data[[#This Row],[POA_Up_IS2_W1]:[POA_Up_IS19_W6]],"&lt;&gt;"&amp;0,Raw_Data[[#This Row],[POA_Up_IS2_W1]:[POA_Up_IS19_W6]])</f>
        <v>7.258915194444441</v>
      </c>
      <c r="JB48" s="68">
        <f>AVERAGEIF(Raw_Data[[#This Row],[POA_Down_IS2_W1]:[POA_Down_IS19_W6]],"&lt;&gt;"&amp;0,Raw_Data[[#This Row],[POA_Down_IS2_W1]:[POA_Down_IS19_W6]])</f>
        <v>0.50724216666666688</v>
      </c>
      <c r="JC48" s="69">
        <f>Raw_Data[[#This Row],[GHI-Down(KWh/m2)]]/Raw_Data[[#This Row],[GHI-UP (KWh/m2)]]</f>
        <v>0.23147808076882406</v>
      </c>
      <c r="JD48" s="72">
        <f>Raw_Data[[#This Row],[POA-Down(KWh/m2)]]/Raw_Data[[#This Row],[POA-UP(KWh/m2)]]</f>
        <v>6.9878508438131509E-2</v>
      </c>
      <c r="JE48" s="68">
        <f>AVERAGEIF(Raw_Data[[#This Row],[Amb_Temp_IS2_W1]:[Amb_Temp_IS19_W6]],"&lt;&gt;"&amp;0,Raw_Data[[#This Row],[Amb_Temp_IS2_W1]:[Amb_Temp_IS19_W6]])</f>
        <v>33.90577953447518</v>
      </c>
      <c r="JF48" s="68">
        <f>AVERAGEIF(Raw_Data[[#This Row],[MT_Temp_IS2_W1]:[MT_Temp_IS19_W6]],"&lt;&gt;"&amp;0,Raw_Data[[#This Row],[MT_Temp_IS2_W1]:[MT_Temp_IS19_W6]])</f>
        <v>48.37243741765483</v>
      </c>
      <c r="JG48" s="68">
        <f>AVERAGEIF(Raw_Data[[#This Row],[WS_Avg_IS2_W1]:[WS_Avg_IS19_W6]],"&lt;&gt;"&amp;0,Raw_Data[[#This Row],[WS_Avg_IS2_W1]:[WS_Avg_IS19_W6]])</f>
        <v>1.6492145682059733</v>
      </c>
      <c r="JH48" s="68">
        <f>AVERAGEIF(Raw_Data[[#This Row],[WS_Max_IS2_W1]:[WS_Max_IS19_W6]],"&lt;&gt;"&amp;0,Raw_Data[[#This Row],[WS_Max_IS2_W1]:[WS_Max_IS19_W6]])</f>
        <v>4.6049996666666662</v>
      </c>
      <c r="JI48" s="70">
        <f>SUM(Raw_Data[[#This Row],[IS1_INV1_M1]:[IS20_INV4_M2]])</f>
        <v>2015493.1000000013</v>
      </c>
      <c r="JJ48" s="73">
        <v>1981065.9999999916</v>
      </c>
      <c r="JK48" s="71">
        <v>2389965.929302007</v>
      </c>
      <c r="JL48" s="143">
        <f>IFERROR(Raw_Data[[#This Row],[WPR_Eac]]/Raw_Data[[#This Row],[WPR_Edc]],"")</f>
        <v>0.82890972449074407</v>
      </c>
      <c r="JM48" s="6">
        <v>17</v>
      </c>
      <c r="JN48" s="6">
        <v>0</v>
      </c>
    </row>
    <row r="49" spans="2:274">
      <c r="B49" s="67">
        <f t="shared" si="21"/>
        <v>45788</v>
      </c>
      <c r="C49" s="9">
        <f>YEAR(Raw_Data[[#This Row],[Date]])+IF(MONTH(Raw_Data[[#This Row],[Date]])&gt;=4,1,0)</f>
        <v>2026</v>
      </c>
      <c r="D49" s="6">
        <f t="shared" si="420"/>
        <v>2025</v>
      </c>
      <c r="E49" s="7" t="s">
        <v>361</v>
      </c>
      <c r="F49" s="7" t="s">
        <v>361</v>
      </c>
      <c r="G49" s="8">
        <v>45778</v>
      </c>
      <c r="H49" s="6">
        <f t="shared" si="421"/>
        <v>31</v>
      </c>
      <c r="I49" s="9">
        <v>335090.89</v>
      </c>
      <c r="J49" s="10">
        <v>0.26319444444444445</v>
      </c>
      <c r="K49" s="10">
        <v>0.8041666666666667</v>
      </c>
      <c r="L49" s="9">
        <v>11905.2</v>
      </c>
      <c r="M49" s="9">
        <v>12551.4</v>
      </c>
      <c r="N49" s="9">
        <v>12468.9</v>
      </c>
      <c r="O49" s="9">
        <v>12405</v>
      </c>
      <c r="P49" s="9">
        <v>12571.7</v>
      </c>
      <c r="Q49" s="9">
        <v>12661.8</v>
      </c>
      <c r="R49" s="9">
        <v>12719.8</v>
      </c>
      <c r="S49" s="9">
        <v>13228.3</v>
      </c>
      <c r="T49" s="9">
        <v>12580.7</v>
      </c>
      <c r="U49" s="9">
        <v>12674</v>
      </c>
      <c r="V49" s="9">
        <v>12420.1</v>
      </c>
      <c r="W49" s="9">
        <v>12559</v>
      </c>
      <c r="X49" s="9">
        <v>12513.8</v>
      </c>
      <c r="Y49" s="9">
        <v>12493.5</v>
      </c>
      <c r="Z49" s="9">
        <v>12569.5</v>
      </c>
      <c r="AA49" s="9">
        <v>12622</v>
      </c>
      <c r="AB49" s="9">
        <v>12526.4</v>
      </c>
      <c r="AC49" s="9">
        <v>12539.7</v>
      </c>
      <c r="AD49" s="9">
        <v>12533.7</v>
      </c>
      <c r="AE49" s="9">
        <v>12578.6</v>
      </c>
      <c r="AF49" s="9">
        <v>12563</v>
      </c>
      <c r="AG49" s="9">
        <v>12535</v>
      </c>
      <c r="AH49" s="9">
        <v>12278.8</v>
      </c>
      <c r="AI49" s="9">
        <v>12392</v>
      </c>
      <c r="AJ49" s="9">
        <v>12188.9</v>
      </c>
      <c r="AK49" s="9">
        <v>10704.5</v>
      </c>
      <c r="AL49" s="9">
        <v>12185</v>
      </c>
      <c r="AM49" s="9">
        <v>12194.1</v>
      </c>
      <c r="AN49" s="9">
        <v>12653</v>
      </c>
      <c r="AO49" s="9">
        <v>12538.6</v>
      </c>
      <c r="AP49" s="9">
        <v>12376.2</v>
      </c>
      <c r="AQ49" s="9">
        <v>12607.1</v>
      </c>
      <c r="AR49" s="9">
        <v>12576.2</v>
      </c>
      <c r="AS49" s="9">
        <v>12594.8</v>
      </c>
      <c r="AT49" s="9">
        <v>12723.2</v>
      </c>
      <c r="AU49" s="9">
        <v>12586</v>
      </c>
      <c r="AV49" s="9">
        <v>12746.5</v>
      </c>
      <c r="AW49" s="9">
        <v>12535.2</v>
      </c>
      <c r="AX49" s="9">
        <v>12504.4</v>
      </c>
      <c r="AY49" s="9">
        <v>12514.1</v>
      </c>
      <c r="AZ49" s="9">
        <v>13551.4</v>
      </c>
      <c r="BA49" s="9">
        <v>12159.9</v>
      </c>
      <c r="BB49" s="9">
        <v>13417.7</v>
      </c>
      <c r="BC49" s="9">
        <v>11936.8</v>
      </c>
      <c r="BD49" s="9">
        <v>12574.4</v>
      </c>
      <c r="BE49" s="9">
        <v>14061.2</v>
      </c>
      <c r="BF49" s="9">
        <v>11990.5</v>
      </c>
      <c r="BG49" s="9">
        <v>13578.1</v>
      </c>
      <c r="BH49" s="9">
        <v>12728</v>
      </c>
      <c r="BI49" s="9">
        <v>12859.9</v>
      </c>
      <c r="BJ49" s="9">
        <v>12622.6</v>
      </c>
      <c r="BK49" s="9">
        <v>11894.6</v>
      </c>
      <c r="BL49" s="9">
        <v>13043.5</v>
      </c>
      <c r="BM49" s="9">
        <v>12885.6</v>
      </c>
      <c r="BN49" s="9">
        <v>12982.8</v>
      </c>
      <c r="BO49" s="9">
        <v>12872.6</v>
      </c>
      <c r="BP49" s="9">
        <v>11485.1</v>
      </c>
      <c r="BQ49" s="9">
        <v>13282.4</v>
      </c>
      <c r="BR49" s="9">
        <v>11490.9</v>
      </c>
      <c r="BS49" s="9">
        <v>13207.7</v>
      </c>
      <c r="BT49" s="9">
        <v>13060.1</v>
      </c>
      <c r="BU49" s="9">
        <v>11470.5</v>
      </c>
      <c r="BV49" s="9">
        <v>12766.2</v>
      </c>
      <c r="BW49" s="9">
        <v>12063.1</v>
      </c>
      <c r="BX49" s="9">
        <v>12202.7</v>
      </c>
      <c r="BY49" s="9">
        <v>11492.9</v>
      </c>
      <c r="BZ49" s="9">
        <v>12195.3</v>
      </c>
      <c r="CA49" s="9">
        <v>12765.8</v>
      </c>
      <c r="CB49" s="9">
        <v>13153.7</v>
      </c>
      <c r="CC49" s="9">
        <v>11730.1</v>
      </c>
      <c r="CD49" s="9">
        <v>12969.3</v>
      </c>
      <c r="CE49" s="9">
        <v>11258.6</v>
      </c>
      <c r="CF49" s="9">
        <v>12533.3</v>
      </c>
      <c r="CG49" s="9">
        <v>12202.3</v>
      </c>
      <c r="CH49" s="9">
        <v>11561.8</v>
      </c>
      <c r="CI49" s="9">
        <v>12962.1</v>
      </c>
      <c r="CJ49" s="9">
        <v>11367.4</v>
      </c>
      <c r="CK49" s="9">
        <v>13231.7</v>
      </c>
      <c r="CL49" s="9">
        <v>11558.4</v>
      </c>
      <c r="CM49" s="9">
        <v>12947.2</v>
      </c>
      <c r="CN49" s="9">
        <v>11770</v>
      </c>
      <c r="CO49" s="9">
        <v>12759.2</v>
      </c>
      <c r="CP49" s="9">
        <v>11900.5</v>
      </c>
      <c r="CQ49" s="9">
        <v>13218.5</v>
      </c>
      <c r="CR49" s="9">
        <v>11764.2</v>
      </c>
      <c r="CS49" s="9">
        <v>12568.2</v>
      </c>
      <c r="CT49" s="9">
        <v>11733.8</v>
      </c>
      <c r="CU49" s="9">
        <v>10327.700000000001</v>
      </c>
      <c r="CV49" s="9">
        <v>12857.7</v>
      </c>
      <c r="CW49" s="9">
        <v>12339.7</v>
      </c>
      <c r="CX49" s="9">
        <v>11425.5</v>
      </c>
      <c r="CY49" s="9">
        <v>13317.3</v>
      </c>
      <c r="CZ49" s="9">
        <v>12935.1</v>
      </c>
      <c r="DA49" s="9">
        <v>11906</v>
      </c>
      <c r="DB49" s="9">
        <v>11763.7</v>
      </c>
      <c r="DC49" s="9">
        <v>13034.4</v>
      </c>
      <c r="DD49" s="9">
        <v>11567.9</v>
      </c>
      <c r="DE49" s="9">
        <v>12057</v>
      </c>
      <c r="DF49" s="9">
        <v>13236.1</v>
      </c>
      <c r="DG49" s="9">
        <v>11523.4</v>
      </c>
      <c r="DH49" s="9">
        <v>13275</v>
      </c>
      <c r="DI49" s="9">
        <v>11395.1</v>
      </c>
      <c r="DJ49" s="9">
        <v>12887.9</v>
      </c>
      <c r="DK49" s="9">
        <v>11779.3</v>
      </c>
      <c r="DL49" s="9">
        <v>13016.1</v>
      </c>
      <c r="DM49" s="9">
        <v>11160.9</v>
      </c>
      <c r="DN49" s="9">
        <v>13068.5</v>
      </c>
      <c r="DO49" s="9">
        <v>11713.9</v>
      </c>
      <c r="DP49" s="9">
        <v>12844.9</v>
      </c>
      <c r="DQ49" s="9">
        <v>11628.2</v>
      </c>
      <c r="DR49" s="9">
        <v>12916.2</v>
      </c>
      <c r="DS49" s="9">
        <v>11870</v>
      </c>
      <c r="DT49" s="9">
        <v>11522.8</v>
      </c>
      <c r="DU49" s="9">
        <v>12825.5</v>
      </c>
      <c r="DV49" s="9">
        <v>11698.1</v>
      </c>
      <c r="DW49" s="9">
        <v>11453.2</v>
      </c>
      <c r="DX49" s="9">
        <v>12963.3</v>
      </c>
      <c r="DY49" s="9">
        <v>13063.2</v>
      </c>
      <c r="DZ49" s="9">
        <v>12823.4</v>
      </c>
      <c r="EA49" s="9">
        <v>11700.2</v>
      </c>
      <c r="EB49" s="9">
        <v>13003.7</v>
      </c>
      <c r="EC49" s="9">
        <v>11558.6</v>
      </c>
      <c r="ED49" s="9">
        <v>12643.9</v>
      </c>
      <c r="EE49" s="9">
        <v>11697.4</v>
      </c>
      <c r="EF49" s="9">
        <v>12436.9</v>
      </c>
      <c r="EG49" s="9">
        <v>10820.2</v>
      </c>
      <c r="EH49" s="9">
        <v>12625</v>
      </c>
      <c r="EI49" s="9">
        <v>11551.1</v>
      </c>
      <c r="EJ49" s="9">
        <v>11703.6</v>
      </c>
      <c r="EK49" s="9">
        <v>11771.2</v>
      </c>
      <c r="EL49" s="9">
        <v>11528.7</v>
      </c>
      <c r="EM49" s="9">
        <v>9957</v>
      </c>
      <c r="EN49" s="9">
        <v>11523.2</v>
      </c>
      <c r="EO49" s="9">
        <v>10195.299999999999</v>
      </c>
      <c r="EP49" s="9">
        <v>11537.8</v>
      </c>
      <c r="EQ49" s="9">
        <v>11606.7</v>
      </c>
      <c r="ER49" s="9">
        <v>13550</v>
      </c>
      <c r="ES49" s="9">
        <v>11817.3</v>
      </c>
      <c r="ET49" s="9">
        <v>13610.8</v>
      </c>
      <c r="EU49" s="9">
        <v>12108.3</v>
      </c>
      <c r="EV49" s="9">
        <v>13528.1</v>
      </c>
      <c r="EW49" s="9">
        <v>11982.3</v>
      </c>
      <c r="EX49" s="9">
        <v>12192</v>
      </c>
      <c r="EY49" s="9">
        <v>11863.5</v>
      </c>
      <c r="EZ49" s="9">
        <v>13156.6</v>
      </c>
      <c r="FA49" s="9">
        <v>13690</v>
      </c>
      <c r="FB49" s="9">
        <v>13494.6</v>
      </c>
      <c r="FC49" s="9">
        <v>13419.6</v>
      </c>
      <c r="FD49" s="9">
        <v>13432.2</v>
      </c>
      <c r="FE49" s="9">
        <v>13448.6</v>
      </c>
      <c r="FF49" s="9">
        <v>12211.1</v>
      </c>
      <c r="FG49" s="9">
        <v>13478</v>
      </c>
      <c r="FH49" s="9">
        <v>13483.2</v>
      </c>
      <c r="FI49" s="9">
        <v>13593.3</v>
      </c>
      <c r="FJ49" s="9">
        <v>13549.3</v>
      </c>
      <c r="FK49" s="9">
        <v>13513.9</v>
      </c>
      <c r="FL49" s="9">
        <v>13605.7</v>
      </c>
      <c r="FM49" s="9">
        <v>12163.5</v>
      </c>
      <c r="FN49" s="9">
        <v>13630</v>
      </c>
      <c r="FO49" s="9">
        <v>12234.7</v>
      </c>
      <c r="FP49" s="11">
        <v>36.38070959264131</v>
      </c>
      <c r="FQ49" s="11">
        <v>36.097687253613671</v>
      </c>
      <c r="FR49" s="11">
        <v>36.595308804204961</v>
      </c>
      <c r="FS49" s="11">
        <v>36.321471747700429</v>
      </c>
      <c r="FT49" s="11">
        <v>36.25944809461231</v>
      </c>
      <c r="FU49" s="11">
        <v>36.524126149802889</v>
      </c>
      <c r="FV49" s="11">
        <v>0</v>
      </c>
      <c r="FW49" s="11">
        <v>50.6</v>
      </c>
      <c r="FX49" s="11">
        <v>0</v>
      </c>
      <c r="FY49" s="11">
        <v>0</v>
      </c>
      <c r="FZ49" s="11">
        <v>50.8</v>
      </c>
      <c r="GA49" s="11">
        <v>51.3</v>
      </c>
      <c r="GB49" s="11">
        <v>2.8913840129172153</v>
      </c>
      <c r="GC49" s="11">
        <v>2.9903108765703035</v>
      </c>
      <c r="GD49" s="11">
        <v>2.7281098391195808</v>
      </c>
      <c r="GE49" s="11">
        <v>1.2801992494349534</v>
      </c>
      <c r="GF49" s="11">
        <v>3.0158364973718794</v>
      </c>
      <c r="GG49" s="11">
        <v>2.1463249293166893</v>
      </c>
      <c r="GH49" s="11">
        <v>7.1733330000000004</v>
      </c>
      <c r="GI49" s="11">
        <v>6.2583330000000004</v>
      </c>
      <c r="GJ49" s="11">
        <v>6.7866660000000003</v>
      </c>
      <c r="GK49" s="11">
        <v>6.3949999999999996</v>
      </c>
      <c r="GL49" s="11">
        <v>5.94</v>
      </c>
      <c r="GM49" s="11">
        <v>7.1166660000000004</v>
      </c>
      <c r="GN49" s="11">
        <v>7.2736208333333323</v>
      </c>
      <c r="GO49" s="11">
        <v>7.3066530000000007</v>
      </c>
      <c r="GP49" s="11">
        <v>7.3621886666666629</v>
      </c>
      <c r="GQ49" s="11">
        <v>7.2675019999999941</v>
      </c>
      <c r="GR49" s="11">
        <v>7.3488636666666709</v>
      </c>
      <c r="GS49" s="11">
        <v>7.3772459999999995</v>
      </c>
      <c r="GT49" s="108">
        <v>1.7207763333333348</v>
      </c>
      <c r="GU49" s="108">
        <v>1.6697233333333314</v>
      </c>
      <c r="GV49" s="108">
        <v>1.5786043333333335</v>
      </c>
      <c r="GW49" s="108">
        <v>1.8626243333333341</v>
      </c>
      <c r="GX49" s="108">
        <v>1.9714543333333345</v>
      </c>
      <c r="GY49" s="108">
        <v>1.5476319999999997</v>
      </c>
      <c r="GZ49" s="13">
        <v>7.1951013333333318</v>
      </c>
      <c r="HA49" s="13">
        <v>7.2266269999999961</v>
      </c>
      <c r="HB49" s="13">
        <v>7.1609943333333295</v>
      </c>
      <c r="HC49" s="13">
        <v>7.1728409999999947</v>
      </c>
      <c r="HD49" s="13">
        <v>7.2031751666666697</v>
      </c>
      <c r="HE49" s="13">
        <v>7.2033960000000006</v>
      </c>
      <c r="HF49" s="13">
        <v>0.50653150000000002</v>
      </c>
      <c r="HG49" s="13">
        <v>0.56614250000000033</v>
      </c>
      <c r="HH49" s="13">
        <v>0.5018878333333332</v>
      </c>
      <c r="HI49" s="13">
        <v>0.48188266666666696</v>
      </c>
      <c r="HJ49" s="13">
        <v>0.52341033333333309</v>
      </c>
      <c r="HK49" s="13">
        <v>0.5283001666666669</v>
      </c>
      <c r="HL49" s="12">
        <v>0</v>
      </c>
      <c r="HM49" s="12">
        <v>0</v>
      </c>
      <c r="HN49" s="12">
        <v>0</v>
      </c>
      <c r="HO49" s="12">
        <v>0</v>
      </c>
      <c r="HP49" s="12">
        <v>0</v>
      </c>
      <c r="HQ49" s="12">
        <v>0</v>
      </c>
      <c r="HR49" s="12">
        <v>0</v>
      </c>
      <c r="HS49" s="12">
        <v>0</v>
      </c>
      <c r="HT49" s="12">
        <v>0</v>
      </c>
      <c r="HU49" s="12">
        <v>0</v>
      </c>
      <c r="HV49" s="12">
        <v>0</v>
      </c>
      <c r="HW49" s="12">
        <v>0</v>
      </c>
      <c r="HX49" s="9">
        <v>936716</v>
      </c>
      <c r="HY49" s="9">
        <v>1750</v>
      </c>
      <c r="HZ49" s="9">
        <v>923513</v>
      </c>
      <c r="IA49" s="9">
        <v>1776</v>
      </c>
      <c r="IB49" s="11">
        <v>165187.81299999999</v>
      </c>
      <c r="IC49" s="11">
        <v>371.13299999999998</v>
      </c>
      <c r="ID49" s="14">
        <f t="shared" ref="ID49:II49" si="442">GN49-HL49</f>
        <v>7.2736208333333323</v>
      </c>
      <c r="IE49" s="14">
        <f t="shared" si="442"/>
        <v>7.3066530000000007</v>
      </c>
      <c r="IF49" s="14">
        <f t="shared" si="442"/>
        <v>7.3621886666666629</v>
      </c>
      <c r="IG49" s="14">
        <f t="shared" si="442"/>
        <v>7.2675019999999941</v>
      </c>
      <c r="IH49" s="14">
        <f t="shared" si="442"/>
        <v>7.3488636666666709</v>
      </c>
      <c r="II49" s="14">
        <f t="shared" si="442"/>
        <v>7.3772459999999995</v>
      </c>
      <c r="IJ49" s="15">
        <f t="shared" ref="IJ49:IO49" si="443">GZ49-HR49</f>
        <v>7.1951013333333318</v>
      </c>
      <c r="IK49" s="15">
        <f t="shared" si="443"/>
        <v>7.2266269999999961</v>
      </c>
      <c r="IL49" s="15">
        <f t="shared" si="443"/>
        <v>7.1609943333333295</v>
      </c>
      <c r="IM49" s="15">
        <f t="shared" si="443"/>
        <v>7.1728409999999947</v>
      </c>
      <c r="IN49" s="15">
        <f t="shared" si="443"/>
        <v>7.2031751666666697</v>
      </c>
      <c r="IO49" s="15">
        <f t="shared" si="443"/>
        <v>7.2033960000000006</v>
      </c>
      <c r="IP49" s="16">
        <f t="shared" ref="IP49" si="444">(HX49-HX48)*1000</f>
        <v>993000</v>
      </c>
      <c r="IQ49" s="16">
        <f t="shared" ref="IQ49" si="445">(HY49-HY48)*1000</f>
        <v>2000</v>
      </c>
      <c r="IR49" s="16">
        <f t="shared" ref="IR49" si="446">(HZ49-HZ48)*1000</f>
        <v>985000</v>
      </c>
      <c r="IS49" s="16">
        <f t="shared" ref="IS49" si="447">(IA49-IA48)*1000</f>
        <v>2000</v>
      </c>
      <c r="IT49" s="16">
        <f t="shared" ref="IT49" si="448">(IB49-IB48)*1000</f>
        <v>1975000</v>
      </c>
      <c r="IU49" s="16">
        <f t="shared" ref="IU49" si="449">(IC49-IC48)*1000</f>
        <v>4399.9999999999773</v>
      </c>
      <c r="IV49" s="17">
        <f t="shared" ref="IV49" si="450">(IP49+IR49)-(IQ49+IS49)</f>
        <v>1974000</v>
      </c>
      <c r="IW49" s="17">
        <f t="shared" ref="IW49" si="451">IT49-IU49</f>
        <v>1970600</v>
      </c>
      <c r="IX49" s="19">
        <f>(Raw_Data[[#This Row],[Sunset Time (POA&lt;20 W/m2)]]-Raw_Data[[#This Row],[Sunrise Time (POA&gt;20 W/m2)]])*24</f>
        <v>12.983333333333333</v>
      </c>
      <c r="IY49" s="68">
        <f>AVERAGEIF(Raw_Data[[#This Row],[GHI_UP_Net_IS2_W1]:[GHI_UP_Net_IS19_W6]],"&lt;&gt;"&amp;0,Raw_Data[[#This Row],[GHI_UP_Net_IS2_W1]:[GHI_UP_Net_IS19_W6]])</f>
        <v>7.3226790277777773</v>
      </c>
      <c r="IZ49" s="68">
        <f>AVERAGEIF(Raw_Data[[#This Row],[GHI_Down_IS2_W1]:[GHI_Down_IS19_W6]],"&lt;&gt;"&amp;0,Raw_Data[[#This Row],[GHI_Down_IS2_W1]:[GHI_Down_IS19_W6]])</f>
        <v>1.725135777777778</v>
      </c>
      <c r="JA49" s="68">
        <f>AVERAGEIF(Raw_Data[[#This Row],[POA_Up_IS2_W1]:[POA_Up_IS19_W6]],"&lt;&gt;"&amp;0,Raw_Data[[#This Row],[POA_Up_IS2_W1]:[POA_Up_IS19_W6]])</f>
        <v>7.1936891388888862</v>
      </c>
      <c r="JB49" s="68">
        <f>AVERAGEIF(Raw_Data[[#This Row],[POA_Down_IS2_W1]:[POA_Down_IS19_W6]],"&lt;&gt;"&amp;0,Raw_Data[[#This Row],[POA_Down_IS2_W1]:[POA_Down_IS19_W6]])</f>
        <v>0.51802583333333341</v>
      </c>
      <c r="JC49" s="69">
        <f>Raw_Data[[#This Row],[GHI-Down(KWh/m2)]]/Raw_Data[[#This Row],[GHI-UP (KWh/m2)]]</f>
        <v>0.23558806431821813</v>
      </c>
      <c r="JD49" s="72">
        <f>Raw_Data[[#This Row],[POA-Down(KWh/m2)]]/Raw_Data[[#This Row],[POA-UP(KWh/m2)]]</f>
        <v>7.2011150792282638E-2</v>
      </c>
      <c r="JE49" s="68">
        <f>AVERAGEIF(Raw_Data[[#This Row],[Amb_Temp_IS2_W1]:[Amb_Temp_IS19_W6]],"&lt;&gt;"&amp;0,Raw_Data[[#This Row],[Amb_Temp_IS2_W1]:[Amb_Temp_IS19_W6]])</f>
        <v>36.363125273762599</v>
      </c>
      <c r="JF49" s="68">
        <f>AVERAGEIF(Raw_Data[[#This Row],[MT_Temp_IS2_W1]:[MT_Temp_IS19_W6]],"&lt;&gt;"&amp;0,Raw_Data[[#This Row],[MT_Temp_IS2_W1]:[MT_Temp_IS19_W6]])</f>
        <v>50.9</v>
      </c>
      <c r="JG49" s="68">
        <f>AVERAGEIF(Raw_Data[[#This Row],[WS_Avg_IS2_W1]:[WS_Avg_IS19_W6]],"&lt;&gt;"&amp;0,Raw_Data[[#This Row],[WS_Avg_IS2_W1]:[WS_Avg_IS19_W6]])</f>
        <v>2.5086942341217702</v>
      </c>
      <c r="JH49" s="68">
        <f>AVERAGEIF(Raw_Data[[#This Row],[WS_Max_IS2_W1]:[WS_Max_IS19_W6]],"&lt;&gt;"&amp;0,Raw_Data[[#This Row],[WS_Max_IS2_W1]:[WS_Max_IS19_W6]])</f>
        <v>6.611666333333333</v>
      </c>
      <c r="JI49" s="70">
        <f>SUM(Raw_Data[[#This Row],[IS1_INV1_M1]:[IS20_INV4_M2]])</f>
        <v>1987766.3999999997</v>
      </c>
      <c r="JJ49" s="73">
        <v>1953333.0000000133</v>
      </c>
      <c r="JK49" s="71">
        <v>2350858.1761205536</v>
      </c>
      <c r="JL49" s="143">
        <f>IFERROR(Raw_Data[[#This Row],[WPR_Eac]]/Raw_Data[[#This Row],[WPR_Edc]],"")</f>
        <v>0.83090210198194658</v>
      </c>
      <c r="JM49" s="6">
        <v>24</v>
      </c>
      <c r="JN49" s="6">
        <v>0</v>
      </c>
    </row>
    <row r="50" spans="2:274">
      <c r="B50" s="67">
        <f t="shared" si="21"/>
        <v>45789</v>
      </c>
      <c r="C50" s="9">
        <f>YEAR(Raw_Data[[#This Row],[Date]])+IF(MONTH(Raw_Data[[#This Row],[Date]])&gt;=4,1,0)</f>
        <v>2026</v>
      </c>
      <c r="D50" s="6">
        <f t="shared" si="420"/>
        <v>2025</v>
      </c>
      <c r="E50" s="7" t="s">
        <v>361</v>
      </c>
      <c r="F50" s="7" t="s">
        <v>361</v>
      </c>
      <c r="G50" s="8">
        <v>45778</v>
      </c>
      <c r="H50" s="6">
        <f t="shared" si="421"/>
        <v>31</v>
      </c>
      <c r="I50" s="9">
        <v>335090.89</v>
      </c>
      <c r="J50" s="10">
        <v>0.26458333333333334</v>
      </c>
      <c r="K50" s="10">
        <v>0.80347222222222225</v>
      </c>
      <c r="L50" s="9">
        <v>11818.4</v>
      </c>
      <c r="M50" s="9">
        <v>12248.3</v>
      </c>
      <c r="N50" s="9">
        <v>12179.9</v>
      </c>
      <c r="O50" s="9">
        <v>12174.6</v>
      </c>
      <c r="P50" s="9">
        <v>12260.6</v>
      </c>
      <c r="Q50" s="9">
        <v>12316.7</v>
      </c>
      <c r="R50" s="9">
        <v>12327.2</v>
      </c>
      <c r="S50" s="9">
        <v>12587.2</v>
      </c>
      <c r="T50" s="9">
        <v>12253.3</v>
      </c>
      <c r="U50" s="9">
        <v>12283.3</v>
      </c>
      <c r="V50" s="9">
        <v>12131.4</v>
      </c>
      <c r="W50" s="9">
        <v>12219.7</v>
      </c>
      <c r="X50" s="9">
        <v>12252.5</v>
      </c>
      <c r="Y50" s="9">
        <v>12155.2</v>
      </c>
      <c r="Z50" s="9">
        <v>12296.9</v>
      </c>
      <c r="AA50" s="9">
        <v>12311.5</v>
      </c>
      <c r="AB50" s="9">
        <v>12206.9</v>
      </c>
      <c r="AC50" s="9">
        <v>12215.8</v>
      </c>
      <c r="AD50" s="9">
        <v>12219.1</v>
      </c>
      <c r="AE50" s="9">
        <v>12299.9</v>
      </c>
      <c r="AF50" s="9">
        <v>12231.5</v>
      </c>
      <c r="AG50" s="9">
        <v>12245.6</v>
      </c>
      <c r="AH50" s="9">
        <v>12083.2</v>
      </c>
      <c r="AI50" s="9">
        <v>12146.6</v>
      </c>
      <c r="AJ50" s="9">
        <v>12035.9</v>
      </c>
      <c r="AK50" s="9">
        <v>10904.6</v>
      </c>
      <c r="AL50" s="9">
        <v>12017.8</v>
      </c>
      <c r="AM50" s="9">
        <v>12009.3</v>
      </c>
      <c r="AN50" s="9">
        <v>12271.8</v>
      </c>
      <c r="AO50" s="9">
        <v>12174.1</v>
      </c>
      <c r="AP50" s="9">
        <v>12120.7</v>
      </c>
      <c r="AQ50" s="9">
        <v>12259.2</v>
      </c>
      <c r="AR50" s="9">
        <v>13060.7</v>
      </c>
      <c r="AS50" s="9">
        <v>13062</v>
      </c>
      <c r="AT50" s="9">
        <v>13179.8</v>
      </c>
      <c r="AU50" s="9">
        <v>13077.3</v>
      </c>
      <c r="AV50" s="9">
        <v>12322.2</v>
      </c>
      <c r="AW50" s="9">
        <v>12194.2</v>
      </c>
      <c r="AX50" s="9">
        <v>12211.6</v>
      </c>
      <c r="AY50" s="9">
        <v>12187.2</v>
      </c>
      <c r="AZ50" s="9">
        <v>12851.6</v>
      </c>
      <c r="BA50" s="9">
        <v>12023</v>
      </c>
      <c r="BB50" s="9">
        <v>12738.6</v>
      </c>
      <c r="BC50" s="9">
        <v>11874.7</v>
      </c>
      <c r="BD50" s="9">
        <v>12393.3</v>
      </c>
      <c r="BE50" s="9">
        <v>13286.1</v>
      </c>
      <c r="BF50" s="9">
        <v>11857.2</v>
      </c>
      <c r="BG50" s="9">
        <v>12860.7</v>
      </c>
      <c r="BH50" s="9">
        <v>12346.2</v>
      </c>
      <c r="BI50" s="9">
        <v>12454.3</v>
      </c>
      <c r="BJ50" s="9">
        <v>12324.7</v>
      </c>
      <c r="BK50" s="9">
        <v>11848.4</v>
      </c>
      <c r="BL50" s="9">
        <v>12578.4</v>
      </c>
      <c r="BM50" s="9">
        <v>12463.1</v>
      </c>
      <c r="BN50" s="9">
        <v>12522.6</v>
      </c>
      <c r="BO50" s="9">
        <v>12459</v>
      </c>
      <c r="BP50" s="9">
        <v>11515.1</v>
      </c>
      <c r="BQ50" s="9">
        <v>12692.8</v>
      </c>
      <c r="BR50" s="9">
        <v>11560.4</v>
      </c>
      <c r="BS50" s="9">
        <v>12656.4</v>
      </c>
      <c r="BT50" s="9">
        <v>12552.3</v>
      </c>
      <c r="BU50" s="9">
        <v>11509.9</v>
      </c>
      <c r="BV50" s="9">
        <v>12325</v>
      </c>
      <c r="BW50" s="9">
        <v>11893.2</v>
      </c>
      <c r="BX50" s="9">
        <v>12030.8</v>
      </c>
      <c r="BY50" s="9">
        <v>11521</v>
      </c>
      <c r="BZ50" s="9">
        <v>12028.5</v>
      </c>
      <c r="CA50" s="9">
        <v>12369.6</v>
      </c>
      <c r="CB50" s="9">
        <v>12580.2</v>
      </c>
      <c r="CC50" s="9">
        <v>11691.1</v>
      </c>
      <c r="CD50" s="9">
        <v>12464.8</v>
      </c>
      <c r="CE50" s="9">
        <v>11350.9</v>
      </c>
      <c r="CF50" s="9">
        <v>12230.9</v>
      </c>
      <c r="CG50" s="9">
        <v>12032.1</v>
      </c>
      <c r="CH50" s="9">
        <v>11571.8</v>
      </c>
      <c r="CI50" s="9">
        <v>12449.8</v>
      </c>
      <c r="CJ50" s="9">
        <v>11413.9</v>
      </c>
      <c r="CK50" s="9">
        <v>12636.9</v>
      </c>
      <c r="CL50" s="9">
        <v>11583</v>
      </c>
      <c r="CM50" s="9">
        <v>12478.1</v>
      </c>
      <c r="CN50" s="9">
        <v>11732.9</v>
      </c>
      <c r="CO50" s="9">
        <v>12369.1</v>
      </c>
      <c r="CP50" s="9">
        <v>11818.1</v>
      </c>
      <c r="CQ50" s="9">
        <v>12654.4</v>
      </c>
      <c r="CR50" s="9">
        <v>11723.7</v>
      </c>
      <c r="CS50" s="9">
        <v>12259.1</v>
      </c>
      <c r="CT50" s="9">
        <v>11692.7</v>
      </c>
      <c r="CU50" s="9">
        <v>10610.1</v>
      </c>
      <c r="CV50" s="9">
        <v>12425.5</v>
      </c>
      <c r="CW50" s="9">
        <v>12114</v>
      </c>
      <c r="CX50" s="9">
        <v>11471.4</v>
      </c>
      <c r="CY50" s="9">
        <v>12704.8</v>
      </c>
      <c r="CZ50" s="9">
        <v>12435.7</v>
      </c>
      <c r="DA50" s="9">
        <v>11807.6</v>
      </c>
      <c r="DB50" s="9">
        <v>11696.1</v>
      </c>
      <c r="DC50" s="9">
        <v>12504.5</v>
      </c>
      <c r="DD50" s="9">
        <v>11610.9</v>
      </c>
      <c r="DE50" s="9">
        <v>11949</v>
      </c>
      <c r="DF50" s="9">
        <v>12653.4</v>
      </c>
      <c r="DG50" s="9">
        <v>11544.2</v>
      </c>
      <c r="DH50" s="9">
        <v>12683.6</v>
      </c>
      <c r="DI50" s="9">
        <v>11548.5</v>
      </c>
      <c r="DJ50" s="9">
        <v>12483.4</v>
      </c>
      <c r="DK50" s="9">
        <v>11770.2</v>
      </c>
      <c r="DL50" s="9">
        <v>12498.5</v>
      </c>
      <c r="DM50" s="9">
        <v>11266.3</v>
      </c>
      <c r="DN50" s="9">
        <v>12566.9</v>
      </c>
      <c r="DO50" s="9">
        <v>11685.3</v>
      </c>
      <c r="DP50" s="9">
        <v>12425.3</v>
      </c>
      <c r="DQ50" s="9">
        <v>11608.7</v>
      </c>
      <c r="DR50" s="9">
        <v>12498.2</v>
      </c>
      <c r="DS50" s="9">
        <v>11857.3</v>
      </c>
      <c r="DT50" s="9">
        <v>11538</v>
      </c>
      <c r="DU50" s="9">
        <v>12391.2</v>
      </c>
      <c r="DV50" s="9">
        <v>11680.1</v>
      </c>
      <c r="DW50" s="9">
        <v>11511.9</v>
      </c>
      <c r="DX50" s="9">
        <v>12484.3</v>
      </c>
      <c r="DY50" s="9">
        <v>12540.1</v>
      </c>
      <c r="DZ50" s="9">
        <v>12406.2</v>
      </c>
      <c r="EA50" s="9">
        <v>11703.5</v>
      </c>
      <c r="EB50" s="9">
        <v>12499.5</v>
      </c>
      <c r="EC50" s="9">
        <v>11583.3</v>
      </c>
      <c r="ED50" s="9">
        <v>12300.9</v>
      </c>
      <c r="EE50" s="9">
        <v>11690.8</v>
      </c>
      <c r="EF50" s="9">
        <v>12165.7</v>
      </c>
      <c r="EG50" s="9">
        <v>11034.7</v>
      </c>
      <c r="EH50" s="9">
        <v>12332</v>
      </c>
      <c r="EI50" s="9">
        <v>11622.3</v>
      </c>
      <c r="EJ50" s="9">
        <v>11752.1</v>
      </c>
      <c r="EK50" s="9">
        <v>11785.8</v>
      </c>
      <c r="EL50" s="9">
        <v>11577.2</v>
      </c>
      <c r="EM50" s="9">
        <v>10326</v>
      </c>
      <c r="EN50" s="9">
        <v>11603.1</v>
      </c>
      <c r="EO50" s="9">
        <v>10545.4</v>
      </c>
      <c r="EP50" s="9">
        <v>11576</v>
      </c>
      <c r="EQ50" s="9">
        <v>11607.7</v>
      </c>
      <c r="ER50" s="9">
        <v>12891.7</v>
      </c>
      <c r="ES50" s="9">
        <v>11778.1</v>
      </c>
      <c r="ET50" s="9">
        <v>12920.6</v>
      </c>
      <c r="EU50" s="9">
        <v>11976.1</v>
      </c>
      <c r="EV50" s="9">
        <v>12853.2</v>
      </c>
      <c r="EW50" s="9">
        <v>11865.1</v>
      </c>
      <c r="EX50" s="9">
        <v>12011.8</v>
      </c>
      <c r="EY50" s="9">
        <v>11782</v>
      </c>
      <c r="EZ50" s="9">
        <v>12636.4</v>
      </c>
      <c r="FA50" s="9">
        <v>12925.9</v>
      </c>
      <c r="FB50" s="9">
        <v>12881.7</v>
      </c>
      <c r="FC50" s="9">
        <v>12820.2</v>
      </c>
      <c r="FD50" s="9">
        <v>12814</v>
      </c>
      <c r="FE50" s="9">
        <v>12837.1</v>
      </c>
      <c r="FF50" s="9">
        <v>12065.3</v>
      </c>
      <c r="FG50" s="9">
        <v>12858.3</v>
      </c>
      <c r="FH50" s="9">
        <v>12870.7</v>
      </c>
      <c r="FI50" s="9">
        <v>12914.7</v>
      </c>
      <c r="FJ50" s="9">
        <v>12911.4</v>
      </c>
      <c r="FK50" s="9">
        <v>12894.6</v>
      </c>
      <c r="FL50" s="9">
        <v>12926.3</v>
      </c>
      <c r="FM50" s="9">
        <v>12044.3</v>
      </c>
      <c r="FN50" s="9">
        <v>12955.6</v>
      </c>
      <c r="FO50" s="9">
        <v>12104.6</v>
      </c>
      <c r="FP50" s="11">
        <v>36.053517060367454</v>
      </c>
      <c r="FQ50" s="11">
        <v>35.847782152230977</v>
      </c>
      <c r="FR50" s="11">
        <v>36.187270341207352</v>
      </c>
      <c r="FS50" s="11">
        <v>35.835616797900251</v>
      </c>
      <c r="FT50" s="11">
        <v>35.593687664042001</v>
      </c>
      <c r="FU50" s="11">
        <v>36.141561679790016</v>
      </c>
      <c r="FV50" s="11">
        <v>0</v>
      </c>
      <c r="FW50" s="11">
        <v>48.7</v>
      </c>
      <c r="FX50" s="11">
        <v>0</v>
      </c>
      <c r="FY50" s="11">
        <v>0</v>
      </c>
      <c r="FZ50" s="11">
        <v>49</v>
      </c>
      <c r="GA50" s="11">
        <v>49.4</v>
      </c>
      <c r="GB50" s="11">
        <v>5.2576856929133919</v>
      </c>
      <c r="GC50" s="11">
        <v>5.5363777112860904</v>
      </c>
      <c r="GD50" s="11">
        <v>5.2549035459317643</v>
      </c>
      <c r="GE50" s="11">
        <v>4.1459140618372698</v>
      </c>
      <c r="GF50" s="11">
        <v>5.3628388175853061</v>
      </c>
      <c r="GG50" s="11">
        <v>5.5266052086614188</v>
      </c>
      <c r="GH50" s="11">
        <v>9.5266660000000005</v>
      </c>
      <c r="GI50" s="11">
        <v>9.5649990000000003</v>
      </c>
      <c r="GJ50" s="11">
        <v>10.73</v>
      </c>
      <c r="GK50" s="11">
        <v>9.0299999999999994</v>
      </c>
      <c r="GL50" s="11">
        <v>9.3333329999999997</v>
      </c>
      <c r="GM50" s="11">
        <v>9.99</v>
      </c>
      <c r="GN50" s="11">
        <v>7.5216950000000029</v>
      </c>
      <c r="GO50" s="11">
        <v>7.5541586666666598</v>
      </c>
      <c r="GP50" s="11">
        <v>7.6086196666666632</v>
      </c>
      <c r="GQ50" s="11">
        <v>7.5037413333333269</v>
      </c>
      <c r="GR50" s="11">
        <v>7.5975796666666646</v>
      </c>
      <c r="GS50" s="11">
        <v>7.6408214999999995</v>
      </c>
      <c r="GT50" s="108">
        <v>1.8052400000000011</v>
      </c>
      <c r="GU50" s="108">
        <v>1.7507553333333319</v>
      </c>
      <c r="GV50" s="108">
        <v>1.6549140000000007</v>
      </c>
      <c r="GW50" s="108">
        <v>1.947007833333334</v>
      </c>
      <c r="GX50" s="108">
        <v>2.0546375000000023</v>
      </c>
      <c r="GY50" s="108">
        <v>1.6267435000000012</v>
      </c>
      <c r="GZ50" s="13">
        <v>7.4250851666666682</v>
      </c>
      <c r="HA50" s="13">
        <v>7.4640166666666712</v>
      </c>
      <c r="HB50" s="13">
        <v>7.3823266666666632</v>
      </c>
      <c r="HC50" s="13">
        <v>7.3943874999999961</v>
      </c>
      <c r="HD50" s="13">
        <v>7.4185933333333329</v>
      </c>
      <c r="HE50" s="13">
        <v>7.4574328333333311</v>
      </c>
      <c r="HF50" s="13">
        <v>0.55069566666666658</v>
      </c>
      <c r="HG50" s="13">
        <v>0.61361433333333293</v>
      </c>
      <c r="HH50" s="13">
        <v>0.53694800000000054</v>
      </c>
      <c r="HI50" s="13">
        <v>0.52229599999999998</v>
      </c>
      <c r="HJ50" s="13">
        <v>0.5650134999999995</v>
      </c>
      <c r="HK50" s="13">
        <v>0.57240683333333431</v>
      </c>
      <c r="HL50" s="12">
        <v>0</v>
      </c>
      <c r="HM50" s="12">
        <v>0</v>
      </c>
      <c r="HN50" s="12">
        <v>0</v>
      </c>
      <c r="HO50" s="12">
        <v>0</v>
      </c>
      <c r="HP50" s="12">
        <v>0</v>
      </c>
      <c r="HQ50" s="12">
        <v>0</v>
      </c>
      <c r="HR50" s="12">
        <v>0</v>
      </c>
      <c r="HS50" s="12">
        <v>0</v>
      </c>
      <c r="HT50" s="12">
        <v>0</v>
      </c>
      <c r="HU50" s="12">
        <v>0</v>
      </c>
      <c r="HV50" s="12">
        <v>0</v>
      </c>
      <c r="HW50" s="12">
        <v>0</v>
      </c>
      <c r="HX50" s="9">
        <v>937689</v>
      </c>
      <c r="HY50" s="9">
        <v>1751</v>
      </c>
      <c r="HZ50" s="9">
        <v>924478</v>
      </c>
      <c r="IA50" s="9">
        <v>1777</v>
      </c>
      <c r="IB50" s="11">
        <v>167123.68</v>
      </c>
      <c r="IC50" s="11">
        <v>375.33300000000003</v>
      </c>
      <c r="ID50" s="14">
        <f t="shared" ref="ID50:II50" si="452">GN50-HL50</f>
        <v>7.5216950000000029</v>
      </c>
      <c r="IE50" s="14">
        <f t="shared" si="452"/>
        <v>7.5541586666666598</v>
      </c>
      <c r="IF50" s="14">
        <f t="shared" si="452"/>
        <v>7.6086196666666632</v>
      </c>
      <c r="IG50" s="14">
        <f t="shared" si="452"/>
        <v>7.5037413333333269</v>
      </c>
      <c r="IH50" s="14">
        <f t="shared" si="452"/>
        <v>7.5975796666666646</v>
      </c>
      <c r="II50" s="14">
        <f t="shared" si="452"/>
        <v>7.6408214999999995</v>
      </c>
      <c r="IJ50" s="15">
        <f t="shared" ref="IJ50:IO50" si="453">GZ50-HR50</f>
        <v>7.4250851666666682</v>
      </c>
      <c r="IK50" s="15">
        <f t="shared" si="453"/>
        <v>7.4640166666666712</v>
      </c>
      <c r="IL50" s="15">
        <f t="shared" si="453"/>
        <v>7.3823266666666632</v>
      </c>
      <c r="IM50" s="15">
        <f t="shared" si="453"/>
        <v>7.3943874999999961</v>
      </c>
      <c r="IN50" s="15">
        <f t="shared" si="453"/>
        <v>7.4185933333333329</v>
      </c>
      <c r="IO50" s="15">
        <f t="shared" si="453"/>
        <v>7.4574328333333311</v>
      </c>
      <c r="IP50" s="16">
        <f t="shared" ref="IP50" si="454">(HX50-HX49)*1000</f>
        <v>973000</v>
      </c>
      <c r="IQ50" s="16">
        <f t="shared" ref="IQ50" si="455">(HY50-HY49)*1000</f>
        <v>1000</v>
      </c>
      <c r="IR50" s="16">
        <f t="shared" ref="IR50" si="456">(HZ50-HZ49)*1000</f>
        <v>965000</v>
      </c>
      <c r="IS50" s="16">
        <f t="shared" ref="IS50" si="457">(IA50-IA49)*1000</f>
        <v>1000</v>
      </c>
      <c r="IT50" s="16">
        <f t="shared" ref="IT50" si="458">(IB50-IB49)*1000</f>
        <v>1935866.9999999984</v>
      </c>
      <c r="IU50" s="16">
        <f t="shared" ref="IU50" si="459">(IC50-IC49)*1000</f>
        <v>4200.0000000000455</v>
      </c>
      <c r="IV50" s="17">
        <f t="shared" ref="IV50" si="460">(IP50+IR50)-(IQ50+IS50)</f>
        <v>1936000</v>
      </c>
      <c r="IW50" s="17">
        <f t="shared" ref="IW50" si="461">IT50-IU50</f>
        <v>1931666.9999999984</v>
      </c>
      <c r="IX50" s="19">
        <f>(Raw_Data[[#This Row],[Sunset Time (POA&lt;20 W/m2)]]-Raw_Data[[#This Row],[Sunrise Time (POA&gt;20 W/m2)]])*24</f>
        <v>12.933333333333335</v>
      </c>
      <c r="IY50" s="68">
        <f>AVERAGEIF(Raw_Data[[#This Row],[GHI_UP_Net_IS2_W1]:[GHI_UP_Net_IS19_W6]],"&lt;&gt;"&amp;0,Raw_Data[[#This Row],[GHI_UP_Net_IS2_W1]:[GHI_UP_Net_IS19_W6]])</f>
        <v>7.5711026388888856</v>
      </c>
      <c r="IZ50" s="68">
        <f>AVERAGEIF(Raw_Data[[#This Row],[GHI_Down_IS2_W1]:[GHI_Down_IS19_W6]],"&lt;&gt;"&amp;0,Raw_Data[[#This Row],[GHI_Down_IS2_W1]:[GHI_Down_IS19_W6]])</f>
        <v>1.8065496944444452</v>
      </c>
      <c r="JA50" s="68">
        <f>AVERAGEIF(Raw_Data[[#This Row],[POA_Up_IS2_W1]:[POA_Up_IS19_W6]],"&lt;&gt;"&amp;0,Raw_Data[[#This Row],[POA_Up_IS2_W1]:[POA_Up_IS19_W6]])</f>
        <v>7.4236403611111106</v>
      </c>
      <c r="JB50" s="68">
        <f>AVERAGEIF(Raw_Data[[#This Row],[POA_Down_IS2_W1]:[POA_Down_IS19_W6]],"&lt;&gt;"&amp;0,Raw_Data[[#This Row],[POA_Down_IS2_W1]:[POA_Down_IS19_W6]])</f>
        <v>0.56016238888888903</v>
      </c>
      <c r="JC50" s="69">
        <f>Raw_Data[[#This Row],[GHI-Down(KWh/m2)]]/Raw_Data[[#This Row],[GHI-UP (KWh/m2)]]</f>
        <v>0.23861117470064697</v>
      </c>
      <c r="JD50" s="72">
        <f>Raw_Data[[#This Row],[POA-Down(KWh/m2)]]/Raw_Data[[#This Row],[POA-UP(KWh/m2)]]</f>
        <v>7.5456563308657965E-2</v>
      </c>
      <c r="JE50" s="68">
        <f>AVERAGEIF(Raw_Data[[#This Row],[Amb_Temp_IS2_W1]:[Amb_Temp_IS19_W6]],"&lt;&gt;"&amp;0,Raw_Data[[#This Row],[Amb_Temp_IS2_W1]:[Amb_Temp_IS19_W6]])</f>
        <v>35.943239282589673</v>
      </c>
      <c r="JF50" s="68">
        <f>AVERAGEIF(Raw_Data[[#This Row],[MT_Temp_IS2_W1]:[MT_Temp_IS19_W6]],"&lt;&gt;"&amp;0,Raw_Data[[#This Row],[MT_Temp_IS2_W1]:[MT_Temp_IS19_W6]])</f>
        <v>49.033333333333331</v>
      </c>
      <c r="JG50" s="68">
        <f>AVERAGEIF(Raw_Data[[#This Row],[WS_Avg_IS2_W1]:[WS_Avg_IS19_W6]],"&lt;&gt;"&amp;0,Raw_Data[[#This Row],[WS_Avg_IS2_W1]:[WS_Avg_IS19_W6]])</f>
        <v>5.1807208397025404</v>
      </c>
      <c r="JH50" s="68">
        <f>AVERAGEIF(Raw_Data[[#This Row],[WS_Max_IS2_W1]:[WS_Max_IS19_W6]],"&lt;&gt;"&amp;0,Raw_Data[[#This Row],[WS_Max_IS2_W1]:[WS_Max_IS19_W6]])</f>
        <v>9.6958329999999986</v>
      </c>
      <c r="JI50" s="70">
        <f>SUM(Raw_Data[[#This Row],[IS1_INV1_M1]:[IS20_INV4_M2]])</f>
        <v>1947041.0000000002</v>
      </c>
      <c r="JJ50" s="73">
        <v>2001687.8750000091</v>
      </c>
      <c r="JK50" s="71">
        <v>2461644.7407079232</v>
      </c>
      <c r="JL50" s="143">
        <f>IFERROR(Raw_Data[[#This Row],[WPR_Eac]]/Raw_Data[[#This Row],[WPR_Edc]],"")</f>
        <v>0.81315059069992401</v>
      </c>
      <c r="JM50" s="6">
        <v>28</v>
      </c>
      <c r="JN50" s="6">
        <v>0</v>
      </c>
    </row>
    <row r="51" spans="2:274">
      <c r="B51" s="67">
        <f t="shared" si="21"/>
        <v>45790</v>
      </c>
      <c r="C51" s="9">
        <f>YEAR(Raw_Data[[#This Row],[Date]])+IF(MONTH(Raw_Data[[#This Row],[Date]])&gt;=4,1,0)</f>
        <v>2026</v>
      </c>
      <c r="D51" s="6">
        <f t="shared" si="420"/>
        <v>2025</v>
      </c>
      <c r="E51" s="7" t="s">
        <v>361</v>
      </c>
      <c r="F51" s="7" t="s">
        <v>361</v>
      </c>
      <c r="G51" s="8">
        <v>45778</v>
      </c>
      <c r="H51" s="6">
        <f t="shared" si="421"/>
        <v>31</v>
      </c>
      <c r="I51" s="9">
        <v>335090.89</v>
      </c>
      <c r="J51" s="10">
        <v>0.26111111111111113</v>
      </c>
      <c r="K51" s="10">
        <v>0.8041666666666667</v>
      </c>
      <c r="L51" s="9">
        <v>12079.4</v>
      </c>
      <c r="M51" s="9">
        <v>12603.9</v>
      </c>
      <c r="N51" s="9">
        <v>12541.1</v>
      </c>
      <c r="O51" s="9">
        <v>12521.5</v>
      </c>
      <c r="P51" s="9">
        <v>12637.3</v>
      </c>
      <c r="Q51" s="9">
        <v>12705.2</v>
      </c>
      <c r="R51" s="9">
        <v>12714.9</v>
      </c>
      <c r="S51" s="9">
        <v>13097.8</v>
      </c>
      <c r="T51" s="9">
        <v>12614.4</v>
      </c>
      <c r="U51" s="9">
        <v>12662.9</v>
      </c>
      <c r="V51" s="9">
        <v>12464.9</v>
      </c>
      <c r="W51" s="9">
        <v>12571</v>
      </c>
      <c r="X51" s="9">
        <v>12603.5</v>
      </c>
      <c r="Y51" s="9">
        <v>12505.4</v>
      </c>
      <c r="Z51" s="9">
        <v>12655.1</v>
      </c>
      <c r="AA51" s="9">
        <v>12681.2</v>
      </c>
      <c r="AB51" s="9">
        <v>12571.3</v>
      </c>
      <c r="AC51" s="9">
        <v>12584.3</v>
      </c>
      <c r="AD51" s="9">
        <v>12596.7</v>
      </c>
      <c r="AE51" s="9">
        <v>12661.5</v>
      </c>
      <c r="AF51" s="9">
        <v>12610.1</v>
      </c>
      <c r="AG51" s="9">
        <v>12616.1</v>
      </c>
      <c r="AH51" s="9">
        <v>12408.8</v>
      </c>
      <c r="AI51" s="9">
        <v>12490.8</v>
      </c>
      <c r="AJ51" s="9">
        <v>12362.5</v>
      </c>
      <c r="AK51" s="9">
        <v>11100.3</v>
      </c>
      <c r="AL51" s="9">
        <v>12328.5</v>
      </c>
      <c r="AM51" s="9">
        <v>12321.9</v>
      </c>
      <c r="AN51" s="9">
        <v>12649</v>
      </c>
      <c r="AO51" s="9">
        <v>12528.5</v>
      </c>
      <c r="AP51" s="9">
        <v>12451.1</v>
      </c>
      <c r="AQ51" s="9">
        <v>12647.2</v>
      </c>
      <c r="AR51" s="9">
        <v>13053.1</v>
      </c>
      <c r="AS51" s="9">
        <v>13061.8</v>
      </c>
      <c r="AT51" s="9">
        <v>13156.4</v>
      </c>
      <c r="AU51" s="9">
        <v>13041.3</v>
      </c>
      <c r="AV51" s="9">
        <v>12723.7</v>
      </c>
      <c r="AW51" s="9">
        <v>12559.2</v>
      </c>
      <c r="AX51" s="9">
        <v>12588.7</v>
      </c>
      <c r="AY51" s="9">
        <v>12557.3</v>
      </c>
      <c r="AZ51" s="9">
        <v>13362.8</v>
      </c>
      <c r="BA51" s="9">
        <v>12299.6</v>
      </c>
      <c r="BB51" s="9">
        <v>13237.4</v>
      </c>
      <c r="BC51" s="9">
        <v>12129.4</v>
      </c>
      <c r="BD51" s="9">
        <v>12784.5</v>
      </c>
      <c r="BE51" s="9">
        <v>13868.7</v>
      </c>
      <c r="BF51" s="9">
        <v>12134</v>
      </c>
      <c r="BG51" s="9">
        <v>13382.8</v>
      </c>
      <c r="BH51" s="9">
        <v>12731.1</v>
      </c>
      <c r="BI51" s="9">
        <v>12855.8</v>
      </c>
      <c r="BJ51" s="9">
        <v>12684.8</v>
      </c>
      <c r="BK51" s="9">
        <v>12094.5</v>
      </c>
      <c r="BL51" s="9">
        <v>13015.9</v>
      </c>
      <c r="BM51" s="9">
        <v>12863.8</v>
      </c>
      <c r="BN51" s="9">
        <v>12948.4</v>
      </c>
      <c r="BO51" s="9">
        <v>12880.1</v>
      </c>
      <c r="BP51" s="9">
        <v>11766</v>
      </c>
      <c r="BQ51" s="9">
        <v>13162.9</v>
      </c>
      <c r="BR51" s="9">
        <v>11798.2</v>
      </c>
      <c r="BS51" s="9">
        <v>13109.7</v>
      </c>
      <c r="BT51" s="9">
        <v>12984</v>
      </c>
      <c r="BU51" s="9">
        <v>11743.1</v>
      </c>
      <c r="BV51" s="9">
        <v>12750.7</v>
      </c>
      <c r="BW51" s="9">
        <v>12205.4</v>
      </c>
      <c r="BX51" s="9">
        <v>12379</v>
      </c>
      <c r="BY51" s="9">
        <v>11766.2</v>
      </c>
      <c r="BZ51" s="9">
        <v>12324.3</v>
      </c>
      <c r="CA51" s="9">
        <v>12765.6</v>
      </c>
      <c r="CB51" s="9">
        <v>13042.4</v>
      </c>
      <c r="CC51" s="9">
        <v>11940.2</v>
      </c>
      <c r="CD51" s="9">
        <v>12897.1</v>
      </c>
      <c r="CE51" s="9">
        <v>11578.2</v>
      </c>
      <c r="CF51" s="9">
        <v>12586.8</v>
      </c>
      <c r="CG51" s="9">
        <v>12323.9</v>
      </c>
      <c r="CH51" s="9">
        <v>11809.1</v>
      </c>
      <c r="CI51" s="9">
        <v>12864.6</v>
      </c>
      <c r="CJ51" s="9">
        <v>11641.7</v>
      </c>
      <c r="CK51" s="9">
        <v>13098.9</v>
      </c>
      <c r="CL51" s="9">
        <v>11830</v>
      </c>
      <c r="CM51" s="9">
        <v>12905.1</v>
      </c>
      <c r="CN51" s="9">
        <v>11974.6</v>
      </c>
      <c r="CO51" s="9">
        <v>12746.1</v>
      </c>
      <c r="CP51" s="9">
        <v>12071.7</v>
      </c>
      <c r="CQ51" s="9">
        <v>13099.4</v>
      </c>
      <c r="CR51" s="9">
        <v>11969.8</v>
      </c>
      <c r="CS51" s="9">
        <v>12610.7</v>
      </c>
      <c r="CT51" s="9">
        <v>11935.5</v>
      </c>
      <c r="CU51" s="9">
        <v>10704.7</v>
      </c>
      <c r="CV51" s="9">
        <v>12857.6</v>
      </c>
      <c r="CW51" s="9">
        <v>12440.3</v>
      </c>
      <c r="CX51" s="9">
        <v>11721</v>
      </c>
      <c r="CY51" s="9">
        <v>13186</v>
      </c>
      <c r="CZ51" s="9">
        <v>12870.2</v>
      </c>
      <c r="DA51" s="9">
        <v>12098</v>
      </c>
      <c r="DB51" s="9">
        <v>11981.4</v>
      </c>
      <c r="DC51" s="9">
        <v>12977.1</v>
      </c>
      <c r="DD51" s="9">
        <v>11865.3</v>
      </c>
      <c r="DE51" s="9">
        <v>12233.1</v>
      </c>
      <c r="DF51" s="9">
        <v>13129.8</v>
      </c>
      <c r="DG51" s="9">
        <v>11776.8</v>
      </c>
      <c r="DH51" s="9">
        <v>13158.3</v>
      </c>
      <c r="DI51" s="9">
        <v>11792.4</v>
      </c>
      <c r="DJ51" s="9">
        <v>12881.6</v>
      </c>
      <c r="DK51" s="9">
        <v>12030.4</v>
      </c>
      <c r="DL51" s="9">
        <v>12940.7</v>
      </c>
      <c r="DM51" s="9">
        <v>11503.5</v>
      </c>
      <c r="DN51" s="9">
        <v>13009.5</v>
      </c>
      <c r="DO51" s="9">
        <v>11934.4</v>
      </c>
      <c r="DP51" s="9">
        <v>12851</v>
      </c>
      <c r="DQ51" s="9">
        <v>11885.8</v>
      </c>
      <c r="DR51" s="9">
        <v>12927.8</v>
      </c>
      <c r="DS51" s="9">
        <v>12108.3</v>
      </c>
      <c r="DT51" s="9">
        <v>11782.6</v>
      </c>
      <c r="DU51" s="9">
        <v>12808</v>
      </c>
      <c r="DV51" s="9">
        <v>11930.7</v>
      </c>
      <c r="DW51" s="9">
        <v>11747.8</v>
      </c>
      <c r="DX51" s="9">
        <v>12918</v>
      </c>
      <c r="DY51" s="9">
        <v>12977.7</v>
      </c>
      <c r="DZ51" s="9">
        <v>12807.2</v>
      </c>
      <c r="EA51" s="9">
        <v>11945.1</v>
      </c>
      <c r="EB51" s="9">
        <v>12927.1</v>
      </c>
      <c r="EC51" s="9">
        <v>11825.3</v>
      </c>
      <c r="ED51" s="9">
        <v>12677.7</v>
      </c>
      <c r="EE51" s="9">
        <v>11935.6</v>
      </c>
      <c r="EF51" s="9">
        <v>12556.6</v>
      </c>
      <c r="EG51" s="9">
        <v>11225.5</v>
      </c>
      <c r="EH51" s="9">
        <v>12686.6</v>
      </c>
      <c r="EI51" s="9">
        <v>11857.8</v>
      </c>
      <c r="EJ51" s="9">
        <v>12004.7</v>
      </c>
      <c r="EK51" s="9">
        <v>12052.8</v>
      </c>
      <c r="EL51" s="9">
        <v>11842.4</v>
      </c>
      <c r="EM51" s="9">
        <v>10386.799999999999</v>
      </c>
      <c r="EN51" s="9">
        <v>11878.7</v>
      </c>
      <c r="EO51" s="9">
        <v>10691.7</v>
      </c>
      <c r="EP51" s="9">
        <v>11848.9</v>
      </c>
      <c r="EQ51" s="9">
        <v>11879.4</v>
      </c>
      <c r="ER51" s="9">
        <v>13393.3</v>
      </c>
      <c r="ES51" s="9">
        <v>12039.6</v>
      </c>
      <c r="ET51" s="9">
        <v>13441.6</v>
      </c>
      <c r="EU51" s="9">
        <v>12251.6</v>
      </c>
      <c r="EV51" s="9">
        <v>13360.8</v>
      </c>
      <c r="EW51" s="9">
        <v>12139.6</v>
      </c>
      <c r="EX51" s="9">
        <v>12317</v>
      </c>
      <c r="EY51" s="9">
        <v>12067.9</v>
      </c>
      <c r="EZ51" s="9">
        <v>13081.5</v>
      </c>
      <c r="FA51" s="9">
        <v>13476.4</v>
      </c>
      <c r="FB51" s="9">
        <v>13355.8</v>
      </c>
      <c r="FC51" s="9">
        <v>13292.4</v>
      </c>
      <c r="FD51" s="9">
        <v>13290.2</v>
      </c>
      <c r="FE51" s="9">
        <v>13322.4</v>
      </c>
      <c r="FF51" s="9">
        <v>12357.6</v>
      </c>
      <c r="FG51" s="9">
        <v>13350.2</v>
      </c>
      <c r="FH51" s="9">
        <v>13393.4</v>
      </c>
      <c r="FI51" s="9">
        <v>13415.6</v>
      </c>
      <c r="FJ51" s="9">
        <v>13423.1</v>
      </c>
      <c r="FK51" s="9">
        <v>13384.9</v>
      </c>
      <c r="FL51" s="9">
        <v>13422.7</v>
      </c>
      <c r="FM51" s="9">
        <v>12317.6</v>
      </c>
      <c r="FN51" s="9">
        <v>13468</v>
      </c>
      <c r="FO51" s="9">
        <v>12394.2</v>
      </c>
      <c r="FP51" s="11">
        <v>36.64</v>
      </c>
      <c r="FQ51" s="11">
        <v>36.5</v>
      </c>
      <c r="FR51" s="11">
        <v>36.79</v>
      </c>
      <c r="FS51" s="11">
        <v>36.43</v>
      </c>
      <c r="FT51" s="11">
        <v>36.28</v>
      </c>
      <c r="FU51" s="11">
        <v>36.72</v>
      </c>
      <c r="FV51" s="11">
        <v>0</v>
      </c>
      <c r="FW51" s="11">
        <v>48.7</v>
      </c>
      <c r="FX51" s="11">
        <v>0</v>
      </c>
      <c r="FY51" s="11">
        <v>0</v>
      </c>
      <c r="FZ51" s="11">
        <v>49</v>
      </c>
      <c r="GA51" s="11">
        <v>49.3</v>
      </c>
      <c r="GB51" s="11">
        <v>5.46</v>
      </c>
      <c r="GC51" s="11">
        <v>5.77</v>
      </c>
      <c r="GD51" s="11">
        <v>5.43</v>
      </c>
      <c r="GE51" s="11">
        <v>4.53</v>
      </c>
      <c r="GF51" s="11">
        <v>5.54</v>
      </c>
      <c r="GG51" s="11">
        <v>5.77</v>
      </c>
      <c r="GH51" s="11">
        <v>9.92</v>
      </c>
      <c r="GI51" s="11">
        <v>9.4600000000000009</v>
      </c>
      <c r="GJ51" s="11">
        <v>11.17</v>
      </c>
      <c r="GK51" s="11">
        <v>9.5</v>
      </c>
      <c r="GL51" s="11">
        <v>9.2899999999999991</v>
      </c>
      <c r="GM51" s="11">
        <v>10.35</v>
      </c>
      <c r="GN51" s="11">
        <v>7.5</v>
      </c>
      <c r="GO51" s="11">
        <v>7.53</v>
      </c>
      <c r="GP51" s="11">
        <v>7.58</v>
      </c>
      <c r="GQ51" s="11">
        <v>7.52</v>
      </c>
      <c r="GR51" s="11">
        <v>7.57</v>
      </c>
      <c r="GS51" s="11">
        <v>7.6</v>
      </c>
      <c r="GT51" s="108">
        <v>1.83</v>
      </c>
      <c r="GU51" s="108">
        <v>1.76</v>
      </c>
      <c r="GV51" s="108">
        <v>1.69</v>
      </c>
      <c r="GW51" s="108">
        <v>1.97</v>
      </c>
      <c r="GX51" s="108">
        <v>2.0699999999999998</v>
      </c>
      <c r="GY51" s="108">
        <v>1.63</v>
      </c>
      <c r="GZ51" s="13">
        <v>7.38</v>
      </c>
      <c r="HA51" s="13">
        <v>7.42</v>
      </c>
      <c r="HB51" s="13">
        <v>7.33</v>
      </c>
      <c r="HC51" s="13">
        <v>7.35</v>
      </c>
      <c r="HD51" s="13">
        <v>7.37</v>
      </c>
      <c r="HE51" s="13">
        <v>7.41</v>
      </c>
      <c r="HF51" s="13">
        <v>0.56999999999999995</v>
      </c>
      <c r="HG51" s="13">
        <v>0.63</v>
      </c>
      <c r="HH51" s="13">
        <v>0.55000000000000004</v>
      </c>
      <c r="HI51" s="13">
        <v>0.54</v>
      </c>
      <c r="HJ51" s="13">
        <v>0.57999999999999996</v>
      </c>
      <c r="HK51" s="13">
        <v>0.57999999999999996</v>
      </c>
      <c r="HL51" s="12">
        <v>0</v>
      </c>
      <c r="HM51" s="12">
        <v>0</v>
      </c>
      <c r="HN51" s="12">
        <v>0</v>
      </c>
      <c r="HO51" s="12">
        <v>0</v>
      </c>
      <c r="HP51" s="12">
        <v>0</v>
      </c>
      <c r="HQ51" s="12">
        <v>0</v>
      </c>
      <c r="HR51" s="12">
        <v>0</v>
      </c>
      <c r="HS51" s="12">
        <v>0</v>
      </c>
      <c r="HT51" s="12">
        <v>0</v>
      </c>
      <c r="HU51" s="12">
        <v>0</v>
      </c>
      <c r="HV51" s="12">
        <v>0</v>
      </c>
      <c r="HW51" s="12">
        <v>0</v>
      </c>
      <c r="HX51" s="9">
        <v>938689</v>
      </c>
      <c r="HY51" s="9">
        <v>1753</v>
      </c>
      <c r="HZ51" s="9">
        <v>925471</v>
      </c>
      <c r="IA51" s="9">
        <v>1779</v>
      </c>
      <c r="IB51" s="11">
        <v>169112.68</v>
      </c>
      <c r="IC51" s="11">
        <v>379.6</v>
      </c>
      <c r="ID51" s="14">
        <f t="shared" ref="ID51:II51" si="462">GN51-HL51</f>
        <v>7.5</v>
      </c>
      <c r="IE51" s="14">
        <f t="shared" si="462"/>
        <v>7.53</v>
      </c>
      <c r="IF51" s="14">
        <f t="shared" si="462"/>
        <v>7.58</v>
      </c>
      <c r="IG51" s="14">
        <f t="shared" si="462"/>
        <v>7.52</v>
      </c>
      <c r="IH51" s="14">
        <f t="shared" si="462"/>
        <v>7.57</v>
      </c>
      <c r="II51" s="14">
        <f t="shared" si="462"/>
        <v>7.6</v>
      </c>
      <c r="IJ51" s="15">
        <f t="shared" ref="IJ51:IO51" si="463">GZ51-HR51</f>
        <v>7.38</v>
      </c>
      <c r="IK51" s="15">
        <f t="shared" si="463"/>
        <v>7.42</v>
      </c>
      <c r="IL51" s="15">
        <f t="shared" si="463"/>
        <v>7.33</v>
      </c>
      <c r="IM51" s="15">
        <f t="shared" si="463"/>
        <v>7.35</v>
      </c>
      <c r="IN51" s="15">
        <f t="shared" si="463"/>
        <v>7.37</v>
      </c>
      <c r="IO51" s="15">
        <f t="shared" si="463"/>
        <v>7.41</v>
      </c>
      <c r="IP51" s="16">
        <f t="shared" ref="IP51" si="464">(HX51-HX50)*1000</f>
        <v>1000000</v>
      </c>
      <c r="IQ51" s="16">
        <f t="shared" ref="IQ51" si="465">(HY51-HY50)*1000</f>
        <v>2000</v>
      </c>
      <c r="IR51" s="16">
        <f t="shared" ref="IR51" si="466">(HZ51-HZ50)*1000</f>
        <v>993000</v>
      </c>
      <c r="IS51" s="16">
        <f t="shared" ref="IS51" si="467">(IA51-IA50)*1000</f>
        <v>2000</v>
      </c>
      <c r="IT51" s="16">
        <f t="shared" ref="IT51" si="468">(IB51-IB50)*1000</f>
        <v>1989000</v>
      </c>
      <c r="IU51" s="16">
        <f t="shared" ref="IU51" si="469">(IC51-IC50)*1000</f>
        <v>4266.9999999999964</v>
      </c>
      <c r="IV51" s="17">
        <f t="shared" ref="IV51" si="470">(IP51+IR51)-(IQ51+IS51)</f>
        <v>1989000</v>
      </c>
      <c r="IW51" s="17">
        <f t="shared" ref="IW51" si="471">IT51-IU51</f>
        <v>1984733</v>
      </c>
      <c r="IX51" s="19">
        <f>(Raw_Data[[#This Row],[Sunset Time (POA&lt;20 W/m2)]]-Raw_Data[[#This Row],[Sunrise Time (POA&gt;20 W/m2)]])*24</f>
        <v>13.033333333333335</v>
      </c>
      <c r="IY51" s="68">
        <f>AVERAGEIF(Raw_Data[[#This Row],[GHI_UP_Net_IS2_W1]:[GHI_UP_Net_IS19_W6]],"&lt;&gt;"&amp;0,Raw_Data[[#This Row],[GHI_UP_Net_IS2_W1]:[GHI_UP_Net_IS19_W6]])</f>
        <v>7.5500000000000007</v>
      </c>
      <c r="IZ51" s="68">
        <f>AVERAGEIF(Raw_Data[[#This Row],[GHI_Down_IS2_W1]:[GHI_Down_IS19_W6]],"&lt;&gt;"&amp;0,Raw_Data[[#This Row],[GHI_Down_IS2_W1]:[GHI_Down_IS19_W6]])</f>
        <v>1.825</v>
      </c>
      <c r="JA51" s="68">
        <f>AVERAGEIF(Raw_Data[[#This Row],[POA_Up_IS2_W1]:[POA_Up_IS19_W6]],"&lt;&gt;"&amp;0,Raw_Data[[#This Row],[POA_Up_IS2_W1]:[POA_Up_IS19_W6]])</f>
        <v>7.3766666666666678</v>
      </c>
      <c r="JB51" s="68">
        <f>AVERAGEIF(Raw_Data[[#This Row],[POA_Down_IS2_W1]:[POA_Down_IS19_W6]],"&lt;&gt;"&amp;0,Raw_Data[[#This Row],[POA_Down_IS2_W1]:[POA_Down_IS19_W6]])</f>
        <v>0.57500000000000007</v>
      </c>
      <c r="JC51" s="69">
        <f>Raw_Data[[#This Row],[GHI-Down(KWh/m2)]]/Raw_Data[[#This Row],[GHI-UP (KWh/m2)]]</f>
        <v>0.24172185430463572</v>
      </c>
      <c r="JD51" s="72">
        <f>Raw_Data[[#This Row],[POA-Down(KWh/m2)]]/Raw_Data[[#This Row],[POA-UP(KWh/m2)]]</f>
        <v>7.7948486217803883E-2</v>
      </c>
      <c r="JE51" s="68">
        <f>AVERAGEIF(Raw_Data[[#This Row],[Amb_Temp_IS2_W1]:[Amb_Temp_IS19_W6]],"&lt;&gt;"&amp;0,Raw_Data[[#This Row],[Amb_Temp_IS2_W1]:[Amb_Temp_IS19_W6]])</f>
        <v>36.56</v>
      </c>
      <c r="JF51" s="68">
        <f>AVERAGEIF(Raw_Data[[#This Row],[MT_Temp_IS2_W1]:[MT_Temp_IS19_W6]],"&lt;&gt;"&amp;0,Raw_Data[[#This Row],[MT_Temp_IS2_W1]:[MT_Temp_IS19_W6]])</f>
        <v>49</v>
      </c>
      <c r="JG51" s="68">
        <f>AVERAGEIF(Raw_Data[[#This Row],[WS_Avg_IS2_W1]:[WS_Avg_IS19_W6]],"&lt;&gt;"&amp;0,Raw_Data[[#This Row],[WS_Avg_IS2_W1]:[WS_Avg_IS19_W6]])</f>
        <v>5.416666666666667</v>
      </c>
      <c r="JH51" s="68">
        <f>AVERAGEIF(Raw_Data[[#This Row],[WS_Max_IS2_W1]:[WS_Max_IS19_W6]],"&lt;&gt;"&amp;0,Raw_Data[[#This Row],[WS_Max_IS2_W1]:[WS_Max_IS19_W6]])</f>
        <v>9.9483333333333341</v>
      </c>
      <c r="JI51" s="70">
        <f>SUM(Raw_Data[[#This Row],[IS1_INV1_M1]:[IS20_INV4_M2]])</f>
        <v>2002101.2000000002</v>
      </c>
      <c r="JJ51" s="73">
        <v>2002211.4499999909</v>
      </c>
      <c r="JK51" s="71">
        <v>2438790.799236577</v>
      </c>
      <c r="JL51" s="143">
        <f>IFERROR(Raw_Data[[#This Row],[WPR_Eac]]/Raw_Data[[#This Row],[WPR_Edc]],"")</f>
        <v>0.82098532216324172</v>
      </c>
      <c r="JM51" s="6">
        <v>30</v>
      </c>
      <c r="JN51" s="6">
        <v>0</v>
      </c>
    </row>
    <row r="52" spans="2:274">
      <c r="B52" s="67">
        <f t="shared" si="21"/>
        <v>45791</v>
      </c>
      <c r="C52" s="9">
        <f>YEAR(Raw_Data[[#This Row],[Date]])+IF(MONTH(Raw_Data[[#This Row],[Date]])&gt;=4,1,0)</f>
        <v>2026</v>
      </c>
      <c r="D52" s="6">
        <f t="shared" si="420"/>
        <v>2025</v>
      </c>
      <c r="E52" s="7" t="s">
        <v>361</v>
      </c>
      <c r="F52" s="7" t="s">
        <v>361</v>
      </c>
      <c r="G52" s="8">
        <v>45778</v>
      </c>
      <c r="H52" s="6">
        <f t="shared" si="421"/>
        <v>31</v>
      </c>
      <c r="I52" s="9">
        <v>335090.89</v>
      </c>
      <c r="J52" s="10">
        <v>0.26319444444444445</v>
      </c>
      <c r="K52" s="10">
        <v>0.80555555555555558</v>
      </c>
      <c r="L52" s="9">
        <v>12579.7</v>
      </c>
      <c r="M52" s="9">
        <v>13156.2</v>
      </c>
      <c r="N52" s="9">
        <v>13096.1</v>
      </c>
      <c r="O52" s="9">
        <v>13059.9</v>
      </c>
      <c r="P52" s="9">
        <v>13205.9</v>
      </c>
      <c r="Q52" s="9">
        <v>13268.4</v>
      </c>
      <c r="R52" s="9">
        <v>13277.4</v>
      </c>
      <c r="S52" s="9">
        <v>13644.2</v>
      </c>
      <c r="T52" s="9">
        <v>13169.1</v>
      </c>
      <c r="U52" s="9">
        <v>13217.5</v>
      </c>
      <c r="V52" s="9">
        <v>13011</v>
      </c>
      <c r="W52" s="9">
        <v>13118.3</v>
      </c>
      <c r="X52" s="9">
        <v>13160.8</v>
      </c>
      <c r="Y52" s="9">
        <v>13043.6</v>
      </c>
      <c r="Z52" s="9">
        <v>13215.7</v>
      </c>
      <c r="AA52" s="9">
        <v>13233</v>
      </c>
      <c r="AB52" s="9">
        <v>13129.6</v>
      </c>
      <c r="AC52" s="9">
        <v>13129.6</v>
      </c>
      <c r="AD52" s="9">
        <v>13152.4</v>
      </c>
      <c r="AE52" s="9">
        <v>13218.9</v>
      </c>
      <c r="AF52" s="9">
        <v>13162.9</v>
      </c>
      <c r="AG52" s="9">
        <v>13170.3</v>
      </c>
      <c r="AH52" s="9">
        <v>12940.6</v>
      </c>
      <c r="AI52" s="9">
        <v>13033.8</v>
      </c>
      <c r="AJ52" s="9">
        <v>12900.1</v>
      </c>
      <c r="AK52" s="9">
        <v>11340.1</v>
      </c>
      <c r="AL52" s="9">
        <v>12861.6</v>
      </c>
      <c r="AM52" s="9">
        <v>12856.4</v>
      </c>
      <c r="AN52" s="9">
        <v>13177.1</v>
      </c>
      <c r="AO52" s="9">
        <v>13050.9</v>
      </c>
      <c r="AP52" s="9">
        <v>12984.5</v>
      </c>
      <c r="AQ52" s="9">
        <v>13188.8</v>
      </c>
      <c r="AR52" s="9">
        <v>13246.5</v>
      </c>
      <c r="AS52" s="9">
        <v>13252.6</v>
      </c>
      <c r="AT52" s="9">
        <v>13364.8</v>
      </c>
      <c r="AU52" s="9">
        <v>13263.5</v>
      </c>
      <c r="AV52" s="9">
        <v>13261.2</v>
      </c>
      <c r="AW52" s="9">
        <v>13095.2</v>
      </c>
      <c r="AX52" s="9">
        <v>13121.3</v>
      </c>
      <c r="AY52" s="9">
        <v>13089.9</v>
      </c>
      <c r="AZ52" s="9">
        <v>13889.1</v>
      </c>
      <c r="BA52" s="9">
        <v>12817.8</v>
      </c>
      <c r="BB52" s="9">
        <v>13763.6</v>
      </c>
      <c r="BC52" s="9">
        <v>12607.7</v>
      </c>
      <c r="BD52" s="9">
        <v>13296.5</v>
      </c>
      <c r="BE52" s="9">
        <v>14344.6</v>
      </c>
      <c r="BF52" s="9">
        <v>12632.3</v>
      </c>
      <c r="BG52" s="9">
        <v>13903.3</v>
      </c>
      <c r="BH52" s="9">
        <v>12355.7</v>
      </c>
      <c r="BI52" s="9">
        <v>12472.2</v>
      </c>
      <c r="BJ52" s="9">
        <v>12323.9</v>
      </c>
      <c r="BK52" s="9">
        <v>11717.7</v>
      </c>
      <c r="BL52" s="9">
        <v>12662.2</v>
      </c>
      <c r="BM52" s="9">
        <v>12523.3</v>
      </c>
      <c r="BN52" s="9">
        <v>12597.3</v>
      </c>
      <c r="BO52" s="9">
        <v>12523.7</v>
      </c>
      <c r="BP52" s="9">
        <v>12128.7</v>
      </c>
      <c r="BQ52" s="9">
        <v>13691.6</v>
      </c>
      <c r="BR52" s="9">
        <v>12149.4</v>
      </c>
      <c r="BS52" s="9">
        <v>13643.6</v>
      </c>
      <c r="BT52" s="9">
        <v>13513.4</v>
      </c>
      <c r="BU52" s="9">
        <v>12113.6</v>
      </c>
      <c r="BV52" s="9">
        <v>13280.4</v>
      </c>
      <c r="BW52" s="9">
        <v>12737.3</v>
      </c>
      <c r="BX52" s="9">
        <v>12890.1</v>
      </c>
      <c r="BY52" s="9">
        <v>12150</v>
      </c>
      <c r="BZ52" s="9">
        <v>12836.4</v>
      </c>
      <c r="CA52" s="9">
        <v>13290.1</v>
      </c>
      <c r="CB52" s="9">
        <v>13574.4</v>
      </c>
      <c r="CC52" s="9">
        <v>12378.1</v>
      </c>
      <c r="CD52" s="9">
        <v>13439</v>
      </c>
      <c r="CE52" s="9">
        <v>11889.1</v>
      </c>
      <c r="CF52" s="9">
        <v>13122.5</v>
      </c>
      <c r="CG52" s="9">
        <v>12848.5</v>
      </c>
      <c r="CH52" s="9">
        <v>12220.3</v>
      </c>
      <c r="CI52" s="9">
        <v>13400.2</v>
      </c>
      <c r="CJ52" s="9">
        <v>11996.9</v>
      </c>
      <c r="CK52" s="9">
        <v>13638.4</v>
      </c>
      <c r="CL52" s="9">
        <v>12235</v>
      </c>
      <c r="CM52" s="9">
        <v>13436.8</v>
      </c>
      <c r="CN52" s="9">
        <v>12428</v>
      </c>
      <c r="CO52" s="9">
        <v>13274.3</v>
      </c>
      <c r="CP52" s="9">
        <v>12554.8</v>
      </c>
      <c r="CQ52" s="9">
        <v>13604.5</v>
      </c>
      <c r="CR52" s="9">
        <v>12423.7</v>
      </c>
      <c r="CS52" s="9">
        <v>13145.5</v>
      </c>
      <c r="CT52" s="9">
        <v>12389.1</v>
      </c>
      <c r="CU52" s="9">
        <v>10914.1</v>
      </c>
      <c r="CV52" s="9">
        <v>13345</v>
      </c>
      <c r="CW52" s="9">
        <v>12954</v>
      </c>
      <c r="CX52" s="9">
        <v>12072</v>
      </c>
      <c r="CY52" s="9">
        <v>13687</v>
      </c>
      <c r="CZ52" s="9">
        <v>13379</v>
      </c>
      <c r="DA52" s="9">
        <v>12557</v>
      </c>
      <c r="DB52" s="9">
        <v>12421</v>
      </c>
      <c r="DC52" s="9">
        <v>13472</v>
      </c>
      <c r="DD52" s="9">
        <v>12249.4</v>
      </c>
      <c r="DE52" s="9">
        <v>12723.6</v>
      </c>
      <c r="DF52" s="9">
        <v>13624.9</v>
      </c>
      <c r="DG52" s="9">
        <v>12170.8</v>
      </c>
      <c r="DH52" s="9">
        <v>13659.9</v>
      </c>
      <c r="DI52" s="9">
        <v>12172.2</v>
      </c>
      <c r="DJ52" s="9">
        <v>13412.8</v>
      </c>
      <c r="DK52" s="9">
        <v>12466.1</v>
      </c>
      <c r="DL52" s="9">
        <v>13444.7</v>
      </c>
      <c r="DM52" s="9">
        <v>11800.1</v>
      </c>
      <c r="DN52" s="9">
        <v>13516.8</v>
      </c>
      <c r="DO52" s="9">
        <v>12366.3</v>
      </c>
      <c r="DP52" s="9">
        <v>13372</v>
      </c>
      <c r="DQ52" s="9">
        <v>12280.7</v>
      </c>
      <c r="DR52" s="9">
        <v>13441.3</v>
      </c>
      <c r="DS52" s="9">
        <v>12540.8</v>
      </c>
      <c r="DT52" s="9">
        <v>12160.7</v>
      </c>
      <c r="DU52" s="9">
        <v>13313.1</v>
      </c>
      <c r="DV52" s="9">
        <v>12293.2</v>
      </c>
      <c r="DW52" s="9">
        <v>12090.6</v>
      </c>
      <c r="DX52" s="9">
        <v>13418.7</v>
      </c>
      <c r="DY52" s="9">
        <v>13494.1</v>
      </c>
      <c r="DZ52" s="9">
        <v>13324</v>
      </c>
      <c r="EA52" s="9">
        <v>12371.6</v>
      </c>
      <c r="EB52" s="9">
        <v>13437.8</v>
      </c>
      <c r="EC52" s="9">
        <v>12217.7</v>
      </c>
      <c r="ED52" s="9">
        <v>13180.6</v>
      </c>
      <c r="EE52" s="9">
        <v>12314.8</v>
      </c>
      <c r="EF52" s="9">
        <v>13055</v>
      </c>
      <c r="EG52" s="9">
        <v>11445</v>
      </c>
      <c r="EH52" s="9">
        <v>13219.3</v>
      </c>
      <c r="EI52" s="9">
        <v>12228.2</v>
      </c>
      <c r="EJ52" s="9">
        <v>12414.3</v>
      </c>
      <c r="EK52" s="9">
        <v>12468.5</v>
      </c>
      <c r="EL52" s="9">
        <v>12210.2</v>
      </c>
      <c r="EM52" s="9">
        <v>10569.8</v>
      </c>
      <c r="EN52" s="9">
        <v>12250.6</v>
      </c>
      <c r="EO52" s="9">
        <v>10849.8</v>
      </c>
      <c r="EP52" s="9">
        <v>12249.4</v>
      </c>
      <c r="EQ52" s="9">
        <v>12277.1</v>
      </c>
      <c r="ER52" s="9">
        <v>13890.1</v>
      </c>
      <c r="ES52" s="9">
        <v>12528.5</v>
      </c>
      <c r="ET52" s="9">
        <v>13937.5</v>
      </c>
      <c r="EU52" s="9">
        <v>12769.5</v>
      </c>
      <c r="EV52" s="9">
        <v>13859.7</v>
      </c>
      <c r="EW52" s="9">
        <v>12631.1</v>
      </c>
      <c r="EX52" s="9">
        <v>12841.2</v>
      </c>
      <c r="EY52" s="9">
        <v>12553.3</v>
      </c>
      <c r="EZ52" s="9">
        <v>13662.5</v>
      </c>
      <c r="FA52" s="9">
        <v>14059.9</v>
      </c>
      <c r="FB52" s="9">
        <v>13865.8</v>
      </c>
      <c r="FC52" s="9">
        <v>13790.5</v>
      </c>
      <c r="FD52" s="9">
        <v>13780.3</v>
      </c>
      <c r="FE52" s="9">
        <v>13815.6</v>
      </c>
      <c r="FF52" s="9">
        <v>12887.2</v>
      </c>
      <c r="FG52" s="9">
        <v>13854.4</v>
      </c>
      <c r="FH52" s="9">
        <v>13921.9</v>
      </c>
      <c r="FI52" s="9">
        <v>13924.2</v>
      </c>
      <c r="FJ52" s="9">
        <v>13926.3</v>
      </c>
      <c r="FK52" s="9">
        <v>13887.6</v>
      </c>
      <c r="FL52" s="9">
        <v>13933.4</v>
      </c>
      <c r="FM52" s="9">
        <v>12856.2</v>
      </c>
      <c r="FN52" s="9">
        <v>13972.8</v>
      </c>
      <c r="FO52" s="9">
        <v>12930.1</v>
      </c>
      <c r="FP52" s="11">
        <v>36.512958115183245</v>
      </c>
      <c r="FQ52" s="11">
        <v>36.369541884816748</v>
      </c>
      <c r="FR52" s="11">
        <v>36.705379581151824</v>
      </c>
      <c r="FS52" s="11">
        <v>36.349371727748697</v>
      </c>
      <c r="FT52" s="11">
        <v>36.113547120418858</v>
      </c>
      <c r="FU52" s="11">
        <v>36.673782722513138</v>
      </c>
      <c r="FV52" s="11">
        <v>0</v>
      </c>
      <c r="FW52" s="11">
        <v>49.194908376963355</v>
      </c>
      <c r="FX52" s="11">
        <v>0</v>
      </c>
      <c r="FY52" s="11">
        <v>0</v>
      </c>
      <c r="FZ52" s="11">
        <v>49.756620353403157</v>
      </c>
      <c r="GA52" s="11">
        <v>50.2</v>
      </c>
      <c r="GB52" s="11">
        <v>4.9003422761780167</v>
      </c>
      <c r="GC52" s="11">
        <v>5.0174125209424103</v>
      </c>
      <c r="GD52" s="11">
        <v>4.6507894856020959</v>
      </c>
      <c r="GE52" s="11">
        <v>4.272811780981681</v>
      </c>
      <c r="GF52" s="11">
        <v>4.8435534463350782</v>
      </c>
      <c r="GG52" s="11">
        <v>5.0997423717015717</v>
      </c>
      <c r="GH52" s="11">
        <v>8.5899990000000006</v>
      </c>
      <c r="GI52" s="11">
        <v>8.64</v>
      </c>
      <c r="GJ52" s="11">
        <v>8.6916659999999997</v>
      </c>
      <c r="GK52" s="11">
        <v>8.3249999999999993</v>
      </c>
      <c r="GL52" s="11">
        <v>8.0149989999999995</v>
      </c>
      <c r="GM52" s="11">
        <v>9.1883339999999993</v>
      </c>
      <c r="GN52" s="11">
        <v>7.7050659999999933</v>
      </c>
      <c r="GO52" s="11">
        <v>7.7282968333333404</v>
      </c>
      <c r="GP52" s="11">
        <v>7.7738790000000018</v>
      </c>
      <c r="GQ52" s="11">
        <v>7.7143366666666706</v>
      </c>
      <c r="GR52" s="11">
        <v>7.7599885000000084</v>
      </c>
      <c r="GS52" s="11">
        <v>7.7971683333333388</v>
      </c>
      <c r="GT52" s="108">
        <v>1.8730841666666669</v>
      </c>
      <c r="GU52" s="108">
        <v>1.8193955000000011</v>
      </c>
      <c r="GV52" s="108">
        <v>1.7333343333333335</v>
      </c>
      <c r="GW52" s="108">
        <v>2.0188130000000015</v>
      </c>
      <c r="GX52" s="108">
        <v>2.1243505000000016</v>
      </c>
      <c r="GY52" s="108">
        <v>1.6939431666666667</v>
      </c>
      <c r="GZ52" s="13">
        <v>7.5598513333333353</v>
      </c>
      <c r="HA52" s="13">
        <v>7.5987648333333366</v>
      </c>
      <c r="HB52" s="13">
        <v>7.5092846666666677</v>
      </c>
      <c r="HC52" s="13">
        <v>7.5180940000000067</v>
      </c>
      <c r="HD52" s="13">
        <v>7.5333311666666694</v>
      </c>
      <c r="HE52" s="13">
        <v>7.6009766666666643</v>
      </c>
      <c r="HF52" s="13">
        <v>0.57216283333333295</v>
      </c>
      <c r="HG52" s="13">
        <v>0.63460566666666707</v>
      </c>
      <c r="HH52" s="13">
        <v>0.55736349999999979</v>
      </c>
      <c r="HI52" s="13">
        <v>0.54125833333333295</v>
      </c>
      <c r="HJ52" s="13">
        <v>0.58059616666666625</v>
      </c>
      <c r="HK52" s="13">
        <v>0.58942916666666767</v>
      </c>
      <c r="HL52" s="12">
        <v>0</v>
      </c>
      <c r="HM52" s="12">
        <v>0</v>
      </c>
      <c r="HN52" s="12">
        <v>0</v>
      </c>
      <c r="HO52" s="12">
        <v>0</v>
      </c>
      <c r="HP52" s="12">
        <v>0</v>
      </c>
      <c r="HQ52" s="12">
        <v>0</v>
      </c>
      <c r="HR52" s="12">
        <v>0</v>
      </c>
      <c r="HS52" s="12">
        <v>0</v>
      </c>
      <c r="HT52" s="12">
        <v>0</v>
      </c>
      <c r="HU52" s="12">
        <v>0</v>
      </c>
      <c r="HV52" s="12">
        <v>0</v>
      </c>
      <c r="HW52" s="12">
        <v>0</v>
      </c>
      <c r="HX52" s="9">
        <v>939722</v>
      </c>
      <c r="HY52" s="9">
        <v>1754</v>
      </c>
      <c r="HZ52" s="9">
        <v>926499</v>
      </c>
      <c r="IA52" s="9">
        <v>1780</v>
      </c>
      <c r="IB52" s="11">
        <v>171169.81299999999</v>
      </c>
      <c r="IC52" s="11">
        <v>383.86700000000002</v>
      </c>
      <c r="ID52" s="14">
        <f t="shared" ref="ID52:II52" si="472">GN52-HL52</f>
        <v>7.7050659999999933</v>
      </c>
      <c r="IE52" s="14">
        <f t="shared" si="472"/>
        <v>7.7282968333333404</v>
      </c>
      <c r="IF52" s="14">
        <f t="shared" si="472"/>
        <v>7.7738790000000018</v>
      </c>
      <c r="IG52" s="14">
        <f t="shared" si="472"/>
        <v>7.7143366666666706</v>
      </c>
      <c r="IH52" s="14">
        <f t="shared" si="472"/>
        <v>7.7599885000000084</v>
      </c>
      <c r="II52" s="14">
        <f t="shared" si="472"/>
        <v>7.7971683333333388</v>
      </c>
      <c r="IJ52" s="15">
        <f t="shared" ref="IJ52:IO52" si="473">GZ52-HR52</f>
        <v>7.5598513333333353</v>
      </c>
      <c r="IK52" s="15">
        <f t="shared" si="473"/>
        <v>7.5987648333333366</v>
      </c>
      <c r="IL52" s="15">
        <f t="shared" si="473"/>
        <v>7.5092846666666677</v>
      </c>
      <c r="IM52" s="15">
        <f t="shared" si="473"/>
        <v>7.5180940000000067</v>
      </c>
      <c r="IN52" s="15">
        <f t="shared" si="473"/>
        <v>7.5333311666666694</v>
      </c>
      <c r="IO52" s="15">
        <f t="shared" si="473"/>
        <v>7.6009766666666643</v>
      </c>
      <c r="IP52" s="16">
        <f t="shared" ref="IP52" si="474">(HX52-HX51)*1000</f>
        <v>1033000</v>
      </c>
      <c r="IQ52" s="16">
        <f t="shared" ref="IQ52" si="475">(HY52-HY51)*1000</f>
        <v>1000</v>
      </c>
      <c r="IR52" s="16">
        <f t="shared" ref="IR52" si="476">(HZ52-HZ51)*1000</f>
        <v>1028000</v>
      </c>
      <c r="IS52" s="16">
        <f t="shared" ref="IS52" si="477">(IA52-IA51)*1000</f>
        <v>1000</v>
      </c>
      <c r="IT52" s="16">
        <f t="shared" ref="IT52" si="478">(IB52-IB51)*1000</f>
        <v>2057133.0000000016</v>
      </c>
      <c r="IU52" s="16">
        <f t="shared" ref="IU52" si="479">(IC52-IC51)*1000</f>
        <v>4266.9999999999964</v>
      </c>
      <c r="IV52" s="17">
        <f t="shared" ref="IV52" si="480">(IP52+IR52)-(IQ52+IS52)</f>
        <v>2059000</v>
      </c>
      <c r="IW52" s="17">
        <f t="shared" ref="IW52" si="481">IT52-IU52</f>
        <v>2052866.0000000016</v>
      </c>
      <c r="IX52" s="19">
        <f>(Raw_Data[[#This Row],[Sunset Time (POA&lt;20 W/m2)]]-Raw_Data[[#This Row],[Sunrise Time (POA&gt;20 W/m2)]])*24</f>
        <v>13.016666666666666</v>
      </c>
      <c r="IY52" s="68">
        <f>AVERAGEIF(Raw_Data[[#This Row],[GHI_UP_Net_IS2_W1]:[GHI_UP_Net_IS19_W6]],"&lt;&gt;"&amp;0,Raw_Data[[#This Row],[GHI_UP_Net_IS2_W1]:[GHI_UP_Net_IS19_W6]])</f>
        <v>7.7464558888888924</v>
      </c>
      <c r="IZ52" s="68">
        <f>AVERAGEIF(Raw_Data[[#This Row],[GHI_Down_IS2_W1]:[GHI_Down_IS19_W6]],"&lt;&gt;"&amp;0,Raw_Data[[#This Row],[GHI_Down_IS2_W1]:[GHI_Down_IS19_W6]])</f>
        <v>1.8771534444444453</v>
      </c>
      <c r="JA52" s="68">
        <f>AVERAGEIF(Raw_Data[[#This Row],[POA_Up_IS2_W1]:[POA_Up_IS19_W6]],"&lt;&gt;"&amp;0,Raw_Data[[#This Row],[POA_Up_IS2_W1]:[POA_Up_IS19_W6]])</f>
        <v>7.5533837777777793</v>
      </c>
      <c r="JB52" s="68">
        <f>AVERAGEIF(Raw_Data[[#This Row],[POA_Down_IS2_W1]:[POA_Down_IS19_W6]],"&lt;&gt;"&amp;0,Raw_Data[[#This Row],[POA_Down_IS2_W1]:[POA_Down_IS19_W6]])</f>
        <v>0.57923594444444437</v>
      </c>
      <c r="JC52" s="69">
        <f>Raw_Data[[#This Row],[GHI-Down(KWh/m2)]]/Raw_Data[[#This Row],[GHI-UP (KWh/m2)]]</f>
        <v>0.24232416363939219</v>
      </c>
      <c r="JD52" s="72">
        <f>Raw_Data[[#This Row],[POA-Down(KWh/m2)]]/Raw_Data[[#This Row],[POA-UP(KWh/m2)]]</f>
        <v>7.6685623488186735E-2</v>
      </c>
      <c r="JE52" s="68">
        <f>AVERAGEIF(Raw_Data[[#This Row],[Amb_Temp_IS2_W1]:[Amb_Temp_IS19_W6]],"&lt;&gt;"&amp;0,Raw_Data[[#This Row],[Amb_Temp_IS2_W1]:[Amb_Temp_IS19_W6]])</f>
        <v>36.454096858638742</v>
      </c>
      <c r="JF52" s="68">
        <f>AVERAGEIF(Raw_Data[[#This Row],[MT_Temp_IS2_W1]:[MT_Temp_IS19_W6]],"&lt;&gt;"&amp;0,Raw_Data[[#This Row],[MT_Temp_IS2_W1]:[MT_Temp_IS19_W6]])</f>
        <v>49.717176243455505</v>
      </c>
      <c r="JG52" s="68">
        <f>AVERAGEIF(Raw_Data[[#This Row],[WS_Avg_IS2_W1]:[WS_Avg_IS19_W6]],"&lt;&gt;"&amp;0,Raw_Data[[#This Row],[WS_Avg_IS2_W1]:[WS_Avg_IS19_W6]])</f>
        <v>4.7974419802901425</v>
      </c>
      <c r="JH52" s="68">
        <f>AVERAGEIF(Raw_Data[[#This Row],[WS_Max_IS2_W1]:[WS_Max_IS19_W6]],"&lt;&gt;"&amp;0,Raw_Data[[#This Row],[WS_Max_IS2_W1]:[WS_Max_IS19_W6]])</f>
        <v>8.574999666666665</v>
      </c>
      <c r="JI52" s="70">
        <f>SUM(Raw_Data[[#This Row],[IS1_INV1_M1]:[IS20_INV4_M2]])</f>
        <v>2071281.2000000009</v>
      </c>
      <c r="JJ52" s="73">
        <v>2039933.9999999793</v>
      </c>
      <c r="JK52" s="71">
        <v>2493017.2137465011</v>
      </c>
      <c r="JL52" s="143">
        <f>IFERROR(Raw_Data[[#This Row],[WPR_Eac]]/Raw_Data[[#This Row],[WPR_Edc]],"")</f>
        <v>0.8182590913338984</v>
      </c>
      <c r="JM52" s="6">
        <v>36</v>
      </c>
      <c r="JN52" s="6">
        <v>0</v>
      </c>
    </row>
    <row r="53" spans="2:274">
      <c r="B53" s="250">
        <f t="shared" si="21"/>
        <v>45792</v>
      </c>
      <c r="C53" s="9">
        <f>YEAR(Raw_Data[[#This Row],[Date]])+IF(MONTH(Raw_Data[[#This Row],[Date]])&gt;=4,1,0)</f>
        <v>2026</v>
      </c>
      <c r="D53" s="6">
        <f t="shared" ref="D53:D58" si="482">YEAR(B53)</f>
        <v>2025</v>
      </c>
      <c r="E53" s="7" t="s">
        <v>361</v>
      </c>
      <c r="F53" s="7" t="s">
        <v>361</v>
      </c>
      <c r="G53" s="8">
        <v>45778</v>
      </c>
      <c r="H53" s="6">
        <f t="shared" ref="H53:H58" si="483">DAY(EOMONTH(B53,0))</f>
        <v>31</v>
      </c>
      <c r="I53" s="9">
        <v>335090.89</v>
      </c>
      <c r="J53" s="10">
        <v>0.26250000000000001</v>
      </c>
      <c r="K53" s="10">
        <v>0.80486111111111114</v>
      </c>
      <c r="L53" s="9">
        <v>12455</v>
      </c>
      <c r="M53" s="9">
        <v>13030.2</v>
      </c>
      <c r="N53" s="9">
        <v>13000.9</v>
      </c>
      <c r="O53" s="9">
        <v>12942.1</v>
      </c>
      <c r="P53" s="9">
        <v>13133.6</v>
      </c>
      <c r="Q53" s="9">
        <v>13153.4</v>
      </c>
      <c r="R53" s="9">
        <v>13170</v>
      </c>
      <c r="S53" s="9">
        <v>13529.5</v>
      </c>
      <c r="T53" s="9">
        <v>13051.6</v>
      </c>
      <c r="U53" s="9">
        <v>13103</v>
      </c>
      <c r="V53" s="9">
        <v>12882.7</v>
      </c>
      <c r="W53" s="9">
        <v>12986</v>
      </c>
      <c r="X53" s="9">
        <v>13039.1</v>
      </c>
      <c r="Y53" s="9">
        <v>12915.5</v>
      </c>
      <c r="Z53" s="9">
        <v>13088.6</v>
      </c>
      <c r="AA53" s="9">
        <v>13113.4</v>
      </c>
      <c r="AB53" s="9">
        <v>13016.3</v>
      </c>
      <c r="AC53" s="9">
        <v>13020.1</v>
      </c>
      <c r="AD53" s="9">
        <v>13038.8</v>
      </c>
      <c r="AE53" s="9">
        <v>13100.8</v>
      </c>
      <c r="AF53" s="9">
        <v>13058.2</v>
      </c>
      <c r="AG53" s="9">
        <v>13056.6</v>
      </c>
      <c r="AH53" s="9">
        <v>12822.8</v>
      </c>
      <c r="AI53" s="9">
        <v>12918</v>
      </c>
      <c r="AJ53" s="9">
        <v>12787.3</v>
      </c>
      <c r="AK53" s="9">
        <v>11226.3</v>
      </c>
      <c r="AL53" s="9">
        <v>12739.6</v>
      </c>
      <c r="AM53" s="9">
        <v>12729.6</v>
      </c>
      <c r="AN53" s="9">
        <v>13065.3</v>
      </c>
      <c r="AO53" s="9">
        <v>12929.1</v>
      </c>
      <c r="AP53" s="9">
        <v>12870.2</v>
      </c>
      <c r="AQ53" s="9">
        <v>13086.1</v>
      </c>
      <c r="AR53" s="9">
        <v>13088.5</v>
      </c>
      <c r="AS53" s="9">
        <v>13093.2</v>
      </c>
      <c r="AT53" s="9">
        <v>13201.8</v>
      </c>
      <c r="AU53" s="9">
        <v>13097.9</v>
      </c>
      <c r="AV53" s="9">
        <v>13156.9</v>
      </c>
      <c r="AW53" s="9">
        <v>12979.8</v>
      </c>
      <c r="AX53" s="9">
        <v>13009.2</v>
      </c>
      <c r="AY53" s="9">
        <v>12979.8</v>
      </c>
      <c r="AZ53" s="9">
        <v>13799.7</v>
      </c>
      <c r="BA53" s="9">
        <v>12708.2</v>
      </c>
      <c r="BB53" s="9">
        <v>13671.9</v>
      </c>
      <c r="BC53" s="9">
        <v>12488.1</v>
      </c>
      <c r="BD53" s="9">
        <v>13134.2</v>
      </c>
      <c r="BE53" s="9">
        <v>14179</v>
      </c>
      <c r="BF53" s="9">
        <v>12515.6</v>
      </c>
      <c r="BG53" s="9">
        <v>13817.5</v>
      </c>
      <c r="BH53" s="9">
        <v>13155.2</v>
      </c>
      <c r="BI53" s="9">
        <v>13275.5</v>
      </c>
      <c r="BJ53" s="9">
        <v>13116.7</v>
      </c>
      <c r="BK53" s="9">
        <v>12467.4</v>
      </c>
      <c r="BL53" s="9">
        <v>13447.7</v>
      </c>
      <c r="BM53" s="9">
        <v>13301.6</v>
      </c>
      <c r="BN53" s="9">
        <v>13380.5</v>
      </c>
      <c r="BO53" s="9">
        <v>13293.7</v>
      </c>
      <c r="BP53" s="9">
        <v>11997.7</v>
      </c>
      <c r="BQ53" s="9">
        <v>13582.7</v>
      </c>
      <c r="BR53" s="9">
        <v>12021.8</v>
      </c>
      <c r="BS53" s="9">
        <v>13540.9</v>
      </c>
      <c r="BT53" s="9">
        <v>13412.8</v>
      </c>
      <c r="BU53" s="9">
        <v>11998.3</v>
      </c>
      <c r="BV53" s="9">
        <v>13148.7</v>
      </c>
      <c r="BW53" s="9">
        <v>12589.5</v>
      </c>
      <c r="BX53" s="9">
        <v>12789</v>
      </c>
      <c r="BY53" s="9">
        <v>11988.9</v>
      </c>
      <c r="BZ53" s="9">
        <v>12719.4</v>
      </c>
      <c r="CA53" s="9">
        <v>13186.6</v>
      </c>
      <c r="CB53" s="9">
        <v>13465.7</v>
      </c>
      <c r="CC53" s="9">
        <v>12255.4</v>
      </c>
      <c r="CD53" s="9">
        <v>13330.1</v>
      </c>
      <c r="CE53" s="9">
        <v>11766.4</v>
      </c>
      <c r="CF53" s="9">
        <v>13010.7</v>
      </c>
      <c r="CG53" s="9">
        <v>12731.5</v>
      </c>
      <c r="CH53" s="9">
        <v>12094.1</v>
      </c>
      <c r="CI53" s="9">
        <v>13304.5</v>
      </c>
      <c r="CJ53" s="9">
        <v>11875</v>
      </c>
      <c r="CK53" s="9">
        <v>13542.3</v>
      </c>
      <c r="CL53" s="9">
        <v>12120.1</v>
      </c>
      <c r="CM53" s="9">
        <v>13343.8</v>
      </c>
      <c r="CN53" s="9">
        <v>12310.4</v>
      </c>
      <c r="CO53" s="9">
        <v>13194.2</v>
      </c>
      <c r="CP53" s="9">
        <v>12436.4</v>
      </c>
      <c r="CQ53" s="9">
        <v>13536.3</v>
      </c>
      <c r="CR53" s="9">
        <v>12301.4</v>
      </c>
      <c r="CS53" s="9">
        <v>13046.1</v>
      </c>
      <c r="CT53" s="9">
        <v>12292</v>
      </c>
      <c r="CU53" s="9">
        <v>10813.1</v>
      </c>
      <c r="CV53" s="9">
        <v>13278</v>
      </c>
      <c r="CW53" s="9">
        <v>12854</v>
      </c>
      <c r="CX53" s="9">
        <v>11968</v>
      </c>
      <c r="CY53" s="9">
        <v>13623</v>
      </c>
      <c r="CZ53" s="9">
        <v>13275</v>
      </c>
      <c r="DA53" s="9">
        <v>12404</v>
      </c>
      <c r="DB53" s="9">
        <v>12263</v>
      </c>
      <c r="DC53" s="9">
        <v>13415</v>
      </c>
      <c r="DD53" s="9">
        <v>12153</v>
      </c>
      <c r="DE53" s="9">
        <v>12631.4</v>
      </c>
      <c r="DF53" s="9">
        <v>13564.4</v>
      </c>
      <c r="DG53" s="9">
        <v>12065.1</v>
      </c>
      <c r="DH53" s="9">
        <v>13590.5</v>
      </c>
      <c r="DI53" s="9">
        <v>12066.7</v>
      </c>
      <c r="DJ53" s="9">
        <v>13317</v>
      </c>
      <c r="DK53" s="9">
        <v>12353.1</v>
      </c>
      <c r="DL53" s="9">
        <v>13370.1</v>
      </c>
      <c r="DM53" s="9">
        <v>11690.1</v>
      </c>
      <c r="DN53" s="9">
        <v>13438.3</v>
      </c>
      <c r="DO53" s="9">
        <v>12241.9</v>
      </c>
      <c r="DP53" s="9">
        <v>13282.8</v>
      </c>
      <c r="DQ53" s="9">
        <v>12183.9</v>
      </c>
      <c r="DR53" s="9">
        <v>13357.7</v>
      </c>
      <c r="DS53" s="9">
        <v>12419.6</v>
      </c>
      <c r="DT53" s="9">
        <v>12053</v>
      </c>
      <c r="DU53" s="9">
        <v>13245.3</v>
      </c>
      <c r="DV53" s="9">
        <v>12236.7</v>
      </c>
      <c r="DW53" s="9">
        <v>11998.6</v>
      </c>
      <c r="DX53" s="9">
        <v>13333.4</v>
      </c>
      <c r="DY53" s="9">
        <v>13414.7</v>
      </c>
      <c r="DZ53" s="9">
        <v>13234.1</v>
      </c>
      <c r="EA53" s="9">
        <v>12244.7</v>
      </c>
      <c r="EB53" s="9">
        <v>13356.4</v>
      </c>
      <c r="EC53" s="9">
        <v>12091.7</v>
      </c>
      <c r="ED53" s="9">
        <v>13100.5</v>
      </c>
      <c r="EE53" s="9">
        <v>12225</v>
      </c>
      <c r="EF53" s="9">
        <v>12943.4</v>
      </c>
      <c r="EG53" s="9">
        <v>11322.7</v>
      </c>
      <c r="EH53" s="9">
        <v>13104.2</v>
      </c>
      <c r="EI53" s="9">
        <v>12098.1</v>
      </c>
      <c r="EJ53" s="9">
        <v>12293</v>
      </c>
      <c r="EK53" s="9">
        <v>12357.7</v>
      </c>
      <c r="EL53" s="9">
        <v>12131.3</v>
      </c>
      <c r="EM53" s="9">
        <v>10463.799999999999</v>
      </c>
      <c r="EN53" s="9">
        <v>12095.8</v>
      </c>
      <c r="EO53" s="9">
        <v>10714.1</v>
      </c>
      <c r="EP53" s="9">
        <v>12146.8</v>
      </c>
      <c r="EQ53" s="9">
        <v>12171.6</v>
      </c>
      <c r="ER53" s="9">
        <v>13852.3</v>
      </c>
      <c r="ES53" s="9">
        <v>12435</v>
      </c>
      <c r="ET53" s="9">
        <v>13904.2</v>
      </c>
      <c r="EU53" s="9">
        <v>12682</v>
      </c>
      <c r="EV53" s="9">
        <v>13815.1</v>
      </c>
      <c r="EW53" s="9">
        <v>12524.8</v>
      </c>
      <c r="EX53" s="9">
        <v>12727.4</v>
      </c>
      <c r="EY53" s="9">
        <v>12450.9</v>
      </c>
      <c r="EZ53" s="9">
        <v>13568.9</v>
      </c>
      <c r="FA53" s="9">
        <v>13987.8</v>
      </c>
      <c r="FB53" s="9">
        <v>13827.1</v>
      </c>
      <c r="FC53" s="9">
        <v>13759.5</v>
      </c>
      <c r="FD53" s="9">
        <v>13751.7</v>
      </c>
      <c r="FE53" s="9">
        <v>13779.3</v>
      </c>
      <c r="FF53" s="9">
        <v>12799.2</v>
      </c>
      <c r="FG53" s="9">
        <v>13824.4</v>
      </c>
      <c r="FH53" s="9">
        <v>13873.3</v>
      </c>
      <c r="FI53" s="9">
        <v>13886.6</v>
      </c>
      <c r="FJ53" s="9">
        <v>13893.7</v>
      </c>
      <c r="FK53" s="9">
        <v>13852.3</v>
      </c>
      <c r="FL53" s="9">
        <v>13899.6</v>
      </c>
      <c r="FM53" s="9">
        <v>12770.6</v>
      </c>
      <c r="FN53" s="9">
        <v>13917.9</v>
      </c>
      <c r="FO53" s="9">
        <v>12836.7</v>
      </c>
      <c r="FP53" s="11">
        <v>38.024692810457537</v>
      </c>
      <c r="FQ53" s="11">
        <v>37.759058823529386</v>
      </c>
      <c r="FR53" s="11">
        <v>38.179202614379108</v>
      </c>
      <c r="FS53" s="11">
        <v>37.914575163398716</v>
      </c>
      <c r="FT53" s="11">
        <v>37.584130718954277</v>
      </c>
      <c r="FU53" s="11">
        <v>38.190601307189517</v>
      </c>
      <c r="FV53" s="11">
        <v>0</v>
      </c>
      <c r="FW53" s="11">
        <v>51.6</v>
      </c>
      <c r="FX53" s="11">
        <v>0</v>
      </c>
      <c r="FY53" s="11">
        <v>0</v>
      </c>
      <c r="FZ53" s="11">
        <v>51.7</v>
      </c>
      <c r="GA53" s="11">
        <v>52.2</v>
      </c>
      <c r="GB53" s="11">
        <v>3.8341763267973881</v>
      </c>
      <c r="GC53" s="11">
        <v>3.9898342762091459</v>
      </c>
      <c r="GD53" s="11">
        <v>3.5206556156862727</v>
      </c>
      <c r="GE53" s="11">
        <v>1.8470587539346404</v>
      </c>
      <c r="GF53" s="11">
        <v>3.9517514771241813</v>
      </c>
      <c r="GG53" s="11">
        <v>3.6322852609150234</v>
      </c>
      <c r="GH53" s="11">
        <v>8.2383330000000008</v>
      </c>
      <c r="GI53" s="11">
        <v>7.1833330000000002</v>
      </c>
      <c r="GJ53" s="11">
        <v>8.261666</v>
      </c>
      <c r="GK53" s="11">
        <v>7.4283340000000004</v>
      </c>
      <c r="GL53" s="11">
        <v>7.26</v>
      </c>
      <c r="GM53" s="11">
        <v>8.0933340000000005</v>
      </c>
      <c r="GN53" s="11">
        <v>7.6898548333333343</v>
      </c>
      <c r="GO53" s="11">
        <v>7.7332489999999989</v>
      </c>
      <c r="GP53" s="11">
        <v>7.7641176666666656</v>
      </c>
      <c r="GQ53" s="11">
        <v>7.7041463333333313</v>
      </c>
      <c r="GR53" s="11">
        <v>7.7460510000000102</v>
      </c>
      <c r="GS53" s="11">
        <v>7.8047006666666663</v>
      </c>
      <c r="GT53" s="108">
        <v>1.8810215000000001</v>
      </c>
      <c r="GU53" s="108">
        <v>1.8175175000000006</v>
      </c>
      <c r="GV53" s="108">
        <v>1.7404975000000009</v>
      </c>
      <c r="GW53" s="108">
        <v>2.0277298333333338</v>
      </c>
      <c r="GX53" s="108">
        <v>2.1266568333333358</v>
      </c>
      <c r="GY53" s="108">
        <v>1.6949888333333343</v>
      </c>
      <c r="GZ53" s="13">
        <v>7.5286095000000026</v>
      </c>
      <c r="HA53" s="13">
        <v>7.5922355000000037</v>
      </c>
      <c r="HB53" s="13">
        <v>7.4829803333333302</v>
      </c>
      <c r="HC53" s="13">
        <v>7.4948178333333324</v>
      </c>
      <c r="HD53" s="13">
        <v>7.4979639999999996</v>
      </c>
      <c r="HE53" s="13">
        <v>7.5927781666666734</v>
      </c>
      <c r="HF53" s="13">
        <v>0.57357883333333315</v>
      </c>
      <c r="HG53" s="13">
        <v>0.63632416666666669</v>
      </c>
      <c r="HH53" s="13">
        <v>0.56087316666666687</v>
      </c>
      <c r="HI53" s="13">
        <v>0.53924550000000016</v>
      </c>
      <c r="HJ53" s="13">
        <v>0.58286133333333334</v>
      </c>
      <c r="HK53" s="13">
        <v>0.59186400000000006</v>
      </c>
      <c r="HL53" s="12">
        <v>0</v>
      </c>
      <c r="HM53" s="12">
        <v>0</v>
      </c>
      <c r="HN53" s="12">
        <v>0</v>
      </c>
      <c r="HO53" s="12">
        <v>0</v>
      </c>
      <c r="HP53" s="12">
        <v>0</v>
      </c>
      <c r="HQ53" s="12">
        <v>0</v>
      </c>
      <c r="HR53" s="12">
        <v>0</v>
      </c>
      <c r="HS53" s="12">
        <v>0</v>
      </c>
      <c r="HT53" s="12">
        <v>0</v>
      </c>
      <c r="HU53" s="12">
        <v>0</v>
      </c>
      <c r="HV53" s="12">
        <v>0</v>
      </c>
      <c r="HW53" s="12">
        <v>0</v>
      </c>
      <c r="HX53" s="9">
        <v>940749</v>
      </c>
      <c r="HY53" s="9">
        <v>1756</v>
      </c>
      <c r="HZ53" s="9">
        <v>927519</v>
      </c>
      <c r="IA53" s="9">
        <v>1782</v>
      </c>
      <c r="IB53" s="11">
        <v>173217.81400000001</v>
      </c>
      <c r="IC53" s="11">
        <v>388.33300000000003</v>
      </c>
      <c r="ID53" s="14">
        <f t="shared" ref="ID53:II53" si="484">GN53-HL53</f>
        <v>7.6898548333333343</v>
      </c>
      <c r="IE53" s="14">
        <f t="shared" si="484"/>
        <v>7.7332489999999989</v>
      </c>
      <c r="IF53" s="14">
        <f t="shared" si="484"/>
        <v>7.7641176666666656</v>
      </c>
      <c r="IG53" s="14">
        <f t="shared" si="484"/>
        <v>7.7041463333333313</v>
      </c>
      <c r="IH53" s="14">
        <f t="shared" si="484"/>
        <v>7.7460510000000102</v>
      </c>
      <c r="II53" s="14">
        <f t="shared" si="484"/>
        <v>7.8047006666666663</v>
      </c>
      <c r="IJ53" s="15">
        <f t="shared" ref="IJ53:IO53" si="485">GZ53-HR53</f>
        <v>7.5286095000000026</v>
      </c>
      <c r="IK53" s="15">
        <f t="shared" si="485"/>
        <v>7.5922355000000037</v>
      </c>
      <c r="IL53" s="15">
        <f t="shared" si="485"/>
        <v>7.4829803333333302</v>
      </c>
      <c r="IM53" s="15">
        <f t="shared" si="485"/>
        <v>7.4948178333333324</v>
      </c>
      <c r="IN53" s="15">
        <f t="shared" si="485"/>
        <v>7.4979639999999996</v>
      </c>
      <c r="IO53" s="15">
        <f t="shared" si="485"/>
        <v>7.5927781666666734</v>
      </c>
      <c r="IP53" s="16">
        <f t="shared" ref="IP53" si="486">(HX53-HX52)*1000</f>
        <v>1027000</v>
      </c>
      <c r="IQ53" s="16">
        <f t="shared" ref="IQ53" si="487">(HY53-HY52)*1000</f>
        <v>2000</v>
      </c>
      <c r="IR53" s="16">
        <f t="shared" ref="IR53" si="488">(HZ53-HZ52)*1000</f>
        <v>1020000</v>
      </c>
      <c r="IS53" s="16">
        <f t="shared" ref="IS53" si="489">(IA53-IA52)*1000</f>
        <v>2000</v>
      </c>
      <c r="IT53" s="16">
        <f t="shared" ref="IT53" si="490">(IB53-IB52)*1000</f>
        <v>2048001.0000000184</v>
      </c>
      <c r="IU53" s="16">
        <f t="shared" ref="IU53" si="491">(IC53-IC52)*1000</f>
        <v>4466.0000000000082</v>
      </c>
      <c r="IV53" s="17">
        <f t="shared" ref="IV53" si="492">(IP53+IR53)-(IQ53+IS53)</f>
        <v>2043000</v>
      </c>
      <c r="IW53" s="17">
        <f t="shared" ref="IW53" si="493">IT53-IU53</f>
        <v>2043535.0000000184</v>
      </c>
      <c r="IX53" s="19">
        <f>(Raw_Data[[#This Row],[Sunset Time (POA&lt;20 W/m2)]]-Raw_Data[[#This Row],[Sunrise Time (POA&gt;20 W/m2)]])*24</f>
        <v>13.016666666666666</v>
      </c>
      <c r="IY53" s="68">
        <f>AVERAGEIF(Raw_Data[[#This Row],[GHI_UP_Net_IS2_W1]:[GHI_UP_Net_IS19_W6]],"&lt;&gt;"&amp;0,Raw_Data[[#This Row],[GHI_UP_Net_IS2_W1]:[GHI_UP_Net_IS19_W6]])</f>
        <v>7.7403532500000019</v>
      </c>
      <c r="IZ53" s="68">
        <f>AVERAGEIF(Raw_Data[[#This Row],[GHI_Down_IS2_W1]:[GHI_Down_IS19_W6]],"&lt;&gt;"&amp;0,Raw_Data[[#This Row],[GHI_Down_IS2_W1]:[GHI_Down_IS19_W6]])</f>
        <v>1.8814020000000007</v>
      </c>
      <c r="JA53" s="68">
        <f>AVERAGEIF(Raw_Data[[#This Row],[POA_Up_IS2_W1]:[POA_Up_IS19_W6]],"&lt;&gt;"&amp;0,Raw_Data[[#This Row],[POA_Up_IS2_W1]:[POA_Up_IS19_W6]])</f>
        <v>7.531564222222225</v>
      </c>
      <c r="JB53" s="68">
        <f>AVERAGEIF(Raw_Data[[#This Row],[POA_Down_IS2_W1]:[POA_Down_IS19_W6]],"&lt;&gt;"&amp;0,Raw_Data[[#This Row],[POA_Down_IS2_W1]:[POA_Down_IS19_W6]])</f>
        <v>0.58079116666666664</v>
      </c>
      <c r="JC53" s="69">
        <f>Raw_Data[[#This Row],[GHI-Down(KWh/m2)]]/Raw_Data[[#This Row],[GHI-UP (KWh/m2)]]</f>
        <v>0.24306410046595744</v>
      </c>
      <c r="JD53" s="72">
        <f>Raw_Data[[#This Row],[POA-Down(KWh/m2)]]/Raw_Data[[#This Row],[POA-UP(KWh/m2)]]</f>
        <v>7.7114281911454155E-2</v>
      </c>
      <c r="JE53" s="68">
        <f>AVERAGEIF(Raw_Data[[#This Row],[Amb_Temp_IS2_W1]:[Amb_Temp_IS19_W6]],"&lt;&gt;"&amp;0,Raw_Data[[#This Row],[Amb_Temp_IS2_W1]:[Amb_Temp_IS19_W6]])</f>
        <v>37.942043572984758</v>
      </c>
      <c r="JF53" s="68">
        <f>AVERAGEIF(Raw_Data[[#This Row],[MT_Temp_IS2_W1]:[MT_Temp_IS19_W6]],"&lt;&gt;"&amp;0,Raw_Data[[#This Row],[MT_Temp_IS2_W1]:[MT_Temp_IS19_W6]])</f>
        <v>51.833333333333336</v>
      </c>
      <c r="JG53" s="68">
        <f>AVERAGEIF(Raw_Data[[#This Row],[WS_Avg_IS2_W1]:[WS_Avg_IS19_W6]],"&lt;&gt;"&amp;0,Raw_Data[[#This Row],[WS_Avg_IS2_W1]:[WS_Avg_IS19_W6]])</f>
        <v>3.462626951777775</v>
      </c>
      <c r="JH53" s="68">
        <f>AVERAGEIF(Raw_Data[[#This Row],[WS_Max_IS2_W1]:[WS_Max_IS19_W6]],"&lt;&gt;"&amp;0,Raw_Data[[#This Row],[WS_Max_IS2_W1]:[WS_Max_IS19_W6]])</f>
        <v>7.7441666666666658</v>
      </c>
      <c r="JI53" s="70">
        <f>SUM(Raw_Data[[#This Row],[IS1_INV1_M1]:[IS20_INV4_M2]])</f>
        <v>2061967.5999999999</v>
      </c>
      <c r="JJ53" s="73">
        <v>2029867.0000000275</v>
      </c>
      <c r="JK53" s="71">
        <v>2461206.2480981927</v>
      </c>
      <c r="JL53" s="143">
        <f>IFERROR(Raw_Data[[#This Row],[WPR_Eac]]/Raw_Data[[#This Row],[WPR_Edc]],"")</f>
        <v>0.82474477771561527</v>
      </c>
      <c r="JM53" s="6">
        <v>36</v>
      </c>
      <c r="JN53" s="6">
        <v>0</v>
      </c>
    </row>
    <row r="54" spans="2:274">
      <c r="B54" s="250">
        <f t="shared" si="21"/>
        <v>45793</v>
      </c>
      <c r="C54" s="9">
        <f>YEAR(Raw_Data[[#This Row],[Date]])+IF(MONTH(Raw_Data[[#This Row],[Date]])&gt;=4,1,0)</f>
        <v>2026</v>
      </c>
      <c r="D54" s="6">
        <f t="shared" si="482"/>
        <v>2025</v>
      </c>
      <c r="E54" s="7" t="s">
        <v>361</v>
      </c>
      <c r="F54" s="7" t="s">
        <v>361</v>
      </c>
      <c r="G54" s="8">
        <v>45778</v>
      </c>
      <c r="H54" s="6">
        <f t="shared" si="483"/>
        <v>31</v>
      </c>
      <c r="I54" s="9">
        <v>335090.89</v>
      </c>
      <c r="J54" s="10">
        <v>0.2638888888888889</v>
      </c>
      <c r="K54" s="10">
        <v>0.80486111111111114</v>
      </c>
      <c r="L54" s="9">
        <v>12396.3</v>
      </c>
      <c r="M54" s="9">
        <v>13001.6</v>
      </c>
      <c r="N54" s="9">
        <v>12952.8</v>
      </c>
      <c r="O54" s="9">
        <v>12907.7</v>
      </c>
      <c r="P54" s="9">
        <v>13095.1</v>
      </c>
      <c r="Q54" s="9">
        <v>13124</v>
      </c>
      <c r="R54" s="9">
        <v>13122.9</v>
      </c>
      <c r="S54" s="9">
        <v>13475</v>
      </c>
      <c r="T54" s="9">
        <v>13024.1</v>
      </c>
      <c r="U54" s="9">
        <v>13053.2</v>
      </c>
      <c r="V54" s="9">
        <v>12850.9</v>
      </c>
      <c r="W54" s="9">
        <v>12943</v>
      </c>
      <c r="X54" s="9">
        <v>13025.6</v>
      </c>
      <c r="Y54" s="9">
        <v>12875.9</v>
      </c>
      <c r="Z54" s="9">
        <v>13066.1</v>
      </c>
      <c r="AA54" s="9">
        <v>13089.8</v>
      </c>
      <c r="AB54" s="9">
        <v>12998.2</v>
      </c>
      <c r="AC54" s="9">
        <v>12993.8</v>
      </c>
      <c r="AD54" s="9">
        <v>13022.5</v>
      </c>
      <c r="AE54" s="9">
        <v>13084.2</v>
      </c>
      <c r="AF54" s="9">
        <v>13041.8</v>
      </c>
      <c r="AG54" s="9">
        <v>13032.7</v>
      </c>
      <c r="AH54" s="9">
        <v>12816.9</v>
      </c>
      <c r="AI54" s="9">
        <v>12911.9</v>
      </c>
      <c r="AJ54" s="9">
        <v>12754</v>
      </c>
      <c r="AK54" s="9">
        <v>11173.5</v>
      </c>
      <c r="AL54" s="9">
        <v>12717.3</v>
      </c>
      <c r="AM54" s="9">
        <v>12718.4</v>
      </c>
      <c r="AN54" s="9">
        <v>13028.6</v>
      </c>
      <c r="AO54" s="9">
        <v>12908.9</v>
      </c>
      <c r="AP54" s="9">
        <v>12857.7</v>
      </c>
      <c r="AQ54" s="9">
        <v>13060.6</v>
      </c>
      <c r="AR54" s="9">
        <v>13053.6</v>
      </c>
      <c r="AS54" s="9">
        <v>13059.2</v>
      </c>
      <c r="AT54" s="9">
        <v>13166.8</v>
      </c>
      <c r="AU54" s="9">
        <v>13055.9</v>
      </c>
      <c r="AV54" s="9">
        <v>13112.2</v>
      </c>
      <c r="AW54" s="9">
        <v>12938.8</v>
      </c>
      <c r="AX54" s="9">
        <v>12974.5</v>
      </c>
      <c r="AY54" s="9">
        <v>12950.6</v>
      </c>
      <c r="AZ54" s="9">
        <v>13767.3</v>
      </c>
      <c r="BA54" s="9">
        <v>12693.5</v>
      </c>
      <c r="BB54" s="9">
        <v>13646.4</v>
      </c>
      <c r="BC54" s="9">
        <v>12466.1</v>
      </c>
      <c r="BD54" s="9">
        <v>13141.3</v>
      </c>
      <c r="BE54" s="9">
        <v>14115.4</v>
      </c>
      <c r="BF54" s="9">
        <v>12504.9</v>
      </c>
      <c r="BG54" s="9">
        <v>13772.2</v>
      </c>
      <c r="BH54" s="9">
        <v>13085.5</v>
      </c>
      <c r="BI54" s="9">
        <v>13226.9</v>
      </c>
      <c r="BJ54" s="9">
        <v>13100.7</v>
      </c>
      <c r="BK54" s="9">
        <v>12409.8</v>
      </c>
      <c r="BL54" s="9">
        <v>13405.4</v>
      </c>
      <c r="BM54" s="9">
        <v>13271.4</v>
      </c>
      <c r="BN54" s="9">
        <v>13355.5</v>
      </c>
      <c r="BO54" s="9">
        <v>13266.8</v>
      </c>
      <c r="BP54" s="9">
        <v>11934.9</v>
      </c>
      <c r="BQ54" s="9">
        <v>13540.8</v>
      </c>
      <c r="BR54" s="9">
        <v>11957.9</v>
      </c>
      <c r="BS54" s="9">
        <v>13486.1</v>
      </c>
      <c r="BT54" s="9">
        <v>13340.2</v>
      </c>
      <c r="BU54" s="9">
        <v>11925.9</v>
      </c>
      <c r="BV54" s="9">
        <v>13095</v>
      </c>
      <c r="BW54" s="9">
        <v>12558.7</v>
      </c>
      <c r="BX54" s="9">
        <v>12771.6</v>
      </c>
      <c r="BY54" s="9">
        <v>11976.9</v>
      </c>
      <c r="BZ54" s="9">
        <v>12676.4</v>
      </c>
      <c r="CA54" s="9">
        <v>13135.6</v>
      </c>
      <c r="CB54" s="9">
        <v>13424.3</v>
      </c>
      <c r="CC54" s="9">
        <v>12183.3</v>
      </c>
      <c r="CD54" s="9">
        <v>13279.8</v>
      </c>
      <c r="CE54" s="9">
        <v>11693.4</v>
      </c>
      <c r="CF54" s="9">
        <v>12972.8</v>
      </c>
      <c r="CG54" s="9">
        <v>12658.9</v>
      </c>
      <c r="CH54" s="9">
        <v>12021.9</v>
      </c>
      <c r="CI54" s="9">
        <v>13244</v>
      </c>
      <c r="CJ54" s="9">
        <v>11809.9</v>
      </c>
      <c r="CK54" s="9">
        <v>13487.6</v>
      </c>
      <c r="CL54" s="9">
        <v>12060.1</v>
      </c>
      <c r="CM54" s="9">
        <v>13284</v>
      </c>
      <c r="CN54" s="9">
        <v>12239.1</v>
      </c>
      <c r="CO54" s="9">
        <v>13135.5</v>
      </c>
      <c r="CP54" s="9">
        <v>12365.1</v>
      </c>
      <c r="CQ54" s="9">
        <v>13460.1</v>
      </c>
      <c r="CR54" s="9">
        <v>12237.1</v>
      </c>
      <c r="CS54" s="9">
        <v>12999.6</v>
      </c>
      <c r="CT54" s="9">
        <v>12220.2</v>
      </c>
      <c r="CU54" s="9">
        <v>10748</v>
      </c>
      <c r="CV54" s="9">
        <v>13208</v>
      </c>
      <c r="CW54" s="9">
        <v>12818</v>
      </c>
      <c r="CX54" s="9">
        <v>11895</v>
      </c>
      <c r="CY54" s="9">
        <v>13581.5</v>
      </c>
      <c r="CZ54" s="9">
        <v>13264</v>
      </c>
      <c r="DA54" s="9">
        <v>12410</v>
      </c>
      <c r="DB54" s="9">
        <v>12281</v>
      </c>
      <c r="DC54" s="9">
        <v>13383</v>
      </c>
      <c r="DD54" s="9">
        <v>12108</v>
      </c>
      <c r="DE54" s="9">
        <v>12572.8</v>
      </c>
      <c r="DF54" s="9">
        <v>13501.4</v>
      </c>
      <c r="DG54" s="9">
        <v>12005.4</v>
      </c>
      <c r="DH54" s="9">
        <v>13529.5</v>
      </c>
      <c r="DI54" s="9">
        <v>11995</v>
      </c>
      <c r="DJ54" s="9">
        <v>13283.9</v>
      </c>
      <c r="DK54" s="9">
        <v>12282.9</v>
      </c>
      <c r="DL54" s="9">
        <v>13316.5</v>
      </c>
      <c r="DM54" s="9">
        <v>11620.4</v>
      </c>
      <c r="DN54" s="9">
        <v>13389</v>
      </c>
      <c r="DO54" s="9">
        <v>12166.3</v>
      </c>
      <c r="DP54" s="9">
        <v>13253.8</v>
      </c>
      <c r="DQ54" s="9">
        <v>12101.2</v>
      </c>
      <c r="DR54" s="9">
        <v>13348.6</v>
      </c>
      <c r="DS54" s="9">
        <v>12343.8</v>
      </c>
      <c r="DT54" s="9">
        <v>11971.7</v>
      </c>
      <c r="DU54" s="9">
        <v>13184.4</v>
      </c>
      <c r="DV54" s="9">
        <v>12165.8</v>
      </c>
      <c r="DW54" s="9">
        <v>11932.9</v>
      </c>
      <c r="DX54" s="9">
        <v>13288.6</v>
      </c>
      <c r="DY54" s="9">
        <v>13355.1</v>
      </c>
      <c r="DZ54" s="9">
        <v>13205.8</v>
      </c>
      <c r="EA54" s="9">
        <v>12148</v>
      </c>
      <c r="EB54" s="9">
        <v>13289</v>
      </c>
      <c r="EC54" s="9">
        <v>12009.7</v>
      </c>
      <c r="ED54" s="9">
        <v>13065.3</v>
      </c>
      <c r="EE54" s="9">
        <v>12152</v>
      </c>
      <c r="EF54" s="9">
        <v>12920.7</v>
      </c>
      <c r="EG54" s="9">
        <v>11252.6</v>
      </c>
      <c r="EH54" s="9">
        <v>13069.9</v>
      </c>
      <c r="EI54" s="9">
        <v>12014.9</v>
      </c>
      <c r="EJ54" s="9">
        <v>12235</v>
      </c>
      <c r="EK54" s="9">
        <v>12321.2</v>
      </c>
      <c r="EL54" s="9">
        <v>12061.3</v>
      </c>
      <c r="EM54" s="9">
        <v>10415.700000000001</v>
      </c>
      <c r="EN54" s="9">
        <v>12069</v>
      </c>
      <c r="EO54" s="9">
        <v>10666.9</v>
      </c>
      <c r="EP54" s="9">
        <v>12074.7</v>
      </c>
      <c r="EQ54" s="9">
        <v>12093.4</v>
      </c>
      <c r="ER54" s="9">
        <v>13755.6</v>
      </c>
      <c r="ES54" s="9">
        <v>12353.7</v>
      </c>
      <c r="ET54" s="9">
        <v>13815.6</v>
      </c>
      <c r="EU54" s="9">
        <v>12624.7</v>
      </c>
      <c r="EV54" s="9">
        <v>13721.9</v>
      </c>
      <c r="EW54" s="9">
        <v>12465.9</v>
      </c>
      <c r="EX54" s="9">
        <v>12693.6</v>
      </c>
      <c r="EY54" s="9">
        <v>12376.2</v>
      </c>
      <c r="EZ54" s="9">
        <v>13594.4</v>
      </c>
      <c r="FA54" s="9">
        <v>14035.7</v>
      </c>
      <c r="FB54" s="9">
        <v>13737</v>
      </c>
      <c r="FC54" s="9">
        <v>13663.8</v>
      </c>
      <c r="FD54" s="9">
        <v>13646.9</v>
      </c>
      <c r="FE54" s="9">
        <v>13679.9</v>
      </c>
      <c r="FF54" s="9">
        <v>12749.9</v>
      </c>
      <c r="FG54" s="9">
        <v>13736.4</v>
      </c>
      <c r="FH54" s="9">
        <v>13797.5</v>
      </c>
      <c r="FI54" s="9">
        <v>13809.9</v>
      </c>
      <c r="FJ54" s="9">
        <v>13819.7</v>
      </c>
      <c r="FK54" s="9">
        <v>13758</v>
      </c>
      <c r="FL54" s="9">
        <v>13825.6</v>
      </c>
      <c r="FM54" s="9">
        <v>12717.4</v>
      </c>
      <c r="FN54" s="9">
        <v>13849.3</v>
      </c>
      <c r="FO54" s="9">
        <v>12796.6</v>
      </c>
      <c r="FP54" s="11">
        <v>38.697209908735353</v>
      </c>
      <c r="FQ54" s="11">
        <v>38.403363754889178</v>
      </c>
      <c r="FR54" s="11">
        <v>38.620586701434164</v>
      </c>
      <c r="FS54" s="11">
        <v>38.536544980443267</v>
      </c>
      <c r="FT54" s="11">
        <v>38.19451108213822</v>
      </c>
      <c r="FU54" s="11">
        <v>38.700912646675356</v>
      </c>
      <c r="FV54" s="11">
        <v>0</v>
      </c>
      <c r="FW54" s="11">
        <v>50.8</v>
      </c>
      <c r="FX54" s="11">
        <v>0</v>
      </c>
      <c r="FY54" s="11">
        <v>0</v>
      </c>
      <c r="FZ54" s="11">
        <v>50.7</v>
      </c>
      <c r="GA54" s="11">
        <v>51.1</v>
      </c>
      <c r="GB54" s="11">
        <v>5.8300844941329899</v>
      </c>
      <c r="GC54" s="11">
        <v>5.9339806232072947</v>
      </c>
      <c r="GD54" s="11">
        <v>5.7741457679269947</v>
      </c>
      <c r="GE54" s="11">
        <v>4.5305430722685838</v>
      </c>
      <c r="GF54" s="11">
        <v>5.8465968526727412</v>
      </c>
      <c r="GG54" s="11">
        <v>5.9402756988266008</v>
      </c>
      <c r="GH54" s="11">
        <v>9.4450000000000003</v>
      </c>
      <c r="GI54" s="11">
        <v>10.18333</v>
      </c>
      <c r="GJ54" s="11">
        <v>9.9116660000000003</v>
      </c>
      <c r="GK54" s="11">
        <v>9.8766660000000002</v>
      </c>
      <c r="GL54" s="11">
        <v>9.7216660000000008</v>
      </c>
      <c r="GM54" s="11">
        <v>9.1899990000000003</v>
      </c>
      <c r="GN54" s="11">
        <v>7.6308688333333352</v>
      </c>
      <c r="GO54" s="11">
        <v>7.6777853333333361</v>
      </c>
      <c r="GP54" s="11">
        <v>7.7211809999999961</v>
      </c>
      <c r="GQ54" s="11">
        <v>7.6482523333333354</v>
      </c>
      <c r="GR54" s="11">
        <v>7.6751928333333304</v>
      </c>
      <c r="GS54" s="11">
        <v>7.7275338333333412</v>
      </c>
      <c r="GT54" s="108">
        <v>1.884445999999999</v>
      </c>
      <c r="GU54" s="108">
        <v>1.8002069999999966</v>
      </c>
      <c r="GV54" s="108">
        <v>1.7472105</v>
      </c>
      <c r="GW54" s="108">
        <v>2.0535906666666648</v>
      </c>
      <c r="GX54" s="108">
        <v>2.109273666666668</v>
      </c>
      <c r="GY54" s="108">
        <v>1.6705626666666678</v>
      </c>
      <c r="GZ54" s="13">
        <v>0</v>
      </c>
      <c r="HA54" s="13">
        <v>7.5498056666666562</v>
      </c>
      <c r="HB54" s="13">
        <v>7.4292605000000043</v>
      </c>
      <c r="HC54" s="13">
        <v>0</v>
      </c>
      <c r="HD54" s="13">
        <v>7.4192669999999978</v>
      </c>
      <c r="HE54" s="13">
        <v>7.5001529999999974</v>
      </c>
      <c r="HF54" s="13">
        <v>0.57824899999999946</v>
      </c>
      <c r="HG54" s="13">
        <v>0.64394650000000042</v>
      </c>
      <c r="HH54" s="13">
        <v>0.56762066666666788</v>
      </c>
      <c r="HI54" s="13">
        <v>0.54504716666666653</v>
      </c>
      <c r="HJ54" s="13">
        <v>0.59207849999999984</v>
      </c>
      <c r="HK54" s="13">
        <v>0.59855550000000024</v>
      </c>
      <c r="HL54" s="12">
        <v>0</v>
      </c>
      <c r="HM54" s="12">
        <v>0</v>
      </c>
      <c r="HN54" s="12">
        <v>0</v>
      </c>
      <c r="HO54" s="12">
        <v>0</v>
      </c>
      <c r="HP54" s="12">
        <v>0</v>
      </c>
      <c r="HQ54" s="12">
        <v>0</v>
      </c>
      <c r="HR54" s="12">
        <v>0</v>
      </c>
      <c r="HS54" s="12">
        <v>0</v>
      </c>
      <c r="HT54" s="12">
        <v>0</v>
      </c>
      <c r="HU54" s="12">
        <v>0</v>
      </c>
      <c r="HV54" s="12">
        <v>0</v>
      </c>
      <c r="HW54" s="12">
        <v>0</v>
      </c>
      <c r="HX54" s="9">
        <v>941777</v>
      </c>
      <c r="HY54" s="9">
        <v>1757</v>
      </c>
      <c r="HZ54" s="9">
        <v>928536</v>
      </c>
      <c r="IA54" s="9">
        <v>1784</v>
      </c>
      <c r="IB54" s="11">
        <v>175257.28</v>
      </c>
      <c r="IC54" s="11">
        <v>392.8</v>
      </c>
      <c r="ID54" s="14">
        <f t="shared" ref="ID54:II54" si="494">GN54-HL54</f>
        <v>7.6308688333333352</v>
      </c>
      <c r="IE54" s="14">
        <f t="shared" si="494"/>
        <v>7.6777853333333361</v>
      </c>
      <c r="IF54" s="14">
        <f t="shared" si="494"/>
        <v>7.7211809999999961</v>
      </c>
      <c r="IG54" s="14">
        <f t="shared" si="494"/>
        <v>7.6482523333333354</v>
      </c>
      <c r="IH54" s="14">
        <f t="shared" si="494"/>
        <v>7.6751928333333304</v>
      </c>
      <c r="II54" s="14">
        <f t="shared" si="494"/>
        <v>7.7275338333333412</v>
      </c>
      <c r="IJ54" s="15">
        <f t="shared" ref="IJ54:IO54" si="495">GZ54-HR54</f>
        <v>0</v>
      </c>
      <c r="IK54" s="15">
        <f t="shared" si="495"/>
        <v>7.5498056666666562</v>
      </c>
      <c r="IL54" s="15">
        <f t="shared" si="495"/>
        <v>7.4292605000000043</v>
      </c>
      <c r="IM54" s="15">
        <f t="shared" si="495"/>
        <v>0</v>
      </c>
      <c r="IN54" s="15">
        <f t="shared" si="495"/>
        <v>7.4192669999999978</v>
      </c>
      <c r="IO54" s="15">
        <f t="shared" si="495"/>
        <v>7.5001529999999974</v>
      </c>
      <c r="IP54" s="16">
        <f t="shared" ref="IP54" si="496">(HX54-HX53)*1000</f>
        <v>1028000</v>
      </c>
      <c r="IQ54" s="16">
        <f t="shared" ref="IQ54" si="497">(HY54-HY53)*1000</f>
        <v>1000</v>
      </c>
      <c r="IR54" s="16">
        <f t="shared" ref="IR54" si="498">(HZ54-HZ53)*1000</f>
        <v>1017000</v>
      </c>
      <c r="IS54" s="16">
        <f t="shared" ref="IS54" si="499">(IA54-IA53)*1000</f>
        <v>2000</v>
      </c>
      <c r="IT54" s="16">
        <f t="shared" ref="IT54" si="500">(IB54-IB53)*1000</f>
        <v>2039465.9999999858</v>
      </c>
      <c r="IU54" s="16">
        <f t="shared" ref="IU54" si="501">(IC54-IC53)*1000</f>
        <v>4466.9999999999845</v>
      </c>
      <c r="IV54" s="17">
        <f t="shared" ref="IV54" si="502">(IP54+IR54)-(IQ54+IS54)</f>
        <v>2042000</v>
      </c>
      <c r="IW54" s="17">
        <f t="shared" ref="IW54" si="503">IT54-IU54</f>
        <v>2034998.9999999858</v>
      </c>
      <c r="IX54" s="19">
        <f>(Raw_Data[[#This Row],[Sunset Time (POA&lt;20 W/m2)]]-Raw_Data[[#This Row],[Sunrise Time (POA&gt;20 W/m2)]])*24</f>
        <v>12.983333333333333</v>
      </c>
      <c r="IY54" s="68">
        <f>AVERAGEIF(Raw_Data[[#This Row],[GHI_UP_Net_IS2_W1]:[GHI_UP_Net_IS19_W6]],"&lt;&gt;"&amp;0,Raw_Data[[#This Row],[GHI_UP_Net_IS2_W1]:[GHI_UP_Net_IS19_W6]])</f>
        <v>7.680135694444445</v>
      </c>
      <c r="IZ54" s="68">
        <f>AVERAGEIF(Raw_Data[[#This Row],[GHI_Down_IS2_W1]:[GHI_Down_IS19_W6]],"&lt;&gt;"&amp;0,Raw_Data[[#This Row],[GHI_Down_IS2_W1]:[GHI_Down_IS19_W6]])</f>
        <v>1.8775484166666658</v>
      </c>
      <c r="JA54" s="68">
        <f>AVERAGEIF(Raw_Data[[#This Row],[POA_Up_IS2_W1]:[POA_Up_IS19_W6]],"&lt;&gt;"&amp;0,Raw_Data[[#This Row],[POA_Up_IS2_W1]:[POA_Up_IS19_W6]])</f>
        <v>7.4746215416666644</v>
      </c>
      <c r="JB54" s="68">
        <f>AVERAGEIF(Raw_Data[[#This Row],[POA_Down_IS2_W1]:[POA_Down_IS19_W6]],"&lt;&gt;"&amp;0,Raw_Data[[#This Row],[POA_Down_IS2_W1]:[POA_Down_IS19_W6]])</f>
        <v>0.5875828888888891</v>
      </c>
      <c r="JC54" s="69">
        <f>Raw_Data[[#This Row],[GHI-Down(KWh/m2)]]/Raw_Data[[#This Row],[GHI-UP (KWh/m2)]]</f>
        <v>0.24446813069003742</v>
      </c>
      <c r="JD54" s="72">
        <f>Raw_Data[[#This Row],[POA-Down(KWh/m2)]]/Raw_Data[[#This Row],[POA-UP(KWh/m2)]]</f>
        <v>7.8610386574551841E-2</v>
      </c>
      <c r="JE54" s="68">
        <f>AVERAGEIF(Raw_Data[[#This Row],[Amb_Temp_IS2_W1]:[Amb_Temp_IS19_W6]],"&lt;&gt;"&amp;0,Raw_Data[[#This Row],[Amb_Temp_IS2_W1]:[Amb_Temp_IS19_W6]])</f>
        <v>38.525521512385922</v>
      </c>
      <c r="JF54" s="68">
        <f>AVERAGEIF(Raw_Data[[#This Row],[MT_Temp_IS2_W1]:[MT_Temp_IS19_W6]],"&lt;&gt;"&amp;0,Raw_Data[[#This Row],[MT_Temp_IS2_W1]:[MT_Temp_IS19_W6]])</f>
        <v>50.866666666666667</v>
      </c>
      <c r="JG54" s="68">
        <f>AVERAGEIF(Raw_Data[[#This Row],[WS_Avg_IS2_W1]:[WS_Avg_IS19_W6]],"&lt;&gt;"&amp;0,Raw_Data[[#This Row],[WS_Avg_IS2_W1]:[WS_Avg_IS19_W6]])</f>
        <v>5.6426044181725343</v>
      </c>
      <c r="JH54" s="68">
        <f>AVERAGEIF(Raw_Data[[#This Row],[WS_Max_IS2_W1]:[WS_Max_IS19_W6]],"&lt;&gt;"&amp;0,Raw_Data[[#This Row],[WS_Max_IS2_W1]:[WS_Max_IS19_W6]])</f>
        <v>9.721387833333333</v>
      </c>
      <c r="JI54" s="70">
        <f>SUM(Raw_Data[[#This Row],[IS1_INV1_M1]:[IS20_INV4_M2]])</f>
        <v>2054238.1999999995</v>
      </c>
      <c r="JJ54" s="73">
        <v>2005600.0000000349</v>
      </c>
      <c r="JK54" s="71">
        <v>2440748.9097105535</v>
      </c>
      <c r="JL54" s="143">
        <f>IFERROR(Raw_Data[[#This Row],[WPR_Eac]]/Raw_Data[[#This Row],[WPR_Edc]],"")</f>
        <v>0.82171500395666575</v>
      </c>
      <c r="JM54" s="6">
        <v>38</v>
      </c>
      <c r="JN54" s="6">
        <v>0</v>
      </c>
    </row>
    <row r="55" spans="2:274">
      <c r="B55" s="250">
        <f t="shared" si="21"/>
        <v>45794</v>
      </c>
      <c r="C55" s="9">
        <f>YEAR(Raw_Data[[#This Row],[Date]])+IF(MONTH(Raw_Data[[#This Row],[Date]])&gt;=4,1,0)</f>
        <v>2026</v>
      </c>
      <c r="D55" s="6">
        <f t="shared" si="482"/>
        <v>2025</v>
      </c>
      <c r="E55" s="7" t="s">
        <v>361</v>
      </c>
      <c r="F55" s="7" t="s">
        <v>361</v>
      </c>
      <c r="G55" s="8">
        <v>45778</v>
      </c>
      <c r="H55" s="6">
        <f t="shared" si="483"/>
        <v>31</v>
      </c>
      <c r="I55" s="9">
        <v>335090.89</v>
      </c>
      <c r="J55" s="10">
        <v>0.26180555555555557</v>
      </c>
      <c r="K55" s="10">
        <v>0.80625000000000002</v>
      </c>
      <c r="L55" s="9">
        <v>12589.5</v>
      </c>
      <c r="M55" s="9">
        <v>13151.7</v>
      </c>
      <c r="N55" s="9">
        <v>13108</v>
      </c>
      <c r="O55" s="9">
        <v>13048.2</v>
      </c>
      <c r="P55" s="9">
        <v>13242.5</v>
      </c>
      <c r="Q55" s="9">
        <v>13277</v>
      </c>
      <c r="R55" s="9">
        <v>13298.6</v>
      </c>
      <c r="S55" s="9">
        <v>13659.3</v>
      </c>
      <c r="T55" s="9">
        <v>13162</v>
      </c>
      <c r="U55" s="9">
        <v>13222.2</v>
      </c>
      <c r="V55" s="9">
        <v>12997.4</v>
      </c>
      <c r="W55" s="9">
        <v>13088.8</v>
      </c>
      <c r="X55" s="9">
        <v>13155.1</v>
      </c>
      <c r="Y55" s="9">
        <v>13023.1</v>
      </c>
      <c r="Z55" s="9">
        <v>13211</v>
      </c>
      <c r="AA55" s="9">
        <v>13224.4</v>
      </c>
      <c r="AB55" s="9">
        <v>13121.5</v>
      </c>
      <c r="AC55" s="9">
        <v>13132</v>
      </c>
      <c r="AD55" s="9">
        <v>13149.6</v>
      </c>
      <c r="AE55" s="9">
        <v>13226.2</v>
      </c>
      <c r="AF55" s="9">
        <v>13165.7</v>
      </c>
      <c r="AG55" s="9">
        <v>13171.6</v>
      </c>
      <c r="AH55" s="9">
        <v>12953.2</v>
      </c>
      <c r="AI55" s="9">
        <v>13036.9</v>
      </c>
      <c r="AJ55" s="9">
        <v>12904.5</v>
      </c>
      <c r="AK55" s="9">
        <v>11361.8</v>
      </c>
      <c r="AL55" s="9">
        <v>12871</v>
      </c>
      <c r="AM55" s="9">
        <v>12868.8</v>
      </c>
      <c r="AN55" s="9">
        <v>13169.9</v>
      </c>
      <c r="AO55" s="9">
        <v>13040.3</v>
      </c>
      <c r="AP55" s="9">
        <v>12991.2</v>
      </c>
      <c r="AQ55" s="9">
        <v>13190.9</v>
      </c>
      <c r="AR55" s="9">
        <v>13257.4</v>
      </c>
      <c r="AS55" s="9">
        <v>13266.6</v>
      </c>
      <c r="AT55" s="9">
        <v>13382.2</v>
      </c>
      <c r="AU55" s="9">
        <v>13273.6</v>
      </c>
      <c r="AV55" s="9">
        <v>13258.6</v>
      </c>
      <c r="AW55" s="9">
        <v>13084.7</v>
      </c>
      <c r="AX55" s="9">
        <v>13118.8</v>
      </c>
      <c r="AY55" s="9">
        <v>13090.3</v>
      </c>
      <c r="AZ55" s="9">
        <v>13893.6</v>
      </c>
      <c r="BA55" s="9">
        <v>12843.1</v>
      </c>
      <c r="BB55" s="9">
        <v>13755.4</v>
      </c>
      <c r="BC55" s="9">
        <v>12643.4</v>
      </c>
      <c r="BD55" s="9">
        <v>13327.7</v>
      </c>
      <c r="BE55" s="9">
        <v>14369</v>
      </c>
      <c r="BF55" s="9">
        <v>12661.4</v>
      </c>
      <c r="BG55" s="9">
        <v>13913</v>
      </c>
      <c r="BH55" s="9">
        <v>13262.2</v>
      </c>
      <c r="BI55" s="9">
        <v>13396.2</v>
      </c>
      <c r="BJ55" s="9">
        <v>13247.6</v>
      </c>
      <c r="BK55" s="9">
        <v>12625.9</v>
      </c>
      <c r="BL55" s="9">
        <v>13578.8</v>
      </c>
      <c r="BM55" s="9">
        <v>13426.4</v>
      </c>
      <c r="BN55" s="9">
        <v>13497.3</v>
      </c>
      <c r="BO55" s="9">
        <v>13410.5</v>
      </c>
      <c r="BP55" s="9">
        <v>12159.2</v>
      </c>
      <c r="BQ55" s="9">
        <v>13700.5</v>
      </c>
      <c r="BR55" s="9">
        <v>12181.7</v>
      </c>
      <c r="BS55" s="9">
        <v>13651</v>
      </c>
      <c r="BT55" s="9">
        <v>13520.1</v>
      </c>
      <c r="BU55" s="9">
        <v>12143.3</v>
      </c>
      <c r="BV55" s="9">
        <v>13295.9</v>
      </c>
      <c r="BW55" s="9">
        <v>12753.8</v>
      </c>
      <c r="BX55" s="9">
        <v>12927.8</v>
      </c>
      <c r="BY55" s="9">
        <v>12204.3</v>
      </c>
      <c r="BZ55" s="9">
        <v>12861.9</v>
      </c>
      <c r="CA55" s="9">
        <v>13303.2</v>
      </c>
      <c r="CB55" s="9">
        <v>13582.1</v>
      </c>
      <c r="CC55" s="9">
        <v>12423.9</v>
      </c>
      <c r="CD55" s="9">
        <v>13447.8</v>
      </c>
      <c r="CE55" s="9">
        <v>11931.9</v>
      </c>
      <c r="CF55" s="9">
        <v>13133.5</v>
      </c>
      <c r="CG55" s="9">
        <v>12874.7</v>
      </c>
      <c r="CH55" s="9">
        <v>12250.3</v>
      </c>
      <c r="CI55" s="9">
        <v>13414.4</v>
      </c>
      <c r="CJ55" s="9">
        <v>12036.1</v>
      </c>
      <c r="CK55" s="9">
        <v>13654.4</v>
      </c>
      <c r="CL55" s="9">
        <v>12288</v>
      </c>
      <c r="CM55" s="9">
        <v>13460.9</v>
      </c>
      <c r="CN55" s="9">
        <v>12471.2</v>
      </c>
      <c r="CO55" s="9">
        <v>13303.2</v>
      </c>
      <c r="CP55" s="9">
        <v>12595.5</v>
      </c>
      <c r="CQ55" s="9">
        <v>13657.9</v>
      </c>
      <c r="CR55" s="9">
        <v>12470.2</v>
      </c>
      <c r="CS55" s="9">
        <v>13176.5</v>
      </c>
      <c r="CT55" s="9">
        <v>12437.7</v>
      </c>
      <c r="CU55" s="9">
        <v>10960.2</v>
      </c>
      <c r="CV55" s="9">
        <v>13381</v>
      </c>
      <c r="CW55" s="9">
        <v>12986</v>
      </c>
      <c r="CX55" s="9">
        <v>12114</v>
      </c>
      <c r="CY55" s="9">
        <v>13754</v>
      </c>
      <c r="CZ55" s="9">
        <v>13444</v>
      </c>
      <c r="DA55" s="9">
        <v>12622</v>
      </c>
      <c r="DB55" s="9">
        <v>12495</v>
      </c>
      <c r="DC55" s="9">
        <v>13531</v>
      </c>
      <c r="DD55" s="9">
        <v>12313.8</v>
      </c>
      <c r="DE55" s="9">
        <v>12773</v>
      </c>
      <c r="DF55" s="9">
        <v>13675.7</v>
      </c>
      <c r="DG55" s="9">
        <v>12224.8</v>
      </c>
      <c r="DH55" s="9">
        <v>13701.5</v>
      </c>
      <c r="DI55" s="9">
        <v>12211.1</v>
      </c>
      <c r="DJ55" s="9">
        <v>13434.1</v>
      </c>
      <c r="DK55" s="9">
        <v>12510.1</v>
      </c>
      <c r="DL55" s="9">
        <v>13477.5</v>
      </c>
      <c r="DM55" s="9">
        <v>11835.2</v>
      </c>
      <c r="DN55" s="9">
        <v>13548</v>
      </c>
      <c r="DO55" s="9">
        <v>12397.6</v>
      </c>
      <c r="DP55" s="9">
        <v>13387.4</v>
      </c>
      <c r="DQ55" s="9">
        <v>12307.5</v>
      </c>
      <c r="DR55" s="9">
        <v>13466.9</v>
      </c>
      <c r="DS55" s="9">
        <v>12584.2</v>
      </c>
      <c r="DT55" s="9">
        <v>12209.9</v>
      </c>
      <c r="DU55" s="9">
        <v>13363.4</v>
      </c>
      <c r="DV55" s="9">
        <v>12387</v>
      </c>
      <c r="DW55" s="9">
        <v>12162</v>
      </c>
      <c r="DX55" s="9">
        <v>13461.3</v>
      </c>
      <c r="DY55" s="9">
        <v>13530.5</v>
      </c>
      <c r="DZ55" s="9">
        <v>13353.8</v>
      </c>
      <c r="EA55" s="9">
        <v>12381.3</v>
      </c>
      <c r="EB55" s="9">
        <v>13470.1</v>
      </c>
      <c r="EC55" s="9">
        <v>12242.5</v>
      </c>
      <c r="ED55" s="9">
        <v>13212.8</v>
      </c>
      <c r="EE55" s="9">
        <v>12384.6</v>
      </c>
      <c r="EF55" s="9">
        <v>13068</v>
      </c>
      <c r="EG55" s="9">
        <v>11475.9</v>
      </c>
      <c r="EH55" s="9">
        <v>13230.9</v>
      </c>
      <c r="EI55" s="9">
        <v>12254.1</v>
      </c>
      <c r="EJ55" s="9">
        <v>12477.6</v>
      </c>
      <c r="EK55" s="9">
        <v>12552.3</v>
      </c>
      <c r="EL55" s="9">
        <v>12282.9</v>
      </c>
      <c r="EM55" s="9">
        <v>10623.1</v>
      </c>
      <c r="EN55" s="9">
        <v>12313</v>
      </c>
      <c r="EO55" s="9">
        <v>10897.8</v>
      </c>
      <c r="EP55" s="9">
        <v>12321.1</v>
      </c>
      <c r="EQ55" s="9">
        <v>12343.7</v>
      </c>
      <c r="ER55" s="9">
        <v>13949.3</v>
      </c>
      <c r="ES55" s="9">
        <v>12563.6</v>
      </c>
      <c r="ET55" s="9">
        <v>14004.8</v>
      </c>
      <c r="EU55" s="9">
        <v>12796.5</v>
      </c>
      <c r="EV55" s="9">
        <v>13910.9</v>
      </c>
      <c r="EW55" s="9">
        <v>12653.9</v>
      </c>
      <c r="EX55" s="9">
        <v>12863.1</v>
      </c>
      <c r="EY55" s="9">
        <v>12589.3</v>
      </c>
      <c r="EZ55" s="9">
        <v>13662.2</v>
      </c>
      <c r="FA55" s="9">
        <v>14058.1</v>
      </c>
      <c r="FB55" s="9">
        <v>13928.3</v>
      </c>
      <c r="FC55" s="9">
        <v>13861.6</v>
      </c>
      <c r="FD55" s="9">
        <v>13856.5</v>
      </c>
      <c r="FE55" s="9">
        <v>13890.5</v>
      </c>
      <c r="FF55" s="9">
        <v>12924.7</v>
      </c>
      <c r="FG55" s="9">
        <v>13926.2</v>
      </c>
      <c r="FH55" s="9">
        <v>13976.3</v>
      </c>
      <c r="FI55" s="9">
        <v>13977.5</v>
      </c>
      <c r="FJ55" s="9">
        <v>13986.4</v>
      </c>
      <c r="FK55" s="9">
        <v>13951.1</v>
      </c>
      <c r="FL55" s="9">
        <v>13997.2</v>
      </c>
      <c r="FM55" s="9">
        <v>12894.7</v>
      </c>
      <c r="FN55" s="9">
        <v>14042.1</v>
      </c>
      <c r="FO55" s="9">
        <v>12965.6</v>
      </c>
      <c r="FP55" s="11">
        <v>36.697942708333322</v>
      </c>
      <c r="FQ55" s="11">
        <v>36.459986979166679</v>
      </c>
      <c r="FR55" s="11">
        <v>36.773697916666677</v>
      </c>
      <c r="FS55" s="11">
        <v>36.42207031249999</v>
      </c>
      <c r="FT55" s="11">
        <v>36.144088541666655</v>
      </c>
      <c r="FU55" s="11">
        <v>36.782721354166618</v>
      </c>
      <c r="FV55" s="11">
        <v>0</v>
      </c>
      <c r="FW55" s="11">
        <v>49.2</v>
      </c>
      <c r="FX55" s="11">
        <v>0</v>
      </c>
      <c r="FY55" s="11">
        <v>0</v>
      </c>
      <c r="FZ55" s="11">
        <v>49</v>
      </c>
      <c r="GA55" s="11">
        <v>49.861666666666743</v>
      </c>
      <c r="GB55" s="11">
        <v>5.6086065471354125</v>
      </c>
      <c r="GC55" s="11">
        <v>5.7369224934895868</v>
      </c>
      <c r="GD55" s="11">
        <v>5.5496829304687507</v>
      </c>
      <c r="GE55" s="11">
        <v>4.926462462070309</v>
      </c>
      <c r="GF55" s="11">
        <v>5.4948652226562524</v>
      </c>
      <c r="GG55" s="11">
        <v>5.7471048106770786</v>
      </c>
      <c r="GH55" s="11">
        <v>10.33333</v>
      </c>
      <c r="GI55" s="11">
        <v>9.6233330000000006</v>
      </c>
      <c r="GJ55" s="11">
        <v>11.56667</v>
      </c>
      <c r="GK55" s="11">
        <v>10.08333</v>
      </c>
      <c r="GL55" s="11">
        <v>10.00667</v>
      </c>
      <c r="GM55" s="11">
        <v>9.8249999999999993</v>
      </c>
      <c r="GN55" s="11">
        <v>7.7266093333333368</v>
      </c>
      <c r="GO55" s="11">
        <v>7.7686243333333325</v>
      </c>
      <c r="GP55" s="11">
        <v>7.8407971666666656</v>
      </c>
      <c r="GQ55" s="11">
        <v>7.7418665000000066</v>
      </c>
      <c r="GR55" s="11">
        <v>7.7673278333333293</v>
      </c>
      <c r="GS55" s="11">
        <v>7.8278226666666644</v>
      </c>
      <c r="GT55" s="108">
        <v>1.9068588333333334</v>
      </c>
      <c r="GU55" s="108">
        <v>1.8350069999999978</v>
      </c>
      <c r="GV55" s="108">
        <v>1.7697910000000006</v>
      </c>
      <c r="GW55" s="108">
        <v>2.0852921666666666</v>
      </c>
      <c r="GX55" s="108">
        <v>2.143838000000001</v>
      </c>
      <c r="GY55" s="108">
        <v>1.710821833333332</v>
      </c>
      <c r="GZ55" s="13">
        <v>0</v>
      </c>
      <c r="HA55" s="13">
        <v>7.6232993333333354</v>
      </c>
      <c r="HB55" s="13">
        <v>7.4914781666666661</v>
      </c>
      <c r="HC55" s="13">
        <v>0</v>
      </c>
      <c r="HD55" s="13">
        <v>7.4746974999999987</v>
      </c>
      <c r="HE55" s="13">
        <v>7.5790229999999932</v>
      </c>
      <c r="HF55" s="13">
        <v>0.59519016666666646</v>
      </c>
      <c r="HG55" s="13">
        <v>0.66324683333333256</v>
      </c>
      <c r="HH55" s="13">
        <v>0.58279983333333429</v>
      </c>
      <c r="HI55" s="13">
        <v>0.56379316666666635</v>
      </c>
      <c r="HJ55" s="13">
        <v>0.60826350000000051</v>
      </c>
      <c r="HK55" s="13">
        <v>0.61578999999999906</v>
      </c>
      <c r="HL55" s="12">
        <v>0</v>
      </c>
      <c r="HM55" s="12">
        <v>0</v>
      </c>
      <c r="HN55" s="12">
        <v>0</v>
      </c>
      <c r="HO55" s="12">
        <v>0</v>
      </c>
      <c r="HP55" s="12">
        <v>0</v>
      </c>
      <c r="HQ55" s="12">
        <v>0</v>
      </c>
      <c r="HR55" s="12">
        <v>0</v>
      </c>
      <c r="HS55" s="12">
        <v>0</v>
      </c>
      <c r="HT55" s="12">
        <v>0</v>
      </c>
      <c r="HU55" s="12">
        <v>0</v>
      </c>
      <c r="HV55" s="12">
        <v>0</v>
      </c>
      <c r="HW55" s="12">
        <v>0</v>
      </c>
      <c r="HX55" s="9">
        <v>942819</v>
      </c>
      <c r="HY55" s="9">
        <v>1759</v>
      </c>
      <c r="HZ55" s="9">
        <v>929570</v>
      </c>
      <c r="IA55" s="9">
        <v>1785</v>
      </c>
      <c r="IB55" s="11">
        <v>177326.28099999999</v>
      </c>
      <c r="IC55" s="11">
        <v>397</v>
      </c>
      <c r="ID55" s="14">
        <f t="shared" ref="ID55:II55" si="504">GN55-HL55</f>
        <v>7.7266093333333368</v>
      </c>
      <c r="IE55" s="14">
        <f t="shared" si="504"/>
        <v>7.7686243333333325</v>
      </c>
      <c r="IF55" s="14">
        <f t="shared" si="504"/>
        <v>7.8407971666666656</v>
      </c>
      <c r="IG55" s="14">
        <f t="shared" si="504"/>
        <v>7.7418665000000066</v>
      </c>
      <c r="IH55" s="14">
        <f t="shared" si="504"/>
        <v>7.7673278333333293</v>
      </c>
      <c r="II55" s="14">
        <f t="shared" si="504"/>
        <v>7.8278226666666644</v>
      </c>
      <c r="IJ55" s="15">
        <f t="shared" ref="IJ55:IO55" si="505">GZ55-HR55</f>
        <v>0</v>
      </c>
      <c r="IK55" s="15">
        <f t="shared" si="505"/>
        <v>7.6232993333333354</v>
      </c>
      <c r="IL55" s="15">
        <f t="shared" si="505"/>
        <v>7.4914781666666661</v>
      </c>
      <c r="IM55" s="15">
        <f t="shared" si="505"/>
        <v>0</v>
      </c>
      <c r="IN55" s="15">
        <f t="shared" si="505"/>
        <v>7.4746974999999987</v>
      </c>
      <c r="IO55" s="15">
        <f t="shared" si="505"/>
        <v>7.5790229999999932</v>
      </c>
      <c r="IP55" s="16">
        <f t="shared" ref="IP55" si="506">(HX55-HX54)*1000</f>
        <v>1042000</v>
      </c>
      <c r="IQ55" s="16">
        <f t="shared" ref="IQ55" si="507">(HY55-HY54)*1000</f>
        <v>2000</v>
      </c>
      <c r="IR55" s="16">
        <f t="shared" ref="IR55" si="508">(HZ55-HZ54)*1000</f>
        <v>1034000</v>
      </c>
      <c r="IS55" s="16">
        <f t="shared" ref="IS55" si="509">(IA55-IA54)*1000</f>
        <v>1000</v>
      </c>
      <c r="IT55" s="16">
        <f t="shared" ref="IT55" si="510">(IB55-IB54)*1000</f>
        <v>2069000.9999999893</v>
      </c>
      <c r="IU55" s="16">
        <f t="shared" ref="IU55" si="511">(IC55-IC54)*1000</f>
        <v>4199.9999999999891</v>
      </c>
      <c r="IV55" s="17">
        <f t="shared" ref="IV55" si="512">(IP55+IR55)-(IQ55+IS55)</f>
        <v>2073000</v>
      </c>
      <c r="IW55" s="17">
        <f t="shared" ref="IW55" si="513">IT55-IU55</f>
        <v>2064800.9999999893</v>
      </c>
      <c r="IX55" s="19">
        <f>(Raw_Data[[#This Row],[Sunset Time (POA&lt;20 W/m2)]]-Raw_Data[[#This Row],[Sunrise Time (POA&gt;20 W/m2)]])*24</f>
        <v>13.066666666666668</v>
      </c>
      <c r="IY55" s="68">
        <f>AVERAGEIF(Raw_Data[[#This Row],[GHI_UP_Net_IS2_W1]:[GHI_UP_Net_IS19_W6]],"&lt;&gt;"&amp;0,Raw_Data[[#This Row],[GHI_UP_Net_IS2_W1]:[GHI_UP_Net_IS19_W6]])</f>
        <v>7.7788413055555559</v>
      </c>
      <c r="IZ55" s="68">
        <f>AVERAGEIF(Raw_Data[[#This Row],[GHI_Down_IS2_W1]:[GHI_Down_IS19_W6]],"&lt;&gt;"&amp;0,Raw_Data[[#This Row],[GHI_Down_IS2_W1]:[GHI_Down_IS19_W6]])</f>
        <v>1.908601472222222</v>
      </c>
      <c r="JA55" s="68">
        <f>AVERAGEIF(Raw_Data[[#This Row],[POA_Up_IS2_W1]:[POA_Up_IS19_W6]],"&lt;&gt;"&amp;0,Raw_Data[[#This Row],[POA_Up_IS2_W1]:[POA_Up_IS19_W6]])</f>
        <v>7.5421244999999981</v>
      </c>
      <c r="JB55" s="68">
        <f>AVERAGEIF(Raw_Data[[#This Row],[POA_Down_IS2_W1]:[POA_Down_IS19_W6]],"&lt;&gt;"&amp;0,Raw_Data[[#This Row],[POA_Down_IS2_W1]:[POA_Down_IS19_W6]])</f>
        <v>0.60484724999999984</v>
      </c>
      <c r="JC55" s="69">
        <f>Raw_Data[[#This Row],[GHI-Down(KWh/m2)]]/Raw_Data[[#This Row],[GHI-UP (KWh/m2)]]</f>
        <v>0.24535806777021169</v>
      </c>
      <c r="JD55" s="72">
        <f>Raw_Data[[#This Row],[POA-Down(KWh/m2)]]/Raw_Data[[#This Row],[POA-UP(KWh/m2)]]</f>
        <v>8.019587186607699E-2</v>
      </c>
      <c r="JE55" s="68">
        <f>AVERAGEIF(Raw_Data[[#This Row],[Amb_Temp_IS2_W1]:[Amb_Temp_IS19_W6]],"&lt;&gt;"&amp;0,Raw_Data[[#This Row],[Amb_Temp_IS2_W1]:[Amb_Temp_IS19_W6]])</f>
        <v>36.546751302083329</v>
      </c>
      <c r="JF55" s="68">
        <f>AVERAGEIF(Raw_Data[[#This Row],[MT_Temp_IS2_W1]:[MT_Temp_IS19_W6]],"&lt;&gt;"&amp;0,Raw_Data[[#This Row],[MT_Temp_IS2_W1]:[MT_Temp_IS19_W6]])</f>
        <v>49.353888888888918</v>
      </c>
      <c r="JG55" s="68">
        <f>AVERAGEIF(Raw_Data[[#This Row],[WS_Avg_IS2_W1]:[WS_Avg_IS19_W6]],"&lt;&gt;"&amp;0,Raw_Data[[#This Row],[WS_Avg_IS2_W1]:[WS_Avg_IS19_W6]])</f>
        <v>5.5106074110828978</v>
      </c>
      <c r="JH55" s="68">
        <f>AVERAGEIF(Raw_Data[[#This Row],[WS_Max_IS2_W1]:[WS_Max_IS19_W6]],"&lt;&gt;"&amp;0,Raw_Data[[#This Row],[WS_Max_IS2_W1]:[WS_Max_IS19_W6]])</f>
        <v>10.239722166666667</v>
      </c>
      <c r="JI55" s="70">
        <f>SUM(Raw_Data[[#This Row],[IS1_INV1_M1]:[IS20_INV4_M2]])</f>
        <v>2083076.1000000008</v>
      </c>
      <c r="JJ55" s="73">
        <v>2019600.0000000058</v>
      </c>
      <c r="JK55" s="71">
        <v>2465353.7001542468</v>
      </c>
      <c r="JL55" s="143">
        <f>IFERROR(Raw_Data[[#This Row],[WPR_Eac]]/Raw_Data[[#This Row],[WPR_Edc]],"")</f>
        <v>0.81919279974863157</v>
      </c>
      <c r="JM55" s="6">
        <v>30</v>
      </c>
      <c r="JN55" s="6">
        <v>0</v>
      </c>
    </row>
    <row r="56" spans="2:274">
      <c r="B56" s="250">
        <f t="shared" si="21"/>
        <v>45795</v>
      </c>
      <c r="C56" s="9">
        <f>YEAR(Raw_Data[[#This Row],[Date]])+IF(MONTH(Raw_Data[[#This Row],[Date]])&gt;=4,1,0)</f>
        <v>2026</v>
      </c>
      <c r="D56" s="6">
        <f t="shared" si="482"/>
        <v>2025</v>
      </c>
      <c r="E56" s="7" t="s">
        <v>361</v>
      </c>
      <c r="F56" s="7" t="s">
        <v>361</v>
      </c>
      <c r="G56" s="8">
        <v>45778</v>
      </c>
      <c r="H56" s="6">
        <f t="shared" si="483"/>
        <v>31</v>
      </c>
      <c r="I56" s="9">
        <v>335090.89</v>
      </c>
      <c r="J56" s="10">
        <v>0.26319444444444445</v>
      </c>
      <c r="K56" s="10">
        <v>0.80694444444444446</v>
      </c>
      <c r="L56" s="9">
        <v>12135.6</v>
      </c>
      <c r="M56" s="9">
        <v>12641.3</v>
      </c>
      <c r="N56" s="9">
        <v>12596.2</v>
      </c>
      <c r="O56" s="9">
        <v>12523.7</v>
      </c>
      <c r="P56" s="9">
        <v>12726.9</v>
      </c>
      <c r="Q56" s="9">
        <v>12750.3</v>
      </c>
      <c r="R56" s="9">
        <v>12779.1</v>
      </c>
      <c r="S56" s="9">
        <v>13113.5</v>
      </c>
      <c r="T56" s="9">
        <v>12653.2</v>
      </c>
      <c r="U56" s="9">
        <v>12694.7</v>
      </c>
      <c r="V56" s="9">
        <v>12501.5</v>
      </c>
      <c r="W56" s="9">
        <v>12581.5</v>
      </c>
      <c r="X56" s="9">
        <v>12650.4</v>
      </c>
      <c r="Y56" s="9">
        <v>12519.8</v>
      </c>
      <c r="Z56" s="9">
        <v>12706.5</v>
      </c>
      <c r="AA56" s="9">
        <v>12713</v>
      </c>
      <c r="AB56" s="9">
        <v>12612.9</v>
      </c>
      <c r="AC56" s="9">
        <v>12617.5</v>
      </c>
      <c r="AD56" s="9">
        <v>12641</v>
      </c>
      <c r="AE56" s="9">
        <v>12716.3</v>
      </c>
      <c r="AF56" s="9">
        <v>12653.6</v>
      </c>
      <c r="AG56" s="9">
        <v>12660.1</v>
      </c>
      <c r="AH56" s="9">
        <v>12465.3</v>
      </c>
      <c r="AI56" s="9">
        <v>12539</v>
      </c>
      <c r="AJ56" s="9">
        <v>12411.2</v>
      </c>
      <c r="AK56" s="9">
        <v>11169.7</v>
      </c>
      <c r="AL56" s="9">
        <v>12381.1</v>
      </c>
      <c r="AM56" s="9">
        <v>12377.1</v>
      </c>
      <c r="AN56" s="9">
        <v>12650.2</v>
      </c>
      <c r="AO56" s="9">
        <v>12536.5</v>
      </c>
      <c r="AP56" s="9">
        <v>12496.7</v>
      </c>
      <c r="AQ56" s="9">
        <v>12672.5</v>
      </c>
      <c r="AR56" s="9">
        <v>13091</v>
      </c>
      <c r="AS56" s="9">
        <v>13095</v>
      </c>
      <c r="AT56" s="9">
        <v>13213</v>
      </c>
      <c r="AU56" s="9">
        <v>13100.7</v>
      </c>
      <c r="AV56" s="9">
        <v>12725.9</v>
      </c>
      <c r="AW56" s="9">
        <v>12568.3</v>
      </c>
      <c r="AX56" s="9">
        <v>12513.1</v>
      </c>
      <c r="AY56" s="9">
        <v>12569.3</v>
      </c>
      <c r="AZ56" s="9">
        <v>13330.6</v>
      </c>
      <c r="BA56" s="9">
        <v>12357</v>
      </c>
      <c r="BB56" s="9">
        <v>13194.1</v>
      </c>
      <c r="BC56" s="9">
        <v>12190.4</v>
      </c>
      <c r="BD56" s="9">
        <v>12745</v>
      </c>
      <c r="BE56" s="9">
        <v>13777.9</v>
      </c>
      <c r="BF56" s="9">
        <v>12188.1</v>
      </c>
      <c r="BG56" s="9">
        <v>13352.9</v>
      </c>
      <c r="BH56" s="9">
        <v>12737.3</v>
      </c>
      <c r="BI56" s="9">
        <v>12863.2</v>
      </c>
      <c r="BJ56" s="9">
        <v>12736.7</v>
      </c>
      <c r="BK56" s="9">
        <v>12189.2</v>
      </c>
      <c r="BL56" s="9">
        <v>13031</v>
      </c>
      <c r="BM56" s="9">
        <v>12895.3</v>
      </c>
      <c r="BN56" s="9">
        <v>12963.8</v>
      </c>
      <c r="BO56" s="9">
        <v>12882.2</v>
      </c>
      <c r="BP56" s="9">
        <v>11830.6</v>
      </c>
      <c r="BQ56" s="9">
        <v>13144.6</v>
      </c>
      <c r="BR56" s="9">
        <v>11878.8</v>
      </c>
      <c r="BS56" s="9">
        <v>13101.7</v>
      </c>
      <c r="BT56" s="9">
        <v>12973</v>
      </c>
      <c r="BU56" s="9">
        <v>11821.6</v>
      </c>
      <c r="BV56" s="9">
        <v>12687.5</v>
      </c>
      <c r="BW56" s="9">
        <v>12260.5</v>
      </c>
      <c r="BX56" s="9">
        <v>12450.5</v>
      </c>
      <c r="BY56" s="9">
        <v>11853</v>
      </c>
      <c r="BZ56" s="9">
        <v>12381.3</v>
      </c>
      <c r="CA56" s="9">
        <v>12767.7</v>
      </c>
      <c r="CB56" s="9">
        <v>12938.4</v>
      </c>
      <c r="CC56" s="9">
        <v>12009.7</v>
      </c>
      <c r="CD56" s="9">
        <v>12902.7</v>
      </c>
      <c r="CE56" s="9">
        <v>11662.7</v>
      </c>
      <c r="CF56" s="9">
        <v>12581.3</v>
      </c>
      <c r="CG56" s="9">
        <v>12389.5</v>
      </c>
      <c r="CH56" s="9">
        <v>11889.1</v>
      </c>
      <c r="CI56" s="9">
        <v>12872.8</v>
      </c>
      <c r="CJ56" s="9">
        <v>11733.5</v>
      </c>
      <c r="CK56" s="9">
        <v>13101.4</v>
      </c>
      <c r="CL56" s="9">
        <v>11934.4</v>
      </c>
      <c r="CM56" s="9">
        <v>12922.7</v>
      </c>
      <c r="CN56" s="9">
        <v>12053.1</v>
      </c>
      <c r="CO56" s="9">
        <v>12771.8</v>
      </c>
      <c r="CP56" s="9">
        <v>12145.5</v>
      </c>
      <c r="CQ56" s="9">
        <v>13102.7</v>
      </c>
      <c r="CR56" s="9">
        <v>12052.8</v>
      </c>
      <c r="CS56" s="9">
        <v>12660.4</v>
      </c>
      <c r="CT56" s="9">
        <v>12028.2</v>
      </c>
      <c r="CU56" s="9">
        <v>10797.2</v>
      </c>
      <c r="CV56" s="9">
        <v>12858</v>
      </c>
      <c r="CW56" s="9">
        <v>12493</v>
      </c>
      <c r="CX56" s="9">
        <v>11797</v>
      </c>
      <c r="CY56" s="9">
        <v>13206</v>
      </c>
      <c r="CZ56" s="9">
        <v>12902</v>
      </c>
      <c r="DA56" s="9">
        <v>12181</v>
      </c>
      <c r="DB56" s="9">
        <v>12071</v>
      </c>
      <c r="DC56" s="9">
        <v>12982</v>
      </c>
      <c r="DD56" s="9">
        <v>11960.5</v>
      </c>
      <c r="DE56" s="9">
        <v>12306.6</v>
      </c>
      <c r="DF56" s="9">
        <v>13130.3</v>
      </c>
      <c r="DG56" s="9">
        <v>11869.6</v>
      </c>
      <c r="DH56" s="9">
        <v>13157.9</v>
      </c>
      <c r="DI56" s="9">
        <v>11822.4</v>
      </c>
      <c r="DJ56" s="9">
        <v>12914.9</v>
      </c>
      <c r="DK56" s="9">
        <v>12094.8</v>
      </c>
      <c r="DL56" s="9">
        <v>12941.7</v>
      </c>
      <c r="DM56" s="9">
        <v>11582.6</v>
      </c>
      <c r="DN56" s="9">
        <v>13006.1</v>
      </c>
      <c r="DO56" s="9">
        <v>12005.8</v>
      </c>
      <c r="DP56" s="9">
        <v>12867.1</v>
      </c>
      <c r="DQ56" s="9">
        <v>11963.5</v>
      </c>
      <c r="DR56" s="9">
        <v>12938.2</v>
      </c>
      <c r="DS56" s="9">
        <v>12181.1</v>
      </c>
      <c r="DT56" s="9">
        <v>11865.3</v>
      </c>
      <c r="DU56" s="9">
        <v>12836.7</v>
      </c>
      <c r="DV56" s="9">
        <v>12016.4</v>
      </c>
      <c r="DW56" s="9">
        <v>11845</v>
      </c>
      <c r="DX56" s="9">
        <v>12930.7</v>
      </c>
      <c r="DY56" s="9">
        <v>12988.6</v>
      </c>
      <c r="DZ56" s="9">
        <v>12841.6</v>
      </c>
      <c r="EA56" s="9">
        <v>12018.5</v>
      </c>
      <c r="EB56" s="9">
        <v>12927.3</v>
      </c>
      <c r="EC56" s="9">
        <v>11894.4</v>
      </c>
      <c r="ED56" s="9">
        <v>12704.7</v>
      </c>
      <c r="EE56" s="9">
        <v>12004</v>
      </c>
      <c r="EF56" s="9">
        <v>12585.9</v>
      </c>
      <c r="EG56" s="9">
        <v>11295.6</v>
      </c>
      <c r="EH56" s="9">
        <v>12719.4</v>
      </c>
      <c r="EI56" s="9">
        <v>11927.5</v>
      </c>
      <c r="EJ56" s="9">
        <v>12078.8</v>
      </c>
      <c r="EK56" s="9">
        <v>12120.2</v>
      </c>
      <c r="EL56" s="9">
        <v>11931.6</v>
      </c>
      <c r="EM56" s="9">
        <v>10462.6</v>
      </c>
      <c r="EN56" s="9">
        <v>11949.2</v>
      </c>
      <c r="EO56" s="9">
        <v>10765.6</v>
      </c>
      <c r="EP56" s="9">
        <v>11971.2</v>
      </c>
      <c r="EQ56" s="9">
        <v>11983.4</v>
      </c>
      <c r="ER56" s="9">
        <v>13395.1</v>
      </c>
      <c r="ES56" s="9">
        <v>12122.1</v>
      </c>
      <c r="ET56" s="9">
        <v>13447.5</v>
      </c>
      <c r="EU56" s="9">
        <v>12326.4</v>
      </c>
      <c r="EV56" s="9">
        <v>13355.4</v>
      </c>
      <c r="EW56" s="9">
        <v>12191.5</v>
      </c>
      <c r="EX56" s="9">
        <v>12375.7</v>
      </c>
      <c r="EY56" s="9">
        <v>12150.4</v>
      </c>
      <c r="EZ56" s="9">
        <v>13124.6</v>
      </c>
      <c r="FA56" s="9">
        <v>13502.9</v>
      </c>
      <c r="FB56" s="9">
        <v>13373.3</v>
      </c>
      <c r="FC56" s="9">
        <v>13306.5</v>
      </c>
      <c r="FD56" s="9">
        <v>13298.9</v>
      </c>
      <c r="FE56" s="9">
        <v>13334.8</v>
      </c>
      <c r="FF56" s="9">
        <v>12441.2</v>
      </c>
      <c r="FG56" s="9">
        <v>13372.8</v>
      </c>
      <c r="FH56" s="9">
        <v>13417.3</v>
      </c>
      <c r="FI56" s="9">
        <v>13414.5</v>
      </c>
      <c r="FJ56" s="9">
        <v>13430.3</v>
      </c>
      <c r="FK56" s="9">
        <v>13400</v>
      </c>
      <c r="FL56" s="9">
        <v>13437.7</v>
      </c>
      <c r="FM56" s="9">
        <v>12404.8</v>
      </c>
      <c r="FN56" s="9">
        <v>13482.6</v>
      </c>
      <c r="FO56" s="9">
        <v>12472</v>
      </c>
      <c r="FP56" s="11">
        <v>37.159882964889441</v>
      </c>
      <c r="FQ56" s="11">
        <v>36.849752925877745</v>
      </c>
      <c r="FR56" s="11">
        <v>37.052717815344636</v>
      </c>
      <c r="FS56" s="11">
        <v>36.910156046814052</v>
      </c>
      <c r="FT56" s="11">
        <v>36.610741222366656</v>
      </c>
      <c r="FU56" s="11">
        <v>37.19293888166451</v>
      </c>
      <c r="FV56" s="11">
        <v>0</v>
      </c>
      <c r="FW56" s="11">
        <v>49</v>
      </c>
      <c r="FX56" s="11">
        <v>0</v>
      </c>
      <c r="FY56" s="11">
        <v>0</v>
      </c>
      <c r="FZ56" s="11">
        <v>48.8</v>
      </c>
      <c r="GA56" s="11">
        <v>49.1</v>
      </c>
      <c r="GB56" s="11">
        <v>6.9645293810143007</v>
      </c>
      <c r="GC56" s="11">
        <v>7.0435432756827128</v>
      </c>
      <c r="GD56" s="11">
        <v>6.8992606944083255</v>
      </c>
      <c r="GE56" s="11">
        <v>6.7604331883875082</v>
      </c>
      <c r="GF56" s="11">
        <v>6.7722212249674865</v>
      </c>
      <c r="GG56" s="11">
        <v>7.0574249609882935</v>
      </c>
      <c r="GH56" s="11">
        <v>11.598330000000001</v>
      </c>
      <c r="GI56" s="11">
        <v>10.813330000000001</v>
      </c>
      <c r="GJ56" s="11">
        <v>11.65667</v>
      </c>
      <c r="GK56" s="11">
        <v>11.188330000000001</v>
      </c>
      <c r="GL56" s="11">
        <v>11.275</v>
      </c>
      <c r="GM56" s="11">
        <v>11.59333</v>
      </c>
      <c r="GN56" s="11">
        <v>7.5926708333333295</v>
      </c>
      <c r="GO56" s="11">
        <v>7.6131841666666666</v>
      </c>
      <c r="GP56" s="11">
        <v>7.6877598333333337</v>
      </c>
      <c r="GQ56" s="11">
        <v>7.6051571666666682</v>
      </c>
      <c r="GR56" s="11">
        <v>7.626400666666667</v>
      </c>
      <c r="GS56" s="11">
        <v>7.7596599999999984</v>
      </c>
      <c r="GT56" s="108">
        <v>1.879515166666665</v>
      </c>
      <c r="GU56" s="108">
        <v>1.7994959999999987</v>
      </c>
      <c r="GV56" s="108">
        <v>1.7406338333333331</v>
      </c>
      <c r="GW56" s="108">
        <v>2.0569963333333328</v>
      </c>
      <c r="GX56" s="108">
        <v>2.1114109999999995</v>
      </c>
      <c r="GY56" s="108">
        <v>1.697823166666667</v>
      </c>
      <c r="GZ56" s="13">
        <v>0</v>
      </c>
      <c r="HA56" s="13">
        <v>7.4736944999999952</v>
      </c>
      <c r="HB56" s="13">
        <v>7.3751953333333233</v>
      </c>
      <c r="HC56" s="13">
        <v>0</v>
      </c>
      <c r="HD56" s="13">
        <v>7.3357011666666674</v>
      </c>
      <c r="HE56" s="13">
        <v>7.5124633333333364</v>
      </c>
      <c r="HF56" s="13">
        <v>0.59202516666666649</v>
      </c>
      <c r="HG56" s="13">
        <v>0.65968383333333358</v>
      </c>
      <c r="HH56" s="13">
        <v>0.57999166666666679</v>
      </c>
      <c r="HI56" s="13">
        <v>0.56177283333333272</v>
      </c>
      <c r="HJ56" s="13">
        <v>0.60478216666666629</v>
      </c>
      <c r="HK56" s="13">
        <v>0.6150150000000002</v>
      </c>
      <c r="HL56" s="12">
        <v>0</v>
      </c>
      <c r="HM56" s="12">
        <v>0</v>
      </c>
      <c r="HN56" s="12">
        <v>0</v>
      </c>
      <c r="HO56" s="12">
        <v>0</v>
      </c>
      <c r="HP56" s="12">
        <v>0</v>
      </c>
      <c r="HQ56" s="12">
        <v>0</v>
      </c>
      <c r="HR56" s="12">
        <v>0</v>
      </c>
      <c r="HS56" s="12">
        <v>0</v>
      </c>
      <c r="HT56" s="12">
        <v>0</v>
      </c>
      <c r="HU56" s="12">
        <v>0</v>
      </c>
      <c r="HV56" s="12">
        <v>0</v>
      </c>
      <c r="HW56" s="12">
        <v>0</v>
      </c>
      <c r="HX56" s="9">
        <v>943823</v>
      </c>
      <c r="HY56" s="9">
        <v>1760</v>
      </c>
      <c r="HZ56" s="9">
        <v>930566</v>
      </c>
      <c r="IA56" s="9">
        <v>1787</v>
      </c>
      <c r="IB56" s="11">
        <v>179321.88099999999</v>
      </c>
      <c r="IC56" s="11">
        <v>401.2</v>
      </c>
      <c r="ID56" s="14">
        <f t="shared" ref="ID56:II56" si="514">GN56-HL56</f>
        <v>7.5926708333333295</v>
      </c>
      <c r="IE56" s="14">
        <f t="shared" si="514"/>
        <v>7.6131841666666666</v>
      </c>
      <c r="IF56" s="14">
        <f t="shared" si="514"/>
        <v>7.6877598333333337</v>
      </c>
      <c r="IG56" s="14">
        <f t="shared" si="514"/>
        <v>7.6051571666666682</v>
      </c>
      <c r="IH56" s="14">
        <f t="shared" si="514"/>
        <v>7.626400666666667</v>
      </c>
      <c r="II56" s="14">
        <f t="shared" si="514"/>
        <v>7.7596599999999984</v>
      </c>
      <c r="IJ56" s="15">
        <f t="shared" ref="IJ56:IO56" si="515">GZ56-HR56</f>
        <v>0</v>
      </c>
      <c r="IK56" s="15">
        <f t="shared" si="515"/>
        <v>7.4736944999999952</v>
      </c>
      <c r="IL56" s="15">
        <f t="shared" si="515"/>
        <v>7.3751953333333233</v>
      </c>
      <c r="IM56" s="15">
        <f t="shared" si="515"/>
        <v>0</v>
      </c>
      <c r="IN56" s="15">
        <f t="shared" si="515"/>
        <v>7.3357011666666674</v>
      </c>
      <c r="IO56" s="15">
        <f t="shared" si="515"/>
        <v>7.5124633333333364</v>
      </c>
      <c r="IP56" s="16">
        <f t="shared" ref="IP56" si="516">(HX56-HX55)*1000</f>
        <v>1004000</v>
      </c>
      <c r="IQ56" s="16">
        <f t="shared" ref="IQ56" si="517">(HY56-HY55)*1000</f>
        <v>1000</v>
      </c>
      <c r="IR56" s="16">
        <f t="shared" ref="IR56" si="518">(HZ56-HZ55)*1000</f>
        <v>996000</v>
      </c>
      <c r="IS56" s="16">
        <f t="shared" ref="IS56" si="519">(IA56-IA55)*1000</f>
        <v>2000</v>
      </c>
      <c r="IT56" s="16">
        <f t="shared" ref="IT56" si="520">(IB56-IB55)*1000</f>
        <v>1995600.0000000058</v>
      </c>
      <c r="IU56" s="16">
        <f t="shared" ref="IU56" si="521">(IC56-IC55)*1000</f>
        <v>4199.9999999999891</v>
      </c>
      <c r="IV56" s="17">
        <f t="shared" ref="IV56" si="522">(IP56+IR56)-(IQ56+IS56)</f>
        <v>1997000</v>
      </c>
      <c r="IW56" s="17">
        <f t="shared" ref="IW56" si="523">IT56-IU56</f>
        <v>1991400.0000000058</v>
      </c>
      <c r="IX56" s="19">
        <f>(Raw_Data[[#This Row],[Sunset Time (POA&lt;20 W/m2)]]-Raw_Data[[#This Row],[Sunrise Time (POA&gt;20 W/m2)]])*24</f>
        <v>13.049999999999999</v>
      </c>
      <c r="IY56" s="68">
        <f>AVERAGEIF(Raw_Data[[#This Row],[GHI_UP_Net_IS2_W1]:[GHI_UP_Net_IS19_W6]],"&lt;&gt;"&amp;0,Raw_Data[[#This Row],[GHI_UP_Net_IS2_W1]:[GHI_UP_Net_IS19_W6]])</f>
        <v>7.6474721111111101</v>
      </c>
      <c r="IZ56" s="68">
        <f>AVERAGEIF(Raw_Data[[#This Row],[GHI_Down_IS2_W1]:[GHI_Down_IS19_W6]],"&lt;&gt;"&amp;0,Raw_Data[[#This Row],[GHI_Down_IS2_W1]:[GHI_Down_IS19_W6]])</f>
        <v>1.8809792499999995</v>
      </c>
      <c r="JA56" s="68">
        <f>AVERAGEIF(Raw_Data[[#This Row],[POA_Up_IS2_W1]:[POA_Up_IS19_W6]],"&lt;&gt;"&amp;0,Raw_Data[[#This Row],[POA_Up_IS2_W1]:[POA_Up_IS19_W6]])</f>
        <v>7.4242635833333308</v>
      </c>
      <c r="JB56" s="68">
        <f>AVERAGEIF(Raw_Data[[#This Row],[POA_Down_IS2_W1]:[POA_Down_IS19_W6]],"&lt;&gt;"&amp;0,Raw_Data[[#This Row],[POA_Down_IS2_W1]:[POA_Down_IS19_W6]])</f>
        <v>0.60221177777777768</v>
      </c>
      <c r="JC56" s="69">
        <f>Raw_Data[[#This Row],[GHI-Down(KWh/m2)]]/Raw_Data[[#This Row],[GHI-UP (KWh/m2)]]</f>
        <v>0.24596091658406974</v>
      </c>
      <c r="JD56" s="72">
        <f>Raw_Data[[#This Row],[POA-Down(KWh/m2)]]/Raw_Data[[#This Row],[POA-UP(KWh/m2)]]</f>
        <v>8.1114008280858726E-2</v>
      </c>
      <c r="JE56" s="68">
        <f>AVERAGEIF(Raw_Data[[#This Row],[Amb_Temp_IS2_W1]:[Amb_Temp_IS19_W6]],"&lt;&gt;"&amp;0,Raw_Data[[#This Row],[Amb_Temp_IS2_W1]:[Amb_Temp_IS19_W6]])</f>
        <v>36.962698309492836</v>
      </c>
      <c r="JF56" s="68">
        <f>AVERAGEIF(Raw_Data[[#This Row],[MT_Temp_IS2_W1]:[MT_Temp_IS19_W6]],"&lt;&gt;"&amp;0,Raw_Data[[#This Row],[MT_Temp_IS2_W1]:[MT_Temp_IS19_W6]])</f>
        <v>48.966666666666669</v>
      </c>
      <c r="JG56" s="68">
        <f>AVERAGEIF(Raw_Data[[#This Row],[WS_Avg_IS2_W1]:[WS_Avg_IS19_W6]],"&lt;&gt;"&amp;0,Raw_Data[[#This Row],[WS_Avg_IS2_W1]:[WS_Avg_IS19_W6]])</f>
        <v>6.9162354542414377</v>
      </c>
      <c r="JH56" s="68">
        <f>AVERAGEIF(Raw_Data[[#This Row],[WS_Max_IS2_W1]:[WS_Max_IS19_W6]],"&lt;&gt;"&amp;0,Raw_Data[[#This Row],[WS_Max_IS2_W1]:[WS_Max_IS19_W6]])</f>
        <v>11.354165</v>
      </c>
      <c r="JI56" s="70">
        <f>SUM(Raw_Data[[#This Row],[IS1_INV1_M1]:[IS20_INV4_M2]])</f>
        <v>2008375.2</v>
      </c>
      <c r="JJ56" s="73">
        <v>1993489.5774999792</v>
      </c>
      <c r="JK56" s="71">
        <v>2438965.6707225712</v>
      </c>
      <c r="JL56" s="143">
        <f>IFERROR(Raw_Data[[#This Row],[WPR_Eac]]/Raw_Data[[#This Row],[WPR_Edc]],"")</f>
        <v>0.81735040448904117</v>
      </c>
      <c r="JM56" s="6">
        <v>29</v>
      </c>
      <c r="JN56" s="6">
        <v>0</v>
      </c>
    </row>
    <row r="57" spans="2:274">
      <c r="B57" s="250">
        <f t="shared" si="21"/>
        <v>45796</v>
      </c>
      <c r="C57" s="9">
        <f>YEAR(Raw_Data[[#This Row],[Date]])+IF(MONTH(Raw_Data[[#This Row],[Date]])&gt;=4,1,0)</f>
        <v>2026</v>
      </c>
      <c r="D57" s="6">
        <f t="shared" si="482"/>
        <v>2025</v>
      </c>
      <c r="E57" s="7" t="s">
        <v>361</v>
      </c>
      <c r="F57" s="7" t="s">
        <v>361</v>
      </c>
      <c r="G57" s="8">
        <v>45778</v>
      </c>
      <c r="H57" s="6">
        <f t="shared" si="483"/>
        <v>31</v>
      </c>
      <c r="I57" s="9">
        <v>335090.89</v>
      </c>
      <c r="J57" s="10">
        <v>0.26180555555555557</v>
      </c>
      <c r="K57" s="10">
        <v>0.80763888888888891</v>
      </c>
      <c r="L57" s="9">
        <v>12007</v>
      </c>
      <c r="M57" s="9">
        <v>12408</v>
      </c>
      <c r="N57" s="9">
        <v>12358.2</v>
      </c>
      <c r="O57" s="9">
        <v>12327.1</v>
      </c>
      <c r="P57" s="9">
        <v>12456.2</v>
      </c>
      <c r="Q57" s="9">
        <v>12476.4</v>
      </c>
      <c r="R57" s="9">
        <v>12508.8</v>
      </c>
      <c r="S57" s="9">
        <v>12769.2</v>
      </c>
      <c r="T57" s="9">
        <v>12411.6</v>
      </c>
      <c r="U57" s="9">
        <v>12435.2</v>
      </c>
      <c r="V57" s="9">
        <v>12289.8</v>
      </c>
      <c r="W57" s="9">
        <v>12358.4</v>
      </c>
      <c r="X57" s="9">
        <v>12416.8</v>
      </c>
      <c r="Y57" s="9">
        <v>12297.4</v>
      </c>
      <c r="Z57" s="9">
        <v>12475.5</v>
      </c>
      <c r="AA57" s="9">
        <v>12478.5</v>
      </c>
      <c r="AB57" s="9">
        <v>12380.4</v>
      </c>
      <c r="AC57" s="9">
        <v>12378.7</v>
      </c>
      <c r="AD57" s="9">
        <v>12396.6</v>
      </c>
      <c r="AE57" s="9">
        <v>12490</v>
      </c>
      <c r="AF57" s="9">
        <v>12409.9</v>
      </c>
      <c r="AG57" s="9">
        <v>12433.4</v>
      </c>
      <c r="AH57" s="9">
        <v>12284.7</v>
      </c>
      <c r="AI57" s="9">
        <v>12340</v>
      </c>
      <c r="AJ57" s="9">
        <v>12184.2</v>
      </c>
      <c r="AK57" s="9">
        <v>11206.6</v>
      </c>
      <c r="AL57" s="9">
        <v>12206.3</v>
      </c>
      <c r="AM57" s="9">
        <v>12196.2</v>
      </c>
      <c r="AN57" s="9">
        <v>12413.9</v>
      </c>
      <c r="AO57" s="9">
        <v>12313.8</v>
      </c>
      <c r="AP57" s="9">
        <v>12298.8</v>
      </c>
      <c r="AQ57" s="9">
        <v>12401.3</v>
      </c>
      <c r="AR57" s="9">
        <v>13170.6</v>
      </c>
      <c r="AS57" s="9">
        <v>13170.7</v>
      </c>
      <c r="AT57" s="9">
        <v>13293.2</v>
      </c>
      <c r="AU57" s="9">
        <v>13177.1</v>
      </c>
      <c r="AV57" s="9">
        <v>12480.3</v>
      </c>
      <c r="AW57" s="9">
        <v>12354</v>
      </c>
      <c r="AX57" s="9">
        <v>12242.9</v>
      </c>
      <c r="AY57" s="9">
        <v>12346.5</v>
      </c>
      <c r="AZ57" s="9">
        <v>12957.7</v>
      </c>
      <c r="BA57" s="9">
        <v>12215.7</v>
      </c>
      <c r="BB57" s="9">
        <v>12836</v>
      </c>
      <c r="BC57" s="9">
        <v>12089</v>
      </c>
      <c r="BD57" s="9">
        <v>12463.5</v>
      </c>
      <c r="BE57" s="9">
        <v>13332.5</v>
      </c>
      <c r="BF57" s="9">
        <v>12073.9</v>
      </c>
      <c r="BG57" s="9">
        <v>12974.1</v>
      </c>
      <c r="BH57" s="9">
        <v>12503.6</v>
      </c>
      <c r="BI57" s="9">
        <v>12605.3</v>
      </c>
      <c r="BJ57" s="9">
        <v>12503.1</v>
      </c>
      <c r="BK57" s="9">
        <v>12083.2</v>
      </c>
      <c r="BL57" s="9">
        <v>12738.7</v>
      </c>
      <c r="BM57" s="9">
        <v>12613.5</v>
      </c>
      <c r="BN57" s="9">
        <v>12677</v>
      </c>
      <c r="BO57" s="9">
        <v>12607.2</v>
      </c>
      <c r="BP57" s="9">
        <v>11798.7</v>
      </c>
      <c r="BQ57" s="9">
        <v>12823.3</v>
      </c>
      <c r="BR57" s="9">
        <v>11855.7</v>
      </c>
      <c r="BS57" s="9">
        <v>12794.5</v>
      </c>
      <c r="BT57" s="9">
        <v>12692</v>
      </c>
      <c r="BU57" s="9">
        <v>11790</v>
      </c>
      <c r="BV57" s="9">
        <v>12427.4</v>
      </c>
      <c r="BW57" s="9">
        <v>12124.1</v>
      </c>
      <c r="BX57" s="9">
        <v>12265.3</v>
      </c>
      <c r="BY57" s="9">
        <v>11801.5</v>
      </c>
      <c r="BZ57" s="9">
        <v>12225.4</v>
      </c>
      <c r="CA57" s="9">
        <v>12515.4</v>
      </c>
      <c r="CB57" s="9">
        <v>12615.9</v>
      </c>
      <c r="CC57" s="9">
        <v>11929.7</v>
      </c>
      <c r="CD57" s="9">
        <v>12613.3</v>
      </c>
      <c r="CE57" s="9">
        <v>11647.4</v>
      </c>
      <c r="CF57" s="9">
        <v>12356.1</v>
      </c>
      <c r="CG57" s="9">
        <v>12283.5</v>
      </c>
      <c r="CH57" s="9">
        <v>11839.1</v>
      </c>
      <c r="CI57" s="9">
        <v>12585.3</v>
      </c>
      <c r="CJ57" s="9">
        <v>11702.7</v>
      </c>
      <c r="CK57" s="9">
        <v>12762.2</v>
      </c>
      <c r="CL57" s="9">
        <v>11870.3</v>
      </c>
      <c r="CM57" s="9">
        <v>12625.7</v>
      </c>
      <c r="CN57" s="9">
        <v>11973</v>
      </c>
      <c r="CO57" s="9">
        <v>12521.9</v>
      </c>
      <c r="CP57" s="9">
        <v>12045.3</v>
      </c>
      <c r="CQ57" s="9">
        <v>12776.1</v>
      </c>
      <c r="CR57" s="9">
        <v>11970.1</v>
      </c>
      <c r="CS57" s="9">
        <v>12435</v>
      </c>
      <c r="CT57" s="9">
        <v>11924.8</v>
      </c>
      <c r="CU57" s="9">
        <v>10834.6</v>
      </c>
      <c r="CV57" s="9">
        <v>12586</v>
      </c>
      <c r="CW57" s="9">
        <v>12292.1</v>
      </c>
      <c r="CX57" s="9">
        <v>11760.4</v>
      </c>
      <c r="CY57" s="9">
        <v>12860.2</v>
      </c>
      <c r="CZ57" s="9">
        <v>12628.9</v>
      </c>
      <c r="DA57" s="9">
        <v>12089.8</v>
      </c>
      <c r="DB57" s="9">
        <v>11983.1</v>
      </c>
      <c r="DC57" s="9">
        <v>12667.2</v>
      </c>
      <c r="DD57" s="9">
        <v>11896.8</v>
      </c>
      <c r="DE57" s="9">
        <v>12174.2</v>
      </c>
      <c r="DF57" s="9">
        <v>12803.4</v>
      </c>
      <c r="DG57" s="9">
        <v>11815</v>
      </c>
      <c r="DH57" s="9">
        <v>12824.8</v>
      </c>
      <c r="DI57" s="9">
        <v>11761.2</v>
      </c>
      <c r="DJ57" s="9">
        <v>12648.4</v>
      </c>
      <c r="DK57" s="9">
        <v>12032</v>
      </c>
      <c r="DL57" s="9">
        <v>12638.7</v>
      </c>
      <c r="DM57" s="9">
        <v>11575.6</v>
      </c>
      <c r="DN57" s="9">
        <v>12706.6</v>
      </c>
      <c r="DO57" s="9">
        <v>11929.2</v>
      </c>
      <c r="DP57" s="9">
        <v>12607.8</v>
      </c>
      <c r="DQ57" s="9">
        <v>11896.3</v>
      </c>
      <c r="DR57" s="9">
        <v>12649.1</v>
      </c>
      <c r="DS57" s="9">
        <v>12096.4</v>
      </c>
      <c r="DT57" s="9">
        <v>11812</v>
      </c>
      <c r="DU57" s="9">
        <v>12565.3</v>
      </c>
      <c r="DV57" s="9">
        <v>11943.6</v>
      </c>
      <c r="DW57" s="9">
        <v>11805.9</v>
      </c>
      <c r="DX57" s="9">
        <v>12640.5</v>
      </c>
      <c r="DY57" s="9">
        <v>12690.2</v>
      </c>
      <c r="DZ57" s="9">
        <v>12567.3</v>
      </c>
      <c r="EA57" s="9">
        <v>11954.1</v>
      </c>
      <c r="EB57" s="9">
        <v>12636.8</v>
      </c>
      <c r="EC57" s="9">
        <v>11842.1</v>
      </c>
      <c r="ED57" s="9">
        <v>12463.3</v>
      </c>
      <c r="EE57" s="9">
        <v>11934.5</v>
      </c>
      <c r="EF57" s="9">
        <v>12367.1</v>
      </c>
      <c r="EG57" s="9">
        <v>11330.5</v>
      </c>
      <c r="EH57" s="9">
        <v>12486.4</v>
      </c>
      <c r="EI57" s="9">
        <v>11888.1</v>
      </c>
      <c r="EJ57" s="9">
        <v>12014.3</v>
      </c>
      <c r="EK57" s="9">
        <v>12038.5</v>
      </c>
      <c r="EL57" s="9">
        <v>11897.8</v>
      </c>
      <c r="EM57" s="9">
        <v>10525</v>
      </c>
      <c r="EN57" s="9">
        <v>11886.3</v>
      </c>
      <c r="EO57" s="9">
        <v>10807.2</v>
      </c>
      <c r="EP57" s="9">
        <v>11910</v>
      </c>
      <c r="EQ57" s="9">
        <v>11923.3</v>
      </c>
      <c r="ER57" s="9">
        <v>12988.1</v>
      </c>
      <c r="ES57" s="9">
        <v>12001</v>
      </c>
      <c r="ET57" s="9">
        <v>13046.3</v>
      </c>
      <c r="EU57" s="9">
        <v>12177.7</v>
      </c>
      <c r="EV57" s="9">
        <v>12964.1</v>
      </c>
      <c r="EW57" s="9">
        <v>12068</v>
      </c>
      <c r="EX57" s="9">
        <v>12200.8</v>
      </c>
      <c r="EY57" s="9">
        <v>12042.4</v>
      </c>
      <c r="EZ57" s="9">
        <v>12788.8</v>
      </c>
      <c r="FA57" s="9">
        <v>13046.6</v>
      </c>
      <c r="FB57" s="9">
        <v>13016.3</v>
      </c>
      <c r="FC57" s="9">
        <v>12956.3</v>
      </c>
      <c r="FD57" s="9">
        <v>12948.1</v>
      </c>
      <c r="FE57" s="9">
        <v>12967.5</v>
      </c>
      <c r="FF57" s="9">
        <v>12276.2</v>
      </c>
      <c r="FG57" s="9">
        <v>12960.7</v>
      </c>
      <c r="FH57" s="9">
        <v>13038.6</v>
      </c>
      <c r="FI57" s="9">
        <v>13026.4</v>
      </c>
      <c r="FJ57" s="9">
        <v>12996.5</v>
      </c>
      <c r="FK57" s="9">
        <v>12991.1</v>
      </c>
      <c r="FL57" s="9">
        <v>13053.7</v>
      </c>
      <c r="FM57" s="9">
        <v>12256.9</v>
      </c>
      <c r="FN57" s="9">
        <v>13100.5</v>
      </c>
      <c r="FO57" s="9">
        <v>12307.7</v>
      </c>
      <c r="FP57" s="11">
        <v>38.594565499351518</v>
      </c>
      <c r="FQ57" s="11">
        <v>38.29037613488979</v>
      </c>
      <c r="FR57" s="11">
        <v>38.433968871595361</v>
      </c>
      <c r="FS57" s="11">
        <v>38.343035019455314</v>
      </c>
      <c r="FT57" s="11">
        <v>38.070129701686113</v>
      </c>
      <c r="FU57" s="11">
        <v>38.567613488975333</v>
      </c>
      <c r="FV57" s="11">
        <v>0</v>
      </c>
      <c r="FW57" s="11">
        <v>49.9</v>
      </c>
      <c r="FX57" s="11">
        <v>0</v>
      </c>
      <c r="FY57" s="11">
        <v>0</v>
      </c>
      <c r="FZ57" s="11">
        <v>49.8</v>
      </c>
      <c r="GA57" s="11">
        <v>50.1</v>
      </c>
      <c r="GB57" s="11">
        <v>7.1797857509727656</v>
      </c>
      <c r="GC57" s="11">
        <v>7.3280909546044093</v>
      </c>
      <c r="GD57" s="11">
        <v>7.0904753086900136</v>
      </c>
      <c r="GE57" s="11">
        <v>6.9359616446173851</v>
      </c>
      <c r="GF57" s="11">
        <v>6.9458146679636865</v>
      </c>
      <c r="GG57" s="11">
        <v>7.1274597872892302</v>
      </c>
      <c r="GH57" s="11">
        <v>11.05167</v>
      </c>
      <c r="GI57" s="11">
        <v>11.338329999999999</v>
      </c>
      <c r="GJ57" s="11">
        <v>11.29833</v>
      </c>
      <c r="GK57" s="11">
        <v>11.164999999999999</v>
      </c>
      <c r="GL57" s="11">
        <v>10.69167</v>
      </c>
      <c r="GM57" s="11">
        <v>11.475</v>
      </c>
      <c r="GN57" s="11">
        <v>7.6651925000000025</v>
      </c>
      <c r="GO57" s="11">
        <v>7.683622499999994</v>
      </c>
      <c r="GP57" s="11">
        <v>7.7702598333333297</v>
      </c>
      <c r="GQ57" s="11">
        <v>7.6536038166666662</v>
      </c>
      <c r="GR57" s="11">
        <v>7.6979473333333317</v>
      </c>
      <c r="GS57" s="11">
        <v>7.8231860000000024</v>
      </c>
      <c r="GT57" s="108">
        <v>1.9288069999999991</v>
      </c>
      <c r="GU57" s="108">
        <v>1.8275573333333346</v>
      </c>
      <c r="GV57" s="108">
        <v>1.7861293333333328</v>
      </c>
      <c r="GW57" s="108">
        <v>2.1077118333333331</v>
      </c>
      <c r="GX57" s="108">
        <v>2.1473429999999998</v>
      </c>
      <c r="GY57" s="108">
        <v>1.7213276666666668</v>
      </c>
      <c r="GZ57" s="13">
        <v>0</v>
      </c>
      <c r="HA57" s="13">
        <v>7.5345701666666667</v>
      </c>
      <c r="HB57" s="13">
        <v>7.4483490000000039</v>
      </c>
      <c r="HC57" s="13">
        <v>0</v>
      </c>
      <c r="HD57" s="13">
        <v>7.4002728333333332</v>
      </c>
      <c r="HE57" s="13">
        <v>7.5610016666666535</v>
      </c>
      <c r="HF57" s="13">
        <v>0.60162266666666564</v>
      </c>
      <c r="HG57" s="13">
        <v>0.67240333333333302</v>
      </c>
      <c r="HH57" s="13">
        <v>0.59320600000000023</v>
      </c>
      <c r="HI57" s="13">
        <v>0.57244833333333334</v>
      </c>
      <c r="HJ57" s="13">
        <v>0.61998316666666664</v>
      </c>
      <c r="HK57" s="13">
        <v>0.62583483333333401</v>
      </c>
      <c r="HL57" s="12">
        <v>0</v>
      </c>
      <c r="HM57" s="12">
        <v>0</v>
      </c>
      <c r="HN57" s="12">
        <v>0</v>
      </c>
      <c r="HO57" s="12">
        <v>0</v>
      </c>
      <c r="HP57" s="12">
        <v>0</v>
      </c>
      <c r="HQ57" s="12">
        <v>0</v>
      </c>
      <c r="HR57" s="12">
        <v>0</v>
      </c>
      <c r="HS57" s="12">
        <v>0</v>
      </c>
      <c r="HT57" s="12">
        <v>0</v>
      </c>
      <c r="HU57" s="12">
        <v>0</v>
      </c>
      <c r="HV57" s="12">
        <v>0</v>
      </c>
      <c r="HW57" s="12">
        <v>0</v>
      </c>
      <c r="HX57" s="9">
        <v>944810</v>
      </c>
      <c r="HY57" s="9">
        <v>1762</v>
      </c>
      <c r="HZ57" s="9">
        <v>931547</v>
      </c>
      <c r="IA57" s="9">
        <v>1788</v>
      </c>
      <c r="IB57" s="11">
        <v>181286.147</v>
      </c>
      <c r="IC57" s="11">
        <v>405.33300000000003</v>
      </c>
      <c r="ID57" s="14">
        <f t="shared" ref="ID57:II57" si="524">GN57-HL57</f>
        <v>7.6651925000000025</v>
      </c>
      <c r="IE57" s="14">
        <f t="shared" si="524"/>
        <v>7.683622499999994</v>
      </c>
      <c r="IF57" s="14">
        <f t="shared" si="524"/>
        <v>7.7702598333333297</v>
      </c>
      <c r="IG57" s="14">
        <f t="shared" si="524"/>
        <v>7.6536038166666662</v>
      </c>
      <c r="IH57" s="14">
        <f t="shared" si="524"/>
        <v>7.6979473333333317</v>
      </c>
      <c r="II57" s="14">
        <f t="shared" si="524"/>
        <v>7.8231860000000024</v>
      </c>
      <c r="IJ57" s="15">
        <f t="shared" ref="IJ57:IO57" si="525">GZ57-HR57</f>
        <v>0</v>
      </c>
      <c r="IK57" s="15">
        <f t="shared" si="525"/>
        <v>7.5345701666666667</v>
      </c>
      <c r="IL57" s="15">
        <f t="shared" si="525"/>
        <v>7.4483490000000039</v>
      </c>
      <c r="IM57" s="15">
        <f t="shared" si="525"/>
        <v>0</v>
      </c>
      <c r="IN57" s="15">
        <f t="shared" si="525"/>
        <v>7.4002728333333332</v>
      </c>
      <c r="IO57" s="15">
        <f t="shared" si="525"/>
        <v>7.5610016666666535</v>
      </c>
      <c r="IP57" s="16">
        <f t="shared" ref="IP57" si="526">(HX57-HX56)*1000</f>
        <v>987000</v>
      </c>
      <c r="IQ57" s="16">
        <f t="shared" ref="IQ57" si="527">(HY57-HY56)*1000</f>
        <v>2000</v>
      </c>
      <c r="IR57" s="16">
        <f t="shared" ref="IR57" si="528">(HZ57-HZ56)*1000</f>
        <v>981000</v>
      </c>
      <c r="IS57" s="16">
        <f t="shared" ref="IS57" si="529">(IA57-IA56)*1000</f>
        <v>1000</v>
      </c>
      <c r="IT57" s="16">
        <f t="shared" ref="IT57" si="530">(IB57-IB56)*1000</f>
        <v>1964266.0000000033</v>
      </c>
      <c r="IU57" s="16">
        <f t="shared" ref="IU57" si="531">(IC57-IC56)*1000</f>
        <v>4133.0000000000382</v>
      </c>
      <c r="IV57" s="17">
        <f t="shared" ref="IV57" si="532">(IP57+IR57)-(IQ57+IS57)</f>
        <v>1965000</v>
      </c>
      <c r="IW57" s="17">
        <f t="shared" ref="IW57" si="533">IT57-IU57</f>
        <v>1960133.0000000033</v>
      </c>
      <c r="IX57" s="19">
        <f>(Raw_Data[[#This Row],[Sunset Time (POA&lt;20 W/m2)]]-Raw_Data[[#This Row],[Sunrise Time (POA&gt;20 W/m2)]])*24</f>
        <v>13.100000000000001</v>
      </c>
      <c r="IY57" s="68">
        <f>AVERAGEIF(Raw_Data[[#This Row],[GHI_UP_Net_IS2_W1]:[GHI_UP_Net_IS19_W6]],"&lt;&gt;"&amp;0,Raw_Data[[#This Row],[GHI_UP_Net_IS2_W1]:[GHI_UP_Net_IS19_W6]])</f>
        <v>7.7156353305555534</v>
      </c>
      <c r="IZ57" s="68">
        <f>AVERAGEIF(Raw_Data[[#This Row],[GHI_Down_IS2_W1]:[GHI_Down_IS19_W6]],"&lt;&gt;"&amp;0,Raw_Data[[#This Row],[GHI_Down_IS2_W1]:[GHI_Down_IS19_W6]])</f>
        <v>1.9198126944444445</v>
      </c>
      <c r="JA57" s="68">
        <f>AVERAGEIF(Raw_Data[[#This Row],[POA_Up_IS2_W1]:[POA_Up_IS19_W6]],"&lt;&gt;"&amp;0,Raw_Data[[#This Row],[POA_Up_IS2_W1]:[POA_Up_IS19_W6]])</f>
        <v>7.4860484166666641</v>
      </c>
      <c r="JB57" s="68">
        <f>AVERAGEIF(Raw_Data[[#This Row],[POA_Down_IS2_W1]:[POA_Down_IS19_W6]],"&lt;&gt;"&amp;0,Raw_Data[[#This Row],[POA_Down_IS2_W1]:[POA_Down_IS19_W6]])</f>
        <v>0.61424972222222218</v>
      </c>
      <c r="JC57" s="69">
        <f>Raw_Data[[#This Row],[GHI-Down(KWh/m2)]]/Raw_Data[[#This Row],[GHI-UP (KWh/m2)]]</f>
        <v>0.24882107722763655</v>
      </c>
      <c r="JD57" s="72">
        <f>Raw_Data[[#This Row],[POA-Down(KWh/m2)]]/Raw_Data[[#This Row],[POA-UP(KWh/m2)]]</f>
        <v>8.2052598117677025E-2</v>
      </c>
      <c r="JE57" s="68">
        <f>AVERAGEIF(Raw_Data[[#This Row],[Amb_Temp_IS2_W1]:[Amb_Temp_IS19_W6]],"&lt;&gt;"&amp;0,Raw_Data[[#This Row],[Amb_Temp_IS2_W1]:[Amb_Temp_IS19_W6]])</f>
        <v>38.383281452658899</v>
      </c>
      <c r="JF57" s="68">
        <f>AVERAGEIF(Raw_Data[[#This Row],[MT_Temp_IS2_W1]:[MT_Temp_IS19_W6]],"&lt;&gt;"&amp;0,Raw_Data[[#This Row],[MT_Temp_IS2_W1]:[MT_Temp_IS19_W6]])</f>
        <v>49.93333333333333</v>
      </c>
      <c r="JG57" s="68">
        <f>AVERAGEIF(Raw_Data[[#This Row],[WS_Avg_IS2_W1]:[WS_Avg_IS19_W6]],"&lt;&gt;"&amp;0,Raw_Data[[#This Row],[WS_Avg_IS2_W1]:[WS_Avg_IS19_W6]])</f>
        <v>7.101264685689582</v>
      </c>
      <c r="JH57" s="68">
        <f>AVERAGEIF(Raw_Data[[#This Row],[WS_Max_IS2_W1]:[WS_Max_IS19_W6]],"&lt;&gt;"&amp;0,Raw_Data[[#This Row],[WS_Max_IS2_W1]:[WS_Max_IS19_W6]])</f>
        <v>11.17</v>
      </c>
      <c r="JI57" s="70">
        <f>SUM(Raw_Data[[#This Row],[IS1_INV1_M1]:[IS20_INV4_M2]])</f>
        <v>1976817.1000000008</v>
      </c>
      <c r="JJ57" s="73">
        <v>2007922.3500000159</v>
      </c>
      <c r="JK57" s="71">
        <v>2446054.3413881371</v>
      </c>
      <c r="JL57" s="143">
        <f>IFERROR(Raw_Data[[#This Row],[WPR_Eac]]/Raw_Data[[#This Row],[WPR_Edc]],"")</f>
        <v>0.82088215131824049</v>
      </c>
      <c r="JM57" s="6">
        <v>24</v>
      </c>
      <c r="JN57" s="6">
        <v>0</v>
      </c>
    </row>
    <row r="58" spans="2:274">
      <c r="B58" s="250">
        <f t="shared" si="21"/>
        <v>45797</v>
      </c>
      <c r="C58" s="9">
        <f>YEAR(Raw_Data[[#This Row],[Date]])+IF(MONTH(Raw_Data[[#This Row],[Date]])&gt;=4,1,0)</f>
        <v>2026</v>
      </c>
      <c r="D58" s="6">
        <f t="shared" si="482"/>
        <v>2025</v>
      </c>
      <c r="E58" s="7" t="s">
        <v>361</v>
      </c>
      <c r="F58" s="7" t="s">
        <v>361</v>
      </c>
      <c r="G58" s="8">
        <v>45778</v>
      </c>
      <c r="H58" s="6">
        <f t="shared" si="483"/>
        <v>31</v>
      </c>
      <c r="I58" s="9">
        <v>335090.89</v>
      </c>
      <c r="J58" s="10">
        <v>0.26250000000000001</v>
      </c>
      <c r="K58" s="10">
        <v>0.80833333333333335</v>
      </c>
      <c r="L58" s="9">
        <v>12296</v>
      </c>
      <c r="M58" s="9">
        <v>12947</v>
      </c>
      <c r="N58" s="9">
        <v>12905.5</v>
      </c>
      <c r="O58" s="9">
        <v>12824.2</v>
      </c>
      <c r="P58" s="9">
        <v>13026</v>
      </c>
      <c r="Q58" s="9">
        <v>13053.3</v>
      </c>
      <c r="R58" s="9">
        <v>13111.8</v>
      </c>
      <c r="S58" s="9">
        <v>13474.2</v>
      </c>
      <c r="T58" s="9">
        <v>12959.7</v>
      </c>
      <c r="U58" s="9">
        <v>12995.9</v>
      </c>
      <c r="V58" s="9">
        <v>12774.5</v>
      </c>
      <c r="W58" s="9">
        <v>12884.7</v>
      </c>
      <c r="X58" s="9">
        <v>12912.4</v>
      </c>
      <c r="Y58" s="9">
        <v>12806.4</v>
      </c>
      <c r="Z58" s="9">
        <v>12999</v>
      </c>
      <c r="AA58" s="9">
        <v>13013.5</v>
      </c>
      <c r="AB58" s="9">
        <v>12920.6</v>
      </c>
      <c r="AC58" s="9">
        <v>12883</v>
      </c>
      <c r="AD58" s="9">
        <v>12932.2</v>
      </c>
      <c r="AE58" s="9">
        <v>13010.1</v>
      </c>
      <c r="AF58" s="9">
        <v>12966.6</v>
      </c>
      <c r="AG58" s="9">
        <v>12954.3</v>
      </c>
      <c r="AH58" s="9">
        <v>12704.1</v>
      </c>
      <c r="AI58" s="9">
        <v>12814.2</v>
      </c>
      <c r="AJ58" s="9">
        <v>12535.2</v>
      </c>
      <c r="AK58" s="9">
        <v>11085.3</v>
      </c>
      <c r="AL58" s="9">
        <v>12624.7</v>
      </c>
      <c r="AM58" s="9">
        <v>12621.6</v>
      </c>
      <c r="AN58" s="9">
        <v>12956.8</v>
      </c>
      <c r="AO58" s="9">
        <v>12831.5</v>
      </c>
      <c r="AP58" s="9">
        <v>12757.3</v>
      </c>
      <c r="AQ58" s="9">
        <v>12925</v>
      </c>
      <c r="AR58" s="9">
        <v>12990.6</v>
      </c>
      <c r="AS58" s="9">
        <v>12992</v>
      </c>
      <c r="AT58" s="9">
        <v>13103.2</v>
      </c>
      <c r="AU58" s="9">
        <v>12987.6</v>
      </c>
      <c r="AV58" s="9">
        <v>13069</v>
      </c>
      <c r="AW58" s="9">
        <v>12891.6</v>
      </c>
      <c r="AX58" s="9">
        <v>12724.9</v>
      </c>
      <c r="AY58" s="9">
        <v>12891.4</v>
      </c>
      <c r="AZ58" s="9">
        <v>13726.4</v>
      </c>
      <c r="BA58" s="9">
        <v>12578.1</v>
      </c>
      <c r="BB58" s="9">
        <v>13603.2</v>
      </c>
      <c r="BC58" s="9">
        <v>12350.8</v>
      </c>
      <c r="BD58" s="9">
        <v>12895.3</v>
      </c>
      <c r="BE58" s="9">
        <v>14087.2</v>
      </c>
      <c r="BF58" s="9">
        <v>12378.9</v>
      </c>
      <c r="BG58" s="9">
        <v>13744</v>
      </c>
      <c r="BH58" s="9">
        <v>13056.3</v>
      </c>
      <c r="BI58" s="9">
        <v>13193.5</v>
      </c>
      <c r="BJ58" s="9">
        <v>13036.3</v>
      </c>
      <c r="BK58" s="9">
        <v>12325.9</v>
      </c>
      <c r="BL58" s="9">
        <v>13379.9</v>
      </c>
      <c r="BM58" s="9">
        <v>13233.1</v>
      </c>
      <c r="BN58" s="9">
        <v>13313</v>
      </c>
      <c r="BO58" s="9">
        <v>13212.1</v>
      </c>
      <c r="BP58" s="9">
        <v>11861.6</v>
      </c>
      <c r="BQ58" s="9">
        <v>13524.1</v>
      </c>
      <c r="BR58" s="9">
        <v>11880.8</v>
      </c>
      <c r="BS58" s="9">
        <v>13471.5</v>
      </c>
      <c r="BT58" s="9">
        <v>13328.4</v>
      </c>
      <c r="BU58" s="9">
        <v>11847.3</v>
      </c>
      <c r="BV58" s="9">
        <v>12978.2</v>
      </c>
      <c r="BW58" s="9">
        <v>12489</v>
      </c>
      <c r="BX58" s="9">
        <v>12674.1</v>
      </c>
      <c r="BY58" s="9">
        <v>11886.6</v>
      </c>
      <c r="BZ58" s="9">
        <v>12593.7</v>
      </c>
      <c r="CA58" s="9">
        <v>13105.4</v>
      </c>
      <c r="CB58" s="9">
        <v>13265.5</v>
      </c>
      <c r="CC58" s="9">
        <v>12119.1</v>
      </c>
      <c r="CD58" s="9">
        <v>13255.9</v>
      </c>
      <c r="CE58" s="9">
        <v>11632.8</v>
      </c>
      <c r="CF58" s="9">
        <v>12836.8</v>
      </c>
      <c r="CG58" s="9">
        <v>12695.2</v>
      </c>
      <c r="CH58" s="9">
        <v>11938</v>
      </c>
      <c r="CI58" s="9">
        <v>13233</v>
      </c>
      <c r="CJ58" s="9">
        <v>11723.4</v>
      </c>
      <c r="CK58" s="9">
        <v>13478.2</v>
      </c>
      <c r="CL58" s="9">
        <v>11965.3</v>
      </c>
      <c r="CM58" s="9">
        <v>13265.2</v>
      </c>
      <c r="CN58" s="9">
        <v>12168.1</v>
      </c>
      <c r="CO58" s="9">
        <v>13114</v>
      </c>
      <c r="CP58" s="9">
        <v>12299.7</v>
      </c>
      <c r="CQ58" s="9">
        <v>13475.6</v>
      </c>
      <c r="CR58" s="9">
        <v>12171.3</v>
      </c>
      <c r="CS58" s="9">
        <v>12961.5</v>
      </c>
      <c r="CT58" s="9">
        <v>12159.3</v>
      </c>
      <c r="CU58" s="9">
        <v>10692.9</v>
      </c>
      <c r="CV58" s="9">
        <v>13200</v>
      </c>
      <c r="CW58" s="9">
        <v>12767.1</v>
      </c>
      <c r="CX58" s="9">
        <v>11816.7</v>
      </c>
      <c r="CY58" s="9">
        <v>13576.2</v>
      </c>
      <c r="CZ58" s="9">
        <v>13257.5</v>
      </c>
      <c r="DA58" s="9">
        <v>12331.7</v>
      </c>
      <c r="DB58" s="9">
        <v>12197.6</v>
      </c>
      <c r="DC58" s="9">
        <v>13335.9</v>
      </c>
      <c r="DD58" s="9">
        <v>12017.4</v>
      </c>
      <c r="DE58" s="9">
        <v>12489.4</v>
      </c>
      <c r="DF58" s="9">
        <v>13498.2</v>
      </c>
      <c r="DG58" s="9">
        <v>11930.8</v>
      </c>
      <c r="DH58" s="9">
        <v>13523.1</v>
      </c>
      <c r="DI58" s="9">
        <v>11813.9</v>
      </c>
      <c r="DJ58" s="9">
        <v>13238.8</v>
      </c>
      <c r="DK58" s="9">
        <v>12187</v>
      </c>
      <c r="DL58" s="9">
        <v>13305.2</v>
      </c>
      <c r="DM58" s="9">
        <v>11543.1</v>
      </c>
      <c r="DN58" s="9">
        <v>13366</v>
      </c>
      <c r="DO58" s="9">
        <v>12091</v>
      </c>
      <c r="DP58" s="9">
        <v>13194.4</v>
      </c>
      <c r="DQ58" s="9">
        <v>12012</v>
      </c>
      <c r="DR58" s="9">
        <v>13285.4</v>
      </c>
      <c r="DS58" s="9">
        <v>12275.3</v>
      </c>
      <c r="DT58" s="9">
        <v>11929.6</v>
      </c>
      <c r="DU58" s="9">
        <v>13189.5</v>
      </c>
      <c r="DV58" s="9">
        <v>12120.1</v>
      </c>
      <c r="DW58" s="9">
        <v>11870.4</v>
      </c>
      <c r="DX58" s="9">
        <v>13290.1</v>
      </c>
      <c r="DY58" s="9">
        <v>13358.8</v>
      </c>
      <c r="DZ58" s="9">
        <v>13185.7</v>
      </c>
      <c r="EA58" s="9">
        <v>12103.6</v>
      </c>
      <c r="EB58" s="9">
        <v>13293.4</v>
      </c>
      <c r="EC58" s="9">
        <v>11952.9</v>
      </c>
      <c r="ED58" s="9">
        <v>13020.7</v>
      </c>
      <c r="EE58" s="9">
        <v>12081.4</v>
      </c>
      <c r="EF58" s="9">
        <v>12852.8</v>
      </c>
      <c r="EG58" s="9">
        <v>11193.1</v>
      </c>
      <c r="EH58" s="9">
        <v>13024.3</v>
      </c>
      <c r="EI58" s="9">
        <v>11960.6</v>
      </c>
      <c r="EJ58" s="9">
        <v>12176.3</v>
      </c>
      <c r="EK58" s="9">
        <v>12267.1</v>
      </c>
      <c r="EL58" s="9">
        <v>12007.9</v>
      </c>
      <c r="EM58" s="9">
        <v>10371.700000000001</v>
      </c>
      <c r="EN58" s="9">
        <v>12012</v>
      </c>
      <c r="EO58" s="9">
        <v>10626.1</v>
      </c>
      <c r="EP58" s="9">
        <v>12010.8</v>
      </c>
      <c r="EQ58" s="9">
        <v>12046.7</v>
      </c>
      <c r="ER58" s="9">
        <v>13790.1</v>
      </c>
      <c r="ES58" s="9">
        <v>12296</v>
      </c>
      <c r="ET58" s="9">
        <v>13851.1</v>
      </c>
      <c r="EU58" s="9">
        <v>12559.4</v>
      </c>
      <c r="EV58" s="9">
        <v>13751.7</v>
      </c>
      <c r="EW58" s="9">
        <v>12394</v>
      </c>
      <c r="EX58" s="9">
        <v>12617.2</v>
      </c>
      <c r="EY58" s="9">
        <v>12311.2</v>
      </c>
      <c r="EZ58" s="9">
        <v>13520.2</v>
      </c>
      <c r="FA58" s="9">
        <v>13982.8</v>
      </c>
      <c r="FB58" s="9">
        <v>13768.4</v>
      </c>
      <c r="FC58" s="9">
        <v>13709.5</v>
      </c>
      <c r="FD58" s="9">
        <v>13684.5</v>
      </c>
      <c r="FE58" s="9">
        <v>13722.7</v>
      </c>
      <c r="FF58" s="9">
        <v>12694.8</v>
      </c>
      <c r="FG58" s="9">
        <v>13718.2</v>
      </c>
      <c r="FH58" s="9">
        <v>13816.7</v>
      </c>
      <c r="FI58" s="9">
        <v>13833.5</v>
      </c>
      <c r="FJ58" s="9">
        <v>13788.1</v>
      </c>
      <c r="FK58" s="9">
        <v>13743.7</v>
      </c>
      <c r="FL58" s="9">
        <v>13860.5</v>
      </c>
      <c r="FM58" s="9">
        <v>12660.7</v>
      </c>
      <c r="FN58" s="9">
        <v>13891.5</v>
      </c>
      <c r="FO58" s="9">
        <v>12738.5</v>
      </c>
      <c r="FP58" s="11">
        <v>38.658754863813257</v>
      </c>
      <c r="FQ58" s="11">
        <v>38.212594033722418</v>
      </c>
      <c r="FR58" s="11">
        <v>38.402451361867683</v>
      </c>
      <c r="FS58" s="11">
        <v>38.502542153047969</v>
      </c>
      <c r="FT58" s="11">
        <v>38.239974059662785</v>
      </c>
      <c r="FU58" s="11">
        <v>38.554967574578441</v>
      </c>
      <c r="FV58" s="11">
        <v>0</v>
      </c>
      <c r="FW58" s="11">
        <v>50.4</v>
      </c>
      <c r="FX58" s="11">
        <v>0</v>
      </c>
      <c r="FY58" s="11">
        <v>0</v>
      </c>
      <c r="FZ58" s="11">
        <v>50</v>
      </c>
      <c r="GA58" s="11">
        <v>50.4</v>
      </c>
      <c r="GB58" s="11">
        <v>5.5595350129701631</v>
      </c>
      <c r="GC58" s="11">
        <v>5.5841804604409866</v>
      </c>
      <c r="GD58" s="11">
        <v>5.3510784474708197</v>
      </c>
      <c r="GE58" s="11">
        <v>4.6328013666926058</v>
      </c>
      <c r="GF58" s="11">
        <v>5.5318177630350176</v>
      </c>
      <c r="GG58" s="11">
        <v>5.4495284993514899</v>
      </c>
      <c r="GH58" s="11">
        <v>8.8466660000000008</v>
      </c>
      <c r="GI58" s="11">
        <v>9.1999999999999993</v>
      </c>
      <c r="GJ58" s="11">
        <v>9.0016660000000002</v>
      </c>
      <c r="GK58" s="11">
        <v>9.2233330000000002</v>
      </c>
      <c r="GL58" s="11">
        <v>9.2149999999999999</v>
      </c>
      <c r="GM58" s="11">
        <v>9.2283340000000003</v>
      </c>
      <c r="GN58" s="11">
        <v>7.5490963333333321</v>
      </c>
      <c r="GO58" s="11">
        <v>7.6930333333333296</v>
      </c>
      <c r="GP58" s="11">
        <v>7.6460749999999988</v>
      </c>
      <c r="GQ58" s="11">
        <v>7.5534479999999933</v>
      </c>
      <c r="GR58" s="11">
        <v>7.5718576666666699</v>
      </c>
      <c r="GS58" s="11">
        <v>7.7103438333333365</v>
      </c>
      <c r="GT58" s="108">
        <v>1.9000069999999998</v>
      </c>
      <c r="GU58" s="108">
        <v>1.8336761666666677</v>
      </c>
      <c r="GV58" s="108">
        <v>1.7530673333333358</v>
      </c>
      <c r="GW58" s="108">
        <v>2.0809821666666659</v>
      </c>
      <c r="GX58" s="108">
        <v>2.1432998333333306</v>
      </c>
      <c r="GY58" s="108">
        <v>1.7456965000000009</v>
      </c>
      <c r="GZ58" s="13">
        <v>0</v>
      </c>
      <c r="HA58" s="13">
        <v>7.5395383333333363</v>
      </c>
      <c r="HB58" s="13">
        <v>7.3517921666666721</v>
      </c>
      <c r="HC58" s="13">
        <v>0</v>
      </c>
      <c r="HD58" s="13">
        <v>7.2768208333333337</v>
      </c>
      <c r="HE58" s="13">
        <v>7.4895511666666685</v>
      </c>
      <c r="HF58" s="13">
        <v>0.60714333333333315</v>
      </c>
      <c r="HG58" s="13">
        <v>0.67301249999999813</v>
      </c>
      <c r="HH58" s="13">
        <v>0.59624416666666713</v>
      </c>
      <c r="HI58" s="13">
        <v>0.57850699999999944</v>
      </c>
      <c r="HJ58" s="13">
        <v>0.63284116666666757</v>
      </c>
      <c r="HK58" s="13">
        <v>0.63077583333333442</v>
      </c>
      <c r="HL58" s="12">
        <v>0</v>
      </c>
      <c r="HM58" s="12">
        <v>0</v>
      </c>
      <c r="HN58" s="12">
        <v>0</v>
      </c>
      <c r="HO58" s="12">
        <v>0</v>
      </c>
      <c r="HP58" s="12">
        <v>0</v>
      </c>
      <c r="HQ58" s="12">
        <v>0</v>
      </c>
      <c r="HR58" s="12">
        <v>0</v>
      </c>
      <c r="HS58" s="12">
        <v>0</v>
      </c>
      <c r="HT58" s="12">
        <v>0</v>
      </c>
      <c r="HU58" s="12">
        <v>0</v>
      </c>
      <c r="HV58" s="12">
        <v>0</v>
      </c>
      <c r="HW58" s="12">
        <v>0</v>
      </c>
      <c r="HX58" s="9">
        <v>945831</v>
      </c>
      <c r="HY58" s="9">
        <v>1763</v>
      </c>
      <c r="HZ58" s="9">
        <v>932561</v>
      </c>
      <c r="IA58" s="9">
        <v>1790</v>
      </c>
      <c r="IB58" s="11">
        <v>183317.88099999999</v>
      </c>
      <c r="IC58" s="11">
        <v>409.4</v>
      </c>
      <c r="ID58" s="14">
        <f t="shared" ref="ID58:II58" si="534">GN58-HL58</f>
        <v>7.5490963333333321</v>
      </c>
      <c r="IE58" s="14">
        <f t="shared" si="534"/>
        <v>7.6930333333333296</v>
      </c>
      <c r="IF58" s="14">
        <f t="shared" si="534"/>
        <v>7.6460749999999988</v>
      </c>
      <c r="IG58" s="14">
        <f t="shared" si="534"/>
        <v>7.5534479999999933</v>
      </c>
      <c r="IH58" s="14">
        <f t="shared" si="534"/>
        <v>7.5718576666666699</v>
      </c>
      <c r="II58" s="14">
        <f t="shared" si="534"/>
        <v>7.7103438333333365</v>
      </c>
      <c r="IJ58" s="15">
        <f t="shared" ref="IJ58:IO58" si="535">GZ58-HR58</f>
        <v>0</v>
      </c>
      <c r="IK58" s="15">
        <f t="shared" si="535"/>
        <v>7.5395383333333363</v>
      </c>
      <c r="IL58" s="15">
        <f t="shared" si="535"/>
        <v>7.3517921666666721</v>
      </c>
      <c r="IM58" s="15">
        <f t="shared" si="535"/>
        <v>0</v>
      </c>
      <c r="IN58" s="15">
        <f t="shared" si="535"/>
        <v>7.2768208333333337</v>
      </c>
      <c r="IO58" s="15">
        <f t="shared" si="535"/>
        <v>7.4895511666666685</v>
      </c>
      <c r="IP58" s="16">
        <f t="shared" ref="IP58" si="536">(HX58-HX57)*1000</f>
        <v>1021000</v>
      </c>
      <c r="IQ58" s="16">
        <f t="shared" ref="IQ58" si="537">(HY58-HY57)*1000</f>
        <v>1000</v>
      </c>
      <c r="IR58" s="16">
        <f t="shared" ref="IR58" si="538">(HZ58-HZ57)*1000</f>
        <v>1014000</v>
      </c>
      <c r="IS58" s="16">
        <f t="shared" ref="IS58" si="539">(IA58-IA57)*1000</f>
        <v>2000</v>
      </c>
      <c r="IT58" s="16">
        <f t="shared" ref="IT58" si="540">(IB58-IB57)*1000</f>
        <v>2031733.9999999967</v>
      </c>
      <c r="IU58" s="16">
        <f t="shared" ref="IU58" si="541">(IC58-IC57)*1000</f>
        <v>4066.9999999999504</v>
      </c>
      <c r="IV58" s="17">
        <f t="shared" ref="IV58" si="542">(IP58+IR58)-(IQ58+IS58)</f>
        <v>2032000</v>
      </c>
      <c r="IW58" s="17">
        <f t="shared" ref="IW58" si="543">IT58-IU58</f>
        <v>2027666.9999999967</v>
      </c>
      <c r="IX58" s="19">
        <f>(Raw_Data[[#This Row],[Sunset Time (POA&lt;20 W/m2)]]-Raw_Data[[#This Row],[Sunrise Time (POA&gt;20 W/m2)]])*24</f>
        <v>13.100000000000001</v>
      </c>
      <c r="IY58" s="68">
        <f>AVERAGEIF(Raw_Data[[#This Row],[GHI_UP_Net_IS2_W1]:[GHI_UP_Net_IS19_W6]],"&lt;&gt;"&amp;0,Raw_Data[[#This Row],[GHI_UP_Net_IS2_W1]:[GHI_UP_Net_IS19_W6]])</f>
        <v>7.6206423611111092</v>
      </c>
      <c r="IZ58" s="68">
        <f>AVERAGEIF(Raw_Data[[#This Row],[GHI_Down_IS2_W1]:[GHI_Down_IS19_W6]],"&lt;&gt;"&amp;0,Raw_Data[[#This Row],[GHI_Down_IS2_W1]:[GHI_Down_IS19_W6]])</f>
        <v>1.9094548333333334</v>
      </c>
      <c r="JA58" s="68">
        <f>AVERAGEIF(Raw_Data[[#This Row],[POA_Up_IS2_W1]:[POA_Up_IS19_W6]],"&lt;&gt;"&amp;0,Raw_Data[[#This Row],[POA_Up_IS2_W1]:[POA_Up_IS19_W6]])</f>
        <v>7.4144256250000025</v>
      </c>
      <c r="JB58" s="68">
        <f>AVERAGEIF(Raw_Data[[#This Row],[POA_Down_IS2_W1]:[POA_Down_IS19_W6]],"&lt;&gt;"&amp;0,Raw_Data[[#This Row],[POA_Down_IS2_W1]:[POA_Down_IS19_W6]])</f>
        <v>0.61975399999999992</v>
      </c>
      <c r="JC58" s="69">
        <f>Raw_Data[[#This Row],[GHI-Down(KWh/m2)]]/Raw_Data[[#This Row],[GHI-UP (KWh/m2)]]</f>
        <v>0.25056350145461098</v>
      </c>
      <c r="JD58" s="72">
        <f>Raw_Data[[#This Row],[POA-Down(KWh/m2)]]/Raw_Data[[#This Row],[POA-UP(KWh/m2)]]</f>
        <v>8.3587594150288574E-2</v>
      </c>
      <c r="JE58" s="68">
        <f>AVERAGEIF(Raw_Data[[#This Row],[Amb_Temp_IS2_W1]:[Amb_Temp_IS19_W6]],"&lt;&gt;"&amp;0,Raw_Data[[#This Row],[Amb_Temp_IS2_W1]:[Amb_Temp_IS19_W6]])</f>
        <v>38.428547341115433</v>
      </c>
      <c r="JF58" s="68">
        <f>AVERAGEIF(Raw_Data[[#This Row],[MT_Temp_IS2_W1]:[MT_Temp_IS19_W6]],"&lt;&gt;"&amp;0,Raw_Data[[#This Row],[MT_Temp_IS2_W1]:[MT_Temp_IS19_W6]])</f>
        <v>50.266666666666673</v>
      </c>
      <c r="JG58" s="68">
        <f>AVERAGEIF(Raw_Data[[#This Row],[WS_Avg_IS2_W1]:[WS_Avg_IS19_W6]],"&lt;&gt;"&amp;0,Raw_Data[[#This Row],[WS_Avg_IS2_W1]:[WS_Avg_IS19_W6]])</f>
        <v>5.3514902583268471</v>
      </c>
      <c r="JH58" s="68">
        <f>AVERAGEIF(Raw_Data[[#This Row],[WS_Max_IS2_W1]:[WS_Max_IS19_W6]],"&lt;&gt;"&amp;0,Raw_Data[[#This Row],[WS_Max_IS2_W1]:[WS_Max_IS19_W6]])</f>
        <v>9.1191665000000004</v>
      </c>
      <c r="JI58" s="70">
        <f>SUM(Raw_Data[[#This Row],[IS1_INV1_M1]:[IS20_INV4_M2]])</f>
        <v>2045266.7</v>
      </c>
      <c r="JJ58" s="73">
        <v>1997734.0000000258</v>
      </c>
      <c r="JK58" s="71">
        <v>2417035.2471716767</v>
      </c>
      <c r="JL58" s="143">
        <f>IFERROR(Raw_Data[[#This Row],[WPR_Eac]]/Raw_Data[[#This Row],[WPR_Edc]],"")</f>
        <v>0.82652249376077513</v>
      </c>
      <c r="JM58" s="6">
        <v>34</v>
      </c>
      <c r="JN58" s="6">
        <v>0</v>
      </c>
    </row>
    <row r="59" spans="2:274">
      <c r="B59" s="250">
        <f t="shared" si="21"/>
        <v>45798</v>
      </c>
      <c r="C59" s="9">
        <f>YEAR(Raw_Data[[#This Row],[Date]])+IF(MONTH(Raw_Data[[#This Row],[Date]])&gt;=4,1,0)</f>
        <v>2026</v>
      </c>
      <c r="D59" s="6">
        <f t="shared" ref="D59:D63" si="544">YEAR(B59)</f>
        <v>2025</v>
      </c>
      <c r="E59" s="7" t="s">
        <v>361</v>
      </c>
      <c r="F59" s="7" t="s">
        <v>361</v>
      </c>
      <c r="G59" s="8">
        <v>45778</v>
      </c>
      <c r="H59" s="6">
        <f t="shared" ref="H59:H63" si="545">DAY(EOMONTH(B59,0))</f>
        <v>31</v>
      </c>
      <c r="I59" s="9">
        <v>335090.89</v>
      </c>
      <c r="J59" s="10">
        <v>0.26250000000000001</v>
      </c>
      <c r="K59" s="10">
        <v>0.80833333333333335</v>
      </c>
      <c r="L59" s="9">
        <v>12566</v>
      </c>
      <c r="M59" s="9">
        <v>13154.7</v>
      </c>
      <c r="N59" s="9">
        <v>13097.1</v>
      </c>
      <c r="O59" s="9">
        <v>13035.3</v>
      </c>
      <c r="P59" s="9">
        <v>13220.5</v>
      </c>
      <c r="Q59" s="9">
        <v>13244.8</v>
      </c>
      <c r="R59" s="9">
        <v>13292.6</v>
      </c>
      <c r="S59" s="9">
        <v>13616.2</v>
      </c>
      <c r="T59" s="9">
        <v>13155.4</v>
      </c>
      <c r="U59" s="9">
        <v>13171.1</v>
      </c>
      <c r="V59" s="9">
        <v>12981.8</v>
      </c>
      <c r="W59" s="9">
        <v>13066.6</v>
      </c>
      <c r="X59" s="9">
        <v>13131.6</v>
      </c>
      <c r="Y59" s="9">
        <v>12994.7</v>
      </c>
      <c r="Z59" s="9">
        <v>13209.2</v>
      </c>
      <c r="AA59" s="9">
        <v>13225.8</v>
      </c>
      <c r="AB59" s="9">
        <v>13134</v>
      </c>
      <c r="AC59" s="9">
        <v>13086.7</v>
      </c>
      <c r="AD59" s="9">
        <v>13148.6</v>
      </c>
      <c r="AE59" s="9">
        <v>13230.5</v>
      </c>
      <c r="AF59" s="9">
        <v>13188.4</v>
      </c>
      <c r="AG59" s="9">
        <v>13177.6</v>
      </c>
      <c r="AH59" s="9">
        <v>12963.8</v>
      </c>
      <c r="AI59" s="9">
        <v>13055.2</v>
      </c>
      <c r="AJ59" s="9">
        <v>12781.8</v>
      </c>
      <c r="AK59" s="9">
        <v>11350.8</v>
      </c>
      <c r="AL59" s="9">
        <v>12867.2</v>
      </c>
      <c r="AM59" s="9">
        <v>12866.4</v>
      </c>
      <c r="AN59" s="9">
        <v>13161.8</v>
      </c>
      <c r="AO59" s="9">
        <v>13042.9</v>
      </c>
      <c r="AP59" s="9">
        <v>12997.2</v>
      </c>
      <c r="AQ59" s="9">
        <v>13136.3</v>
      </c>
      <c r="AR59" s="9">
        <v>13174.5</v>
      </c>
      <c r="AS59" s="9">
        <v>13183.1</v>
      </c>
      <c r="AT59" s="9">
        <v>13313.1</v>
      </c>
      <c r="AU59" s="9">
        <v>13206.7</v>
      </c>
      <c r="AV59" s="9">
        <v>13262.8</v>
      </c>
      <c r="AW59" s="9">
        <v>13093.9</v>
      </c>
      <c r="AX59" s="9">
        <v>12948.5</v>
      </c>
      <c r="AY59" s="9">
        <v>13096.9</v>
      </c>
      <c r="AZ59" s="9">
        <v>13884.7</v>
      </c>
      <c r="BA59" s="9">
        <v>12840.7</v>
      </c>
      <c r="BB59" s="9">
        <v>13760.1</v>
      </c>
      <c r="BC59" s="9">
        <v>12635.9</v>
      </c>
      <c r="BD59" s="9">
        <v>13052</v>
      </c>
      <c r="BE59" s="9">
        <v>14123.2</v>
      </c>
      <c r="BF59" s="9">
        <v>12648.5</v>
      </c>
      <c r="BG59" s="9">
        <v>13894.3</v>
      </c>
      <c r="BH59" s="9">
        <v>13233.2</v>
      </c>
      <c r="BI59" s="9">
        <v>13377.7</v>
      </c>
      <c r="BJ59" s="9">
        <v>13251.2</v>
      </c>
      <c r="BK59" s="9">
        <v>12606.2</v>
      </c>
      <c r="BL59" s="9">
        <v>13558.3</v>
      </c>
      <c r="BM59" s="9">
        <v>13418.9</v>
      </c>
      <c r="BN59" s="9">
        <v>13502.3</v>
      </c>
      <c r="BO59" s="9">
        <v>13397.6</v>
      </c>
      <c r="BP59" s="9">
        <v>12126.4</v>
      </c>
      <c r="BQ59" s="9">
        <v>13675.2</v>
      </c>
      <c r="BR59" s="9">
        <v>12151.7</v>
      </c>
      <c r="BS59" s="9">
        <v>13634.2</v>
      </c>
      <c r="BT59" s="9">
        <v>13503.6</v>
      </c>
      <c r="BU59" s="9">
        <v>12113.6</v>
      </c>
      <c r="BV59" s="9">
        <v>13130</v>
      </c>
      <c r="BW59" s="9">
        <v>12711.5</v>
      </c>
      <c r="BX59" s="9">
        <v>12921.8</v>
      </c>
      <c r="BY59" s="9">
        <v>12182.3</v>
      </c>
      <c r="BZ59" s="9">
        <v>12849.8</v>
      </c>
      <c r="CA59" s="9">
        <v>13293</v>
      </c>
      <c r="CB59" s="9">
        <v>13444.1</v>
      </c>
      <c r="CC59" s="9">
        <v>12393</v>
      </c>
      <c r="CD59" s="9">
        <v>13433.5</v>
      </c>
      <c r="CE59" s="9">
        <v>11884.6</v>
      </c>
      <c r="CF59" s="9">
        <v>13060.7</v>
      </c>
      <c r="CG59" s="9">
        <v>12929.3</v>
      </c>
      <c r="CH59" s="9">
        <v>12212</v>
      </c>
      <c r="CI59" s="9">
        <v>13398</v>
      </c>
      <c r="CJ59" s="9">
        <v>11993.6</v>
      </c>
      <c r="CK59" s="9">
        <v>13593.3</v>
      </c>
      <c r="CL59" s="9">
        <v>12248.6</v>
      </c>
      <c r="CM59" s="9">
        <v>13426.6</v>
      </c>
      <c r="CN59" s="9">
        <v>12432.6</v>
      </c>
      <c r="CO59" s="9">
        <v>13283.4</v>
      </c>
      <c r="CP59" s="9">
        <v>12554</v>
      </c>
      <c r="CQ59" s="9">
        <v>13626.3</v>
      </c>
      <c r="CR59" s="9">
        <v>12431.3</v>
      </c>
      <c r="CS59" s="9">
        <v>13147.9</v>
      </c>
      <c r="CT59" s="9">
        <v>12455.3</v>
      </c>
      <c r="CU59" s="9">
        <v>10935.5</v>
      </c>
      <c r="CV59" s="9">
        <v>13362.8</v>
      </c>
      <c r="CW59" s="9">
        <v>12974.4</v>
      </c>
      <c r="CX59" s="9">
        <v>12085.7</v>
      </c>
      <c r="CY59" s="9">
        <v>13718.6</v>
      </c>
      <c r="CZ59" s="9">
        <v>13403.8</v>
      </c>
      <c r="DA59" s="9">
        <v>12576</v>
      </c>
      <c r="DB59" s="9">
        <v>12433.2</v>
      </c>
      <c r="DC59" s="9">
        <v>13511.5</v>
      </c>
      <c r="DD59" s="9">
        <v>12306.2</v>
      </c>
      <c r="DE59" s="9">
        <v>12765.3</v>
      </c>
      <c r="DF59" s="9">
        <v>13652.5</v>
      </c>
      <c r="DG59" s="9">
        <v>12205.3</v>
      </c>
      <c r="DH59" s="9">
        <v>13667.2</v>
      </c>
      <c r="DI59" s="9">
        <v>12095.2</v>
      </c>
      <c r="DJ59" s="9">
        <v>13432.5</v>
      </c>
      <c r="DK59" s="9">
        <v>12486.1</v>
      </c>
      <c r="DL59" s="9">
        <v>13468.6</v>
      </c>
      <c r="DM59" s="9">
        <v>11813.4</v>
      </c>
      <c r="DN59" s="9">
        <v>13533</v>
      </c>
      <c r="DO59" s="9">
        <v>12364.4</v>
      </c>
      <c r="DP59" s="9">
        <v>13402.7</v>
      </c>
      <c r="DQ59" s="9">
        <v>12321.4</v>
      </c>
      <c r="DR59" s="9">
        <v>13469.8</v>
      </c>
      <c r="DS59" s="9">
        <v>12558.3</v>
      </c>
      <c r="DT59" s="9">
        <v>12192.5</v>
      </c>
      <c r="DU59" s="9">
        <v>13350</v>
      </c>
      <c r="DV59" s="9">
        <v>12394.2</v>
      </c>
      <c r="DW59" s="9">
        <v>12137.1</v>
      </c>
      <c r="DX59" s="9">
        <v>13447.2</v>
      </c>
      <c r="DY59" s="9">
        <v>13511.4</v>
      </c>
      <c r="DZ59" s="9">
        <v>13358</v>
      </c>
      <c r="EA59" s="9">
        <v>12376.5</v>
      </c>
      <c r="EB59" s="9">
        <v>13440.9</v>
      </c>
      <c r="EC59" s="9">
        <v>12215.3</v>
      </c>
      <c r="ED59" s="9">
        <v>13196.8</v>
      </c>
      <c r="EE59" s="9">
        <v>12340.2</v>
      </c>
      <c r="EF59" s="9">
        <v>13064.1</v>
      </c>
      <c r="EG59" s="9">
        <v>11440.9</v>
      </c>
      <c r="EH59" s="9">
        <v>13213.9</v>
      </c>
      <c r="EI59" s="9">
        <v>12225.3</v>
      </c>
      <c r="EJ59" s="9">
        <v>12451.8</v>
      </c>
      <c r="EK59" s="9">
        <v>12530.8</v>
      </c>
      <c r="EL59" s="9">
        <v>12281.2</v>
      </c>
      <c r="EM59" s="9">
        <v>10600.7</v>
      </c>
      <c r="EN59" s="9">
        <v>12267.9</v>
      </c>
      <c r="EO59" s="9">
        <v>10847</v>
      </c>
      <c r="EP59" s="9">
        <v>12293.4</v>
      </c>
      <c r="EQ59" s="9">
        <v>12319.6</v>
      </c>
      <c r="ER59" s="9">
        <v>13920.4</v>
      </c>
      <c r="ES59" s="9">
        <v>12549.6</v>
      </c>
      <c r="ET59" s="9">
        <v>13978.4</v>
      </c>
      <c r="EU59" s="9">
        <v>12789.2</v>
      </c>
      <c r="EV59" s="9">
        <v>13866.7</v>
      </c>
      <c r="EW59" s="9">
        <v>12631.6</v>
      </c>
      <c r="EX59" s="9">
        <v>12834.5</v>
      </c>
      <c r="EY59" s="9">
        <v>12569.4</v>
      </c>
      <c r="EZ59" s="9">
        <v>13683.9</v>
      </c>
      <c r="FA59" s="9">
        <v>14111.6</v>
      </c>
      <c r="FB59" s="9">
        <v>13906.2</v>
      </c>
      <c r="FC59" s="9">
        <v>13836</v>
      </c>
      <c r="FD59" s="9">
        <v>13817.5</v>
      </c>
      <c r="FE59" s="9">
        <v>13852.9</v>
      </c>
      <c r="FF59" s="9">
        <v>12916</v>
      </c>
      <c r="FG59" s="9">
        <v>13847.8</v>
      </c>
      <c r="FH59" s="9">
        <v>13960.2</v>
      </c>
      <c r="FI59" s="9">
        <v>13971.5</v>
      </c>
      <c r="FJ59" s="9">
        <v>13919.6</v>
      </c>
      <c r="FK59" s="9">
        <v>13874.2</v>
      </c>
      <c r="FL59" s="9">
        <v>13982.4</v>
      </c>
      <c r="FM59" s="9">
        <v>12890.8</v>
      </c>
      <c r="FN59" s="9">
        <v>14031.8</v>
      </c>
      <c r="FO59" s="9">
        <v>12969.6</v>
      </c>
      <c r="FP59" s="11">
        <v>38.598469520103791</v>
      </c>
      <c r="FQ59" s="11">
        <v>38.270415045395609</v>
      </c>
      <c r="FR59" s="11">
        <v>38.497743190661481</v>
      </c>
      <c r="FS59" s="11">
        <v>38.356977950713372</v>
      </c>
      <c r="FT59" s="11">
        <v>38.038093385214054</v>
      </c>
      <c r="FU59" s="11">
        <v>38.546381322957195</v>
      </c>
      <c r="FV59" s="11">
        <v>0</v>
      </c>
      <c r="FW59" s="11">
        <v>50.7</v>
      </c>
      <c r="FX59" s="11">
        <v>0</v>
      </c>
      <c r="FY59" s="11">
        <v>0</v>
      </c>
      <c r="FZ59" s="11">
        <v>50.209755771725035</v>
      </c>
      <c r="GA59" s="11">
        <v>51.488116883116845</v>
      </c>
      <c r="GB59" s="11">
        <v>5.92188907003891</v>
      </c>
      <c r="GC59" s="11">
        <v>5.9852180817120582</v>
      </c>
      <c r="GD59" s="11">
        <v>5.8344917522697752</v>
      </c>
      <c r="GE59" s="11">
        <v>5.5003867109727604</v>
      </c>
      <c r="GF59" s="11">
        <v>5.9690529533073855</v>
      </c>
      <c r="GG59" s="11">
        <v>6.0076716290531733</v>
      </c>
      <c r="GH59" s="11">
        <v>9.466666</v>
      </c>
      <c r="GI59" s="11">
        <v>9.3566660000000006</v>
      </c>
      <c r="GJ59" s="11">
        <v>10.95167</v>
      </c>
      <c r="GK59" s="11">
        <v>9.3266670000000005</v>
      </c>
      <c r="GL59" s="11">
        <v>9.2516660000000002</v>
      </c>
      <c r="GM59" s="11">
        <v>10.376670000000001</v>
      </c>
      <c r="GN59" s="11">
        <v>7.8019428333333307</v>
      </c>
      <c r="GO59" s="11">
        <v>7.9378018333333316</v>
      </c>
      <c r="GP59" s="11">
        <v>8.0472118333333373</v>
      </c>
      <c r="GQ59" s="11">
        <v>7.7760569999999989</v>
      </c>
      <c r="GR59" s="11">
        <v>7.8235165000000038</v>
      </c>
      <c r="GS59" s="11">
        <v>7.9294400000000014</v>
      </c>
      <c r="GT59" s="108">
        <v>1.9582729999999993</v>
      </c>
      <c r="GU59" s="108">
        <v>1.8737885000000012</v>
      </c>
      <c r="GV59" s="108">
        <v>1.8117565000000004</v>
      </c>
      <c r="GW59" s="108">
        <v>2.1488173333333336</v>
      </c>
      <c r="GX59" s="108">
        <v>2.1917934999999984</v>
      </c>
      <c r="GY59" s="108">
        <v>1.7850611666666707</v>
      </c>
      <c r="GZ59" s="13">
        <v>0</v>
      </c>
      <c r="HA59" s="13">
        <v>7.7403734999999996</v>
      </c>
      <c r="HB59" s="13">
        <v>7.6456353333333293</v>
      </c>
      <c r="HC59" s="13">
        <v>0</v>
      </c>
      <c r="HD59" s="13">
        <v>7.685605999999999</v>
      </c>
      <c r="HE59" s="13">
        <v>7.6694146666666674</v>
      </c>
      <c r="HF59" s="13">
        <v>0.61227983333333325</v>
      </c>
      <c r="HG59" s="13">
        <v>0.68117583333333276</v>
      </c>
      <c r="HH59" s="13">
        <v>0.60151650000000045</v>
      </c>
      <c r="HI59" s="13">
        <v>0.58021583333333304</v>
      </c>
      <c r="HJ59" s="13">
        <v>0.63753016666666629</v>
      </c>
      <c r="HK59" s="13">
        <v>0.63764183333333369</v>
      </c>
      <c r="HL59" s="12">
        <v>0</v>
      </c>
      <c r="HM59" s="12">
        <v>0</v>
      </c>
      <c r="HN59" s="12">
        <v>0</v>
      </c>
      <c r="HO59" s="12">
        <v>0</v>
      </c>
      <c r="HP59" s="12">
        <v>0</v>
      </c>
      <c r="HQ59" s="12">
        <v>0</v>
      </c>
      <c r="HR59" s="12">
        <v>0</v>
      </c>
      <c r="HS59" s="12">
        <v>0</v>
      </c>
      <c r="HT59" s="12">
        <v>0</v>
      </c>
      <c r="HU59" s="12">
        <v>0</v>
      </c>
      <c r="HV59" s="12">
        <v>0</v>
      </c>
      <c r="HW59" s="12">
        <v>0</v>
      </c>
      <c r="HX59" s="9">
        <v>946869</v>
      </c>
      <c r="HY59" s="9">
        <v>1764</v>
      </c>
      <c r="HZ59" s="9">
        <v>933591</v>
      </c>
      <c r="IA59" s="9">
        <v>1791</v>
      </c>
      <c r="IB59" s="11">
        <v>185382.21400000001</v>
      </c>
      <c r="IC59" s="11">
        <v>413.33300000000003</v>
      </c>
      <c r="ID59" s="14">
        <f t="shared" ref="ID59:II59" si="546">GN59-HL59</f>
        <v>7.8019428333333307</v>
      </c>
      <c r="IE59" s="14">
        <f t="shared" si="546"/>
        <v>7.9378018333333316</v>
      </c>
      <c r="IF59" s="14">
        <f t="shared" si="546"/>
        <v>8.0472118333333373</v>
      </c>
      <c r="IG59" s="14">
        <f t="shared" si="546"/>
        <v>7.7760569999999989</v>
      </c>
      <c r="IH59" s="14">
        <f t="shared" si="546"/>
        <v>7.8235165000000038</v>
      </c>
      <c r="II59" s="14">
        <f t="shared" si="546"/>
        <v>7.9294400000000014</v>
      </c>
      <c r="IJ59" s="15">
        <f t="shared" ref="IJ59:IO59" si="547">GZ59-HR59</f>
        <v>0</v>
      </c>
      <c r="IK59" s="15">
        <f t="shared" si="547"/>
        <v>7.7403734999999996</v>
      </c>
      <c r="IL59" s="15">
        <f t="shared" si="547"/>
        <v>7.6456353333333293</v>
      </c>
      <c r="IM59" s="15">
        <f t="shared" si="547"/>
        <v>0</v>
      </c>
      <c r="IN59" s="15">
        <f t="shared" si="547"/>
        <v>7.685605999999999</v>
      </c>
      <c r="IO59" s="15">
        <f t="shared" si="547"/>
        <v>7.6694146666666674</v>
      </c>
      <c r="IP59" s="16">
        <f t="shared" ref="IP59" si="548">(HX59-HX58)*1000</f>
        <v>1038000</v>
      </c>
      <c r="IQ59" s="16">
        <f t="shared" ref="IQ59" si="549">(HY59-HY58)*1000</f>
        <v>1000</v>
      </c>
      <c r="IR59" s="16">
        <f t="shared" ref="IR59" si="550">(HZ59-HZ58)*1000</f>
        <v>1030000</v>
      </c>
      <c r="IS59" s="16">
        <f t="shared" ref="IS59" si="551">(IA59-IA58)*1000</f>
        <v>1000</v>
      </c>
      <c r="IT59" s="16">
        <f t="shared" ref="IT59" si="552">(IB59-IB58)*1000</f>
        <v>2064333.0000000133</v>
      </c>
      <c r="IU59" s="16">
        <f t="shared" ref="IU59" si="553">(IC59-IC58)*1000</f>
        <v>3933.0000000000496</v>
      </c>
      <c r="IV59" s="17">
        <f t="shared" ref="IV59" si="554">(IP59+IR59)-(IQ59+IS59)</f>
        <v>2066000</v>
      </c>
      <c r="IW59" s="17">
        <f t="shared" ref="IW59" si="555">IT59-IU59</f>
        <v>2060400.0000000133</v>
      </c>
      <c r="IX59" s="19">
        <f>(Raw_Data[[#This Row],[Sunset Time (POA&lt;20 W/m2)]]-Raw_Data[[#This Row],[Sunrise Time (POA&gt;20 W/m2)]])*24</f>
        <v>13.100000000000001</v>
      </c>
      <c r="IY59" s="68">
        <f>AVERAGEIF(Raw_Data[[#This Row],[GHI_UP_Net_IS2_W1]:[GHI_UP_Net_IS19_W6]],"&lt;&gt;"&amp;0,Raw_Data[[#This Row],[GHI_UP_Net_IS2_W1]:[GHI_UP_Net_IS19_W6]])</f>
        <v>7.8859950000000012</v>
      </c>
      <c r="IZ59" s="68">
        <f>AVERAGEIF(Raw_Data[[#This Row],[GHI_Down_IS2_W1]:[GHI_Down_IS19_W6]],"&lt;&gt;"&amp;0,Raw_Data[[#This Row],[GHI_Down_IS2_W1]:[GHI_Down_IS19_W6]])</f>
        <v>1.9615816666666672</v>
      </c>
      <c r="JA59" s="68">
        <f>AVERAGEIF(Raw_Data[[#This Row],[POA_Up_IS2_W1]:[POA_Up_IS19_W6]],"&lt;&gt;"&amp;0,Raw_Data[[#This Row],[POA_Up_IS2_W1]:[POA_Up_IS19_W6]])</f>
        <v>7.6852573749999991</v>
      </c>
      <c r="JB59" s="68">
        <f>AVERAGEIF(Raw_Data[[#This Row],[POA_Down_IS2_W1]:[POA_Down_IS19_W6]],"&lt;&gt;"&amp;0,Raw_Data[[#This Row],[POA_Down_IS2_W1]:[POA_Down_IS19_W6]])</f>
        <v>0.62505999999999995</v>
      </c>
      <c r="JC59" s="69">
        <f>Raw_Data[[#This Row],[GHI-Down(KWh/m2)]]/Raw_Data[[#This Row],[GHI-UP (KWh/m2)]]</f>
        <v>0.24874244361893039</v>
      </c>
      <c r="JD59" s="72">
        <f>Raw_Data[[#This Row],[POA-Down(KWh/m2)]]/Raw_Data[[#This Row],[POA-UP(KWh/m2)]]</f>
        <v>8.1332344448646399E-2</v>
      </c>
      <c r="JE59" s="68">
        <f>AVERAGEIF(Raw_Data[[#This Row],[Amb_Temp_IS2_W1]:[Amb_Temp_IS19_W6]],"&lt;&gt;"&amp;0,Raw_Data[[#This Row],[Amb_Temp_IS2_W1]:[Amb_Temp_IS19_W6]])</f>
        <v>38.384680069174244</v>
      </c>
      <c r="JF59" s="68">
        <f>AVERAGEIF(Raw_Data[[#This Row],[MT_Temp_IS2_W1]:[MT_Temp_IS19_W6]],"&lt;&gt;"&amp;0,Raw_Data[[#This Row],[MT_Temp_IS2_W1]:[MT_Temp_IS19_W6]])</f>
        <v>50.79929088494729</v>
      </c>
      <c r="JG59" s="68">
        <f>AVERAGEIF(Raw_Data[[#This Row],[WS_Avg_IS2_W1]:[WS_Avg_IS19_W6]],"&lt;&gt;"&amp;0,Raw_Data[[#This Row],[WS_Avg_IS2_W1]:[WS_Avg_IS19_W6]])</f>
        <v>5.8697850328923442</v>
      </c>
      <c r="JH59" s="68">
        <f>AVERAGEIF(Raw_Data[[#This Row],[WS_Max_IS2_W1]:[WS_Max_IS19_W6]],"&lt;&gt;"&amp;0,Raw_Data[[#This Row],[WS_Max_IS2_W1]:[WS_Max_IS19_W6]])</f>
        <v>9.788334166666667</v>
      </c>
      <c r="JI59" s="70">
        <f>SUM(Raw_Data[[#This Row],[IS1_INV1_M1]:[IS20_INV4_M2]])</f>
        <v>2078809.9999999993</v>
      </c>
      <c r="JJ59" s="73">
        <v>2009334.0000000026</v>
      </c>
      <c r="JK59" s="71">
        <v>2484674.6827570349</v>
      </c>
      <c r="JL59" s="143">
        <f>IFERROR(Raw_Data[[#This Row],[WPR_Eac]]/Raw_Data[[#This Row],[WPR_Edc]],"")</f>
        <v>0.80869097831769798</v>
      </c>
      <c r="JM59" s="6">
        <v>34</v>
      </c>
      <c r="JN59" s="6">
        <v>0</v>
      </c>
    </row>
    <row r="60" spans="2:274">
      <c r="B60" s="250">
        <f t="shared" si="21"/>
        <v>45799</v>
      </c>
      <c r="C60" s="9">
        <f>YEAR(Raw_Data[[#This Row],[Date]])+IF(MONTH(Raw_Data[[#This Row],[Date]])&gt;=4,1,0)</f>
        <v>2026</v>
      </c>
      <c r="D60" s="6">
        <f t="shared" si="544"/>
        <v>2025</v>
      </c>
      <c r="E60" s="7" t="s">
        <v>361</v>
      </c>
      <c r="F60" s="7" t="s">
        <v>361</v>
      </c>
      <c r="G60" s="8">
        <v>45778</v>
      </c>
      <c r="H60" s="6">
        <f t="shared" si="545"/>
        <v>31</v>
      </c>
      <c r="I60" s="9">
        <v>335090.89</v>
      </c>
      <c r="J60" s="10">
        <v>0.26319444444444445</v>
      </c>
      <c r="K60" s="10">
        <v>0.80902777777777779</v>
      </c>
      <c r="L60" s="9">
        <v>12426.4</v>
      </c>
      <c r="M60" s="9">
        <v>13026.3</v>
      </c>
      <c r="N60" s="9">
        <v>12966.2</v>
      </c>
      <c r="O60" s="9">
        <v>12914</v>
      </c>
      <c r="P60" s="9">
        <v>13091.2</v>
      </c>
      <c r="Q60" s="9">
        <v>13118</v>
      </c>
      <c r="R60" s="9">
        <v>13159.6</v>
      </c>
      <c r="S60" s="9">
        <v>13498.1</v>
      </c>
      <c r="T60" s="9">
        <v>13038.3</v>
      </c>
      <c r="U60" s="9">
        <v>13051.9</v>
      </c>
      <c r="V60" s="9">
        <v>12848.5</v>
      </c>
      <c r="W60" s="9">
        <v>12931.4</v>
      </c>
      <c r="X60" s="9">
        <v>13018.7</v>
      </c>
      <c r="Y60" s="9">
        <v>12862.3</v>
      </c>
      <c r="Z60" s="9">
        <v>13077</v>
      </c>
      <c r="AA60" s="9">
        <v>13110.2</v>
      </c>
      <c r="AB60" s="9">
        <v>13011.8</v>
      </c>
      <c r="AC60" s="9">
        <v>12953.4</v>
      </c>
      <c r="AD60" s="9">
        <v>13035.1</v>
      </c>
      <c r="AE60" s="9">
        <v>13116.8</v>
      </c>
      <c r="AF60" s="9">
        <v>13069.4</v>
      </c>
      <c r="AG60" s="9">
        <v>13050.8</v>
      </c>
      <c r="AH60" s="9">
        <v>12832.5</v>
      </c>
      <c r="AI60" s="9">
        <v>12930.9</v>
      </c>
      <c r="AJ60" s="9">
        <v>12637.7</v>
      </c>
      <c r="AK60" s="9">
        <v>11161.5</v>
      </c>
      <c r="AL60" s="9">
        <v>12739.1</v>
      </c>
      <c r="AM60" s="9">
        <v>12716.4</v>
      </c>
      <c r="AN60" s="9">
        <v>13036.8</v>
      </c>
      <c r="AO60" s="9">
        <v>12914.7</v>
      </c>
      <c r="AP60" s="9">
        <v>12874.5</v>
      </c>
      <c r="AQ60" s="9">
        <v>13017.2</v>
      </c>
      <c r="AR60" s="9">
        <v>13015</v>
      </c>
      <c r="AS60" s="9">
        <v>13029.6</v>
      </c>
      <c r="AT60" s="9">
        <v>13160</v>
      </c>
      <c r="AU60" s="9">
        <v>13051.8</v>
      </c>
      <c r="AV60" s="9">
        <v>13152.7</v>
      </c>
      <c r="AW60" s="9">
        <v>12975.8</v>
      </c>
      <c r="AX60" s="9">
        <v>12829.1</v>
      </c>
      <c r="AY60" s="9">
        <v>12971.7</v>
      </c>
      <c r="AZ60" s="9">
        <v>13775.6</v>
      </c>
      <c r="BA60" s="9">
        <v>12682.7</v>
      </c>
      <c r="BB60" s="9">
        <v>13654.6</v>
      </c>
      <c r="BC60" s="9">
        <v>12459.4</v>
      </c>
      <c r="BD60" s="9">
        <v>12955.7</v>
      </c>
      <c r="BE60" s="9">
        <v>14067.3</v>
      </c>
      <c r="BF60" s="9">
        <v>12511.9</v>
      </c>
      <c r="BG60" s="9">
        <v>13791.9</v>
      </c>
      <c r="BH60" s="9">
        <v>10946.6</v>
      </c>
      <c r="BI60" s="9">
        <v>11093.3</v>
      </c>
      <c r="BJ60" s="9">
        <v>10960.1</v>
      </c>
      <c r="BK60" s="9">
        <v>10380.799999999999</v>
      </c>
      <c r="BL60" s="9">
        <v>11233.8</v>
      </c>
      <c r="BM60" s="9">
        <v>11122</v>
      </c>
      <c r="BN60" s="9">
        <v>11194.4</v>
      </c>
      <c r="BO60" s="9">
        <v>11078.9</v>
      </c>
      <c r="BP60" s="9">
        <v>11964.2</v>
      </c>
      <c r="BQ60" s="9">
        <v>13564.6</v>
      </c>
      <c r="BR60" s="9">
        <v>11990.4</v>
      </c>
      <c r="BS60" s="9">
        <v>13515.6</v>
      </c>
      <c r="BT60" s="9">
        <v>13379.4</v>
      </c>
      <c r="BU60" s="9">
        <v>11959.3</v>
      </c>
      <c r="BV60" s="9">
        <v>12940.5</v>
      </c>
      <c r="BW60" s="9">
        <v>12557.7</v>
      </c>
      <c r="BX60" s="9">
        <v>12801</v>
      </c>
      <c r="BY60" s="9">
        <v>12013.5</v>
      </c>
      <c r="BZ60" s="9">
        <v>12713.3</v>
      </c>
      <c r="CA60" s="9">
        <v>13169.4</v>
      </c>
      <c r="CB60" s="9">
        <v>13336.6</v>
      </c>
      <c r="CC60" s="9">
        <v>12235.7</v>
      </c>
      <c r="CD60" s="9">
        <v>13322.5</v>
      </c>
      <c r="CE60" s="9">
        <v>11732.6</v>
      </c>
      <c r="CF60" s="9">
        <v>12936.1</v>
      </c>
      <c r="CG60" s="9">
        <v>12796.9</v>
      </c>
      <c r="CH60" s="9">
        <v>12061.6</v>
      </c>
      <c r="CI60" s="9">
        <v>13288.3</v>
      </c>
      <c r="CJ60" s="9">
        <v>11839.7</v>
      </c>
      <c r="CK60" s="9">
        <v>13542.4</v>
      </c>
      <c r="CL60" s="9">
        <v>12087.8</v>
      </c>
      <c r="CM60" s="9">
        <v>13325.3</v>
      </c>
      <c r="CN60" s="9">
        <v>12280</v>
      </c>
      <c r="CO60" s="9">
        <v>13202.7</v>
      </c>
      <c r="CP60" s="9">
        <v>12398.8</v>
      </c>
      <c r="CQ60" s="9">
        <v>13559.8</v>
      </c>
      <c r="CR60" s="9">
        <v>12273.9</v>
      </c>
      <c r="CS60" s="9">
        <v>13040</v>
      </c>
      <c r="CT60" s="9">
        <v>12303.2</v>
      </c>
      <c r="CU60" s="9">
        <v>10798.9</v>
      </c>
      <c r="CV60" s="9">
        <v>13274.7</v>
      </c>
      <c r="CW60" s="9">
        <v>12874.4</v>
      </c>
      <c r="CX60" s="9">
        <v>11948.6</v>
      </c>
      <c r="CY60" s="9">
        <v>13672.5</v>
      </c>
      <c r="CZ60" s="9">
        <v>13357.2</v>
      </c>
      <c r="DA60" s="9">
        <v>12476.5</v>
      </c>
      <c r="DB60" s="9">
        <v>12341.9</v>
      </c>
      <c r="DC60" s="9">
        <v>13448.3</v>
      </c>
      <c r="DD60" s="9">
        <v>12159.1</v>
      </c>
      <c r="DE60" s="9">
        <v>12621.3</v>
      </c>
      <c r="DF60" s="9">
        <v>13587</v>
      </c>
      <c r="DG60" s="9">
        <v>12059.4</v>
      </c>
      <c r="DH60" s="9">
        <v>13606.4</v>
      </c>
      <c r="DI60" s="9">
        <v>11950</v>
      </c>
      <c r="DJ60" s="9">
        <v>13335.3</v>
      </c>
      <c r="DK60" s="9">
        <v>12322.7</v>
      </c>
      <c r="DL60" s="9">
        <v>13389.5</v>
      </c>
      <c r="DM60" s="9">
        <v>11664.4</v>
      </c>
      <c r="DN60" s="9">
        <v>13455.1</v>
      </c>
      <c r="DO60" s="9">
        <v>12210.1</v>
      </c>
      <c r="DP60" s="9">
        <v>13298.1</v>
      </c>
      <c r="DQ60" s="9">
        <v>12156.6</v>
      </c>
      <c r="DR60" s="9">
        <v>13389.1</v>
      </c>
      <c r="DS60" s="9">
        <v>12397.9</v>
      </c>
      <c r="DT60" s="9">
        <v>12041.6</v>
      </c>
      <c r="DU60" s="9">
        <v>13272.6</v>
      </c>
      <c r="DV60" s="9">
        <v>12252.9</v>
      </c>
      <c r="DW60" s="9">
        <v>11990.1</v>
      </c>
      <c r="DX60" s="9">
        <v>13368.3</v>
      </c>
      <c r="DY60" s="9">
        <v>13441.7</v>
      </c>
      <c r="DZ60" s="9">
        <v>13271.6</v>
      </c>
      <c r="EA60" s="9">
        <v>12226.9</v>
      </c>
      <c r="EB60" s="9">
        <v>13366.5</v>
      </c>
      <c r="EC60" s="9">
        <v>12066</v>
      </c>
      <c r="ED60" s="9">
        <v>13112.1</v>
      </c>
      <c r="EE60" s="9">
        <v>12195.5</v>
      </c>
      <c r="EF60" s="9">
        <v>12960.7</v>
      </c>
      <c r="EG60" s="9">
        <v>11296.8</v>
      </c>
      <c r="EH60" s="9">
        <v>13116.5</v>
      </c>
      <c r="EI60" s="9">
        <v>12072.8</v>
      </c>
      <c r="EJ60" s="9">
        <v>12287.3</v>
      </c>
      <c r="EK60" s="9">
        <v>12387.6</v>
      </c>
      <c r="EL60" s="9">
        <v>12131.4</v>
      </c>
      <c r="EM60" s="9">
        <v>10469</v>
      </c>
      <c r="EN60" s="9">
        <v>12150</v>
      </c>
      <c r="EO60" s="9">
        <v>10725.4</v>
      </c>
      <c r="EP60" s="9">
        <v>12135.1</v>
      </c>
      <c r="EQ60" s="9">
        <v>12171.6</v>
      </c>
      <c r="ER60" s="9">
        <v>13869.4</v>
      </c>
      <c r="ES60" s="9">
        <v>12405.4</v>
      </c>
      <c r="ET60" s="9">
        <v>13923.9</v>
      </c>
      <c r="EU60" s="9">
        <v>12661.9</v>
      </c>
      <c r="EV60" s="9">
        <v>13807.5</v>
      </c>
      <c r="EW60" s="9">
        <v>12491.1</v>
      </c>
      <c r="EX60" s="9">
        <v>12716</v>
      </c>
      <c r="EY60" s="9">
        <v>12439.9</v>
      </c>
      <c r="EZ60" s="9">
        <v>13538.4</v>
      </c>
      <c r="FA60" s="9">
        <v>14113.9</v>
      </c>
      <c r="FB60" s="9">
        <v>13841.1</v>
      </c>
      <c r="FC60" s="9">
        <v>13775.9</v>
      </c>
      <c r="FD60" s="9">
        <v>13752.4</v>
      </c>
      <c r="FE60" s="9">
        <v>13790.3</v>
      </c>
      <c r="FF60" s="9">
        <v>12803.3</v>
      </c>
      <c r="FG60" s="9">
        <v>13783.9</v>
      </c>
      <c r="FH60" s="9">
        <v>13891.9</v>
      </c>
      <c r="FI60" s="9">
        <v>13908.1</v>
      </c>
      <c r="FJ60" s="9">
        <v>13856.1</v>
      </c>
      <c r="FK60" s="9">
        <v>13799.2</v>
      </c>
      <c r="FL60" s="9">
        <v>13914.7</v>
      </c>
      <c r="FM60" s="9">
        <v>12758.3</v>
      </c>
      <c r="FN60" s="9">
        <v>13972</v>
      </c>
      <c r="FO60" s="9">
        <v>12846.5</v>
      </c>
      <c r="FP60" s="11">
        <v>39.257833981841792</v>
      </c>
      <c r="FQ60" s="11">
        <v>38.91723735408555</v>
      </c>
      <c r="FR60" s="11">
        <v>39.107107652399442</v>
      </c>
      <c r="FS60" s="11">
        <v>39.078702983138761</v>
      </c>
      <c r="FT60" s="11">
        <v>38.831997405966248</v>
      </c>
      <c r="FU60" s="11">
        <v>39.240804150453947</v>
      </c>
      <c r="FV60" s="11">
        <v>0</v>
      </c>
      <c r="FW60" s="11">
        <v>51.2</v>
      </c>
      <c r="FX60" s="11">
        <v>0</v>
      </c>
      <c r="FY60" s="11">
        <v>0</v>
      </c>
      <c r="FZ60" s="11">
        <v>51.3</v>
      </c>
      <c r="GA60" s="11">
        <v>51.928197146562972</v>
      </c>
      <c r="GB60" s="11">
        <v>5.5657066290531763</v>
      </c>
      <c r="GC60" s="11">
        <v>5.6476456861219297</v>
      </c>
      <c r="GD60" s="11">
        <v>5.4445047431906666</v>
      </c>
      <c r="GE60" s="11">
        <v>4.7549306171076537</v>
      </c>
      <c r="GF60" s="11">
        <v>5.4243685460441027</v>
      </c>
      <c r="GG60" s="11">
        <v>5.5062059935149144</v>
      </c>
      <c r="GH60" s="11">
        <v>8.8516659999999998</v>
      </c>
      <c r="GI60" s="11">
        <v>9.3216660000000005</v>
      </c>
      <c r="GJ60" s="11">
        <v>9.8966659999999997</v>
      </c>
      <c r="GK60" s="11">
        <v>9.0066659999999992</v>
      </c>
      <c r="GL60" s="11">
        <v>9.32</v>
      </c>
      <c r="GM60" s="11">
        <v>9.2850000000000001</v>
      </c>
      <c r="GN60" s="11">
        <v>7.7029398333333337</v>
      </c>
      <c r="GO60" s="11">
        <v>7.8291036666666685</v>
      </c>
      <c r="GP60" s="11">
        <v>7.9233556666666649</v>
      </c>
      <c r="GQ60" s="11">
        <v>7.6806551666666616</v>
      </c>
      <c r="GR60" s="11">
        <v>7.7226613333333374</v>
      </c>
      <c r="GS60" s="11">
        <v>7.8248851666666628</v>
      </c>
      <c r="GT60" s="108">
        <v>1.947349999999999</v>
      </c>
      <c r="GU60" s="108">
        <v>1.8621636666666681</v>
      </c>
      <c r="GV60" s="108">
        <v>1.7997998333333329</v>
      </c>
      <c r="GW60" s="108">
        <v>2.1409398333333356</v>
      </c>
      <c r="GX60" s="108">
        <v>2.1783053333333364</v>
      </c>
      <c r="GY60" s="108">
        <v>1.7723978333333335</v>
      </c>
      <c r="GZ60" s="13">
        <v>0</v>
      </c>
      <c r="HA60" s="13">
        <v>7.6427874999999919</v>
      </c>
      <c r="HB60" s="13">
        <v>7.5290588333333437</v>
      </c>
      <c r="HC60" s="13">
        <v>0</v>
      </c>
      <c r="HD60" s="13">
        <v>7.5791919999999999</v>
      </c>
      <c r="HE60" s="13">
        <v>7.5698034999999955</v>
      </c>
      <c r="HF60" s="13">
        <v>0.61522283333333316</v>
      </c>
      <c r="HG60" s="13">
        <v>0.68283083333333261</v>
      </c>
      <c r="HH60" s="13">
        <v>0.60100400000000065</v>
      </c>
      <c r="HI60" s="13">
        <v>0.58427366666666691</v>
      </c>
      <c r="HJ60" s="13">
        <v>0.63971783333333365</v>
      </c>
      <c r="HK60" s="13">
        <v>0.63974700000000051</v>
      </c>
      <c r="HL60" s="12">
        <v>0</v>
      </c>
      <c r="HM60" s="12">
        <v>0</v>
      </c>
      <c r="HN60" s="12">
        <v>0</v>
      </c>
      <c r="HO60" s="12">
        <v>0</v>
      </c>
      <c r="HP60" s="12">
        <v>0</v>
      </c>
      <c r="HQ60" s="12">
        <v>0</v>
      </c>
      <c r="HR60" s="12">
        <v>0</v>
      </c>
      <c r="HS60" s="12">
        <v>0</v>
      </c>
      <c r="HT60" s="12">
        <v>0</v>
      </c>
      <c r="HU60" s="12">
        <v>0</v>
      </c>
      <c r="HV60" s="12">
        <v>0</v>
      </c>
      <c r="HW60" s="12">
        <v>0</v>
      </c>
      <c r="HX60" s="9">
        <v>947879</v>
      </c>
      <c r="HY60" s="9">
        <v>1766</v>
      </c>
      <c r="HZ60" s="9">
        <v>934613</v>
      </c>
      <c r="IA60" s="9">
        <v>1793</v>
      </c>
      <c r="IB60" s="11">
        <v>187410.41500000001</v>
      </c>
      <c r="IC60" s="11">
        <v>417.4</v>
      </c>
      <c r="ID60" s="14">
        <f t="shared" ref="ID60:II60" si="556">GN60-HL60</f>
        <v>7.7029398333333337</v>
      </c>
      <c r="IE60" s="14">
        <f t="shared" si="556"/>
        <v>7.8291036666666685</v>
      </c>
      <c r="IF60" s="14">
        <f t="shared" si="556"/>
        <v>7.9233556666666649</v>
      </c>
      <c r="IG60" s="14">
        <f t="shared" si="556"/>
        <v>7.6806551666666616</v>
      </c>
      <c r="IH60" s="14">
        <f t="shared" si="556"/>
        <v>7.7226613333333374</v>
      </c>
      <c r="II60" s="14">
        <f t="shared" si="556"/>
        <v>7.8248851666666628</v>
      </c>
      <c r="IJ60" s="15">
        <f t="shared" ref="IJ60:IO60" si="557">GZ60-HR60</f>
        <v>0</v>
      </c>
      <c r="IK60" s="15">
        <f t="shared" si="557"/>
        <v>7.6427874999999919</v>
      </c>
      <c r="IL60" s="15">
        <f t="shared" si="557"/>
        <v>7.5290588333333437</v>
      </c>
      <c r="IM60" s="15">
        <f t="shared" si="557"/>
        <v>0</v>
      </c>
      <c r="IN60" s="15">
        <f t="shared" si="557"/>
        <v>7.5791919999999999</v>
      </c>
      <c r="IO60" s="15">
        <f t="shared" si="557"/>
        <v>7.5698034999999955</v>
      </c>
      <c r="IP60" s="16">
        <f t="shared" ref="IP60" si="558">(HX60-HX59)*1000</f>
        <v>1010000</v>
      </c>
      <c r="IQ60" s="16">
        <f t="shared" ref="IQ60" si="559">(HY60-HY59)*1000</f>
        <v>2000</v>
      </c>
      <c r="IR60" s="16">
        <f t="shared" ref="IR60" si="560">(HZ60-HZ59)*1000</f>
        <v>1022000</v>
      </c>
      <c r="IS60" s="16">
        <f t="shared" ref="IS60" si="561">(IA60-IA59)*1000</f>
        <v>2000</v>
      </c>
      <c r="IT60" s="16">
        <f t="shared" ref="IT60" si="562">(IB60-IB59)*1000</f>
        <v>2028201.0000000009</v>
      </c>
      <c r="IU60" s="16">
        <f t="shared" ref="IU60" si="563">(IC60-IC59)*1000</f>
        <v>4066.9999999999504</v>
      </c>
      <c r="IV60" s="17">
        <f t="shared" ref="IV60" si="564">(IP60+IR60)-(IQ60+IS60)</f>
        <v>2028000</v>
      </c>
      <c r="IW60" s="17">
        <f t="shared" ref="IW60" si="565">IT60-IU60</f>
        <v>2024134.0000000009</v>
      </c>
      <c r="IX60" s="19">
        <f>(Raw_Data[[#This Row],[Sunset Time (POA&lt;20 W/m2)]]-Raw_Data[[#This Row],[Sunrise Time (POA&gt;20 W/m2)]])*24</f>
        <v>13.100000000000001</v>
      </c>
      <c r="IY60" s="68">
        <f>AVERAGEIF(Raw_Data[[#This Row],[GHI_UP_Net_IS2_W1]:[GHI_UP_Net_IS19_W6]],"&lt;&gt;"&amp;0,Raw_Data[[#This Row],[GHI_UP_Net_IS2_W1]:[GHI_UP_Net_IS19_W6]])</f>
        <v>7.7806001388888868</v>
      </c>
      <c r="IZ60" s="68">
        <f>AVERAGEIF(Raw_Data[[#This Row],[GHI_Down_IS2_W1]:[GHI_Down_IS19_W6]],"&lt;&gt;"&amp;0,Raw_Data[[#This Row],[GHI_Down_IS2_W1]:[GHI_Down_IS19_W6]])</f>
        <v>1.9501594166666674</v>
      </c>
      <c r="JA60" s="68">
        <f>AVERAGEIF(Raw_Data[[#This Row],[POA_Up_IS2_W1]:[POA_Up_IS19_W6]],"&lt;&gt;"&amp;0,Raw_Data[[#This Row],[POA_Up_IS2_W1]:[POA_Up_IS19_W6]])</f>
        <v>7.5802104583333323</v>
      </c>
      <c r="JB60" s="68">
        <f>AVERAGEIF(Raw_Data[[#This Row],[POA_Down_IS2_W1]:[POA_Down_IS19_W6]],"&lt;&gt;"&amp;0,Raw_Data[[#This Row],[POA_Down_IS2_W1]:[POA_Down_IS19_W6]])</f>
        <v>0.62713269444444453</v>
      </c>
      <c r="JC60" s="69">
        <f>Raw_Data[[#This Row],[GHI-Down(KWh/m2)]]/Raw_Data[[#This Row],[GHI-UP (KWh/m2)]]</f>
        <v>0.25064382976313199</v>
      </c>
      <c r="JD60" s="72">
        <f>Raw_Data[[#This Row],[POA-Down(KWh/m2)]]/Raw_Data[[#This Row],[POA-UP(KWh/m2)]]</f>
        <v>8.2732886889044607E-2</v>
      </c>
      <c r="JE60" s="68">
        <f>AVERAGEIF(Raw_Data[[#This Row],[Amb_Temp_IS2_W1]:[Amb_Temp_IS19_W6]],"&lt;&gt;"&amp;0,Raw_Data[[#This Row],[Amb_Temp_IS2_W1]:[Amb_Temp_IS19_W6]])</f>
        <v>39.072280587980956</v>
      </c>
      <c r="JF60" s="68">
        <f>AVERAGEIF(Raw_Data[[#This Row],[MT_Temp_IS2_W1]:[MT_Temp_IS19_W6]],"&lt;&gt;"&amp;0,Raw_Data[[#This Row],[MT_Temp_IS2_W1]:[MT_Temp_IS19_W6]])</f>
        <v>51.476065715520996</v>
      </c>
      <c r="JG60" s="68">
        <f>AVERAGEIF(Raw_Data[[#This Row],[WS_Avg_IS2_W1]:[WS_Avg_IS19_W6]],"&lt;&gt;"&amp;0,Raw_Data[[#This Row],[WS_Avg_IS2_W1]:[WS_Avg_IS19_W6]])</f>
        <v>5.390560369172074</v>
      </c>
      <c r="JH60" s="68">
        <f>AVERAGEIF(Raw_Data[[#This Row],[WS_Max_IS2_W1]:[WS_Max_IS19_W6]],"&lt;&gt;"&amp;0,Raw_Data[[#This Row],[WS_Max_IS2_W1]:[WS_Max_IS19_W6]])</f>
        <v>9.2802773333333324</v>
      </c>
      <c r="JI60" s="70">
        <f>SUM(Raw_Data[[#This Row],[IS1_INV1_M1]:[IS20_INV4_M2]])</f>
        <v>2042430.2999999998</v>
      </c>
      <c r="JJ60" s="73">
        <v>1960601.0000000242</v>
      </c>
      <c r="JK60" s="71">
        <v>2426110.1401242102</v>
      </c>
      <c r="JL60" s="143">
        <f>IFERROR(Raw_Data[[#This Row],[WPR_Eac]]/Raw_Data[[#This Row],[WPR_Edc]],"")</f>
        <v>0.80812530625656054</v>
      </c>
      <c r="JM60" s="6">
        <v>28</v>
      </c>
      <c r="JN60" s="6">
        <v>0</v>
      </c>
    </row>
    <row r="61" spans="2:274">
      <c r="B61" s="250">
        <f t="shared" si="21"/>
        <v>45800</v>
      </c>
      <c r="C61" s="9">
        <f>YEAR(Raw_Data[[#This Row],[Date]])+IF(MONTH(Raw_Data[[#This Row],[Date]])&gt;=4,1,0)</f>
        <v>2026</v>
      </c>
      <c r="D61" s="6">
        <f t="shared" si="544"/>
        <v>2025</v>
      </c>
      <c r="E61" s="7" t="s">
        <v>361</v>
      </c>
      <c r="F61" s="7" t="s">
        <v>361</v>
      </c>
      <c r="G61" s="8">
        <v>45778</v>
      </c>
      <c r="H61" s="6">
        <f t="shared" si="545"/>
        <v>31</v>
      </c>
      <c r="I61" s="9">
        <v>335090.89</v>
      </c>
      <c r="J61" s="10">
        <v>0.26319444444444445</v>
      </c>
      <c r="K61" s="10">
        <v>0.81041666666666667</v>
      </c>
      <c r="L61" s="9">
        <v>12109.5</v>
      </c>
      <c r="M61" s="9">
        <v>12632.3</v>
      </c>
      <c r="N61" s="9">
        <v>12605.5</v>
      </c>
      <c r="O61" s="9">
        <v>12540.4</v>
      </c>
      <c r="P61" s="9">
        <v>12724.6</v>
      </c>
      <c r="Q61" s="9">
        <v>12738.6</v>
      </c>
      <c r="R61" s="9">
        <v>12760.1</v>
      </c>
      <c r="S61" s="9">
        <v>13062.6</v>
      </c>
      <c r="T61" s="9">
        <v>12644.8</v>
      </c>
      <c r="U61" s="9">
        <v>12680.9</v>
      </c>
      <c r="V61" s="9">
        <v>12463.4</v>
      </c>
      <c r="W61" s="9">
        <v>12540</v>
      </c>
      <c r="X61" s="9">
        <v>12612.9</v>
      </c>
      <c r="Y61" s="9">
        <v>12475.6</v>
      </c>
      <c r="Z61" s="9">
        <v>12699.4</v>
      </c>
      <c r="AA61" s="9">
        <v>12711.8</v>
      </c>
      <c r="AB61" s="9">
        <v>12619.9</v>
      </c>
      <c r="AC61" s="9">
        <v>12580.7</v>
      </c>
      <c r="AD61" s="9">
        <v>12631.9</v>
      </c>
      <c r="AE61" s="9">
        <v>12716.7</v>
      </c>
      <c r="AF61" s="9">
        <v>12670.7</v>
      </c>
      <c r="AG61" s="9">
        <v>12656.3</v>
      </c>
      <c r="AH61" s="9">
        <v>12454</v>
      </c>
      <c r="AI61" s="9">
        <v>12541</v>
      </c>
      <c r="AJ61" s="9">
        <v>12285.5</v>
      </c>
      <c r="AK61" s="9">
        <v>11133.6</v>
      </c>
      <c r="AL61" s="9">
        <v>12361.9</v>
      </c>
      <c r="AM61" s="9">
        <v>12313.9</v>
      </c>
      <c r="AN61" s="9">
        <v>12652.3</v>
      </c>
      <c r="AO61" s="9">
        <v>12532.3</v>
      </c>
      <c r="AP61" s="9">
        <v>12484.8</v>
      </c>
      <c r="AQ61" s="9">
        <v>12619.7</v>
      </c>
      <c r="AR61" s="9">
        <v>13031.3</v>
      </c>
      <c r="AS61" s="9">
        <v>13064.5</v>
      </c>
      <c r="AT61" s="9">
        <v>13193.3</v>
      </c>
      <c r="AU61" s="9">
        <v>13087.7</v>
      </c>
      <c r="AV61" s="9">
        <v>12760.9</v>
      </c>
      <c r="AW61" s="9">
        <v>12589.6</v>
      </c>
      <c r="AX61" s="9">
        <v>12446.5</v>
      </c>
      <c r="AY61" s="9">
        <v>12586.5</v>
      </c>
      <c r="AZ61" s="9">
        <v>13373</v>
      </c>
      <c r="BA61" s="9">
        <v>12364.6</v>
      </c>
      <c r="BB61" s="9">
        <v>13253.6</v>
      </c>
      <c r="BC61" s="9">
        <v>12202.6</v>
      </c>
      <c r="BD61" s="9">
        <v>12582.2</v>
      </c>
      <c r="BE61" s="9">
        <v>13643.6</v>
      </c>
      <c r="BF61" s="9">
        <v>12202</v>
      </c>
      <c r="BG61" s="9">
        <v>13376.2</v>
      </c>
      <c r="BH61" s="9">
        <v>12727.3</v>
      </c>
      <c r="BI61" s="9">
        <v>12857.9</v>
      </c>
      <c r="BJ61" s="9">
        <v>12725.5</v>
      </c>
      <c r="BK61" s="9">
        <v>12164.7</v>
      </c>
      <c r="BL61" s="9">
        <v>13032</v>
      </c>
      <c r="BM61" s="9">
        <v>12896.1</v>
      </c>
      <c r="BN61" s="9">
        <v>12974.6</v>
      </c>
      <c r="BO61" s="9">
        <v>12859.7</v>
      </c>
      <c r="BP61" s="9">
        <v>11821.5</v>
      </c>
      <c r="BQ61" s="9">
        <v>13153.8</v>
      </c>
      <c r="BR61" s="9">
        <v>11857.3</v>
      </c>
      <c r="BS61" s="9">
        <v>13107.5</v>
      </c>
      <c r="BT61" s="9">
        <v>12982.5</v>
      </c>
      <c r="BU61" s="9">
        <v>11807.3</v>
      </c>
      <c r="BV61" s="9">
        <v>12595.1</v>
      </c>
      <c r="BW61" s="9">
        <v>12238.7</v>
      </c>
      <c r="BX61" s="9">
        <v>12417.7</v>
      </c>
      <c r="BY61" s="9">
        <v>11832.7</v>
      </c>
      <c r="BZ61" s="9">
        <v>12349.3</v>
      </c>
      <c r="CA61" s="9">
        <v>12771.8</v>
      </c>
      <c r="CB61" s="9">
        <v>12911.6</v>
      </c>
      <c r="CC61" s="9">
        <v>11990</v>
      </c>
      <c r="CD61" s="9">
        <v>12895.2</v>
      </c>
      <c r="CE61" s="9">
        <v>11638.6</v>
      </c>
      <c r="CF61" s="9">
        <v>12545.5</v>
      </c>
      <c r="CG61" s="9">
        <v>12412</v>
      </c>
      <c r="CH61" s="9">
        <v>11875.3</v>
      </c>
      <c r="CI61" s="9">
        <v>12866.9</v>
      </c>
      <c r="CJ61" s="9">
        <v>11701.9</v>
      </c>
      <c r="CK61" s="9">
        <v>13110</v>
      </c>
      <c r="CL61" s="9">
        <v>11888.8</v>
      </c>
      <c r="CM61" s="9">
        <v>12910</v>
      </c>
      <c r="CN61" s="9">
        <v>12016.7</v>
      </c>
      <c r="CO61" s="9">
        <v>12755</v>
      </c>
      <c r="CP61" s="9">
        <v>12103.9</v>
      </c>
      <c r="CQ61" s="9">
        <v>13072.3</v>
      </c>
      <c r="CR61" s="9">
        <v>12008.9</v>
      </c>
      <c r="CS61" s="9">
        <v>12604.9</v>
      </c>
      <c r="CT61" s="9">
        <v>12011.1</v>
      </c>
      <c r="CU61" s="9">
        <v>10821.4</v>
      </c>
      <c r="CV61" s="9">
        <v>12805.2</v>
      </c>
      <c r="CW61" s="9">
        <v>12455.9</v>
      </c>
      <c r="CX61" s="9">
        <v>11784.3</v>
      </c>
      <c r="CY61" s="9">
        <v>13181.7</v>
      </c>
      <c r="CZ61" s="9">
        <v>12902</v>
      </c>
      <c r="DA61" s="9">
        <v>12172.1</v>
      </c>
      <c r="DB61" s="9">
        <v>12053</v>
      </c>
      <c r="DC61" s="9">
        <v>12964.4</v>
      </c>
      <c r="DD61" s="9">
        <v>11921</v>
      </c>
      <c r="DE61" s="9">
        <v>12270.7</v>
      </c>
      <c r="DF61" s="9">
        <v>13092.9</v>
      </c>
      <c r="DG61" s="9">
        <v>11852.4</v>
      </c>
      <c r="DH61" s="9">
        <v>13122.8</v>
      </c>
      <c r="DI61" s="9">
        <v>11777.2</v>
      </c>
      <c r="DJ61" s="9">
        <v>12886</v>
      </c>
      <c r="DK61" s="9">
        <v>12069.7</v>
      </c>
      <c r="DL61" s="9">
        <v>12928.9</v>
      </c>
      <c r="DM61" s="9">
        <v>11564.7</v>
      </c>
      <c r="DN61" s="9">
        <v>12985.6</v>
      </c>
      <c r="DO61" s="9">
        <v>11974</v>
      </c>
      <c r="DP61" s="9">
        <v>12858.6</v>
      </c>
      <c r="DQ61" s="9">
        <v>11953.7</v>
      </c>
      <c r="DR61" s="9">
        <v>12928.4</v>
      </c>
      <c r="DS61" s="9">
        <v>12157.4</v>
      </c>
      <c r="DT61" s="9">
        <v>11847.6</v>
      </c>
      <c r="DU61" s="9">
        <v>12811.3</v>
      </c>
      <c r="DV61" s="9">
        <v>11933</v>
      </c>
      <c r="DW61" s="9">
        <v>11804.9</v>
      </c>
      <c r="DX61" s="9">
        <v>12894.7</v>
      </c>
      <c r="DY61" s="9">
        <v>12966.2</v>
      </c>
      <c r="DZ61" s="9">
        <v>12816.3</v>
      </c>
      <c r="EA61" s="9">
        <v>12001.6</v>
      </c>
      <c r="EB61" s="9">
        <v>12907.8</v>
      </c>
      <c r="EC61" s="9">
        <v>11867.7</v>
      </c>
      <c r="ED61" s="9">
        <v>12679.1</v>
      </c>
      <c r="EE61" s="9">
        <v>11984.2</v>
      </c>
      <c r="EF61" s="9">
        <v>12548.7</v>
      </c>
      <c r="EG61" s="9">
        <v>11307.1</v>
      </c>
      <c r="EH61" s="9">
        <v>12685.7</v>
      </c>
      <c r="EI61" s="9">
        <v>11896.3</v>
      </c>
      <c r="EJ61" s="9">
        <v>12044.4</v>
      </c>
      <c r="EK61" s="9">
        <v>12087.6</v>
      </c>
      <c r="EL61" s="9">
        <v>11925.9</v>
      </c>
      <c r="EM61" s="9">
        <v>10484.6</v>
      </c>
      <c r="EN61" s="9">
        <v>11916</v>
      </c>
      <c r="EO61" s="9">
        <v>10751.5</v>
      </c>
      <c r="EP61" s="9">
        <v>11924.3</v>
      </c>
      <c r="EQ61" s="9">
        <v>11952.7</v>
      </c>
      <c r="ER61" s="9">
        <v>13347</v>
      </c>
      <c r="ES61" s="9">
        <v>12088.7</v>
      </c>
      <c r="ET61" s="9">
        <v>13406.4</v>
      </c>
      <c r="EU61" s="9">
        <v>12305.1</v>
      </c>
      <c r="EV61" s="9">
        <v>13297.1</v>
      </c>
      <c r="EW61" s="9">
        <v>12163.7</v>
      </c>
      <c r="EX61" s="9">
        <v>12328.8</v>
      </c>
      <c r="EY61" s="9">
        <v>12135.5</v>
      </c>
      <c r="EZ61" s="9">
        <v>13129.4</v>
      </c>
      <c r="FA61" s="9">
        <v>13551.4</v>
      </c>
      <c r="FB61" s="9">
        <v>13336.7</v>
      </c>
      <c r="FC61" s="9">
        <v>13280.3</v>
      </c>
      <c r="FD61" s="9">
        <v>13257.8</v>
      </c>
      <c r="FE61" s="9">
        <v>13291.8</v>
      </c>
      <c r="FF61" s="9">
        <v>12411.1</v>
      </c>
      <c r="FG61" s="9">
        <v>13280.3</v>
      </c>
      <c r="FH61" s="9">
        <v>13375.1</v>
      </c>
      <c r="FI61" s="9">
        <v>13397.2</v>
      </c>
      <c r="FJ61" s="9">
        <v>13349.4</v>
      </c>
      <c r="FK61" s="9">
        <v>13299</v>
      </c>
      <c r="FL61" s="9">
        <v>13408.2</v>
      </c>
      <c r="FM61" s="9">
        <v>12382.6</v>
      </c>
      <c r="FN61" s="9">
        <v>13455.6</v>
      </c>
      <c r="FO61" s="9">
        <v>12449.7</v>
      </c>
      <c r="FP61" s="11">
        <v>40.864463130659765</v>
      </c>
      <c r="FQ61" s="11">
        <v>0</v>
      </c>
      <c r="FR61" s="11">
        <v>40.647296248382894</v>
      </c>
      <c r="FS61" s="11">
        <v>40.673738680465725</v>
      </c>
      <c r="FT61" s="11">
        <v>40.462652005174654</v>
      </c>
      <c r="FU61" s="11">
        <v>40.757567917205691</v>
      </c>
      <c r="FV61" s="11">
        <v>0</v>
      </c>
      <c r="FW61" s="11">
        <v>0</v>
      </c>
      <c r="FX61" s="11">
        <v>0</v>
      </c>
      <c r="FY61" s="11">
        <v>0</v>
      </c>
      <c r="FZ61" s="11">
        <v>51.3</v>
      </c>
      <c r="GA61" s="11" t="s">
        <v>2558</v>
      </c>
      <c r="GB61" s="11">
        <v>6.1193055226390793</v>
      </c>
      <c r="GC61" s="11">
        <v>0</v>
      </c>
      <c r="GD61" s="11">
        <v>5.8893356908150052</v>
      </c>
      <c r="GE61" s="11">
        <v>5.0760562662742581</v>
      </c>
      <c r="GF61" s="11">
        <v>6.2315973816300128</v>
      </c>
      <c r="GG61" s="11">
        <v>6.1473757684346744</v>
      </c>
      <c r="GH61" s="11">
        <v>11.055</v>
      </c>
      <c r="GI61" s="11">
        <v>0</v>
      </c>
      <c r="GJ61" s="11">
        <v>10.635</v>
      </c>
      <c r="GK61" s="11">
        <v>11.14833</v>
      </c>
      <c r="GL61" s="11">
        <v>10.883330000000001</v>
      </c>
      <c r="GM61" s="11">
        <v>10.501670000000001</v>
      </c>
      <c r="GN61" s="11">
        <v>7.7431981666666649</v>
      </c>
      <c r="GO61" s="11">
        <v>0</v>
      </c>
      <c r="GP61" s="11">
        <v>7.9712116666666644</v>
      </c>
      <c r="GQ61" s="11">
        <v>7.7176175000000038</v>
      </c>
      <c r="GR61" s="11">
        <v>7.742281499999998</v>
      </c>
      <c r="GS61" s="11">
        <v>7.8433706666666687</v>
      </c>
      <c r="GT61" s="108">
        <v>1.9893730000000007</v>
      </c>
      <c r="GU61" s="108">
        <v>0</v>
      </c>
      <c r="GV61" s="108">
        <v>1.8353625000000007</v>
      </c>
      <c r="GW61" s="108">
        <v>2.185591833333334</v>
      </c>
      <c r="GX61" s="108">
        <v>2.2124746666666679</v>
      </c>
      <c r="GY61" s="108">
        <v>1.7948934999999993</v>
      </c>
      <c r="GZ61" s="13">
        <v>0</v>
      </c>
      <c r="HA61" s="13">
        <v>0</v>
      </c>
      <c r="HB61" s="13">
        <v>7.5806885000000017</v>
      </c>
      <c r="HC61" s="13">
        <v>0</v>
      </c>
      <c r="HD61" s="13">
        <v>7.5988086666666668</v>
      </c>
      <c r="HE61" s="13">
        <v>7.5840115000000017</v>
      </c>
      <c r="HF61" s="13">
        <v>0.63407849999999999</v>
      </c>
      <c r="HG61" s="13">
        <v>0</v>
      </c>
      <c r="HH61" s="13">
        <v>0.61985166666666636</v>
      </c>
      <c r="HI61" s="13">
        <v>0.60631699999999966</v>
      </c>
      <c r="HJ61" s="13">
        <v>0.66053683333333446</v>
      </c>
      <c r="HK61" s="13">
        <v>0.66045650000000022</v>
      </c>
      <c r="HL61" s="12">
        <v>0</v>
      </c>
      <c r="HM61" s="12">
        <v>0</v>
      </c>
      <c r="HN61" s="12">
        <v>0</v>
      </c>
      <c r="HO61" s="12">
        <v>0</v>
      </c>
      <c r="HP61" s="12">
        <v>0</v>
      </c>
      <c r="HQ61" s="12">
        <v>0</v>
      </c>
      <c r="HR61" s="12">
        <v>0</v>
      </c>
      <c r="HS61" s="12">
        <v>0</v>
      </c>
      <c r="HT61" s="12">
        <v>0</v>
      </c>
      <c r="HU61" s="12">
        <v>0</v>
      </c>
      <c r="HV61" s="12">
        <v>0</v>
      </c>
      <c r="HW61" s="12">
        <v>0</v>
      </c>
      <c r="HX61" s="9">
        <v>948878</v>
      </c>
      <c r="HY61" s="9">
        <v>1767</v>
      </c>
      <c r="HZ61" s="9">
        <v>935607</v>
      </c>
      <c r="IA61" s="9">
        <v>1795</v>
      </c>
      <c r="IB61" s="11">
        <v>189402.68100000001</v>
      </c>
      <c r="IC61" s="11">
        <v>421.6</v>
      </c>
      <c r="ID61" s="14">
        <f t="shared" ref="ID61:II61" si="566">GN61-HL61</f>
        <v>7.7431981666666649</v>
      </c>
      <c r="IE61" s="14">
        <f t="shared" si="566"/>
        <v>0</v>
      </c>
      <c r="IF61" s="14">
        <f t="shared" si="566"/>
        <v>7.9712116666666644</v>
      </c>
      <c r="IG61" s="14">
        <f t="shared" si="566"/>
        <v>7.7176175000000038</v>
      </c>
      <c r="IH61" s="14">
        <f t="shared" si="566"/>
        <v>7.742281499999998</v>
      </c>
      <c r="II61" s="14">
        <f t="shared" si="566"/>
        <v>7.8433706666666687</v>
      </c>
      <c r="IJ61" s="15">
        <f t="shared" ref="IJ61:IO61" si="567">GZ61-HR61</f>
        <v>0</v>
      </c>
      <c r="IK61" s="15">
        <f t="shared" si="567"/>
        <v>0</v>
      </c>
      <c r="IL61" s="15">
        <f t="shared" si="567"/>
        <v>7.5806885000000017</v>
      </c>
      <c r="IM61" s="15">
        <f t="shared" si="567"/>
        <v>0</v>
      </c>
      <c r="IN61" s="15">
        <f t="shared" si="567"/>
        <v>7.5988086666666668</v>
      </c>
      <c r="IO61" s="15">
        <f t="shared" si="567"/>
        <v>7.5840115000000017</v>
      </c>
      <c r="IP61" s="16">
        <f t="shared" ref="IP61" si="568">(HX61-HX60)*1000</f>
        <v>999000</v>
      </c>
      <c r="IQ61" s="16">
        <f t="shared" ref="IQ61" si="569">(HY61-HY60)*1000</f>
        <v>1000</v>
      </c>
      <c r="IR61" s="16">
        <f t="shared" ref="IR61" si="570">(HZ61-HZ60)*1000</f>
        <v>994000</v>
      </c>
      <c r="IS61" s="16">
        <f t="shared" ref="IS61" si="571">(IA61-IA60)*1000</f>
        <v>2000</v>
      </c>
      <c r="IT61" s="16">
        <f t="shared" ref="IT61" si="572">(IB61-IB60)*1000</f>
        <v>1992266.0000000033</v>
      </c>
      <c r="IU61" s="16">
        <f t="shared" ref="IU61" si="573">(IC61-IC60)*1000</f>
        <v>4200.0000000000455</v>
      </c>
      <c r="IV61" s="17">
        <f t="shared" ref="IV61" si="574">(IP61+IR61)-(IQ61+IS61)</f>
        <v>1990000</v>
      </c>
      <c r="IW61" s="17">
        <f t="shared" ref="IW61" si="575">IT61-IU61</f>
        <v>1988066.0000000033</v>
      </c>
      <c r="IX61" s="19">
        <f>(Raw_Data[[#This Row],[Sunset Time (POA&lt;20 W/m2)]]-Raw_Data[[#This Row],[Sunrise Time (POA&gt;20 W/m2)]])*24</f>
        <v>13.133333333333335</v>
      </c>
      <c r="IY61" s="68">
        <f>AVERAGEIF(Raw_Data[[#This Row],[GHI_UP_Net_IS2_W1]:[GHI_UP_Net_IS19_W6]],"&lt;&gt;"&amp;0,Raw_Data[[#This Row],[GHI_UP_Net_IS2_W1]:[GHI_UP_Net_IS19_W6]])</f>
        <v>7.8035359</v>
      </c>
      <c r="IZ61" s="68">
        <f>AVERAGEIF(Raw_Data[[#This Row],[GHI_Down_IS2_W1]:[GHI_Down_IS19_W6]],"&lt;&gt;"&amp;0,Raw_Data[[#This Row],[GHI_Down_IS2_W1]:[GHI_Down_IS19_W6]])</f>
        <v>2.0035391000000002</v>
      </c>
      <c r="JA61" s="68">
        <f>AVERAGEIF(Raw_Data[[#This Row],[POA_Up_IS2_W1]:[POA_Up_IS19_W6]],"&lt;&gt;"&amp;0,Raw_Data[[#This Row],[POA_Up_IS2_W1]:[POA_Up_IS19_W6]])</f>
        <v>7.5878362222222231</v>
      </c>
      <c r="JB61" s="68">
        <f>AVERAGEIF(Raw_Data[[#This Row],[POA_Down_IS2_W1]:[POA_Down_IS19_W6]],"&lt;&gt;"&amp;0,Raw_Data[[#This Row],[POA_Down_IS2_W1]:[POA_Down_IS19_W6]])</f>
        <v>0.63624810000000009</v>
      </c>
      <c r="JC61" s="69">
        <f>Raw_Data[[#This Row],[GHI-Down(KWh/m2)]]/Raw_Data[[#This Row],[GHI-UP (KWh/m2)]]</f>
        <v>0.25674759822659371</v>
      </c>
      <c r="JD61" s="72">
        <f>Raw_Data[[#This Row],[POA-Down(KWh/m2)]]/Raw_Data[[#This Row],[POA-UP(KWh/m2)]]</f>
        <v>8.3851058637328404E-2</v>
      </c>
      <c r="JE61" s="68">
        <f>AVERAGEIF(Raw_Data[[#This Row],[Amb_Temp_IS2_W1]:[Amb_Temp_IS19_W6]],"&lt;&gt;"&amp;0,Raw_Data[[#This Row],[Amb_Temp_IS2_W1]:[Amb_Temp_IS19_W6]])</f>
        <v>40.681143596377737</v>
      </c>
      <c r="JF61" s="68">
        <f>AVERAGEIF(Raw_Data[[#This Row],[MT_Temp_IS2_W1]:[MT_Temp_IS19_W6]],"&lt;&gt;"&amp;0,Raw_Data[[#This Row],[MT_Temp_IS2_W1]:[MT_Temp_IS19_W6]])</f>
        <v>51.3</v>
      </c>
      <c r="JG61" s="68">
        <f>AVERAGEIF(Raw_Data[[#This Row],[WS_Avg_IS2_W1]:[WS_Avg_IS19_W6]],"&lt;&gt;"&amp;0,Raw_Data[[#This Row],[WS_Avg_IS2_W1]:[WS_Avg_IS19_W6]])</f>
        <v>5.8927341259586061</v>
      </c>
      <c r="JH61" s="68">
        <f>AVERAGEIF(Raw_Data[[#This Row],[WS_Max_IS2_W1]:[WS_Max_IS19_W6]],"&lt;&gt;"&amp;0,Raw_Data[[#This Row],[WS_Max_IS2_W1]:[WS_Max_IS19_W6]])</f>
        <v>10.844666</v>
      </c>
      <c r="JI61" s="70">
        <f>SUM(Raw_Data[[#This Row],[IS1_INV1_M1]:[IS20_INV4_M2]])</f>
        <v>2004758.3999999994</v>
      </c>
      <c r="JJ61" s="73">
        <v>1988557.7124999973</v>
      </c>
      <c r="JK61" s="71">
        <v>2444731.403440671</v>
      </c>
      <c r="JL61" s="143">
        <f>IFERROR(Raw_Data[[#This Row],[WPR_Eac]]/Raw_Data[[#This Row],[WPR_Edc]],"")</f>
        <v>0.81340539484269603</v>
      </c>
      <c r="JM61" s="6">
        <v>30</v>
      </c>
      <c r="JN61" s="6">
        <v>0</v>
      </c>
    </row>
    <row r="62" spans="2:274">
      <c r="B62" s="250">
        <f t="shared" si="21"/>
        <v>45801</v>
      </c>
      <c r="C62" s="9">
        <f>YEAR(Raw_Data[[#This Row],[Date]])+IF(MONTH(Raw_Data[[#This Row],[Date]])&gt;=4,1,0)</f>
        <v>2026</v>
      </c>
      <c r="D62" s="6">
        <f t="shared" si="544"/>
        <v>2025</v>
      </c>
      <c r="E62" s="7" t="s">
        <v>361</v>
      </c>
      <c r="F62" s="7" t="s">
        <v>361</v>
      </c>
      <c r="G62" s="8">
        <v>45778</v>
      </c>
      <c r="H62" s="6">
        <f t="shared" si="545"/>
        <v>31</v>
      </c>
      <c r="I62" s="9">
        <v>335090.89</v>
      </c>
      <c r="J62" s="10">
        <v>0.26250000000000001</v>
      </c>
      <c r="K62" s="10">
        <v>0.80833333333333335</v>
      </c>
      <c r="L62" s="9">
        <v>11981</v>
      </c>
      <c r="M62" s="9">
        <v>12597.7</v>
      </c>
      <c r="N62" s="9">
        <v>12552.8</v>
      </c>
      <c r="O62" s="9">
        <v>12500.3</v>
      </c>
      <c r="P62" s="9">
        <v>12666.7</v>
      </c>
      <c r="Q62" s="9">
        <v>12688.3</v>
      </c>
      <c r="R62" s="9">
        <v>12731.4</v>
      </c>
      <c r="S62" s="9">
        <v>13088</v>
      </c>
      <c r="T62" s="9">
        <v>12602.4</v>
      </c>
      <c r="U62" s="9">
        <v>12657.4</v>
      </c>
      <c r="V62" s="9">
        <v>12355.5</v>
      </c>
      <c r="W62" s="9">
        <v>12441.1</v>
      </c>
      <c r="X62" s="9">
        <v>12517.7</v>
      </c>
      <c r="Y62" s="9">
        <v>12383.1</v>
      </c>
      <c r="Z62" s="9">
        <v>12581</v>
      </c>
      <c r="AA62" s="9">
        <v>12634.2</v>
      </c>
      <c r="AB62" s="9">
        <v>12486.6</v>
      </c>
      <c r="AC62" s="9">
        <v>12432</v>
      </c>
      <c r="AD62" s="9">
        <v>12540</v>
      </c>
      <c r="AE62" s="9">
        <v>12611.2</v>
      </c>
      <c r="AF62" s="9">
        <v>12561</v>
      </c>
      <c r="AG62" s="9">
        <v>12546.7</v>
      </c>
      <c r="AH62" s="9">
        <v>12273.6</v>
      </c>
      <c r="AI62" s="9">
        <v>12408.7</v>
      </c>
      <c r="AJ62" s="9">
        <v>12097.4</v>
      </c>
      <c r="AK62" s="9">
        <v>10623.2</v>
      </c>
      <c r="AL62" s="9">
        <v>12218.5</v>
      </c>
      <c r="AM62" s="9">
        <v>12102.1</v>
      </c>
      <c r="AN62" s="9">
        <v>12541.5</v>
      </c>
      <c r="AO62" s="9">
        <v>12403.2</v>
      </c>
      <c r="AP62" s="9">
        <v>12333.5</v>
      </c>
      <c r="AQ62" s="9">
        <v>12514.4</v>
      </c>
      <c r="AR62" s="9">
        <v>12536.2</v>
      </c>
      <c r="AS62" s="9">
        <v>12569.2</v>
      </c>
      <c r="AT62" s="9">
        <v>12682.3</v>
      </c>
      <c r="AU62" s="9">
        <v>12567.7</v>
      </c>
      <c r="AV62" s="9">
        <v>12677.2</v>
      </c>
      <c r="AW62" s="9">
        <v>12494.3</v>
      </c>
      <c r="AX62" s="9">
        <v>12320.1</v>
      </c>
      <c r="AY62" s="9">
        <v>12467.2</v>
      </c>
      <c r="AZ62" s="9">
        <v>13414.3</v>
      </c>
      <c r="BA62" s="9">
        <v>12270.2</v>
      </c>
      <c r="BB62" s="9">
        <v>13312</v>
      </c>
      <c r="BC62" s="9">
        <v>12062.3</v>
      </c>
      <c r="BD62" s="9">
        <v>12487.6</v>
      </c>
      <c r="BE62" s="9">
        <v>13605.3</v>
      </c>
      <c r="BF62" s="9">
        <v>12024.6</v>
      </c>
      <c r="BG62" s="9">
        <v>13349.1</v>
      </c>
      <c r="BH62" s="9">
        <v>12665.6</v>
      </c>
      <c r="BI62" s="9">
        <v>12804.9</v>
      </c>
      <c r="BJ62" s="9">
        <v>12672.4</v>
      </c>
      <c r="BK62" s="9">
        <v>11916.3</v>
      </c>
      <c r="BL62" s="9">
        <v>12978.2</v>
      </c>
      <c r="BM62" s="9">
        <v>12827.3</v>
      </c>
      <c r="BN62" s="9">
        <v>12922.3</v>
      </c>
      <c r="BO62" s="9">
        <v>12795.1</v>
      </c>
      <c r="BP62" s="9">
        <v>11458.2</v>
      </c>
      <c r="BQ62" s="9">
        <v>13114</v>
      </c>
      <c r="BR62" s="9">
        <v>11504.7</v>
      </c>
      <c r="BS62" s="9">
        <v>13080.1</v>
      </c>
      <c r="BT62" s="9">
        <v>12924.4</v>
      </c>
      <c r="BU62" s="9">
        <v>11481.5</v>
      </c>
      <c r="BV62" s="9">
        <v>12570.4</v>
      </c>
      <c r="BW62" s="9">
        <v>12046.8</v>
      </c>
      <c r="BX62" s="9">
        <v>12245.8</v>
      </c>
      <c r="BY62" s="9">
        <v>11492.9</v>
      </c>
      <c r="BZ62" s="9">
        <v>12171</v>
      </c>
      <c r="CA62" s="9">
        <v>12684.8</v>
      </c>
      <c r="CB62" s="9">
        <v>12889.7</v>
      </c>
      <c r="CC62" s="9">
        <v>11715.7</v>
      </c>
      <c r="CD62" s="9">
        <v>12800.7</v>
      </c>
      <c r="CE62" s="9">
        <v>11238.9</v>
      </c>
      <c r="CF62" s="9">
        <v>12432.8</v>
      </c>
      <c r="CG62" s="9">
        <v>12262</v>
      </c>
      <c r="CH62" s="9">
        <v>11555.5</v>
      </c>
      <c r="CI62" s="9">
        <v>12815.1</v>
      </c>
      <c r="CJ62" s="9">
        <v>11368.4</v>
      </c>
      <c r="CK62" s="9">
        <v>13085.3</v>
      </c>
      <c r="CL62" s="9">
        <v>11606.8</v>
      </c>
      <c r="CM62" s="9">
        <v>12880.7</v>
      </c>
      <c r="CN62" s="9">
        <v>11751.2</v>
      </c>
      <c r="CO62" s="9">
        <v>12671.4</v>
      </c>
      <c r="CP62" s="9">
        <v>11865.8</v>
      </c>
      <c r="CQ62" s="9">
        <v>12962.5</v>
      </c>
      <c r="CR62" s="9">
        <v>11762.2</v>
      </c>
      <c r="CS62" s="9">
        <v>12488.6</v>
      </c>
      <c r="CT62" s="9">
        <v>11756.5</v>
      </c>
      <c r="CU62" s="9">
        <v>10351.9</v>
      </c>
      <c r="CV62" s="9">
        <v>12750.2</v>
      </c>
      <c r="CW62" s="9">
        <v>12366.4</v>
      </c>
      <c r="CX62" s="9">
        <v>11461.2</v>
      </c>
      <c r="CY62" s="9">
        <v>13128.9</v>
      </c>
      <c r="CZ62" s="9">
        <v>12794.3</v>
      </c>
      <c r="DA62" s="9">
        <v>11900.8</v>
      </c>
      <c r="DB62" s="9">
        <v>11744.8</v>
      </c>
      <c r="DC62" s="9">
        <v>12886</v>
      </c>
      <c r="DD62" s="9">
        <v>11626.2</v>
      </c>
      <c r="DE62" s="9">
        <v>12088.7</v>
      </c>
      <c r="DF62" s="9">
        <v>13038</v>
      </c>
      <c r="DG62" s="9">
        <v>11582.4</v>
      </c>
      <c r="DH62" s="9">
        <v>13097.7</v>
      </c>
      <c r="DI62" s="9">
        <v>11491.1</v>
      </c>
      <c r="DJ62" s="9">
        <v>12857.8</v>
      </c>
      <c r="DK62" s="9">
        <v>11845.8</v>
      </c>
      <c r="DL62" s="9">
        <v>12927.9</v>
      </c>
      <c r="DM62" s="9">
        <v>11226</v>
      </c>
      <c r="DN62" s="9">
        <v>12984.3</v>
      </c>
      <c r="DO62" s="9">
        <v>11805.2</v>
      </c>
      <c r="DP62" s="9">
        <v>12869.3</v>
      </c>
      <c r="DQ62" s="9">
        <v>11717.7</v>
      </c>
      <c r="DR62" s="9">
        <v>13006.8</v>
      </c>
      <c r="DS62" s="9">
        <v>12027.6</v>
      </c>
      <c r="DT62" s="9">
        <v>11550.6</v>
      </c>
      <c r="DU62" s="9">
        <v>12791.7</v>
      </c>
      <c r="DV62" s="9">
        <v>11652.7</v>
      </c>
      <c r="DW62" s="9">
        <v>11507.9</v>
      </c>
      <c r="DX62" s="9">
        <v>12849</v>
      </c>
      <c r="DY62" s="9">
        <v>13004.9</v>
      </c>
      <c r="DZ62" s="9">
        <v>12755.2</v>
      </c>
      <c r="EA62" s="9">
        <v>11804.4</v>
      </c>
      <c r="EB62" s="9">
        <v>12995.3</v>
      </c>
      <c r="EC62" s="9">
        <v>11738.1</v>
      </c>
      <c r="ED62" s="9">
        <v>12711.7</v>
      </c>
      <c r="EE62" s="9">
        <v>11859.9</v>
      </c>
      <c r="EF62" s="9">
        <v>12672.2</v>
      </c>
      <c r="EG62" s="9">
        <v>11049.3</v>
      </c>
      <c r="EH62" s="9">
        <v>12831.5</v>
      </c>
      <c r="EI62" s="9">
        <v>11799.8</v>
      </c>
      <c r="EJ62" s="9">
        <v>11911</v>
      </c>
      <c r="EK62" s="9">
        <v>11974.3</v>
      </c>
      <c r="EL62" s="9">
        <v>11853.5</v>
      </c>
      <c r="EM62" s="9">
        <v>10186.5</v>
      </c>
      <c r="EN62" s="9">
        <v>11809.4</v>
      </c>
      <c r="EO62" s="9">
        <v>10450.6</v>
      </c>
      <c r="EP62" s="9">
        <v>11715.9</v>
      </c>
      <c r="EQ62" s="9">
        <v>11753.9</v>
      </c>
      <c r="ER62" s="9">
        <v>13312.4</v>
      </c>
      <c r="ES62" s="9">
        <v>11950.4</v>
      </c>
      <c r="ET62" s="9">
        <v>13431.1</v>
      </c>
      <c r="EU62" s="9">
        <v>12242.4</v>
      </c>
      <c r="EV62" s="9">
        <v>13306.2</v>
      </c>
      <c r="EW62" s="9">
        <v>12087.7</v>
      </c>
      <c r="EX62" s="9">
        <v>12291.3</v>
      </c>
      <c r="EY62" s="9">
        <v>12060.1</v>
      </c>
      <c r="EZ62" s="9">
        <v>13165.5</v>
      </c>
      <c r="FA62" s="9">
        <v>13803</v>
      </c>
      <c r="FB62" s="9">
        <v>13320</v>
      </c>
      <c r="FC62" s="9">
        <v>13302</v>
      </c>
      <c r="FD62" s="9">
        <v>13290.2</v>
      </c>
      <c r="FE62" s="9">
        <v>13314.3</v>
      </c>
      <c r="FF62" s="9">
        <v>12371.6</v>
      </c>
      <c r="FG62" s="9">
        <v>13348</v>
      </c>
      <c r="FH62" s="9">
        <v>13250.2</v>
      </c>
      <c r="FI62" s="9">
        <v>13306.9</v>
      </c>
      <c r="FJ62" s="9">
        <v>13278.4</v>
      </c>
      <c r="FK62" s="9">
        <v>13200.3</v>
      </c>
      <c r="FL62" s="9">
        <v>13373</v>
      </c>
      <c r="FM62" s="9">
        <v>12282.8</v>
      </c>
      <c r="FN62" s="9">
        <v>13413.6</v>
      </c>
      <c r="FO62" s="9">
        <v>12347.2</v>
      </c>
      <c r="FP62" s="11">
        <v>39.136333333333404</v>
      </c>
      <c r="FQ62" s="11">
        <v>0</v>
      </c>
      <c r="FR62" s="11">
        <v>38.923358974358969</v>
      </c>
      <c r="FS62" s="11">
        <v>39.111910256410226</v>
      </c>
      <c r="FT62" s="11">
        <v>39.196115384615389</v>
      </c>
      <c r="FU62" s="11">
        <v>38.928333333333349</v>
      </c>
      <c r="FV62" s="11">
        <v>0</v>
      </c>
      <c r="FW62" s="11">
        <v>0</v>
      </c>
      <c r="FX62" s="11">
        <v>0</v>
      </c>
      <c r="FY62" s="11">
        <v>0</v>
      </c>
      <c r="FZ62" s="11">
        <v>51.5</v>
      </c>
      <c r="GA62" s="11">
        <v>51.5</v>
      </c>
      <c r="GB62" s="11">
        <v>4.2878823015384659</v>
      </c>
      <c r="GC62" s="11">
        <v>0</v>
      </c>
      <c r="GD62" s="11">
        <v>4.0248203641025642</v>
      </c>
      <c r="GE62" s="11">
        <v>2.615378073500001</v>
      </c>
      <c r="GF62" s="11">
        <v>4.2820832010256398</v>
      </c>
      <c r="GG62" s="11">
        <v>4.2102669416666769</v>
      </c>
      <c r="GH62" s="11">
        <v>15.945</v>
      </c>
      <c r="GI62" s="11">
        <v>0</v>
      </c>
      <c r="GJ62" s="11">
        <v>14.154999999999999</v>
      </c>
      <c r="GK62" s="11">
        <v>13.688330000000001</v>
      </c>
      <c r="GL62" s="11">
        <v>12.526669999999999</v>
      </c>
      <c r="GM62" s="11">
        <v>12</v>
      </c>
      <c r="GN62" s="11">
        <v>7.4711966666666694</v>
      </c>
      <c r="GO62" s="11">
        <v>0</v>
      </c>
      <c r="GP62" s="11">
        <v>7.5902005000000132</v>
      </c>
      <c r="GQ62" s="11">
        <v>7.3328526666666738</v>
      </c>
      <c r="GR62" s="11">
        <v>7.4388206666666647</v>
      </c>
      <c r="GS62" s="11">
        <v>7.5140454999999919</v>
      </c>
      <c r="GT62" s="108">
        <v>1.9065658333333351</v>
      </c>
      <c r="GU62" s="108">
        <v>0</v>
      </c>
      <c r="GV62" s="108">
        <v>1.7621973333333329</v>
      </c>
      <c r="GW62" s="108">
        <v>2.0949326666666654</v>
      </c>
      <c r="GX62" s="108">
        <v>2.1077518333333325</v>
      </c>
      <c r="GY62" s="108">
        <v>1.6960598333333323</v>
      </c>
      <c r="GZ62" s="13">
        <v>0</v>
      </c>
      <c r="HA62" s="13">
        <v>0</v>
      </c>
      <c r="HB62" s="13">
        <v>7.2432711666666663</v>
      </c>
      <c r="HC62" s="13">
        <v>0</v>
      </c>
      <c r="HD62" s="13">
        <v>7.3142808333333384</v>
      </c>
      <c r="HE62" s="13">
        <v>7.2848406666666641</v>
      </c>
      <c r="HF62" s="13">
        <v>0.58465000000000034</v>
      </c>
      <c r="HG62" s="13">
        <v>0</v>
      </c>
      <c r="HH62" s="13">
        <v>0.57752566666666616</v>
      </c>
      <c r="HI62" s="13">
        <v>0.55993333333333328</v>
      </c>
      <c r="HJ62" s="13">
        <v>0.60427683333333349</v>
      </c>
      <c r="HK62" s="13">
        <v>0.60704133333333299</v>
      </c>
      <c r="HL62" s="12">
        <v>0</v>
      </c>
      <c r="HM62" s="12">
        <v>0</v>
      </c>
      <c r="HN62" s="12">
        <v>0</v>
      </c>
      <c r="HO62" s="12">
        <v>0</v>
      </c>
      <c r="HP62" s="12">
        <v>0</v>
      </c>
      <c r="HQ62" s="12">
        <v>0</v>
      </c>
      <c r="HR62" s="12">
        <v>0</v>
      </c>
      <c r="HS62" s="12">
        <v>0</v>
      </c>
      <c r="HT62" s="12">
        <v>0</v>
      </c>
      <c r="HU62" s="12">
        <v>0</v>
      </c>
      <c r="HV62" s="12">
        <v>0</v>
      </c>
      <c r="HW62" s="12">
        <v>0</v>
      </c>
      <c r="HX62" s="9">
        <v>949867</v>
      </c>
      <c r="HY62" s="9">
        <v>1768</v>
      </c>
      <c r="HZ62" s="9">
        <v>936592</v>
      </c>
      <c r="IA62" s="9">
        <v>1796</v>
      </c>
      <c r="IB62" s="11">
        <v>191374.14799999999</v>
      </c>
      <c r="IC62" s="11">
        <v>425.93299999999999</v>
      </c>
      <c r="ID62" s="14">
        <f t="shared" ref="ID62:II62" si="576">GN62-HL62</f>
        <v>7.4711966666666694</v>
      </c>
      <c r="IE62" s="14">
        <f t="shared" si="576"/>
        <v>0</v>
      </c>
      <c r="IF62" s="14">
        <f t="shared" si="576"/>
        <v>7.5902005000000132</v>
      </c>
      <c r="IG62" s="14">
        <f t="shared" si="576"/>
        <v>7.3328526666666738</v>
      </c>
      <c r="IH62" s="14">
        <f t="shared" si="576"/>
        <v>7.4388206666666647</v>
      </c>
      <c r="II62" s="14">
        <f t="shared" si="576"/>
        <v>7.5140454999999919</v>
      </c>
      <c r="IJ62" s="15">
        <f t="shared" ref="IJ62:IO62" si="577">GZ62-HR62</f>
        <v>0</v>
      </c>
      <c r="IK62" s="15">
        <f t="shared" si="577"/>
        <v>0</v>
      </c>
      <c r="IL62" s="15">
        <f t="shared" si="577"/>
        <v>7.2432711666666663</v>
      </c>
      <c r="IM62" s="15">
        <f t="shared" si="577"/>
        <v>0</v>
      </c>
      <c r="IN62" s="15">
        <f t="shared" si="577"/>
        <v>7.3142808333333384</v>
      </c>
      <c r="IO62" s="15">
        <f t="shared" si="577"/>
        <v>7.2848406666666641</v>
      </c>
      <c r="IP62" s="16">
        <f t="shared" ref="IP62" si="578">(HX62-HX61)*1000</f>
        <v>989000</v>
      </c>
      <c r="IQ62" s="16">
        <f t="shared" ref="IQ62" si="579">(HY62-HY61)*1000</f>
        <v>1000</v>
      </c>
      <c r="IR62" s="16">
        <f t="shared" ref="IR62" si="580">(HZ62-HZ61)*1000</f>
        <v>985000</v>
      </c>
      <c r="IS62" s="16">
        <f t="shared" ref="IS62" si="581">(IA62-IA61)*1000</f>
        <v>1000</v>
      </c>
      <c r="IT62" s="16">
        <f t="shared" ref="IT62" si="582">(IB62-IB61)*1000</f>
        <v>1971466.9999999751</v>
      </c>
      <c r="IU62" s="16">
        <f t="shared" ref="IU62" si="583">(IC62-IC61)*1000</f>
        <v>4332.99999999997</v>
      </c>
      <c r="IV62" s="17">
        <f t="shared" ref="IV62" si="584">(IP62+IR62)-(IQ62+IS62)</f>
        <v>1972000</v>
      </c>
      <c r="IW62" s="17">
        <f t="shared" ref="IW62" si="585">IT62-IU62</f>
        <v>1967133.9999999751</v>
      </c>
      <c r="IX62" s="19">
        <f>(Raw_Data[[#This Row],[Sunset Time (POA&lt;20 W/m2)]]-Raw_Data[[#This Row],[Sunrise Time (POA&gt;20 W/m2)]])*24</f>
        <v>13.100000000000001</v>
      </c>
      <c r="IY62" s="68">
        <f>AVERAGEIF(Raw_Data[[#This Row],[GHI_UP_Net_IS2_W1]:[GHI_UP_Net_IS19_W6]],"&lt;&gt;"&amp;0,Raw_Data[[#This Row],[GHI_UP_Net_IS2_W1]:[GHI_UP_Net_IS19_W6]])</f>
        <v>7.4694232000000031</v>
      </c>
      <c r="IZ62" s="68">
        <f>AVERAGEIF(Raw_Data[[#This Row],[GHI_Down_IS2_W1]:[GHI_Down_IS19_W6]],"&lt;&gt;"&amp;0,Raw_Data[[#This Row],[GHI_Down_IS2_W1]:[GHI_Down_IS19_W6]])</f>
        <v>1.9135014999999995</v>
      </c>
      <c r="JA62" s="68">
        <f>AVERAGEIF(Raw_Data[[#This Row],[POA_Up_IS2_W1]:[POA_Up_IS19_W6]],"&lt;&gt;"&amp;0,Raw_Data[[#This Row],[POA_Up_IS2_W1]:[POA_Up_IS19_W6]])</f>
        <v>7.280797555555556</v>
      </c>
      <c r="JB62" s="68">
        <f>AVERAGEIF(Raw_Data[[#This Row],[POA_Down_IS2_W1]:[POA_Down_IS19_W6]],"&lt;&gt;"&amp;0,Raw_Data[[#This Row],[POA_Down_IS2_W1]:[POA_Down_IS19_W6]])</f>
        <v>0.58668543333333323</v>
      </c>
      <c r="JC62" s="69">
        <f>Raw_Data[[#This Row],[GHI-Down(KWh/m2)]]/Raw_Data[[#This Row],[GHI-UP (KWh/m2)]]</f>
        <v>0.25617794691295559</v>
      </c>
      <c r="JD62" s="72">
        <f>Raw_Data[[#This Row],[POA-Down(KWh/m2)]]/Raw_Data[[#This Row],[POA-UP(KWh/m2)]]</f>
        <v>8.0579830555193424E-2</v>
      </c>
      <c r="JE62" s="68">
        <f>AVERAGEIF(Raw_Data[[#This Row],[Amb_Temp_IS2_W1]:[Amb_Temp_IS19_W6]],"&lt;&gt;"&amp;0,Raw_Data[[#This Row],[Amb_Temp_IS2_W1]:[Amb_Temp_IS19_W6]])</f>
        <v>39.059210256410267</v>
      </c>
      <c r="JF62" s="68">
        <f>AVERAGEIF(Raw_Data[[#This Row],[MT_Temp_IS2_W1]:[MT_Temp_IS19_W6]],"&lt;&gt;"&amp;0,Raw_Data[[#This Row],[MT_Temp_IS2_W1]:[MT_Temp_IS19_W6]])</f>
        <v>51.5</v>
      </c>
      <c r="JG62" s="68">
        <f>AVERAGEIF(Raw_Data[[#This Row],[WS_Avg_IS2_W1]:[WS_Avg_IS19_W6]],"&lt;&gt;"&amp;0,Raw_Data[[#This Row],[WS_Avg_IS2_W1]:[WS_Avg_IS19_W6]])</f>
        <v>3.8840861763666696</v>
      </c>
      <c r="JH62" s="68">
        <f>AVERAGEIF(Raw_Data[[#This Row],[WS_Max_IS2_W1]:[WS_Max_IS19_W6]],"&lt;&gt;"&amp;0,Raw_Data[[#This Row],[WS_Max_IS2_W1]:[WS_Max_IS19_W6]])</f>
        <v>13.663</v>
      </c>
      <c r="JI62" s="70">
        <f>SUM(Raw_Data[[#This Row],[IS1_INV1_M1]:[IS20_INV4_M2]])</f>
        <v>1984633.1999999997</v>
      </c>
      <c r="JJ62" s="73">
        <v>1938067.00000001</v>
      </c>
      <c r="JK62" s="71">
        <v>2337419.9457570943</v>
      </c>
      <c r="JL62" s="143">
        <f>IFERROR(Raw_Data[[#This Row],[WPR_Eac]]/Raw_Data[[#This Row],[WPR_Edc]],"")</f>
        <v>0.82914796869001084</v>
      </c>
      <c r="JM62" s="6">
        <v>34</v>
      </c>
      <c r="JN62" s="6">
        <v>0</v>
      </c>
    </row>
    <row r="63" spans="2:274">
      <c r="B63" s="250">
        <f t="shared" si="21"/>
        <v>45802</v>
      </c>
      <c r="C63" s="9">
        <f>YEAR(Raw_Data[[#This Row],[Date]])+IF(MONTH(Raw_Data[[#This Row],[Date]])&gt;=4,1,0)</f>
        <v>2026</v>
      </c>
      <c r="D63" s="6">
        <f t="shared" si="544"/>
        <v>2025</v>
      </c>
      <c r="E63" s="7" t="s">
        <v>361</v>
      </c>
      <c r="F63" s="7" t="s">
        <v>361</v>
      </c>
      <c r="G63" s="8">
        <v>45778</v>
      </c>
      <c r="H63" s="6">
        <f t="shared" si="545"/>
        <v>31</v>
      </c>
      <c r="I63" s="9">
        <v>335090.89</v>
      </c>
      <c r="J63" s="10">
        <v>0.28819444444444442</v>
      </c>
      <c r="K63" s="10">
        <v>0.80625000000000002</v>
      </c>
      <c r="L63" s="9">
        <v>7878.7</v>
      </c>
      <c r="M63" s="9">
        <v>7253.3</v>
      </c>
      <c r="N63" s="9">
        <v>7273.9</v>
      </c>
      <c r="O63" s="9">
        <v>7270.8</v>
      </c>
      <c r="P63" s="9">
        <v>7111</v>
      </c>
      <c r="Q63" s="9">
        <v>7361</v>
      </c>
      <c r="R63" s="9">
        <v>6286.7</v>
      </c>
      <c r="S63" s="9">
        <v>6302.2</v>
      </c>
      <c r="T63" s="9">
        <v>6744.6</v>
      </c>
      <c r="U63" s="9">
        <v>6800.4</v>
      </c>
      <c r="V63" s="9">
        <v>6941.7</v>
      </c>
      <c r="W63" s="9">
        <v>6451.8</v>
      </c>
      <c r="X63" s="9">
        <v>6826.4</v>
      </c>
      <c r="Y63" s="9">
        <v>6996.8</v>
      </c>
      <c r="Z63" s="9">
        <v>7108.6</v>
      </c>
      <c r="AA63" s="9">
        <v>7519.2</v>
      </c>
      <c r="AB63" s="9">
        <v>7805.7</v>
      </c>
      <c r="AC63" s="9">
        <v>7722.4</v>
      </c>
      <c r="AD63" s="9">
        <v>7489.5</v>
      </c>
      <c r="AE63" s="9">
        <v>6464.7</v>
      </c>
      <c r="AF63" s="9">
        <v>8120.2</v>
      </c>
      <c r="AG63" s="9">
        <v>7794.6</v>
      </c>
      <c r="AH63" s="9">
        <v>8432.5</v>
      </c>
      <c r="AI63" s="9">
        <v>8412.9</v>
      </c>
      <c r="AJ63" s="9">
        <v>6643.5</v>
      </c>
      <c r="AK63" s="9">
        <v>5712.8</v>
      </c>
      <c r="AL63" s="9">
        <v>6467.3</v>
      </c>
      <c r="AM63" s="9">
        <v>7093.1</v>
      </c>
      <c r="AN63" s="9">
        <v>8127.1</v>
      </c>
      <c r="AO63" s="9">
        <v>7514</v>
      </c>
      <c r="AP63" s="9">
        <v>8053.8</v>
      </c>
      <c r="AQ63" s="9">
        <v>8022.6</v>
      </c>
      <c r="AR63" s="9">
        <v>7901.5</v>
      </c>
      <c r="AS63" s="9">
        <v>7765.2</v>
      </c>
      <c r="AT63" s="9">
        <v>7264.9</v>
      </c>
      <c r="AU63" s="9">
        <v>7461.4</v>
      </c>
      <c r="AV63" s="9">
        <v>7826.5</v>
      </c>
      <c r="AW63" s="9">
        <v>7562.4</v>
      </c>
      <c r="AX63" s="9">
        <v>7554.1</v>
      </c>
      <c r="AY63" s="9">
        <v>8390.6</v>
      </c>
      <c r="AZ63" s="9">
        <v>8976.4</v>
      </c>
      <c r="BA63" s="9">
        <v>8013</v>
      </c>
      <c r="BB63" s="9">
        <v>8906.2999999999993</v>
      </c>
      <c r="BC63" s="9">
        <v>7871.9</v>
      </c>
      <c r="BD63" s="9">
        <v>8186.5</v>
      </c>
      <c r="BE63" s="9">
        <v>9142.7999999999993</v>
      </c>
      <c r="BF63" s="9">
        <v>7595.2</v>
      </c>
      <c r="BG63" s="9">
        <v>9143.1</v>
      </c>
      <c r="BH63" s="9">
        <v>8089.3</v>
      </c>
      <c r="BI63" s="9">
        <v>8212.2000000000007</v>
      </c>
      <c r="BJ63" s="9">
        <v>8409.7999999999993</v>
      </c>
      <c r="BK63" s="9">
        <v>7216.7</v>
      </c>
      <c r="BL63" s="9">
        <v>8512.7000000000007</v>
      </c>
      <c r="BM63" s="9">
        <v>7266.4</v>
      </c>
      <c r="BN63" s="9">
        <v>8668.7999999999993</v>
      </c>
      <c r="BO63" s="9">
        <v>8277.5</v>
      </c>
      <c r="BP63" s="9">
        <v>7413</v>
      </c>
      <c r="BQ63" s="9">
        <v>8630</v>
      </c>
      <c r="BR63" s="9">
        <v>7371.5</v>
      </c>
      <c r="BS63" s="9">
        <v>7805.6</v>
      </c>
      <c r="BT63" s="9">
        <v>6603.2</v>
      </c>
      <c r="BU63" s="9">
        <v>6016.7</v>
      </c>
      <c r="BV63" s="9">
        <v>7350.8</v>
      </c>
      <c r="BW63" s="9">
        <v>7051.2</v>
      </c>
      <c r="BX63" s="9">
        <v>7714.7</v>
      </c>
      <c r="BY63" s="9">
        <v>7760.4</v>
      </c>
      <c r="BZ63" s="9">
        <v>7950.5</v>
      </c>
      <c r="CA63" s="9">
        <v>8546.2999999999993</v>
      </c>
      <c r="CB63" s="9">
        <v>8696.6</v>
      </c>
      <c r="CC63" s="9">
        <v>7883.2</v>
      </c>
      <c r="CD63" s="9">
        <v>8657.1</v>
      </c>
      <c r="CE63" s="9">
        <v>7554.4</v>
      </c>
      <c r="CF63" s="9">
        <v>8116.7</v>
      </c>
      <c r="CG63" s="9">
        <v>8036.2</v>
      </c>
      <c r="CH63" s="9">
        <v>7469.4</v>
      </c>
      <c r="CI63" s="9">
        <v>7511.1</v>
      </c>
      <c r="CJ63" s="9">
        <v>6172.1</v>
      </c>
      <c r="CK63" s="9">
        <v>8235.7999999999993</v>
      </c>
      <c r="CL63" s="9">
        <v>6001.2</v>
      </c>
      <c r="CM63" s="9">
        <v>6680.8</v>
      </c>
      <c r="CN63" s="9">
        <v>7700.3</v>
      </c>
      <c r="CO63" s="9">
        <v>8464.7000000000007</v>
      </c>
      <c r="CP63" s="9">
        <v>7197</v>
      </c>
      <c r="CQ63" s="9">
        <v>8751.2000000000007</v>
      </c>
      <c r="CR63" s="9">
        <v>7414.8</v>
      </c>
      <c r="CS63" s="9">
        <v>7687.2</v>
      </c>
      <c r="CT63" s="9">
        <v>6997.9</v>
      </c>
      <c r="CU63" s="9">
        <v>6611.9</v>
      </c>
      <c r="CV63" s="9">
        <v>6511.7</v>
      </c>
      <c r="CW63" s="9">
        <v>7849.1</v>
      </c>
      <c r="CX63" s="9">
        <v>7199.9</v>
      </c>
      <c r="CY63" s="9">
        <v>7816.8</v>
      </c>
      <c r="CZ63" s="9">
        <v>8020.5</v>
      </c>
      <c r="DA63" s="9">
        <v>7099.7</v>
      </c>
      <c r="DB63" s="9">
        <v>6927.3</v>
      </c>
      <c r="DC63" s="9">
        <v>7178</v>
      </c>
      <c r="DD63" s="9">
        <v>6060</v>
      </c>
      <c r="DE63" s="9">
        <v>7371.9</v>
      </c>
      <c r="DF63" s="9">
        <v>8097.6</v>
      </c>
      <c r="DG63" s="9">
        <v>6991.1</v>
      </c>
      <c r="DH63" s="9">
        <v>8258.7000000000007</v>
      </c>
      <c r="DI63" s="9">
        <v>7353.2</v>
      </c>
      <c r="DJ63" s="9">
        <v>8284.2000000000007</v>
      </c>
      <c r="DK63" s="9">
        <v>7154</v>
      </c>
      <c r="DL63" s="9">
        <v>8272.4</v>
      </c>
      <c r="DM63" s="9">
        <v>7055.4</v>
      </c>
      <c r="DN63" s="9">
        <v>8373.9</v>
      </c>
      <c r="DO63" s="9">
        <v>7515.7</v>
      </c>
      <c r="DP63" s="9">
        <v>8108</v>
      </c>
      <c r="DQ63" s="9">
        <v>7255.9</v>
      </c>
      <c r="DR63" s="9">
        <v>7857.8</v>
      </c>
      <c r="DS63" s="9">
        <v>7689</v>
      </c>
      <c r="DT63" s="9">
        <v>7298.8</v>
      </c>
      <c r="DU63" s="9">
        <v>7741.4</v>
      </c>
      <c r="DV63" s="9">
        <v>7220.6</v>
      </c>
      <c r="DW63" s="9">
        <v>7061.9</v>
      </c>
      <c r="DX63" s="9">
        <v>7783.9</v>
      </c>
      <c r="DY63" s="9">
        <v>8593.9</v>
      </c>
      <c r="DZ63" s="9">
        <v>8111.5</v>
      </c>
      <c r="EA63" s="9">
        <v>7674.3</v>
      </c>
      <c r="EB63" s="9">
        <v>8515</v>
      </c>
      <c r="EC63" s="9">
        <v>7571</v>
      </c>
      <c r="ED63" s="9">
        <v>7904.3</v>
      </c>
      <c r="EE63" s="9">
        <v>7665.8</v>
      </c>
      <c r="EF63" s="9">
        <v>7621.2</v>
      </c>
      <c r="EG63" s="9">
        <v>7118.1</v>
      </c>
      <c r="EH63" s="9">
        <v>8312.7999999999993</v>
      </c>
      <c r="EI63" s="9">
        <v>7931.2</v>
      </c>
      <c r="EJ63" s="9">
        <v>6506.2</v>
      </c>
      <c r="EK63" s="9">
        <v>5896.4</v>
      </c>
      <c r="EL63" s="9">
        <v>6761.1</v>
      </c>
      <c r="EM63" s="9">
        <v>5668</v>
      </c>
      <c r="EN63" s="9">
        <v>6773.6</v>
      </c>
      <c r="EO63" s="9">
        <v>5600.3</v>
      </c>
      <c r="EP63" s="9">
        <v>6496</v>
      </c>
      <c r="EQ63" s="9">
        <v>6615.3</v>
      </c>
      <c r="ER63" s="9">
        <v>8735.4</v>
      </c>
      <c r="ES63" s="9">
        <v>7486.2</v>
      </c>
      <c r="ET63" s="9">
        <v>8457.1</v>
      </c>
      <c r="EU63" s="9">
        <v>7545.6</v>
      </c>
      <c r="EV63" s="9">
        <v>7944.1</v>
      </c>
      <c r="EW63" s="9">
        <v>6608</v>
      </c>
      <c r="EX63" s="9">
        <v>6953.9</v>
      </c>
      <c r="EY63" s="9">
        <v>6666.5</v>
      </c>
      <c r="EZ63" s="9">
        <v>8272</v>
      </c>
      <c r="FA63" s="9">
        <v>8730.1</v>
      </c>
      <c r="FB63" s="9">
        <v>8741.7999999999993</v>
      </c>
      <c r="FC63" s="9">
        <v>8821.7999999999993</v>
      </c>
      <c r="FD63" s="9">
        <v>8684.7000000000007</v>
      </c>
      <c r="FE63" s="9">
        <v>8648.4</v>
      </c>
      <c r="FF63" s="9">
        <v>7644.4</v>
      </c>
      <c r="FG63" s="9">
        <v>8437</v>
      </c>
      <c r="FH63" s="9">
        <v>9072.7999999999993</v>
      </c>
      <c r="FI63" s="9">
        <v>9096.2999999999993</v>
      </c>
      <c r="FJ63" s="9">
        <v>8665.7999999999993</v>
      </c>
      <c r="FK63" s="9">
        <v>8789.5</v>
      </c>
      <c r="FL63" s="9">
        <v>8645.7000000000007</v>
      </c>
      <c r="FM63" s="9">
        <v>7780.9</v>
      </c>
      <c r="FN63" s="9">
        <v>9146.2000000000007</v>
      </c>
      <c r="FO63" s="9">
        <v>8046.3</v>
      </c>
      <c r="FP63" s="11">
        <v>38.868736702127656</v>
      </c>
      <c r="FQ63" s="11">
        <v>38.460053191489372</v>
      </c>
      <c r="FR63" s="11">
        <v>38.697712765957498</v>
      </c>
      <c r="FS63" s="11">
        <v>38.757965425531886</v>
      </c>
      <c r="FT63" s="11">
        <v>38.532127659574471</v>
      </c>
      <c r="FU63" s="11">
        <v>38.509414893616992</v>
      </c>
      <c r="FV63" s="11">
        <v>0</v>
      </c>
      <c r="FW63" s="11">
        <v>48.584494680851058</v>
      </c>
      <c r="FX63" s="11">
        <v>0</v>
      </c>
      <c r="FY63" s="11">
        <v>0</v>
      </c>
      <c r="FZ63" s="11">
        <v>48.653140425531944</v>
      </c>
      <c r="GA63" s="11">
        <v>48.52630319148934</v>
      </c>
      <c r="GB63" s="11">
        <v>3.0314847948138288</v>
      </c>
      <c r="GC63" s="11">
        <v>2.9531625478723411</v>
      </c>
      <c r="GD63" s="11">
        <v>2.7762210868351045</v>
      </c>
      <c r="GE63" s="11">
        <v>0.98697025445478836</v>
      </c>
      <c r="GF63" s="11">
        <v>3.0158709034574462</v>
      </c>
      <c r="GG63" s="11">
        <v>2.485150613976066</v>
      </c>
      <c r="GH63" s="11">
        <v>6.01</v>
      </c>
      <c r="GI63" s="11">
        <v>5.65</v>
      </c>
      <c r="GJ63" s="11">
        <v>5.9966660000000003</v>
      </c>
      <c r="GK63" s="11">
        <v>5.7016660000000003</v>
      </c>
      <c r="GL63" s="11">
        <v>5.8783339999999997</v>
      </c>
      <c r="GM63" s="11">
        <v>5.4933329999999998</v>
      </c>
      <c r="GN63" s="11">
        <v>4.6724149999999955</v>
      </c>
      <c r="GO63" s="11">
        <v>5.0788099999999954</v>
      </c>
      <c r="GP63" s="11">
        <v>5.144732499999999</v>
      </c>
      <c r="GQ63" s="11">
        <v>4.9940458333333302</v>
      </c>
      <c r="GR63" s="11">
        <v>5.1039101666666626</v>
      </c>
      <c r="GS63" s="11">
        <v>5.0901416666666739</v>
      </c>
      <c r="GT63" s="108">
        <v>1.3191286666666657</v>
      </c>
      <c r="GU63" s="108">
        <v>1.3012691666666683</v>
      </c>
      <c r="GV63" s="108">
        <v>1.1856746666666662</v>
      </c>
      <c r="GW63" s="108">
        <v>1.4123074999999989</v>
      </c>
      <c r="GX63" s="108">
        <v>1.4825839999999995</v>
      </c>
      <c r="GY63" s="108">
        <v>1.2343785000000005</v>
      </c>
      <c r="GZ63" s="13">
        <v>0</v>
      </c>
      <c r="HA63" s="13">
        <v>5.0289501666666689</v>
      </c>
      <c r="HB63" s="13">
        <v>5.0223746666666687</v>
      </c>
      <c r="HC63" s="13">
        <v>0</v>
      </c>
      <c r="HD63" s="13">
        <v>4.9799316666666762</v>
      </c>
      <c r="HE63" s="13">
        <v>4.9766536666666665</v>
      </c>
      <c r="HF63" s="13">
        <v>0.47992950000000023</v>
      </c>
      <c r="HG63" s="13">
        <v>0.50636533333333311</v>
      </c>
      <c r="HH63" s="13">
        <v>0.47593333333333321</v>
      </c>
      <c r="HI63" s="13">
        <v>0.45840900000000018</v>
      </c>
      <c r="HJ63" s="13">
        <v>0.49150399999999927</v>
      </c>
      <c r="HK63" s="13">
        <v>0.48601316666666589</v>
      </c>
      <c r="HL63" s="12">
        <v>0</v>
      </c>
      <c r="HM63" s="12">
        <v>0</v>
      </c>
      <c r="HN63" s="12">
        <v>0</v>
      </c>
      <c r="HO63" s="12">
        <v>0</v>
      </c>
      <c r="HP63" s="12">
        <v>0</v>
      </c>
      <c r="HQ63" s="12">
        <v>0</v>
      </c>
      <c r="HR63" s="12">
        <v>0</v>
      </c>
      <c r="HS63" s="12">
        <v>0</v>
      </c>
      <c r="HT63" s="12">
        <v>0</v>
      </c>
      <c r="HU63" s="12">
        <v>0</v>
      </c>
      <c r="HV63" s="12">
        <v>0</v>
      </c>
      <c r="HW63" s="12">
        <v>0</v>
      </c>
      <c r="HX63" s="9">
        <v>950473</v>
      </c>
      <c r="HY63" s="9">
        <v>1769</v>
      </c>
      <c r="HZ63" s="9">
        <v>937205</v>
      </c>
      <c r="IA63" s="9">
        <v>1798</v>
      </c>
      <c r="IB63" s="11">
        <v>192591.08199999999</v>
      </c>
      <c r="IC63" s="11">
        <v>430.267</v>
      </c>
      <c r="ID63" s="14">
        <f t="shared" ref="ID63:II63" si="586">GN63-HL63</f>
        <v>4.6724149999999955</v>
      </c>
      <c r="IE63" s="14">
        <f t="shared" si="586"/>
        <v>5.0788099999999954</v>
      </c>
      <c r="IF63" s="14">
        <f t="shared" si="586"/>
        <v>5.144732499999999</v>
      </c>
      <c r="IG63" s="14">
        <f t="shared" si="586"/>
        <v>4.9940458333333302</v>
      </c>
      <c r="IH63" s="14">
        <f t="shared" si="586"/>
        <v>5.1039101666666626</v>
      </c>
      <c r="II63" s="14">
        <f t="shared" si="586"/>
        <v>5.0901416666666739</v>
      </c>
      <c r="IJ63" s="15">
        <f t="shared" ref="IJ63:IO63" si="587">GZ63-HR63</f>
        <v>0</v>
      </c>
      <c r="IK63" s="15">
        <f t="shared" si="587"/>
        <v>5.0289501666666689</v>
      </c>
      <c r="IL63" s="15">
        <f t="shared" si="587"/>
        <v>5.0223746666666687</v>
      </c>
      <c r="IM63" s="15">
        <f t="shared" si="587"/>
        <v>0</v>
      </c>
      <c r="IN63" s="15">
        <f t="shared" si="587"/>
        <v>4.9799316666666762</v>
      </c>
      <c r="IO63" s="15">
        <f t="shared" si="587"/>
        <v>4.9766536666666665</v>
      </c>
      <c r="IP63" s="16">
        <f t="shared" ref="IP63" si="588">(HX63-HX62)*1000</f>
        <v>606000</v>
      </c>
      <c r="IQ63" s="16">
        <f t="shared" ref="IQ63" si="589">(HY63-HY62)*1000</f>
        <v>1000</v>
      </c>
      <c r="IR63" s="16">
        <f t="shared" ref="IR63" si="590">(HZ63-HZ62)*1000</f>
        <v>613000</v>
      </c>
      <c r="IS63" s="16">
        <f t="shared" ref="IS63" si="591">(IA63-IA62)*1000</f>
        <v>2000</v>
      </c>
      <c r="IT63" s="16">
        <f t="shared" ref="IT63" si="592">(IB63-IB62)*1000</f>
        <v>1216934.0000000084</v>
      </c>
      <c r="IU63" s="16">
        <f t="shared" ref="IU63" si="593">(IC63-IC62)*1000</f>
        <v>4334.0000000000036</v>
      </c>
      <c r="IV63" s="17">
        <f t="shared" ref="IV63" si="594">(IP63+IR63)-(IQ63+IS63)</f>
        <v>1216000</v>
      </c>
      <c r="IW63" s="17">
        <f t="shared" ref="IW63" si="595">IT63-IU63</f>
        <v>1212600.0000000084</v>
      </c>
      <c r="IX63" s="19">
        <f>(Raw_Data[[#This Row],[Sunset Time (POA&lt;20 W/m2)]]-Raw_Data[[#This Row],[Sunrise Time (POA&gt;20 W/m2)]])*24</f>
        <v>12.433333333333334</v>
      </c>
      <c r="IY63" s="68">
        <f>AVERAGEIF(Raw_Data[[#This Row],[GHI_UP_Net_IS2_W1]:[GHI_UP_Net_IS19_W6]],"&lt;&gt;"&amp;0,Raw_Data[[#This Row],[GHI_UP_Net_IS2_W1]:[GHI_UP_Net_IS19_W6]])</f>
        <v>5.0140091944444434</v>
      </c>
      <c r="IZ63" s="68">
        <f>AVERAGEIF(Raw_Data[[#This Row],[GHI_Down_IS2_W1]:[GHI_Down_IS19_W6]],"&lt;&gt;"&amp;0,Raw_Data[[#This Row],[GHI_Down_IS2_W1]:[GHI_Down_IS19_W6]])</f>
        <v>1.3225570833333331</v>
      </c>
      <c r="JA63" s="68">
        <f>AVERAGEIF(Raw_Data[[#This Row],[POA_Up_IS2_W1]:[POA_Up_IS19_W6]],"&lt;&gt;"&amp;0,Raw_Data[[#This Row],[POA_Up_IS2_W1]:[POA_Up_IS19_W6]])</f>
        <v>5.0019775416666699</v>
      </c>
      <c r="JB63" s="68">
        <f>AVERAGEIF(Raw_Data[[#This Row],[POA_Down_IS2_W1]:[POA_Down_IS19_W6]],"&lt;&gt;"&amp;0,Raw_Data[[#This Row],[POA_Down_IS2_W1]:[POA_Down_IS19_W6]])</f>
        <v>0.48302572222222206</v>
      </c>
      <c r="JC63" s="69">
        <f>Raw_Data[[#This Row],[GHI-Down(KWh/m2)]]/Raw_Data[[#This Row],[GHI-UP (KWh/m2)]]</f>
        <v>0.26377236898542894</v>
      </c>
      <c r="JD63" s="72">
        <f>Raw_Data[[#This Row],[POA-Down(KWh/m2)]]/Raw_Data[[#This Row],[POA-UP(KWh/m2)]]</f>
        <v>9.6566951410436933E-2</v>
      </c>
      <c r="JE63" s="68">
        <f>AVERAGEIF(Raw_Data[[#This Row],[Amb_Temp_IS2_W1]:[Amb_Temp_IS19_W6]],"&lt;&gt;"&amp;0,Raw_Data[[#This Row],[Amb_Temp_IS2_W1]:[Amb_Temp_IS19_W6]])</f>
        <v>38.637668439716315</v>
      </c>
      <c r="JF63" s="68">
        <f>AVERAGEIF(Raw_Data[[#This Row],[MT_Temp_IS2_W1]:[MT_Temp_IS19_W6]],"&lt;&gt;"&amp;0,Raw_Data[[#This Row],[MT_Temp_IS2_W1]:[MT_Temp_IS19_W6]])</f>
        <v>48.587979432624117</v>
      </c>
      <c r="JG63" s="68">
        <f>AVERAGEIF(Raw_Data[[#This Row],[WS_Avg_IS2_W1]:[WS_Avg_IS19_W6]],"&lt;&gt;"&amp;0,Raw_Data[[#This Row],[WS_Avg_IS2_W1]:[WS_Avg_IS19_W6]])</f>
        <v>2.5414767002349294</v>
      </c>
      <c r="JH63" s="68">
        <f>AVERAGEIF(Raw_Data[[#This Row],[WS_Max_IS2_W1]:[WS_Max_IS19_W6]],"&lt;&gt;"&amp;0,Raw_Data[[#This Row],[WS_Max_IS2_W1]:[WS_Max_IS19_W6]])</f>
        <v>5.7883331666666669</v>
      </c>
      <c r="JI63" s="70">
        <f>SUM(Raw_Data[[#This Row],[IS1_INV1_M1]:[IS20_INV4_M2]])</f>
        <v>1220637.3999999999</v>
      </c>
      <c r="JJ63" s="73">
        <v>1197133.0000000016</v>
      </c>
      <c r="JK63" s="71">
        <v>1639412.0354721409</v>
      </c>
      <c r="JL63" s="143">
        <f>IFERROR(Raw_Data[[#This Row],[WPR_Eac]]/Raw_Data[[#This Row],[WPR_Edc]],"")</f>
        <v>0.73022094147017436</v>
      </c>
      <c r="JM63" s="6">
        <v>30</v>
      </c>
      <c r="JN63" s="6">
        <v>2358</v>
      </c>
    </row>
    <row r="64" spans="2:274">
      <c r="B64" s="250">
        <f t="shared" ref="B64:B119" si="596">B63+1</f>
        <v>45803</v>
      </c>
      <c r="C64" s="9">
        <f>YEAR(Raw_Data[[#This Row],[Date]])+IF(MONTH(Raw_Data[[#This Row],[Date]])&gt;=4,1,0)</f>
        <v>2026</v>
      </c>
      <c r="D64" s="6">
        <f t="shared" ref="D64:D69" si="597">YEAR(B64)</f>
        <v>2025</v>
      </c>
      <c r="E64" s="7" t="s">
        <v>361</v>
      </c>
      <c r="F64" s="7" t="s">
        <v>361</v>
      </c>
      <c r="G64" s="8">
        <v>45778</v>
      </c>
      <c r="H64" s="6">
        <f t="shared" ref="H64:H69" si="598">DAY(EOMONTH(B64,0))</f>
        <v>31</v>
      </c>
      <c r="I64" s="9">
        <v>335090.89</v>
      </c>
      <c r="J64" s="10">
        <v>0.27013888888888887</v>
      </c>
      <c r="K64" s="10">
        <v>0.80763888888888891</v>
      </c>
      <c r="L64" s="9">
        <v>10274.5</v>
      </c>
      <c r="M64" s="9">
        <v>10155.200000000001</v>
      </c>
      <c r="N64" s="9">
        <v>9917.2999999999993</v>
      </c>
      <c r="O64" s="9">
        <v>10233.1</v>
      </c>
      <c r="P64" s="9">
        <v>9676.7000000000007</v>
      </c>
      <c r="Q64" s="9">
        <v>10046.799999999999</v>
      </c>
      <c r="R64" s="9">
        <v>9009.4</v>
      </c>
      <c r="S64" s="9">
        <v>9710.6</v>
      </c>
      <c r="T64" s="9">
        <v>9398.1</v>
      </c>
      <c r="U64" s="9">
        <v>10205.299999999999</v>
      </c>
      <c r="V64" s="9">
        <v>9467.2999999999993</v>
      </c>
      <c r="W64" s="9">
        <v>8474.2999999999993</v>
      </c>
      <c r="X64" s="9">
        <v>10547.7</v>
      </c>
      <c r="Y64" s="9">
        <v>9279.7999999999993</v>
      </c>
      <c r="Z64" s="9">
        <v>10520</v>
      </c>
      <c r="AA64" s="9">
        <v>10754.5</v>
      </c>
      <c r="AB64" s="9">
        <v>10726.9</v>
      </c>
      <c r="AC64" s="9">
        <v>10796.2</v>
      </c>
      <c r="AD64" s="9">
        <v>10639.7</v>
      </c>
      <c r="AE64" s="9">
        <v>10317.1</v>
      </c>
      <c r="AF64" s="9">
        <v>10662.9</v>
      </c>
      <c r="AG64" s="9">
        <v>10614.8</v>
      </c>
      <c r="AH64" s="9">
        <v>10716</v>
      </c>
      <c r="AI64" s="9">
        <v>10795.5</v>
      </c>
      <c r="AJ64" s="9">
        <v>10500.5</v>
      </c>
      <c r="AK64" s="9">
        <v>9011.1</v>
      </c>
      <c r="AL64" s="9">
        <v>10465.200000000001</v>
      </c>
      <c r="AM64" s="9">
        <v>10464.799999999999</v>
      </c>
      <c r="AN64" s="9">
        <v>10389.1</v>
      </c>
      <c r="AO64" s="9">
        <v>9426</v>
      </c>
      <c r="AP64" s="9">
        <v>10710.4</v>
      </c>
      <c r="AQ64" s="9">
        <v>10947.5</v>
      </c>
      <c r="AR64" s="9">
        <v>10430</v>
      </c>
      <c r="AS64" s="9">
        <v>10602.6</v>
      </c>
      <c r="AT64" s="9">
        <v>10632.6</v>
      </c>
      <c r="AU64" s="9">
        <v>10288</v>
      </c>
      <c r="AV64" s="9">
        <v>10550.1</v>
      </c>
      <c r="AW64" s="9">
        <v>10302.200000000001</v>
      </c>
      <c r="AX64" s="9">
        <v>10469.1</v>
      </c>
      <c r="AY64" s="9">
        <v>10734.1</v>
      </c>
      <c r="AZ64" s="9">
        <v>11727.3</v>
      </c>
      <c r="BA64" s="9">
        <v>10490.3</v>
      </c>
      <c r="BB64" s="9">
        <v>11522</v>
      </c>
      <c r="BC64" s="9">
        <v>10271.1</v>
      </c>
      <c r="BD64" s="9">
        <v>10690.1</v>
      </c>
      <c r="BE64" s="9">
        <v>11767.5</v>
      </c>
      <c r="BF64" s="9">
        <v>9828.1</v>
      </c>
      <c r="BG64" s="9">
        <v>11807.7</v>
      </c>
      <c r="BH64" s="9">
        <v>10521.7</v>
      </c>
      <c r="BI64" s="9">
        <v>10603.7</v>
      </c>
      <c r="BJ64" s="9">
        <v>10926.5</v>
      </c>
      <c r="BK64" s="9">
        <v>10083.1</v>
      </c>
      <c r="BL64" s="9">
        <v>11146.9</v>
      </c>
      <c r="BM64" s="9">
        <v>10254.4</v>
      </c>
      <c r="BN64" s="9">
        <v>11304.4</v>
      </c>
      <c r="BO64" s="9">
        <v>10702.8</v>
      </c>
      <c r="BP64" s="9">
        <v>9646.2000000000007</v>
      </c>
      <c r="BQ64" s="9">
        <v>11297.9</v>
      </c>
      <c r="BR64" s="9">
        <v>9778.7000000000007</v>
      </c>
      <c r="BS64" s="9">
        <v>11331.2</v>
      </c>
      <c r="BT64" s="9">
        <v>11012.6</v>
      </c>
      <c r="BU64" s="9">
        <v>9647.2999999999993</v>
      </c>
      <c r="BV64" s="9">
        <v>10167.9</v>
      </c>
      <c r="BW64" s="9">
        <v>9650</v>
      </c>
      <c r="BX64" s="9">
        <v>9855.4</v>
      </c>
      <c r="BY64" s="9">
        <v>10003.5</v>
      </c>
      <c r="BZ64" s="9">
        <v>10557.4</v>
      </c>
      <c r="CA64" s="9">
        <v>11084.2</v>
      </c>
      <c r="CB64" s="9">
        <v>11424.2</v>
      </c>
      <c r="CC64" s="9">
        <v>10199.700000000001</v>
      </c>
      <c r="CD64" s="9">
        <v>11255.4</v>
      </c>
      <c r="CE64" s="9">
        <v>9711.6</v>
      </c>
      <c r="CF64" s="9">
        <v>10830.7</v>
      </c>
      <c r="CG64" s="9">
        <v>10633.1</v>
      </c>
      <c r="CH64" s="9">
        <v>10013.200000000001</v>
      </c>
      <c r="CI64" s="9">
        <v>11168.6</v>
      </c>
      <c r="CJ64" s="9">
        <v>9728.4</v>
      </c>
      <c r="CK64" s="9">
        <v>11392.6</v>
      </c>
      <c r="CL64" s="9">
        <v>9347</v>
      </c>
      <c r="CM64" s="9">
        <v>10430.4</v>
      </c>
      <c r="CN64" s="9">
        <v>10120.1</v>
      </c>
      <c r="CO64" s="9">
        <v>10955.9</v>
      </c>
      <c r="CP64" s="9">
        <v>9478.4</v>
      </c>
      <c r="CQ64" s="9">
        <v>11348.8</v>
      </c>
      <c r="CR64" s="9">
        <v>9654.1</v>
      </c>
      <c r="CS64" s="9">
        <v>10048.299999999999</v>
      </c>
      <c r="CT64" s="9">
        <v>9022.2999999999993</v>
      </c>
      <c r="CU64" s="9">
        <v>8696.6</v>
      </c>
      <c r="CV64" s="9">
        <v>8236.2000000000007</v>
      </c>
      <c r="CW64" s="9">
        <v>10342.799999999999</v>
      </c>
      <c r="CX64" s="9">
        <v>9250.4</v>
      </c>
      <c r="CY64" s="9">
        <v>9944.6</v>
      </c>
      <c r="CZ64" s="9">
        <v>10356.4</v>
      </c>
      <c r="DA64" s="9">
        <v>9169.4</v>
      </c>
      <c r="DB64" s="9">
        <v>8991.5</v>
      </c>
      <c r="DC64" s="9">
        <v>9184.7999999999993</v>
      </c>
      <c r="DD64" s="9">
        <v>7660.4</v>
      </c>
      <c r="DE64" s="9">
        <v>9662.6</v>
      </c>
      <c r="DF64" s="9">
        <v>10500.5</v>
      </c>
      <c r="DG64" s="9">
        <v>9206.1</v>
      </c>
      <c r="DH64" s="9">
        <v>10860.4</v>
      </c>
      <c r="DI64" s="9">
        <v>9664</v>
      </c>
      <c r="DJ64" s="9">
        <v>10855.3</v>
      </c>
      <c r="DK64" s="9">
        <v>9331.1</v>
      </c>
      <c r="DL64" s="9">
        <v>10908.1</v>
      </c>
      <c r="DM64" s="9">
        <v>9178.6</v>
      </c>
      <c r="DN64" s="9">
        <v>11018</v>
      </c>
      <c r="DO64" s="9">
        <v>10049.299999999999</v>
      </c>
      <c r="DP64" s="9">
        <v>10661.1</v>
      </c>
      <c r="DQ64" s="9">
        <v>9599.9</v>
      </c>
      <c r="DR64" s="9">
        <v>10357.6</v>
      </c>
      <c r="DS64" s="9">
        <v>10290.200000000001</v>
      </c>
      <c r="DT64" s="9">
        <v>9758.4</v>
      </c>
      <c r="DU64" s="9">
        <v>10305.5</v>
      </c>
      <c r="DV64" s="9">
        <v>9657.2000000000007</v>
      </c>
      <c r="DW64" s="9">
        <v>9357.2999999999993</v>
      </c>
      <c r="DX64" s="9">
        <v>10302</v>
      </c>
      <c r="DY64" s="9">
        <v>11384.5</v>
      </c>
      <c r="DZ64" s="9">
        <v>10678.6</v>
      </c>
      <c r="EA64" s="9">
        <v>10174.799999999999</v>
      </c>
      <c r="EB64" s="9">
        <v>11312.3</v>
      </c>
      <c r="EC64" s="9">
        <v>10040.9</v>
      </c>
      <c r="ED64" s="9">
        <v>10480.9</v>
      </c>
      <c r="EE64" s="9">
        <v>10186</v>
      </c>
      <c r="EF64" s="9">
        <v>9880.6</v>
      </c>
      <c r="EG64" s="9">
        <v>9347</v>
      </c>
      <c r="EH64" s="9">
        <v>10977.9</v>
      </c>
      <c r="EI64" s="9">
        <v>10198</v>
      </c>
      <c r="EJ64" s="9">
        <v>8349.7000000000007</v>
      </c>
      <c r="EK64" s="9">
        <v>7492.3</v>
      </c>
      <c r="EL64" s="9">
        <v>8644.4</v>
      </c>
      <c r="EM64" s="9">
        <v>7215.8</v>
      </c>
      <c r="EN64" s="9">
        <v>9016.7999999999993</v>
      </c>
      <c r="EO64" s="9">
        <v>7523.8</v>
      </c>
      <c r="EP64" s="9">
        <v>8548.2000000000007</v>
      </c>
      <c r="EQ64" s="9">
        <v>8656.9</v>
      </c>
      <c r="ER64" s="9">
        <v>11602.1</v>
      </c>
      <c r="ES64" s="9">
        <v>9835.4</v>
      </c>
      <c r="ET64" s="9">
        <v>11570.2</v>
      </c>
      <c r="EU64" s="9">
        <v>10221.4</v>
      </c>
      <c r="EV64" s="9">
        <v>10667.2</v>
      </c>
      <c r="EW64" s="9">
        <v>8709.6</v>
      </c>
      <c r="EX64" s="9">
        <v>9200.2000000000007</v>
      </c>
      <c r="EY64" s="9">
        <v>8662</v>
      </c>
      <c r="EZ64" s="9">
        <v>11167.8</v>
      </c>
      <c r="FA64" s="9">
        <v>11686.8</v>
      </c>
      <c r="FB64" s="9">
        <v>11438.4</v>
      </c>
      <c r="FC64" s="9">
        <v>11476.9</v>
      </c>
      <c r="FD64" s="9">
        <v>11433.2</v>
      </c>
      <c r="FE64" s="9">
        <v>11479.8</v>
      </c>
      <c r="FF64" s="9">
        <v>10371.1</v>
      </c>
      <c r="FG64" s="9">
        <v>11330.7</v>
      </c>
      <c r="FH64" s="9">
        <v>11996.4</v>
      </c>
      <c r="FI64" s="9">
        <v>11833.7</v>
      </c>
      <c r="FJ64" s="9">
        <v>11845.9</v>
      </c>
      <c r="FK64" s="9">
        <v>11766</v>
      </c>
      <c r="FL64" s="9">
        <v>11641.7</v>
      </c>
      <c r="FM64" s="9">
        <v>10413.799999999999</v>
      </c>
      <c r="FN64" s="9">
        <v>12020.6</v>
      </c>
      <c r="FO64" s="9">
        <v>10438.6</v>
      </c>
      <c r="FP64" s="11">
        <v>38.171297016861203</v>
      </c>
      <c r="FQ64" s="11">
        <v>37.755538261997394</v>
      </c>
      <c r="FR64" s="11">
        <v>38.16671854734107</v>
      </c>
      <c r="FS64" s="11">
        <v>38.076083009079106</v>
      </c>
      <c r="FT64" s="11">
        <v>37.841180285343697</v>
      </c>
      <c r="FU64" s="11">
        <v>37.890920881971482</v>
      </c>
      <c r="FV64" s="11">
        <v>0</v>
      </c>
      <c r="FW64" s="11">
        <v>48.246018158235991</v>
      </c>
      <c r="FX64" s="11">
        <v>0</v>
      </c>
      <c r="FY64" s="11">
        <v>0</v>
      </c>
      <c r="FZ64" s="11">
        <v>47.937371841763927</v>
      </c>
      <c r="GA64" s="11">
        <v>47.867224383916941</v>
      </c>
      <c r="GB64" s="11">
        <v>3.8910266290531785</v>
      </c>
      <c r="GC64" s="11">
        <v>3.7370945110246474</v>
      </c>
      <c r="GD64" s="11">
        <v>3.5304819072632965</v>
      </c>
      <c r="GE64" s="11">
        <v>1.8576869368612177</v>
      </c>
      <c r="GF64" s="11">
        <v>3.6550214811932564</v>
      </c>
      <c r="GG64" s="11">
        <v>3.5278359979636829</v>
      </c>
      <c r="GH64" s="11">
        <v>7.4</v>
      </c>
      <c r="GI64" s="11">
        <v>8.0566659999999999</v>
      </c>
      <c r="GJ64" s="11">
        <v>7.1399990000000004</v>
      </c>
      <c r="GK64" s="11">
        <v>6.56</v>
      </c>
      <c r="GL64" s="11">
        <v>6.7566660000000001</v>
      </c>
      <c r="GM64" s="11">
        <v>6.6816659999999999</v>
      </c>
      <c r="GN64" s="11">
        <v>6.0454803333333347</v>
      </c>
      <c r="GO64" s="11">
        <v>6.2973810000000086</v>
      </c>
      <c r="GP64" s="11">
        <v>6.3518418333333342</v>
      </c>
      <c r="GQ64" s="11">
        <v>6.232997000000009</v>
      </c>
      <c r="GR64" s="11">
        <v>6.4209956666666637</v>
      </c>
      <c r="GS64" s="11">
        <v>6.3687560000000127</v>
      </c>
      <c r="GT64" s="108">
        <v>1.6482616666666661</v>
      </c>
      <c r="GU64" s="108">
        <v>1.5437293333333331</v>
      </c>
      <c r="GV64" s="108">
        <v>1.4914556666666676</v>
      </c>
      <c r="GW64" s="108">
        <v>1.766221666666665</v>
      </c>
      <c r="GX64" s="108">
        <v>1.7948023333333318</v>
      </c>
      <c r="GY64" s="108">
        <v>1.4730220000000014</v>
      </c>
      <c r="GZ64" s="13">
        <v>0</v>
      </c>
      <c r="HA64" s="13">
        <v>6.1548300000000014</v>
      </c>
      <c r="HB64" s="13">
        <v>6.1487948333333255</v>
      </c>
      <c r="HC64" s="13">
        <v>0</v>
      </c>
      <c r="HD64" s="13">
        <v>6.1482948333333391</v>
      </c>
      <c r="HE64" s="13">
        <v>6.2069756666666613</v>
      </c>
      <c r="HF64" s="13">
        <v>0.57113749999999996</v>
      </c>
      <c r="HG64" s="13">
        <v>0.60766333333333333</v>
      </c>
      <c r="HH64" s="13">
        <v>0.56464349999999952</v>
      </c>
      <c r="HI64" s="13">
        <v>0.5485530000000004</v>
      </c>
      <c r="HJ64" s="13">
        <v>0.58853199999999994</v>
      </c>
      <c r="HK64" s="13">
        <v>0.58420183333333331</v>
      </c>
      <c r="HL64" s="12">
        <v>0</v>
      </c>
      <c r="HM64" s="12">
        <v>0</v>
      </c>
      <c r="HN64" s="12">
        <v>0</v>
      </c>
      <c r="HO64" s="12">
        <v>0</v>
      </c>
      <c r="HP64" s="12">
        <v>0</v>
      </c>
      <c r="HQ64" s="12">
        <v>0</v>
      </c>
      <c r="HR64" s="12">
        <v>0</v>
      </c>
      <c r="HS64" s="12">
        <v>0</v>
      </c>
      <c r="HT64" s="12">
        <v>0</v>
      </c>
      <c r="HU64" s="12">
        <v>0</v>
      </c>
      <c r="HV64" s="12">
        <v>0</v>
      </c>
      <c r="HW64" s="12">
        <v>0</v>
      </c>
      <c r="HX64" s="9">
        <v>951303</v>
      </c>
      <c r="HY64" s="9">
        <v>1771</v>
      </c>
      <c r="HZ64" s="9">
        <v>938010</v>
      </c>
      <c r="IA64" s="9">
        <v>1800</v>
      </c>
      <c r="IB64" s="11">
        <v>194222.08199999999</v>
      </c>
      <c r="IC64" s="11">
        <v>434.33300000000003</v>
      </c>
      <c r="ID64" s="14">
        <f t="shared" ref="ID64:II64" si="599">GN64-HL64</f>
        <v>6.0454803333333347</v>
      </c>
      <c r="IE64" s="14">
        <f t="shared" si="599"/>
        <v>6.2973810000000086</v>
      </c>
      <c r="IF64" s="14">
        <f t="shared" si="599"/>
        <v>6.3518418333333342</v>
      </c>
      <c r="IG64" s="14">
        <f t="shared" si="599"/>
        <v>6.232997000000009</v>
      </c>
      <c r="IH64" s="14">
        <f t="shared" si="599"/>
        <v>6.4209956666666637</v>
      </c>
      <c r="II64" s="14">
        <f t="shared" si="599"/>
        <v>6.3687560000000127</v>
      </c>
      <c r="IJ64" s="15">
        <f t="shared" ref="IJ64:IO64" si="600">GZ64-HR64</f>
        <v>0</v>
      </c>
      <c r="IK64" s="15">
        <f t="shared" si="600"/>
        <v>6.1548300000000014</v>
      </c>
      <c r="IL64" s="15">
        <f t="shared" si="600"/>
        <v>6.1487948333333255</v>
      </c>
      <c r="IM64" s="15">
        <f t="shared" si="600"/>
        <v>0</v>
      </c>
      <c r="IN64" s="15">
        <f t="shared" si="600"/>
        <v>6.1482948333333391</v>
      </c>
      <c r="IO64" s="15">
        <f t="shared" si="600"/>
        <v>6.2069756666666613</v>
      </c>
      <c r="IP64" s="16">
        <f t="shared" ref="IP64" si="601">(HX64-HX63)*1000</f>
        <v>830000</v>
      </c>
      <c r="IQ64" s="16">
        <f t="shared" ref="IQ64" si="602">(HY64-HY63)*1000</f>
        <v>2000</v>
      </c>
      <c r="IR64" s="16">
        <f t="shared" ref="IR64" si="603">(HZ64-HZ63)*1000</f>
        <v>805000</v>
      </c>
      <c r="IS64" s="16">
        <f t="shared" ref="IS64" si="604">(IA64-IA63)*1000</f>
        <v>2000</v>
      </c>
      <c r="IT64" s="16">
        <f t="shared" ref="IT64" si="605">(IB64-IB63)*1000</f>
        <v>1631000</v>
      </c>
      <c r="IU64" s="16">
        <f t="shared" ref="IU64" si="606">(IC64-IC63)*1000</f>
        <v>4066.0000000000309</v>
      </c>
      <c r="IV64" s="17">
        <f t="shared" ref="IV64" si="607">(IP64+IR64)-(IQ64+IS64)</f>
        <v>1631000</v>
      </c>
      <c r="IW64" s="17">
        <f t="shared" ref="IW64" si="608">IT64-IU64</f>
        <v>1626934</v>
      </c>
      <c r="IX64" s="19">
        <f>(Raw_Data[[#This Row],[Sunset Time (POA&lt;20 W/m2)]]-Raw_Data[[#This Row],[Sunrise Time (POA&gt;20 W/m2)]])*24</f>
        <v>12.900000000000002</v>
      </c>
      <c r="IY64" s="68">
        <f>AVERAGEIF(Raw_Data[[#This Row],[GHI_UP_Net_IS2_W1]:[GHI_UP_Net_IS19_W6]],"&lt;&gt;"&amp;0,Raw_Data[[#This Row],[GHI_UP_Net_IS2_W1]:[GHI_UP_Net_IS19_W6]])</f>
        <v>6.2862419722222276</v>
      </c>
      <c r="IZ64" s="68">
        <f>AVERAGEIF(Raw_Data[[#This Row],[GHI_Down_IS2_W1]:[GHI_Down_IS19_W6]],"&lt;&gt;"&amp;0,Raw_Data[[#This Row],[GHI_Down_IS2_W1]:[GHI_Down_IS19_W6]])</f>
        <v>1.6195821111111108</v>
      </c>
      <c r="JA64" s="68">
        <f>AVERAGEIF(Raw_Data[[#This Row],[POA_Up_IS2_W1]:[POA_Up_IS19_W6]],"&lt;&gt;"&amp;0,Raw_Data[[#This Row],[POA_Up_IS2_W1]:[POA_Up_IS19_W6]])</f>
        <v>6.1647238333333316</v>
      </c>
      <c r="JB64" s="68">
        <f>AVERAGEIF(Raw_Data[[#This Row],[POA_Down_IS2_W1]:[POA_Down_IS19_W6]],"&lt;&gt;"&amp;0,Raw_Data[[#This Row],[POA_Down_IS2_W1]:[POA_Down_IS19_W6]])</f>
        <v>0.57745519444444438</v>
      </c>
      <c r="JC64" s="69">
        <f>Raw_Data[[#This Row],[GHI-Down(KWh/m2)]]/Raw_Data[[#This Row],[GHI-UP (KWh/m2)]]</f>
        <v>0.25763916156389666</v>
      </c>
      <c r="JD64" s="72">
        <f>Raw_Data[[#This Row],[POA-Down(KWh/m2)]]/Raw_Data[[#This Row],[POA-UP(KWh/m2)]]</f>
        <v>9.3670894277872008E-2</v>
      </c>
      <c r="JE64" s="68">
        <f>AVERAGEIF(Raw_Data[[#This Row],[Amb_Temp_IS2_W1]:[Amb_Temp_IS19_W6]],"&lt;&gt;"&amp;0,Raw_Data[[#This Row],[Amb_Temp_IS2_W1]:[Amb_Temp_IS19_W6]])</f>
        <v>37.983623000432324</v>
      </c>
      <c r="JF64" s="68">
        <f>AVERAGEIF(Raw_Data[[#This Row],[MT_Temp_IS2_W1]:[MT_Temp_IS19_W6]],"&lt;&gt;"&amp;0,Raw_Data[[#This Row],[MT_Temp_IS2_W1]:[MT_Temp_IS19_W6]])</f>
        <v>48.01687146130562</v>
      </c>
      <c r="JG64" s="68">
        <f>AVERAGEIF(Raw_Data[[#This Row],[WS_Avg_IS2_W1]:[WS_Avg_IS19_W6]],"&lt;&gt;"&amp;0,Raw_Data[[#This Row],[WS_Avg_IS2_W1]:[WS_Avg_IS19_W6]])</f>
        <v>3.3665245772265471</v>
      </c>
      <c r="JH64" s="68">
        <f>AVERAGEIF(Raw_Data[[#This Row],[WS_Max_IS2_W1]:[WS_Max_IS19_W6]],"&lt;&gt;"&amp;0,Raw_Data[[#This Row],[WS_Max_IS2_W1]:[WS_Max_IS19_W6]])</f>
        <v>7.0991661666666666</v>
      </c>
      <c r="JI64" s="70">
        <f>SUM(Raw_Data[[#This Row],[IS1_INV1_M1]:[IS20_INV4_M2]])</f>
        <v>1639580.8999999997</v>
      </c>
      <c r="JJ64" s="73">
        <v>1610000</v>
      </c>
      <c r="JK64" s="71">
        <v>2028552.3345645284</v>
      </c>
      <c r="JL64" s="143">
        <f>IFERROR(Raw_Data[[#This Row],[WPR_Eac]]/Raw_Data[[#This Row],[WPR_Edc]],"")</f>
        <v>0.79366944227525704</v>
      </c>
      <c r="JM64" s="6">
        <v>37</v>
      </c>
      <c r="JN64" s="6">
        <v>0</v>
      </c>
    </row>
    <row r="65" spans="2:274">
      <c r="B65" s="250">
        <f t="shared" si="596"/>
        <v>45804</v>
      </c>
      <c r="C65" s="9">
        <f>YEAR(Raw_Data[[#This Row],[Date]])+IF(MONTH(Raw_Data[[#This Row],[Date]])&gt;=4,1,0)</f>
        <v>2026</v>
      </c>
      <c r="D65" s="6">
        <f t="shared" si="597"/>
        <v>2025</v>
      </c>
      <c r="E65" s="7" t="s">
        <v>361</v>
      </c>
      <c r="F65" s="7" t="s">
        <v>361</v>
      </c>
      <c r="G65" s="8">
        <v>45778</v>
      </c>
      <c r="H65" s="6">
        <f t="shared" si="598"/>
        <v>31</v>
      </c>
      <c r="I65" s="9">
        <v>335090.89</v>
      </c>
      <c r="J65" s="10">
        <v>0.2638888888888889</v>
      </c>
      <c r="K65" s="10">
        <v>0.80833333333333335</v>
      </c>
      <c r="L65" s="9">
        <v>10786.5</v>
      </c>
      <c r="M65" s="9">
        <v>11094.3</v>
      </c>
      <c r="N65" s="9">
        <v>10844.1</v>
      </c>
      <c r="O65" s="9">
        <v>10966.7</v>
      </c>
      <c r="P65" s="9">
        <v>10965.9</v>
      </c>
      <c r="Q65" s="9">
        <v>10980.2</v>
      </c>
      <c r="R65" s="9">
        <v>10176.1</v>
      </c>
      <c r="S65" s="9">
        <v>10854.8</v>
      </c>
      <c r="T65" s="9">
        <v>9984.7000000000007</v>
      </c>
      <c r="U65" s="9">
        <v>11055.2</v>
      </c>
      <c r="V65" s="9">
        <v>10087.299999999999</v>
      </c>
      <c r="W65" s="9">
        <v>9031.2000000000007</v>
      </c>
      <c r="X65" s="9">
        <v>11157.9</v>
      </c>
      <c r="Y65" s="9">
        <v>9819.4</v>
      </c>
      <c r="Z65" s="9">
        <v>11166.9</v>
      </c>
      <c r="AA65" s="9">
        <v>11290.6</v>
      </c>
      <c r="AB65" s="9">
        <v>11320.3</v>
      </c>
      <c r="AC65" s="9">
        <v>11339.1</v>
      </c>
      <c r="AD65" s="9">
        <v>11319.2</v>
      </c>
      <c r="AE65" s="9">
        <v>11263.8</v>
      </c>
      <c r="AF65" s="9">
        <v>11301.9</v>
      </c>
      <c r="AG65" s="9">
        <v>11277.8</v>
      </c>
      <c r="AH65" s="9">
        <v>11154.1</v>
      </c>
      <c r="AI65" s="9">
        <v>11276.5</v>
      </c>
      <c r="AJ65" s="9">
        <v>11104.8</v>
      </c>
      <c r="AK65" s="9">
        <v>9624.7999999999993</v>
      </c>
      <c r="AL65" s="9">
        <v>11013.9</v>
      </c>
      <c r="AM65" s="9">
        <v>10955.6</v>
      </c>
      <c r="AN65" s="9">
        <v>11167.2</v>
      </c>
      <c r="AO65" s="9">
        <v>10664.1</v>
      </c>
      <c r="AP65" s="9">
        <v>11197.9</v>
      </c>
      <c r="AQ65" s="9">
        <v>11450.5</v>
      </c>
      <c r="AR65" s="9">
        <v>11234.7</v>
      </c>
      <c r="AS65" s="9">
        <v>11176.2</v>
      </c>
      <c r="AT65" s="9">
        <v>11434.3</v>
      </c>
      <c r="AU65" s="9">
        <v>11179.5</v>
      </c>
      <c r="AV65" s="9">
        <v>11345.8</v>
      </c>
      <c r="AW65" s="9">
        <v>11115.5</v>
      </c>
      <c r="AX65" s="9">
        <v>11277.1</v>
      </c>
      <c r="AY65" s="9">
        <v>11266.3</v>
      </c>
      <c r="AZ65" s="9">
        <v>12383</v>
      </c>
      <c r="BA65" s="9">
        <v>11046.5</v>
      </c>
      <c r="BB65" s="9">
        <v>12163.8</v>
      </c>
      <c r="BC65" s="9">
        <v>10820.9</v>
      </c>
      <c r="BD65" s="9">
        <v>11119</v>
      </c>
      <c r="BE65" s="9">
        <v>12267.7</v>
      </c>
      <c r="BF65" s="9">
        <v>10380.4</v>
      </c>
      <c r="BG65" s="9">
        <v>12457.1</v>
      </c>
      <c r="BH65" s="9">
        <v>10958.8</v>
      </c>
      <c r="BI65" s="9">
        <v>11136.4</v>
      </c>
      <c r="BJ65" s="9">
        <v>11424.5</v>
      </c>
      <c r="BK65" s="9">
        <v>10679</v>
      </c>
      <c r="BL65" s="9">
        <v>11748.3</v>
      </c>
      <c r="BM65" s="9">
        <v>11058.5</v>
      </c>
      <c r="BN65" s="9">
        <v>11795.4</v>
      </c>
      <c r="BO65" s="9">
        <v>11167.9</v>
      </c>
      <c r="BP65" s="9">
        <v>10117.9</v>
      </c>
      <c r="BQ65" s="9">
        <v>11857.6</v>
      </c>
      <c r="BR65" s="9">
        <v>10323.700000000001</v>
      </c>
      <c r="BS65" s="9">
        <v>11940.5</v>
      </c>
      <c r="BT65" s="9">
        <v>11781.9</v>
      </c>
      <c r="BU65" s="9">
        <v>10290.9</v>
      </c>
      <c r="BV65" s="9">
        <v>10766.4</v>
      </c>
      <c r="BW65" s="9">
        <v>10167.5</v>
      </c>
      <c r="BX65" s="9">
        <v>10742.9</v>
      </c>
      <c r="BY65" s="9">
        <v>10442.799999999999</v>
      </c>
      <c r="BZ65" s="9">
        <v>11046.8</v>
      </c>
      <c r="CA65" s="9">
        <v>11634.6</v>
      </c>
      <c r="CB65" s="9">
        <v>11938.8</v>
      </c>
      <c r="CC65" s="9">
        <v>10694.2</v>
      </c>
      <c r="CD65" s="9">
        <v>11764.7</v>
      </c>
      <c r="CE65" s="9">
        <v>10186.200000000001</v>
      </c>
      <c r="CF65" s="9">
        <v>11357.2</v>
      </c>
      <c r="CG65" s="9">
        <v>11170.5</v>
      </c>
      <c r="CH65" s="9">
        <v>10494.3</v>
      </c>
      <c r="CI65" s="9">
        <v>11758.8</v>
      </c>
      <c r="CJ65" s="9">
        <v>10295.799999999999</v>
      </c>
      <c r="CK65" s="9">
        <v>12011.7</v>
      </c>
      <c r="CL65" s="9">
        <v>10322.1</v>
      </c>
      <c r="CM65" s="9">
        <v>11486.1</v>
      </c>
      <c r="CN65" s="9">
        <v>10716.6</v>
      </c>
      <c r="CO65" s="9">
        <v>11673.1</v>
      </c>
      <c r="CP65" s="9">
        <v>9986.2000000000007</v>
      </c>
      <c r="CQ65" s="9">
        <v>12052.2</v>
      </c>
      <c r="CR65" s="9">
        <v>10175</v>
      </c>
      <c r="CS65" s="9">
        <v>10614.5</v>
      </c>
      <c r="CT65" s="9">
        <v>10167.299999999999</v>
      </c>
      <c r="CU65" s="9">
        <v>9282.7999999999993</v>
      </c>
      <c r="CV65" s="9">
        <v>9122.9</v>
      </c>
      <c r="CW65" s="9">
        <v>11169.9</v>
      </c>
      <c r="CX65" s="9">
        <v>9702.5</v>
      </c>
      <c r="CY65" s="9">
        <v>10534.3</v>
      </c>
      <c r="CZ65" s="9">
        <v>10889.3</v>
      </c>
      <c r="DA65" s="9">
        <v>9709.7999999999993</v>
      </c>
      <c r="DB65" s="9">
        <v>9533.7000000000007</v>
      </c>
      <c r="DC65" s="9">
        <v>10567.3</v>
      </c>
      <c r="DD65" s="9">
        <v>9570.7999999999993</v>
      </c>
      <c r="DE65" s="9">
        <v>10776</v>
      </c>
      <c r="DF65" s="9">
        <v>11687.4</v>
      </c>
      <c r="DG65" s="9">
        <v>10144</v>
      </c>
      <c r="DH65" s="9">
        <v>11719.1</v>
      </c>
      <c r="DI65" s="9">
        <v>10423.1</v>
      </c>
      <c r="DJ65" s="9">
        <v>11597.4</v>
      </c>
      <c r="DK65" s="9">
        <v>10522.2</v>
      </c>
      <c r="DL65" s="9">
        <v>11719.4</v>
      </c>
      <c r="DM65" s="9">
        <v>10064.6</v>
      </c>
      <c r="DN65" s="9">
        <v>11789.1</v>
      </c>
      <c r="DO65" s="9">
        <v>10601.4</v>
      </c>
      <c r="DP65" s="9">
        <v>11507.4</v>
      </c>
      <c r="DQ65" s="9">
        <v>10410.799999999999</v>
      </c>
      <c r="DR65" s="9">
        <v>11478</v>
      </c>
      <c r="DS65" s="9">
        <v>10775.4</v>
      </c>
      <c r="DT65" s="9">
        <v>10460</v>
      </c>
      <c r="DU65" s="9">
        <v>11388.4</v>
      </c>
      <c r="DV65" s="9">
        <v>10569.5</v>
      </c>
      <c r="DW65" s="9">
        <v>10192.6</v>
      </c>
      <c r="DX65" s="9">
        <v>11350.3</v>
      </c>
      <c r="DY65" s="9">
        <v>11934.3</v>
      </c>
      <c r="DZ65" s="9">
        <v>11383.4</v>
      </c>
      <c r="EA65" s="9">
        <v>10691.7</v>
      </c>
      <c r="EB65" s="9">
        <v>11867.7</v>
      </c>
      <c r="EC65" s="9">
        <v>10537.3</v>
      </c>
      <c r="ED65" s="9">
        <v>11201.3</v>
      </c>
      <c r="EE65" s="9">
        <v>10639</v>
      </c>
      <c r="EF65" s="9">
        <v>10753.4</v>
      </c>
      <c r="EG65" s="9">
        <v>9833.6</v>
      </c>
      <c r="EH65" s="9">
        <v>11470.3</v>
      </c>
      <c r="EI65" s="9">
        <v>10552.2</v>
      </c>
      <c r="EJ65" s="9">
        <v>8869.5</v>
      </c>
      <c r="EK65" s="9">
        <v>8000.3</v>
      </c>
      <c r="EL65" s="9">
        <v>9727.2000000000007</v>
      </c>
      <c r="EM65" s="9">
        <v>7743.7</v>
      </c>
      <c r="EN65" s="9">
        <v>9758.4</v>
      </c>
      <c r="EO65" s="9">
        <v>8740.6</v>
      </c>
      <c r="EP65" s="9">
        <v>9776.2000000000007</v>
      </c>
      <c r="EQ65" s="9">
        <v>9970.1</v>
      </c>
      <c r="ER65" s="9">
        <v>12314.1</v>
      </c>
      <c r="ES65" s="9">
        <v>10487.8</v>
      </c>
      <c r="ET65" s="9">
        <v>12410.8</v>
      </c>
      <c r="EU65" s="9">
        <v>10964.2</v>
      </c>
      <c r="EV65" s="9">
        <v>11548.7</v>
      </c>
      <c r="EW65" s="9">
        <v>9722.2999999999993</v>
      </c>
      <c r="EX65" s="9">
        <v>10175.700000000001</v>
      </c>
      <c r="EY65" s="9">
        <v>10043.4</v>
      </c>
      <c r="EZ65" s="9">
        <v>11957</v>
      </c>
      <c r="FA65" s="9">
        <v>12419.7</v>
      </c>
      <c r="FB65" s="9">
        <v>12172.6</v>
      </c>
      <c r="FC65" s="9">
        <v>12217</v>
      </c>
      <c r="FD65" s="9">
        <v>12126.5</v>
      </c>
      <c r="FE65" s="9">
        <v>12265</v>
      </c>
      <c r="FF65" s="9">
        <v>11091.3</v>
      </c>
      <c r="FG65" s="9">
        <v>12325.3</v>
      </c>
      <c r="FH65" s="9">
        <v>12530.7</v>
      </c>
      <c r="FI65" s="9">
        <v>12493.7</v>
      </c>
      <c r="FJ65" s="9">
        <v>12536.5</v>
      </c>
      <c r="FK65" s="9">
        <v>12458.5</v>
      </c>
      <c r="FL65" s="9">
        <v>12466.3</v>
      </c>
      <c r="FM65" s="9">
        <v>11072.6</v>
      </c>
      <c r="FN65" s="9">
        <v>12611.9</v>
      </c>
      <c r="FO65" s="9">
        <v>11119.6</v>
      </c>
      <c r="FP65" s="11">
        <v>40.097003891050598</v>
      </c>
      <c r="FQ65" s="11">
        <v>39.556848249027276</v>
      </c>
      <c r="FR65" s="11">
        <v>40.046147859922151</v>
      </c>
      <c r="FS65" s="11">
        <v>39.9252269779507</v>
      </c>
      <c r="FT65" s="11">
        <v>39.764007782101231</v>
      </c>
      <c r="FU65" s="11">
        <v>39.598949416342435</v>
      </c>
      <c r="FV65" s="11">
        <v>0</v>
      </c>
      <c r="FW65" s="11">
        <v>51.732425421530507</v>
      </c>
      <c r="FX65" s="11">
        <v>0</v>
      </c>
      <c r="FY65" s="11">
        <v>0</v>
      </c>
      <c r="FZ65" s="11">
        <v>51.4</v>
      </c>
      <c r="GA65" s="11">
        <v>51.394370946822306</v>
      </c>
      <c r="GB65" s="11">
        <v>2.7100344800259402</v>
      </c>
      <c r="GC65" s="11">
        <v>2.6101361044487685</v>
      </c>
      <c r="GD65" s="11">
        <v>2.290570605278857</v>
      </c>
      <c r="GE65" s="11">
        <v>0.2707976609208822</v>
      </c>
      <c r="GF65" s="11">
        <v>2.4042109013488981</v>
      </c>
      <c r="GG65" s="11">
        <v>1.9380219568093391</v>
      </c>
      <c r="GH65" s="11">
        <v>5.9183329999999996</v>
      </c>
      <c r="GI65" s="11">
        <v>5.5366660000000003</v>
      </c>
      <c r="GJ65" s="11">
        <v>7.948334</v>
      </c>
      <c r="GK65" s="11">
        <v>5.3</v>
      </c>
      <c r="GL65" s="11">
        <v>5.9283330000000003</v>
      </c>
      <c r="GM65" s="11">
        <v>5.01</v>
      </c>
      <c r="GN65" s="11">
        <v>6.5430801666666616</v>
      </c>
      <c r="GO65" s="11">
        <v>6.5908395000000048</v>
      </c>
      <c r="GP65" s="11">
        <v>6.6438213333333325</v>
      </c>
      <c r="GQ65" s="11">
        <v>6.5244563333333314</v>
      </c>
      <c r="GR65" s="11">
        <v>6.7023274999999973</v>
      </c>
      <c r="GS65" s="11">
        <v>6.7379231666666604</v>
      </c>
      <c r="GT65" s="108">
        <v>1.7200183333333343</v>
      </c>
      <c r="GU65" s="108">
        <v>1.6247960000000008</v>
      </c>
      <c r="GV65" s="108">
        <v>1.5536503333333336</v>
      </c>
      <c r="GW65" s="108">
        <v>1.8466206666666667</v>
      </c>
      <c r="GX65" s="108">
        <v>1.8768904999999996</v>
      </c>
      <c r="GY65" s="108">
        <v>1.5508033333333313</v>
      </c>
      <c r="GZ65" s="13">
        <v>0</v>
      </c>
      <c r="HA65" s="13">
        <v>6.4315511666666678</v>
      </c>
      <c r="HB65" s="13">
        <v>6.4500559999999956</v>
      </c>
      <c r="HC65" s="13">
        <v>0</v>
      </c>
      <c r="HD65" s="13">
        <v>6.3946845000000065</v>
      </c>
      <c r="HE65" s="13">
        <v>6.5243424999999986</v>
      </c>
      <c r="HF65" s="13">
        <v>0.56919866666666741</v>
      </c>
      <c r="HG65" s="13">
        <v>0.61119883333333347</v>
      </c>
      <c r="HH65" s="13">
        <v>0.56467333333333358</v>
      </c>
      <c r="HI65" s="13">
        <v>0.54201116666666627</v>
      </c>
      <c r="HJ65" s="13">
        <v>0.58519016666666712</v>
      </c>
      <c r="HK65" s="13">
        <v>0.58224750000000047</v>
      </c>
      <c r="HL65" s="12">
        <v>0</v>
      </c>
      <c r="HM65" s="12">
        <v>0</v>
      </c>
      <c r="HN65" s="12">
        <v>0</v>
      </c>
      <c r="HO65" s="12">
        <v>0</v>
      </c>
      <c r="HP65" s="12">
        <v>0</v>
      </c>
      <c r="HQ65" s="12">
        <v>0</v>
      </c>
      <c r="HR65" s="12">
        <v>0</v>
      </c>
      <c r="HS65" s="12">
        <v>0</v>
      </c>
      <c r="HT65" s="12">
        <v>0</v>
      </c>
      <c r="HU65" s="12">
        <v>0</v>
      </c>
      <c r="HV65" s="12">
        <v>0</v>
      </c>
      <c r="HW65" s="12">
        <v>0</v>
      </c>
      <c r="HX65" s="9">
        <v>952183</v>
      </c>
      <c r="HY65" s="9">
        <v>1772</v>
      </c>
      <c r="HZ65" s="9">
        <v>938876</v>
      </c>
      <c r="IA65" s="9">
        <v>1801</v>
      </c>
      <c r="IB65" s="11">
        <v>195966.48199999999</v>
      </c>
      <c r="IC65" s="11">
        <v>438.6</v>
      </c>
      <c r="ID65" s="14">
        <f t="shared" ref="ID65:II65" si="609">GN65-HL65</f>
        <v>6.5430801666666616</v>
      </c>
      <c r="IE65" s="14">
        <f t="shared" si="609"/>
        <v>6.5908395000000048</v>
      </c>
      <c r="IF65" s="14">
        <f t="shared" si="609"/>
        <v>6.6438213333333325</v>
      </c>
      <c r="IG65" s="14">
        <f t="shared" si="609"/>
        <v>6.5244563333333314</v>
      </c>
      <c r="IH65" s="14">
        <f t="shared" si="609"/>
        <v>6.7023274999999973</v>
      </c>
      <c r="II65" s="14">
        <f t="shared" si="609"/>
        <v>6.7379231666666604</v>
      </c>
      <c r="IJ65" s="15">
        <f t="shared" ref="IJ65:IO65" si="610">GZ65-HR65</f>
        <v>0</v>
      </c>
      <c r="IK65" s="15">
        <f t="shared" si="610"/>
        <v>6.4315511666666678</v>
      </c>
      <c r="IL65" s="15">
        <f t="shared" si="610"/>
        <v>6.4500559999999956</v>
      </c>
      <c r="IM65" s="15">
        <f t="shared" si="610"/>
        <v>0</v>
      </c>
      <c r="IN65" s="15">
        <f t="shared" si="610"/>
        <v>6.3946845000000065</v>
      </c>
      <c r="IO65" s="15">
        <f t="shared" si="610"/>
        <v>6.5243424999999986</v>
      </c>
      <c r="IP65" s="16">
        <f t="shared" ref="IP65" si="611">(HX65-HX64)*1000</f>
        <v>880000</v>
      </c>
      <c r="IQ65" s="16">
        <f t="shared" ref="IQ65" si="612">(HY65-HY64)*1000</f>
        <v>1000</v>
      </c>
      <c r="IR65" s="16">
        <f t="shared" ref="IR65" si="613">(HZ65-HZ64)*1000</f>
        <v>866000</v>
      </c>
      <c r="IS65" s="16">
        <f t="shared" ref="IS65" si="614">(IA65-IA64)*1000</f>
        <v>1000</v>
      </c>
      <c r="IT65" s="16">
        <f t="shared" ref="IT65" si="615">(IB65-IB64)*1000</f>
        <v>1744399.9999999942</v>
      </c>
      <c r="IU65" s="16">
        <f t="shared" ref="IU65" si="616">(IC65-IC64)*1000</f>
        <v>4266.9999999999964</v>
      </c>
      <c r="IV65" s="17">
        <f t="shared" ref="IV65" si="617">(IP65+IR65)-(IQ65+IS65)</f>
        <v>1744000</v>
      </c>
      <c r="IW65" s="17">
        <f t="shared" ref="IW65" si="618">IT65-IU65</f>
        <v>1740132.9999999942</v>
      </c>
      <c r="IX65" s="19">
        <f>(Raw_Data[[#This Row],[Sunset Time (POA&lt;20 W/m2)]]-Raw_Data[[#This Row],[Sunrise Time (POA&gt;20 W/m2)]])*24</f>
        <v>13.066666666666668</v>
      </c>
      <c r="IY65" s="68">
        <f>AVERAGEIF(Raw_Data[[#This Row],[GHI_UP_Net_IS2_W1]:[GHI_UP_Net_IS19_W6]],"&lt;&gt;"&amp;0,Raw_Data[[#This Row],[GHI_UP_Net_IS2_W1]:[GHI_UP_Net_IS19_W6]])</f>
        <v>6.6237413333333315</v>
      </c>
      <c r="IZ65" s="68">
        <f>AVERAGEIF(Raw_Data[[#This Row],[GHI_Down_IS2_W1]:[GHI_Down_IS19_W6]],"&lt;&gt;"&amp;0,Raw_Data[[#This Row],[GHI_Down_IS2_W1]:[GHI_Down_IS19_W6]])</f>
        <v>1.6954631944444445</v>
      </c>
      <c r="JA65" s="68">
        <f>AVERAGEIF(Raw_Data[[#This Row],[POA_Up_IS2_W1]:[POA_Up_IS19_W6]],"&lt;&gt;"&amp;0,Raw_Data[[#This Row],[POA_Up_IS2_W1]:[POA_Up_IS19_W6]])</f>
        <v>6.4501585416666671</v>
      </c>
      <c r="JB65" s="68">
        <f>AVERAGEIF(Raw_Data[[#This Row],[POA_Down_IS2_W1]:[POA_Down_IS19_W6]],"&lt;&gt;"&amp;0,Raw_Data[[#This Row],[POA_Down_IS2_W1]:[POA_Down_IS19_W6]])</f>
        <v>0.57575327777777796</v>
      </c>
      <c r="JC65" s="69">
        <f>Raw_Data[[#This Row],[GHI-Down(KWh/m2)]]/Raw_Data[[#This Row],[GHI-UP (KWh/m2)]]</f>
        <v>0.25596760337125357</v>
      </c>
      <c r="JD65" s="72">
        <f>Raw_Data[[#This Row],[POA-Down(KWh/m2)]]/Raw_Data[[#This Row],[POA-UP(KWh/m2)]]</f>
        <v>8.9261880007837469E-2</v>
      </c>
      <c r="JE65" s="68">
        <f>AVERAGEIF(Raw_Data[[#This Row],[Amb_Temp_IS2_W1]:[Amb_Temp_IS19_W6]],"&lt;&gt;"&amp;0,Raw_Data[[#This Row],[Amb_Temp_IS2_W1]:[Amb_Temp_IS19_W6]])</f>
        <v>39.831364029399062</v>
      </c>
      <c r="JF65" s="68">
        <f>AVERAGEIF(Raw_Data[[#This Row],[MT_Temp_IS2_W1]:[MT_Temp_IS19_W6]],"&lt;&gt;"&amp;0,Raw_Data[[#This Row],[MT_Temp_IS2_W1]:[MT_Temp_IS19_W6]])</f>
        <v>51.508932122784273</v>
      </c>
      <c r="JG65" s="68">
        <f>AVERAGEIF(Raw_Data[[#This Row],[WS_Avg_IS2_W1]:[WS_Avg_IS19_W6]],"&lt;&gt;"&amp;0,Raw_Data[[#This Row],[WS_Avg_IS2_W1]:[WS_Avg_IS19_W6]])</f>
        <v>2.0372952848054475</v>
      </c>
      <c r="JH65" s="68">
        <f>AVERAGEIF(Raw_Data[[#This Row],[WS_Max_IS2_W1]:[WS_Max_IS19_W6]],"&lt;&gt;"&amp;0,Raw_Data[[#This Row],[WS_Max_IS2_W1]:[WS_Max_IS19_W6]])</f>
        <v>5.9402776666666668</v>
      </c>
      <c r="JI65" s="70">
        <f>SUM(Raw_Data[[#This Row],[IS1_INV1_M1]:[IS20_INV4_M2]])</f>
        <v>1754549.5000000002</v>
      </c>
      <c r="JJ65" s="73">
        <v>1722067.00000001</v>
      </c>
      <c r="JK65" s="71">
        <v>2093595.3529348457</v>
      </c>
      <c r="JL65" s="143">
        <f>IFERROR(Raw_Data[[#This Row],[WPR_Eac]]/Raw_Data[[#This Row],[WPR_Edc]],"")</f>
        <v>0.82254051509332049</v>
      </c>
      <c r="JM65" s="6">
        <v>35</v>
      </c>
      <c r="JN65" s="6">
        <v>0</v>
      </c>
    </row>
    <row r="66" spans="2:274">
      <c r="B66" s="250">
        <f t="shared" si="596"/>
        <v>45805</v>
      </c>
      <c r="C66" s="9">
        <f>YEAR(Raw_Data[[#This Row],[Date]])+IF(MONTH(Raw_Data[[#This Row],[Date]])&gt;=4,1,0)</f>
        <v>2026</v>
      </c>
      <c r="D66" s="6">
        <f t="shared" si="597"/>
        <v>2025</v>
      </c>
      <c r="E66" s="7" t="s">
        <v>361</v>
      </c>
      <c r="F66" s="7" t="s">
        <v>361</v>
      </c>
      <c r="G66" s="8">
        <v>45778</v>
      </c>
      <c r="H66" s="6">
        <f t="shared" si="598"/>
        <v>31</v>
      </c>
      <c r="I66" s="9">
        <v>335090.89</v>
      </c>
      <c r="J66" s="10">
        <v>0.2638888888888889</v>
      </c>
      <c r="K66" s="10">
        <v>0.8125</v>
      </c>
      <c r="L66" s="9">
        <v>9650</v>
      </c>
      <c r="M66" s="9">
        <v>10096.4</v>
      </c>
      <c r="N66" s="9">
        <v>10121.5</v>
      </c>
      <c r="O66" s="9">
        <v>10085.299999999999</v>
      </c>
      <c r="P66" s="9">
        <v>10165.9</v>
      </c>
      <c r="Q66" s="9">
        <v>10287.9</v>
      </c>
      <c r="R66" s="9">
        <v>10187.299999999999</v>
      </c>
      <c r="S66" s="9">
        <v>10631.2</v>
      </c>
      <c r="T66" s="9">
        <v>10199.200000000001</v>
      </c>
      <c r="U66" s="9">
        <v>10128.200000000001</v>
      </c>
      <c r="V66" s="9">
        <v>10082.200000000001</v>
      </c>
      <c r="W66" s="9">
        <v>10172.9</v>
      </c>
      <c r="X66" s="9">
        <v>10190.1</v>
      </c>
      <c r="Y66" s="9">
        <v>10166.799999999999</v>
      </c>
      <c r="Z66" s="9">
        <v>10158.6</v>
      </c>
      <c r="AA66" s="9">
        <v>10276.6</v>
      </c>
      <c r="AB66" s="9">
        <v>10165.4</v>
      </c>
      <c r="AC66" s="9">
        <v>10198.6</v>
      </c>
      <c r="AD66" s="9">
        <v>10227.9</v>
      </c>
      <c r="AE66" s="9">
        <v>10272.9</v>
      </c>
      <c r="AF66" s="9">
        <v>10238.700000000001</v>
      </c>
      <c r="AG66" s="9">
        <v>10163</v>
      </c>
      <c r="AH66" s="9">
        <v>10027.5</v>
      </c>
      <c r="AI66" s="9">
        <v>10128.9</v>
      </c>
      <c r="AJ66" s="9">
        <v>9970</v>
      </c>
      <c r="AK66" s="9">
        <v>8728</v>
      </c>
      <c r="AL66" s="9">
        <v>9957.5</v>
      </c>
      <c r="AM66" s="9">
        <v>9873.7999999999993</v>
      </c>
      <c r="AN66" s="9">
        <v>10263.299999999999</v>
      </c>
      <c r="AO66" s="9">
        <v>10133.5</v>
      </c>
      <c r="AP66" s="9">
        <v>10092</v>
      </c>
      <c r="AQ66" s="9">
        <v>10296</v>
      </c>
      <c r="AR66" s="9">
        <v>10298.799999999999</v>
      </c>
      <c r="AS66" s="9">
        <v>10340.6</v>
      </c>
      <c r="AT66" s="9">
        <v>10394.1</v>
      </c>
      <c r="AU66" s="9">
        <v>10289.799999999999</v>
      </c>
      <c r="AV66" s="9">
        <v>10406.6</v>
      </c>
      <c r="AW66" s="9">
        <v>10202.799999999999</v>
      </c>
      <c r="AX66" s="9">
        <v>10264.6</v>
      </c>
      <c r="AY66" s="9">
        <v>10256.4</v>
      </c>
      <c r="AZ66" s="9">
        <v>11217.3</v>
      </c>
      <c r="BA66" s="9">
        <v>10012</v>
      </c>
      <c r="BB66" s="9">
        <v>11132.3</v>
      </c>
      <c r="BC66" s="9">
        <v>9878.6</v>
      </c>
      <c r="BD66" s="9">
        <v>10402.799999999999</v>
      </c>
      <c r="BE66" s="9">
        <v>11814.7</v>
      </c>
      <c r="BF66" s="9">
        <v>9795.1</v>
      </c>
      <c r="BG66" s="9">
        <v>11210.7</v>
      </c>
      <c r="BH66" s="9">
        <v>10325.700000000001</v>
      </c>
      <c r="BI66" s="9">
        <v>10485.700000000001</v>
      </c>
      <c r="BJ66" s="9">
        <v>10319.200000000001</v>
      </c>
      <c r="BK66" s="9">
        <v>9720.6</v>
      </c>
      <c r="BL66" s="9">
        <v>10659.1</v>
      </c>
      <c r="BM66" s="9">
        <v>10385.200000000001</v>
      </c>
      <c r="BN66" s="9">
        <v>10658.4</v>
      </c>
      <c r="BO66" s="9">
        <v>10542.7</v>
      </c>
      <c r="BP66" s="9">
        <v>9380</v>
      </c>
      <c r="BQ66" s="9">
        <v>10870</v>
      </c>
      <c r="BR66" s="9">
        <v>9379.2999999999993</v>
      </c>
      <c r="BS66" s="9">
        <v>10806.8</v>
      </c>
      <c r="BT66" s="9">
        <v>10643.8</v>
      </c>
      <c r="BU66" s="9">
        <v>9370.2999999999993</v>
      </c>
      <c r="BV66" s="9">
        <v>10253.9</v>
      </c>
      <c r="BW66" s="9">
        <v>9721</v>
      </c>
      <c r="BX66" s="9">
        <v>10014.6</v>
      </c>
      <c r="BY66" s="9">
        <v>9442.2000000000007</v>
      </c>
      <c r="BZ66" s="9">
        <v>9991.5</v>
      </c>
      <c r="CA66" s="9">
        <v>10518.3</v>
      </c>
      <c r="CB66" s="9">
        <v>10796</v>
      </c>
      <c r="CC66" s="9">
        <v>9644.7999999999993</v>
      </c>
      <c r="CD66" s="9">
        <v>10618.3</v>
      </c>
      <c r="CE66" s="9">
        <v>9245.7999999999993</v>
      </c>
      <c r="CF66" s="9">
        <v>10275.1</v>
      </c>
      <c r="CG66" s="9">
        <v>10058.700000000001</v>
      </c>
      <c r="CH66" s="9">
        <v>9468.2000000000007</v>
      </c>
      <c r="CI66" s="9">
        <v>10608.6</v>
      </c>
      <c r="CJ66" s="9">
        <v>9274.9</v>
      </c>
      <c r="CK66" s="9">
        <v>10845.5</v>
      </c>
      <c r="CL66" s="9">
        <v>9430.5</v>
      </c>
      <c r="CM66" s="9">
        <v>10575.9</v>
      </c>
      <c r="CN66" s="9">
        <v>9721</v>
      </c>
      <c r="CO66" s="9">
        <v>10555.1</v>
      </c>
      <c r="CP66" s="9">
        <v>9795.2999999999993</v>
      </c>
      <c r="CQ66" s="9">
        <v>10961.8</v>
      </c>
      <c r="CR66" s="9">
        <v>9710.2000000000007</v>
      </c>
      <c r="CS66" s="9">
        <v>10372.700000000001</v>
      </c>
      <c r="CT66" s="9">
        <v>9667.6</v>
      </c>
      <c r="CU66" s="9">
        <v>8555.6</v>
      </c>
      <c r="CV66" s="9">
        <v>10523</v>
      </c>
      <c r="CW66" s="9">
        <v>10248.200000000001</v>
      </c>
      <c r="CX66" s="9">
        <v>9424.5</v>
      </c>
      <c r="CY66" s="9">
        <v>10975.3</v>
      </c>
      <c r="CZ66" s="9">
        <v>10589.3</v>
      </c>
      <c r="DA66" s="9">
        <v>9675.4</v>
      </c>
      <c r="DB66" s="9">
        <v>9526.7000000000007</v>
      </c>
      <c r="DC66" s="9">
        <v>10631.3</v>
      </c>
      <c r="DD66" s="9">
        <v>9434.2999999999993</v>
      </c>
      <c r="DE66" s="9">
        <v>9950.6</v>
      </c>
      <c r="DF66" s="9">
        <v>10943.8</v>
      </c>
      <c r="DG66" s="9">
        <v>9514.7999999999993</v>
      </c>
      <c r="DH66" s="9">
        <v>10996.1</v>
      </c>
      <c r="DI66" s="9">
        <v>9528.2000000000007</v>
      </c>
      <c r="DJ66" s="9">
        <v>10657.4</v>
      </c>
      <c r="DK66" s="9">
        <v>9713.6</v>
      </c>
      <c r="DL66" s="9">
        <v>10789.3</v>
      </c>
      <c r="DM66" s="9">
        <v>9229.4</v>
      </c>
      <c r="DN66" s="9">
        <v>10850.5</v>
      </c>
      <c r="DO66" s="9">
        <v>9695.4</v>
      </c>
      <c r="DP66" s="9">
        <v>10662.5</v>
      </c>
      <c r="DQ66" s="9">
        <v>9680</v>
      </c>
      <c r="DR66" s="9">
        <v>10648.6</v>
      </c>
      <c r="DS66" s="9">
        <v>9824.5</v>
      </c>
      <c r="DT66" s="9">
        <v>9580.7000000000007</v>
      </c>
      <c r="DU66" s="9">
        <v>10639</v>
      </c>
      <c r="DV66" s="9">
        <v>9701.7000000000007</v>
      </c>
      <c r="DW66" s="9">
        <v>9503.2000000000007</v>
      </c>
      <c r="DX66" s="9">
        <v>10655.4</v>
      </c>
      <c r="DY66" s="9">
        <v>10879.8</v>
      </c>
      <c r="DZ66" s="9">
        <v>10657.3</v>
      </c>
      <c r="EA66" s="9">
        <v>9744</v>
      </c>
      <c r="EB66" s="9">
        <v>10821.8</v>
      </c>
      <c r="EC66" s="9">
        <v>9621.2000000000007</v>
      </c>
      <c r="ED66" s="9">
        <v>10399.6</v>
      </c>
      <c r="EE66" s="9">
        <v>9727.4</v>
      </c>
      <c r="EF66" s="9">
        <v>10326.6</v>
      </c>
      <c r="EG66" s="9">
        <v>9005.7999999999993</v>
      </c>
      <c r="EH66" s="9">
        <v>10513.4</v>
      </c>
      <c r="EI66" s="9">
        <v>9624.2999999999993</v>
      </c>
      <c r="EJ66" s="9">
        <v>9678.5</v>
      </c>
      <c r="EK66" s="9">
        <v>9597.6</v>
      </c>
      <c r="EL66" s="9">
        <v>9488.9</v>
      </c>
      <c r="EM66" s="9">
        <v>8191.2</v>
      </c>
      <c r="EN66" s="9">
        <v>9470.1</v>
      </c>
      <c r="EO66" s="9">
        <v>8367.9</v>
      </c>
      <c r="EP66" s="9">
        <v>9402.1</v>
      </c>
      <c r="EQ66" s="9">
        <v>9528</v>
      </c>
      <c r="ER66" s="9">
        <v>11325.1</v>
      </c>
      <c r="ES66" s="9">
        <v>9777.7000000000007</v>
      </c>
      <c r="ET66" s="9">
        <v>11369.9</v>
      </c>
      <c r="EU66" s="9">
        <v>9989.4</v>
      </c>
      <c r="EV66" s="9">
        <v>11236.2</v>
      </c>
      <c r="EW66" s="9">
        <v>9832.6</v>
      </c>
      <c r="EX66" s="9">
        <v>10020.299999999999</v>
      </c>
      <c r="EY66" s="9">
        <v>9798.7999999999993</v>
      </c>
      <c r="EZ66" s="9">
        <v>10904.8</v>
      </c>
      <c r="FA66" s="9">
        <v>11388.3</v>
      </c>
      <c r="FB66" s="9">
        <v>11218.9</v>
      </c>
      <c r="FC66" s="9">
        <v>11201.8</v>
      </c>
      <c r="FD66" s="9">
        <v>11191.8</v>
      </c>
      <c r="FE66" s="9">
        <v>11247.9</v>
      </c>
      <c r="FF66" s="9">
        <v>10111</v>
      </c>
      <c r="FG66" s="9">
        <v>11285.1</v>
      </c>
      <c r="FH66" s="9">
        <v>11346.3</v>
      </c>
      <c r="FI66" s="9">
        <v>11358.7</v>
      </c>
      <c r="FJ66" s="9">
        <v>11407.4</v>
      </c>
      <c r="FK66" s="9">
        <v>11370.9</v>
      </c>
      <c r="FL66" s="9">
        <v>11339.8</v>
      </c>
      <c r="FM66" s="9">
        <v>10095.799999999999</v>
      </c>
      <c r="FN66" s="9">
        <v>11404.6</v>
      </c>
      <c r="FO66" s="9">
        <v>10065.700000000001</v>
      </c>
      <c r="FP66" s="11">
        <v>37.22382113821137</v>
      </c>
      <c r="FQ66" s="11">
        <v>36.843035230352285</v>
      </c>
      <c r="FR66" s="11">
        <v>37.109878048780516</v>
      </c>
      <c r="FS66" s="11">
        <v>37.380677506775079</v>
      </c>
      <c r="FT66" s="11">
        <v>37.644417344173441</v>
      </c>
      <c r="FU66" s="11">
        <v>37.582777777777736</v>
      </c>
      <c r="FV66" s="11">
        <v>0</v>
      </c>
      <c r="FW66" s="11">
        <v>49.3</v>
      </c>
      <c r="FX66" s="11">
        <v>0</v>
      </c>
      <c r="FY66" s="11">
        <v>0</v>
      </c>
      <c r="FZ66" s="11">
        <v>50</v>
      </c>
      <c r="GA66" s="11">
        <v>50.2</v>
      </c>
      <c r="GB66" s="11">
        <v>2.6875518421951199</v>
      </c>
      <c r="GC66" s="11">
        <v>3.2072559755555523</v>
      </c>
      <c r="GD66" s="11">
        <v>2.8483648357588076</v>
      </c>
      <c r="GE66" s="11">
        <v>0.5911585221273713</v>
      </c>
      <c r="GF66" s="11">
        <v>3.2462939054065085</v>
      </c>
      <c r="GG66" s="11">
        <v>3.4654153948509525</v>
      </c>
      <c r="GH66" s="11">
        <v>5.62</v>
      </c>
      <c r="GI66" s="11">
        <v>6.886666</v>
      </c>
      <c r="GJ66" s="11">
        <v>6.0650000000000004</v>
      </c>
      <c r="GK66" s="11">
        <v>6.2633330000000003</v>
      </c>
      <c r="GL66" s="11">
        <v>6.8849999999999998</v>
      </c>
      <c r="GM66" s="11">
        <v>7.1749999999999998</v>
      </c>
      <c r="GN66" s="11">
        <v>5.9791968333333321</v>
      </c>
      <c r="GO66" s="11">
        <v>6.172343166666665</v>
      </c>
      <c r="GP66" s="11">
        <v>6.2338049999999985</v>
      </c>
      <c r="GQ66" s="11">
        <v>6.0273246666666669</v>
      </c>
      <c r="GR66" s="11">
        <v>6.2375146666666623</v>
      </c>
      <c r="GS66" s="11">
        <v>6.1264318333333243</v>
      </c>
      <c r="GT66" s="108">
        <v>1.4195566666666672</v>
      </c>
      <c r="GU66" s="108">
        <v>1.3497189999999994</v>
      </c>
      <c r="GV66" s="108">
        <v>1.2408309999999991</v>
      </c>
      <c r="GW66" s="108">
        <v>1.5711343333333343</v>
      </c>
      <c r="GX66" s="108">
        <v>1.6470131666666683</v>
      </c>
      <c r="GY66" s="108">
        <v>1.3451798333333354</v>
      </c>
      <c r="GZ66" s="13">
        <v>0</v>
      </c>
      <c r="HA66" s="13">
        <v>6.0560660000000013</v>
      </c>
      <c r="HB66" s="13">
        <v>5.8625353333333301</v>
      </c>
      <c r="HC66" s="13">
        <v>0</v>
      </c>
      <c r="HD66" s="13">
        <v>5.921999999999997</v>
      </c>
      <c r="HE66" s="13">
        <v>5.9247963333333393</v>
      </c>
      <c r="HF66" s="13">
        <v>0.46957733333333296</v>
      </c>
      <c r="HG66" s="13">
        <v>0.53745083333333254</v>
      </c>
      <c r="HH66" s="13">
        <v>0.42073299999999975</v>
      </c>
      <c r="HI66" s="13">
        <v>0.46857383333333369</v>
      </c>
      <c r="HJ66" s="13">
        <v>0.50268516666666696</v>
      </c>
      <c r="HK66" s="13">
        <v>0.51336383333333357</v>
      </c>
      <c r="HL66" s="12">
        <v>0</v>
      </c>
      <c r="HM66" s="12">
        <v>0</v>
      </c>
      <c r="HN66" s="12">
        <v>0</v>
      </c>
      <c r="HO66" s="12">
        <v>0</v>
      </c>
      <c r="HP66" s="12">
        <v>0</v>
      </c>
      <c r="HQ66" s="12">
        <v>0</v>
      </c>
      <c r="HR66" s="12">
        <v>0</v>
      </c>
      <c r="HS66" s="12">
        <v>0</v>
      </c>
      <c r="HT66" s="12">
        <v>0</v>
      </c>
      <c r="HU66" s="12">
        <v>0</v>
      </c>
      <c r="HV66" s="12">
        <v>0</v>
      </c>
      <c r="HW66" s="12">
        <v>0</v>
      </c>
      <c r="HX66" s="9">
        <v>952996</v>
      </c>
      <c r="HY66" s="9">
        <v>1773</v>
      </c>
      <c r="HZ66" s="9">
        <v>939692</v>
      </c>
      <c r="IA66" s="9">
        <v>1803</v>
      </c>
      <c r="IB66" s="11">
        <v>197592.01500000001</v>
      </c>
      <c r="IC66" s="11">
        <v>442.86700000000002</v>
      </c>
      <c r="ID66" s="14">
        <f t="shared" ref="ID66:II66" si="619">GN66-HL66</f>
        <v>5.9791968333333321</v>
      </c>
      <c r="IE66" s="14">
        <f t="shared" si="619"/>
        <v>6.172343166666665</v>
      </c>
      <c r="IF66" s="14">
        <f t="shared" si="619"/>
        <v>6.2338049999999985</v>
      </c>
      <c r="IG66" s="14">
        <f t="shared" si="619"/>
        <v>6.0273246666666669</v>
      </c>
      <c r="IH66" s="14">
        <f t="shared" si="619"/>
        <v>6.2375146666666623</v>
      </c>
      <c r="II66" s="14">
        <f t="shared" si="619"/>
        <v>6.1264318333333243</v>
      </c>
      <c r="IJ66" s="15">
        <f t="shared" ref="IJ66:IO66" si="620">GZ66-HR66</f>
        <v>0</v>
      </c>
      <c r="IK66" s="15">
        <f t="shared" si="620"/>
        <v>6.0560660000000013</v>
      </c>
      <c r="IL66" s="15">
        <f t="shared" si="620"/>
        <v>5.8625353333333301</v>
      </c>
      <c r="IM66" s="15">
        <f t="shared" si="620"/>
        <v>0</v>
      </c>
      <c r="IN66" s="15">
        <f t="shared" si="620"/>
        <v>5.921999999999997</v>
      </c>
      <c r="IO66" s="15">
        <f t="shared" si="620"/>
        <v>5.9247963333333393</v>
      </c>
      <c r="IP66" s="16">
        <f t="shared" ref="IP66" si="621">(HX66-HX65)*1000</f>
        <v>813000</v>
      </c>
      <c r="IQ66" s="16">
        <f t="shared" ref="IQ66" si="622">(HY66-HY65)*1000</f>
        <v>1000</v>
      </c>
      <c r="IR66" s="16">
        <f t="shared" ref="IR66" si="623">(HZ66-HZ65)*1000</f>
        <v>816000</v>
      </c>
      <c r="IS66" s="16">
        <f t="shared" ref="IS66" si="624">(IA66-IA65)*1000</f>
        <v>2000</v>
      </c>
      <c r="IT66" s="16">
        <f t="shared" ref="IT66" si="625">(IB66-IB65)*1000</f>
        <v>1625533.0000000249</v>
      </c>
      <c r="IU66" s="16">
        <f t="shared" ref="IU66" si="626">(IC66-IC65)*1000</f>
        <v>4266.9999999999964</v>
      </c>
      <c r="IV66" s="17">
        <f t="shared" ref="IV66" si="627">(IP66+IR66)-(IQ66+IS66)</f>
        <v>1626000</v>
      </c>
      <c r="IW66" s="17">
        <f t="shared" ref="IW66" si="628">IT66-IU66</f>
        <v>1621266.0000000249</v>
      </c>
      <c r="IX66" s="19">
        <f>(Raw_Data[[#This Row],[Sunset Time (POA&lt;20 W/m2)]]-Raw_Data[[#This Row],[Sunrise Time (POA&gt;20 W/m2)]])*24</f>
        <v>13.166666666666668</v>
      </c>
      <c r="IY66" s="68">
        <f>AVERAGEIF(Raw_Data[[#This Row],[GHI_UP_Net_IS2_W1]:[GHI_UP_Net_IS19_W6]],"&lt;&gt;"&amp;0,Raw_Data[[#This Row],[GHI_UP_Net_IS2_W1]:[GHI_UP_Net_IS19_W6]])</f>
        <v>6.129436027777774</v>
      </c>
      <c r="IZ66" s="68">
        <f>AVERAGEIF(Raw_Data[[#This Row],[GHI_Down_IS2_W1]:[GHI_Down_IS19_W6]],"&lt;&gt;"&amp;0,Raw_Data[[#This Row],[GHI_Down_IS2_W1]:[GHI_Down_IS19_W6]])</f>
        <v>1.4289056666666671</v>
      </c>
      <c r="JA66" s="68">
        <f>AVERAGEIF(Raw_Data[[#This Row],[POA_Up_IS2_W1]:[POA_Up_IS19_W6]],"&lt;&gt;"&amp;0,Raw_Data[[#This Row],[POA_Up_IS2_W1]:[POA_Up_IS19_W6]])</f>
        <v>5.9413494166666672</v>
      </c>
      <c r="JB66" s="68">
        <f>AVERAGEIF(Raw_Data[[#This Row],[POA_Down_IS2_W1]:[POA_Down_IS19_W6]],"&lt;&gt;"&amp;0,Raw_Data[[#This Row],[POA_Down_IS2_W1]:[POA_Down_IS19_W6]])</f>
        <v>0.48539733333333318</v>
      </c>
      <c r="JC66" s="69">
        <f>Raw_Data[[#This Row],[GHI-Down(KWh/m2)]]/Raw_Data[[#This Row],[GHI-UP (KWh/m2)]]</f>
        <v>0.23312188269704751</v>
      </c>
      <c r="JD66" s="72">
        <f>Raw_Data[[#This Row],[POA-Down(KWh/m2)]]/Raw_Data[[#This Row],[POA-UP(KWh/m2)]]</f>
        <v>8.1698163042169689E-2</v>
      </c>
      <c r="JE66" s="68">
        <f>AVERAGEIF(Raw_Data[[#This Row],[Amb_Temp_IS2_W1]:[Amb_Temp_IS19_W6]],"&lt;&gt;"&amp;0,Raw_Data[[#This Row],[Amb_Temp_IS2_W1]:[Amb_Temp_IS19_W6]])</f>
        <v>37.29743450767841</v>
      </c>
      <c r="JF66" s="68">
        <f>AVERAGEIF(Raw_Data[[#This Row],[MT_Temp_IS2_W1]:[MT_Temp_IS19_W6]],"&lt;&gt;"&amp;0,Raw_Data[[#This Row],[MT_Temp_IS2_W1]:[MT_Temp_IS19_W6]])</f>
        <v>49.833333333333336</v>
      </c>
      <c r="JG66" s="68">
        <f>AVERAGEIF(Raw_Data[[#This Row],[WS_Avg_IS2_W1]:[WS_Avg_IS19_W6]],"&lt;&gt;"&amp;0,Raw_Data[[#This Row],[WS_Avg_IS2_W1]:[WS_Avg_IS19_W6]])</f>
        <v>2.6743400793157188</v>
      </c>
      <c r="JH66" s="68">
        <f>AVERAGEIF(Raw_Data[[#This Row],[WS_Max_IS2_W1]:[WS_Max_IS19_W6]],"&lt;&gt;"&amp;0,Raw_Data[[#This Row],[WS_Max_IS2_W1]:[WS_Max_IS19_W6]])</f>
        <v>6.4824998333333328</v>
      </c>
      <c r="JI66" s="70">
        <f>SUM(Raw_Data[[#This Row],[IS1_INV1_M1]:[IS20_INV4_M2]])</f>
        <v>1634051.2000000002</v>
      </c>
      <c r="JJ66" s="73">
        <v>1603133.0000000016</v>
      </c>
      <c r="JK66" s="71">
        <v>1956019.8606259322</v>
      </c>
      <c r="JL66" s="143">
        <f>IFERROR(Raw_Data[[#This Row],[WPR_Eac]]/Raw_Data[[#This Row],[WPR_Edc]],"")</f>
        <v>0.81958932640233739</v>
      </c>
      <c r="JM66" s="6">
        <v>29</v>
      </c>
      <c r="JN66" s="6">
        <v>786</v>
      </c>
    </row>
    <row r="67" spans="2:274">
      <c r="B67" s="250">
        <f t="shared" si="596"/>
        <v>45806</v>
      </c>
      <c r="C67" s="9">
        <f>YEAR(Raw_Data[[#This Row],[Date]])+IF(MONTH(Raw_Data[[#This Row],[Date]])&gt;=4,1,0)</f>
        <v>2026</v>
      </c>
      <c r="D67" s="6">
        <f t="shared" si="597"/>
        <v>2025</v>
      </c>
      <c r="E67" s="7" t="s">
        <v>361</v>
      </c>
      <c r="F67" s="7" t="s">
        <v>361</v>
      </c>
      <c r="G67" s="8">
        <v>45778</v>
      </c>
      <c r="H67" s="6">
        <f t="shared" si="598"/>
        <v>31</v>
      </c>
      <c r="I67" s="9">
        <v>335090.89</v>
      </c>
      <c r="J67" s="10">
        <v>0.26805555555555555</v>
      </c>
      <c r="K67" s="10">
        <v>0.81111111111111112</v>
      </c>
      <c r="L67" s="9">
        <v>9936.6</v>
      </c>
      <c r="M67" s="9">
        <v>10397.5</v>
      </c>
      <c r="N67" s="9">
        <v>10413.6</v>
      </c>
      <c r="O67" s="9">
        <v>10372.6</v>
      </c>
      <c r="P67" s="9">
        <v>10450.9</v>
      </c>
      <c r="Q67" s="9">
        <v>10643.4</v>
      </c>
      <c r="R67" s="9">
        <v>10596.3</v>
      </c>
      <c r="S67" s="9">
        <v>11045.1</v>
      </c>
      <c r="T67" s="9">
        <v>10531.1</v>
      </c>
      <c r="U67" s="9">
        <v>10339.4</v>
      </c>
      <c r="V67" s="9">
        <v>10352.799999999999</v>
      </c>
      <c r="W67" s="9">
        <v>10437.700000000001</v>
      </c>
      <c r="X67" s="9">
        <v>10484.799999999999</v>
      </c>
      <c r="Y67" s="9">
        <v>10396.299999999999</v>
      </c>
      <c r="Z67" s="9">
        <v>10417.299999999999</v>
      </c>
      <c r="AA67" s="9">
        <v>10530.8</v>
      </c>
      <c r="AB67" s="9">
        <v>10402.700000000001</v>
      </c>
      <c r="AC67" s="9">
        <v>10445.6</v>
      </c>
      <c r="AD67" s="9">
        <v>10478.700000000001</v>
      </c>
      <c r="AE67" s="9">
        <v>10539.7</v>
      </c>
      <c r="AF67" s="9">
        <v>10482.4</v>
      </c>
      <c r="AG67" s="9">
        <v>10397.4</v>
      </c>
      <c r="AH67" s="9">
        <v>10264.799999999999</v>
      </c>
      <c r="AI67" s="9">
        <v>10353.9</v>
      </c>
      <c r="AJ67" s="9">
        <v>10164.799999999999</v>
      </c>
      <c r="AK67" s="9">
        <v>8899.7000000000007</v>
      </c>
      <c r="AL67" s="9">
        <v>10069.1</v>
      </c>
      <c r="AM67" s="9">
        <v>10049.299999999999</v>
      </c>
      <c r="AN67" s="9">
        <v>10490.2</v>
      </c>
      <c r="AO67" s="9">
        <v>10333.6</v>
      </c>
      <c r="AP67" s="9">
        <v>10275.4</v>
      </c>
      <c r="AQ67" s="9">
        <v>10483.799999999999</v>
      </c>
      <c r="AR67" s="9">
        <v>10540.2</v>
      </c>
      <c r="AS67" s="9">
        <v>10516.5</v>
      </c>
      <c r="AT67" s="9">
        <v>10607.6</v>
      </c>
      <c r="AU67" s="9">
        <v>10506.1</v>
      </c>
      <c r="AV67" s="9">
        <v>10509.3</v>
      </c>
      <c r="AW67" s="9">
        <v>10282.6</v>
      </c>
      <c r="AX67" s="9">
        <v>10457</v>
      </c>
      <c r="AY67" s="9">
        <v>10479.1</v>
      </c>
      <c r="AZ67" s="9">
        <v>11262.8</v>
      </c>
      <c r="BA67" s="9">
        <v>10049</v>
      </c>
      <c r="BB67" s="9">
        <v>11184.8</v>
      </c>
      <c r="BC67" s="9">
        <v>9886.5</v>
      </c>
      <c r="BD67" s="9">
        <v>10539.3</v>
      </c>
      <c r="BE67" s="9">
        <v>11852.6</v>
      </c>
      <c r="BF67" s="9">
        <v>9649.9</v>
      </c>
      <c r="BG67" s="9">
        <v>11164.8</v>
      </c>
      <c r="BH67" s="9">
        <v>10549.4</v>
      </c>
      <c r="BI67" s="9">
        <v>10716.9</v>
      </c>
      <c r="BJ67" s="9">
        <v>10571.6</v>
      </c>
      <c r="BK67" s="9">
        <v>9969.6</v>
      </c>
      <c r="BL67" s="9">
        <v>10939</v>
      </c>
      <c r="BM67" s="9">
        <v>10724</v>
      </c>
      <c r="BN67" s="9">
        <v>10890.3</v>
      </c>
      <c r="BO67" s="9">
        <v>10755.4</v>
      </c>
      <c r="BP67" s="9">
        <v>9586.9</v>
      </c>
      <c r="BQ67" s="9">
        <v>11101.7</v>
      </c>
      <c r="BR67" s="9">
        <v>9623.7999999999993</v>
      </c>
      <c r="BS67" s="9">
        <v>11058.9</v>
      </c>
      <c r="BT67" s="9">
        <v>10908.5</v>
      </c>
      <c r="BU67" s="9">
        <v>9608.1</v>
      </c>
      <c r="BV67" s="9">
        <v>10500.3</v>
      </c>
      <c r="BW67" s="9">
        <v>9936.2000000000007</v>
      </c>
      <c r="BX67" s="9">
        <v>10259.5</v>
      </c>
      <c r="BY67" s="9">
        <v>9689.2999999999993</v>
      </c>
      <c r="BZ67" s="9">
        <v>10249.1</v>
      </c>
      <c r="CA67" s="9">
        <v>10885.9</v>
      </c>
      <c r="CB67" s="9">
        <v>11089.2</v>
      </c>
      <c r="CC67" s="9">
        <v>9974.7000000000007</v>
      </c>
      <c r="CD67" s="9">
        <v>10908.7</v>
      </c>
      <c r="CE67" s="9">
        <v>9561.1</v>
      </c>
      <c r="CF67" s="9">
        <v>10563.3</v>
      </c>
      <c r="CG67" s="9">
        <v>10371.4</v>
      </c>
      <c r="CH67" s="9">
        <v>9748.9</v>
      </c>
      <c r="CI67" s="9">
        <v>10941.4</v>
      </c>
      <c r="CJ67" s="9">
        <v>9579.7000000000007</v>
      </c>
      <c r="CK67" s="9">
        <v>11159.3</v>
      </c>
      <c r="CL67" s="9">
        <v>9720.2999999999993</v>
      </c>
      <c r="CM67" s="9">
        <v>10905.6</v>
      </c>
      <c r="CN67" s="9">
        <v>10139.4</v>
      </c>
      <c r="CO67" s="9">
        <v>10987.7</v>
      </c>
      <c r="CP67" s="9">
        <v>10182.200000000001</v>
      </c>
      <c r="CQ67" s="9">
        <v>11404.8</v>
      </c>
      <c r="CR67" s="9">
        <v>10076.6</v>
      </c>
      <c r="CS67" s="9">
        <v>10754</v>
      </c>
      <c r="CT67" s="9">
        <v>9970.5</v>
      </c>
      <c r="CU67" s="9">
        <v>8886.2999999999993</v>
      </c>
      <c r="CV67" s="9">
        <v>10739.8</v>
      </c>
      <c r="CW67" s="9">
        <v>10620.7</v>
      </c>
      <c r="CX67" s="9">
        <v>9688</v>
      </c>
      <c r="CY67" s="9">
        <v>11220.4</v>
      </c>
      <c r="CZ67" s="9">
        <v>10808.7</v>
      </c>
      <c r="DA67" s="9">
        <v>9838.7999999999993</v>
      </c>
      <c r="DB67" s="9">
        <v>9680.9</v>
      </c>
      <c r="DC67" s="9">
        <v>10940</v>
      </c>
      <c r="DD67" s="9">
        <v>9534.7999999999993</v>
      </c>
      <c r="DE67" s="9">
        <v>10257.5</v>
      </c>
      <c r="DF67" s="9">
        <v>11291.6</v>
      </c>
      <c r="DG67" s="9">
        <v>9798.7000000000007</v>
      </c>
      <c r="DH67" s="9">
        <v>11352.6</v>
      </c>
      <c r="DI67" s="9">
        <v>9837.9</v>
      </c>
      <c r="DJ67" s="9">
        <v>11001.7</v>
      </c>
      <c r="DK67" s="9">
        <v>10013.6</v>
      </c>
      <c r="DL67" s="9">
        <v>11132.2</v>
      </c>
      <c r="DM67" s="9">
        <v>9533.9</v>
      </c>
      <c r="DN67" s="9">
        <v>11204.6</v>
      </c>
      <c r="DO67" s="9">
        <v>10021</v>
      </c>
      <c r="DP67" s="9">
        <v>11002.3</v>
      </c>
      <c r="DQ67" s="9">
        <v>9972.1</v>
      </c>
      <c r="DR67" s="9">
        <v>11076.2</v>
      </c>
      <c r="DS67" s="9">
        <v>10139.299999999999</v>
      </c>
      <c r="DT67" s="9">
        <v>9883.1</v>
      </c>
      <c r="DU67" s="9">
        <v>10914.8</v>
      </c>
      <c r="DV67" s="9">
        <v>10005.6</v>
      </c>
      <c r="DW67" s="9">
        <v>9801.7000000000007</v>
      </c>
      <c r="DX67" s="9">
        <v>11056.1</v>
      </c>
      <c r="DY67" s="9">
        <v>11176.5</v>
      </c>
      <c r="DZ67" s="9">
        <v>10969.5</v>
      </c>
      <c r="EA67" s="9">
        <v>10022.1</v>
      </c>
      <c r="EB67" s="9">
        <v>11120.1</v>
      </c>
      <c r="EC67" s="9">
        <v>9891.4</v>
      </c>
      <c r="ED67" s="9">
        <v>10815.5</v>
      </c>
      <c r="EE67" s="9">
        <v>10052.6</v>
      </c>
      <c r="EF67" s="9">
        <v>10626</v>
      </c>
      <c r="EG67" s="9">
        <v>9286.1</v>
      </c>
      <c r="EH67" s="9">
        <v>10824.9</v>
      </c>
      <c r="EI67" s="9">
        <v>9923.9</v>
      </c>
      <c r="EJ67" s="9">
        <v>9805.9</v>
      </c>
      <c r="EK67" s="9">
        <v>9710.7999999999993</v>
      </c>
      <c r="EL67" s="9">
        <v>9732.7999999999993</v>
      </c>
      <c r="EM67" s="9">
        <v>8371.7000000000007</v>
      </c>
      <c r="EN67" s="9">
        <v>9569.6</v>
      </c>
      <c r="EO67" s="9">
        <v>8475.4</v>
      </c>
      <c r="EP67" s="9">
        <v>9803.5</v>
      </c>
      <c r="EQ67" s="9">
        <v>9836</v>
      </c>
      <c r="ER67" s="9">
        <v>11734.2</v>
      </c>
      <c r="ES67" s="9">
        <v>10116.700000000001</v>
      </c>
      <c r="ET67" s="9">
        <v>11779.4</v>
      </c>
      <c r="EU67" s="9">
        <v>10379.799999999999</v>
      </c>
      <c r="EV67" s="9">
        <v>11627.8</v>
      </c>
      <c r="EW67" s="9">
        <v>10160.1</v>
      </c>
      <c r="EX67" s="9">
        <v>10373.700000000001</v>
      </c>
      <c r="EY67" s="9">
        <v>10096</v>
      </c>
      <c r="EZ67" s="9">
        <v>11311.6</v>
      </c>
      <c r="FA67" s="9">
        <v>11787.1</v>
      </c>
      <c r="FB67" s="9">
        <v>11629.8</v>
      </c>
      <c r="FC67" s="9">
        <v>11610.9</v>
      </c>
      <c r="FD67" s="9">
        <v>11604.4</v>
      </c>
      <c r="FE67" s="9">
        <v>11631</v>
      </c>
      <c r="FF67" s="9">
        <v>10465.299999999999</v>
      </c>
      <c r="FG67" s="9">
        <v>11674.1</v>
      </c>
      <c r="FH67" s="9">
        <v>11861.8</v>
      </c>
      <c r="FI67" s="9">
        <v>11817.9</v>
      </c>
      <c r="FJ67" s="9">
        <v>11849.9</v>
      </c>
      <c r="FK67" s="9">
        <v>11809.7</v>
      </c>
      <c r="FL67" s="9">
        <v>11763.2</v>
      </c>
      <c r="FM67" s="9">
        <v>10473.200000000001</v>
      </c>
      <c r="FN67" s="9">
        <v>11892.7</v>
      </c>
      <c r="FO67" s="9">
        <v>10514.2</v>
      </c>
      <c r="FP67" s="11">
        <v>34.195090673575137</v>
      </c>
      <c r="FQ67" s="11">
        <v>33.79541450777203</v>
      </c>
      <c r="FR67" s="11">
        <v>33.919106217616616</v>
      </c>
      <c r="FS67" s="11">
        <v>34.100479274611388</v>
      </c>
      <c r="FT67" s="11">
        <v>33.793989637305678</v>
      </c>
      <c r="FU67" s="11">
        <v>34.336722797927507</v>
      </c>
      <c r="FV67" s="11">
        <v>0</v>
      </c>
      <c r="FW67" s="11">
        <v>44.7</v>
      </c>
      <c r="FX67" s="11">
        <v>0</v>
      </c>
      <c r="FY67" s="11">
        <v>0</v>
      </c>
      <c r="FZ67" s="11">
        <v>45.335055971502562</v>
      </c>
      <c r="GA67" s="11">
        <v>45.8</v>
      </c>
      <c r="GB67" s="11">
        <v>1.823391543238343</v>
      </c>
      <c r="GC67" s="11">
        <v>5.2300904556994858</v>
      </c>
      <c r="GD67" s="11">
        <v>5.0833914156735727</v>
      </c>
      <c r="GE67" s="11">
        <v>4.6699976842487052</v>
      </c>
      <c r="GF67" s="11">
        <v>5.3288015831606259</v>
      </c>
      <c r="GG67" s="11">
        <v>5.0332683429663199</v>
      </c>
      <c r="GH67" s="11">
        <v>9.9283339999999995</v>
      </c>
      <c r="GI67" s="11">
        <v>11</v>
      </c>
      <c r="GJ67" s="11">
        <v>10.29</v>
      </c>
      <c r="GK67" s="11">
        <v>10.925000000000001</v>
      </c>
      <c r="GL67" s="11">
        <v>12.911670000000001</v>
      </c>
      <c r="GM67" s="11">
        <v>11.94</v>
      </c>
      <c r="GN67" s="11">
        <v>6.1605230000000031</v>
      </c>
      <c r="GO67" s="11">
        <v>6.1967610000000048</v>
      </c>
      <c r="GP67" s="11">
        <v>6.1372440000000026</v>
      </c>
      <c r="GQ67" s="11">
        <v>6.2102281666666697</v>
      </c>
      <c r="GR67" s="11">
        <v>6.3923691666666711</v>
      </c>
      <c r="GS67" s="11">
        <v>6.4248436666666713</v>
      </c>
      <c r="GT67" s="108">
        <v>1.5184670000000011</v>
      </c>
      <c r="GU67" s="108">
        <v>1.3999316666666672</v>
      </c>
      <c r="GV67" s="108">
        <v>1.3555736666666665</v>
      </c>
      <c r="GW67" s="108">
        <v>1.6761979999999965</v>
      </c>
      <c r="GX67" s="108">
        <v>1.6846861666666659</v>
      </c>
      <c r="GY67" s="108">
        <v>1.3495668333333357</v>
      </c>
      <c r="GZ67" s="13">
        <v>0</v>
      </c>
      <c r="HA67" s="13">
        <v>6.0604976666666666</v>
      </c>
      <c r="HB67" s="13">
        <v>5.9280805000000054</v>
      </c>
      <c r="HC67" s="13">
        <v>0</v>
      </c>
      <c r="HD67" s="13">
        <v>6.2272963333333342</v>
      </c>
      <c r="HE67" s="13">
        <v>6.2184338333333322</v>
      </c>
      <c r="HF67" s="13">
        <v>0.47391950000000038</v>
      </c>
      <c r="HG67" s="13">
        <v>0.53489999999999982</v>
      </c>
      <c r="HH67" s="13">
        <v>0.43880866666666718</v>
      </c>
      <c r="HI67" s="13">
        <v>0.46851649999999956</v>
      </c>
      <c r="HJ67" s="13">
        <v>0.50651316666666679</v>
      </c>
      <c r="HK67" s="13">
        <v>0.50616366666666635</v>
      </c>
      <c r="HL67" s="12">
        <v>0</v>
      </c>
      <c r="HM67" s="12">
        <v>0</v>
      </c>
      <c r="HN67" s="12">
        <v>0</v>
      </c>
      <c r="HO67" s="12">
        <v>0</v>
      </c>
      <c r="HP67" s="12">
        <v>0</v>
      </c>
      <c r="HQ67" s="12">
        <v>0</v>
      </c>
      <c r="HR67" s="12">
        <v>0</v>
      </c>
      <c r="HS67" s="12">
        <v>0</v>
      </c>
      <c r="HT67" s="12">
        <v>0</v>
      </c>
      <c r="HU67" s="12">
        <v>0</v>
      </c>
      <c r="HV67" s="12">
        <v>0</v>
      </c>
      <c r="HW67" s="12">
        <v>0</v>
      </c>
      <c r="HX67" s="9">
        <v>953827</v>
      </c>
      <c r="HY67" s="9">
        <v>1774</v>
      </c>
      <c r="HZ67" s="9">
        <v>940534</v>
      </c>
      <c r="IA67" s="9">
        <v>1805</v>
      </c>
      <c r="IB67" s="11">
        <v>199259.94899999999</v>
      </c>
      <c r="IC67" s="11">
        <v>447.2</v>
      </c>
      <c r="ID67" s="14">
        <f t="shared" ref="ID67:II67" si="629">GN67-HL67</f>
        <v>6.1605230000000031</v>
      </c>
      <c r="IE67" s="14">
        <f t="shared" si="629"/>
        <v>6.1967610000000048</v>
      </c>
      <c r="IF67" s="14">
        <f t="shared" si="629"/>
        <v>6.1372440000000026</v>
      </c>
      <c r="IG67" s="14">
        <f t="shared" si="629"/>
        <v>6.2102281666666697</v>
      </c>
      <c r="IH67" s="14">
        <f t="shared" si="629"/>
        <v>6.3923691666666711</v>
      </c>
      <c r="II67" s="14">
        <f t="shared" si="629"/>
        <v>6.4248436666666713</v>
      </c>
      <c r="IJ67" s="15">
        <f t="shared" ref="IJ67:IO67" si="630">GZ67-HR67</f>
        <v>0</v>
      </c>
      <c r="IK67" s="15">
        <f t="shared" si="630"/>
        <v>6.0604976666666666</v>
      </c>
      <c r="IL67" s="15">
        <f t="shared" si="630"/>
        <v>5.9280805000000054</v>
      </c>
      <c r="IM67" s="15">
        <f t="shared" si="630"/>
        <v>0</v>
      </c>
      <c r="IN67" s="15">
        <f t="shared" si="630"/>
        <v>6.2272963333333342</v>
      </c>
      <c r="IO67" s="15">
        <f t="shared" si="630"/>
        <v>6.2184338333333322</v>
      </c>
      <c r="IP67" s="16">
        <f t="shared" ref="IP67" si="631">(HX67-HX66)*1000</f>
        <v>831000</v>
      </c>
      <c r="IQ67" s="16">
        <f t="shared" ref="IQ67" si="632">(HY67-HY66)*1000</f>
        <v>1000</v>
      </c>
      <c r="IR67" s="16">
        <f t="shared" ref="IR67" si="633">(HZ67-HZ66)*1000</f>
        <v>842000</v>
      </c>
      <c r="IS67" s="16">
        <f t="shared" ref="IS67" si="634">(IA67-IA66)*1000</f>
        <v>2000</v>
      </c>
      <c r="IT67" s="16">
        <f t="shared" ref="IT67" si="635">(IB67-IB66)*1000</f>
        <v>1667933.9999999793</v>
      </c>
      <c r="IU67" s="16">
        <f t="shared" ref="IU67" si="636">(IC67-IC66)*1000</f>
        <v>4332.99999999997</v>
      </c>
      <c r="IV67" s="17">
        <f t="shared" ref="IV67" si="637">(IP67+IR67)-(IQ67+IS67)</f>
        <v>1670000</v>
      </c>
      <c r="IW67" s="17">
        <f t="shared" ref="IW67" si="638">IT67-IU67</f>
        <v>1663600.9999999793</v>
      </c>
      <c r="IX67" s="19">
        <f>(Raw_Data[[#This Row],[Sunset Time (POA&lt;20 W/m2)]]-Raw_Data[[#This Row],[Sunrise Time (POA&gt;20 W/m2)]])*24</f>
        <v>13.033333333333335</v>
      </c>
      <c r="IY67" s="68">
        <f>AVERAGEIF(Raw_Data[[#This Row],[GHI_UP_Net_IS2_W1]:[GHI_UP_Net_IS19_W6]],"&lt;&gt;"&amp;0,Raw_Data[[#This Row],[GHI_UP_Net_IS2_W1]:[GHI_UP_Net_IS19_W6]])</f>
        <v>6.2536615000000042</v>
      </c>
      <c r="IZ67" s="68">
        <f>AVERAGEIF(Raw_Data[[#This Row],[GHI_Down_IS2_W1]:[GHI_Down_IS19_W6]],"&lt;&gt;"&amp;0,Raw_Data[[#This Row],[GHI_Down_IS2_W1]:[GHI_Down_IS19_W6]])</f>
        <v>1.497403888888889</v>
      </c>
      <c r="JA67" s="68">
        <f>AVERAGEIF(Raw_Data[[#This Row],[POA_Up_IS2_W1]:[POA_Up_IS19_W6]],"&lt;&gt;"&amp;0,Raw_Data[[#This Row],[POA_Up_IS2_W1]:[POA_Up_IS19_W6]])</f>
        <v>6.1085770833333344</v>
      </c>
      <c r="JB67" s="68">
        <f>AVERAGEIF(Raw_Data[[#This Row],[POA_Down_IS2_W1]:[POA_Down_IS19_W6]],"&lt;&gt;"&amp;0,Raw_Data[[#This Row],[POA_Down_IS2_W1]:[POA_Down_IS19_W6]])</f>
        <v>0.4881369166666667</v>
      </c>
      <c r="JC67" s="69">
        <f>Raw_Data[[#This Row],[GHI-Down(KWh/m2)]]/Raw_Data[[#This Row],[GHI-UP (KWh/m2)]]</f>
        <v>0.23944434614647561</v>
      </c>
      <c r="JD67" s="72">
        <f>Raw_Data[[#This Row],[POA-Down(KWh/m2)]]/Raw_Data[[#This Row],[POA-UP(KWh/m2)]]</f>
        <v>7.9910085443384418E-2</v>
      </c>
      <c r="JE67" s="68">
        <f>AVERAGEIF(Raw_Data[[#This Row],[Amb_Temp_IS2_W1]:[Amb_Temp_IS19_W6]],"&lt;&gt;"&amp;0,Raw_Data[[#This Row],[Amb_Temp_IS2_W1]:[Amb_Temp_IS19_W6]])</f>
        <v>34.023467184801397</v>
      </c>
      <c r="JF67" s="68">
        <f>AVERAGEIF(Raw_Data[[#This Row],[MT_Temp_IS2_W1]:[MT_Temp_IS19_W6]],"&lt;&gt;"&amp;0,Raw_Data[[#This Row],[MT_Temp_IS2_W1]:[MT_Temp_IS19_W6]])</f>
        <v>45.278351990500859</v>
      </c>
      <c r="JG67" s="68">
        <f>AVERAGEIF(Raw_Data[[#This Row],[WS_Avg_IS2_W1]:[WS_Avg_IS19_W6]],"&lt;&gt;"&amp;0,Raw_Data[[#This Row],[WS_Avg_IS2_W1]:[WS_Avg_IS19_W6]])</f>
        <v>4.5281568374978418</v>
      </c>
      <c r="JH67" s="68">
        <f>AVERAGEIF(Raw_Data[[#This Row],[WS_Max_IS2_W1]:[WS_Max_IS19_W6]],"&lt;&gt;"&amp;0,Raw_Data[[#This Row],[WS_Max_IS2_W1]:[WS_Max_IS19_W6]])</f>
        <v>11.165833999999998</v>
      </c>
      <c r="JI67" s="70">
        <f>SUM(Raw_Data[[#This Row],[IS1_INV1_M1]:[IS20_INV4_M2]])</f>
        <v>1678762.3</v>
      </c>
      <c r="JJ67" s="73">
        <v>1619066.9999999809</v>
      </c>
      <c r="JK67" s="71">
        <v>2001372.135860441</v>
      </c>
      <c r="JL67" s="143">
        <f>IFERROR(Raw_Data[[#This Row],[WPR_Eac]]/Raw_Data[[#This Row],[WPR_Edc]],"")</f>
        <v>0.80897848580464149</v>
      </c>
      <c r="JM67" s="6">
        <v>32</v>
      </c>
      <c r="JN67" s="6">
        <v>12103</v>
      </c>
    </row>
    <row r="68" spans="2:274">
      <c r="B68" s="250">
        <f t="shared" si="596"/>
        <v>45807</v>
      </c>
      <c r="C68" s="9">
        <f>YEAR(Raw_Data[[#This Row],[Date]])+IF(MONTH(Raw_Data[[#This Row],[Date]])&gt;=4,1,0)</f>
        <v>2026</v>
      </c>
      <c r="D68" s="6">
        <f t="shared" si="597"/>
        <v>2025</v>
      </c>
      <c r="E68" s="7" t="s">
        <v>361</v>
      </c>
      <c r="F68" s="7" t="s">
        <v>361</v>
      </c>
      <c r="G68" s="8">
        <v>45778</v>
      </c>
      <c r="H68" s="6">
        <f t="shared" si="598"/>
        <v>31</v>
      </c>
      <c r="I68" s="9">
        <v>335090.89</v>
      </c>
      <c r="J68" s="10">
        <v>0.26319444444444445</v>
      </c>
      <c r="K68" s="10">
        <v>0.80972222222222223</v>
      </c>
      <c r="L68" s="9">
        <v>11827.7</v>
      </c>
      <c r="M68" s="9">
        <v>12453.1</v>
      </c>
      <c r="N68" s="9">
        <v>12403.2</v>
      </c>
      <c r="O68" s="9">
        <v>12337.4</v>
      </c>
      <c r="P68" s="9">
        <v>12514</v>
      </c>
      <c r="Q68" s="9">
        <v>12579.8</v>
      </c>
      <c r="R68" s="9">
        <v>12627.3</v>
      </c>
      <c r="S68" s="9">
        <v>13092.7</v>
      </c>
      <c r="T68" s="9">
        <v>12496.6</v>
      </c>
      <c r="U68" s="9">
        <v>12451.9</v>
      </c>
      <c r="V68" s="9">
        <v>12291.7</v>
      </c>
      <c r="W68" s="9">
        <v>12410.2</v>
      </c>
      <c r="X68" s="9">
        <v>12430.1</v>
      </c>
      <c r="Y68" s="9">
        <v>12379.5</v>
      </c>
      <c r="Z68" s="9">
        <v>12455.9</v>
      </c>
      <c r="AA68" s="9">
        <v>12518.5</v>
      </c>
      <c r="AB68" s="9">
        <v>12400.7</v>
      </c>
      <c r="AC68" s="9">
        <v>12417.1</v>
      </c>
      <c r="AD68" s="9">
        <v>12449</v>
      </c>
      <c r="AE68" s="9">
        <v>12547.7</v>
      </c>
      <c r="AF68" s="9">
        <v>12471.8</v>
      </c>
      <c r="AG68" s="9">
        <v>12373.4</v>
      </c>
      <c r="AH68" s="9">
        <v>12193.3</v>
      </c>
      <c r="AI68" s="9">
        <v>12309.2</v>
      </c>
      <c r="AJ68" s="9">
        <v>12168</v>
      </c>
      <c r="AK68" s="9">
        <v>10625.9</v>
      </c>
      <c r="AL68" s="9">
        <v>12110.4</v>
      </c>
      <c r="AM68" s="9">
        <v>12033.2</v>
      </c>
      <c r="AN68" s="9">
        <v>12529.8</v>
      </c>
      <c r="AO68" s="9">
        <v>12443.7</v>
      </c>
      <c r="AP68" s="9">
        <v>12267.8</v>
      </c>
      <c r="AQ68" s="9">
        <v>12543.1</v>
      </c>
      <c r="AR68" s="9">
        <v>12510.2</v>
      </c>
      <c r="AS68" s="9">
        <v>12504.9</v>
      </c>
      <c r="AT68" s="9">
        <v>12599.3</v>
      </c>
      <c r="AU68" s="9">
        <v>12503.3</v>
      </c>
      <c r="AV68" s="9">
        <v>12647.1</v>
      </c>
      <c r="AW68" s="9">
        <v>12421.5</v>
      </c>
      <c r="AX68" s="9">
        <v>12489.5</v>
      </c>
      <c r="AY68" s="9">
        <v>12425.8</v>
      </c>
      <c r="AZ68" s="9">
        <v>13339.3</v>
      </c>
      <c r="BA68" s="9">
        <v>11974.4</v>
      </c>
      <c r="BB68" s="9">
        <v>13238.5</v>
      </c>
      <c r="BC68" s="9">
        <v>11761.6</v>
      </c>
      <c r="BD68" s="9">
        <v>12608.7</v>
      </c>
      <c r="BE68" s="9">
        <v>13939.3</v>
      </c>
      <c r="BF68" s="9">
        <v>11587.8</v>
      </c>
      <c r="BG68" s="9">
        <v>13236.1</v>
      </c>
      <c r="BH68" s="9">
        <v>12538.4</v>
      </c>
      <c r="BI68" s="9">
        <v>12751.1</v>
      </c>
      <c r="BJ68" s="9">
        <v>12535</v>
      </c>
      <c r="BK68" s="9">
        <v>11807.9</v>
      </c>
      <c r="BL68" s="9">
        <v>12956</v>
      </c>
      <c r="BM68" s="9">
        <v>12774.8</v>
      </c>
      <c r="BN68" s="9">
        <v>12854.8</v>
      </c>
      <c r="BO68" s="9">
        <v>12772.4</v>
      </c>
      <c r="BP68" s="9">
        <v>11344.2</v>
      </c>
      <c r="BQ68" s="9">
        <v>13090.7</v>
      </c>
      <c r="BR68" s="9">
        <v>11389.1</v>
      </c>
      <c r="BS68" s="9">
        <v>13042.8</v>
      </c>
      <c r="BT68" s="9">
        <v>12888.3</v>
      </c>
      <c r="BU68" s="9">
        <v>11357.9</v>
      </c>
      <c r="BV68" s="9">
        <v>12525.9</v>
      </c>
      <c r="BW68" s="9">
        <v>11890</v>
      </c>
      <c r="BX68" s="9">
        <v>12063.2</v>
      </c>
      <c r="BY68" s="9">
        <v>11373.7</v>
      </c>
      <c r="BZ68" s="9">
        <v>12035.6</v>
      </c>
      <c r="CA68" s="9">
        <v>12627.3</v>
      </c>
      <c r="CB68" s="9">
        <v>12992.2</v>
      </c>
      <c r="CC68" s="9">
        <v>11609.7</v>
      </c>
      <c r="CD68" s="9">
        <v>12805.9</v>
      </c>
      <c r="CE68" s="9">
        <v>11142.7</v>
      </c>
      <c r="CF68" s="9">
        <v>12425.1</v>
      </c>
      <c r="CG68" s="9">
        <v>12156.9</v>
      </c>
      <c r="CH68" s="9">
        <v>11466.8</v>
      </c>
      <c r="CI68" s="9">
        <v>12803.7</v>
      </c>
      <c r="CJ68" s="9">
        <v>11243.9</v>
      </c>
      <c r="CK68" s="9">
        <v>13102.3</v>
      </c>
      <c r="CL68" s="9">
        <v>11490.3</v>
      </c>
      <c r="CM68" s="9">
        <v>12845.7</v>
      </c>
      <c r="CN68" s="9">
        <v>11654.1</v>
      </c>
      <c r="CO68" s="9">
        <v>12624.9</v>
      </c>
      <c r="CP68" s="9">
        <v>11750.6</v>
      </c>
      <c r="CQ68" s="9">
        <v>13018.2</v>
      </c>
      <c r="CR68" s="9">
        <v>11626.1</v>
      </c>
      <c r="CS68" s="9">
        <v>12421.9</v>
      </c>
      <c r="CT68" s="9">
        <v>11616.8</v>
      </c>
      <c r="CU68" s="9">
        <v>10224.299999999999</v>
      </c>
      <c r="CV68" s="9">
        <v>12737.6</v>
      </c>
      <c r="CW68" s="9">
        <v>12238.8</v>
      </c>
      <c r="CX68" s="9">
        <v>11320.8</v>
      </c>
      <c r="CY68" s="9">
        <v>13120.6</v>
      </c>
      <c r="CZ68" s="9">
        <v>12757.8</v>
      </c>
      <c r="DA68" s="9">
        <v>11759.8</v>
      </c>
      <c r="DB68" s="9">
        <v>11605.7</v>
      </c>
      <c r="DC68" s="9">
        <v>12907.3</v>
      </c>
      <c r="DD68" s="9">
        <v>11524.3</v>
      </c>
      <c r="DE68" s="9">
        <v>11964.4</v>
      </c>
      <c r="DF68" s="9">
        <v>13069.1</v>
      </c>
      <c r="DG68" s="9">
        <v>11408.3</v>
      </c>
      <c r="DH68" s="9">
        <v>13105.5</v>
      </c>
      <c r="DI68" s="9">
        <v>11422.9</v>
      </c>
      <c r="DJ68" s="9">
        <v>12764.9</v>
      </c>
      <c r="DK68" s="9">
        <v>11693</v>
      </c>
      <c r="DL68" s="9">
        <v>12873.4</v>
      </c>
      <c r="DM68" s="9">
        <v>11082.1</v>
      </c>
      <c r="DN68" s="9">
        <v>12933.3</v>
      </c>
      <c r="DO68" s="9">
        <v>11589.1</v>
      </c>
      <c r="DP68" s="9">
        <v>12743.3</v>
      </c>
      <c r="DQ68" s="9">
        <v>11545.2</v>
      </c>
      <c r="DR68" s="9">
        <v>12858.8</v>
      </c>
      <c r="DS68" s="9">
        <v>11767.5</v>
      </c>
      <c r="DT68" s="9">
        <v>11423.2</v>
      </c>
      <c r="DU68" s="9">
        <v>12695.7</v>
      </c>
      <c r="DV68" s="9">
        <v>11588.5</v>
      </c>
      <c r="DW68" s="9">
        <v>11359.3</v>
      </c>
      <c r="DX68" s="9">
        <v>12811.3</v>
      </c>
      <c r="DY68" s="9">
        <v>12873.6</v>
      </c>
      <c r="DZ68" s="9">
        <v>12699.6</v>
      </c>
      <c r="EA68" s="9">
        <v>11555.4</v>
      </c>
      <c r="EB68" s="9">
        <v>12810.7</v>
      </c>
      <c r="EC68" s="9">
        <v>11417.6</v>
      </c>
      <c r="ED68" s="9">
        <v>12529.7</v>
      </c>
      <c r="EE68" s="9">
        <v>11589.3</v>
      </c>
      <c r="EF68" s="9">
        <v>12355.1</v>
      </c>
      <c r="EG68" s="9">
        <v>10703.5</v>
      </c>
      <c r="EH68" s="9">
        <v>12483.1</v>
      </c>
      <c r="EI68" s="9">
        <v>11423</v>
      </c>
      <c r="EJ68" s="9">
        <v>11628.6</v>
      </c>
      <c r="EK68" s="9">
        <v>11699.8</v>
      </c>
      <c r="EL68" s="9">
        <v>11472.2</v>
      </c>
      <c r="EM68" s="9">
        <v>9902.4</v>
      </c>
      <c r="EN68" s="9">
        <v>11448.3</v>
      </c>
      <c r="EO68" s="9">
        <v>10123.4</v>
      </c>
      <c r="EP68" s="9">
        <v>11278.3</v>
      </c>
      <c r="EQ68" s="9">
        <v>11325.8</v>
      </c>
      <c r="ER68" s="9">
        <v>13266.1</v>
      </c>
      <c r="ES68" s="9">
        <v>11623.4</v>
      </c>
      <c r="ET68" s="9">
        <v>13321.6</v>
      </c>
      <c r="EU68" s="9">
        <v>11881.6</v>
      </c>
      <c r="EV68" s="9">
        <v>13201.7</v>
      </c>
      <c r="EW68" s="9">
        <v>11678.3</v>
      </c>
      <c r="EX68" s="9">
        <v>11906.5</v>
      </c>
      <c r="EY68" s="9">
        <v>11583.2</v>
      </c>
      <c r="EZ68" s="9">
        <v>12920.5</v>
      </c>
      <c r="FA68" s="9">
        <v>13435.2</v>
      </c>
      <c r="FB68" s="9">
        <v>13205.5</v>
      </c>
      <c r="FC68" s="9">
        <v>13139</v>
      </c>
      <c r="FD68" s="9">
        <v>13134.9</v>
      </c>
      <c r="FE68" s="9">
        <v>13179.1</v>
      </c>
      <c r="FF68" s="9">
        <v>11993.1</v>
      </c>
      <c r="FG68" s="9">
        <v>13190.2</v>
      </c>
      <c r="FH68" s="9">
        <v>13289.7</v>
      </c>
      <c r="FI68" s="9">
        <v>13302.9</v>
      </c>
      <c r="FJ68" s="9">
        <v>13292</v>
      </c>
      <c r="FK68" s="9">
        <v>13247</v>
      </c>
      <c r="FL68" s="9">
        <v>13260</v>
      </c>
      <c r="FM68" s="9">
        <v>11940</v>
      </c>
      <c r="FN68" s="9">
        <v>13388.2</v>
      </c>
      <c r="FO68" s="9">
        <v>12038.9</v>
      </c>
      <c r="FP68" s="11">
        <v>35.909559014267238</v>
      </c>
      <c r="FQ68" s="11">
        <v>35.806783398184173</v>
      </c>
      <c r="FR68" s="11">
        <v>36.094721141374819</v>
      </c>
      <c r="FS68" s="11">
        <v>35.811063553826195</v>
      </c>
      <c r="FT68" s="11">
        <v>35.718326848249021</v>
      </c>
      <c r="FU68" s="11">
        <v>35.954072632944246</v>
      </c>
      <c r="FV68" s="11">
        <v>0</v>
      </c>
      <c r="FW68" s="11">
        <v>48.5</v>
      </c>
      <c r="FX68" s="11">
        <v>0</v>
      </c>
      <c r="FY68" s="11">
        <v>0</v>
      </c>
      <c r="FZ68" s="11">
        <v>48.845926627756143</v>
      </c>
      <c r="GA68" s="11">
        <v>49.2</v>
      </c>
      <c r="GB68" s="11">
        <v>0.56715086112840474</v>
      </c>
      <c r="GC68" s="11">
        <v>5.4292086005188107</v>
      </c>
      <c r="GD68" s="11">
        <v>4.6810222516212754</v>
      </c>
      <c r="GE68" s="11">
        <v>5.0871290660830111</v>
      </c>
      <c r="GF68" s="11">
        <v>5.2389729442282835</v>
      </c>
      <c r="GG68" s="11">
        <v>5.1482012494163403</v>
      </c>
      <c r="GH68" s="11">
        <v>7.7566660000000001</v>
      </c>
      <c r="GI68" s="11">
        <v>8.4766659999999998</v>
      </c>
      <c r="GJ68" s="11">
        <v>8.5433330000000005</v>
      </c>
      <c r="GK68" s="11">
        <v>8.8483339999999995</v>
      </c>
      <c r="GL68" s="11">
        <v>8.3266670000000005</v>
      </c>
      <c r="GM68" s="11">
        <v>9.1666670000000003</v>
      </c>
      <c r="GN68" s="11">
        <v>7.3140276666666733</v>
      </c>
      <c r="GO68" s="11">
        <v>7.414385666666659</v>
      </c>
      <c r="GP68" s="11">
        <v>7.4393208333333245</v>
      </c>
      <c r="GQ68" s="11">
        <v>7.3824643333333269</v>
      </c>
      <c r="GR68" s="11">
        <v>7.4136658333333258</v>
      </c>
      <c r="GS68" s="11">
        <v>7.3812520000000044</v>
      </c>
      <c r="GT68" s="108">
        <v>1.8035343333333338</v>
      </c>
      <c r="GU68" s="108">
        <v>1.6980776666666662</v>
      </c>
      <c r="GV68" s="108">
        <v>1.6228083333333325</v>
      </c>
      <c r="GW68" s="108">
        <v>1.9909648333333327</v>
      </c>
      <c r="GX68" s="108">
        <v>1.9720103333333345</v>
      </c>
      <c r="GY68" s="108">
        <v>1.6180716666666668</v>
      </c>
      <c r="GZ68" s="13">
        <v>0</v>
      </c>
      <c r="HA68" s="13">
        <v>7.195529500000001</v>
      </c>
      <c r="HB68" s="13">
        <v>7.0736060000000052</v>
      </c>
      <c r="HC68" s="13">
        <v>0</v>
      </c>
      <c r="HD68" s="13">
        <v>7.1263021666666635</v>
      </c>
      <c r="HE68" s="13">
        <v>7.0973553333333408</v>
      </c>
      <c r="HF68" s="13">
        <v>0.58000799999999963</v>
      </c>
      <c r="HG68" s="13">
        <v>0.64320783333333342</v>
      </c>
      <c r="HH68" s="13">
        <v>0.52543066666666605</v>
      </c>
      <c r="HI68" s="13">
        <v>0.56484033333333306</v>
      </c>
      <c r="HJ68" s="13">
        <v>0.57080266666666657</v>
      </c>
      <c r="HK68" s="13">
        <v>0.59212799999999999</v>
      </c>
      <c r="HL68" s="12">
        <v>0</v>
      </c>
      <c r="HM68" s="12">
        <v>0</v>
      </c>
      <c r="HN68" s="12">
        <v>0</v>
      </c>
      <c r="HO68" s="12">
        <v>0</v>
      </c>
      <c r="HP68" s="12">
        <v>0</v>
      </c>
      <c r="HQ68" s="12">
        <v>0</v>
      </c>
      <c r="HR68" s="12">
        <v>0</v>
      </c>
      <c r="HS68" s="12">
        <v>0</v>
      </c>
      <c r="HT68" s="12">
        <v>0</v>
      </c>
      <c r="HU68" s="12">
        <v>0</v>
      </c>
      <c r="HV68" s="12">
        <v>0</v>
      </c>
      <c r="HW68" s="12">
        <v>0</v>
      </c>
      <c r="HX68" s="9">
        <v>954812</v>
      </c>
      <c r="HY68" s="9">
        <v>1776</v>
      </c>
      <c r="HZ68" s="9">
        <v>941506</v>
      </c>
      <c r="IA68" s="9">
        <v>1806</v>
      </c>
      <c r="IB68" s="11">
        <v>201211.88200000001</v>
      </c>
      <c r="IC68" s="11">
        <v>451.46699999999998</v>
      </c>
      <c r="ID68" s="14">
        <f t="shared" ref="ID68:II68" si="639">GN68-HL68</f>
        <v>7.3140276666666733</v>
      </c>
      <c r="IE68" s="14">
        <f t="shared" si="639"/>
        <v>7.414385666666659</v>
      </c>
      <c r="IF68" s="14">
        <f t="shared" si="639"/>
        <v>7.4393208333333245</v>
      </c>
      <c r="IG68" s="14">
        <f t="shared" si="639"/>
        <v>7.3824643333333269</v>
      </c>
      <c r="IH68" s="14">
        <f t="shared" si="639"/>
        <v>7.4136658333333258</v>
      </c>
      <c r="II68" s="14">
        <f t="shared" si="639"/>
        <v>7.3812520000000044</v>
      </c>
      <c r="IJ68" s="15">
        <f t="shared" ref="IJ68:IO68" si="640">GZ68-HR68</f>
        <v>0</v>
      </c>
      <c r="IK68" s="15">
        <f t="shared" si="640"/>
        <v>7.195529500000001</v>
      </c>
      <c r="IL68" s="15">
        <f t="shared" si="640"/>
        <v>7.0736060000000052</v>
      </c>
      <c r="IM68" s="15">
        <f t="shared" si="640"/>
        <v>0</v>
      </c>
      <c r="IN68" s="15">
        <f t="shared" si="640"/>
        <v>7.1263021666666635</v>
      </c>
      <c r="IO68" s="15">
        <f t="shared" si="640"/>
        <v>7.0973553333333408</v>
      </c>
      <c r="IP68" s="16">
        <f t="shared" ref="IP68" si="641">(HX68-HX67)*1000</f>
        <v>985000</v>
      </c>
      <c r="IQ68" s="16">
        <f t="shared" ref="IQ68" si="642">(HY68-HY67)*1000</f>
        <v>2000</v>
      </c>
      <c r="IR68" s="16">
        <f t="shared" ref="IR68" si="643">(HZ68-HZ67)*1000</f>
        <v>972000</v>
      </c>
      <c r="IS68" s="16">
        <f t="shared" ref="IS68" si="644">(IA68-IA67)*1000</f>
        <v>1000</v>
      </c>
      <c r="IT68" s="16">
        <f t="shared" ref="IT68" si="645">(IB68-IB67)*1000</f>
        <v>1951933.0000000191</v>
      </c>
      <c r="IU68" s="16">
        <f t="shared" ref="IU68" si="646">(IC68-IC67)*1000</f>
        <v>4266.9999999999964</v>
      </c>
      <c r="IV68" s="17">
        <f t="shared" ref="IV68" si="647">(IP68+IR68)-(IQ68+IS68)</f>
        <v>1954000</v>
      </c>
      <c r="IW68" s="17">
        <f t="shared" ref="IW68" si="648">IT68-IU68</f>
        <v>1947666.0000000191</v>
      </c>
      <c r="IX68" s="19">
        <f>(Raw_Data[[#This Row],[Sunset Time (POA&lt;20 W/m2)]]-Raw_Data[[#This Row],[Sunrise Time (POA&gt;20 W/m2)]])*24</f>
        <v>13.116666666666665</v>
      </c>
      <c r="IY68" s="68">
        <f>AVERAGEIF(Raw_Data[[#This Row],[GHI_UP_Net_IS2_W1]:[GHI_UP_Net_IS19_W6]],"&lt;&gt;"&amp;0,Raw_Data[[#This Row],[GHI_UP_Net_IS2_W1]:[GHI_UP_Net_IS19_W6]])</f>
        <v>7.3908527222222178</v>
      </c>
      <c r="IZ68" s="68">
        <f>AVERAGEIF(Raw_Data[[#This Row],[GHI_Down_IS2_W1]:[GHI_Down_IS19_W6]],"&lt;&gt;"&amp;0,Raw_Data[[#This Row],[GHI_Down_IS2_W1]:[GHI_Down_IS19_W6]])</f>
        <v>1.7842445277777779</v>
      </c>
      <c r="JA68" s="68">
        <f>AVERAGEIF(Raw_Data[[#This Row],[POA_Up_IS2_W1]:[POA_Up_IS19_W6]],"&lt;&gt;"&amp;0,Raw_Data[[#This Row],[POA_Up_IS2_W1]:[POA_Up_IS19_W6]])</f>
        <v>7.1231982500000024</v>
      </c>
      <c r="JB68" s="68">
        <f>AVERAGEIF(Raw_Data[[#This Row],[POA_Down_IS2_W1]:[POA_Down_IS19_W6]],"&lt;&gt;"&amp;0,Raw_Data[[#This Row],[POA_Down_IS2_W1]:[POA_Down_IS19_W6]])</f>
        <v>0.57940291666666643</v>
      </c>
      <c r="JC68" s="69">
        <f>Raw_Data[[#This Row],[GHI-Down(KWh/m2)]]/Raw_Data[[#This Row],[GHI-UP (KWh/m2)]]</f>
        <v>0.2414125399107272</v>
      </c>
      <c r="JD68" s="72">
        <f>Raw_Data[[#This Row],[POA-Down(KWh/m2)]]/Raw_Data[[#This Row],[POA-UP(KWh/m2)]]</f>
        <v>8.1340276703188247E-2</v>
      </c>
      <c r="JE68" s="68">
        <f>AVERAGEIF(Raw_Data[[#This Row],[Amb_Temp_IS2_W1]:[Amb_Temp_IS19_W6]],"&lt;&gt;"&amp;0,Raw_Data[[#This Row],[Amb_Temp_IS2_W1]:[Amb_Temp_IS19_W6]])</f>
        <v>35.882421098140952</v>
      </c>
      <c r="JF68" s="68">
        <f>AVERAGEIF(Raw_Data[[#This Row],[MT_Temp_IS2_W1]:[MT_Temp_IS19_W6]],"&lt;&gt;"&amp;0,Raw_Data[[#This Row],[MT_Temp_IS2_W1]:[MT_Temp_IS19_W6]])</f>
        <v>48.848642209252056</v>
      </c>
      <c r="JG68" s="68">
        <f>AVERAGEIF(Raw_Data[[#This Row],[WS_Avg_IS2_W1]:[WS_Avg_IS19_W6]],"&lt;&gt;"&amp;0,Raw_Data[[#This Row],[WS_Avg_IS2_W1]:[WS_Avg_IS19_W6]])</f>
        <v>4.3586141621660213</v>
      </c>
      <c r="JH68" s="68">
        <f>AVERAGEIF(Raw_Data[[#This Row],[WS_Max_IS2_W1]:[WS_Max_IS19_W6]],"&lt;&gt;"&amp;0,Raw_Data[[#This Row],[WS_Max_IS2_W1]:[WS_Max_IS19_W6]])</f>
        <v>8.5197221666666678</v>
      </c>
      <c r="JI68" s="70">
        <f>SUM(Raw_Data[[#This Row],[IS1_INV1_M1]:[IS20_INV4_M2]])</f>
        <v>1964991.7000000007</v>
      </c>
      <c r="JJ68" s="73">
        <v>1925932.99999999</v>
      </c>
      <c r="JK68" s="71">
        <v>2346160.8978999183</v>
      </c>
      <c r="JL68" s="143">
        <f>IFERROR(Raw_Data[[#This Row],[WPR_Eac]]/Raw_Data[[#This Row],[WPR_Edc]],"")</f>
        <v>0.82088700810073167</v>
      </c>
      <c r="JM68" s="6">
        <v>41</v>
      </c>
      <c r="JN68" s="6">
        <v>0</v>
      </c>
    </row>
    <row r="69" spans="2:274">
      <c r="B69" s="250">
        <f t="shared" si="596"/>
        <v>45808</v>
      </c>
      <c r="C69" s="9">
        <f>YEAR(Raw_Data[[#This Row],[Date]])+IF(MONTH(Raw_Data[[#This Row],[Date]])&gt;=4,1,0)</f>
        <v>2026</v>
      </c>
      <c r="D69" s="6">
        <f t="shared" si="597"/>
        <v>2025</v>
      </c>
      <c r="E69" s="7" t="s">
        <v>361</v>
      </c>
      <c r="F69" s="7" t="s">
        <v>361</v>
      </c>
      <c r="G69" s="8">
        <v>45778</v>
      </c>
      <c r="H69" s="6">
        <f t="shared" si="598"/>
        <v>31</v>
      </c>
      <c r="I69" s="9">
        <v>335090.89</v>
      </c>
      <c r="J69" s="10">
        <v>0.26319444444444445</v>
      </c>
      <c r="K69" s="10">
        <v>0.81041666666666667</v>
      </c>
      <c r="L69" s="9">
        <v>11320.1</v>
      </c>
      <c r="M69" s="9">
        <v>11770.7</v>
      </c>
      <c r="N69" s="9">
        <v>11715.2</v>
      </c>
      <c r="O69" s="9">
        <v>11670.8</v>
      </c>
      <c r="P69" s="9">
        <v>11803.7</v>
      </c>
      <c r="Q69" s="9">
        <v>11864.6</v>
      </c>
      <c r="R69" s="9">
        <v>11858.2</v>
      </c>
      <c r="S69" s="9">
        <v>12212.4</v>
      </c>
      <c r="T69" s="9">
        <v>11781.1</v>
      </c>
      <c r="U69" s="9">
        <v>11734.2</v>
      </c>
      <c r="V69" s="9">
        <v>11620.7</v>
      </c>
      <c r="W69" s="9">
        <v>11701.2</v>
      </c>
      <c r="X69" s="9">
        <v>11774.9</v>
      </c>
      <c r="Y69" s="9">
        <v>11679.7</v>
      </c>
      <c r="Z69" s="9">
        <v>11793</v>
      </c>
      <c r="AA69" s="9">
        <v>11859.7</v>
      </c>
      <c r="AB69" s="9">
        <v>11744.6</v>
      </c>
      <c r="AC69" s="9">
        <v>11771.5</v>
      </c>
      <c r="AD69" s="9">
        <v>11769.3</v>
      </c>
      <c r="AE69" s="9">
        <v>11869.2</v>
      </c>
      <c r="AF69" s="9">
        <v>11791.6</v>
      </c>
      <c r="AG69" s="9">
        <v>11729.9</v>
      </c>
      <c r="AH69" s="9">
        <v>11633</v>
      </c>
      <c r="AI69" s="9">
        <v>11700.1</v>
      </c>
      <c r="AJ69" s="9">
        <v>11558.1</v>
      </c>
      <c r="AK69" s="9">
        <v>10354</v>
      </c>
      <c r="AL69" s="9">
        <v>11526.3</v>
      </c>
      <c r="AM69" s="9">
        <v>11470.1</v>
      </c>
      <c r="AN69" s="9">
        <v>11824.1</v>
      </c>
      <c r="AO69" s="9">
        <v>11744.2</v>
      </c>
      <c r="AP69" s="9">
        <v>11652.5</v>
      </c>
      <c r="AQ69" s="9">
        <v>11833.2</v>
      </c>
      <c r="AR69" s="9">
        <v>12179.3</v>
      </c>
      <c r="AS69" s="9">
        <v>12183.8</v>
      </c>
      <c r="AT69" s="9">
        <v>12280</v>
      </c>
      <c r="AU69" s="9">
        <v>12190.1</v>
      </c>
      <c r="AV69" s="9">
        <v>11904.1</v>
      </c>
      <c r="AW69" s="9">
        <v>11737.1</v>
      </c>
      <c r="AX69" s="9">
        <v>11778</v>
      </c>
      <c r="AY69" s="9">
        <v>11749.2</v>
      </c>
      <c r="AZ69" s="9">
        <v>12503.6</v>
      </c>
      <c r="BA69" s="9">
        <v>11496.8</v>
      </c>
      <c r="BB69" s="9">
        <v>12412.4</v>
      </c>
      <c r="BC69" s="9">
        <v>11358.7</v>
      </c>
      <c r="BD69" s="9">
        <v>11930.5</v>
      </c>
      <c r="BE69" s="9">
        <v>13065.3</v>
      </c>
      <c r="BF69" s="9">
        <v>11237.2</v>
      </c>
      <c r="BG69" s="9">
        <v>12473.5</v>
      </c>
      <c r="BH69" s="9">
        <v>11834</v>
      </c>
      <c r="BI69" s="9">
        <v>12006.4</v>
      </c>
      <c r="BJ69" s="9">
        <v>11870.3</v>
      </c>
      <c r="BK69" s="9">
        <v>11335.7</v>
      </c>
      <c r="BL69" s="9">
        <v>12179</v>
      </c>
      <c r="BM69" s="9">
        <v>11990.7</v>
      </c>
      <c r="BN69" s="9">
        <v>12099.1</v>
      </c>
      <c r="BO69" s="9">
        <v>12027.5</v>
      </c>
      <c r="BP69" s="9">
        <v>10992.3</v>
      </c>
      <c r="BQ69" s="9">
        <v>12273</v>
      </c>
      <c r="BR69" s="9">
        <v>11065.8</v>
      </c>
      <c r="BS69" s="9">
        <v>12242.2</v>
      </c>
      <c r="BT69" s="9">
        <v>12120.8</v>
      </c>
      <c r="BU69" s="9">
        <v>11025</v>
      </c>
      <c r="BV69" s="9">
        <v>11776.4</v>
      </c>
      <c r="BW69" s="9">
        <v>11318.9</v>
      </c>
      <c r="BX69" s="9">
        <v>11518.7</v>
      </c>
      <c r="BY69" s="9">
        <v>10939.3</v>
      </c>
      <c r="BZ69" s="9">
        <v>11511.1</v>
      </c>
      <c r="CA69" s="9">
        <v>11926.7</v>
      </c>
      <c r="CB69" s="9">
        <v>12204.7</v>
      </c>
      <c r="CC69" s="9">
        <v>11191.6</v>
      </c>
      <c r="CD69" s="9">
        <v>12048.2</v>
      </c>
      <c r="CE69" s="9">
        <v>10856.4</v>
      </c>
      <c r="CF69" s="9">
        <v>11787.6</v>
      </c>
      <c r="CG69" s="9">
        <v>11594.9</v>
      </c>
      <c r="CH69" s="9">
        <v>11091.2</v>
      </c>
      <c r="CI69" s="9">
        <v>12041.5</v>
      </c>
      <c r="CJ69" s="9">
        <v>10922.9</v>
      </c>
      <c r="CK69" s="9">
        <v>12277.3</v>
      </c>
      <c r="CL69" s="9">
        <v>11093.7</v>
      </c>
      <c r="CM69" s="9">
        <v>12060.7</v>
      </c>
      <c r="CN69" s="9">
        <v>11241.1</v>
      </c>
      <c r="CO69" s="9">
        <v>11939.6</v>
      </c>
      <c r="CP69" s="9">
        <v>11294.5</v>
      </c>
      <c r="CQ69" s="9">
        <v>12285.6</v>
      </c>
      <c r="CR69" s="9">
        <v>11216.2</v>
      </c>
      <c r="CS69" s="9">
        <v>11793</v>
      </c>
      <c r="CT69" s="9">
        <v>11171.9</v>
      </c>
      <c r="CU69" s="9">
        <v>10011.6</v>
      </c>
      <c r="CV69" s="9">
        <v>11972.5</v>
      </c>
      <c r="CW69" s="9">
        <v>11673.7</v>
      </c>
      <c r="CX69" s="9">
        <v>10989.3</v>
      </c>
      <c r="CY69" s="9">
        <v>12338.6</v>
      </c>
      <c r="CZ69" s="9">
        <v>12014.9</v>
      </c>
      <c r="DA69" s="9">
        <v>11270.7</v>
      </c>
      <c r="DB69" s="9">
        <v>11141.9</v>
      </c>
      <c r="DC69" s="9">
        <v>12122.3</v>
      </c>
      <c r="DD69" s="9">
        <v>11101.7</v>
      </c>
      <c r="DE69" s="9">
        <v>11449.2</v>
      </c>
      <c r="DF69" s="9">
        <v>12294.7</v>
      </c>
      <c r="DG69" s="9">
        <v>11041.1</v>
      </c>
      <c r="DH69" s="9">
        <v>12320.3</v>
      </c>
      <c r="DI69" s="9">
        <v>11054.9</v>
      </c>
      <c r="DJ69" s="9">
        <v>12034.9</v>
      </c>
      <c r="DK69" s="9">
        <v>11276.2</v>
      </c>
      <c r="DL69" s="9">
        <v>12106.5</v>
      </c>
      <c r="DM69" s="9">
        <v>10785</v>
      </c>
      <c r="DN69" s="9">
        <v>12176.7</v>
      </c>
      <c r="DO69" s="9">
        <v>11187.7</v>
      </c>
      <c r="DP69" s="9">
        <v>12007.9</v>
      </c>
      <c r="DQ69" s="9">
        <v>11113.6</v>
      </c>
      <c r="DR69" s="9">
        <v>12106.6</v>
      </c>
      <c r="DS69" s="9">
        <v>11349.6</v>
      </c>
      <c r="DT69" s="9">
        <v>11058</v>
      </c>
      <c r="DU69" s="9">
        <v>11997.8</v>
      </c>
      <c r="DV69" s="9">
        <v>11101.3</v>
      </c>
      <c r="DW69" s="9">
        <v>11026.9</v>
      </c>
      <c r="DX69" s="9">
        <v>12103.2</v>
      </c>
      <c r="DY69" s="9">
        <v>12165.3</v>
      </c>
      <c r="DZ69" s="9">
        <v>12001.6</v>
      </c>
      <c r="EA69" s="9">
        <v>11208.9</v>
      </c>
      <c r="EB69" s="9">
        <v>12102.5</v>
      </c>
      <c r="EC69" s="9">
        <v>11093.3</v>
      </c>
      <c r="ED69" s="9">
        <v>11861.4</v>
      </c>
      <c r="EE69" s="9">
        <v>11211.6</v>
      </c>
      <c r="EF69" s="9">
        <v>11766</v>
      </c>
      <c r="EG69" s="9">
        <v>10501.9</v>
      </c>
      <c r="EH69" s="9">
        <v>11871.8</v>
      </c>
      <c r="EI69" s="9">
        <v>11126.8</v>
      </c>
      <c r="EJ69" s="9">
        <v>11234</v>
      </c>
      <c r="EK69" s="9">
        <v>11240.3</v>
      </c>
      <c r="EL69" s="9">
        <v>11267.2</v>
      </c>
      <c r="EM69" s="9">
        <v>9681.7000000000007</v>
      </c>
      <c r="EN69" s="9">
        <v>11060.5</v>
      </c>
      <c r="EO69" s="9">
        <v>9862.5</v>
      </c>
      <c r="EP69" s="9">
        <v>11012.6</v>
      </c>
      <c r="EQ69" s="9">
        <v>11057.9</v>
      </c>
      <c r="ER69" s="9">
        <v>12548.5</v>
      </c>
      <c r="ES69" s="9">
        <v>11256.5</v>
      </c>
      <c r="ET69" s="9">
        <v>12584.9</v>
      </c>
      <c r="EU69" s="9">
        <v>11427.5</v>
      </c>
      <c r="EV69" s="9">
        <v>12457.4</v>
      </c>
      <c r="EW69" s="9">
        <v>11240.7</v>
      </c>
      <c r="EX69" s="9">
        <v>11412.4</v>
      </c>
      <c r="EY69" s="9">
        <v>11244.3</v>
      </c>
      <c r="EZ69" s="9">
        <v>12196.7</v>
      </c>
      <c r="FA69" s="9">
        <v>12572.4</v>
      </c>
      <c r="FB69" s="9">
        <v>12494.2</v>
      </c>
      <c r="FC69" s="9">
        <v>12449</v>
      </c>
      <c r="FD69" s="9">
        <v>12445.7</v>
      </c>
      <c r="FE69" s="9">
        <v>12493</v>
      </c>
      <c r="FF69" s="9">
        <v>11520.2</v>
      </c>
      <c r="FG69" s="9">
        <v>12491.8</v>
      </c>
      <c r="FH69" s="9">
        <v>12586.9</v>
      </c>
      <c r="FI69" s="9">
        <v>12582.3</v>
      </c>
      <c r="FJ69" s="9">
        <v>12575.5</v>
      </c>
      <c r="FK69" s="9">
        <v>12556.8</v>
      </c>
      <c r="FL69" s="9">
        <v>12544.7</v>
      </c>
      <c r="FM69" s="9">
        <v>11508.4</v>
      </c>
      <c r="FN69" s="9">
        <v>12650.6</v>
      </c>
      <c r="FO69" s="9">
        <v>11570.4</v>
      </c>
      <c r="FP69" s="11">
        <v>35.654209844559567</v>
      </c>
      <c r="FQ69" s="11">
        <v>35.511152849740924</v>
      </c>
      <c r="FR69" s="11">
        <v>35.624637305699508</v>
      </c>
      <c r="FS69" s="11">
        <v>35.604002590673559</v>
      </c>
      <c r="FT69" s="11">
        <v>35.332240932642478</v>
      </c>
      <c r="FU69" s="11">
        <v>35.888652849740907</v>
      </c>
      <c r="FV69" s="11">
        <v>0</v>
      </c>
      <c r="FW69" s="11">
        <v>46.5</v>
      </c>
      <c r="FX69" s="11">
        <v>0</v>
      </c>
      <c r="FY69" s="11">
        <v>0</v>
      </c>
      <c r="FZ69" s="11">
        <v>46.5</v>
      </c>
      <c r="GA69" s="11">
        <v>46.7</v>
      </c>
      <c r="GB69" s="11">
        <v>1.1927115123445602</v>
      </c>
      <c r="GC69" s="11">
        <v>7.874798875647671</v>
      </c>
      <c r="GD69" s="11">
        <v>7.5880394455958564</v>
      </c>
      <c r="GE69" s="11">
        <v>8.0350731360103662</v>
      </c>
      <c r="GF69" s="11">
        <v>7.613611536269425</v>
      </c>
      <c r="GG69" s="11">
        <v>8.2587238458549201</v>
      </c>
      <c r="GH69" s="11">
        <v>8.9749990000000004</v>
      </c>
      <c r="GI69" s="11">
        <v>11.65</v>
      </c>
      <c r="GJ69" s="11">
        <v>12.071669999999999</v>
      </c>
      <c r="GK69" s="11">
        <v>11.77333</v>
      </c>
      <c r="GL69" s="11">
        <v>11.18167</v>
      </c>
      <c r="GM69" s="11">
        <v>11.65333</v>
      </c>
      <c r="GN69" s="11">
        <v>7.0034903333333363</v>
      </c>
      <c r="GO69" s="11">
        <v>7.0731731666666677</v>
      </c>
      <c r="GP69" s="11">
        <v>7.1194528333333285</v>
      </c>
      <c r="GQ69" s="11">
        <v>7.0501496666666679</v>
      </c>
      <c r="GR69" s="11">
        <v>7.0861366666666745</v>
      </c>
      <c r="GS69" s="11">
        <v>7.0876009999999958</v>
      </c>
      <c r="GT69" s="108">
        <v>1.7610433333333351</v>
      </c>
      <c r="GU69" s="108">
        <v>1.6781510000000026</v>
      </c>
      <c r="GV69" s="108">
        <v>1.5887006666666685</v>
      </c>
      <c r="GW69" s="108">
        <v>1.9409591666666675</v>
      </c>
      <c r="GX69" s="108">
        <v>1.9468238333333321</v>
      </c>
      <c r="GY69" s="108">
        <v>1.5949958333333323</v>
      </c>
      <c r="GZ69" s="13">
        <v>0</v>
      </c>
      <c r="HA69" s="13">
        <v>6.9006118333333317</v>
      </c>
      <c r="HB69" s="13">
        <v>6.798834666666675</v>
      </c>
      <c r="HC69" s="13">
        <v>0</v>
      </c>
      <c r="HD69" s="13">
        <v>6.8382031666666627</v>
      </c>
      <c r="HE69" s="13">
        <v>6.8712541666666667</v>
      </c>
      <c r="HF69" s="13">
        <v>0.58796433333333331</v>
      </c>
      <c r="HG69" s="13">
        <v>0.65075549999999938</v>
      </c>
      <c r="HH69" s="13">
        <v>0.54129333333333385</v>
      </c>
      <c r="HI69" s="13">
        <v>0.57217816666666665</v>
      </c>
      <c r="HJ69" s="13">
        <v>0.58514699999999953</v>
      </c>
      <c r="HK69" s="13">
        <v>0.60177433333333397</v>
      </c>
      <c r="HL69" s="12">
        <v>0</v>
      </c>
      <c r="HM69" s="12">
        <v>0</v>
      </c>
      <c r="HN69" s="12">
        <v>0</v>
      </c>
      <c r="HO69" s="12">
        <v>0</v>
      </c>
      <c r="HP69" s="12">
        <v>0</v>
      </c>
      <c r="HQ69" s="12">
        <v>0</v>
      </c>
      <c r="HR69" s="12">
        <v>0</v>
      </c>
      <c r="HS69" s="12">
        <v>0</v>
      </c>
      <c r="HT69" s="12">
        <v>0</v>
      </c>
      <c r="HU69" s="12">
        <v>0</v>
      </c>
      <c r="HV69" s="12">
        <v>0</v>
      </c>
      <c r="HW69" s="12">
        <v>0</v>
      </c>
      <c r="HX69" s="9">
        <v>955748</v>
      </c>
      <c r="HY69" s="9">
        <v>1777</v>
      </c>
      <c r="HZ69" s="9">
        <v>942435</v>
      </c>
      <c r="IA69" s="9">
        <v>1808</v>
      </c>
      <c r="IB69" s="11">
        <v>203072.94899999999</v>
      </c>
      <c r="IC69" s="11">
        <v>455.733</v>
      </c>
      <c r="ID69" s="14">
        <f t="shared" ref="ID69:II69" si="649">GN69-HL69</f>
        <v>7.0034903333333363</v>
      </c>
      <c r="IE69" s="14">
        <f t="shared" si="649"/>
        <v>7.0731731666666677</v>
      </c>
      <c r="IF69" s="14">
        <f t="shared" si="649"/>
        <v>7.1194528333333285</v>
      </c>
      <c r="IG69" s="14">
        <f t="shared" si="649"/>
        <v>7.0501496666666679</v>
      </c>
      <c r="IH69" s="14">
        <f t="shared" si="649"/>
        <v>7.0861366666666745</v>
      </c>
      <c r="II69" s="14">
        <f t="shared" si="649"/>
        <v>7.0876009999999958</v>
      </c>
      <c r="IJ69" s="15">
        <f t="shared" ref="IJ69:IO69" si="650">GZ69-HR69</f>
        <v>0</v>
      </c>
      <c r="IK69" s="15">
        <f t="shared" si="650"/>
        <v>6.9006118333333317</v>
      </c>
      <c r="IL69" s="15">
        <f t="shared" si="650"/>
        <v>6.798834666666675</v>
      </c>
      <c r="IM69" s="15">
        <f t="shared" si="650"/>
        <v>0</v>
      </c>
      <c r="IN69" s="15">
        <f t="shared" si="650"/>
        <v>6.8382031666666627</v>
      </c>
      <c r="IO69" s="15">
        <f t="shared" si="650"/>
        <v>6.8712541666666667</v>
      </c>
      <c r="IP69" s="16">
        <f t="shared" ref="IP69" si="651">(HX69-HX68)*1000</f>
        <v>936000</v>
      </c>
      <c r="IQ69" s="16">
        <f t="shared" ref="IQ69" si="652">(HY69-HY68)*1000</f>
        <v>1000</v>
      </c>
      <c r="IR69" s="16">
        <f t="shared" ref="IR69" si="653">(HZ69-HZ68)*1000</f>
        <v>929000</v>
      </c>
      <c r="IS69" s="16">
        <f t="shared" ref="IS69" si="654">(IA69-IA68)*1000</f>
        <v>2000</v>
      </c>
      <c r="IT69" s="16">
        <f t="shared" ref="IT69" si="655">(IB69-IB68)*1000</f>
        <v>1861066.9999999809</v>
      </c>
      <c r="IU69" s="16">
        <f t="shared" ref="IU69" si="656">(IC69-IC68)*1000</f>
        <v>4266.00000000002</v>
      </c>
      <c r="IV69" s="17">
        <f t="shared" ref="IV69" si="657">(IP69+IR69)-(IQ69+IS69)</f>
        <v>1862000</v>
      </c>
      <c r="IW69" s="17">
        <f t="shared" ref="IW69" si="658">IT69-IU69</f>
        <v>1856800.9999999809</v>
      </c>
      <c r="IX69" s="19">
        <f>(Raw_Data[[#This Row],[Sunset Time (POA&lt;20 W/m2)]]-Raw_Data[[#This Row],[Sunrise Time (POA&gt;20 W/m2)]])*24</f>
        <v>13.133333333333335</v>
      </c>
      <c r="IY69" s="68">
        <f>AVERAGEIF(Raw_Data[[#This Row],[GHI_UP_Net_IS2_W1]:[GHI_UP_Net_IS19_W6]],"&lt;&gt;"&amp;0,Raw_Data[[#This Row],[GHI_UP_Net_IS2_W1]:[GHI_UP_Net_IS19_W6]])</f>
        <v>7.0700006111111122</v>
      </c>
      <c r="IZ69" s="68">
        <f>AVERAGEIF(Raw_Data[[#This Row],[GHI_Down_IS2_W1]:[GHI_Down_IS19_W6]],"&lt;&gt;"&amp;0,Raw_Data[[#This Row],[GHI_Down_IS2_W1]:[GHI_Down_IS19_W6]])</f>
        <v>1.7517789722222228</v>
      </c>
      <c r="JA69" s="68">
        <f>AVERAGEIF(Raw_Data[[#This Row],[POA_Up_IS2_W1]:[POA_Up_IS19_W6]],"&lt;&gt;"&amp;0,Raw_Data[[#This Row],[POA_Up_IS2_W1]:[POA_Up_IS19_W6]])</f>
        <v>6.8522259583333343</v>
      </c>
      <c r="JB69" s="68">
        <f>AVERAGEIF(Raw_Data[[#This Row],[POA_Down_IS2_W1]:[POA_Down_IS19_W6]],"&lt;&gt;"&amp;0,Raw_Data[[#This Row],[POA_Down_IS2_W1]:[POA_Down_IS19_W6]])</f>
        <v>0.58985211111111113</v>
      </c>
      <c r="JC69" s="69">
        <f>Raw_Data[[#This Row],[GHI-Down(KWh/m2)]]/Raw_Data[[#This Row],[GHI-UP (KWh/m2)]]</f>
        <v>0.24777635372041579</v>
      </c>
      <c r="JD69" s="72">
        <f>Raw_Data[[#This Row],[POA-Down(KWh/m2)]]/Raw_Data[[#This Row],[POA-UP(KWh/m2)]]</f>
        <v>8.6081824314880123E-2</v>
      </c>
      <c r="JE69" s="68">
        <f>AVERAGEIF(Raw_Data[[#This Row],[Amb_Temp_IS2_W1]:[Amb_Temp_IS19_W6]],"&lt;&gt;"&amp;0,Raw_Data[[#This Row],[Amb_Temp_IS2_W1]:[Amb_Temp_IS19_W6]])</f>
        <v>35.602482728842823</v>
      </c>
      <c r="JF69" s="68">
        <f>AVERAGEIF(Raw_Data[[#This Row],[MT_Temp_IS2_W1]:[MT_Temp_IS19_W6]],"&lt;&gt;"&amp;0,Raw_Data[[#This Row],[MT_Temp_IS2_W1]:[MT_Temp_IS19_W6]])</f>
        <v>46.566666666666663</v>
      </c>
      <c r="JG69" s="68">
        <f>AVERAGEIF(Raw_Data[[#This Row],[WS_Avg_IS2_W1]:[WS_Avg_IS19_W6]],"&lt;&gt;"&amp;0,Raw_Data[[#This Row],[WS_Avg_IS2_W1]:[WS_Avg_IS19_W6]])</f>
        <v>6.7604930586204661</v>
      </c>
      <c r="JH69" s="68">
        <f>AVERAGEIF(Raw_Data[[#This Row],[WS_Max_IS2_W1]:[WS_Max_IS19_W6]],"&lt;&gt;"&amp;0,Raw_Data[[#This Row],[WS_Max_IS2_W1]:[WS_Max_IS19_W6]])</f>
        <v>11.217499833333333</v>
      </c>
      <c r="JI69" s="70">
        <f>SUM(Raw_Data[[#This Row],[IS1_INV1_M1]:[IS20_INV4_M2]])</f>
        <v>1871744.8999999987</v>
      </c>
      <c r="JJ69" s="73">
        <v>1794879.1600000141</v>
      </c>
      <c r="JK69" s="71">
        <v>2189670.9234587238</v>
      </c>
      <c r="JL69" s="143">
        <f>IFERROR(Raw_Data[[#This Row],[WPR_Eac]]/Raw_Data[[#This Row],[WPR_Edc]],"")</f>
        <v>0.81970269631424286</v>
      </c>
      <c r="JM69" s="6">
        <v>30</v>
      </c>
      <c r="JN69" s="6">
        <v>0</v>
      </c>
    </row>
    <row r="70" spans="2:274">
      <c r="B70" s="250">
        <f t="shared" si="596"/>
        <v>45809</v>
      </c>
      <c r="C70" s="9">
        <f>YEAR(Raw_Data[[#This Row],[Date]])+IF(MONTH(Raw_Data[[#This Row],[Date]])&gt;=4,1,0)</f>
        <v>2026</v>
      </c>
      <c r="D70" s="6">
        <f t="shared" ref="D70:D75" si="659">YEAR(B70)</f>
        <v>2025</v>
      </c>
      <c r="E70" s="7" t="s">
        <v>361</v>
      </c>
      <c r="F70" s="7" t="s">
        <v>361</v>
      </c>
      <c r="G70" s="8">
        <v>45809</v>
      </c>
      <c r="H70" s="6">
        <f t="shared" ref="H70:H75" si="660">DAY(EOMONTH(B70,0))</f>
        <v>30</v>
      </c>
      <c r="I70" s="9">
        <v>335090.89</v>
      </c>
      <c r="J70" s="10">
        <v>0.27152777777777776</v>
      </c>
      <c r="K70" s="10">
        <v>0.80902777777777779</v>
      </c>
      <c r="L70" s="9">
        <v>9566.7000000000007</v>
      </c>
      <c r="M70" s="9">
        <v>9898.4</v>
      </c>
      <c r="N70" s="9">
        <v>9851.5</v>
      </c>
      <c r="O70" s="9">
        <v>9817.2999999999993</v>
      </c>
      <c r="P70" s="9">
        <v>9923.7999999999993</v>
      </c>
      <c r="Q70" s="9">
        <v>9975.6</v>
      </c>
      <c r="R70" s="9">
        <v>9948.1</v>
      </c>
      <c r="S70" s="9">
        <v>10173.700000000001</v>
      </c>
      <c r="T70" s="9">
        <v>9877.2000000000007</v>
      </c>
      <c r="U70" s="9">
        <v>9835.7000000000007</v>
      </c>
      <c r="V70" s="9">
        <v>9772.1</v>
      </c>
      <c r="W70" s="9">
        <v>9803.2999999999993</v>
      </c>
      <c r="X70" s="9">
        <v>9921.9</v>
      </c>
      <c r="Y70" s="9">
        <v>9808.5</v>
      </c>
      <c r="Z70" s="9">
        <v>9929.5</v>
      </c>
      <c r="AA70" s="9">
        <v>9997</v>
      </c>
      <c r="AB70" s="9">
        <v>9900.5</v>
      </c>
      <c r="AC70" s="9">
        <v>9923.2999999999993</v>
      </c>
      <c r="AD70" s="9">
        <v>9913</v>
      </c>
      <c r="AE70" s="9">
        <v>10007.799999999999</v>
      </c>
      <c r="AF70" s="9">
        <v>9937.7999999999993</v>
      </c>
      <c r="AG70" s="9">
        <v>9878.4</v>
      </c>
      <c r="AH70" s="9">
        <v>9833.1</v>
      </c>
      <c r="AI70" s="9">
        <v>9881</v>
      </c>
      <c r="AJ70" s="9">
        <v>9756.6</v>
      </c>
      <c r="AK70" s="9">
        <v>8968.2999999999993</v>
      </c>
      <c r="AL70" s="9">
        <v>9743.6</v>
      </c>
      <c r="AM70" s="9">
        <v>9699.1</v>
      </c>
      <c r="AN70" s="9">
        <v>9958.5</v>
      </c>
      <c r="AO70" s="9">
        <v>9882.5</v>
      </c>
      <c r="AP70" s="9">
        <v>9852.7999999999993</v>
      </c>
      <c r="AQ70" s="9">
        <v>9969</v>
      </c>
      <c r="AR70" s="9">
        <v>11776.6</v>
      </c>
      <c r="AS70" s="9">
        <v>11809.9</v>
      </c>
      <c r="AT70" s="9">
        <v>11934.3</v>
      </c>
      <c r="AU70" s="9">
        <v>11815.3</v>
      </c>
      <c r="AV70" s="9">
        <v>10010</v>
      </c>
      <c r="AW70" s="9">
        <v>9888.2999999999993</v>
      </c>
      <c r="AX70" s="9">
        <v>9912.2000000000007</v>
      </c>
      <c r="AY70" s="9">
        <v>9891.7999999999993</v>
      </c>
      <c r="AZ70" s="9">
        <v>10394.700000000001</v>
      </c>
      <c r="BA70" s="9">
        <v>9691.2000000000007</v>
      </c>
      <c r="BB70" s="9">
        <v>10332.799999999999</v>
      </c>
      <c r="BC70" s="9">
        <v>9586.7999999999993</v>
      </c>
      <c r="BD70" s="9">
        <v>9957.1</v>
      </c>
      <c r="BE70" s="9">
        <v>10758.5</v>
      </c>
      <c r="BF70" s="9">
        <v>9532.7999999999993</v>
      </c>
      <c r="BG70" s="9">
        <v>10411.5</v>
      </c>
      <c r="BH70" s="9">
        <v>10000.200000000001</v>
      </c>
      <c r="BI70" s="9">
        <v>10066.9</v>
      </c>
      <c r="BJ70" s="9">
        <v>9994.2000000000007</v>
      </c>
      <c r="BK70" s="9">
        <v>9586</v>
      </c>
      <c r="BL70" s="9">
        <v>10207.200000000001</v>
      </c>
      <c r="BM70" s="9">
        <v>10048.299999999999</v>
      </c>
      <c r="BN70" s="9">
        <v>10146.200000000001</v>
      </c>
      <c r="BO70" s="9">
        <v>10102.200000000001</v>
      </c>
      <c r="BP70" s="9">
        <v>9354.2000000000007</v>
      </c>
      <c r="BQ70" s="9">
        <v>10282.4</v>
      </c>
      <c r="BR70" s="9">
        <v>9413.7999999999993</v>
      </c>
      <c r="BS70" s="9">
        <v>10243.299999999999</v>
      </c>
      <c r="BT70" s="9">
        <v>10141.4</v>
      </c>
      <c r="BU70" s="9">
        <v>9373.2000000000007</v>
      </c>
      <c r="BV70" s="9">
        <v>9929.4</v>
      </c>
      <c r="BW70" s="9">
        <v>9596.5</v>
      </c>
      <c r="BX70" s="9">
        <v>9684</v>
      </c>
      <c r="BY70" s="9">
        <v>9389.6</v>
      </c>
      <c r="BZ70" s="9">
        <v>9714.2999999999993</v>
      </c>
      <c r="CA70" s="9">
        <v>10041.299999999999</v>
      </c>
      <c r="CB70" s="9">
        <v>10217.4</v>
      </c>
      <c r="CC70" s="9">
        <v>9518.1</v>
      </c>
      <c r="CD70" s="9">
        <v>10122.9</v>
      </c>
      <c r="CE70" s="9">
        <v>9294.6</v>
      </c>
      <c r="CF70" s="9">
        <v>9918.4</v>
      </c>
      <c r="CG70" s="9">
        <v>9817.4</v>
      </c>
      <c r="CH70" s="9">
        <v>9422.7000000000007</v>
      </c>
      <c r="CI70" s="9">
        <v>10131.799999999999</v>
      </c>
      <c r="CJ70" s="9">
        <v>9324.7000000000007</v>
      </c>
      <c r="CK70" s="9">
        <v>10281.4</v>
      </c>
      <c r="CL70" s="9">
        <v>9433.2999999999993</v>
      </c>
      <c r="CM70" s="9">
        <v>10134.4</v>
      </c>
      <c r="CN70" s="9">
        <v>9549</v>
      </c>
      <c r="CO70" s="9">
        <v>10076.1</v>
      </c>
      <c r="CP70" s="9">
        <v>9592.1</v>
      </c>
      <c r="CQ70" s="9">
        <v>10286.700000000001</v>
      </c>
      <c r="CR70" s="9">
        <v>9517.2000000000007</v>
      </c>
      <c r="CS70" s="9">
        <v>9927.1</v>
      </c>
      <c r="CT70" s="9">
        <v>9481</v>
      </c>
      <c r="CU70" s="9">
        <v>8808.4</v>
      </c>
      <c r="CV70" s="9">
        <v>10046.6</v>
      </c>
      <c r="CW70" s="9">
        <v>9834.6</v>
      </c>
      <c r="CX70" s="9">
        <v>9334.5</v>
      </c>
      <c r="CY70" s="9">
        <v>10289.6</v>
      </c>
      <c r="CZ70" s="9">
        <v>10025.299999999999</v>
      </c>
      <c r="DA70" s="9">
        <v>9484.9</v>
      </c>
      <c r="DB70" s="9">
        <v>9373.6</v>
      </c>
      <c r="DC70" s="9">
        <v>10098.4</v>
      </c>
      <c r="DD70" s="9">
        <v>9428.9</v>
      </c>
      <c r="DE70" s="9">
        <v>9676.4</v>
      </c>
      <c r="DF70" s="9">
        <v>10276.9</v>
      </c>
      <c r="DG70" s="9">
        <v>9402.7000000000007</v>
      </c>
      <c r="DH70" s="9">
        <v>10313.200000000001</v>
      </c>
      <c r="DI70" s="9">
        <v>9402.7000000000007</v>
      </c>
      <c r="DJ70" s="9">
        <v>10115.9</v>
      </c>
      <c r="DK70" s="9">
        <v>9559.1</v>
      </c>
      <c r="DL70" s="9">
        <v>10157.6</v>
      </c>
      <c r="DM70" s="9">
        <v>9227.4</v>
      </c>
      <c r="DN70" s="9">
        <v>10209.1</v>
      </c>
      <c r="DO70" s="9">
        <v>9502.1</v>
      </c>
      <c r="DP70" s="9">
        <v>10101.5</v>
      </c>
      <c r="DQ70" s="9">
        <v>9478.7999999999993</v>
      </c>
      <c r="DR70" s="9">
        <v>10170.6</v>
      </c>
      <c r="DS70" s="9">
        <v>9632.6</v>
      </c>
      <c r="DT70" s="9">
        <v>9398.7999999999993</v>
      </c>
      <c r="DU70" s="9">
        <v>10063.700000000001</v>
      </c>
      <c r="DV70" s="9">
        <v>9457.9</v>
      </c>
      <c r="DW70" s="9">
        <v>9378.6</v>
      </c>
      <c r="DX70" s="9">
        <v>10089.6</v>
      </c>
      <c r="DY70" s="9">
        <v>10188.700000000001</v>
      </c>
      <c r="DZ70" s="9">
        <v>10059.5</v>
      </c>
      <c r="EA70" s="9">
        <v>9467.2999999999993</v>
      </c>
      <c r="EB70" s="9">
        <v>10155.799999999999</v>
      </c>
      <c r="EC70" s="9">
        <v>9448.2999999999993</v>
      </c>
      <c r="ED70" s="9">
        <v>9988.5</v>
      </c>
      <c r="EE70" s="9">
        <v>9515.6</v>
      </c>
      <c r="EF70" s="9">
        <v>9908.7999999999993</v>
      </c>
      <c r="EG70" s="9">
        <v>9101.7999999999993</v>
      </c>
      <c r="EH70" s="9">
        <v>10001.799999999999</v>
      </c>
      <c r="EI70" s="9">
        <v>9487.7000000000007</v>
      </c>
      <c r="EJ70" s="9">
        <v>9494.2000000000007</v>
      </c>
      <c r="EK70" s="9">
        <v>9493.1</v>
      </c>
      <c r="EL70" s="9">
        <v>9074.6</v>
      </c>
      <c r="EM70" s="9">
        <v>8494.7999999999993</v>
      </c>
      <c r="EN70" s="9">
        <v>9330.7000000000007</v>
      </c>
      <c r="EO70" s="9">
        <v>8663.7000000000007</v>
      </c>
      <c r="EP70" s="9">
        <v>9453.2000000000007</v>
      </c>
      <c r="EQ70" s="9">
        <v>9470.6</v>
      </c>
      <c r="ER70" s="9">
        <v>10509.2</v>
      </c>
      <c r="ES70" s="9">
        <v>9572.4</v>
      </c>
      <c r="ET70" s="9">
        <v>10561.6</v>
      </c>
      <c r="EU70" s="9">
        <v>9718.1</v>
      </c>
      <c r="EV70" s="9">
        <v>10444.1</v>
      </c>
      <c r="EW70" s="9">
        <v>9547.7999999999993</v>
      </c>
      <c r="EX70" s="9">
        <v>9672.2999999999993</v>
      </c>
      <c r="EY70" s="9">
        <v>9590.2999999999993</v>
      </c>
      <c r="EZ70" s="9">
        <v>10278</v>
      </c>
      <c r="FA70" s="9">
        <v>10550.6</v>
      </c>
      <c r="FB70" s="9">
        <v>10491.4</v>
      </c>
      <c r="FC70" s="9">
        <v>10450.700000000001</v>
      </c>
      <c r="FD70" s="9">
        <v>10448.299999999999</v>
      </c>
      <c r="FE70" s="9">
        <v>10485.9</v>
      </c>
      <c r="FF70" s="9">
        <v>9784.2000000000007</v>
      </c>
      <c r="FG70" s="9">
        <v>10488</v>
      </c>
      <c r="FH70" s="9">
        <v>10538.1</v>
      </c>
      <c r="FI70" s="9">
        <v>10536.2</v>
      </c>
      <c r="FJ70" s="9">
        <v>10523.9</v>
      </c>
      <c r="FK70" s="9">
        <v>10505.5</v>
      </c>
      <c r="FL70" s="9">
        <v>10516</v>
      </c>
      <c r="FM70" s="9">
        <v>9767.5</v>
      </c>
      <c r="FN70" s="9">
        <v>10601.2</v>
      </c>
      <c r="FO70" s="9">
        <v>9810.2999999999993</v>
      </c>
      <c r="FP70" s="11">
        <v>34.311340206185591</v>
      </c>
      <c r="FQ70" s="11">
        <v>34.08304123711342</v>
      </c>
      <c r="FR70" s="11">
        <v>34.303762886597937</v>
      </c>
      <c r="FS70" s="11">
        <v>34.181520618556746</v>
      </c>
      <c r="FT70" s="11">
        <v>33.893659793814486</v>
      </c>
      <c r="FU70" s="11">
        <v>34.421572164948508</v>
      </c>
      <c r="FV70" s="11">
        <v>0</v>
      </c>
      <c r="FW70" s="11">
        <v>46.9</v>
      </c>
      <c r="FX70" s="11">
        <v>0</v>
      </c>
      <c r="FY70" s="11">
        <v>0</v>
      </c>
      <c r="FZ70" s="11">
        <v>46.896819420103149</v>
      </c>
      <c r="GA70" s="11">
        <v>47.3</v>
      </c>
      <c r="GB70" s="11">
        <v>1.0048216990335059</v>
      </c>
      <c r="GC70" s="11">
        <v>6.0243468402061868</v>
      </c>
      <c r="GD70" s="11">
        <v>5.5626350798969062</v>
      </c>
      <c r="GE70" s="11">
        <v>6.0522033904639141</v>
      </c>
      <c r="GF70" s="11">
        <v>5.8246174329896938</v>
      </c>
      <c r="GG70" s="11">
        <v>6.0278455335051593</v>
      </c>
      <c r="GH70" s="11">
        <v>9.2083329999999997</v>
      </c>
      <c r="GI70" s="11">
        <v>10.05833</v>
      </c>
      <c r="GJ70" s="11">
        <v>10.841670000000001</v>
      </c>
      <c r="GK70" s="11">
        <v>10.321669999999999</v>
      </c>
      <c r="GL70" s="11">
        <v>9.3350000000000009</v>
      </c>
      <c r="GM70" s="11">
        <v>10.26667</v>
      </c>
      <c r="GN70" s="11">
        <v>6.8354514999999907</v>
      </c>
      <c r="GO70" s="11">
        <v>6.8875323333333425</v>
      </c>
      <c r="GP70" s="11">
        <v>6.8870358333333321</v>
      </c>
      <c r="GQ70" s="11">
        <v>6.7856073333333384</v>
      </c>
      <c r="GR70" s="11">
        <v>6.7869141666666764</v>
      </c>
      <c r="GS70" s="11">
        <v>6.8001121666666666</v>
      </c>
      <c r="GT70" s="108">
        <v>1.6773930000000008</v>
      </c>
      <c r="GU70" s="108">
        <v>1.6365480000000001</v>
      </c>
      <c r="GV70" s="108">
        <v>1.5039103333333357</v>
      </c>
      <c r="GW70" s="108">
        <v>1.8463174999999976</v>
      </c>
      <c r="GX70" s="108">
        <v>1.8785281666666671</v>
      </c>
      <c r="GY70" s="108">
        <v>1.5595596666666649</v>
      </c>
      <c r="GZ70" s="13">
        <v>0</v>
      </c>
      <c r="HA70" s="13">
        <v>6.753040666666668</v>
      </c>
      <c r="HB70" s="13">
        <v>6.6070121666666681</v>
      </c>
      <c r="HC70" s="13">
        <v>0</v>
      </c>
      <c r="HD70" s="13">
        <v>6.5511436666666665</v>
      </c>
      <c r="HE70" s="13">
        <v>6.6390824999999971</v>
      </c>
      <c r="HF70" s="13">
        <v>0.5658905000000003</v>
      </c>
      <c r="HG70" s="13">
        <v>0.62500350000000093</v>
      </c>
      <c r="HH70" s="13">
        <v>0.51831316666666727</v>
      </c>
      <c r="HI70" s="13">
        <v>0.54717050000000056</v>
      </c>
      <c r="HJ70" s="13">
        <v>0.56453183333333368</v>
      </c>
      <c r="HK70" s="13">
        <v>0.57797649999999956</v>
      </c>
      <c r="HL70" s="12">
        <v>0</v>
      </c>
      <c r="HM70" s="12">
        <v>0</v>
      </c>
      <c r="HN70" s="12">
        <v>0</v>
      </c>
      <c r="HO70" s="12">
        <v>0</v>
      </c>
      <c r="HP70" s="12">
        <v>0</v>
      </c>
      <c r="HQ70" s="12">
        <v>0</v>
      </c>
      <c r="HR70" s="12">
        <v>0</v>
      </c>
      <c r="HS70" s="12">
        <v>0</v>
      </c>
      <c r="HT70" s="12">
        <v>0</v>
      </c>
      <c r="HU70" s="12">
        <v>0</v>
      </c>
      <c r="HV70" s="12">
        <v>0</v>
      </c>
      <c r="HW70" s="12">
        <v>0</v>
      </c>
      <c r="HX70" s="9">
        <v>956540</v>
      </c>
      <c r="HY70" s="9">
        <v>1779</v>
      </c>
      <c r="HZ70" s="9">
        <v>943224</v>
      </c>
      <c r="IA70" s="9">
        <v>1809</v>
      </c>
      <c r="IB70" s="11">
        <v>204649.68299999999</v>
      </c>
      <c r="IC70" s="11">
        <v>459.13299999999998</v>
      </c>
      <c r="ID70" s="14">
        <f t="shared" ref="ID70:II70" si="661">GN70-HL70</f>
        <v>6.8354514999999907</v>
      </c>
      <c r="IE70" s="14">
        <f t="shared" si="661"/>
        <v>6.8875323333333425</v>
      </c>
      <c r="IF70" s="14">
        <f t="shared" si="661"/>
        <v>6.8870358333333321</v>
      </c>
      <c r="IG70" s="14">
        <f t="shared" si="661"/>
        <v>6.7856073333333384</v>
      </c>
      <c r="IH70" s="14">
        <f t="shared" si="661"/>
        <v>6.7869141666666764</v>
      </c>
      <c r="II70" s="14">
        <f t="shared" si="661"/>
        <v>6.8001121666666666</v>
      </c>
      <c r="IJ70" s="15">
        <f t="shared" ref="IJ70:IO70" si="662">GZ70-HR70</f>
        <v>0</v>
      </c>
      <c r="IK70" s="15">
        <f t="shared" si="662"/>
        <v>6.753040666666668</v>
      </c>
      <c r="IL70" s="15">
        <f t="shared" si="662"/>
        <v>6.6070121666666681</v>
      </c>
      <c r="IM70" s="15">
        <f t="shared" si="662"/>
        <v>0</v>
      </c>
      <c r="IN70" s="15">
        <f t="shared" si="662"/>
        <v>6.5511436666666665</v>
      </c>
      <c r="IO70" s="15">
        <f t="shared" si="662"/>
        <v>6.6390824999999971</v>
      </c>
      <c r="IP70" s="16">
        <f t="shared" ref="IP70" si="663">(HX70-HX69)*1000</f>
        <v>792000</v>
      </c>
      <c r="IQ70" s="16">
        <f t="shared" ref="IQ70" si="664">(HY70-HY69)*1000</f>
        <v>2000</v>
      </c>
      <c r="IR70" s="16">
        <f t="shared" ref="IR70" si="665">(HZ70-HZ69)*1000</f>
        <v>789000</v>
      </c>
      <c r="IS70" s="16">
        <f t="shared" ref="IS70" si="666">(IA70-IA69)*1000</f>
        <v>1000</v>
      </c>
      <c r="IT70" s="16">
        <f t="shared" ref="IT70" si="667">(IB70-IB69)*1000</f>
        <v>1576733.9999999967</v>
      </c>
      <c r="IU70" s="16">
        <f t="shared" ref="IU70" si="668">(IC70-IC69)*1000</f>
        <v>3399.9999999999773</v>
      </c>
      <c r="IV70" s="17">
        <f t="shared" ref="IV70" si="669">(IP70+IR70)-(IQ70+IS70)</f>
        <v>1578000</v>
      </c>
      <c r="IW70" s="17">
        <f t="shared" ref="IW70" si="670">IT70-IU70</f>
        <v>1573333.9999999967</v>
      </c>
      <c r="IX70" s="19">
        <f>(Raw_Data[[#This Row],[Sunset Time (POA&lt;20 W/m2)]]-Raw_Data[[#This Row],[Sunrise Time (POA&gt;20 W/m2)]])*24</f>
        <v>12.900000000000002</v>
      </c>
      <c r="IY70" s="68">
        <f>AVERAGEIF(Raw_Data[[#This Row],[GHI_UP_Net_IS2_W1]:[GHI_UP_Net_IS19_W6]],"&lt;&gt;"&amp;0,Raw_Data[[#This Row],[GHI_UP_Net_IS2_W1]:[GHI_UP_Net_IS19_W6]])</f>
        <v>6.8304422222222243</v>
      </c>
      <c r="IZ70" s="68">
        <f>AVERAGEIF(Raw_Data[[#This Row],[GHI_Down_IS2_W1]:[GHI_Down_IS19_W6]],"&lt;&gt;"&amp;0,Raw_Data[[#This Row],[GHI_Down_IS2_W1]:[GHI_Down_IS19_W6]])</f>
        <v>1.6837094444444443</v>
      </c>
      <c r="JA70" s="68">
        <f>AVERAGEIF(Raw_Data[[#This Row],[POA_Up_IS2_W1]:[POA_Up_IS19_W6]],"&lt;&gt;"&amp;0,Raw_Data[[#This Row],[POA_Up_IS2_W1]:[POA_Up_IS19_W6]])</f>
        <v>6.6375697499999999</v>
      </c>
      <c r="JB70" s="68">
        <f>AVERAGEIF(Raw_Data[[#This Row],[POA_Down_IS2_W1]:[POA_Down_IS19_W6]],"&lt;&gt;"&amp;0,Raw_Data[[#This Row],[POA_Down_IS2_W1]:[POA_Down_IS19_W6]])</f>
        <v>0.56648100000000035</v>
      </c>
      <c r="JC70" s="69">
        <f>Raw_Data[[#This Row],[GHI-Down(KWh/m2)]]/Raw_Data[[#This Row],[GHI-UP (KWh/m2)]]</f>
        <v>0.24650079594651256</v>
      </c>
      <c r="JD70" s="72">
        <f>Raw_Data[[#This Row],[POA-Down(KWh/m2)]]/Raw_Data[[#This Row],[POA-UP(KWh/m2)]]</f>
        <v>8.5344639881185486E-2</v>
      </c>
      <c r="JE70" s="68">
        <f>AVERAGEIF(Raw_Data[[#This Row],[Amb_Temp_IS2_W1]:[Amb_Temp_IS19_W6]],"&lt;&gt;"&amp;0,Raw_Data[[#This Row],[Amb_Temp_IS2_W1]:[Amb_Temp_IS19_W6]])</f>
        <v>34.199149484536115</v>
      </c>
      <c r="JF70" s="68">
        <f>AVERAGEIF(Raw_Data[[#This Row],[MT_Temp_IS2_W1]:[MT_Temp_IS19_W6]],"&lt;&gt;"&amp;0,Raw_Data[[#This Row],[MT_Temp_IS2_W1]:[MT_Temp_IS19_W6]])</f>
        <v>47.032273140034384</v>
      </c>
      <c r="JG70" s="68">
        <f>AVERAGEIF(Raw_Data[[#This Row],[WS_Avg_IS2_W1]:[WS_Avg_IS19_W6]],"&lt;&gt;"&amp;0,Raw_Data[[#This Row],[WS_Avg_IS2_W1]:[WS_Avg_IS19_W6]])</f>
        <v>5.0827449960158946</v>
      </c>
      <c r="JH70" s="68">
        <f>AVERAGEIF(Raw_Data[[#This Row],[WS_Max_IS2_W1]:[WS_Max_IS19_W6]],"&lt;&gt;"&amp;0,Raw_Data[[#This Row],[WS_Max_IS2_W1]:[WS_Max_IS19_W6]])</f>
        <v>10.005278833333334</v>
      </c>
      <c r="JI70" s="70">
        <f>SUM(Raw_Data[[#This Row],[IS1_INV1_M1]:[IS20_INV4_M2]])</f>
        <v>1584800.6000000008</v>
      </c>
      <c r="JJ70" s="73">
        <v>1748669.9999999958</v>
      </c>
      <c r="JK70" s="71">
        <v>2208510.9977714634</v>
      </c>
      <c r="JL70" s="143">
        <f>IFERROR(Raw_Data[[#This Row],[WPR_Eac]]/Raw_Data[[#This Row],[WPR_Edc]],"")</f>
        <v>0.79178686534254161</v>
      </c>
      <c r="JM70" s="6">
        <v>31</v>
      </c>
      <c r="JN70" s="6">
        <v>800</v>
      </c>
    </row>
    <row r="71" spans="2:274">
      <c r="B71" s="250">
        <f t="shared" si="596"/>
        <v>45810</v>
      </c>
      <c r="C71" s="9">
        <f>YEAR(Raw_Data[[#This Row],[Date]])+IF(MONTH(Raw_Data[[#This Row],[Date]])&gt;=4,1,0)</f>
        <v>2026</v>
      </c>
      <c r="D71" s="6">
        <f t="shared" si="659"/>
        <v>2025</v>
      </c>
      <c r="E71" s="7" t="s">
        <v>361</v>
      </c>
      <c r="F71" s="7" t="s">
        <v>361</v>
      </c>
      <c r="G71" s="8">
        <v>45809</v>
      </c>
      <c r="H71" s="6">
        <f t="shared" si="660"/>
        <v>30</v>
      </c>
      <c r="I71" s="9">
        <v>335090.89</v>
      </c>
      <c r="J71" s="10">
        <v>0.26250000000000001</v>
      </c>
      <c r="K71" s="10">
        <v>0.81041666666666667</v>
      </c>
      <c r="L71" s="9">
        <v>11678.3</v>
      </c>
      <c r="M71" s="9">
        <v>12148.9</v>
      </c>
      <c r="N71" s="9">
        <v>12094.3</v>
      </c>
      <c r="O71" s="9">
        <v>12055.3</v>
      </c>
      <c r="P71" s="9">
        <v>12190.4</v>
      </c>
      <c r="Q71" s="9">
        <v>12267.2</v>
      </c>
      <c r="R71" s="9">
        <v>12246.7</v>
      </c>
      <c r="S71" s="9">
        <v>12564.5</v>
      </c>
      <c r="T71" s="9">
        <v>12114.8</v>
      </c>
      <c r="U71" s="9">
        <v>12134.2</v>
      </c>
      <c r="V71" s="9">
        <v>11969.2</v>
      </c>
      <c r="W71" s="9">
        <v>12000.5</v>
      </c>
      <c r="X71" s="9">
        <v>12170</v>
      </c>
      <c r="Y71" s="9">
        <v>12020.3</v>
      </c>
      <c r="Z71" s="9">
        <v>12209.1</v>
      </c>
      <c r="AA71" s="9">
        <v>12250.2</v>
      </c>
      <c r="AB71" s="9">
        <v>12141.2</v>
      </c>
      <c r="AC71" s="9">
        <v>12152.6</v>
      </c>
      <c r="AD71" s="9">
        <v>12157.7</v>
      </c>
      <c r="AE71" s="9">
        <v>12251</v>
      </c>
      <c r="AF71" s="9">
        <v>12186.4</v>
      </c>
      <c r="AG71" s="9">
        <v>12121.8</v>
      </c>
      <c r="AH71" s="9">
        <v>12016.7</v>
      </c>
      <c r="AI71" s="9">
        <v>12088</v>
      </c>
      <c r="AJ71" s="9">
        <v>11947.7</v>
      </c>
      <c r="AK71" s="9">
        <v>10739.2</v>
      </c>
      <c r="AL71" s="9">
        <v>11911.3</v>
      </c>
      <c r="AM71" s="9">
        <v>11860.9</v>
      </c>
      <c r="AN71" s="9">
        <v>12198.8</v>
      </c>
      <c r="AO71" s="9">
        <v>12077.2</v>
      </c>
      <c r="AP71" s="9">
        <v>12046.4</v>
      </c>
      <c r="AQ71" s="9">
        <v>12223.8</v>
      </c>
      <c r="AR71" s="9">
        <v>12564.3</v>
      </c>
      <c r="AS71" s="9">
        <v>12627.9</v>
      </c>
      <c r="AT71" s="9">
        <v>12743.2</v>
      </c>
      <c r="AU71" s="9">
        <v>12625.1</v>
      </c>
      <c r="AV71" s="9">
        <v>12281.3</v>
      </c>
      <c r="AW71" s="9">
        <v>12103.1</v>
      </c>
      <c r="AX71" s="9">
        <v>12130.4</v>
      </c>
      <c r="AY71" s="9">
        <v>12118.8</v>
      </c>
      <c r="AZ71" s="9">
        <v>12939.1</v>
      </c>
      <c r="BA71" s="9">
        <v>11914.9</v>
      </c>
      <c r="BB71" s="9">
        <v>12828.2</v>
      </c>
      <c r="BC71" s="9">
        <v>11760.5</v>
      </c>
      <c r="BD71" s="9">
        <v>12323.5</v>
      </c>
      <c r="BE71" s="9">
        <v>13443.8</v>
      </c>
      <c r="BF71" s="9">
        <v>11731.5</v>
      </c>
      <c r="BG71" s="9">
        <v>12964.6</v>
      </c>
      <c r="BH71" s="9">
        <v>12267</v>
      </c>
      <c r="BI71" s="9">
        <v>12375.9</v>
      </c>
      <c r="BJ71" s="9">
        <v>12256.6</v>
      </c>
      <c r="BK71" s="9">
        <v>11713.2</v>
      </c>
      <c r="BL71" s="9">
        <v>12565.3</v>
      </c>
      <c r="BM71" s="9">
        <v>12377.5</v>
      </c>
      <c r="BN71" s="9">
        <v>12492.4</v>
      </c>
      <c r="BO71" s="9">
        <v>12417</v>
      </c>
      <c r="BP71" s="9">
        <v>11378</v>
      </c>
      <c r="BQ71" s="9">
        <v>12678.7</v>
      </c>
      <c r="BR71" s="9">
        <v>11424.1</v>
      </c>
      <c r="BS71" s="9">
        <v>12631.8</v>
      </c>
      <c r="BT71" s="9">
        <v>12490</v>
      </c>
      <c r="BU71" s="9">
        <v>11377.8</v>
      </c>
      <c r="BV71" s="9">
        <v>12204.1</v>
      </c>
      <c r="BW71" s="9">
        <v>11700.1</v>
      </c>
      <c r="BX71" s="9">
        <v>11913</v>
      </c>
      <c r="BY71" s="9">
        <v>11397.6</v>
      </c>
      <c r="BZ71" s="9">
        <v>11862.1</v>
      </c>
      <c r="CA71" s="9">
        <v>12307.9</v>
      </c>
      <c r="CB71" s="9">
        <v>12559.9</v>
      </c>
      <c r="CC71" s="9">
        <v>11558.3</v>
      </c>
      <c r="CD71" s="9">
        <v>12409.4</v>
      </c>
      <c r="CE71" s="9">
        <v>11216.3</v>
      </c>
      <c r="CF71" s="9">
        <v>12135.6</v>
      </c>
      <c r="CG71" s="9">
        <v>11961.9</v>
      </c>
      <c r="CH71" s="9">
        <v>11428.2</v>
      </c>
      <c r="CI71" s="9">
        <v>12398.7</v>
      </c>
      <c r="CJ71" s="9">
        <v>11266.5</v>
      </c>
      <c r="CK71" s="9">
        <v>12625</v>
      </c>
      <c r="CL71" s="9">
        <v>11442.6</v>
      </c>
      <c r="CM71" s="9">
        <v>12415.9</v>
      </c>
      <c r="CN71" s="9">
        <v>11599.7</v>
      </c>
      <c r="CO71" s="9">
        <v>12305.1</v>
      </c>
      <c r="CP71" s="9">
        <v>11638.9</v>
      </c>
      <c r="CQ71" s="9">
        <v>12659.4</v>
      </c>
      <c r="CR71" s="9">
        <v>11557.1</v>
      </c>
      <c r="CS71" s="9">
        <v>12139.9</v>
      </c>
      <c r="CT71" s="9">
        <v>11547.7</v>
      </c>
      <c r="CU71" s="9">
        <v>10356</v>
      </c>
      <c r="CV71" s="9">
        <v>12334.4</v>
      </c>
      <c r="CW71" s="9">
        <v>12015.7</v>
      </c>
      <c r="CX71" s="9">
        <v>11327.4</v>
      </c>
      <c r="CY71" s="9">
        <v>12696.1</v>
      </c>
      <c r="CZ71" s="9">
        <v>12320.3</v>
      </c>
      <c r="DA71" s="9">
        <v>11546.6</v>
      </c>
      <c r="DB71" s="9">
        <v>11393.3</v>
      </c>
      <c r="DC71" s="9">
        <v>12407.1</v>
      </c>
      <c r="DD71" s="9">
        <v>11462.6</v>
      </c>
      <c r="DE71" s="9">
        <v>11797.3</v>
      </c>
      <c r="DF71" s="9">
        <v>12668.7</v>
      </c>
      <c r="DG71" s="9">
        <v>11414</v>
      </c>
      <c r="DH71" s="9">
        <v>12704.3</v>
      </c>
      <c r="DI71" s="9">
        <v>11424.8</v>
      </c>
      <c r="DJ71" s="9">
        <v>12421.4</v>
      </c>
      <c r="DK71" s="9">
        <v>11638.7</v>
      </c>
      <c r="DL71" s="9">
        <v>12484</v>
      </c>
      <c r="DM71" s="9">
        <v>11146</v>
      </c>
      <c r="DN71" s="9">
        <v>12547.3</v>
      </c>
      <c r="DO71" s="9">
        <v>11561.4</v>
      </c>
      <c r="DP71" s="9">
        <v>12407.9</v>
      </c>
      <c r="DQ71" s="9">
        <v>11543.7</v>
      </c>
      <c r="DR71" s="9">
        <v>12466.9</v>
      </c>
      <c r="DS71" s="9">
        <v>11743.7</v>
      </c>
      <c r="DT71" s="9">
        <v>11410.1</v>
      </c>
      <c r="DU71" s="9">
        <v>12342</v>
      </c>
      <c r="DV71" s="9">
        <v>11553.7</v>
      </c>
      <c r="DW71" s="9">
        <v>11379.1</v>
      </c>
      <c r="DX71" s="9">
        <v>12457</v>
      </c>
      <c r="DY71" s="9">
        <v>12525.3</v>
      </c>
      <c r="DZ71" s="9">
        <v>12356.8</v>
      </c>
      <c r="EA71" s="9">
        <v>11575.7</v>
      </c>
      <c r="EB71" s="9">
        <v>12476.1</v>
      </c>
      <c r="EC71" s="9">
        <v>11455.3</v>
      </c>
      <c r="ED71" s="9">
        <v>12231</v>
      </c>
      <c r="EE71" s="9">
        <v>11579.5</v>
      </c>
      <c r="EF71" s="9">
        <v>12106.5</v>
      </c>
      <c r="EG71" s="9">
        <v>10863.2</v>
      </c>
      <c r="EH71" s="9">
        <v>12247.8</v>
      </c>
      <c r="EI71" s="9">
        <v>11493.1</v>
      </c>
      <c r="EJ71" s="9">
        <v>11538.3</v>
      </c>
      <c r="EK71" s="9">
        <v>11517.5</v>
      </c>
      <c r="EL71" s="9">
        <v>11477.4</v>
      </c>
      <c r="EM71" s="9">
        <v>9980.4</v>
      </c>
      <c r="EN71" s="9">
        <v>11279.6</v>
      </c>
      <c r="EO71" s="9">
        <v>10070.4</v>
      </c>
      <c r="EP71" s="9">
        <v>11423.1</v>
      </c>
      <c r="EQ71" s="9">
        <v>11446.3</v>
      </c>
      <c r="ER71" s="9">
        <v>12944.7</v>
      </c>
      <c r="ES71" s="9">
        <v>11629.4</v>
      </c>
      <c r="ET71" s="9">
        <v>12992.3</v>
      </c>
      <c r="EU71" s="9">
        <v>11808.8</v>
      </c>
      <c r="EV71" s="9">
        <v>12861.6</v>
      </c>
      <c r="EW71" s="9">
        <v>11598</v>
      </c>
      <c r="EX71" s="9">
        <v>11791.4</v>
      </c>
      <c r="EY71" s="9">
        <v>11604.6</v>
      </c>
      <c r="EZ71" s="9">
        <v>12579.8</v>
      </c>
      <c r="FA71" s="9">
        <v>12961.3</v>
      </c>
      <c r="FB71" s="9">
        <v>12893.3</v>
      </c>
      <c r="FC71" s="9">
        <v>12831.3</v>
      </c>
      <c r="FD71" s="9">
        <v>12840.6</v>
      </c>
      <c r="FE71" s="9">
        <v>12883.2</v>
      </c>
      <c r="FF71" s="9">
        <v>11915.8</v>
      </c>
      <c r="FG71" s="9">
        <v>12891.1</v>
      </c>
      <c r="FH71" s="9">
        <v>12954.8</v>
      </c>
      <c r="FI71" s="9">
        <v>12950</v>
      </c>
      <c r="FJ71" s="9">
        <v>12955.3</v>
      </c>
      <c r="FK71" s="9">
        <v>12924.4</v>
      </c>
      <c r="FL71" s="9">
        <v>12939.8</v>
      </c>
      <c r="FM71" s="9">
        <v>11876.8</v>
      </c>
      <c r="FN71" s="9">
        <v>13020.5</v>
      </c>
      <c r="FO71" s="9">
        <v>11939</v>
      </c>
      <c r="FP71" s="11">
        <v>34.77437740693194</v>
      </c>
      <c r="FQ71" s="11">
        <v>34.577740693196418</v>
      </c>
      <c r="FR71" s="11">
        <v>34.969216944801005</v>
      </c>
      <c r="FS71" s="11">
        <v>34.630038510911419</v>
      </c>
      <c r="FT71" s="11">
        <v>34.498793324775356</v>
      </c>
      <c r="FU71" s="11">
        <v>34.83344030808729</v>
      </c>
      <c r="FV71" s="11">
        <v>0</v>
      </c>
      <c r="FW71" s="11">
        <v>47.2</v>
      </c>
      <c r="FX71" s="11">
        <v>0</v>
      </c>
      <c r="FY71" s="11">
        <v>0</v>
      </c>
      <c r="FZ71" s="11">
        <v>47.322820513478867</v>
      </c>
      <c r="GA71" s="11">
        <v>47.7</v>
      </c>
      <c r="GB71" s="11">
        <v>0.76106115317073286</v>
      </c>
      <c r="GC71" s="11">
        <v>6.6694990911424803</v>
      </c>
      <c r="GD71" s="11">
        <v>5.8758769409499401</v>
      </c>
      <c r="GE71" s="11">
        <v>6.7374601540436432</v>
      </c>
      <c r="GF71" s="11">
        <v>6.3558362670089767</v>
      </c>
      <c r="GG71" s="11">
        <v>6.6168140474967894</v>
      </c>
      <c r="GH71" s="11">
        <v>8.7699990000000003</v>
      </c>
      <c r="GI71" s="11">
        <v>10.501670000000001</v>
      </c>
      <c r="GJ71" s="11">
        <v>11.01667</v>
      </c>
      <c r="GK71" s="11">
        <v>10.355</v>
      </c>
      <c r="GL71" s="11">
        <v>9.7050000000000001</v>
      </c>
      <c r="GM71" s="11">
        <v>10.311669999999999</v>
      </c>
      <c r="GN71" s="11">
        <v>7.3813506666666688</v>
      </c>
      <c r="GO71" s="11">
        <v>7.4244070000000004</v>
      </c>
      <c r="GP71" s="11">
        <v>7.4887859999999975</v>
      </c>
      <c r="GQ71" s="11">
        <v>7.328581833333331</v>
      </c>
      <c r="GR71" s="11">
        <v>7.3067668333333362</v>
      </c>
      <c r="GS71" s="11">
        <v>7.2967238333333313</v>
      </c>
      <c r="GT71" s="108">
        <v>1.8141950000000002</v>
      </c>
      <c r="GU71" s="108">
        <v>1.746068833333333</v>
      </c>
      <c r="GV71" s="108">
        <v>1.6446916666666644</v>
      </c>
      <c r="GW71" s="108">
        <v>1.9942278333333332</v>
      </c>
      <c r="GX71" s="108">
        <v>2.0045530000000009</v>
      </c>
      <c r="GY71" s="108">
        <v>1.6513731666666664</v>
      </c>
      <c r="GZ71" s="13">
        <v>0</v>
      </c>
      <c r="HA71" s="13">
        <v>7.2238513333333367</v>
      </c>
      <c r="HB71" s="13">
        <v>7.1226758333333358</v>
      </c>
      <c r="HC71" s="13">
        <v>0</v>
      </c>
      <c r="HD71" s="13">
        <v>6.9882815000000003</v>
      </c>
      <c r="HE71" s="13">
        <v>7.0745059999999951</v>
      </c>
      <c r="HF71" s="13">
        <v>0.60733666666666697</v>
      </c>
      <c r="HG71" s="13">
        <v>0.66744033333333352</v>
      </c>
      <c r="HH71" s="13">
        <v>0.56347216666666644</v>
      </c>
      <c r="HI71" s="13">
        <v>0.58466150000000061</v>
      </c>
      <c r="HJ71" s="13">
        <v>0.60049416666666677</v>
      </c>
      <c r="HK71" s="13">
        <v>0.61399933333333301</v>
      </c>
      <c r="HL71" s="12">
        <v>0</v>
      </c>
      <c r="HM71" s="12">
        <v>0</v>
      </c>
      <c r="HN71" s="12">
        <v>0</v>
      </c>
      <c r="HO71" s="12">
        <v>0</v>
      </c>
      <c r="HP71" s="12">
        <v>0</v>
      </c>
      <c r="HQ71" s="12">
        <v>0</v>
      </c>
      <c r="HR71" s="12">
        <v>0</v>
      </c>
      <c r="HS71" s="12">
        <v>0</v>
      </c>
      <c r="HT71" s="12">
        <v>0</v>
      </c>
      <c r="HU71" s="12">
        <v>0</v>
      </c>
      <c r="HV71" s="12">
        <v>0</v>
      </c>
      <c r="HW71" s="12">
        <v>0</v>
      </c>
      <c r="HX71" s="9">
        <v>957508</v>
      </c>
      <c r="HY71" s="9">
        <v>1780</v>
      </c>
      <c r="HZ71" s="9">
        <v>944178</v>
      </c>
      <c r="IA71" s="9">
        <v>1810</v>
      </c>
      <c r="IB71" s="11">
        <v>206569.48300000001</v>
      </c>
      <c r="IC71" s="11">
        <v>462.2</v>
      </c>
      <c r="ID71" s="14">
        <f t="shared" ref="ID71:II71" si="671">GN71-HL71</f>
        <v>7.3813506666666688</v>
      </c>
      <c r="IE71" s="14">
        <f t="shared" si="671"/>
        <v>7.4244070000000004</v>
      </c>
      <c r="IF71" s="14">
        <f t="shared" si="671"/>
        <v>7.4887859999999975</v>
      </c>
      <c r="IG71" s="14">
        <f t="shared" si="671"/>
        <v>7.328581833333331</v>
      </c>
      <c r="IH71" s="14">
        <f t="shared" si="671"/>
        <v>7.3067668333333362</v>
      </c>
      <c r="II71" s="14">
        <f t="shared" si="671"/>
        <v>7.2967238333333313</v>
      </c>
      <c r="IJ71" s="15">
        <f t="shared" ref="IJ71:IO71" si="672">GZ71-HR71</f>
        <v>0</v>
      </c>
      <c r="IK71" s="15">
        <f t="shared" si="672"/>
        <v>7.2238513333333367</v>
      </c>
      <c r="IL71" s="15">
        <f t="shared" si="672"/>
        <v>7.1226758333333358</v>
      </c>
      <c r="IM71" s="15">
        <f t="shared" si="672"/>
        <v>0</v>
      </c>
      <c r="IN71" s="15">
        <f t="shared" si="672"/>
        <v>6.9882815000000003</v>
      </c>
      <c r="IO71" s="15">
        <f t="shared" si="672"/>
        <v>7.0745059999999951</v>
      </c>
      <c r="IP71" s="16">
        <f t="shared" ref="IP71" si="673">(HX71-HX70)*1000</f>
        <v>968000</v>
      </c>
      <c r="IQ71" s="16">
        <f t="shared" ref="IQ71" si="674">(HY71-HY70)*1000</f>
        <v>1000</v>
      </c>
      <c r="IR71" s="16">
        <f t="shared" ref="IR71" si="675">(HZ71-HZ70)*1000</f>
        <v>954000</v>
      </c>
      <c r="IS71" s="16">
        <f t="shared" ref="IS71" si="676">(IA71-IA70)*1000</f>
        <v>1000</v>
      </c>
      <c r="IT71" s="16">
        <f t="shared" ref="IT71" si="677">(IB71-IB70)*1000</f>
        <v>1919800.0000000175</v>
      </c>
      <c r="IU71" s="16">
        <f t="shared" ref="IU71" si="678">(IC71-IC70)*1000</f>
        <v>3067.0000000000073</v>
      </c>
      <c r="IV71" s="17">
        <f t="shared" ref="IV71" si="679">(IP71+IR71)-(IQ71+IS71)</f>
        <v>1920000</v>
      </c>
      <c r="IW71" s="17">
        <f t="shared" ref="IW71" si="680">IT71-IU71</f>
        <v>1916733.0000000175</v>
      </c>
      <c r="IX71" s="19">
        <f>(Raw_Data[[#This Row],[Sunset Time (POA&lt;20 W/m2)]]-Raw_Data[[#This Row],[Sunrise Time (POA&gt;20 W/m2)]])*24</f>
        <v>13.149999999999999</v>
      </c>
      <c r="IY71" s="68">
        <f>AVERAGEIF(Raw_Data[[#This Row],[GHI_UP_Net_IS2_W1]:[GHI_UP_Net_IS19_W6]],"&lt;&gt;"&amp;0,Raw_Data[[#This Row],[GHI_UP_Net_IS2_W1]:[GHI_UP_Net_IS19_W6]])</f>
        <v>7.3711026944444447</v>
      </c>
      <c r="IZ71" s="68">
        <f>AVERAGEIF(Raw_Data[[#This Row],[GHI_Down_IS2_W1]:[GHI_Down_IS19_W6]],"&lt;&gt;"&amp;0,Raw_Data[[#This Row],[GHI_Down_IS2_W1]:[GHI_Down_IS19_W6]])</f>
        <v>1.8091849166666663</v>
      </c>
      <c r="JA71" s="68">
        <f>AVERAGEIF(Raw_Data[[#This Row],[POA_Up_IS2_W1]:[POA_Up_IS19_W6]],"&lt;&gt;"&amp;0,Raw_Data[[#This Row],[POA_Up_IS2_W1]:[POA_Up_IS19_W6]])</f>
        <v>7.1023286666666667</v>
      </c>
      <c r="JB71" s="68">
        <f>AVERAGEIF(Raw_Data[[#This Row],[POA_Down_IS2_W1]:[POA_Down_IS19_W6]],"&lt;&gt;"&amp;0,Raw_Data[[#This Row],[POA_Down_IS2_W1]:[POA_Down_IS19_W6]])</f>
        <v>0.60623402777777791</v>
      </c>
      <c r="JC71" s="69">
        <f>Raw_Data[[#This Row],[GHI-Down(KWh/m2)]]/Raw_Data[[#This Row],[GHI-UP (KWh/m2)]]</f>
        <v>0.24544291290775774</v>
      </c>
      <c r="JD71" s="72">
        <f>Raw_Data[[#This Row],[POA-Down(KWh/m2)]]/Raw_Data[[#This Row],[POA-UP(KWh/m2)]]</f>
        <v>8.5357078815996482E-2</v>
      </c>
      <c r="JE71" s="68">
        <f>AVERAGEIF(Raw_Data[[#This Row],[Amb_Temp_IS2_W1]:[Amb_Temp_IS19_W6]],"&lt;&gt;"&amp;0,Raw_Data[[#This Row],[Amb_Temp_IS2_W1]:[Amb_Temp_IS19_W6]])</f>
        <v>34.713934531450576</v>
      </c>
      <c r="JF71" s="68">
        <f>AVERAGEIF(Raw_Data[[#This Row],[MT_Temp_IS2_W1]:[MT_Temp_IS19_W6]],"&lt;&gt;"&amp;0,Raw_Data[[#This Row],[MT_Temp_IS2_W1]:[MT_Temp_IS19_W6]])</f>
        <v>47.4076068378263</v>
      </c>
      <c r="JG71" s="68">
        <f>AVERAGEIF(Raw_Data[[#This Row],[WS_Avg_IS2_W1]:[WS_Avg_IS19_W6]],"&lt;&gt;"&amp;0,Raw_Data[[#This Row],[WS_Avg_IS2_W1]:[WS_Avg_IS19_W6]])</f>
        <v>5.5027579423020931</v>
      </c>
      <c r="JH71" s="68">
        <f>AVERAGEIF(Raw_Data[[#This Row],[WS_Max_IS2_W1]:[WS_Max_IS19_W6]],"&lt;&gt;"&amp;0,Raw_Data[[#This Row],[WS_Max_IS2_W1]:[WS_Max_IS19_W6]])</f>
        <v>10.110001499999999</v>
      </c>
      <c r="JI71" s="70">
        <f>SUM(Raw_Data[[#This Row],[IS1_INV1_M1]:[IS20_INV4_M2]])</f>
        <v>1931233.600000001</v>
      </c>
      <c r="JJ71" s="73">
        <v>1881512.4000000607</v>
      </c>
      <c r="JK71" s="71">
        <v>2299203.3734314283</v>
      </c>
      <c r="JL71" s="143">
        <f>IFERROR(Raw_Data[[#This Row],[WPR_Eac]]/Raw_Data[[#This Row],[WPR_Edc]],"")</f>
        <v>0.81833230663367196</v>
      </c>
      <c r="JM71" s="6">
        <v>23</v>
      </c>
      <c r="JN71" s="6">
        <v>0</v>
      </c>
    </row>
    <row r="72" spans="2:274">
      <c r="B72" s="250">
        <f t="shared" si="596"/>
        <v>45811</v>
      </c>
      <c r="C72" s="9">
        <f>YEAR(Raw_Data[[#This Row],[Date]])+IF(MONTH(Raw_Data[[#This Row],[Date]])&gt;=4,1,0)</f>
        <v>2026</v>
      </c>
      <c r="D72" s="6">
        <f t="shared" si="659"/>
        <v>2025</v>
      </c>
      <c r="E72" s="7" t="s">
        <v>361</v>
      </c>
      <c r="F72" s="7" t="s">
        <v>361</v>
      </c>
      <c r="G72" s="8">
        <v>45809</v>
      </c>
      <c r="H72" s="6">
        <f t="shared" si="660"/>
        <v>30</v>
      </c>
      <c r="I72" s="9">
        <v>335090.89</v>
      </c>
      <c r="J72" s="10">
        <v>0.26111111111111113</v>
      </c>
      <c r="K72" s="10">
        <v>0.80972222222222223</v>
      </c>
      <c r="L72" s="9">
        <v>11514.9</v>
      </c>
      <c r="M72" s="9">
        <v>12031.3</v>
      </c>
      <c r="N72" s="9">
        <v>11980.8</v>
      </c>
      <c r="O72" s="9">
        <v>11915.6</v>
      </c>
      <c r="P72" s="9">
        <v>12102</v>
      </c>
      <c r="Q72" s="9">
        <v>12138.3</v>
      </c>
      <c r="R72" s="9">
        <v>12147.1</v>
      </c>
      <c r="S72" s="9">
        <v>12526.4</v>
      </c>
      <c r="T72" s="9">
        <v>11997.8</v>
      </c>
      <c r="U72" s="9">
        <v>12044.4</v>
      </c>
      <c r="V72" s="9">
        <v>11831.5</v>
      </c>
      <c r="W72" s="9">
        <v>11879.2</v>
      </c>
      <c r="X72" s="9">
        <v>12016</v>
      </c>
      <c r="Y72" s="9">
        <v>11878.7</v>
      </c>
      <c r="Z72" s="9">
        <v>12048.4</v>
      </c>
      <c r="AA72" s="9">
        <v>12099.9</v>
      </c>
      <c r="AB72" s="9">
        <v>11987.1</v>
      </c>
      <c r="AC72" s="9">
        <v>11994.5</v>
      </c>
      <c r="AD72" s="9">
        <v>12001.9</v>
      </c>
      <c r="AE72" s="9">
        <v>12090.2</v>
      </c>
      <c r="AF72" s="9">
        <v>12034.6</v>
      </c>
      <c r="AG72" s="9">
        <v>11958.2</v>
      </c>
      <c r="AH72" s="9">
        <v>11826.6</v>
      </c>
      <c r="AI72" s="9">
        <v>11910.9</v>
      </c>
      <c r="AJ72" s="9">
        <v>11778.6</v>
      </c>
      <c r="AK72" s="9">
        <v>10414.299999999999</v>
      </c>
      <c r="AL72" s="9">
        <v>11736.3</v>
      </c>
      <c r="AM72" s="9">
        <v>11678.6</v>
      </c>
      <c r="AN72" s="9">
        <v>12009.4</v>
      </c>
      <c r="AO72" s="9">
        <v>11907.5</v>
      </c>
      <c r="AP72" s="9">
        <v>11866.7</v>
      </c>
      <c r="AQ72" s="9">
        <v>12069.4</v>
      </c>
      <c r="AR72" s="9">
        <v>12205.1</v>
      </c>
      <c r="AS72" s="9">
        <v>12238.2</v>
      </c>
      <c r="AT72" s="9">
        <v>12340.9</v>
      </c>
      <c r="AU72" s="9">
        <v>12233</v>
      </c>
      <c r="AV72" s="9">
        <v>12152.2</v>
      </c>
      <c r="AW72" s="9">
        <v>11967.7</v>
      </c>
      <c r="AX72" s="9">
        <v>12013.3</v>
      </c>
      <c r="AY72" s="9">
        <v>11978.9</v>
      </c>
      <c r="AZ72" s="9">
        <v>12850</v>
      </c>
      <c r="BA72" s="9">
        <v>11720.2</v>
      </c>
      <c r="BB72" s="9">
        <v>12742.8</v>
      </c>
      <c r="BC72" s="9">
        <v>11570.8</v>
      </c>
      <c r="BD72" s="9">
        <v>12197.9</v>
      </c>
      <c r="BE72" s="9">
        <v>13392.5</v>
      </c>
      <c r="BF72" s="9">
        <v>11541</v>
      </c>
      <c r="BG72" s="9">
        <v>12883.9</v>
      </c>
      <c r="BH72" s="9">
        <v>12120.8</v>
      </c>
      <c r="BI72" s="9">
        <v>12237</v>
      </c>
      <c r="BJ72" s="9">
        <v>12096</v>
      </c>
      <c r="BK72" s="9">
        <v>11503.5</v>
      </c>
      <c r="BL72" s="9">
        <v>12459.9</v>
      </c>
      <c r="BM72" s="9">
        <v>12242.4</v>
      </c>
      <c r="BN72" s="9">
        <v>12373.3</v>
      </c>
      <c r="BO72" s="9">
        <v>12300.3</v>
      </c>
      <c r="BP72" s="9">
        <v>11119</v>
      </c>
      <c r="BQ72" s="9">
        <v>12581.4</v>
      </c>
      <c r="BR72" s="9">
        <v>11157.2</v>
      </c>
      <c r="BS72" s="9">
        <v>12525.7</v>
      </c>
      <c r="BT72" s="9">
        <v>12377.1</v>
      </c>
      <c r="BU72" s="9">
        <v>11123.4</v>
      </c>
      <c r="BV72" s="9">
        <v>12088.9</v>
      </c>
      <c r="BW72" s="9">
        <v>11541.4</v>
      </c>
      <c r="BX72" s="9">
        <v>11802.1</v>
      </c>
      <c r="BY72" s="9">
        <v>11175.3</v>
      </c>
      <c r="BZ72" s="9">
        <v>11707</v>
      </c>
      <c r="CA72" s="9">
        <v>12201.3</v>
      </c>
      <c r="CB72" s="9">
        <v>12487.2</v>
      </c>
      <c r="CC72" s="9">
        <v>11363.3</v>
      </c>
      <c r="CD72" s="9">
        <v>12321</v>
      </c>
      <c r="CE72" s="9">
        <v>10958.3</v>
      </c>
      <c r="CF72" s="9">
        <v>12017.7</v>
      </c>
      <c r="CG72" s="9">
        <v>11806.5</v>
      </c>
      <c r="CH72" s="9">
        <v>11159.3</v>
      </c>
      <c r="CI72" s="9">
        <v>12292.6</v>
      </c>
      <c r="CJ72" s="9">
        <v>11023.5</v>
      </c>
      <c r="CK72" s="9">
        <v>12559.6</v>
      </c>
      <c r="CL72" s="9">
        <v>11253.4</v>
      </c>
      <c r="CM72" s="9">
        <v>12361.5</v>
      </c>
      <c r="CN72" s="9">
        <v>11398.5</v>
      </c>
      <c r="CO72" s="9">
        <v>12187.2</v>
      </c>
      <c r="CP72" s="9">
        <v>11489.6</v>
      </c>
      <c r="CQ72" s="9">
        <v>12578.7</v>
      </c>
      <c r="CR72" s="9">
        <v>11392</v>
      </c>
      <c r="CS72" s="9">
        <v>12059.5</v>
      </c>
      <c r="CT72" s="9">
        <v>11349.1</v>
      </c>
      <c r="CU72" s="9">
        <v>10075.4</v>
      </c>
      <c r="CV72" s="9">
        <v>12233.3</v>
      </c>
      <c r="CW72" s="9">
        <v>11901.2</v>
      </c>
      <c r="CX72" s="9">
        <v>11071.5</v>
      </c>
      <c r="CY72" s="9">
        <v>12623.6</v>
      </c>
      <c r="CZ72" s="9">
        <v>12266.5</v>
      </c>
      <c r="DA72" s="9">
        <v>11452</v>
      </c>
      <c r="DB72" s="9">
        <v>11331.4</v>
      </c>
      <c r="DC72" s="9">
        <v>12384.5</v>
      </c>
      <c r="DD72" s="9">
        <v>11230.2</v>
      </c>
      <c r="DE72" s="9">
        <v>11651.6</v>
      </c>
      <c r="DF72" s="9">
        <v>12594.6</v>
      </c>
      <c r="DG72" s="9">
        <v>11190.7</v>
      </c>
      <c r="DH72" s="9">
        <v>12603.7</v>
      </c>
      <c r="DI72" s="9">
        <v>11186.3</v>
      </c>
      <c r="DJ72" s="9">
        <v>12294.3</v>
      </c>
      <c r="DK72" s="9">
        <v>11435.1</v>
      </c>
      <c r="DL72" s="9">
        <v>12376.1</v>
      </c>
      <c r="DM72" s="9">
        <v>10872.2</v>
      </c>
      <c r="DN72" s="9">
        <v>12443.6</v>
      </c>
      <c r="DO72" s="9">
        <v>11339.5</v>
      </c>
      <c r="DP72" s="9">
        <v>12283.5</v>
      </c>
      <c r="DQ72" s="9">
        <v>11321.9</v>
      </c>
      <c r="DR72" s="9">
        <v>12379.6</v>
      </c>
      <c r="DS72" s="9">
        <v>11521.6</v>
      </c>
      <c r="DT72" s="9">
        <v>11195.3</v>
      </c>
      <c r="DU72" s="9">
        <v>12270.5</v>
      </c>
      <c r="DV72" s="9">
        <v>11335</v>
      </c>
      <c r="DW72" s="9">
        <v>11159.1</v>
      </c>
      <c r="DX72" s="9">
        <v>12375.1</v>
      </c>
      <c r="DY72" s="9">
        <v>12439.7</v>
      </c>
      <c r="DZ72" s="9">
        <v>12249.9</v>
      </c>
      <c r="EA72" s="9">
        <v>11338.3</v>
      </c>
      <c r="EB72" s="9">
        <v>12379.2</v>
      </c>
      <c r="EC72" s="9">
        <v>11226.7</v>
      </c>
      <c r="ED72" s="9">
        <v>12108</v>
      </c>
      <c r="EE72" s="9">
        <v>11350.6</v>
      </c>
      <c r="EF72" s="9">
        <v>11979.5</v>
      </c>
      <c r="EG72" s="9">
        <v>10557.6</v>
      </c>
      <c r="EH72" s="9">
        <v>12115.8</v>
      </c>
      <c r="EI72" s="9">
        <v>11248.5</v>
      </c>
      <c r="EJ72" s="9">
        <v>11356.3</v>
      </c>
      <c r="EK72" s="9">
        <v>11362.6</v>
      </c>
      <c r="EL72" s="9">
        <v>11246.9</v>
      </c>
      <c r="EM72" s="9">
        <v>9735.7000000000007</v>
      </c>
      <c r="EN72" s="9">
        <v>11051.8</v>
      </c>
      <c r="EO72" s="9">
        <v>9791.6</v>
      </c>
      <c r="EP72" s="9">
        <v>11218</v>
      </c>
      <c r="EQ72" s="9">
        <v>11242.2</v>
      </c>
      <c r="ER72" s="9">
        <v>12909.1</v>
      </c>
      <c r="ES72" s="9">
        <v>11475.1</v>
      </c>
      <c r="ET72" s="9">
        <v>12972.7</v>
      </c>
      <c r="EU72" s="9">
        <v>11676.4</v>
      </c>
      <c r="EV72" s="9">
        <v>12852</v>
      </c>
      <c r="EW72" s="9">
        <v>11512</v>
      </c>
      <c r="EX72" s="9">
        <v>11718.3</v>
      </c>
      <c r="EY72" s="9">
        <v>11471.6</v>
      </c>
      <c r="EZ72" s="9">
        <v>12530.6</v>
      </c>
      <c r="FA72" s="9">
        <v>12954.9</v>
      </c>
      <c r="FB72" s="9">
        <v>12844.1</v>
      </c>
      <c r="FC72" s="9">
        <v>12788</v>
      </c>
      <c r="FD72" s="9">
        <v>12793.4</v>
      </c>
      <c r="FE72" s="9">
        <v>12841.8</v>
      </c>
      <c r="FF72" s="9">
        <v>11790.4</v>
      </c>
      <c r="FG72" s="9">
        <v>12862.8</v>
      </c>
      <c r="FH72" s="9">
        <v>12913.2</v>
      </c>
      <c r="FI72" s="9">
        <v>12921.3</v>
      </c>
      <c r="FJ72" s="9">
        <v>12933.7</v>
      </c>
      <c r="FK72" s="9">
        <v>12899.7</v>
      </c>
      <c r="FL72" s="9">
        <v>12925.5</v>
      </c>
      <c r="FM72" s="9">
        <v>11756</v>
      </c>
      <c r="FN72" s="9">
        <v>12989.9</v>
      </c>
      <c r="FO72" s="9">
        <v>11818.3</v>
      </c>
      <c r="FP72" s="11">
        <v>34.847480719794355</v>
      </c>
      <c r="FQ72" s="11">
        <v>34.686182519280194</v>
      </c>
      <c r="FR72" s="11">
        <v>34.851169665809749</v>
      </c>
      <c r="FS72" s="11">
        <v>34.732879177377825</v>
      </c>
      <c r="FT72" s="11">
        <v>34.475925449871497</v>
      </c>
      <c r="FU72" s="11">
        <v>35.049048843187677</v>
      </c>
      <c r="FV72" s="11">
        <v>0</v>
      </c>
      <c r="FW72" s="11">
        <v>46.1</v>
      </c>
      <c r="FX72" s="11">
        <v>0</v>
      </c>
      <c r="FY72" s="11">
        <v>0</v>
      </c>
      <c r="FZ72" s="11">
        <v>45.983705115681175</v>
      </c>
      <c r="GA72" s="11">
        <v>46.4</v>
      </c>
      <c r="GB72" s="11">
        <v>0.91096182942159598</v>
      </c>
      <c r="GC72" s="11">
        <v>7.0943249035989666</v>
      </c>
      <c r="GD72" s="11">
        <v>6.7844705822622062</v>
      </c>
      <c r="GE72" s="11">
        <v>7.051771381748063</v>
      </c>
      <c r="GF72" s="11">
        <v>6.7553082120822525</v>
      </c>
      <c r="GG72" s="11">
        <v>7.1135580257069355</v>
      </c>
      <c r="GH72" s="11">
        <v>8.9799989999999994</v>
      </c>
      <c r="GI72" s="11">
        <v>11.54833</v>
      </c>
      <c r="GJ72" s="11">
        <v>11.505000000000001</v>
      </c>
      <c r="GK72" s="11">
        <v>10.606669999999999</v>
      </c>
      <c r="GL72" s="11">
        <v>10.713329999999999</v>
      </c>
      <c r="GM72" s="11">
        <v>11.535</v>
      </c>
      <c r="GN72" s="11">
        <v>7.1051759999999975</v>
      </c>
      <c r="GO72" s="11">
        <v>7.1534921666666698</v>
      </c>
      <c r="GP72" s="11">
        <v>7.1702206666666726</v>
      </c>
      <c r="GQ72" s="11">
        <v>7.03215883333334</v>
      </c>
      <c r="GR72" s="11">
        <v>7.0183195000000023</v>
      </c>
      <c r="GS72" s="11">
        <v>7.0232431666666653</v>
      </c>
      <c r="GT72" s="108">
        <v>1.7985659999999986</v>
      </c>
      <c r="GU72" s="108">
        <v>1.7253863333333344</v>
      </c>
      <c r="GV72" s="108">
        <v>1.6296023333333332</v>
      </c>
      <c r="GW72" s="108">
        <v>1.9776889999999989</v>
      </c>
      <c r="GX72" s="108">
        <v>1.9836516666666679</v>
      </c>
      <c r="GY72" s="108">
        <v>1.6372455000000006</v>
      </c>
      <c r="GZ72" s="13">
        <v>0</v>
      </c>
      <c r="HA72" s="13">
        <v>6.9726036666666698</v>
      </c>
      <c r="HB72" s="13">
        <v>6.8437718333333306</v>
      </c>
      <c r="HC72" s="13">
        <v>0</v>
      </c>
      <c r="HD72" s="13">
        <v>6.7591191666666717</v>
      </c>
      <c r="HE72" s="13">
        <v>6.8605614999999975</v>
      </c>
      <c r="HF72" s="13">
        <v>0.61742583333333334</v>
      </c>
      <c r="HG72" s="13">
        <v>0.68158083333333308</v>
      </c>
      <c r="HH72" s="13">
        <v>0.57682399999999978</v>
      </c>
      <c r="HI72" s="13">
        <v>0.5991935000000006</v>
      </c>
      <c r="HJ72" s="13">
        <v>0.61590783333333265</v>
      </c>
      <c r="HK72" s="13">
        <v>0.63131866666666636</v>
      </c>
      <c r="HL72" s="12">
        <v>0</v>
      </c>
      <c r="HM72" s="12">
        <v>0</v>
      </c>
      <c r="HN72" s="12">
        <v>0</v>
      </c>
      <c r="HO72" s="12">
        <v>0</v>
      </c>
      <c r="HP72" s="12">
        <v>0</v>
      </c>
      <c r="HQ72" s="12">
        <v>0</v>
      </c>
      <c r="HR72" s="12">
        <v>0</v>
      </c>
      <c r="HS72" s="12">
        <v>0</v>
      </c>
      <c r="HT72" s="12">
        <v>0</v>
      </c>
      <c r="HU72" s="12">
        <v>0</v>
      </c>
      <c r="HV72" s="12">
        <v>0</v>
      </c>
      <c r="HW72" s="12">
        <v>0</v>
      </c>
      <c r="HX72" s="9">
        <v>958460</v>
      </c>
      <c r="HY72" s="9">
        <v>1782</v>
      </c>
      <c r="HZ72" s="9">
        <v>945125</v>
      </c>
      <c r="IA72" s="9">
        <v>1811</v>
      </c>
      <c r="IB72" s="11">
        <v>208466.68299999999</v>
      </c>
      <c r="IC72" s="11">
        <v>466.33300000000003</v>
      </c>
      <c r="ID72" s="14">
        <f t="shared" ref="ID72:II72" si="681">GN72-HL72</f>
        <v>7.1051759999999975</v>
      </c>
      <c r="IE72" s="14">
        <f t="shared" si="681"/>
        <v>7.1534921666666698</v>
      </c>
      <c r="IF72" s="14">
        <f t="shared" si="681"/>
        <v>7.1702206666666726</v>
      </c>
      <c r="IG72" s="14">
        <f t="shared" si="681"/>
        <v>7.03215883333334</v>
      </c>
      <c r="IH72" s="14">
        <f t="shared" si="681"/>
        <v>7.0183195000000023</v>
      </c>
      <c r="II72" s="14">
        <f t="shared" si="681"/>
        <v>7.0232431666666653</v>
      </c>
      <c r="IJ72" s="15">
        <f t="shared" ref="IJ72:IO72" si="682">GZ72-HR72</f>
        <v>0</v>
      </c>
      <c r="IK72" s="15">
        <f t="shared" si="682"/>
        <v>6.9726036666666698</v>
      </c>
      <c r="IL72" s="15">
        <f t="shared" si="682"/>
        <v>6.8437718333333306</v>
      </c>
      <c r="IM72" s="15">
        <f t="shared" si="682"/>
        <v>0</v>
      </c>
      <c r="IN72" s="15">
        <f t="shared" si="682"/>
        <v>6.7591191666666717</v>
      </c>
      <c r="IO72" s="15">
        <f t="shared" si="682"/>
        <v>6.8605614999999975</v>
      </c>
      <c r="IP72" s="16">
        <f t="shared" ref="IP72" si="683">(HX72-HX71)*1000</f>
        <v>952000</v>
      </c>
      <c r="IQ72" s="16">
        <f t="shared" ref="IQ72" si="684">(HY72-HY71)*1000</f>
        <v>2000</v>
      </c>
      <c r="IR72" s="16">
        <f t="shared" ref="IR72" si="685">(HZ72-HZ71)*1000</f>
        <v>947000</v>
      </c>
      <c r="IS72" s="16">
        <f t="shared" ref="IS72" si="686">(IA72-IA71)*1000</f>
        <v>1000</v>
      </c>
      <c r="IT72" s="16">
        <f t="shared" ref="IT72" si="687">(IB72-IB71)*1000</f>
        <v>1897199.9999999825</v>
      </c>
      <c r="IU72" s="16">
        <f t="shared" ref="IU72" si="688">(IC72-IC71)*1000</f>
        <v>4133.0000000000382</v>
      </c>
      <c r="IV72" s="17">
        <f t="shared" ref="IV72" si="689">(IP72+IR72)-(IQ72+IS72)</f>
        <v>1896000</v>
      </c>
      <c r="IW72" s="17">
        <f t="shared" ref="IW72" si="690">IT72-IU72</f>
        <v>1893066.9999999825</v>
      </c>
      <c r="IX72" s="19">
        <f>(Raw_Data[[#This Row],[Sunset Time (POA&lt;20 W/m2)]]-Raw_Data[[#This Row],[Sunrise Time (POA&gt;20 W/m2)]])*24</f>
        <v>13.166666666666668</v>
      </c>
      <c r="IY72" s="68">
        <f>AVERAGEIF(Raw_Data[[#This Row],[GHI_UP_Net_IS2_W1]:[GHI_UP_Net_IS19_W6]],"&lt;&gt;"&amp;0,Raw_Data[[#This Row],[GHI_UP_Net_IS2_W1]:[GHI_UP_Net_IS19_W6]])</f>
        <v>7.0837683888888918</v>
      </c>
      <c r="IZ72" s="68">
        <f>AVERAGEIF(Raw_Data[[#This Row],[GHI_Down_IS2_W1]:[GHI_Down_IS19_W6]],"&lt;&gt;"&amp;0,Raw_Data[[#This Row],[GHI_Down_IS2_W1]:[GHI_Down_IS19_W6]])</f>
        <v>1.7920234722222224</v>
      </c>
      <c r="JA72" s="68">
        <f>AVERAGEIF(Raw_Data[[#This Row],[POA_Up_IS2_W1]:[POA_Up_IS19_W6]],"&lt;&gt;"&amp;0,Raw_Data[[#This Row],[POA_Up_IS2_W1]:[POA_Up_IS19_W6]])</f>
        <v>6.8590140416666667</v>
      </c>
      <c r="JB72" s="68">
        <f>AVERAGEIF(Raw_Data[[#This Row],[POA_Down_IS2_W1]:[POA_Down_IS19_W6]],"&lt;&gt;"&amp;0,Raw_Data[[#This Row],[POA_Down_IS2_W1]:[POA_Down_IS19_W6]])</f>
        <v>0.62037511111111099</v>
      </c>
      <c r="JC72" s="69">
        <f>Raw_Data[[#This Row],[GHI-Down(KWh/m2)]]/Raw_Data[[#This Row],[GHI-UP (KWh/m2)]]</f>
        <v>0.25297601133219799</v>
      </c>
      <c r="JD72" s="72">
        <f>Raw_Data[[#This Row],[POA-Down(KWh/m2)]]/Raw_Data[[#This Row],[POA-UP(KWh/m2)]]</f>
        <v>9.0446689180470968E-2</v>
      </c>
      <c r="JE72" s="68">
        <f>AVERAGEIF(Raw_Data[[#This Row],[Amb_Temp_IS2_W1]:[Amb_Temp_IS19_W6]],"&lt;&gt;"&amp;0,Raw_Data[[#This Row],[Amb_Temp_IS2_W1]:[Amb_Temp_IS19_W6]])</f>
        <v>34.773781062553553</v>
      </c>
      <c r="JF72" s="68">
        <f>AVERAGEIF(Raw_Data[[#This Row],[MT_Temp_IS2_W1]:[MT_Temp_IS19_W6]],"&lt;&gt;"&amp;0,Raw_Data[[#This Row],[MT_Temp_IS2_W1]:[MT_Temp_IS19_W6]])</f>
        <v>46.161235038560392</v>
      </c>
      <c r="JG72" s="68">
        <f>AVERAGEIF(Raw_Data[[#This Row],[WS_Avg_IS2_W1]:[WS_Avg_IS19_W6]],"&lt;&gt;"&amp;0,Raw_Data[[#This Row],[WS_Avg_IS2_W1]:[WS_Avg_IS19_W6]])</f>
        <v>5.9517324891366696</v>
      </c>
      <c r="JH72" s="68">
        <f>AVERAGEIF(Raw_Data[[#This Row],[WS_Max_IS2_W1]:[WS_Max_IS19_W6]],"&lt;&gt;"&amp;0,Raw_Data[[#This Row],[WS_Max_IS2_W1]:[WS_Max_IS19_W6]])</f>
        <v>10.814721499999999</v>
      </c>
      <c r="JI72" s="70">
        <f>SUM(Raw_Data[[#This Row],[IS1_INV1_M1]:[IS20_INV4_M2]])</f>
        <v>1907785.600000001</v>
      </c>
      <c r="JJ72" s="73">
        <v>1904689.8500000176</v>
      </c>
      <c r="JK72" s="71">
        <v>2289422.5093985633</v>
      </c>
      <c r="JL72" s="143">
        <f>IFERROR(Raw_Data[[#This Row],[WPR_Eac]]/Raw_Data[[#This Row],[WPR_Edc]],"")</f>
        <v>0.83195209367465517</v>
      </c>
      <c r="JM72" s="6">
        <v>15</v>
      </c>
      <c r="JN72" s="6">
        <v>0</v>
      </c>
    </row>
    <row r="73" spans="2:274">
      <c r="B73" s="250">
        <f t="shared" si="596"/>
        <v>45812</v>
      </c>
      <c r="C73" s="9">
        <f>YEAR(Raw_Data[[#This Row],[Date]])+IF(MONTH(Raw_Data[[#This Row],[Date]])&gt;=4,1,0)</f>
        <v>2026</v>
      </c>
      <c r="D73" s="6">
        <f t="shared" si="659"/>
        <v>2025</v>
      </c>
      <c r="E73" s="7" t="s">
        <v>361</v>
      </c>
      <c r="F73" s="7" t="s">
        <v>361</v>
      </c>
      <c r="G73" s="8">
        <v>45809</v>
      </c>
      <c r="H73" s="6">
        <f t="shared" si="660"/>
        <v>30</v>
      </c>
      <c r="I73" s="9">
        <v>335090.89</v>
      </c>
      <c r="J73" s="10">
        <v>0.26180555555555557</v>
      </c>
      <c r="K73" s="10">
        <v>0.80902777777777779</v>
      </c>
      <c r="L73" s="9">
        <v>11206.5</v>
      </c>
      <c r="M73" s="9">
        <v>11575.7</v>
      </c>
      <c r="N73" s="9">
        <v>11517.9</v>
      </c>
      <c r="O73" s="9">
        <v>11500.8</v>
      </c>
      <c r="P73" s="9">
        <v>11601</v>
      </c>
      <c r="Q73" s="9">
        <v>11629.2</v>
      </c>
      <c r="R73" s="9">
        <v>11637.6</v>
      </c>
      <c r="S73" s="9">
        <v>11875.5</v>
      </c>
      <c r="T73" s="9">
        <v>11557.5</v>
      </c>
      <c r="U73" s="9">
        <v>11552.7</v>
      </c>
      <c r="V73" s="9">
        <v>11478.8</v>
      </c>
      <c r="W73" s="9">
        <v>11541.9</v>
      </c>
      <c r="X73" s="9">
        <v>11587.3</v>
      </c>
      <c r="Y73" s="9">
        <v>11521</v>
      </c>
      <c r="Z73" s="9">
        <v>11619.1</v>
      </c>
      <c r="AA73" s="9">
        <v>11658.6</v>
      </c>
      <c r="AB73" s="9">
        <v>11543.8</v>
      </c>
      <c r="AC73" s="9">
        <v>11563.9</v>
      </c>
      <c r="AD73" s="9">
        <v>11563.8</v>
      </c>
      <c r="AE73" s="9">
        <v>11642.6</v>
      </c>
      <c r="AF73" s="9">
        <v>11587.5</v>
      </c>
      <c r="AG73" s="9">
        <v>11599.1</v>
      </c>
      <c r="AH73" s="9">
        <v>11466.2</v>
      </c>
      <c r="AI73" s="9">
        <v>11523</v>
      </c>
      <c r="AJ73" s="9">
        <v>11409.6</v>
      </c>
      <c r="AK73" s="9">
        <v>10462.9</v>
      </c>
      <c r="AL73" s="9">
        <v>11396.7</v>
      </c>
      <c r="AM73" s="9">
        <v>11368.3</v>
      </c>
      <c r="AN73" s="9">
        <v>11586.3</v>
      </c>
      <c r="AO73" s="9">
        <v>11475.9</v>
      </c>
      <c r="AP73" s="9">
        <v>11485.3</v>
      </c>
      <c r="AQ73" s="9">
        <v>11609</v>
      </c>
      <c r="AR73" s="9">
        <v>12587</v>
      </c>
      <c r="AS73" s="9">
        <v>12628.1</v>
      </c>
      <c r="AT73" s="9">
        <v>12734.7</v>
      </c>
      <c r="AU73" s="9">
        <v>12611</v>
      </c>
      <c r="AV73" s="9">
        <v>11658</v>
      </c>
      <c r="AW73" s="9">
        <v>11537.1</v>
      </c>
      <c r="AX73" s="9">
        <v>11554.8</v>
      </c>
      <c r="AY73" s="9">
        <v>11526.9</v>
      </c>
      <c r="AZ73" s="9">
        <v>12127.5</v>
      </c>
      <c r="BA73" s="9">
        <v>11381.7</v>
      </c>
      <c r="BB73" s="9">
        <v>12043.2</v>
      </c>
      <c r="BC73" s="9">
        <v>11273.9</v>
      </c>
      <c r="BD73" s="9">
        <v>11703.4</v>
      </c>
      <c r="BE73" s="9">
        <v>12537</v>
      </c>
      <c r="BF73" s="9">
        <v>11234.6</v>
      </c>
      <c r="BG73" s="9">
        <v>12140.6</v>
      </c>
      <c r="BH73" s="9">
        <v>11660.4</v>
      </c>
      <c r="BI73" s="9">
        <v>11744.8</v>
      </c>
      <c r="BJ73" s="9">
        <v>11661.1</v>
      </c>
      <c r="BK73" s="9">
        <v>11242.7</v>
      </c>
      <c r="BL73" s="9">
        <v>11894.4</v>
      </c>
      <c r="BM73" s="9">
        <v>11731.1</v>
      </c>
      <c r="BN73" s="9">
        <v>11835.1</v>
      </c>
      <c r="BO73" s="9">
        <v>11778.1</v>
      </c>
      <c r="BP73" s="9">
        <v>10965.9</v>
      </c>
      <c r="BQ73" s="9">
        <v>11973.2</v>
      </c>
      <c r="BR73" s="9">
        <v>11027.5</v>
      </c>
      <c r="BS73" s="9">
        <v>11944.7</v>
      </c>
      <c r="BT73" s="9">
        <v>11847.2</v>
      </c>
      <c r="BU73" s="9">
        <v>10976.4</v>
      </c>
      <c r="BV73" s="9">
        <v>11619.7</v>
      </c>
      <c r="BW73" s="9">
        <v>11243.6</v>
      </c>
      <c r="BX73" s="9">
        <v>11420.9</v>
      </c>
      <c r="BY73" s="9">
        <v>10983.1</v>
      </c>
      <c r="BZ73" s="9">
        <v>11366.5</v>
      </c>
      <c r="CA73" s="9">
        <v>11715.5</v>
      </c>
      <c r="CB73" s="9">
        <v>11875.2</v>
      </c>
      <c r="CC73" s="9">
        <v>11127.9</v>
      </c>
      <c r="CD73" s="9">
        <v>11773.3</v>
      </c>
      <c r="CE73" s="9">
        <v>10862.8</v>
      </c>
      <c r="CF73" s="9">
        <v>11577.2</v>
      </c>
      <c r="CG73" s="9">
        <v>11445.9</v>
      </c>
      <c r="CH73" s="9">
        <v>11022.9</v>
      </c>
      <c r="CI73" s="9">
        <v>11751.8</v>
      </c>
      <c r="CJ73" s="9">
        <v>10890.8</v>
      </c>
      <c r="CK73" s="9">
        <v>11937.3</v>
      </c>
      <c r="CL73" s="9">
        <v>11068.6</v>
      </c>
      <c r="CM73" s="9">
        <v>11807.7</v>
      </c>
      <c r="CN73" s="9">
        <v>11175.3</v>
      </c>
      <c r="CO73" s="9">
        <v>11720.5</v>
      </c>
      <c r="CP73" s="9">
        <v>11230.5</v>
      </c>
      <c r="CQ73" s="9">
        <v>11975.2</v>
      </c>
      <c r="CR73" s="9">
        <v>11163.8</v>
      </c>
      <c r="CS73" s="9">
        <v>11631.5</v>
      </c>
      <c r="CT73" s="9">
        <v>11122.5</v>
      </c>
      <c r="CU73" s="9">
        <v>10228.700000000001</v>
      </c>
      <c r="CV73" s="9">
        <v>11747</v>
      </c>
      <c r="CW73" s="9">
        <v>11501</v>
      </c>
      <c r="CX73" s="9">
        <v>10972.8</v>
      </c>
      <c r="CY73" s="9">
        <v>12027.2</v>
      </c>
      <c r="CZ73" s="9">
        <v>11783.9</v>
      </c>
      <c r="DA73" s="9">
        <v>11244.1</v>
      </c>
      <c r="DB73" s="9">
        <v>11135.9</v>
      </c>
      <c r="DC73" s="9">
        <v>11817.8</v>
      </c>
      <c r="DD73" s="9">
        <v>11069.5</v>
      </c>
      <c r="DE73" s="9">
        <v>11364.9</v>
      </c>
      <c r="DF73" s="9">
        <v>11975.7</v>
      </c>
      <c r="DG73" s="9">
        <v>11025.1</v>
      </c>
      <c r="DH73" s="9">
        <v>12002.2</v>
      </c>
      <c r="DI73" s="9">
        <v>11043.3</v>
      </c>
      <c r="DJ73" s="9">
        <v>11825.1</v>
      </c>
      <c r="DK73" s="9">
        <v>11232.4</v>
      </c>
      <c r="DL73" s="9">
        <v>11828.4</v>
      </c>
      <c r="DM73" s="9">
        <v>10812.6</v>
      </c>
      <c r="DN73" s="9">
        <v>11895.8</v>
      </c>
      <c r="DO73" s="9">
        <v>11148.1</v>
      </c>
      <c r="DP73" s="9">
        <v>11796.1</v>
      </c>
      <c r="DQ73" s="9">
        <v>11126.8</v>
      </c>
      <c r="DR73" s="9">
        <v>11835.4</v>
      </c>
      <c r="DS73" s="9">
        <v>11302</v>
      </c>
      <c r="DT73" s="9">
        <v>11041</v>
      </c>
      <c r="DU73" s="9">
        <v>11751</v>
      </c>
      <c r="DV73" s="9">
        <v>11131.4</v>
      </c>
      <c r="DW73" s="9">
        <v>11008.7</v>
      </c>
      <c r="DX73" s="9">
        <v>11801.4</v>
      </c>
      <c r="DY73" s="9">
        <v>11871.7</v>
      </c>
      <c r="DZ73" s="9">
        <v>11746.3</v>
      </c>
      <c r="EA73" s="9">
        <v>11150.9</v>
      </c>
      <c r="EB73" s="9">
        <v>11834.7</v>
      </c>
      <c r="EC73" s="9">
        <v>11058.9</v>
      </c>
      <c r="ED73" s="9">
        <v>11651.6</v>
      </c>
      <c r="EE73" s="9">
        <v>11148.6</v>
      </c>
      <c r="EF73" s="9">
        <v>11562.9</v>
      </c>
      <c r="EG73" s="9">
        <v>10603.5</v>
      </c>
      <c r="EH73" s="9">
        <v>11686.9</v>
      </c>
      <c r="EI73" s="9">
        <v>11099.4</v>
      </c>
      <c r="EJ73" s="9">
        <v>11179.3</v>
      </c>
      <c r="EK73" s="9">
        <v>11162.5</v>
      </c>
      <c r="EL73" s="9">
        <v>11045.9</v>
      </c>
      <c r="EM73" s="9">
        <v>9951.7999999999993</v>
      </c>
      <c r="EN73" s="9">
        <v>10902.6</v>
      </c>
      <c r="EO73" s="9">
        <v>10057.6</v>
      </c>
      <c r="EP73" s="9">
        <v>11052.7</v>
      </c>
      <c r="EQ73" s="9">
        <v>11096.7</v>
      </c>
      <c r="ER73" s="9">
        <v>12185</v>
      </c>
      <c r="ES73" s="9">
        <v>11206.5</v>
      </c>
      <c r="ET73" s="9">
        <v>12229</v>
      </c>
      <c r="EU73" s="9">
        <v>11371.9</v>
      </c>
      <c r="EV73" s="9">
        <v>12153.1</v>
      </c>
      <c r="EW73" s="9">
        <v>11249.7</v>
      </c>
      <c r="EX73" s="9">
        <v>11383.1</v>
      </c>
      <c r="EY73" s="9">
        <v>11232.5</v>
      </c>
      <c r="EZ73" s="9">
        <v>11959.8</v>
      </c>
      <c r="FA73" s="9">
        <v>12212.4</v>
      </c>
      <c r="FB73" s="9">
        <v>12188</v>
      </c>
      <c r="FC73" s="9">
        <v>12123</v>
      </c>
      <c r="FD73" s="9">
        <v>12120.8</v>
      </c>
      <c r="FE73" s="9">
        <v>12145.9</v>
      </c>
      <c r="FF73" s="9">
        <v>11453.9</v>
      </c>
      <c r="FG73" s="9">
        <v>12163.2</v>
      </c>
      <c r="FH73" s="9">
        <v>12224</v>
      </c>
      <c r="FI73" s="9">
        <v>12206.8</v>
      </c>
      <c r="FJ73" s="9">
        <v>12208.4</v>
      </c>
      <c r="FK73" s="9">
        <v>12196.8</v>
      </c>
      <c r="FL73" s="9">
        <v>12215.3</v>
      </c>
      <c r="FM73" s="9">
        <v>11439.7</v>
      </c>
      <c r="FN73" s="9">
        <v>12286.4</v>
      </c>
      <c r="FO73" s="9">
        <v>11488.7</v>
      </c>
      <c r="FP73" s="11">
        <v>34.971615384615383</v>
      </c>
      <c r="FQ73" s="11">
        <v>34.710269230769207</v>
      </c>
      <c r="FR73" s="11">
        <v>35.214782051282043</v>
      </c>
      <c r="FS73" s="11">
        <v>34.873782051282085</v>
      </c>
      <c r="FT73" s="11">
        <v>34.685756410256445</v>
      </c>
      <c r="FU73" s="11">
        <v>34.943871794871747</v>
      </c>
      <c r="FV73" s="11">
        <v>0</v>
      </c>
      <c r="FW73" s="11">
        <v>47.8</v>
      </c>
      <c r="FX73" s="11">
        <v>0</v>
      </c>
      <c r="FY73" s="11">
        <v>0</v>
      </c>
      <c r="FZ73" s="11">
        <v>48.018761448718045</v>
      </c>
      <c r="GA73" s="11">
        <v>48.4</v>
      </c>
      <c r="GB73" s="11">
        <v>0.58071365915384632</v>
      </c>
      <c r="GC73" s="11">
        <v>5.9986322243589747</v>
      </c>
      <c r="GD73" s="11">
        <v>4.8554591974358967</v>
      </c>
      <c r="GE73" s="11">
        <v>5.4964570164999982</v>
      </c>
      <c r="GF73" s="11">
        <v>5.6942775320512782</v>
      </c>
      <c r="GG73" s="11">
        <v>5.7783523217948796</v>
      </c>
      <c r="GH73" s="11">
        <v>7.193333</v>
      </c>
      <c r="GI73" s="11">
        <v>9.4049999999999994</v>
      </c>
      <c r="GJ73" s="11">
        <v>9.1266660000000002</v>
      </c>
      <c r="GK73" s="11">
        <v>9.6966660000000005</v>
      </c>
      <c r="GL73" s="11">
        <v>8.7883329999999997</v>
      </c>
      <c r="GM73" s="11">
        <v>9.7583339999999996</v>
      </c>
      <c r="GN73" s="11">
        <v>7.4079533333333343</v>
      </c>
      <c r="GO73" s="11">
        <v>7.4853336666666745</v>
      </c>
      <c r="GP73" s="11">
        <v>7.4561026666666708</v>
      </c>
      <c r="GQ73" s="11">
        <v>7.3240895000000075</v>
      </c>
      <c r="GR73" s="11">
        <v>7.2926941666666671</v>
      </c>
      <c r="GS73" s="11">
        <v>7.2869243333333316</v>
      </c>
      <c r="GT73" s="108">
        <v>1.8807533333333331</v>
      </c>
      <c r="GU73" s="108">
        <v>1.805193</v>
      </c>
      <c r="GV73" s="108">
        <v>1.7041810000000008</v>
      </c>
      <c r="GW73" s="108">
        <v>2.0683479999999985</v>
      </c>
      <c r="GX73" s="108">
        <v>2.0624028333333326</v>
      </c>
      <c r="GY73" s="108">
        <v>1.6978854999999988</v>
      </c>
      <c r="GZ73" s="13">
        <v>0</v>
      </c>
      <c r="HA73" s="13">
        <v>7.2575746666666623</v>
      </c>
      <c r="HB73" s="13">
        <v>7.0841078333333343</v>
      </c>
      <c r="HC73" s="13">
        <v>0</v>
      </c>
      <c r="HD73" s="13">
        <v>6.9843294999999976</v>
      </c>
      <c r="HE73" s="13">
        <v>7.1326669999999996</v>
      </c>
      <c r="HF73" s="13">
        <v>0.63973550000000035</v>
      </c>
      <c r="HG73" s="13">
        <v>0.70251949999999974</v>
      </c>
      <c r="HH73" s="13">
        <v>0.59670649999999958</v>
      </c>
      <c r="HI73" s="13">
        <v>0.61737183333333367</v>
      </c>
      <c r="HJ73" s="13">
        <v>0.63178433333333328</v>
      </c>
      <c r="HK73" s="13">
        <v>0.64617900000000084</v>
      </c>
      <c r="HL73" s="12">
        <v>0</v>
      </c>
      <c r="HM73" s="12">
        <v>0</v>
      </c>
      <c r="HN73" s="12">
        <v>0</v>
      </c>
      <c r="HO73" s="12">
        <v>0</v>
      </c>
      <c r="HP73" s="12">
        <v>0</v>
      </c>
      <c r="HQ73" s="12">
        <v>0</v>
      </c>
      <c r="HR73" s="12">
        <v>0</v>
      </c>
      <c r="HS73" s="12">
        <v>0</v>
      </c>
      <c r="HT73" s="12">
        <v>0</v>
      </c>
      <c r="HU73" s="12">
        <v>0</v>
      </c>
      <c r="HV73" s="12">
        <v>0</v>
      </c>
      <c r="HW73" s="12">
        <v>0</v>
      </c>
      <c r="HX73" s="9">
        <v>959382</v>
      </c>
      <c r="HY73" s="9">
        <v>1783</v>
      </c>
      <c r="HZ73" s="9">
        <v>946044</v>
      </c>
      <c r="IA73" s="9">
        <v>1812</v>
      </c>
      <c r="IB73" s="11">
        <v>210305.15</v>
      </c>
      <c r="IC73" s="11">
        <v>470.6</v>
      </c>
      <c r="ID73" s="14">
        <f t="shared" ref="ID73:II73" si="691">GN73-HL73</f>
        <v>7.4079533333333343</v>
      </c>
      <c r="IE73" s="14">
        <f t="shared" si="691"/>
        <v>7.4853336666666745</v>
      </c>
      <c r="IF73" s="14">
        <f t="shared" si="691"/>
        <v>7.4561026666666708</v>
      </c>
      <c r="IG73" s="14">
        <f t="shared" si="691"/>
        <v>7.3240895000000075</v>
      </c>
      <c r="IH73" s="14">
        <f t="shared" si="691"/>
        <v>7.2926941666666671</v>
      </c>
      <c r="II73" s="14">
        <f t="shared" si="691"/>
        <v>7.2869243333333316</v>
      </c>
      <c r="IJ73" s="15">
        <f t="shared" ref="IJ73:IO73" si="692">GZ73-HR73</f>
        <v>0</v>
      </c>
      <c r="IK73" s="15">
        <f t="shared" si="692"/>
        <v>7.2575746666666623</v>
      </c>
      <c r="IL73" s="15">
        <f t="shared" si="692"/>
        <v>7.0841078333333343</v>
      </c>
      <c r="IM73" s="15">
        <f t="shared" si="692"/>
        <v>0</v>
      </c>
      <c r="IN73" s="15">
        <f t="shared" si="692"/>
        <v>6.9843294999999976</v>
      </c>
      <c r="IO73" s="15">
        <f t="shared" si="692"/>
        <v>7.1326669999999996</v>
      </c>
      <c r="IP73" s="16">
        <f t="shared" ref="IP73" si="693">(HX73-HX72)*1000</f>
        <v>922000</v>
      </c>
      <c r="IQ73" s="16">
        <f t="shared" ref="IQ73" si="694">(HY73-HY72)*1000</f>
        <v>1000</v>
      </c>
      <c r="IR73" s="16">
        <f t="shared" ref="IR73" si="695">(HZ73-HZ72)*1000</f>
        <v>919000</v>
      </c>
      <c r="IS73" s="16">
        <f t="shared" ref="IS73" si="696">(IA73-IA72)*1000</f>
        <v>1000</v>
      </c>
      <c r="IT73" s="16">
        <f t="shared" ref="IT73" si="697">(IB73-IB72)*1000</f>
        <v>1838467.0000000042</v>
      </c>
      <c r="IU73" s="16">
        <f t="shared" ref="IU73" si="698">(IC73-IC72)*1000</f>
        <v>4266.9999999999964</v>
      </c>
      <c r="IV73" s="17">
        <f t="shared" ref="IV73" si="699">(IP73+IR73)-(IQ73+IS73)</f>
        <v>1839000</v>
      </c>
      <c r="IW73" s="17">
        <f t="shared" ref="IW73" si="700">IT73-IU73</f>
        <v>1834200.0000000042</v>
      </c>
      <c r="IX73" s="19">
        <f>(Raw_Data[[#This Row],[Sunset Time (POA&lt;20 W/m2)]]-Raw_Data[[#This Row],[Sunrise Time (POA&gt;20 W/m2)]])*24</f>
        <v>13.133333333333335</v>
      </c>
      <c r="IY73" s="68">
        <f>AVERAGEIF(Raw_Data[[#This Row],[GHI_UP_Net_IS2_W1]:[GHI_UP_Net_IS19_W6]],"&lt;&gt;"&amp;0,Raw_Data[[#This Row],[GHI_UP_Net_IS2_W1]:[GHI_UP_Net_IS19_W6]])</f>
        <v>7.3755162777777805</v>
      </c>
      <c r="IZ73" s="68">
        <f>AVERAGEIF(Raw_Data[[#This Row],[GHI_Down_IS2_W1]:[GHI_Down_IS19_W6]],"&lt;&gt;"&amp;0,Raw_Data[[#This Row],[GHI_Down_IS2_W1]:[GHI_Down_IS19_W6]])</f>
        <v>1.869793944444444</v>
      </c>
      <c r="JA73" s="68">
        <f>AVERAGEIF(Raw_Data[[#This Row],[POA_Up_IS2_W1]:[POA_Up_IS19_W6]],"&lt;&gt;"&amp;0,Raw_Data[[#This Row],[POA_Up_IS2_W1]:[POA_Up_IS19_W6]])</f>
        <v>7.1146697499999991</v>
      </c>
      <c r="JB73" s="68">
        <f>AVERAGEIF(Raw_Data[[#This Row],[POA_Down_IS2_W1]:[POA_Down_IS19_W6]],"&lt;&gt;"&amp;0,Raw_Data[[#This Row],[POA_Down_IS2_W1]:[POA_Down_IS19_W6]])</f>
        <v>0.63904944444444467</v>
      </c>
      <c r="JC73" s="69">
        <f>Raw_Data[[#This Row],[GHI-Down(KWh/m2)]]/Raw_Data[[#This Row],[GHI-UP (KWh/m2)]]</f>
        <v>0.25351363538822086</v>
      </c>
      <c r="JD73" s="72">
        <f>Raw_Data[[#This Row],[POA-Down(KWh/m2)]]/Raw_Data[[#This Row],[POA-UP(KWh/m2)]]</f>
        <v>8.9821378489766832E-2</v>
      </c>
      <c r="JE73" s="68">
        <f>AVERAGEIF(Raw_Data[[#This Row],[Amb_Temp_IS2_W1]:[Amb_Temp_IS19_W6]],"&lt;&gt;"&amp;0,Raw_Data[[#This Row],[Amb_Temp_IS2_W1]:[Amb_Temp_IS19_W6]])</f>
        <v>34.900012820512821</v>
      </c>
      <c r="JF73" s="68">
        <f>AVERAGEIF(Raw_Data[[#This Row],[MT_Temp_IS2_W1]:[MT_Temp_IS19_W6]],"&lt;&gt;"&amp;0,Raw_Data[[#This Row],[MT_Temp_IS2_W1]:[MT_Temp_IS19_W6]])</f>
        <v>48.072920482906021</v>
      </c>
      <c r="JG73" s="68">
        <f>AVERAGEIF(Raw_Data[[#This Row],[WS_Avg_IS2_W1]:[WS_Avg_IS19_W6]],"&lt;&gt;"&amp;0,Raw_Data[[#This Row],[WS_Avg_IS2_W1]:[WS_Avg_IS19_W6]])</f>
        <v>4.7339819918824793</v>
      </c>
      <c r="JH73" s="68">
        <f>AVERAGEIF(Raw_Data[[#This Row],[WS_Max_IS2_W1]:[WS_Max_IS19_W6]],"&lt;&gt;"&amp;0,Raw_Data[[#This Row],[WS_Max_IS2_W1]:[WS_Max_IS19_W6]])</f>
        <v>8.9947220000000012</v>
      </c>
      <c r="JI73" s="70">
        <f>SUM(Raw_Data[[#This Row],[IS1_INV1_M1]:[IS20_INV4_M2]])</f>
        <v>1847400.7999999991</v>
      </c>
      <c r="JJ73" s="73">
        <v>1899898.4999999874</v>
      </c>
      <c r="JK73" s="71">
        <v>2323739.14172226</v>
      </c>
      <c r="JL73" s="143">
        <f>IFERROR(Raw_Data[[#This Row],[WPR_Eac]]/Raw_Data[[#This Row],[WPR_Edc]],"")</f>
        <v>0.81760403561987627</v>
      </c>
      <c r="JM73" s="6">
        <v>20</v>
      </c>
      <c r="JN73" s="6">
        <v>0</v>
      </c>
    </row>
    <row r="74" spans="2:274">
      <c r="B74" s="250">
        <f t="shared" si="596"/>
        <v>45813</v>
      </c>
      <c r="C74" s="9">
        <f>YEAR(Raw_Data[[#This Row],[Date]])+IF(MONTH(Raw_Data[[#This Row],[Date]])&gt;=4,1,0)</f>
        <v>2026</v>
      </c>
      <c r="D74" s="6">
        <f t="shared" si="659"/>
        <v>2025</v>
      </c>
      <c r="E74" s="7" t="s">
        <v>361</v>
      </c>
      <c r="F74" s="7" t="s">
        <v>361</v>
      </c>
      <c r="G74" s="8">
        <v>45809</v>
      </c>
      <c r="H74" s="6">
        <f t="shared" si="660"/>
        <v>30</v>
      </c>
      <c r="I74" s="9">
        <v>335090.89</v>
      </c>
      <c r="J74" s="10">
        <v>0.26111111111111113</v>
      </c>
      <c r="K74" s="10">
        <v>0.81041666666666667</v>
      </c>
      <c r="L74" s="9">
        <v>12109.4</v>
      </c>
      <c r="M74" s="9">
        <v>12752.3</v>
      </c>
      <c r="N74" s="9">
        <v>12706.4</v>
      </c>
      <c r="O74" s="9">
        <v>12633.6</v>
      </c>
      <c r="P74" s="9">
        <v>12818.3</v>
      </c>
      <c r="Q74" s="9">
        <v>12881.3</v>
      </c>
      <c r="R74" s="9">
        <v>12925</v>
      </c>
      <c r="S74" s="9">
        <v>13280.7</v>
      </c>
      <c r="T74" s="9">
        <v>12772</v>
      </c>
      <c r="U74" s="9">
        <v>12791.4</v>
      </c>
      <c r="V74" s="9">
        <v>12641.1</v>
      </c>
      <c r="W74" s="9">
        <v>12788</v>
      </c>
      <c r="X74" s="9">
        <v>12736.4</v>
      </c>
      <c r="Y74" s="9">
        <v>12709.2</v>
      </c>
      <c r="Z74" s="9">
        <v>12766</v>
      </c>
      <c r="AA74" s="9">
        <v>12833.5</v>
      </c>
      <c r="AB74" s="9">
        <v>12707.1</v>
      </c>
      <c r="AC74" s="9">
        <v>12736</v>
      </c>
      <c r="AD74" s="9">
        <v>12746.7</v>
      </c>
      <c r="AE74" s="9">
        <v>12817.9</v>
      </c>
      <c r="AF74" s="9">
        <v>12783</v>
      </c>
      <c r="AG74" s="9">
        <v>12769.8</v>
      </c>
      <c r="AH74" s="9">
        <v>12504.5</v>
      </c>
      <c r="AI74" s="9">
        <v>12622.9</v>
      </c>
      <c r="AJ74" s="9">
        <v>12462.3</v>
      </c>
      <c r="AK74" s="9">
        <v>10877.8</v>
      </c>
      <c r="AL74" s="9">
        <v>12413.3</v>
      </c>
      <c r="AM74" s="9">
        <v>12414.7</v>
      </c>
      <c r="AN74" s="9">
        <v>12759.1</v>
      </c>
      <c r="AO74" s="9">
        <v>12580.1</v>
      </c>
      <c r="AP74" s="9">
        <v>12561.3</v>
      </c>
      <c r="AQ74" s="9">
        <v>12808.1</v>
      </c>
      <c r="AR74" s="9">
        <v>12770.3</v>
      </c>
      <c r="AS74" s="9">
        <v>12794.1</v>
      </c>
      <c r="AT74" s="9">
        <v>12894.7</v>
      </c>
      <c r="AU74" s="9">
        <v>12793.2</v>
      </c>
      <c r="AV74" s="9">
        <v>12903.4</v>
      </c>
      <c r="AW74" s="9">
        <v>12689.2</v>
      </c>
      <c r="AX74" s="9">
        <v>12739.4</v>
      </c>
      <c r="AY74" s="9">
        <v>12687.7</v>
      </c>
      <c r="AZ74" s="9">
        <v>13612.7</v>
      </c>
      <c r="BA74" s="9">
        <v>12346.8</v>
      </c>
      <c r="BB74" s="9">
        <v>13493.5</v>
      </c>
      <c r="BC74" s="9">
        <v>12159.2</v>
      </c>
      <c r="BD74" s="9">
        <v>12903.4</v>
      </c>
      <c r="BE74" s="9">
        <v>14161.2</v>
      </c>
      <c r="BF74" s="9">
        <v>12184.9</v>
      </c>
      <c r="BG74" s="9">
        <v>13652.4</v>
      </c>
      <c r="BH74" s="9">
        <v>12838.7</v>
      </c>
      <c r="BI74" s="9">
        <v>12959.5</v>
      </c>
      <c r="BJ74" s="9">
        <v>12819.9</v>
      </c>
      <c r="BK74" s="9">
        <v>12086.5</v>
      </c>
      <c r="BL74" s="9">
        <v>13216.7</v>
      </c>
      <c r="BM74" s="9">
        <v>13003.8</v>
      </c>
      <c r="BN74" s="9">
        <v>13103.5</v>
      </c>
      <c r="BO74" s="9">
        <v>13021.6</v>
      </c>
      <c r="BP74" s="9">
        <v>11606.4</v>
      </c>
      <c r="BQ74" s="9">
        <v>13331.9</v>
      </c>
      <c r="BR74" s="9">
        <v>11663.4</v>
      </c>
      <c r="BS74" s="9">
        <v>13283</v>
      </c>
      <c r="BT74" s="9">
        <v>13138.1</v>
      </c>
      <c r="BU74" s="9">
        <v>11636.8</v>
      </c>
      <c r="BV74" s="9">
        <v>12836.8</v>
      </c>
      <c r="BW74" s="9">
        <v>12159.1</v>
      </c>
      <c r="BX74" s="9">
        <v>12438.3</v>
      </c>
      <c r="BY74" s="9">
        <v>11654.6</v>
      </c>
      <c r="BZ74" s="9">
        <v>12311.4</v>
      </c>
      <c r="CA74" s="9">
        <v>12912.7</v>
      </c>
      <c r="CB74" s="9">
        <v>13212.1</v>
      </c>
      <c r="CC74" s="9">
        <v>11898.1</v>
      </c>
      <c r="CD74" s="9">
        <v>13047.9</v>
      </c>
      <c r="CE74" s="9">
        <v>11421.7</v>
      </c>
      <c r="CF74" s="9">
        <v>12698.1</v>
      </c>
      <c r="CG74" s="9">
        <v>12442.9</v>
      </c>
      <c r="CH74" s="9">
        <v>11717</v>
      </c>
      <c r="CI74" s="9">
        <v>13021.4</v>
      </c>
      <c r="CJ74" s="9">
        <v>11492.8</v>
      </c>
      <c r="CK74" s="9">
        <v>13290.1</v>
      </c>
      <c r="CL74" s="9">
        <v>11767.7</v>
      </c>
      <c r="CM74" s="9">
        <v>13076.4</v>
      </c>
      <c r="CN74" s="9">
        <v>11955.8</v>
      </c>
      <c r="CO74" s="9">
        <v>12908.4</v>
      </c>
      <c r="CP74" s="9">
        <v>12053.3</v>
      </c>
      <c r="CQ74" s="9">
        <v>13318.1</v>
      </c>
      <c r="CR74" s="9">
        <v>11938.9</v>
      </c>
      <c r="CS74" s="9">
        <v>12742</v>
      </c>
      <c r="CT74" s="9">
        <v>11953.7</v>
      </c>
      <c r="CU74" s="9">
        <v>10508.2</v>
      </c>
      <c r="CV74" s="9">
        <v>12976</v>
      </c>
      <c r="CW74" s="9">
        <v>12557.3</v>
      </c>
      <c r="CX74" s="9">
        <v>11581.6</v>
      </c>
      <c r="CY74" s="9">
        <v>13388.5</v>
      </c>
      <c r="CZ74" s="9">
        <v>13005.3</v>
      </c>
      <c r="DA74" s="9">
        <v>12007.1</v>
      </c>
      <c r="DB74" s="9">
        <v>11870.3</v>
      </c>
      <c r="DC74" s="9">
        <v>13093.1</v>
      </c>
      <c r="DD74" s="9">
        <v>11764.4</v>
      </c>
      <c r="DE74" s="9">
        <v>12252.2</v>
      </c>
      <c r="DF74" s="9">
        <v>13346.4</v>
      </c>
      <c r="DG74" s="9">
        <v>11722.6</v>
      </c>
      <c r="DH74" s="9">
        <v>13361.7</v>
      </c>
      <c r="DI74" s="9">
        <v>11714.1</v>
      </c>
      <c r="DJ74" s="9">
        <v>13025</v>
      </c>
      <c r="DK74" s="9">
        <v>11983.8</v>
      </c>
      <c r="DL74" s="9">
        <v>13116.3</v>
      </c>
      <c r="DM74" s="9">
        <v>11345.8</v>
      </c>
      <c r="DN74" s="9">
        <v>13183.6</v>
      </c>
      <c r="DO74" s="9">
        <v>11903.3</v>
      </c>
      <c r="DP74" s="9">
        <v>12976</v>
      </c>
      <c r="DQ74" s="9">
        <v>11810.7</v>
      </c>
      <c r="DR74" s="9">
        <v>13082.1</v>
      </c>
      <c r="DS74" s="9">
        <v>12098.1</v>
      </c>
      <c r="DT74" s="9">
        <v>11727.5</v>
      </c>
      <c r="DU74" s="9">
        <v>12978</v>
      </c>
      <c r="DV74" s="9">
        <v>11915.4</v>
      </c>
      <c r="DW74" s="9">
        <v>11654.6</v>
      </c>
      <c r="DX74" s="9">
        <v>13106.9</v>
      </c>
      <c r="DY74" s="9">
        <v>13200.3</v>
      </c>
      <c r="DZ74" s="9">
        <v>12984.2</v>
      </c>
      <c r="EA74" s="9">
        <v>11900.8</v>
      </c>
      <c r="EB74" s="9">
        <v>13124</v>
      </c>
      <c r="EC74" s="9">
        <v>11743.7</v>
      </c>
      <c r="ED74" s="9">
        <v>12360.1</v>
      </c>
      <c r="EE74" s="9">
        <v>11475.4</v>
      </c>
      <c r="EF74" s="9">
        <v>12204.9</v>
      </c>
      <c r="EG74" s="9">
        <v>10623.1</v>
      </c>
      <c r="EH74" s="9">
        <v>12819.4</v>
      </c>
      <c r="EI74" s="9">
        <v>11752.8</v>
      </c>
      <c r="EJ74" s="9">
        <v>11918.2</v>
      </c>
      <c r="EK74" s="9">
        <v>11960.2</v>
      </c>
      <c r="EL74" s="9">
        <v>11685.4</v>
      </c>
      <c r="EM74" s="9">
        <v>10138.799999999999</v>
      </c>
      <c r="EN74" s="9">
        <v>11680.7</v>
      </c>
      <c r="EO74" s="9">
        <v>10351.4</v>
      </c>
      <c r="EP74" s="9">
        <v>11752</v>
      </c>
      <c r="EQ74" s="9">
        <v>11811.4</v>
      </c>
      <c r="ER74" s="9">
        <v>13654</v>
      </c>
      <c r="ES74" s="9">
        <v>12058</v>
      </c>
      <c r="ET74" s="9">
        <v>13724.1</v>
      </c>
      <c r="EU74" s="9">
        <v>12314.3</v>
      </c>
      <c r="EV74" s="9">
        <v>13622.9</v>
      </c>
      <c r="EW74" s="9">
        <v>12128</v>
      </c>
      <c r="EX74" s="9">
        <v>12378.9</v>
      </c>
      <c r="EY74" s="9">
        <v>12075.4</v>
      </c>
      <c r="EZ74" s="9">
        <v>13285.8</v>
      </c>
      <c r="FA74" s="9">
        <v>13734.8</v>
      </c>
      <c r="FB74" s="9">
        <v>13621.2</v>
      </c>
      <c r="FC74" s="9">
        <v>13559.8</v>
      </c>
      <c r="FD74" s="9">
        <v>13548.2</v>
      </c>
      <c r="FE74" s="9">
        <v>13596.4</v>
      </c>
      <c r="FF74" s="9">
        <v>12449.8</v>
      </c>
      <c r="FG74" s="9">
        <v>13627.2</v>
      </c>
      <c r="FH74" s="9">
        <v>13691</v>
      </c>
      <c r="FI74" s="9">
        <v>13691.6</v>
      </c>
      <c r="FJ74" s="9">
        <v>13704.8</v>
      </c>
      <c r="FK74" s="9">
        <v>13677</v>
      </c>
      <c r="FL74" s="9">
        <v>13694</v>
      </c>
      <c r="FM74" s="9">
        <v>12405.5</v>
      </c>
      <c r="FN74" s="9">
        <v>13757.5</v>
      </c>
      <c r="FO74" s="9">
        <v>12488.9</v>
      </c>
      <c r="FP74" s="11">
        <v>35.486153846153854</v>
      </c>
      <c r="FQ74" s="11">
        <v>35.25293589743589</v>
      </c>
      <c r="FR74" s="11">
        <v>35.624256410256422</v>
      </c>
      <c r="FS74" s="11">
        <v>35.385576923076933</v>
      </c>
      <c r="FT74" s="11">
        <v>35.086641025641065</v>
      </c>
      <c r="FU74" s="11">
        <v>35.525166666666649</v>
      </c>
      <c r="FV74" s="11">
        <v>0</v>
      </c>
      <c r="FW74" s="11">
        <v>48.3</v>
      </c>
      <c r="FX74" s="11">
        <v>0</v>
      </c>
      <c r="FY74" s="11">
        <v>0</v>
      </c>
      <c r="FZ74" s="11">
        <v>48.135663064102602</v>
      </c>
      <c r="GA74" s="11">
        <v>48.6</v>
      </c>
      <c r="GB74" s="11">
        <v>1.3455533577179475</v>
      </c>
      <c r="GC74" s="11">
        <v>5.4640104576923125</v>
      </c>
      <c r="GD74" s="11">
        <v>5.0239762910256429</v>
      </c>
      <c r="GE74" s="11">
        <v>5.1279549191923106</v>
      </c>
      <c r="GF74" s="11">
        <v>5.2141279961538443</v>
      </c>
      <c r="GG74" s="11">
        <v>5.374134382051289</v>
      </c>
      <c r="GH74" s="11">
        <v>7.6116659999999996</v>
      </c>
      <c r="GI74" s="11">
        <v>9.636666</v>
      </c>
      <c r="GJ74" s="11">
        <v>10.14</v>
      </c>
      <c r="GK74" s="11">
        <v>10.07</v>
      </c>
      <c r="GL74" s="11">
        <v>8.6849989999999995</v>
      </c>
      <c r="GM74" s="11">
        <v>9.733333</v>
      </c>
      <c r="GN74" s="11">
        <v>7.5281551666666653</v>
      </c>
      <c r="GO74" s="11">
        <v>7.6097900000000083</v>
      </c>
      <c r="GP74" s="11">
        <v>7.6565105000000031</v>
      </c>
      <c r="GQ74" s="11">
        <v>7.4221121666666674</v>
      </c>
      <c r="GR74" s="11">
        <v>7.3723831666666646</v>
      </c>
      <c r="GS74" s="11">
        <v>7.6152873333333355</v>
      </c>
      <c r="GT74" s="108">
        <v>1.8854638333333362</v>
      </c>
      <c r="GU74" s="108">
        <v>1.8339478333333332</v>
      </c>
      <c r="GV74" s="108">
        <v>1.7144755000000009</v>
      </c>
      <c r="GW74" s="108">
        <v>2.0806221666666684</v>
      </c>
      <c r="GX74" s="108">
        <v>2.0803796666666661</v>
      </c>
      <c r="GY74" s="108">
        <v>1.7347843333333317</v>
      </c>
      <c r="GZ74" s="13">
        <v>0</v>
      </c>
      <c r="HA74" s="13">
        <v>7.3770071666666608</v>
      </c>
      <c r="HB74" s="13">
        <v>7.2667426666666666</v>
      </c>
      <c r="HC74" s="13">
        <v>0</v>
      </c>
      <c r="HD74" s="13">
        <v>7.0664363333333373</v>
      </c>
      <c r="HE74" s="13">
        <v>7.320204833333336</v>
      </c>
      <c r="HF74" s="13">
        <v>0.6253759999999996</v>
      </c>
      <c r="HG74" s="13">
        <v>0.69293650000000029</v>
      </c>
      <c r="HH74" s="13">
        <v>0.58349349999999978</v>
      </c>
      <c r="HI74" s="13">
        <v>0.60294683333333332</v>
      </c>
      <c r="HJ74" s="13">
        <v>0.62381933333333384</v>
      </c>
      <c r="HK74" s="13">
        <v>0.64351833333333364</v>
      </c>
      <c r="HL74" s="12">
        <v>0</v>
      </c>
      <c r="HM74" s="12">
        <v>0</v>
      </c>
      <c r="HN74" s="12">
        <v>0</v>
      </c>
      <c r="HO74" s="12">
        <v>0</v>
      </c>
      <c r="HP74" s="12">
        <v>0</v>
      </c>
      <c r="HQ74" s="12">
        <v>0</v>
      </c>
      <c r="HR74" s="12">
        <v>0</v>
      </c>
      <c r="HS74" s="12">
        <v>0</v>
      </c>
      <c r="HT74" s="12">
        <v>0</v>
      </c>
      <c r="HU74" s="12">
        <v>0</v>
      </c>
      <c r="HV74" s="12">
        <v>0</v>
      </c>
      <c r="HW74" s="12">
        <v>0</v>
      </c>
      <c r="HX74" s="9">
        <v>960385</v>
      </c>
      <c r="HY74" s="9">
        <v>1785</v>
      </c>
      <c r="HZ74" s="9">
        <v>947041</v>
      </c>
      <c r="IA74" s="9">
        <v>1814</v>
      </c>
      <c r="IB74" s="11">
        <v>212305.68299999999</v>
      </c>
      <c r="IC74" s="11">
        <v>474.8</v>
      </c>
      <c r="ID74" s="14">
        <f t="shared" ref="ID74:II74" si="701">GN74-HL74</f>
        <v>7.5281551666666653</v>
      </c>
      <c r="IE74" s="14">
        <f t="shared" si="701"/>
        <v>7.6097900000000083</v>
      </c>
      <c r="IF74" s="14">
        <f t="shared" si="701"/>
        <v>7.6565105000000031</v>
      </c>
      <c r="IG74" s="14">
        <f t="shared" si="701"/>
        <v>7.4221121666666674</v>
      </c>
      <c r="IH74" s="14">
        <f t="shared" si="701"/>
        <v>7.3723831666666646</v>
      </c>
      <c r="II74" s="14">
        <f t="shared" si="701"/>
        <v>7.6152873333333355</v>
      </c>
      <c r="IJ74" s="15">
        <f t="shared" ref="IJ74:IO74" si="702">GZ74-HR74</f>
        <v>0</v>
      </c>
      <c r="IK74" s="15">
        <f t="shared" si="702"/>
        <v>7.3770071666666608</v>
      </c>
      <c r="IL74" s="15">
        <f t="shared" si="702"/>
        <v>7.2667426666666666</v>
      </c>
      <c r="IM74" s="15">
        <f t="shared" si="702"/>
        <v>0</v>
      </c>
      <c r="IN74" s="15">
        <f t="shared" si="702"/>
        <v>7.0664363333333373</v>
      </c>
      <c r="IO74" s="15">
        <f t="shared" si="702"/>
        <v>7.320204833333336</v>
      </c>
      <c r="IP74" s="16">
        <f t="shared" ref="IP74" si="703">(HX74-HX73)*1000</f>
        <v>1003000</v>
      </c>
      <c r="IQ74" s="16">
        <f t="shared" ref="IQ74" si="704">(HY74-HY73)*1000</f>
        <v>2000</v>
      </c>
      <c r="IR74" s="16">
        <f t="shared" ref="IR74" si="705">(HZ74-HZ73)*1000</f>
        <v>997000</v>
      </c>
      <c r="IS74" s="16">
        <f t="shared" ref="IS74" si="706">(IA74-IA73)*1000</f>
        <v>2000</v>
      </c>
      <c r="IT74" s="16">
        <f t="shared" ref="IT74" si="707">(IB74-IB73)*1000</f>
        <v>2000532.9999999958</v>
      </c>
      <c r="IU74" s="16">
        <f t="shared" ref="IU74" si="708">(IC74-IC73)*1000</f>
        <v>4199.9999999999891</v>
      </c>
      <c r="IV74" s="17">
        <f t="shared" ref="IV74" si="709">(IP74+IR74)-(IQ74+IS74)</f>
        <v>1996000</v>
      </c>
      <c r="IW74" s="17">
        <f t="shared" ref="IW74" si="710">IT74-IU74</f>
        <v>1996332.9999999958</v>
      </c>
      <c r="IX74" s="19">
        <f>(Raw_Data[[#This Row],[Sunset Time (POA&lt;20 W/m2)]]-Raw_Data[[#This Row],[Sunrise Time (POA&gt;20 W/m2)]])*24</f>
        <v>13.183333333333332</v>
      </c>
      <c r="IY74" s="68">
        <f>AVERAGEIF(Raw_Data[[#This Row],[GHI_UP_Net_IS2_W1]:[GHI_UP_Net_IS19_W6]],"&lt;&gt;"&amp;0,Raw_Data[[#This Row],[GHI_UP_Net_IS2_W1]:[GHI_UP_Net_IS19_W6]])</f>
        <v>7.5340397222222242</v>
      </c>
      <c r="IZ74" s="68">
        <f>AVERAGEIF(Raw_Data[[#This Row],[GHI_Down_IS2_W1]:[GHI_Down_IS19_W6]],"&lt;&gt;"&amp;0,Raw_Data[[#This Row],[GHI_Down_IS2_W1]:[GHI_Down_IS19_W6]])</f>
        <v>1.8882788888888893</v>
      </c>
      <c r="JA74" s="68">
        <f>AVERAGEIF(Raw_Data[[#This Row],[POA_Up_IS2_W1]:[POA_Up_IS19_W6]],"&lt;&gt;"&amp;0,Raw_Data[[#This Row],[POA_Up_IS2_W1]:[POA_Up_IS19_W6]])</f>
        <v>7.2575977500000004</v>
      </c>
      <c r="JB74" s="68">
        <f>AVERAGEIF(Raw_Data[[#This Row],[POA_Down_IS2_W1]:[POA_Down_IS19_W6]],"&lt;&gt;"&amp;0,Raw_Data[[#This Row],[POA_Down_IS2_W1]:[POA_Down_IS19_W6]])</f>
        <v>0.62868175000000004</v>
      </c>
      <c r="JC74" s="69">
        <f>Raw_Data[[#This Row],[GHI-Down(KWh/m2)]]/Raw_Data[[#This Row],[GHI-UP (KWh/m2)]]</f>
        <v>0.25063298821205665</v>
      </c>
      <c r="JD74" s="72">
        <f>Raw_Data[[#This Row],[POA-Down(KWh/m2)]]/Raw_Data[[#This Row],[POA-UP(KWh/m2)]]</f>
        <v>8.6623945230362209E-2</v>
      </c>
      <c r="JE74" s="68">
        <f>AVERAGEIF(Raw_Data[[#This Row],[Amb_Temp_IS2_W1]:[Amb_Temp_IS19_W6]],"&lt;&gt;"&amp;0,Raw_Data[[#This Row],[Amb_Temp_IS2_W1]:[Amb_Temp_IS19_W6]])</f>
        <v>35.393455128205133</v>
      </c>
      <c r="JF74" s="68">
        <f>AVERAGEIF(Raw_Data[[#This Row],[MT_Temp_IS2_W1]:[MT_Temp_IS19_W6]],"&lt;&gt;"&amp;0,Raw_Data[[#This Row],[MT_Temp_IS2_W1]:[MT_Temp_IS19_W6]])</f>
        <v>48.345221021367536</v>
      </c>
      <c r="JG74" s="68">
        <f>AVERAGEIF(Raw_Data[[#This Row],[WS_Avg_IS2_W1]:[WS_Avg_IS19_W6]],"&lt;&gt;"&amp;0,Raw_Data[[#This Row],[WS_Avg_IS2_W1]:[WS_Avg_IS19_W6]])</f>
        <v>4.5916262339722245</v>
      </c>
      <c r="JH74" s="68">
        <f>AVERAGEIF(Raw_Data[[#This Row],[WS_Max_IS2_W1]:[WS_Max_IS19_W6]],"&lt;&gt;"&amp;0,Raw_Data[[#This Row],[WS_Max_IS2_W1]:[WS_Max_IS19_W6]])</f>
        <v>9.312777333333333</v>
      </c>
      <c r="JI74" s="70">
        <f>SUM(Raw_Data[[#This Row],[IS1_INV1_M1]:[IS20_INV4_M2]])</f>
        <v>2012506.2000000002</v>
      </c>
      <c r="JJ74" s="73">
        <v>1908132.9999999725</v>
      </c>
      <c r="JK74" s="71">
        <v>2329248.1077318909</v>
      </c>
      <c r="JL74" s="143">
        <f>IFERROR(Raw_Data[[#This Row],[WPR_Eac]]/Raw_Data[[#This Row],[WPR_Edc]],"")</f>
        <v>0.81920555979672782</v>
      </c>
      <c r="JM74" s="6">
        <v>22</v>
      </c>
      <c r="JN74" s="6">
        <v>0</v>
      </c>
    </row>
    <row r="75" spans="2:274">
      <c r="B75" s="250">
        <f t="shared" si="596"/>
        <v>45814</v>
      </c>
      <c r="C75" s="9">
        <f>YEAR(Raw_Data[[#This Row],[Date]])+IF(MONTH(Raw_Data[[#This Row],[Date]])&gt;=4,1,0)</f>
        <v>2026</v>
      </c>
      <c r="D75" s="6">
        <f t="shared" si="659"/>
        <v>2025</v>
      </c>
      <c r="E75" s="7" t="s">
        <v>361</v>
      </c>
      <c r="F75" s="7" t="s">
        <v>361</v>
      </c>
      <c r="G75" s="8">
        <v>45809</v>
      </c>
      <c r="H75" s="6">
        <f t="shared" si="660"/>
        <v>30</v>
      </c>
      <c r="I75" s="9">
        <v>335090.89</v>
      </c>
      <c r="J75" s="10">
        <v>0.26180555555555557</v>
      </c>
      <c r="K75" s="10">
        <v>0.81180555555555556</v>
      </c>
      <c r="L75" s="9">
        <v>12361.4</v>
      </c>
      <c r="M75" s="9">
        <v>13008.5</v>
      </c>
      <c r="N75" s="9">
        <v>13005.7</v>
      </c>
      <c r="O75" s="9">
        <v>12909.1</v>
      </c>
      <c r="P75" s="9">
        <v>13158.4</v>
      </c>
      <c r="Q75" s="9">
        <v>13172.8</v>
      </c>
      <c r="R75" s="9">
        <v>13191.9</v>
      </c>
      <c r="S75" s="9">
        <v>13591.3</v>
      </c>
      <c r="T75" s="9">
        <v>13046.8</v>
      </c>
      <c r="U75" s="9">
        <v>13086.9</v>
      </c>
      <c r="V75" s="9">
        <v>12895.9</v>
      </c>
      <c r="W75" s="9">
        <v>13039.2</v>
      </c>
      <c r="X75" s="9">
        <v>13015.2</v>
      </c>
      <c r="Y75" s="9">
        <v>12968.3</v>
      </c>
      <c r="Z75" s="9">
        <v>13059</v>
      </c>
      <c r="AA75" s="9">
        <v>13107.9</v>
      </c>
      <c r="AB75" s="9">
        <v>12997.2</v>
      </c>
      <c r="AC75" s="9">
        <v>13013.9</v>
      </c>
      <c r="AD75" s="9">
        <v>13023.2</v>
      </c>
      <c r="AE75" s="9">
        <v>13129.4</v>
      </c>
      <c r="AF75" s="9">
        <v>13056.4</v>
      </c>
      <c r="AG75" s="9">
        <v>13043.3</v>
      </c>
      <c r="AH75" s="9">
        <v>12790.3</v>
      </c>
      <c r="AI75" s="9">
        <v>12901.9</v>
      </c>
      <c r="AJ75" s="9">
        <v>12744.4</v>
      </c>
      <c r="AK75" s="9">
        <v>11132.2</v>
      </c>
      <c r="AL75" s="9">
        <v>12703.1</v>
      </c>
      <c r="AM75" s="9">
        <v>12701.8</v>
      </c>
      <c r="AN75" s="9">
        <v>13030.1</v>
      </c>
      <c r="AO75" s="9">
        <v>12861.2</v>
      </c>
      <c r="AP75" s="9">
        <v>12833.9</v>
      </c>
      <c r="AQ75" s="9">
        <v>13074.6</v>
      </c>
      <c r="AR75" s="9">
        <v>13083.8</v>
      </c>
      <c r="AS75" s="9">
        <v>13087.1</v>
      </c>
      <c r="AT75" s="9">
        <v>13203.1</v>
      </c>
      <c r="AU75" s="9">
        <v>13087.8</v>
      </c>
      <c r="AV75" s="9">
        <v>13168.7</v>
      </c>
      <c r="AW75" s="9">
        <v>12955.4</v>
      </c>
      <c r="AX75" s="9">
        <v>12999.4</v>
      </c>
      <c r="AY75" s="9">
        <v>12957.5</v>
      </c>
      <c r="AZ75" s="9">
        <v>13861.2</v>
      </c>
      <c r="BA75" s="9">
        <v>12630</v>
      </c>
      <c r="BB75" s="9">
        <v>13724.6</v>
      </c>
      <c r="BC75" s="9">
        <v>12437.7</v>
      </c>
      <c r="BD75" s="9">
        <v>13189.2</v>
      </c>
      <c r="BE75" s="9">
        <v>14379.7</v>
      </c>
      <c r="BF75" s="9">
        <v>12459.8</v>
      </c>
      <c r="BG75" s="9">
        <v>13894.4</v>
      </c>
      <c r="BH75" s="9">
        <v>13109.8</v>
      </c>
      <c r="BI75" s="9">
        <v>13270.1</v>
      </c>
      <c r="BJ75" s="9">
        <v>13108</v>
      </c>
      <c r="BK75" s="9">
        <v>12381.3</v>
      </c>
      <c r="BL75" s="9">
        <v>13485.6</v>
      </c>
      <c r="BM75" s="9">
        <v>13274</v>
      </c>
      <c r="BN75" s="9">
        <v>13388.2</v>
      </c>
      <c r="BO75" s="9">
        <v>13286.8</v>
      </c>
      <c r="BP75" s="9">
        <v>11875.1</v>
      </c>
      <c r="BQ75" s="9">
        <v>13606.1</v>
      </c>
      <c r="BR75" s="9">
        <v>11921.4</v>
      </c>
      <c r="BS75" s="9">
        <v>13557.6</v>
      </c>
      <c r="BT75" s="9">
        <v>13415</v>
      </c>
      <c r="BU75" s="9">
        <v>11895.8</v>
      </c>
      <c r="BV75" s="9">
        <v>13112.7</v>
      </c>
      <c r="BW75" s="9">
        <v>12426.8</v>
      </c>
      <c r="BX75" s="9">
        <v>12740.8</v>
      </c>
      <c r="BY75" s="9">
        <v>11948.7</v>
      </c>
      <c r="BZ75" s="9">
        <v>12602</v>
      </c>
      <c r="CA75" s="9">
        <v>13197.4</v>
      </c>
      <c r="CB75" s="9">
        <v>13498.2</v>
      </c>
      <c r="CC75" s="9">
        <v>12171.1</v>
      </c>
      <c r="CD75" s="9">
        <v>12023.1</v>
      </c>
      <c r="CE75" s="9">
        <v>0</v>
      </c>
      <c r="CF75" s="9">
        <v>12933.5</v>
      </c>
      <c r="CG75" s="9">
        <v>12674.4</v>
      </c>
      <c r="CH75" s="9">
        <v>12002.3</v>
      </c>
      <c r="CI75" s="9">
        <v>13302.4</v>
      </c>
      <c r="CJ75" s="9">
        <v>11764.7</v>
      </c>
      <c r="CK75" s="9">
        <v>13584.4</v>
      </c>
      <c r="CL75" s="9">
        <v>12039.9</v>
      </c>
      <c r="CM75" s="9">
        <v>13349.1</v>
      </c>
      <c r="CN75" s="9">
        <v>12222.4</v>
      </c>
      <c r="CO75" s="9">
        <v>13191.8</v>
      </c>
      <c r="CP75" s="9">
        <v>12323.5</v>
      </c>
      <c r="CQ75" s="9">
        <v>13571.4</v>
      </c>
      <c r="CR75" s="9">
        <v>12206.3</v>
      </c>
      <c r="CS75" s="9">
        <v>13013.9</v>
      </c>
      <c r="CT75" s="9">
        <v>12254.3</v>
      </c>
      <c r="CU75" s="9">
        <v>10747.3</v>
      </c>
      <c r="CV75" s="9">
        <v>13221.9</v>
      </c>
      <c r="CW75" s="9">
        <v>12855.3</v>
      </c>
      <c r="CX75" s="9">
        <v>11843.8</v>
      </c>
      <c r="CY75" s="9">
        <v>13627</v>
      </c>
      <c r="CZ75" s="9">
        <v>13260.7</v>
      </c>
      <c r="DA75" s="9">
        <v>12254.7</v>
      </c>
      <c r="DB75" s="9">
        <v>12115.8</v>
      </c>
      <c r="DC75" s="9">
        <v>13414.6</v>
      </c>
      <c r="DD75" s="9">
        <v>12050.2</v>
      </c>
      <c r="DE75" s="9">
        <v>12566.3</v>
      </c>
      <c r="DF75" s="9">
        <v>13597.8</v>
      </c>
      <c r="DG75" s="9">
        <v>11994.4</v>
      </c>
      <c r="DH75" s="9">
        <v>13595.3</v>
      </c>
      <c r="DI75" s="9">
        <v>11988.4</v>
      </c>
      <c r="DJ75" s="9">
        <v>13300.4</v>
      </c>
      <c r="DK75" s="9">
        <v>12267.5</v>
      </c>
      <c r="DL75" s="9">
        <v>13379.7</v>
      </c>
      <c r="DM75" s="9">
        <v>11613.6</v>
      </c>
      <c r="DN75" s="9">
        <v>13448</v>
      </c>
      <c r="DO75" s="9">
        <v>12170</v>
      </c>
      <c r="DP75" s="9">
        <v>13260.3</v>
      </c>
      <c r="DQ75" s="9">
        <v>12103.8</v>
      </c>
      <c r="DR75" s="9">
        <v>13363.7</v>
      </c>
      <c r="DS75" s="9">
        <v>12367.6</v>
      </c>
      <c r="DT75" s="9">
        <v>11987.4</v>
      </c>
      <c r="DU75" s="9">
        <v>13261</v>
      </c>
      <c r="DV75" s="9">
        <v>12167.3</v>
      </c>
      <c r="DW75" s="9">
        <v>11920.9</v>
      </c>
      <c r="DX75" s="9">
        <v>13372.9</v>
      </c>
      <c r="DY75" s="9">
        <v>13446.1</v>
      </c>
      <c r="DZ75" s="9">
        <v>13254</v>
      </c>
      <c r="EA75" s="9">
        <v>12164.5</v>
      </c>
      <c r="EB75" s="9">
        <v>13369.3</v>
      </c>
      <c r="EC75" s="9">
        <v>12002.6</v>
      </c>
      <c r="ED75" s="9">
        <v>12582.4</v>
      </c>
      <c r="EE75" s="9">
        <v>12132.9</v>
      </c>
      <c r="EF75" s="9">
        <v>11640.3</v>
      </c>
      <c r="EG75" s="9">
        <v>10742.6</v>
      </c>
      <c r="EH75" s="9">
        <v>13091.1</v>
      </c>
      <c r="EI75" s="9">
        <v>12016.1</v>
      </c>
      <c r="EJ75" s="9">
        <v>12165.5</v>
      </c>
      <c r="EK75" s="9">
        <v>12231.2</v>
      </c>
      <c r="EL75" s="9">
        <v>12046</v>
      </c>
      <c r="EM75" s="9">
        <v>10384.4</v>
      </c>
      <c r="EN75" s="9">
        <v>11955.8</v>
      </c>
      <c r="EO75" s="9">
        <v>10561.6</v>
      </c>
      <c r="EP75" s="9">
        <v>11997.1</v>
      </c>
      <c r="EQ75" s="9">
        <v>12050.1</v>
      </c>
      <c r="ER75" s="9">
        <v>13895.6</v>
      </c>
      <c r="ES75" s="9">
        <v>12356.3</v>
      </c>
      <c r="ET75" s="9">
        <v>13959.8</v>
      </c>
      <c r="EU75" s="9">
        <v>12619.3</v>
      </c>
      <c r="EV75" s="9">
        <v>13849.5</v>
      </c>
      <c r="EW75" s="9">
        <v>12447.8</v>
      </c>
      <c r="EX75" s="9">
        <v>12680.1</v>
      </c>
      <c r="EY75" s="9">
        <v>12351.6</v>
      </c>
      <c r="EZ75" s="9">
        <v>13575</v>
      </c>
      <c r="FA75" s="9">
        <v>14026.9</v>
      </c>
      <c r="FB75" s="9">
        <v>13854.1</v>
      </c>
      <c r="FC75" s="9">
        <v>13803.6</v>
      </c>
      <c r="FD75" s="9">
        <v>13778.7</v>
      </c>
      <c r="FE75" s="9">
        <v>13822</v>
      </c>
      <c r="FF75" s="9">
        <v>12753.4</v>
      </c>
      <c r="FG75" s="9">
        <v>13870.1</v>
      </c>
      <c r="FH75" s="9">
        <v>13923.9</v>
      </c>
      <c r="FI75" s="9">
        <v>13936.1</v>
      </c>
      <c r="FJ75" s="9">
        <v>13948</v>
      </c>
      <c r="FK75" s="9">
        <v>13897</v>
      </c>
      <c r="FL75" s="9">
        <v>13941.3</v>
      </c>
      <c r="FM75" s="9">
        <v>12713.8</v>
      </c>
      <c r="FN75" s="9">
        <v>13994.7</v>
      </c>
      <c r="FO75" s="9">
        <v>12789.2</v>
      </c>
      <c r="FP75" s="11">
        <v>37.394112388250335</v>
      </c>
      <c r="FQ75" s="11">
        <v>36.909425287356378</v>
      </c>
      <c r="FR75" s="11">
        <v>37.056015325670529</v>
      </c>
      <c r="FS75" s="11">
        <v>37.125734355044749</v>
      </c>
      <c r="FT75" s="11">
        <v>36.835134099616852</v>
      </c>
      <c r="FU75" s="11">
        <v>37.242145593869758</v>
      </c>
      <c r="FV75" s="11">
        <v>0</v>
      </c>
      <c r="FW75" s="11">
        <v>48.6</v>
      </c>
      <c r="FX75" s="11">
        <v>0</v>
      </c>
      <c r="FY75" s="11">
        <v>0</v>
      </c>
      <c r="FZ75" s="11">
        <v>48.2</v>
      </c>
      <c r="GA75" s="11">
        <v>48.6</v>
      </c>
      <c r="GB75" s="11">
        <v>4.60039146874841</v>
      </c>
      <c r="GC75" s="11">
        <v>6.5272070383141703</v>
      </c>
      <c r="GD75" s="11">
        <v>6.3955850753512085</v>
      </c>
      <c r="GE75" s="11">
        <v>6.549078074840355</v>
      </c>
      <c r="GF75" s="11">
        <v>6.397341136653897</v>
      </c>
      <c r="GG75" s="11">
        <v>6.5316749042145652</v>
      </c>
      <c r="GH75" s="11">
        <v>8.9283339999999995</v>
      </c>
      <c r="GI75" s="11">
        <v>10.69</v>
      </c>
      <c r="GJ75" s="11">
        <v>11.28</v>
      </c>
      <c r="GK75" s="11">
        <v>10.355</v>
      </c>
      <c r="GL75" s="11">
        <v>10.043329999999999</v>
      </c>
      <c r="GM75" s="11">
        <v>9.9183330000000005</v>
      </c>
      <c r="GN75" s="11">
        <v>7.7637013333333389</v>
      </c>
      <c r="GO75" s="11">
        <v>7.811816000000003</v>
      </c>
      <c r="GP75" s="11">
        <v>7.8791594999999992</v>
      </c>
      <c r="GQ75" s="11">
        <v>7.6464641666666635</v>
      </c>
      <c r="GR75" s="11">
        <v>7.5704030000000024</v>
      </c>
      <c r="GS75" s="11">
        <v>7.8369931666666641</v>
      </c>
      <c r="GT75" s="108">
        <v>1.9667256666666668</v>
      </c>
      <c r="GU75" s="108">
        <v>1.892644333333332</v>
      </c>
      <c r="GV75" s="108">
        <v>1.7929086666666645</v>
      </c>
      <c r="GW75" s="108">
        <v>2.1748173333333352</v>
      </c>
      <c r="GX75" s="108">
        <v>2.1526395000000025</v>
      </c>
      <c r="GY75" s="108">
        <v>1.7926525</v>
      </c>
      <c r="GZ75" s="13">
        <v>0</v>
      </c>
      <c r="HA75" s="13">
        <v>7.5461790000000093</v>
      </c>
      <c r="HB75" s="13">
        <v>7.4464598333333329</v>
      </c>
      <c r="HC75" s="13">
        <v>0</v>
      </c>
      <c r="HD75" s="13">
        <v>7.3187165000000034</v>
      </c>
      <c r="HE75" s="13">
        <v>7.5000093333333373</v>
      </c>
      <c r="HF75" s="13">
        <v>0.6495611666666663</v>
      </c>
      <c r="HG75" s="13">
        <v>0.72367266666666652</v>
      </c>
      <c r="HH75" s="13">
        <v>0.60833550000000047</v>
      </c>
      <c r="HI75" s="13">
        <v>0.62994766666666691</v>
      </c>
      <c r="HJ75" s="13">
        <v>0.65552033333333337</v>
      </c>
      <c r="HK75" s="13">
        <v>0.67502433333333356</v>
      </c>
      <c r="HL75" s="12">
        <v>0</v>
      </c>
      <c r="HM75" s="12">
        <v>0</v>
      </c>
      <c r="HN75" s="12">
        <v>0</v>
      </c>
      <c r="HO75" s="12">
        <v>0</v>
      </c>
      <c r="HP75" s="12">
        <v>0</v>
      </c>
      <c r="HQ75" s="12">
        <v>0</v>
      </c>
      <c r="HR75" s="12">
        <v>0</v>
      </c>
      <c r="HS75" s="12">
        <v>0</v>
      </c>
      <c r="HT75" s="12">
        <v>0</v>
      </c>
      <c r="HU75" s="12">
        <v>0</v>
      </c>
      <c r="HV75" s="12">
        <v>0</v>
      </c>
      <c r="HW75" s="12">
        <v>0</v>
      </c>
      <c r="HX75" s="9">
        <v>961394</v>
      </c>
      <c r="HY75" s="9">
        <v>1786</v>
      </c>
      <c r="HZ75" s="9">
        <v>948057</v>
      </c>
      <c r="IA75" s="9">
        <v>1815</v>
      </c>
      <c r="IB75" s="11">
        <v>214334.883</v>
      </c>
      <c r="IC75" s="11">
        <v>478.8</v>
      </c>
      <c r="ID75" s="14">
        <f t="shared" ref="ID75:II75" si="711">GN75-HL75</f>
        <v>7.7637013333333389</v>
      </c>
      <c r="IE75" s="14">
        <f t="shared" si="711"/>
        <v>7.811816000000003</v>
      </c>
      <c r="IF75" s="14">
        <f t="shared" si="711"/>
        <v>7.8791594999999992</v>
      </c>
      <c r="IG75" s="14">
        <f t="shared" si="711"/>
        <v>7.6464641666666635</v>
      </c>
      <c r="IH75" s="14">
        <f t="shared" si="711"/>
        <v>7.5704030000000024</v>
      </c>
      <c r="II75" s="14">
        <f t="shared" si="711"/>
        <v>7.8369931666666641</v>
      </c>
      <c r="IJ75" s="15">
        <f t="shared" ref="IJ75:IO75" si="712">GZ75-HR75</f>
        <v>0</v>
      </c>
      <c r="IK75" s="15">
        <f t="shared" si="712"/>
        <v>7.5461790000000093</v>
      </c>
      <c r="IL75" s="15">
        <f t="shared" si="712"/>
        <v>7.4464598333333329</v>
      </c>
      <c r="IM75" s="15">
        <f t="shared" si="712"/>
        <v>0</v>
      </c>
      <c r="IN75" s="15">
        <f t="shared" si="712"/>
        <v>7.3187165000000034</v>
      </c>
      <c r="IO75" s="15">
        <f t="shared" si="712"/>
        <v>7.5000093333333373</v>
      </c>
      <c r="IP75" s="16">
        <f t="shared" ref="IP75" si="713">(HX75-HX74)*1000</f>
        <v>1009000</v>
      </c>
      <c r="IQ75" s="16">
        <f t="shared" ref="IQ75" si="714">(HY75-HY74)*1000</f>
        <v>1000</v>
      </c>
      <c r="IR75" s="16">
        <f t="shared" ref="IR75" si="715">(HZ75-HZ74)*1000</f>
        <v>1016000</v>
      </c>
      <c r="IS75" s="16">
        <f t="shared" ref="IS75" si="716">(IA75-IA74)*1000</f>
        <v>1000</v>
      </c>
      <c r="IT75" s="16">
        <f t="shared" ref="IT75" si="717">(IB75-IB74)*1000</f>
        <v>2029200.0000000116</v>
      </c>
      <c r="IU75" s="16">
        <f t="shared" ref="IU75" si="718">(IC75-IC74)*1000</f>
        <v>4000</v>
      </c>
      <c r="IV75" s="17">
        <f t="shared" ref="IV75" si="719">(IP75+IR75)-(IQ75+IS75)</f>
        <v>2023000</v>
      </c>
      <c r="IW75" s="17">
        <f t="shared" ref="IW75" si="720">IT75-IU75</f>
        <v>2025200.0000000116</v>
      </c>
      <c r="IX75" s="19">
        <f>(Raw_Data[[#This Row],[Sunset Time (POA&lt;20 W/m2)]]-Raw_Data[[#This Row],[Sunrise Time (POA&gt;20 W/m2)]])*24</f>
        <v>13.200000000000001</v>
      </c>
      <c r="IY75" s="68">
        <f>AVERAGEIF(Raw_Data[[#This Row],[GHI_UP_Net_IS2_W1]:[GHI_UP_Net_IS19_W6]],"&lt;&gt;"&amp;0,Raw_Data[[#This Row],[GHI_UP_Net_IS2_W1]:[GHI_UP_Net_IS19_W6]])</f>
        <v>7.7514228611111129</v>
      </c>
      <c r="IZ75" s="68">
        <f>AVERAGEIF(Raw_Data[[#This Row],[GHI_Down_IS2_W1]:[GHI_Down_IS19_W6]],"&lt;&gt;"&amp;0,Raw_Data[[#This Row],[GHI_Down_IS2_W1]:[GHI_Down_IS19_W6]])</f>
        <v>1.9620646666666666</v>
      </c>
      <c r="JA75" s="68">
        <f>AVERAGEIF(Raw_Data[[#This Row],[POA_Up_IS2_W1]:[POA_Up_IS19_W6]],"&lt;&gt;"&amp;0,Raw_Data[[#This Row],[POA_Up_IS2_W1]:[POA_Up_IS19_W6]])</f>
        <v>7.452841166666671</v>
      </c>
      <c r="JB75" s="68">
        <f>AVERAGEIF(Raw_Data[[#This Row],[POA_Down_IS2_W1]:[POA_Down_IS19_W6]],"&lt;&gt;"&amp;0,Raw_Data[[#This Row],[POA_Down_IS2_W1]:[POA_Down_IS19_W6]])</f>
        <v>0.65701027777777787</v>
      </c>
      <c r="JC75" s="69">
        <f>Raw_Data[[#This Row],[GHI-Down(KWh/m2)]]/Raw_Data[[#This Row],[GHI-UP (KWh/m2)]]</f>
        <v>0.25312316226616211</v>
      </c>
      <c r="JD75" s="72">
        <f>Raw_Data[[#This Row],[POA-Down(KWh/m2)]]/Raw_Data[[#This Row],[POA-UP(KWh/m2)]]</f>
        <v>8.8155679570403322E-2</v>
      </c>
      <c r="JE75" s="68">
        <f>AVERAGEIF(Raw_Data[[#This Row],[Amb_Temp_IS2_W1]:[Amb_Temp_IS19_W6]],"&lt;&gt;"&amp;0,Raw_Data[[#This Row],[Amb_Temp_IS2_W1]:[Amb_Temp_IS19_W6]])</f>
        <v>37.093761174968101</v>
      </c>
      <c r="JF75" s="68">
        <f>AVERAGEIF(Raw_Data[[#This Row],[MT_Temp_IS2_W1]:[MT_Temp_IS19_W6]],"&lt;&gt;"&amp;0,Raw_Data[[#This Row],[MT_Temp_IS2_W1]:[MT_Temp_IS19_W6]])</f>
        <v>48.466666666666669</v>
      </c>
      <c r="JG75" s="68">
        <f>AVERAGEIF(Raw_Data[[#This Row],[WS_Avg_IS2_W1]:[WS_Avg_IS19_W6]],"&lt;&gt;"&amp;0,Raw_Data[[#This Row],[WS_Avg_IS2_W1]:[WS_Avg_IS19_W6]])</f>
        <v>6.1668796163537678</v>
      </c>
      <c r="JH75" s="68">
        <f>AVERAGEIF(Raw_Data[[#This Row],[WS_Max_IS2_W1]:[WS_Max_IS19_W6]],"&lt;&gt;"&amp;0,Raw_Data[[#This Row],[WS_Max_IS2_W1]:[WS_Max_IS19_W6]])</f>
        <v>10.2024995</v>
      </c>
      <c r="JI75" s="70">
        <f>SUM(Raw_Data[[#This Row],[IS1_INV1_M1]:[IS20_INV4_M2]])</f>
        <v>2042243.5000000009</v>
      </c>
      <c r="JJ75" s="73">
        <v>1956799.9999999884</v>
      </c>
      <c r="JK75" s="71">
        <v>2400315.082486595</v>
      </c>
      <c r="JL75" s="143">
        <f>IFERROR(Raw_Data[[#This Row],[WPR_Eac]]/Raw_Data[[#This Row],[WPR_Edc]],"")</f>
        <v>0.81522630686170194</v>
      </c>
      <c r="JM75" s="6">
        <v>20</v>
      </c>
      <c r="JN75" s="6">
        <v>0</v>
      </c>
    </row>
    <row r="76" spans="2:274">
      <c r="B76" s="250">
        <f t="shared" si="596"/>
        <v>45815</v>
      </c>
      <c r="C76" s="9">
        <f>YEAR(Raw_Data[[#This Row],[Date]])+IF(MONTH(Raw_Data[[#This Row],[Date]])&gt;=4,1,0)</f>
        <v>2026</v>
      </c>
      <c r="D76" s="6">
        <f t="shared" ref="D76:D81" si="721">YEAR(B76)</f>
        <v>2025</v>
      </c>
      <c r="E76" s="7" t="s">
        <v>361</v>
      </c>
      <c r="F76" s="7" t="s">
        <v>361</v>
      </c>
      <c r="G76" s="8">
        <v>45809</v>
      </c>
      <c r="H76" s="6">
        <f t="shared" ref="H76:H81" si="722">DAY(EOMONTH(B76,0))</f>
        <v>30</v>
      </c>
      <c r="I76" s="9">
        <v>335090.89</v>
      </c>
      <c r="J76" s="10">
        <v>0.2590277777777778</v>
      </c>
      <c r="K76" s="10">
        <v>0.8125</v>
      </c>
      <c r="L76" s="9">
        <v>12319.1</v>
      </c>
      <c r="M76" s="9">
        <v>12953</v>
      </c>
      <c r="N76" s="9">
        <v>12982.1</v>
      </c>
      <c r="O76" s="9">
        <v>12878.1</v>
      </c>
      <c r="P76" s="9">
        <v>13127.3</v>
      </c>
      <c r="Q76" s="9">
        <v>13141.7</v>
      </c>
      <c r="R76" s="9">
        <v>13122.4</v>
      </c>
      <c r="S76" s="9">
        <v>13564.7</v>
      </c>
      <c r="T76" s="9">
        <v>13006.5</v>
      </c>
      <c r="U76" s="9">
        <v>13019.5</v>
      </c>
      <c r="V76" s="9">
        <v>12842.2</v>
      </c>
      <c r="W76" s="9">
        <v>12976.3</v>
      </c>
      <c r="X76" s="9">
        <v>13001.4</v>
      </c>
      <c r="Y76" s="9">
        <v>12924.7</v>
      </c>
      <c r="Z76" s="9">
        <v>13020.9</v>
      </c>
      <c r="AA76" s="9">
        <v>13107.6</v>
      </c>
      <c r="AB76" s="9">
        <v>12970.7</v>
      </c>
      <c r="AC76" s="9">
        <v>13000.7</v>
      </c>
      <c r="AD76" s="9">
        <v>13009.8</v>
      </c>
      <c r="AE76" s="9">
        <v>13105</v>
      </c>
      <c r="AF76" s="9">
        <v>13038.3</v>
      </c>
      <c r="AG76" s="9">
        <v>13024.7</v>
      </c>
      <c r="AH76" s="9">
        <v>12766.6</v>
      </c>
      <c r="AI76" s="9">
        <v>12885.4</v>
      </c>
      <c r="AJ76" s="9">
        <v>12726.4</v>
      </c>
      <c r="AK76" s="9">
        <v>11102.8</v>
      </c>
      <c r="AL76" s="9">
        <v>12383.7</v>
      </c>
      <c r="AM76" s="9">
        <v>12565.1</v>
      </c>
      <c r="AN76" s="9">
        <v>13026.2</v>
      </c>
      <c r="AO76" s="9">
        <v>12828.5</v>
      </c>
      <c r="AP76" s="9">
        <v>12823.5</v>
      </c>
      <c r="AQ76" s="9">
        <v>13081.8</v>
      </c>
      <c r="AR76" s="9">
        <v>13035.6</v>
      </c>
      <c r="AS76" s="9">
        <v>13058.9</v>
      </c>
      <c r="AT76" s="9">
        <v>13175.7</v>
      </c>
      <c r="AU76" s="9">
        <v>13054.2</v>
      </c>
      <c r="AV76" s="9">
        <v>13164.4</v>
      </c>
      <c r="AW76" s="9">
        <v>12946.8</v>
      </c>
      <c r="AX76" s="9">
        <v>12992.4</v>
      </c>
      <c r="AY76" s="9">
        <v>12950.4</v>
      </c>
      <c r="AZ76" s="9">
        <v>13862.6</v>
      </c>
      <c r="BA76" s="9">
        <v>12608.9</v>
      </c>
      <c r="BB76" s="9">
        <v>13750.3</v>
      </c>
      <c r="BC76" s="9">
        <v>12401.4</v>
      </c>
      <c r="BD76" s="9">
        <v>13091</v>
      </c>
      <c r="BE76" s="9">
        <v>14284.8</v>
      </c>
      <c r="BF76" s="9">
        <v>12398.9</v>
      </c>
      <c r="BG76" s="9">
        <v>13880.7</v>
      </c>
      <c r="BH76" s="9">
        <v>13093.6</v>
      </c>
      <c r="BI76" s="9">
        <v>13296</v>
      </c>
      <c r="BJ76" s="9">
        <v>13097.6</v>
      </c>
      <c r="BK76" s="9">
        <v>12340.9</v>
      </c>
      <c r="BL76" s="9">
        <v>13478.8</v>
      </c>
      <c r="BM76" s="9">
        <v>13276.6</v>
      </c>
      <c r="BN76" s="9">
        <v>13387.2</v>
      </c>
      <c r="BO76" s="9">
        <v>13285.6</v>
      </c>
      <c r="BP76" s="9">
        <v>11834.1</v>
      </c>
      <c r="BQ76" s="9">
        <v>13586.9</v>
      </c>
      <c r="BR76" s="9">
        <v>11883.6</v>
      </c>
      <c r="BS76" s="9">
        <v>13553.2</v>
      </c>
      <c r="BT76" s="9">
        <v>13410.7</v>
      </c>
      <c r="BU76" s="9">
        <v>11858.4</v>
      </c>
      <c r="BV76" s="9">
        <v>13110.9</v>
      </c>
      <c r="BW76" s="9">
        <v>12419.5</v>
      </c>
      <c r="BX76" s="9">
        <v>12723.7</v>
      </c>
      <c r="BY76" s="9">
        <v>11915.6</v>
      </c>
      <c r="BZ76" s="9">
        <v>12580.1</v>
      </c>
      <c r="CA76" s="9">
        <v>13207</v>
      </c>
      <c r="CB76" s="9">
        <v>13492.1</v>
      </c>
      <c r="CC76" s="9">
        <v>12151.2</v>
      </c>
      <c r="CD76" s="9">
        <v>13331.8</v>
      </c>
      <c r="CE76" s="9">
        <v>11666</v>
      </c>
      <c r="CF76" s="9">
        <v>12959.9</v>
      </c>
      <c r="CG76" s="9">
        <v>12707.4</v>
      </c>
      <c r="CH76" s="9">
        <v>11972</v>
      </c>
      <c r="CI76" s="9">
        <v>13298.4</v>
      </c>
      <c r="CJ76" s="9">
        <v>11732.9</v>
      </c>
      <c r="CK76" s="9">
        <v>13580.4</v>
      </c>
      <c r="CL76" s="9">
        <v>12015.2</v>
      </c>
      <c r="CM76" s="9">
        <v>13350.1</v>
      </c>
      <c r="CN76" s="9">
        <v>12199.1</v>
      </c>
      <c r="CO76" s="9">
        <v>13191.3</v>
      </c>
      <c r="CP76" s="9">
        <v>12268.2</v>
      </c>
      <c r="CQ76" s="9">
        <v>13592.7</v>
      </c>
      <c r="CR76" s="9">
        <v>12173.7</v>
      </c>
      <c r="CS76" s="9">
        <v>12992.9</v>
      </c>
      <c r="CT76" s="9">
        <v>12231.1</v>
      </c>
      <c r="CU76" s="9">
        <v>10737.3</v>
      </c>
      <c r="CV76" s="9">
        <v>13254.5</v>
      </c>
      <c r="CW76" s="9">
        <v>12827.4</v>
      </c>
      <c r="CX76" s="9">
        <v>11834.6</v>
      </c>
      <c r="CY76" s="9">
        <v>13699.3</v>
      </c>
      <c r="CZ76" s="9">
        <v>13337.2</v>
      </c>
      <c r="DA76" s="9">
        <v>12325.3</v>
      </c>
      <c r="DB76" s="9">
        <v>12185.1</v>
      </c>
      <c r="DC76" s="9">
        <v>13447.9</v>
      </c>
      <c r="DD76" s="9">
        <v>12032.5</v>
      </c>
      <c r="DE76" s="9">
        <v>12537.6</v>
      </c>
      <c r="DF76" s="9">
        <v>13632.6</v>
      </c>
      <c r="DG76" s="9">
        <v>11979.9</v>
      </c>
      <c r="DH76" s="9">
        <v>13644.4</v>
      </c>
      <c r="DI76" s="9">
        <v>11974</v>
      </c>
      <c r="DJ76" s="9">
        <v>13319</v>
      </c>
      <c r="DK76" s="9">
        <v>12248.3</v>
      </c>
      <c r="DL76" s="9">
        <v>13409.5</v>
      </c>
      <c r="DM76" s="9">
        <v>11600.4</v>
      </c>
      <c r="DN76" s="9">
        <v>13479.2</v>
      </c>
      <c r="DO76" s="9">
        <v>12164.7</v>
      </c>
      <c r="DP76" s="9">
        <v>13264</v>
      </c>
      <c r="DQ76" s="9">
        <v>12039.1</v>
      </c>
      <c r="DR76" s="9">
        <v>13374.8</v>
      </c>
      <c r="DS76" s="9">
        <v>12345.6</v>
      </c>
      <c r="DT76" s="9">
        <v>11973.1</v>
      </c>
      <c r="DU76" s="9">
        <v>13273.2</v>
      </c>
      <c r="DV76" s="9">
        <v>12180.5</v>
      </c>
      <c r="DW76" s="9">
        <v>11909.4</v>
      </c>
      <c r="DX76" s="9">
        <v>13401.8</v>
      </c>
      <c r="DY76" s="9">
        <v>13467.1</v>
      </c>
      <c r="DZ76" s="9">
        <v>13276.2</v>
      </c>
      <c r="EA76" s="9">
        <v>12151.2</v>
      </c>
      <c r="EB76" s="9">
        <v>13398.1</v>
      </c>
      <c r="EC76" s="9">
        <v>11990.6</v>
      </c>
      <c r="ED76" s="9">
        <v>12430.3</v>
      </c>
      <c r="EE76" s="9">
        <v>11505.9</v>
      </c>
      <c r="EF76" s="9">
        <v>12165.6</v>
      </c>
      <c r="EG76" s="9">
        <v>10572.8</v>
      </c>
      <c r="EH76" s="9">
        <v>13093.7</v>
      </c>
      <c r="EI76" s="9">
        <v>12002.3</v>
      </c>
      <c r="EJ76" s="9">
        <v>12164.2</v>
      </c>
      <c r="EK76" s="9">
        <v>12228</v>
      </c>
      <c r="EL76" s="9">
        <v>12007.9</v>
      </c>
      <c r="EM76" s="9">
        <v>10370</v>
      </c>
      <c r="EN76" s="9">
        <v>11857.9</v>
      </c>
      <c r="EO76" s="9">
        <v>10481.200000000001</v>
      </c>
      <c r="EP76" s="9">
        <v>11967.4</v>
      </c>
      <c r="EQ76" s="9">
        <v>12009.3</v>
      </c>
      <c r="ER76" s="9">
        <v>13942.4</v>
      </c>
      <c r="ES76" s="9">
        <v>12330</v>
      </c>
      <c r="ET76" s="9">
        <v>14007.3</v>
      </c>
      <c r="EU76" s="9">
        <v>12603.6</v>
      </c>
      <c r="EV76" s="9">
        <v>13896.4</v>
      </c>
      <c r="EW76" s="9">
        <v>12422.2</v>
      </c>
      <c r="EX76" s="9">
        <v>12664.5</v>
      </c>
      <c r="EY76" s="9">
        <v>12345.8</v>
      </c>
      <c r="EZ76" s="9">
        <v>13590.7</v>
      </c>
      <c r="FA76" s="9">
        <v>14068.7</v>
      </c>
      <c r="FB76" s="9">
        <v>13884.8</v>
      </c>
      <c r="FC76" s="9">
        <v>13824.9</v>
      </c>
      <c r="FD76" s="9">
        <v>13817</v>
      </c>
      <c r="FE76" s="9">
        <v>13864.2</v>
      </c>
      <c r="FF76" s="9">
        <v>12732.6</v>
      </c>
      <c r="FG76" s="9">
        <v>13904.7</v>
      </c>
      <c r="FH76" s="9">
        <v>13966.3</v>
      </c>
      <c r="FI76" s="9">
        <v>13969</v>
      </c>
      <c r="FJ76" s="9">
        <v>13985.1</v>
      </c>
      <c r="FK76" s="9">
        <v>13937.9</v>
      </c>
      <c r="FL76" s="9">
        <v>13973</v>
      </c>
      <c r="FM76" s="9">
        <v>12674.2</v>
      </c>
      <c r="FN76" s="9">
        <v>14036.2</v>
      </c>
      <c r="FO76" s="9">
        <v>12747.5</v>
      </c>
      <c r="FP76" s="11">
        <v>37.556194125159642</v>
      </c>
      <c r="FQ76" s="11">
        <v>37.182911877394609</v>
      </c>
      <c r="FR76" s="11">
        <v>37.502796934865863</v>
      </c>
      <c r="FS76" s="11">
        <v>37.418122605363983</v>
      </c>
      <c r="FT76" s="11">
        <v>37.123537675606613</v>
      </c>
      <c r="FU76" s="11">
        <v>37.447228607918198</v>
      </c>
      <c r="FV76" s="11">
        <v>0</v>
      </c>
      <c r="FW76" s="11">
        <v>50.6</v>
      </c>
      <c r="FX76" s="11">
        <v>0</v>
      </c>
      <c r="FY76" s="11">
        <v>0</v>
      </c>
      <c r="FZ76" s="11">
        <v>50.338071519795676</v>
      </c>
      <c r="GA76" s="11">
        <v>50.8</v>
      </c>
      <c r="GB76" s="11">
        <v>3.4835971648786708</v>
      </c>
      <c r="GC76" s="11">
        <v>4.970949140485315</v>
      </c>
      <c r="GD76" s="11">
        <v>4.7452786385696033</v>
      </c>
      <c r="GE76" s="11">
        <v>5.014118578160919</v>
      </c>
      <c r="GF76" s="11">
        <v>5.1388226781609214</v>
      </c>
      <c r="GG76" s="11">
        <v>5.0294314776500695</v>
      </c>
      <c r="GH76" s="11">
        <v>6.648333</v>
      </c>
      <c r="GI76" s="11">
        <v>7.2883339999999999</v>
      </c>
      <c r="GJ76" s="11">
        <v>8.0616660000000007</v>
      </c>
      <c r="GK76" s="11">
        <v>7.8150000000000004</v>
      </c>
      <c r="GL76" s="11">
        <v>9.7583339999999996</v>
      </c>
      <c r="GM76" s="11">
        <v>7.9816659999999997</v>
      </c>
      <c r="GN76" s="11">
        <v>7.8825879999999957</v>
      </c>
      <c r="GO76" s="11">
        <v>7.9230518333333295</v>
      </c>
      <c r="GP76" s="11">
        <v>7.9977858333333307</v>
      </c>
      <c r="GQ76" s="11">
        <v>7.7270778333333281</v>
      </c>
      <c r="GR76" s="11">
        <v>7.6368770000000072</v>
      </c>
      <c r="GS76" s="11">
        <v>7.9059881666666723</v>
      </c>
      <c r="GT76" s="108">
        <v>1.9757691666666657</v>
      </c>
      <c r="GU76" s="108">
        <v>1.9220043333333356</v>
      </c>
      <c r="GV76" s="108">
        <v>1.8011581666666663</v>
      </c>
      <c r="GW76" s="108">
        <v>2.1897556666666653</v>
      </c>
      <c r="GX76" s="108">
        <v>2.172598499999999</v>
      </c>
      <c r="GY76" s="108">
        <v>1.8266736666666652</v>
      </c>
      <c r="GZ76" s="13">
        <v>0</v>
      </c>
      <c r="HA76" s="13">
        <v>7.6340468333333291</v>
      </c>
      <c r="HB76" s="13">
        <v>7.5031578333333302</v>
      </c>
      <c r="HC76" s="13">
        <v>0</v>
      </c>
      <c r="HD76" s="13">
        <v>7.3518539999999986</v>
      </c>
      <c r="HE76" s="13">
        <v>7.5438678333333389</v>
      </c>
      <c r="HF76" s="13">
        <v>0.65518833333333448</v>
      </c>
      <c r="HG76" s="13">
        <v>0.72831250000000025</v>
      </c>
      <c r="HH76" s="13">
        <v>0.60865066666666734</v>
      </c>
      <c r="HI76" s="13">
        <v>0.6315486666666672</v>
      </c>
      <c r="HJ76" s="13">
        <v>0.65983249999999971</v>
      </c>
      <c r="HK76" s="13">
        <v>0.67778950000000093</v>
      </c>
      <c r="HL76" s="12">
        <v>0</v>
      </c>
      <c r="HM76" s="12">
        <v>0</v>
      </c>
      <c r="HN76" s="12">
        <v>0</v>
      </c>
      <c r="HO76" s="12">
        <v>0</v>
      </c>
      <c r="HP76" s="12">
        <v>0</v>
      </c>
      <c r="HQ76" s="12">
        <v>0</v>
      </c>
      <c r="HR76" s="12">
        <v>0</v>
      </c>
      <c r="HS76" s="12">
        <v>0</v>
      </c>
      <c r="HT76" s="12">
        <v>0</v>
      </c>
      <c r="HU76" s="12">
        <v>0</v>
      </c>
      <c r="HV76" s="12">
        <v>0</v>
      </c>
      <c r="HW76" s="12">
        <v>0</v>
      </c>
      <c r="HX76" s="9">
        <v>962414</v>
      </c>
      <c r="HY76" s="9">
        <v>1788</v>
      </c>
      <c r="HZ76" s="9">
        <v>949074</v>
      </c>
      <c r="IA76" s="9">
        <v>1816</v>
      </c>
      <c r="IB76" s="11">
        <v>216374.88399999999</v>
      </c>
      <c r="IC76" s="11">
        <v>482.86700000000002</v>
      </c>
      <c r="ID76" s="14">
        <f t="shared" ref="ID76:II76" si="723">GN76-HL76</f>
        <v>7.8825879999999957</v>
      </c>
      <c r="IE76" s="14">
        <f t="shared" si="723"/>
        <v>7.9230518333333295</v>
      </c>
      <c r="IF76" s="14">
        <f t="shared" si="723"/>
        <v>7.9977858333333307</v>
      </c>
      <c r="IG76" s="14">
        <f t="shared" si="723"/>
        <v>7.7270778333333281</v>
      </c>
      <c r="IH76" s="14">
        <f t="shared" si="723"/>
        <v>7.6368770000000072</v>
      </c>
      <c r="II76" s="14">
        <f t="shared" si="723"/>
        <v>7.9059881666666723</v>
      </c>
      <c r="IJ76" s="15">
        <f t="shared" ref="IJ76:IO76" si="724">GZ76-HR76</f>
        <v>0</v>
      </c>
      <c r="IK76" s="15">
        <f t="shared" si="724"/>
        <v>7.6340468333333291</v>
      </c>
      <c r="IL76" s="15">
        <f t="shared" si="724"/>
        <v>7.5031578333333302</v>
      </c>
      <c r="IM76" s="15">
        <f t="shared" si="724"/>
        <v>0</v>
      </c>
      <c r="IN76" s="15">
        <f t="shared" si="724"/>
        <v>7.3518539999999986</v>
      </c>
      <c r="IO76" s="15">
        <f t="shared" si="724"/>
        <v>7.5438678333333389</v>
      </c>
      <c r="IP76" s="16">
        <f t="shared" ref="IP76" si="725">(HX76-HX75)*1000</f>
        <v>1020000</v>
      </c>
      <c r="IQ76" s="16">
        <f t="shared" ref="IQ76" si="726">(HY76-HY75)*1000</f>
        <v>2000</v>
      </c>
      <c r="IR76" s="16">
        <f t="shared" ref="IR76" si="727">(HZ76-HZ75)*1000</f>
        <v>1017000</v>
      </c>
      <c r="IS76" s="16">
        <f t="shared" ref="IS76" si="728">(IA76-IA75)*1000</f>
        <v>1000</v>
      </c>
      <c r="IT76" s="16">
        <f t="shared" ref="IT76" si="729">(IB76-IB75)*1000</f>
        <v>2040000.9999999893</v>
      </c>
      <c r="IU76" s="16">
        <f t="shared" ref="IU76" si="730">(IC76-IC75)*1000</f>
        <v>4067.0000000000073</v>
      </c>
      <c r="IV76" s="17">
        <f t="shared" ref="IV76" si="731">(IP76+IR76)-(IQ76+IS76)</f>
        <v>2034000</v>
      </c>
      <c r="IW76" s="17">
        <f t="shared" ref="IW76" si="732">IT76-IU76</f>
        <v>2035933.9999999893</v>
      </c>
      <c r="IX76" s="19">
        <f>(Raw_Data[[#This Row],[Sunset Time (POA&lt;20 W/m2)]]-Raw_Data[[#This Row],[Sunrise Time (POA&gt;20 W/m2)]])*24</f>
        <v>13.283333333333331</v>
      </c>
      <c r="IY76" s="68">
        <f>AVERAGEIF(Raw_Data[[#This Row],[GHI_UP_Net_IS2_W1]:[GHI_UP_Net_IS19_W6]],"&lt;&gt;"&amp;0,Raw_Data[[#This Row],[GHI_UP_Net_IS2_W1]:[GHI_UP_Net_IS19_W6]])</f>
        <v>7.8455614444444448</v>
      </c>
      <c r="IZ76" s="68">
        <f>AVERAGEIF(Raw_Data[[#This Row],[GHI_Down_IS2_W1]:[GHI_Down_IS19_W6]],"&lt;&gt;"&amp;0,Raw_Data[[#This Row],[GHI_Down_IS2_W1]:[GHI_Down_IS19_W6]])</f>
        <v>1.9813265833333329</v>
      </c>
      <c r="JA76" s="68">
        <f>AVERAGEIF(Raw_Data[[#This Row],[POA_Up_IS2_W1]:[POA_Up_IS19_W6]],"&lt;&gt;"&amp;0,Raw_Data[[#This Row],[POA_Up_IS2_W1]:[POA_Up_IS19_W6]])</f>
        <v>7.5082316249999987</v>
      </c>
      <c r="JB76" s="68">
        <f>AVERAGEIF(Raw_Data[[#This Row],[POA_Down_IS2_W1]:[POA_Down_IS19_W6]],"&lt;&gt;"&amp;0,Raw_Data[[#This Row],[POA_Down_IS2_W1]:[POA_Down_IS19_W6]])</f>
        <v>0.6602203611111116</v>
      </c>
      <c r="JC76" s="69">
        <f>Raw_Data[[#This Row],[GHI-Down(KWh/m2)]]/Raw_Data[[#This Row],[GHI-UP (KWh/m2)]]</f>
        <v>0.25254108292483501</v>
      </c>
      <c r="JD76" s="72">
        <f>Raw_Data[[#This Row],[POA-Down(KWh/m2)]]/Raw_Data[[#This Row],[POA-UP(KWh/m2)]]</f>
        <v>8.7932870759179826E-2</v>
      </c>
      <c r="JE76" s="68">
        <f>AVERAGEIF(Raw_Data[[#This Row],[Amb_Temp_IS2_W1]:[Amb_Temp_IS19_W6]],"&lt;&gt;"&amp;0,Raw_Data[[#This Row],[Amb_Temp_IS2_W1]:[Amb_Temp_IS19_W6]])</f>
        <v>37.37179863771815</v>
      </c>
      <c r="JF76" s="68">
        <f>AVERAGEIF(Raw_Data[[#This Row],[MT_Temp_IS2_W1]:[MT_Temp_IS19_W6]],"&lt;&gt;"&amp;0,Raw_Data[[#This Row],[MT_Temp_IS2_W1]:[MT_Temp_IS19_W6]])</f>
        <v>50.579357173265215</v>
      </c>
      <c r="JG76" s="68">
        <f>AVERAGEIF(Raw_Data[[#This Row],[WS_Avg_IS2_W1]:[WS_Avg_IS19_W6]],"&lt;&gt;"&amp;0,Raw_Data[[#This Row],[WS_Avg_IS2_W1]:[WS_Avg_IS19_W6]])</f>
        <v>4.7303662796509158</v>
      </c>
      <c r="JH76" s="68">
        <f>AVERAGEIF(Raw_Data[[#This Row],[WS_Max_IS2_W1]:[WS_Max_IS19_W6]],"&lt;&gt;"&amp;0,Raw_Data[[#This Row],[WS_Max_IS2_W1]:[WS_Max_IS19_W6]])</f>
        <v>7.9255555000000006</v>
      </c>
      <c r="JI76" s="70">
        <f>SUM(Raw_Data[[#This Row],[IS1_INV1_M1]:[IS20_INV4_M2]])</f>
        <v>2052990.9999999998</v>
      </c>
      <c r="JJ76" s="73">
        <v>1928466.0000000149</v>
      </c>
      <c r="JK76" s="71">
        <v>2352061.395169578</v>
      </c>
      <c r="JL76" s="143">
        <f>IFERROR(Raw_Data[[#This Row],[WPR_Eac]]/Raw_Data[[#This Row],[WPR_Edc]],"")</f>
        <v>0.81990461811945048</v>
      </c>
      <c r="JM76" s="6">
        <v>35</v>
      </c>
      <c r="JN76" s="6">
        <v>0</v>
      </c>
    </row>
    <row r="77" spans="2:274">
      <c r="B77" s="250">
        <f t="shared" si="596"/>
        <v>45816</v>
      </c>
      <c r="C77" s="9">
        <f>YEAR(Raw_Data[[#This Row],[Date]])+IF(MONTH(Raw_Data[[#This Row],[Date]])&gt;=4,1,0)</f>
        <v>2026</v>
      </c>
      <c r="D77" s="6">
        <f t="shared" si="721"/>
        <v>2025</v>
      </c>
      <c r="E77" s="7" t="s">
        <v>361</v>
      </c>
      <c r="F77" s="7" t="s">
        <v>361</v>
      </c>
      <c r="G77" s="8">
        <v>45809</v>
      </c>
      <c r="H77" s="6">
        <f t="shared" si="722"/>
        <v>30</v>
      </c>
      <c r="I77" s="9">
        <v>335090.89</v>
      </c>
      <c r="J77" s="10">
        <v>0.26041666666666669</v>
      </c>
      <c r="K77" s="10">
        <v>0.8125</v>
      </c>
      <c r="L77" s="9">
        <v>12468</v>
      </c>
      <c r="M77" s="9">
        <v>13070.4</v>
      </c>
      <c r="N77" s="9">
        <v>13066.2</v>
      </c>
      <c r="O77" s="9">
        <v>13007.3</v>
      </c>
      <c r="P77" s="9">
        <v>13186.4</v>
      </c>
      <c r="Q77" s="9">
        <v>13186.5</v>
      </c>
      <c r="R77" s="9">
        <v>13257.3</v>
      </c>
      <c r="S77" s="9">
        <v>13640.3</v>
      </c>
      <c r="T77" s="9">
        <v>13134.5</v>
      </c>
      <c r="U77" s="9">
        <v>13146.9</v>
      </c>
      <c r="V77" s="9">
        <v>12985.4</v>
      </c>
      <c r="W77" s="9">
        <v>13096.2</v>
      </c>
      <c r="X77" s="9">
        <v>13121.6</v>
      </c>
      <c r="Y77" s="9">
        <v>13037.5</v>
      </c>
      <c r="Z77" s="9">
        <v>13157.4</v>
      </c>
      <c r="AA77" s="9">
        <v>13202.6</v>
      </c>
      <c r="AB77" s="9">
        <v>13081.1</v>
      </c>
      <c r="AC77" s="9">
        <v>13088.7</v>
      </c>
      <c r="AD77" s="9">
        <v>13120.3</v>
      </c>
      <c r="AE77" s="9">
        <v>13223.8</v>
      </c>
      <c r="AF77" s="9">
        <v>13144.4</v>
      </c>
      <c r="AG77" s="9">
        <v>13137</v>
      </c>
      <c r="AH77" s="9">
        <v>12903.3</v>
      </c>
      <c r="AI77" s="9">
        <v>13009</v>
      </c>
      <c r="AJ77" s="9">
        <v>12864.9</v>
      </c>
      <c r="AK77" s="9">
        <v>11290.1</v>
      </c>
      <c r="AL77" s="9">
        <v>12821.3</v>
      </c>
      <c r="AM77" s="9">
        <v>12826.8</v>
      </c>
      <c r="AN77" s="9">
        <v>13123.4</v>
      </c>
      <c r="AO77" s="9">
        <v>12957.6</v>
      </c>
      <c r="AP77" s="9">
        <v>12953.5</v>
      </c>
      <c r="AQ77" s="9">
        <v>13167.9</v>
      </c>
      <c r="AR77" s="9">
        <v>13225.4</v>
      </c>
      <c r="AS77" s="9">
        <v>13239.4</v>
      </c>
      <c r="AT77" s="9">
        <v>13384.9</v>
      </c>
      <c r="AU77" s="9">
        <v>13278.8</v>
      </c>
      <c r="AV77" s="9">
        <v>13257.3</v>
      </c>
      <c r="AW77" s="9">
        <v>13079</v>
      </c>
      <c r="AX77" s="9">
        <v>13099.5</v>
      </c>
      <c r="AY77" s="9">
        <v>13057.7</v>
      </c>
      <c r="AZ77" s="9">
        <v>13849.6</v>
      </c>
      <c r="BA77" s="9">
        <v>12756.2</v>
      </c>
      <c r="BB77" s="9">
        <v>13750.3</v>
      </c>
      <c r="BC77" s="9">
        <v>12545.9</v>
      </c>
      <c r="BD77" s="9">
        <v>13195.6</v>
      </c>
      <c r="BE77" s="9">
        <v>14190.2</v>
      </c>
      <c r="BF77" s="9">
        <v>12588.2</v>
      </c>
      <c r="BG77" s="9">
        <v>13852.3</v>
      </c>
      <c r="BH77" s="9">
        <v>13183</v>
      </c>
      <c r="BI77" s="9">
        <v>13380.6</v>
      </c>
      <c r="BJ77" s="9">
        <v>13216.2</v>
      </c>
      <c r="BK77" s="9">
        <v>12531.2</v>
      </c>
      <c r="BL77" s="9">
        <v>13538.8</v>
      </c>
      <c r="BM77" s="9">
        <v>13400.5</v>
      </c>
      <c r="BN77" s="9">
        <v>13470.3</v>
      </c>
      <c r="BO77" s="9">
        <v>13146.3</v>
      </c>
      <c r="BP77" s="9">
        <v>12035.4</v>
      </c>
      <c r="BQ77" s="9">
        <v>13638.9</v>
      </c>
      <c r="BR77" s="9">
        <v>12066.6</v>
      </c>
      <c r="BS77" s="9">
        <v>13615.1</v>
      </c>
      <c r="BT77" s="9">
        <v>13477.8</v>
      </c>
      <c r="BU77" s="9">
        <v>12043</v>
      </c>
      <c r="BV77" s="9">
        <v>13195.9</v>
      </c>
      <c r="BW77" s="9">
        <v>12592</v>
      </c>
      <c r="BX77" s="9">
        <v>12868</v>
      </c>
      <c r="BY77" s="9">
        <v>12077.8</v>
      </c>
      <c r="BZ77" s="9">
        <v>12742.6</v>
      </c>
      <c r="CA77" s="9">
        <v>13264.3</v>
      </c>
      <c r="CB77" s="9">
        <v>13532.9</v>
      </c>
      <c r="CC77" s="9">
        <v>12295.8</v>
      </c>
      <c r="CD77" s="9">
        <v>13381.5</v>
      </c>
      <c r="CE77" s="9">
        <v>11819.4</v>
      </c>
      <c r="CF77" s="9">
        <v>13083.1</v>
      </c>
      <c r="CG77" s="9">
        <v>12845.2</v>
      </c>
      <c r="CH77" s="9">
        <v>12145.3</v>
      </c>
      <c r="CI77" s="9">
        <v>13363.9</v>
      </c>
      <c r="CJ77" s="9">
        <v>11914.9</v>
      </c>
      <c r="CK77" s="9">
        <v>13625.7</v>
      </c>
      <c r="CL77" s="9">
        <v>12180.9</v>
      </c>
      <c r="CM77" s="9">
        <v>13413.3</v>
      </c>
      <c r="CN77" s="9">
        <v>12329.9</v>
      </c>
      <c r="CO77" s="9">
        <v>13239.9</v>
      </c>
      <c r="CP77" s="9">
        <v>12418.9</v>
      </c>
      <c r="CQ77" s="9">
        <v>13562.4</v>
      </c>
      <c r="CR77" s="9">
        <v>12320.9</v>
      </c>
      <c r="CS77" s="9">
        <v>13076.5</v>
      </c>
      <c r="CT77" s="9">
        <v>12363.2</v>
      </c>
      <c r="CU77" s="9">
        <v>10887.1</v>
      </c>
      <c r="CV77" s="9">
        <v>13292.4</v>
      </c>
      <c r="CW77" s="9">
        <v>12912.5</v>
      </c>
      <c r="CX77" s="9">
        <v>11994.7</v>
      </c>
      <c r="CY77" s="9">
        <v>13664.8</v>
      </c>
      <c r="CZ77" s="9">
        <v>13377.4</v>
      </c>
      <c r="DA77" s="9">
        <v>12510.9</v>
      </c>
      <c r="DB77" s="9">
        <v>12380.8</v>
      </c>
      <c r="DC77" s="9">
        <v>13446</v>
      </c>
      <c r="DD77" s="9">
        <v>12208.2</v>
      </c>
      <c r="DE77" s="9">
        <v>12680.4</v>
      </c>
      <c r="DF77" s="9">
        <v>13592.4</v>
      </c>
      <c r="DG77" s="9">
        <v>12141.6</v>
      </c>
      <c r="DH77" s="9">
        <v>13612.6</v>
      </c>
      <c r="DI77" s="9">
        <v>12130.1</v>
      </c>
      <c r="DJ77" s="9">
        <v>13373.3</v>
      </c>
      <c r="DK77" s="9">
        <v>12402.4</v>
      </c>
      <c r="DL77" s="9">
        <v>13419</v>
      </c>
      <c r="DM77" s="9">
        <v>11752.7</v>
      </c>
      <c r="DN77" s="9">
        <v>13484.9</v>
      </c>
      <c r="DO77" s="9">
        <v>12301.4</v>
      </c>
      <c r="DP77" s="9">
        <v>13337.5</v>
      </c>
      <c r="DQ77" s="9">
        <v>12240.9</v>
      </c>
      <c r="DR77" s="9">
        <v>13427.4</v>
      </c>
      <c r="DS77" s="9">
        <v>12483.9</v>
      </c>
      <c r="DT77" s="9">
        <v>12141.2</v>
      </c>
      <c r="DU77" s="9">
        <v>13312.5</v>
      </c>
      <c r="DV77" s="9">
        <v>12320.5</v>
      </c>
      <c r="DW77" s="9">
        <v>12063.8</v>
      </c>
      <c r="DX77" s="9">
        <v>13415.4</v>
      </c>
      <c r="DY77" s="9">
        <v>13472.8</v>
      </c>
      <c r="DZ77" s="9">
        <v>13320.8</v>
      </c>
      <c r="EA77" s="9">
        <v>12306.9</v>
      </c>
      <c r="EB77" s="9">
        <v>13397.9</v>
      </c>
      <c r="EC77" s="9">
        <v>12142</v>
      </c>
      <c r="ED77" s="9">
        <v>12915.3</v>
      </c>
      <c r="EE77" s="9">
        <v>12005.9</v>
      </c>
      <c r="EF77" s="9">
        <v>12811.3</v>
      </c>
      <c r="EG77" s="9">
        <v>11212.9</v>
      </c>
      <c r="EH77" s="9">
        <v>13175.8</v>
      </c>
      <c r="EI77" s="9">
        <v>12146</v>
      </c>
      <c r="EJ77" s="9">
        <v>12353.9</v>
      </c>
      <c r="EK77" s="9">
        <v>12422.8</v>
      </c>
      <c r="EL77" s="9">
        <v>12171.1</v>
      </c>
      <c r="EM77" s="9">
        <v>10552.2</v>
      </c>
      <c r="EN77" s="9">
        <v>12060.2</v>
      </c>
      <c r="EO77" s="9">
        <v>10671.1</v>
      </c>
      <c r="EP77" s="9">
        <v>12151.5</v>
      </c>
      <c r="EQ77" s="9">
        <v>12184.9</v>
      </c>
      <c r="ER77" s="9">
        <v>13853.8</v>
      </c>
      <c r="ES77" s="9">
        <v>12483.3</v>
      </c>
      <c r="ET77" s="9">
        <v>13913.1</v>
      </c>
      <c r="EU77" s="9">
        <v>12747</v>
      </c>
      <c r="EV77" s="9">
        <v>13808.6</v>
      </c>
      <c r="EW77" s="9">
        <v>12560.6</v>
      </c>
      <c r="EX77" s="9">
        <v>12789.6</v>
      </c>
      <c r="EY77" s="9">
        <v>12489.2</v>
      </c>
      <c r="EZ77" s="9">
        <v>13650</v>
      </c>
      <c r="FA77" s="9">
        <v>14079.5</v>
      </c>
      <c r="FB77" s="9">
        <v>13827.6</v>
      </c>
      <c r="FC77" s="9">
        <v>13772.8</v>
      </c>
      <c r="FD77" s="9">
        <v>13748</v>
      </c>
      <c r="FE77" s="9">
        <v>13788.6</v>
      </c>
      <c r="FF77" s="9">
        <v>12882.4</v>
      </c>
      <c r="FG77" s="9">
        <v>13842.1</v>
      </c>
      <c r="FH77" s="9">
        <v>13872</v>
      </c>
      <c r="FI77" s="9">
        <v>13875.2</v>
      </c>
      <c r="FJ77" s="9">
        <v>13891.1</v>
      </c>
      <c r="FK77" s="9">
        <v>13834.5</v>
      </c>
      <c r="FL77" s="9">
        <v>13901</v>
      </c>
      <c r="FM77" s="9">
        <v>12814.9</v>
      </c>
      <c r="FN77" s="9">
        <v>13963.4</v>
      </c>
      <c r="FO77" s="9">
        <v>12881.9</v>
      </c>
      <c r="FP77" s="11">
        <v>38.841302681992346</v>
      </c>
      <c r="FQ77" s="11">
        <v>38.42172413793098</v>
      </c>
      <c r="FR77" s="11">
        <v>38.489284802043457</v>
      </c>
      <c r="FS77" s="11">
        <v>38.72680715197955</v>
      </c>
      <c r="FT77" s="11">
        <v>38.576028097062554</v>
      </c>
      <c r="FU77" s="11">
        <v>38.764853128991021</v>
      </c>
      <c r="FV77" s="11">
        <v>0</v>
      </c>
      <c r="FW77" s="11">
        <v>50.3</v>
      </c>
      <c r="FX77" s="11">
        <v>0</v>
      </c>
      <c r="FY77" s="11">
        <v>0</v>
      </c>
      <c r="FZ77" s="11">
        <v>49.8</v>
      </c>
      <c r="GA77" s="11">
        <v>50.2</v>
      </c>
      <c r="GB77" s="11">
        <v>4.4180245031545402</v>
      </c>
      <c r="GC77" s="11">
        <v>6.1235757088122647</v>
      </c>
      <c r="GD77" s="11">
        <v>5.9338759029374186</v>
      </c>
      <c r="GE77" s="11">
        <v>5.6513535438569544</v>
      </c>
      <c r="GF77" s="11">
        <v>6.067698762452121</v>
      </c>
      <c r="GG77" s="11">
        <v>5.9773283971902984</v>
      </c>
      <c r="GH77" s="11">
        <v>9.3849990000000005</v>
      </c>
      <c r="GI77" s="11">
        <v>11.30167</v>
      </c>
      <c r="GJ77" s="11">
        <v>11.93167</v>
      </c>
      <c r="GK77" s="11">
        <v>10.678330000000001</v>
      </c>
      <c r="GL77" s="11">
        <v>11.645</v>
      </c>
      <c r="GM77" s="11">
        <v>11.34333</v>
      </c>
      <c r="GN77" s="11">
        <v>8.0051174999999919</v>
      </c>
      <c r="GO77" s="11">
        <v>8.0386596666666694</v>
      </c>
      <c r="GP77" s="11">
        <v>8.1276408333333414</v>
      </c>
      <c r="GQ77" s="11">
        <v>7.8454945</v>
      </c>
      <c r="GR77" s="11">
        <v>7.7657951666666669</v>
      </c>
      <c r="GS77" s="11">
        <v>8.0477176666666761</v>
      </c>
      <c r="GT77" s="108">
        <v>2.0466200000000021</v>
      </c>
      <c r="GU77" s="108">
        <v>1.9770274999999997</v>
      </c>
      <c r="GV77" s="108">
        <v>1.8638418333333324</v>
      </c>
      <c r="GW77" s="108">
        <v>2.2682971666666711</v>
      </c>
      <c r="GX77" s="108">
        <v>2.2388006666666684</v>
      </c>
      <c r="GY77" s="108">
        <v>1.8879945000000029</v>
      </c>
      <c r="GZ77" s="13">
        <v>0</v>
      </c>
      <c r="HA77" s="13">
        <v>7.7470964999999961</v>
      </c>
      <c r="HB77" s="13">
        <v>7.6173799999999972</v>
      </c>
      <c r="HC77" s="13">
        <v>0</v>
      </c>
      <c r="HD77" s="13">
        <v>7.4913205000000014</v>
      </c>
      <c r="HE77" s="13">
        <v>7.6726476666666654</v>
      </c>
      <c r="HF77" s="13">
        <v>0.6780020000000011</v>
      </c>
      <c r="HG77" s="13">
        <v>0.75488799999999878</v>
      </c>
      <c r="HH77" s="13">
        <v>0.63467550000000095</v>
      </c>
      <c r="HI77" s="13">
        <v>0.65678833333333364</v>
      </c>
      <c r="HJ77" s="13">
        <v>0.68308950000000013</v>
      </c>
      <c r="HK77" s="13">
        <v>0.70664016666666696</v>
      </c>
      <c r="HL77" s="12">
        <v>0</v>
      </c>
      <c r="HM77" s="12">
        <v>0</v>
      </c>
      <c r="HN77" s="12">
        <v>0</v>
      </c>
      <c r="HO77" s="12">
        <v>0</v>
      </c>
      <c r="HP77" s="12">
        <v>0</v>
      </c>
      <c r="HQ77" s="12">
        <v>0</v>
      </c>
      <c r="HR77" s="12">
        <v>0</v>
      </c>
      <c r="HS77" s="12">
        <v>0</v>
      </c>
      <c r="HT77" s="12">
        <v>0</v>
      </c>
      <c r="HU77" s="12">
        <v>0</v>
      </c>
      <c r="HV77" s="12">
        <v>0</v>
      </c>
      <c r="HW77" s="12">
        <v>0</v>
      </c>
      <c r="HX77" s="9">
        <v>963440</v>
      </c>
      <c r="HY77" s="9">
        <v>1789</v>
      </c>
      <c r="HZ77" s="9">
        <v>950099</v>
      </c>
      <c r="IA77" s="9">
        <v>1817</v>
      </c>
      <c r="IB77" s="11">
        <v>218431.88399999999</v>
      </c>
      <c r="IC77" s="11">
        <v>487</v>
      </c>
      <c r="ID77" s="14">
        <f t="shared" ref="ID77:II77" si="733">GN77-HL77</f>
        <v>8.0051174999999919</v>
      </c>
      <c r="IE77" s="14">
        <f t="shared" si="733"/>
        <v>8.0386596666666694</v>
      </c>
      <c r="IF77" s="14">
        <f t="shared" si="733"/>
        <v>8.1276408333333414</v>
      </c>
      <c r="IG77" s="14">
        <f t="shared" si="733"/>
        <v>7.8454945</v>
      </c>
      <c r="IH77" s="14">
        <f t="shared" si="733"/>
        <v>7.7657951666666669</v>
      </c>
      <c r="II77" s="14">
        <f t="shared" si="733"/>
        <v>8.0477176666666761</v>
      </c>
      <c r="IJ77" s="15">
        <f t="shared" ref="IJ77:IO77" si="734">GZ77-HR77</f>
        <v>0</v>
      </c>
      <c r="IK77" s="15">
        <f t="shared" si="734"/>
        <v>7.7470964999999961</v>
      </c>
      <c r="IL77" s="15">
        <f t="shared" si="734"/>
        <v>7.6173799999999972</v>
      </c>
      <c r="IM77" s="15">
        <f t="shared" si="734"/>
        <v>0</v>
      </c>
      <c r="IN77" s="15">
        <f t="shared" si="734"/>
        <v>7.4913205000000014</v>
      </c>
      <c r="IO77" s="15">
        <f t="shared" si="734"/>
        <v>7.6726476666666654</v>
      </c>
      <c r="IP77" s="16">
        <f t="shared" ref="IP77" si="735">(HX77-HX76)*1000</f>
        <v>1026000</v>
      </c>
      <c r="IQ77" s="16">
        <f t="shared" ref="IQ77" si="736">(HY77-HY76)*1000</f>
        <v>1000</v>
      </c>
      <c r="IR77" s="16">
        <f t="shared" ref="IR77" si="737">(HZ77-HZ76)*1000</f>
        <v>1025000</v>
      </c>
      <c r="IS77" s="16">
        <f t="shared" ref="IS77" si="738">(IA77-IA76)*1000</f>
        <v>1000</v>
      </c>
      <c r="IT77" s="16">
        <f t="shared" ref="IT77" si="739">(IB77-IB76)*1000</f>
        <v>2057000</v>
      </c>
      <c r="IU77" s="16">
        <f t="shared" ref="IU77" si="740">(IC77-IC76)*1000</f>
        <v>4132.9999999999818</v>
      </c>
      <c r="IV77" s="17">
        <f t="shared" ref="IV77" si="741">(IP77+IR77)-(IQ77+IS77)</f>
        <v>2049000</v>
      </c>
      <c r="IW77" s="17">
        <f t="shared" ref="IW77" si="742">IT77-IU77</f>
        <v>2052867</v>
      </c>
      <c r="IX77" s="19">
        <f>(Raw_Data[[#This Row],[Sunset Time (POA&lt;20 W/m2)]]-Raw_Data[[#This Row],[Sunrise Time (POA&gt;20 W/m2)]])*24</f>
        <v>13.249999999999998</v>
      </c>
      <c r="IY77" s="68">
        <f>AVERAGEIF(Raw_Data[[#This Row],[GHI_UP_Net_IS2_W1]:[GHI_UP_Net_IS19_W6]],"&lt;&gt;"&amp;0,Raw_Data[[#This Row],[GHI_UP_Net_IS2_W1]:[GHI_UP_Net_IS19_W6]])</f>
        <v>7.9717375555555572</v>
      </c>
      <c r="IZ77" s="68">
        <f>AVERAGEIF(Raw_Data[[#This Row],[GHI_Down_IS2_W1]:[GHI_Down_IS19_W6]],"&lt;&gt;"&amp;0,Raw_Data[[#This Row],[GHI_Down_IS2_W1]:[GHI_Down_IS19_W6]])</f>
        <v>2.047096944444446</v>
      </c>
      <c r="JA77" s="68">
        <f>AVERAGEIF(Raw_Data[[#This Row],[POA_Up_IS2_W1]:[POA_Up_IS19_W6]],"&lt;&gt;"&amp;0,Raw_Data[[#This Row],[POA_Up_IS2_W1]:[POA_Up_IS19_W6]])</f>
        <v>7.6321111666666654</v>
      </c>
      <c r="JB77" s="68">
        <f>AVERAGEIF(Raw_Data[[#This Row],[POA_Down_IS2_W1]:[POA_Down_IS19_W6]],"&lt;&gt;"&amp;0,Raw_Data[[#This Row],[POA_Down_IS2_W1]:[POA_Down_IS19_W6]])</f>
        <v>0.6856805833333337</v>
      </c>
      <c r="JC77" s="69">
        <f>Raw_Data[[#This Row],[GHI-Down(KWh/m2)]]/Raw_Data[[#This Row],[GHI-UP (KWh/m2)]]</f>
        <v>0.25679432246459372</v>
      </c>
      <c r="JD77" s="72">
        <f>Raw_Data[[#This Row],[POA-Down(KWh/m2)]]/Raw_Data[[#This Row],[POA-UP(KWh/m2)]]</f>
        <v>8.9841535108667131E-2</v>
      </c>
      <c r="JE77" s="68">
        <f>AVERAGEIF(Raw_Data[[#This Row],[Amb_Temp_IS2_W1]:[Amb_Temp_IS19_W6]],"&lt;&gt;"&amp;0,Raw_Data[[#This Row],[Amb_Temp_IS2_W1]:[Amb_Temp_IS19_W6]])</f>
        <v>38.636666666666656</v>
      </c>
      <c r="JF77" s="68">
        <f>AVERAGEIF(Raw_Data[[#This Row],[MT_Temp_IS2_W1]:[MT_Temp_IS19_W6]],"&lt;&gt;"&amp;0,Raw_Data[[#This Row],[MT_Temp_IS2_W1]:[MT_Temp_IS19_W6]])</f>
        <v>50.1</v>
      </c>
      <c r="JG77" s="68">
        <f>AVERAGEIF(Raw_Data[[#This Row],[WS_Avg_IS2_W1]:[WS_Avg_IS19_W6]],"&lt;&gt;"&amp;0,Raw_Data[[#This Row],[WS_Avg_IS2_W1]:[WS_Avg_IS19_W6]])</f>
        <v>5.6953094697339326</v>
      </c>
      <c r="JH77" s="68">
        <f>AVERAGEIF(Raw_Data[[#This Row],[WS_Max_IS2_W1]:[WS_Max_IS19_W6]],"&lt;&gt;"&amp;0,Raw_Data[[#This Row],[WS_Max_IS2_W1]:[WS_Max_IS19_W6]])</f>
        <v>11.047499833333333</v>
      </c>
      <c r="JI77" s="70">
        <f>SUM(Raw_Data[[#This Row],[IS1_INV1_M1]:[IS20_INV4_M2]])</f>
        <v>2070279.9999999993</v>
      </c>
      <c r="JJ77" s="73">
        <v>1979589.6754999724</v>
      </c>
      <c r="JK77" s="71">
        <v>2391201.07516381</v>
      </c>
      <c r="JL77" s="143">
        <f>IFERROR(Raw_Data[[#This Row],[WPR_Eac]]/Raw_Data[[#This Row],[WPR_Edc]],"")</f>
        <v>0.8278641625168891</v>
      </c>
      <c r="JM77" s="6">
        <v>34</v>
      </c>
      <c r="JN77" s="6">
        <v>0</v>
      </c>
    </row>
    <row r="78" spans="2:274">
      <c r="B78" s="250">
        <f t="shared" si="596"/>
        <v>45817</v>
      </c>
      <c r="C78" s="9">
        <f>YEAR(Raw_Data[[#This Row],[Date]])+IF(MONTH(Raw_Data[[#This Row],[Date]])&gt;=4,1,0)</f>
        <v>2026</v>
      </c>
      <c r="D78" s="6">
        <f t="shared" si="721"/>
        <v>2025</v>
      </c>
      <c r="E78" s="7" t="s">
        <v>361</v>
      </c>
      <c r="F78" s="7" t="s">
        <v>361</v>
      </c>
      <c r="G78" s="8">
        <v>45809</v>
      </c>
      <c r="H78" s="6">
        <f t="shared" si="722"/>
        <v>30</v>
      </c>
      <c r="I78" s="9">
        <v>335090.89</v>
      </c>
      <c r="J78" s="10">
        <v>0.26041666666666669</v>
      </c>
      <c r="K78" s="10">
        <v>0.81319444444444444</v>
      </c>
      <c r="L78" s="9">
        <v>12498.2</v>
      </c>
      <c r="M78" s="9">
        <v>13076.5</v>
      </c>
      <c r="N78" s="9">
        <v>13119.7</v>
      </c>
      <c r="O78" s="9">
        <v>13033.6</v>
      </c>
      <c r="P78" s="9">
        <v>13248.3</v>
      </c>
      <c r="Q78" s="9">
        <v>13219.5</v>
      </c>
      <c r="R78" s="9">
        <v>13284.6</v>
      </c>
      <c r="S78" s="9">
        <v>13701.1</v>
      </c>
      <c r="T78" s="9">
        <v>13164.1</v>
      </c>
      <c r="U78" s="9">
        <v>13193.4</v>
      </c>
      <c r="V78" s="9">
        <v>13009.4</v>
      </c>
      <c r="W78" s="9">
        <v>13114.1</v>
      </c>
      <c r="X78" s="9">
        <v>13159.1</v>
      </c>
      <c r="Y78" s="9">
        <v>13057.2</v>
      </c>
      <c r="Z78" s="9">
        <v>13191.9</v>
      </c>
      <c r="AA78" s="9">
        <v>13253.7</v>
      </c>
      <c r="AB78" s="9">
        <v>13119.5</v>
      </c>
      <c r="AC78" s="9">
        <v>13141.2</v>
      </c>
      <c r="AD78" s="9">
        <v>13158.1</v>
      </c>
      <c r="AE78" s="9">
        <v>13263.6</v>
      </c>
      <c r="AF78" s="9">
        <v>13180.1</v>
      </c>
      <c r="AG78" s="9">
        <v>13176.5</v>
      </c>
      <c r="AH78" s="9">
        <v>12936.3</v>
      </c>
      <c r="AI78" s="9">
        <v>13041.7</v>
      </c>
      <c r="AJ78" s="9">
        <v>12896.6</v>
      </c>
      <c r="AK78" s="9">
        <v>11284.1</v>
      </c>
      <c r="AL78" s="9">
        <v>12856.9</v>
      </c>
      <c r="AM78" s="9">
        <v>12857.8</v>
      </c>
      <c r="AN78" s="9">
        <v>13152.3</v>
      </c>
      <c r="AO78" s="9">
        <v>12959.7</v>
      </c>
      <c r="AP78" s="9">
        <v>12986.2</v>
      </c>
      <c r="AQ78" s="9">
        <v>13209.3</v>
      </c>
      <c r="AR78" s="9">
        <v>13224.7</v>
      </c>
      <c r="AS78" s="9">
        <v>13251.8</v>
      </c>
      <c r="AT78" s="9">
        <v>13402.1</v>
      </c>
      <c r="AU78" s="9">
        <v>13273.8</v>
      </c>
      <c r="AV78" s="9">
        <v>13293.3</v>
      </c>
      <c r="AW78" s="9">
        <v>13103.3</v>
      </c>
      <c r="AX78" s="9">
        <v>13125.7</v>
      </c>
      <c r="AY78" s="9">
        <v>13088.7</v>
      </c>
      <c r="AZ78" s="9">
        <v>13989.4</v>
      </c>
      <c r="BA78" s="9">
        <v>12796.4</v>
      </c>
      <c r="BB78" s="9">
        <v>13849.8</v>
      </c>
      <c r="BC78" s="9">
        <v>12575.4</v>
      </c>
      <c r="BD78" s="9">
        <v>13250.1</v>
      </c>
      <c r="BE78" s="9">
        <v>14438.8</v>
      </c>
      <c r="BF78" s="9">
        <v>12598.1</v>
      </c>
      <c r="BG78" s="9">
        <v>14019.3</v>
      </c>
      <c r="BH78" s="9">
        <v>13243.5</v>
      </c>
      <c r="BI78" s="9">
        <v>13440.5</v>
      </c>
      <c r="BJ78" s="9">
        <v>13264</v>
      </c>
      <c r="BK78" s="9">
        <v>12564.3</v>
      </c>
      <c r="BL78" s="9">
        <v>13622.4</v>
      </c>
      <c r="BM78" s="9">
        <v>13463.1</v>
      </c>
      <c r="BN78" s="9">
        <v>13530.2</v>
      </c>
      <c r="BO78" s="9">
        <v>13414.3</v>
      </c>
      <c r="BP78" s="9">
        <v>12040.6</v>
      </c>
      <c r="BQ78" s="9">
        <v>13720</v>
      </c>
      <c r="BR78" s="9">
        <v>12081</v>
      </c>
      <c r="BS78" s="9">
        <v>13698.1</v>
      </c>
      <c r="BT78" s="9">
        <v>13564.1</v>
      </c>
      <c r="BU78" s="9">
        <v>12053.3</v>
      </c>
      <c r="BV78" s="9">
        <v>13233.2</v>
      </c>
      <c r="BW78" s="9">
        <v>12601.3</v>
      </c>
      <c r="BX78" s="9">
        <v>12901.3</v>
      </c>
      <c r="BY78" s="9">
        <v>12106.8</v>
      </c>
      <c r="BZ78" s="9">
        <v>12791.5</v>
      </c>
      <c r="CA78" s="9">
        <v>13335.3</v>
      </c>
      <c r="CB78" s="9">
        <v>13632</v>
      </c>
      <c r="CC78" s="9">
        <v>12335.5</v>
      </c>
      <c r="CD78" s="9">
        <v>13467</v>
      </c>
      <c r="CE78" s="9">
        <v>11844.5</v>
      </c>
      <c r="CF78" s="9">
        <v>13139</v>
      </c>
      <c r="CG78" s="9">
        <v>12906</v>
      </c>
      <c r="CH78" s="9">
        <v>12174.6</v>
      </c>
      <c r="CI78" s="9">
        <v>13446.1</v>
      </c>
      <c r="CJ78" s="9">
        <v>11933.7</v>
      </c>
      <c r="CK78" s="9">
        <v>13729.9</v>
      </c>
      <c r="CL78" s="9">
        <v>12203.3</v>
      </c>
      <c r="CM78" s="9">
        <v>13488.4</v>
      </c>
      <c r="CN78" s="9">
        <v>12368.6</v>
      </c>
      <c r="CO78" s="9">
        <v>13310.9</v>
      </c>
      <c r="CP78" s="9">
        <v>12482</v>
      </c>
      <c r="CQ78" s="9">
        <v>13668.6</v>
      </c>
      <c r="CR78" s="9">
        <v>12372.2</v>
      </c>
      <c r="CS78" s="9">
        <v>13148.2</v>
      </c>
      <c r="CT78" s="9">
        <v>12386.9</v>
      </c>
      <c r="CU78" s="9">
        <v>10880.1</v>
      </c>
      <c r="CV78" s="9">
        <v>13375.4</v>
      </c>
      <c r="CW78" s="9">
        <v>12958.9</v>
      </c>
      <c r="CX78" s="9">
        <v>12015</v>
      </c>
      <c r="CY78" s="9">
        <v>13776.3</v>
      </c>
      <c r="CZ78" s="9">
        <v>13423.8</v>
      </c>
      <c r="DA78" s="9">
        <v>12487.7</v>
      </c>
      <c r="DB78" s="9">
        <v>12351.2</v>
      </c>
      <c r="DC78" s="9">
        <v>13501.1</v>
      </c>
      <c r="DD78" s="9">
        <v>12187.2</v>
      </c>
      <c r="DE78" s="9">
        <v>12707.7</v>
      </c>
      <c r="DF78" s="9">
        <v>13680.8</v>
      </c>
      <c r="DG78" s="9">
        <v>12157.9</v>
      </c>
      <c r="DH78" s="9">
        <v>13696.1</v>
      </c>
      <c r="DI78" s="9">
        <v>12140.9</v>
      </c>
      <c r="DJ78" s="9">
        <v>13422.7</v>
      </c>
      <c r="DK78" s="9">
        <v>12420.8</v>
      </c>
      <c r="DL78" s="9">
        <v>13485.7</v>
      </c>
      <c r="DM78" s="9">
        <v>11755.3</v>
      </c>
      <c r="DN78" s="9">
        <v>13565.1</v>
      </c>
      <c r="DO78" s="9">
        <v>12326.3</v>
      </c>
      <c r="DP78" s="9">
        <v>13383.6</v>
      </c>
      <c r="DQ78" s="9">
        <v>12258.6</v>
      </c>
      <c r="DR78" s="9">
        <v>13489.2</v>
      </c>
      <c r="DS78" s="9">
        <v>12504.7</v>
      </c>
      <c r="DT78" s="9">
        <v>12164.4</v>
      </c>
      <c r="DU78" s="9">
        <v>13390.8</v>
      </c>
      <c r="DV78" s="9">
        <v>12344.5</v>
      </c>
      <c r="DW78" s="9">
        <v>12074.9</v>
      </c>
      <c r="DX78" s="9">
        <v>13475.8</v>
      </c>
      <c r="DY78" s="9">
        <v>13561.5</v>
      </c>
      <c r="DZ78" s="9">
        <v>13391.2</v>
      </c>
      <c r="EA78" s="9">
        <v>12331.9</v>
      </c>
      <c r="EB78" s="9">
        <v>13490.1</v>
      </c>
      <c r="EC78" s="9">
        <v>12158</v>
      </c>
      <c r="ED78" s="9">
        <v>13227.9</v>
      </c>
      <c r="EE78" s="9">
        <v>12287.3</v>
      </c>
      <c r="EF78" s="9">
        <v>13047.1</v>
      </c>
      <c r="EG78" s="9">
        <v>11384.7</v>
      </c>
      <c r="EH78" s="9">
        <v>13218.7</v>
      </c>
      <c r="EI78" s="9">
        <v>12166.7</v>
      </c>
      <c r="EJ78" s="9">
        <v>12324.5</v>
      </c>
      <c r="EK78" s="9">
        <v>12397.9</v>
      </c>
      <c r="EL78" s="9">
        <v>12168.5</v>
      </c>
      <c r="EM78" s="9">
        <v>10508</v>
      </c>
      <c r="EN78" s="9">
        <v>12108.2</v>
      </c>
      <c r="EO78" s="9">
        <v>10639.6</v>
      </c>
      <c r="EP78" s="9">
        <v>12176.8</v>
      </c>
      <c r="EQ78" s="9">
        <v>12211.8</v>
      </c>
      <c r="ER78" s="9">
        <v>13993.5</v>
      </c>
      <c r="ES78" s="9">
        <v>12500.6</v>
      </c>
      <c r="ET78" s="9">
        <v>14050.1</v>
      </c>
      <c r="EU78" s="9">
        <v>12765.3</v>
      </c>
      <c r="EV78" s="9">
        <v>13935</v>
      </c>
      <c r="EW78" s="9">
        <v>12563.8</v>
      </c>
      <c r="EX78" s="9">
        <v>12800.8</v>
      </c>
      <c r="EY78" s="9">
        <v>12475</v>
      </c>
      <c r="EZ78" s="9">
        <v>13687.6</v>
      </c>
      <c r="FA78" s="9">
        <v>14123.9</v>
      </c>
      <c r="FB78" s="9">
        <v>13938.3</v>
      </c>
      <c r="FC78" s="9">
        <v>13889.5</v>
      </c>
      <c r="FD78" s="9">
        <v>13875</v>
      </c>
      <c r="FE78" s="9">
        <v>13914.9</v>
      </c>
      <c r="FF78" s="9">
        <v>12899.1</v>
      </c>
      <c r="FG78" s="9">
        <v>13960.7</v>
      </c>
      <c r="FH78" s="9">
        <v>14005</v>
      </c>
      <c r="FI78" s="9">
        <v>14005</v>
      </c>
      <c r="FJ78" s="9">
        <v>14022.3</v>
      </c>
      <c r="FK78" s="9">
        <v>13976.3</v>
      </c>
      <c r="FL78" s="9">
        <v>14018.7</v>
      </c>
      <c r="FM78" s="9">
        <v>12834.6</v>
      </c>
      <c r="FN78" s="9">
        <v>14078.8</v>
      </c>
      <c r="FO78" s="9">
        <v>12903.5</v>
      </c>
      <c r="FP78" s="11">
        <v>38.324572158365221</v>
      </c>
      <c r="FQ78" s="11">
        <v>37.828058748403578</v>
      </c>
      <c r="FR78" s="11">
        <v>37.936666666666675</v>
      </c>
      <c r="FS78" s="11">
        <v>38.091851851851914</v>
      </c>
      <c r="FT78" s="11">
        <v>37.896871008939989</v>
      </c>
      <c r="FU78" s="11">
        <v>38.220204342273327</v>
      </c>
      <c r="FV78" s="11">
        <v>0</v>
      </c>
      <c r="FW78" s="11">
        <v>49.6</v>
      </c>
      <c r="FX78" s="11">
        <v>0</v>
      </c>
      <c r="FY78" s="11">
        <v>0</v>
      </c>
      <c r="FZ78" s="11">
        <v>49.7</v>
      </c>
      <c r="GA78" s="11">
        <v>50.445785440613079</v>
      </c>
      <c r="GB78" s="11">
        <v>4.1622901524521065</v>
      </c>
      <c r="GC78" s="11">
        <v>6.3040652988505697</v>
      </c>
      <c r="GD78" s="11">
        <v>6.0604403448275859</v>
      </c>
      <c r="GE78" s="11">
        <v>6.3731691468710059</v>
      </c>
      <c r="GF78" s="11">
        <v>6.4428073167305175</v>
      </c>
      <c r="GG78" s="11">
        <v>6.1970729655172452</v>
      </c>
      <c r="GH78" s="11">
        <v>8.5266660000000005</v>
      </c>
      <c r="GI78" s="11">
        <v>9.7233339999999995</v>
      </c>
      <c r="GJ78" s="11">
        <v>9.5616660000000007</v>
      </c>
      <c r="GK78" s="11">
        <v>9.7116670000000003</v>
      </c>
      <c r="GL78" s="11">
        <v>9.1166660000000004</v>
      </c>
      <c r="GM78" s="11">
        <v>8.9883330000000008</v>
      </c>
      <c r="GN78" s="11">
        <v>7.9496448333333376</v>
      </c>
      <c r="GO78" s="11">
        <v>7.9722986666666653</v>
      </c>
      <c r="GP78" s="11">
        <v>8.0616160000000079</v>
      </c>
      <c r="GQ78" s="11">
        <v>7.800692166666658</v>
      </c>
      <c r="GR78" s="11">
        <v>7.6984766666666626</v>
      </c>
      <c r="GS78" s="11">
        <v>7.9741200000000019</v>
      </c>
      <c r="GT78" s="108">
        <v>2.0281164999999981</v>
      </c>
      <c r="GU78" s="108">
        <v>1.9660181666666658</v>
      </c>
      <c r="GV78" s="108">
        <v>1.8464003333333356</v>
      </c>
      <c r="GW78" s="108">
        <v>2.2503398333333338</v>
      </c>
      <c r="GX78" s="108">
        <v>2.222831499999999</v>
      </c>
      <c r="GY78" s="108">
        <v>1.859233166666667</v>
      </c>
      <c r="GZ78" s="13">
        <v>0</v>
      </c>
      <c r="HA78" s="13">
        <v>7.682471500000001</v>
      </c>
      <c r="HB78" s="13">
        <v>7.5548308333333338</v>
      </c>
      <c r="HC78" s="13">
        <v>0</v>
      </c>
      <c r="HD78" s="13">
        <v>7.4067896666666666</v>
      </c>
      <c r="HE78" s="13">
        <v>7.6065981666666662</v>
      </c>
      <c r="HF78" s="13">
        <v>0.67565866666666652</v>
      </c>
      <c r="HG78" s="13">
        <v>0.7514474999999996</v>
      </c>
      <c r="HH78" s="13">
        <v>0.62996483333333353</v>
      </c>
      <c r="HI78" s="13">
        <v>0.65544766666666565</v>
      </c>
      <c r="HJ78" s="13">
        <v>0.6811775000000001</v>
      </c>
      <c r="HK78" s="13">
        <v>0.70522450000000014</v>
      </c>
      <c r="HL78" s="12">
        <v>0</v>
      </c>
      <c r="HM78" s="12">
        <v>0</v>
      </c>
      <c r="HN78" s="12">
        <v>0</v>
      </c>
      <c r="HO78" s="12">
        <v>0</v>
      </c>
      <c r="HP78" s="12">
        <v>0</v>
      </c>
      <c r="HQ78" s="12">
        <v>0</v>
      </c>
      <c r="HR78" s="12">
        <v>0</v>
      </c>
      <c r="HS78" s="12">
        <v>0</v>
      </c>
      <c r="HT78" s="12">
        <v>0</v>
      </c>
      <c r="HU78" s="12">
        <v>0</v>
      </c>
      <c r="HV78" s="12">
        <v>0</v>
      </c>
      <c r="HW78" s="12">
        <v>0</v>
      </c>
      <c r="HX78" s="9">
        <v>964470</v>
      </c>
      <c r="HY78" s="9">
        <v>1791</v>
      </c>
      <c r="HZ78" s="9">
        <v>951128</v>
      </c>
      <c r="IA78" s="9">
        <v>1819</v>
      </c>
      <c r="IB78" s="11">
        <v>220497.75099999999</v>
      </c>
      <c r="IC78" s="11">
        <v>491.33300000000003</v>
      </c>
      <c r="ID78" s="14">
        <f t="shared" ref="ID78:II78" si="743">GN78-HL78</f>
        <v>7.9496448333333376</v>
      </c>
      <c r="IE78" s="14">
        <f t="shared" si="743"/>
        <v>7.9722986666666653</v>
      </c>
      <c r="IF78" s="14">
        <f t="shared" si="743"/>
        <v>8.0616160000000079</v>
      </c>
      <c r="IG78" s="14">
        <f t="shared" si="743"/>
        <v>7.800692166666658</v>
      </c>
      <c r="IH78" s="14">
        <f t="shared" si="743"/>
        <v>7.6984766666666626</v>
      </c>
      <c r="II78" s="14">
        <f t="shared" si="743"/>
        <v>7.9741200000000019</v>
      </c>
      <c r="IJ78" s="15">
        <f t="shared" ref="IJ78:IO78" si="744">GZ78-HR78</f>
        <v>0</v>
      </c>
      <c r="IK78" s="15">
        <f t="shared" si="744"/>
        <v>7.682471500000001</v>
      </c>
      <c r="IL78" s="15">
        <f t="shared" si="744"/>
        <v>7.5548308333333338</v>
      </c>
      <c r="IM78" s="15">
        <f t="shared" si="744"/>
        <v>0</v>
      </c>
      <c r="IN78" s="15">
        <f t="shared" si="744"/>
        <v>7.4067896666666666</v>
      </c>
      <c r="IO78" s="15">
        <f t="shared" si="744"/>
        <v>7.6065981666666662</v>
      </c>
      <c r="IP78" s="16">
        <f t="shared" ref="IP78" si="745">(HX78-HX77)*1000</f>
        <v>1030000</v>
      </c>
      <c r="IQ78" s="16">
        <f t="shared" ref="IQ78" si="746">(HY78-HY77)*1000</f>
        <v>2000</v>
      </c>
      <c r="IR78" s="16">
        <f t="shared" ref="IR78" si="747">(HZ78-HZ77)*1000</f>
        <v>1029000</v>
      </c>
      <c r="IS78" s="16">
        <f t="shared" ref="IS78" si="748">(IA78-IA77)*1000</f>
        <v>2000</v>
      </c>
      <c r="IT78" s="16">
        <f t="shared" ref="IT78" si="749">(IB78-IB77)*1000</f>
        <v>2065866.9999999984</v>
      </c>
      <c r="IU78" s="16">
        <f t="shared" ref="IU78" si="750">(IC78-IC77)*1000</f>
        <v>4333.0000000000273</v>
      </c>
      <c r="IV78" s="17">
        <f t="shared" ref="IV78" si="751">(IP78+IR78)-(IQ78+IS78)</f>
        <v>2055000</v>
      </c>
      <c r="IW78" s="17">
        <f t="shared" ref="IW78" si="752">IT78-IU78</f>
        <v>2061533.9999999984</v>
      </c>
      <c r="IX78" s="19">
        <f>(Raw_Data[[#This Row],[Sunset Time (POA&lt;20 W/m2)]]-Raw_Data[[#This Row],[Sunrise Time (POA&gt;20 W/m2)]])*24</f>
        <v>13.266666666666667</v>
      </c>
      <c r="IY78" s="68">
        <f>AVERAGEIF(Raw_Data[[#This Row],[GHI_UP_Net_IS2_W1]:[GHI_UP_Net_IS19_W6]],"&lt;&gt;"&amp;0,Raw_Data[[#This Row],[GHI_UP_Net_IS2_W1]:[GHI_UP_Net_IS19_W6]])</f>
        <v>7.9094747222222219</v>
      </c>
      <c r="IZ78" s="68">
        <f>AVERAGEIF(Raw_Data[[#This Row],[GHI_Down_IS2_W1]:[GHI_Down_IS19_W6]],"&lt;&gt;"&amp;0,Raw_Data[[#This Row],[GHI_Down_IS2_W1]:[GHI_Down_IS19_W6]])</f>
        <v>2.0288232499999999</v>
      </c>
      <c r="JA78" s="68">
        <f>AVERAGEIF(Raw_Data[[#This Row],[POA_Up_IS2_W1]:[POA_Up_IS19_W6]],"&lt;&gt;"&amp;0,Raw_Data[[#This Row],[POA_Up_IS2_W1]:[POA_Up_IS19_W6]])</f>
        <v>7.5626725416666662</v>
      </c>
      <c r="JB78" s="68">
        <f>AVERAGEIF(Raw_Data[[#This Row],[POA_Down_IS2_W1]:[POA_Down_IS19_W6]],"&lt;&gt;"&amp;0,Raw_Data[[#This Row],[POA_Down_IS2_W1]:[POA_Down_IS19_W6]])</f>
        <v>0.68315344444444426</v>
      </c>
      <c r="JC78" s="69">
        <f>Raw_Data[[#This Row],[GHI-Down(KWh/m2)]]/Raw_Data[[#This Row],[GHI-UP (KWh/m2)]]</f>
        <v>0.25650543446328733</v>
      </c>
      <c r="JD78" s="72">
        <f>Raw_Data[[#This Row],[POA-Down(KWh/m2)]]/Raw_Data[[#This Row],[POA-UP(KWh/m2)]]</f>
        <v>9.0332278791736567E-2</v>
      </c>
      <c r="JE78" s="68">
        <f>AVERAGEIF(Raw_Data[[#This Row],[Amb_Temp_IS2_W1]:[Amb_Temp_IS19_W6]],"&lt;&gt;"&amp;0,Raw_Data[[#This Row],[Amb_Temp_IS2_W1]:[Amb_Temp_IS19_W6]])</f>
        <v>38.049704129416781</v>
      </c>
      <c r="JF78" s="68">
        <f>AVERAGEIF(Raw_Data[[#This Row],[MT_Temp_IS2_W1]:[MT_Temp_IS19_W6]],"&lt;&gt;"&amp;0,Raw_Data[[#This Row],[MT_Temp_IS2_W1]:[MT_Temp_IS19_W6]])</f>
        <v>49.91526181353769</v>
      </c>
      <c r="JG78" s="68">
        <f>AVERAGEIF(Raw_Data[[#This Row],[WS_Avg_IS2_W1]:[WS_Avg_IS19_W6]],"&lt;&gt;"&amp;0,Raw_Data[[#This Row],[WS_Avg_IS2_W1]:[WS_Avg_IS19_W6]])</f>
        <v>5.923307537541505</v>
      </c>
      <c r="JH78" s="68">
        <f>AVERAGEIF(Raw_Data[[#This Row],[WS_Max_IS2_W1]:[WS_Max_IS19_W6]],"&lt;&gt;"&amp;0,Raw_Data[[#This Row],[WS_Max_IS2_W1]:[WS_Max_IS19_W6]])</f>
        <v>9.2713886666666667</v>
      </c>
      <c r="JI78" s="70">
        <f>SUM(Raw_Data[[#This Row],[IS1_INV1_M1]:[IS20_INV4_M2]])</f>
        <v>2078951.4000000006</v>
      </c>
      <c r="JJ78" s="73">
        <v>1954399.9999999651</v>
      </c>
      <c r="JK78" s="71">
        <v>2376420.1235798537</v>
      </c>
      <c r="JL78" s="143">
        <f>IFERROR(Raw_Data[[#This Row],[WPR_Eac]]/Raw_Data[[#This Row],[WPR_Edc]],"")</f>
        <v>0.82241350365938037</v>
      </c>
      <c r="JM78" s="6">
        <v>29</v>
      </c>
      <c r="JN78" s="6">
        <v>0</v>
      </c>
    </row>
    <row r="79" spans="2:274">
      <c r="B79" s="250">
        <f t="shared" si="596"/>
        <v>45818</v>
      </c>
      <c r="C79" s="9">
        <f>YEAR(Raw_Data[[#This Row],[Date]])+IF(MONTH(Raw_Data[[#This Row],[Date]])&gt;=4,1,0)</f>
        <v>2026</v>
      </c>
      <c r="D79" s="6">
        <f t="shared" si="721"/>
        <v>2025</v>
      </c>
      <c r="E79" s="7" t="s">
        <v>361</v>
      </c>
      <c r="F79" s="7" t="s">
        <v>361</v>
      </c>
      <c r="G79" s="8">
        <v>45809</v>
      </c>
      <c r="H79" s="6">
        <f t="shared" si="722"/>
        <v>30</v>
      </c>
      <c r="I79" s="9">
        <v>335090.89</v>
      </c>
      <c r="J79" s="10">
        <v>0.26041666666666669</v>
      </c>
      <c r="K79" s="10">
        <v>0.81319444444444444</v>
      </c>
      <c r="L79" s="9">
        <v>12404.3</v>
      </c>
      <c r="M79" s="9">
        <v>12985</v>
      </c>
      <c r="N79" s="9">
        <v>13037.1</v>
      </c>
      <c r="O79" s="9">
        <v>12946.2</v>
      </c>
      <c r="P79" s="9">
        <v>13178.7</v>
      </c>
      <c r="Q79" s="9">
        <v>13137.9</v>
      </c>
      <c r="R79" s="9">
        <v>13187.4</v>
      </c>
      <c r="S79" s="9">
        <v>13657.1</v>
      </c>
      <c r="T79" s="9">
        <v>13082.7</v>
      </c>
      <c r="U79" s="9">
        <v>13113.2</v>
      </c>
      <c r="V79" s="9">
        <v>12919.5</v>
      </c>
      <c r="W79" s="9">
        <v>13030.1</v>
      </c>
      <c r="X79" s="9">
        <v>13081.5</v>
      </c>
      <c r="Y79" s="9">
        <v>12968.5</v>
      </c>
      <c r="Z79" s="9">
        <v>13099.4</v>
      </c>
      <c r="AA79" s="9">
        <v>13175.4</v>
      </c>
      <c r="AB79" s="9">
        <v>13037.8</v>
      </c>
      <c r="AC79" s="9">
        <v>13067.6</v>
      </c>
      <c r="AD79" s="9">
        <v>13075.1</v>
      </c>
      <c r="AE79" s="9">
        <v>13178.2</v>
      </c>
      <c r="AF79" s="9">
        <v>13104</v>
      </c>
      <c r="AG79" s="9">
        <v>13092.2</v>
      </c>
      <c r="AH79" s="9">
        <v>12856.7</v>
      </c>
      <c r="AI79" s="9">
        <v>12959.9</v>
      </c>
      <c r="AJ79" s="9">
        <v>12817.2</v>
      </c>
      <c r="AK79" s="9">
        <v>11192.5</v>
      </c>
      <c r="AL79" s="9">
        <v>12765.2</v>
      </c>
      <c r="AM79" s="9">
        <v>12770</v>
      </c>
      <c r="AN79" s="9">
        <v>13076</v>
      </c>
      <c r="AO79" s="9">
        <v>12878</v>
      </c>
      <c r="AP79" s="9">
        <v>12903</v>
      </c>
      <c r="AQ79" s="9">
        <v>13141.4</v>
      </c>
      <c r="AR79" s="9">
        <v>13123.7</v>
      </c>
      <c r="AS79" s="9">
        <v>13155.3</v>
      </c>
      <c r="AT79" s="9">
        <v>13311.2</v>
      </c>
      <c r="AU79" s="9">
        <v>13172.2</v>
      </c>
      <c r="AV79" s="9">
        <v>13225.3</v>
      </c>
      <c r="AW79" s="9">
        <v>13034</v>
      </c>
      <c r="AX79" s="9">
        <v>13062.3</v>
      </c>
      <c r="AY79" s="9">
        <v>13021.1</v>
      </c>
      <c r="AZ79" s="9">
        <v>13942</v>
      </c>
      <c r="BA79" s="9">
        <v>12700.3</v>
      </c>
      <c r="BB79" s="9">
        <v>13798.9</v>
      </c>
      <c r="BC79" s="9">
        <v>12481.3</v>
      </c>
      <c r="BD79" s="9">
        <v>13184.4</v>
      </c>
      <c r="BE79" s="9">
        <v>14404.3</v>
      </c>
      <c r="BF79" s="9">
        <v>12497.5</v>
      </c>
      <c r="BG79" s="9">
        <v>13978</v>
      </c>
      <c r="BH79" s="9">
        <v>13165.2</v>
      </c>
      <c r="BI79" s="9">
        <v>13359.8</v>
      </c>
      <c r="BJ79" s="9">
        <v>13176.6</v>
      </c>
      <c r="BK79" s="9">
        <v>12458.7</v>
      </c>
      <c r="BL79" s="9">
        <v>13548.3</v>
      </c>
      <c r="BM79" s="9">
        <v>13375.7</v>
      </c>
      <c r="BN79" s="9">
        <v>13456.4</v>
      </c>
      <c r="BO79" s="9">
        <v>13346.9</v>
      </c>
      <c r="BP79" s="9">
        <v>11946.9</v>
      </c>
      <c r="BQ79" s="9">
        <v>13645.3</v>
      </c>
      <c r="BR79" s="9">
        <v>11989.5</v>
      </c>
      <c r="BS79" s="9">
        <v>13622.9</v>
      </c>
      <c r="BT79" s="9">
        <v>13481.7</v>
      </c>
      <c r="BU79" s="9">
        <v>11959.3</v>
      </c>
      <c r="BV79" s="9">
        <v>13185.8</v>
      </c>
      <c r="BW79" s="9">
        <v>12551.7</v>
      </c>
      <c r="BX79" s="9">
        <v>12836.4</v>
      </c>
      <c r="BY79" s="9">
        <v>12013</v>
      </c>
      <c r="BZ79" s="9">
        <v>12695.8</v>
      </c>
      <c r="CA79" s="9">
        <v>13261.9</v>
      </c>
      <c r="CB79" s="9">
        <v>13562</v>
      </c>
      <c r="CC79" s="9">
        <v>12241.8</v>
      </c>
      <c r="CD79" s="9">
        <v>13391.7</v>
      </c>
      <c r="CE79" s="9">
        <v>11752.9</v>
      </c>
      <c r="CF79" s="9">
        <v>13053.3</v>
      </c>
      <c r="CG79" s="9">
        <v>12812.6</v>
      </c>
      <c r="CH79" s="9">
        <v>12067.5</v>
      </c>
      <c r="CI79" s="9">
        <v>13361.7</v>
      </c>
      <c r="CJ79" s="9">
        <v>11838.3</v>
      </c>
      <c r="CK79" s="9">
        <v>13649</v>
      </c>
      <c r="CL79" s="9">
        <v>12124.8</v>
      </c>
      <c r="CM79" s="9">
        <v>13421.5</v>
      </c>
      <c r="CN79" s="9">
        <v>12280.6</v>
      </c>
      <c r="CO79" s="9">
        <v>13233.1</v>
      </c>
      <c r="CP79" s="9">
        <v>12406</v>
      </c>
      <c r="CQ79" s="9">
        <v>13620.8</v>
      </c>
      <c r="CR79" s="9">
        <v>12290.7</v>
      </c>
      <c r="CS79" s="9">
        <v>13092.8</v>
      </c>
      <c r="CT79" s="9">
        <v>12317.9</v>
      </c>
      <c r="CU79" s="9">
        <v>10809</v>
      </c>
      <c r="CV79" s="9">
        <v>13327.7</v>
      </c>
      <c r="CW79" s="9">
        <v>12891.2</v>
      </c>
      <c r="CX79" s="9">
        <v>11926.6</v>
      </c>
      <c r="CY79" s="9">
        <v>13734.1</v>
      </c>
      <c r="CZ79" s="9">
        <v>13398.8</v>
      </c>
      <c r="DA79" s="9">
        <v>12467.8</v>
      </c>
      <c r="DB79" s="9">
        <v>12347.6</v>
      </c>
      <c r="DC79" s="9">
        <v>13496.3</v>
      </c>
      <c r="DD79" s="9">
        <v>12153.1</v>
      </c>
      <c r="DE79" s="9">
        <v>12623.4</v>
      </c>
      <c r="DF79" s="9">
        <v>13660.9</v>
      </c>
      <c r="DG79" s="9">
        <v>12066.1</v>
      </c>
      <c r="DH79" s="9">
        <v>13677.7</v>
      </c>
      <c r="DI79" s="9">
        <v>12055.2</v>
      </c>
      <c r="DJ79" s="9">
        <v>13379.6</v>
      </c>
      <c r="DK79" s="9">
        <v>12349.1</v>
      </c>
      <c r="DL79" s="9">
        <v>13447.6</v>
      </c>
      <c r="DM79" s="9">
        <v>11684.9</v>
      </c>
      <c r="DN79" s="9">
        <v>13513.4</v>
      </c>
      <c r="DO79" s="9">
        <v>12241.3</v>
      </c>
      <c r="DP79" s="9">
        <v>13332.3</v>
      </c>
      <c r="DQ79" s="9">
        <v>12176.5</v>
      </c>
      <c r="DR79" s="9">
        <v>13432.5</v>
      </c>
      <c r="DS79" s="9">
        <v>12427.5</v>
      </c>
      <c r="DT79" s="9">
        <v>12070.1</v>
      </c>
      <c r="DU79" s="9">
        <v>13328.2</v>
      </c>
      <c r="DV79" s="9">
        <v>12261.3</v>
      </c>
      <c r="DW79" s="9">
        <v>12001.6</v>
      </c>
      <c r="DX79" s="9">
        <v>13458.1</v>
      </c>
      <c r="DY79" s="9">
        <v>13514.8</v>
      </c>
      <c r="DZ79" s="9">
        <v>13333.7</v>
      </c>
      <c r="EA79" s="9">
        <v>12219.2</v>
      </c>
      <c r="EB79" s="9">
        <v>13436.5</v>
      </c>
      <c r="EC79" s="9">
        <v>12064.6</v>
      </c>
      <c r="ED79" s="9">
        <v>13164.3</v>
      </c>
      <c r="EE79" s="9">
        <v>12209.4</v>
      </c>
      <c r="EF79" s="9">
        <v>13016.3</v>
      </c>
      <c r="EG79" s="9">
        <v>11311.1</v>
      </c>
      <c r="EH79" s="9">
        <v>13150.7</v>
      </c>
      <c r="EI79" s="9">
        <v>12075.7</v>
      </c>
      <c r="EJ79" s="9">
        <v>12222.1</v>
      </c>
      <c r="EK79" s="9">
        <v>12277.9</v>
      </c>
      <c r="EL79" s="9">
        <v>12099.5</v>
      </c>
      <c r="EM79" s="9">
        <v>10417.700000000001</v>
      </c>
      <c r="EN79" s="9">
        <v>12069.9</v>
      </c>
      <c r="EO79" s="9">
        <v>10657.6</v>
      </c>
      <c r="EP79" s="9">
        <v>12119.9</v>
      </c>
      <c r="EQ79" s="9">
        <v>12161.8</v>
      </c>
      <c r="ER79" s="9">
        <v>13969</v>
      </c>
      <c r="ES79" s="9">
        <v>12417.4</v>
      </c>
      <c r="ET79" s="9">
        <v>14029.7</v>
      </c>
      <c r="EU79" s="9">
        <v>12685.5</v>
      </c>
      <c r="EV79" s="9">
        <v>13926.6</v>
      </c>
      <c r="EW79" s="9">
        <v>12521.6</v>
      </c>
      <c r="EX79" s="9">
        <v>12762.7</v>
      </c>
      <c r="EY79" s="9">
        <v>12419.8</v>
      </c>
      <c r="EZ79" s="9">
        <v>13637.5</v>
      </c>
      <c r="FA79" s="9">
        <v>14078.6</v>
      </c>
      <c r="FB79" s="9">
        <v>13921.2</v>
      </c>
      <c r="FC79" s="9">
        <v>13859.8</v>
      </c>
      <c r="FD79" s="9">
        <v>13845.9</v>
      </c>
      <c r="FE79" s="9">
        <v>13893</v>
      </c>
      <c r="FF79" s="9">
        <v>12827.8</v>
      </c>
      <c r="FG79" s="9">
        <v>13939.8</v>
      </c>
      <c r="FH79" s="9">
        <v>13996.5</v>
      </c>
      <c r="FI79" s="9">
        <v>13993</v>
      </c>
      <c r="FJ79" s="9">
        <v>14002.8</v>
      </c>
      <c r="FK79" s="9">
        <v>13968.3</v>
      </c>
      <c r="FL79" s="9">
        <v>14005.7</v>
      </c>
      <c r="FM79" s="9">
        <v>12772.3</v>
      </c>
      <c r="FN79" s="9">
        <v>14058.1</v>
      </c>
      <c r="FO79" s="9">
        <v>12849.5</v>
      </c>
      <c r="FP79" s="11">
        <v>37.52303184713373</v>
      </c>
      <c r="FQ79" s="11">
        <v>37.14495541401272</v>
      </c>
      <c r="FR79" s="11">
        <v>37.315910828025473</v>
      </c>
      <c r="FS79" s="11">
        <v>37.337503184713363</v>
      </c>
      <c r="FT79" s="11">
        <v>36.890420382165644</v>
      </c>
      <c r="FU79" s="11">
        <v>37.492356687898145</v>
      </c>
      <c r="FV79" s="11">
        <v>0</v>
      </c>
      <c r="FW79" s="11">
        <v>49.8</v>
      </c>
      <c r="FX79" s="11">
        <v>0</v>
      </c>
      <c r="FY79" s="11">
        <v>0</v>
      </c>
      <c r="FZ79" s="11">
        <v>49.1</v>
      </c>
      <c r="GA79" s="11">
        <v>49.6</v>
      </c>
      <c r="GB79" s="11">
        <v>2.450556178191083</v>
      </c>
      <c r="GC79" s="11">
        <v>6.4399148203821603</v>
      </c>
      <c r="GD79" s="11">
        <v>6.2503393898089117</v>
      </c>
      <c r="GE79" s="11">
        <v>6.3181716789808906</v>
      </c>
      <c r="GF79" s="11">
        <v>6.2817025070063623</v>
      </c>
      <c r="GG79" s="11">
        <v>6.3926302955414034</v>
      </c>
      <c r="GH79" s="11">
        <v>8.0933340000000005</v>
      </c>
      <c r="GI79" s="11">
        <v>9.5599989999999995</v>
      </c>
      <c r="GJ79" s="11">
        <v>10.143330000000001</v>
      </c>
      <c r="GK79" s="11">
        <v>9.8399990000000006</v>
      </c>
      <c r="GL79" s="11">
        <v>9.11</v>
      </c>
      <c r="GM79" s="11">
        <v>9.6483340000000002</v>
      </c>
      <c r="GN79" s="11">
        <v>7.8732764999999905</v>
      </c>
      <c r="GO79" s="11">
        <v>7.9046826666666643</v>
      </c>
      <c r="GP79" s="11">
        <v>7.9833575000000083</v>
      </c>
      <c r="GQ79" s="11">
        <v>7.8831885000000037</v>
      </c>
      <c r="GR79" s="11">
        <v>0.2710326833333333</v>
      </c>
      <c r="GS79" s="11">
        <v>7.9075758333333299</v>
      </c>
      <c r="GT79" s="108">
        <v>2.0042450000000005</v>
      </c>
      <c r="GU79" s="108">
        <v>1.945729666666665</v>
      </c>
      <c r="GV79" s="108">
        <v>1.8292531666666689</v>
      </c>
      <c r="GW79" s="108">
        <v>2.2316971666666667</v>
      </c>
      <c r="GX79" s="108">
        <v>2.2038258333333336</v>
      </c>
      <c r="GY79" s="108">
        <v>1.8539224999999986</v>
      </c>
      <c r="GZ79" s="13">
        <v>0</v>
      </c>
      <c r="HA79" s="13">
        <v>7.6043269999999969</v>
      </c>
      <c r="HB79" s="13">
        <v>7.4751476666666674</v>
      </c>
      <c r="HC79" s="13">
        <v>0</v>
      </c>
      <c r="HD79" s="13">
        <v>7.4820368333333347</v>
      </c>
      <c r="HE79" s="13">
        <v>7.5312149999999969</v>
      </c>
      <c r="HF79" s="13">
        <v>0.66389083333333332</v>
      </c>
      <c r="HG79" s="13">
        <v>0.74418566666666686</v>
      </c>
      <c r="HH79" s="13">
        <v>0.62035816666666721</v>
      </c>
      <c r="HI79" s="13">
        <v>0.64587583333333276</v>
      </c>
      <c r="HJ79" s="13">
        <v>0.67310716666666648</v>
      </c>
      <c r="HK79" s="13">
        <v>0.69806733333333293</v>
      </c>
      <c r="HL79" s="12">
        <v>0</v>
      </c>
      <c r="HM79" s="12">
        <v>0</v>
      </c>
      <c r="HN79" s="12">
        <v>0</v>
      </c>
      <c r="HO79" s="12">
        <v>0</v>
      </c>
      <c r="HP79" s="12">
        <v>0</v>
      </c>
      <c r="HQ79" s="12">
        <v>0</v>
      </c>
      <c r="HR79" s="12">
        <v>0</v>
      </c>
      <c r="HS79" s="12">
        <v>0</v>
      </c>
      <c r="HT79" s="12">
        <v>0</v>
      </c>
      <c r="HU79" s="12">
        <v>0</v>
      </c>
      <c r="HV79" s="12">
        <v>0</v>
      </c>
      <c r="HW79" s="12">
        <v>0</v>
      </c>
      <c r="HX79" s="9">
        <v>965495</v>
      </c>
      <c r="HY79" s="9">
        <v>1793</v>
      </c>
      <c r="HZ79" s="9">
        <v>952154</v>
      </c>
      <c r="IA79" s="9">
        <v>1820</v>
      </c>
      <c r="IB79" s="11">
        <v>222553.217</v>
      </c>
      <c r="IC79" s="11">
        <v>495.53300000000002</v>
      </c>
      <c r="ID79" s="14">
        <f t="shared" ref="ID79:II79" si="753">GN79-HL79</f>
        <v>7.8732764999999905</v>
      </c>
      <c r="IE79" s="14">
        <f t="shared" si="753"/>
        <v>7.9046826666666643</v>
      </c>
      <c r="IF79" s="14">
        <f t="shared" si="753"/>
        <v>7.9833575000000083</v>
      </c>
      <c r="IG79" s="14">
        <f t="shared" si="753"/>
        <v>7.8831885000000037</v>
      </c>
      <c r="IH79" s="14">
        <f t="shared" si="753"/>
        <v>0.2710326833333333</v>
      </c>
      <c r="II79" s="14">
        <f t="shared" si="753"/>
        <v>7.9075758333333299</v>
      </c>
      <c r="IJ79" s="15">
        <f t="shared" ref="IJ79:IO79" si="754">GZ79-HR79</f>
        <v>0</v>
      </c>
      <c r="IK79" s="15">
        <f t="shared" si="754"/>
        <v>7.6043269999999969</v>
      </c>
      <c r="IL79" s="15">
        <f t="shared" si="754"/>
        <v>7.4751476666666674</v>
      </c>
      <c r="IM79" s="15">
        <f t="shared" si="754"/>
        <v>0</v>
      </c>
      <c r="IN79" s="15">
        <f t="shared" si="754"/>
        <v>7.4820368333333347</v>
      </c>
      <c r="IO79" s="15">
        <f t="shared" si="754"/>
        <v>7.5312149999999969</v>
      </c>
      <c r="IP79" s="16">
        <f t="shared" ref="IP79" si="755">(HX79-HX78)*1000</f>
        <v>1025000</v>
      </c>
      <c r="IQ79" s="16">
        <f t="shared" ref="IQ79" si="756">(HY79-HY78)*1000</f>
        <v>2000</v>
      </c>
      <c r="IR79" s="16">
        <f t="shared" ref="IR79" si="757">(HZ79-HZ78)*1000</f>
        <v>1026000</v>
      </c>
      <c r="IS79" s="16">
        <f t="shared" ref="IS79" si="758">(IA79-IA78)*1000</f>
        <v>1000</v>
      </c>
      <c r="IT79" s="16">
        <f t="shared" ref="IT79" si="759">(IB79-IB78)*1000</f>
        <v>2055466.0000000149</v>
      </c>
      <c r="IU79" s="16">
        <f t="shared" ref="IU79" si="760">(IC79-IC78)*1000</f>
        <v>4199.9999999999891</v>
      </c>
      <c r="IV79" s="17">
        <f t="shared" ref="IV79" si="761">(IP79+IR79)-(IQ79+IS79)</f>
        <v>2048000</v>
      </c>
      <c r="IW79" s="17">
        <f t="shared" ref="IW79" si="762">IT79-IU79</f>
        <v>2051266.0000000149</v>
      </c>
      <c r="IX79" s="19">
        <f>(Raw_Data[[#This Row],[Sunset Time (POA&lt;20 W/m2)]]-Raw_Data[[#This Row],[Sunrise Time (POA&gt;20 W/m2)]])*24</f>
        <v>13.266666666666667</v>
      </c>
      <c r="IY79" s="68">
        <f>AVERAGEIF(Raw_Data[[#This Row],[GHI_UP_Net_IS2_W1]:[GHI_UP_Net_IS19_W6]],"&lt;&gt;"&amp;0,Raw_Data[[#This Row],[GHI_UP_Net_IS2_W1]:[GHI_UP_Net_IS19_W6]])</f>
        <v>6.6371856138888887</v>
      </c>
      <c r="IZ79" s="68">
        <f>AVERAGEIF(Raw_Data[[#This Row],[GHI_Down_IS2_W1]:[GHI_Down_IS19_W6]],"&lt;&gt;"&amp;0,Raw_Data[[#This Row],[GHI_Down_IS2_W1]:[GHI_Down_IS19_W6]])</f>
        <v>2.0114455555555555</v>
      </c>
      <c r="JA79" s="68">
        <f>AVERAGEIF(Raw_Data[[#This Row],[POA_Up_IS2_W1]:[POA_Up_IS19_W6]],"&lt;&gt;"&amp;0,Raw_Data[[#This Row],[POA_Up_IS2_W1]:[POA_Up_IS19_W6]])</f>
        <v>7.5231816249999985</v>
      </c>
      <c r="JB79" s="68">
        <f>AVERAGEIF(Raw_Data[[#This Row],[POA_Down_IS2_W1]:[POA_Down_IS19_W6]],"&lt;&gt;"&amp;0,Raw_Data[[#This Row],[POA_Down_IS2_W1]:[POA_Down_IS19_W6]])</f>
        <v>0.67424749999999989</v>
      </c>
      <c r="JC79" s="69">
        <f>Raw_Data[[#This Row],[GHI-Down(KWh/m2)]]/Raw_Data[[#This Row],[GHI-UP (KWh/m2)]]</f>
        <v>0.30305699924173141</v>
      </c>
      <c r="JD79" s="72">
        <f>Raw_Data[[#This Row],[POA-Down(KWh/m2)]]/Raw_Data[[#This Row],[POA-UP(KWh/m2)]]</f>
        <v>8.9622653500672333E-2</v>
      </c>
      <c r="JE79" s="68">
        <f>AVERAGEIF(Raw_Data[[#This Row],[Amb_Temp_IS2_W1]:[Amb_Temp_IS19_W6]],"&lt;&gt;"&amp;0,Raw_Data[[#This Row],[Amb_Temp_IS2_W1]:[Amb_Temp_IS19_W6]])</f>
        <v>37.284029723991516</v>
      </c>
      <c r="JF79" s="68">
        <f>AVERAGEIF(Raw_Data[[#This Row],[MT_Temp_IS2_W1]:[MT_Temp_IS19_W6]],"&lt;&gt;"&amp;0,Raw_Data[[#This Row],[MT_Temp_IS2_W1]:[MT_Temp_IS19_W6]])</f>
        <v>49.5</v>
      </c>
      <c r="JG79" s="68">
        <f>AVERAGEIF(Raw_Data[[#This Row],[WS_Avg_IS2_W1]:[WS_Avg_IS19_W6]],"&lt;&gt;"&amp;0,Raw_Data[[#This Row],[WS_Avg_IS2_W1]:[WS_Avg_IS19_W6]])</f>
        <v>5.6888858116518017</v>
      </c>
      <c r="JH79" s="68">
        <f>AVERAGEIF(Raw_Data[[#This Row],[WS_Max_IS2_W1]:[WS_Max_IS19_W6]],"&lt;&gt;"&amp;0,Raw_Data[[#This Row],[WS_Max_IS2_W1]:[WS_Max_IS19_W6]])</f>
        <v>9.3991659999999992</v>
      </c>
      <c r="JI79" s="70">
        <f>SUM(Raw_Data[[#This Row],[IS1_INV1_M1]:[IS20_INV4_M2]])</f>
        <v>2068251.7000000016</v>
      </c>
      <c r="JJ79" s="73">
        <v>1934334.0000000317</v>
      </c>
      <c r="JK79" s="71">
        <v>2351151.3168227654</v>
      </c>
      <c r="JL79" s="143">
        <f>IFERROR(Raw_Data[[#This Row],[WPR_Eac]]/Raw_Data[[#This Row],[WPR_Edc]],"")</f>
        <v>0.82271778347894642</v>
      </c>
      <c r="JM79" s="6">
        <v>28</v>
      </c>
      <c r="JN79" s="6">
        <v>0</v>
      </c>
    </row>
    <row r="80" spans="2:274">
      <c r="B80" s="250">
        <f t="shared" si="596"/>
        <v>45819</v>
      </c>
      <c r="C80" s="9">
        <f>YEAR(Raw_Data[[#This Row],[Date]])+IF(MONTH(Raw_Data[[#This Row],[Date]])&gt;=4,1,0)</f>
        <v>2026</v>
      </c>
      <c r="D80" s="6">
        <f t="shared" si="721"/>
        <v>2025</v>
      </c>
      <c r="E80" s="7" t="s">
        <v>361</v>
      </c>
      <c r="F80" s="7" t="s">
        <v>361</v>
      </c>
      <c r="G80" s="8">
        <v>45809</v>
      </c>
      <c r="H80" s="6">
        <f t="shared" si="722"/>
        <v>30</v>
      </c>
      <c r="I80" s="9">
        <v>335090.89</v>
      </c>
      <c r="J80" s="10">
        <v>0.25972222222222224</v>
      </c>
      <c r="K80" s="10">
        <v>0.81458333333333333</v>
      </c>
      <c r="L80" s="9">
        <v>12695.5</v>
      </c>
      <c r="M80" s="9">
        <v>13276.3</v>
      </c>
      <c r="N80" s="9">
        <v>13328.9</v>
      </c>
      <c r="O80" s="9">
        <v>13264.7</v>
      </c>
      <c r="P80" s="9">
        <v>13463</v>
      </c>
      <c r="Q80" s="9">
        <v>13443</v>
      </c>
      <c r="R80" s="9">
        <v>13525.7</v>
      </c>
      <c r="S80" s="9">
        <v>13926.4</v>
      </c>
      <c r="T80" s="9">
        <v>13410.5</v>
      </c>
      <c r="U80" s="9">
        <v>13437</v>
      </c>
      <c r="V80" s="9">
        <v>13228.4</v>
      </c>
      <c r="W80" s="9">
        <v>13333.1</v>
      </c>
      <c r="X80" s="9">
        <v>13388.2</v>
      </c>
      <c r="Y80" s="9">
        <v>13262.1</v>
      </c>
      <c r="Z80" s="9">
        <v>13407.6</v>
      </c>
      <c r="AA80" s="9">
        <v>13470.5</v>
      </c>
      <c r="AB80" s="9">
        <v>13341.7</v>
      </c>
      <c r="AC80" s="9">
        <v>13365.1</v>
      </c>
      <c r="AD80" s="9">
        <v>13392.4</v>
      </c>
      <c r="AE80" s="9">
        <v>13497.5</v>
      </c>
      <c r="AF80" s="9">
        <v>13423.4</v>
      </c>
      <c r="AG80" s="9">
        <v>13411.9</v>
      </c>
      <c r="AH80" s="9">
        <v>13158</v>
      </c>
      <c r="AI80" s="9">
        <v>13266.4</v>
      </c>
      <c r="AJ80" s="9">
        <v>13120.3</v>
      </c>
      <c r="AK80" s="9">
        <v>11464.2</v>
      </c>
      <c r="AL80" s="9">
        <v>13066.3</v>
      </c>
      <c r="AM80" s="9">
        <v>13073.7</v>
      </c>
      <c r="AN80" s="9">
        <v>13402</v>
      </c>
      <c r="AO80" s="9">
        <v>13225.6</v>
      </c>
      <c r="AP80" s="9">
        <v>13216.2</v>
      </c>
      <c r="AQ80" s="9">
        <v>13449.9</v>
      </c>
      <c r="AR80" s="9">
        <v>12184.6</v>
      </c>
      <c r="AS80" s="9">
        <v>12207.3</v>
      </c>
      <c r="AT80" s="9">
        <v>12346.1</v>
      </c>
      <c r="AU80" s="9">
        <v>12231.7</v>
      </c>
      <c r="AV80" s="9">
        <v>12316.9</v>
      </c>
      <c r="AW80" s="9">
        <v>12148.4</v>
      </c>
      <c r="AX80" s="9">
        <v>12165.8</v>
      </c>
      <c r="AY80" s="9">
        <v>12106.8</v>
      </c>
      <c r="AZ80" s="9">
        <v>14206.6</v>
      </c>
      <c r="BA80" s="9">
        <v>13012</v>
      </c>
      <c r="BB80" s="9">
        <v>14084.9</v>
      </c>
      <c r="BC80" s="9">
        <v>12789.9</v>
      </c>
      <c r="BD80" s="9">
        <v>13531.9</v>
      </c>
      <c r="BE80" s="9">
        <v>14648.9</v>
      </c>
      <c r="BF80" s="9">
        <v>12828.1</v>
      </c>
      <c r="BG80" s="9">
        <v>14229.4</v>
      </c>
      <c r="BH80" s="9">
        <v>13453.7</v>
      </c>
      <c r="BI80" s="9">
        <v>13653.9</v>
      </c>
      <c r="BJ80" s="9">
        <v>13491.1</v>
      </c>
      <c r="BK80" s="9">
        <v>12769.5</v>
      </c>
      <c r="BL80" s="9">
        <v>13836.2</v>
      </c>
      <c r="BM80" s="9">
        <v>13689</v>
      </c>
      <c r="BN80" s="9">
        <v>13766</v>
      </c>
      <c r="BO80" s="9">
        <v>13663.9</v>
      </c>
      <c r="BP80" s="9">
        <v>12250.1</v>
      </c>
      <c r="BQ80" s="9">
        <v>13957.7</v>
      </c>
      <c r="BR80" s="9">
        <v>12281.1</v>
      </c>
      <c r="BS80" s="9">
        <v>13914.6</v>
      </c>
      <c r="BT80" s="9">
        <v>13771.6</v>
      </c>
      <c r="BU80" s="9">
        <v>12246.9</v>
      </c>
      <c r="BV80" s="9">
        <v>13479.6</v>
      </c>
      <c r="BW80" s="9">
        <v>12854.6</v>
      </c>
      <c r="BX80" s="9">
        <v>13124.1</v>
      </c>
      <c r="BY80" s="9">
        <v>12305.8</v>
      </c>
      <c r="BZ80" s="9">
        <v>12995.7</v>
      </c>
      <c r="CA80" s="9">
        <v>13568.9</v>
      </c>
      <c r="CB80" s="9">
        <v>13852.3</v>
      </c>
      <c r="CC80" s="9">
        <v>12536.2</v>
      </c>
      <c r="CD80" s="9">
        <v>13696.7</v>
      </c>
      <c r="CE80" s="9">
        <v>12025.2</v>
      </c>
      <c r="CF80" s="9">
        <v>13363.7</v>
      </c>
      <c r="CG80" s="9">
        <v>13109.4</v>
      </c>
      <c r="CH80" s="9">
        <v>12363.4</v>
      </c>
      <c r="CI80" s="9">
        <v>13657.4</v>
      </c>
      <c r="CJ80" s="9">
        <v>12113.7</v>
      </c>
      <c r="CK80" s="9">
        <v>13931.4</v>
      </c>
      <c r="CL80" s="9">
        <v>12396.4</v>
      </c>
      <c r="CM80" s="9">
        <v>13699.8</v>
      </c>
      <c r="CN80" s="9">
        <v>12584.7</v>
      </c>
      <c r="CO80" s="9">
        <v>13541</v>
      </c>
      <c r="CP80" s="9">
        <v>12691.8</v>
      </c>
      <c r="CQ80" s="9">
        <v>13928.1</v>
      </c>
      <c r="CR80" s="9">
        <v>12579.9</v>
      </c>
      <c r="CS80" s="9">
        <v>13396.3</v>
      </c>
      <c r="CT80" s="9">
        <v>12609.5</v>
      </c>
      <c r="CU80" s="9">
        <v>11074.5</v>
      </c>
      <c r="CV80" s="9">
        <v>13591.7</v>
      </c>
      <c r="CW80" s="9">
        <v>13194.7</v>
      </c>
      <c r="CX80" s="9">
        <v>12210.7</v>
      </c>
      <c r="CY80" s="9">
        <v>14013.2</v>
      </c>
      <c r="CZ80" s="9">
        <v>13691.6</v>
      </c>
      <c r="DA80" s="9">
        <v>12736</v>
      </c>
      <c r="DB80" s="9">
        <v>12590.4</v>
      </c>
      <c r="DC80" s="9">
        <v>13783.1</v>
      </c>
      <c r="DD80" s="9">
        <v>12435.9</v>
      </c>
      <c r="DE80" s="9">
        <v>12933.4</v>
      </c>
      <c r="DF80" s="9">
        <v>13958.4</v>
      </c>
      <c r="DG80" s="9">
        <v>12347.7</v>
      </c>
      <c r="DH80" s="9">
        <v>13982.5</v>
      </c>
      <c r="DI80" s="9">
        <v>12348.8</v>
      </c>
      <c r="DJ80" s="9">
        <v>13698.4</v>
      </c>
      <c r="DK80" s="9">
        <v>12633.6</v>
      </c>
      <c r="DL80" s="9">
        <v>13758.2</v>
      </c>
      <c r="DM80" s="9">
        <v>11952</v>
      </c>
      <c r="DN80" s="9">
        <v>13818.4</v>
      </c>
      <c r="DO80" s="9">
        <v>12531.8</v>
      </c>
      <c r="DP80" s="9">
        <v>13659</v>
      </c>
      <c r="DQ80" s="9">
        <v>12461.7</v>
      </c>
      <c r="DR80" s="9">
        <v>13746.1</v>
      </c>
      <c r="DS80" s="9">
        <v>12726.5</v>
      </c>
      <c r="DT80" s="9">
        <v>12355.6</v>
      </c>
      <c r="DU80" s="9">
        <v>13620.2</v>
      </c>
      <c r="DV80" s="9">
        <v>12557.5</v>
      </c>
      <c r="DW80" s="9">
        <v>12279.7</v>
      </c>
      <c r="DX80" s="9">
        <v>13729.7</v>
      </c>
      <c r="DY80" s="9">
        <v>13799.5</v>
      </c>
      <c r="DZ80" s="9">
        <v>13636.1</v>
      </c>
      <c r="EA80" s="9">
        <v>12528.7</v>
      </c>
      <c r="EB80" s="9">
        <v>13737.6</v>
      </c>
      <c r="EC80" s="9">
        <v>12350.2</v>
      </c>
      <c r="ED80" s="9">
        <v>13475.3</v>
      </c>
      <c r="EE80" s="9">
        <v>12512.8</v>
      </c>
      <c r="EF80" s="9">
        <v>13314.3</v>
      </c>
      <c r="EG80" s="9">
        <v>11566.3</v>
      </c>
      <c r="EH80" s="9">
        <v>13466.2</v>
      </c>
      <c r="EI80" s="9">
        <v>12358.1</v>
      </c>
      <c r="EJ80" s="9">
        <v>12496.9</v>
      </c>
      <c r="EK80" s="9">
        <v>12541.8</v>
      </c>
      <c r="EL80" s="9">
        <v>12394</v>
      </c>
      <c r="EM80" s="9">
        <v>10647.9</v>
      </c>
      <c r="EN80" s="9">
        <v>12315</v>
      </c>
      <c r="EO80" s="9">
        <v>10880.9</v>
      </c>
      <c r="EP80" s="9">
        <v>12333.9</v>
      </c>
      <c r="EQ80" s="9">
        <v>12389</v>
      </c>
      <c r="ER80" s="9">
        <v>14245.6</v>
      </c>
      <c r="ES80" s="9">
        <v>12699.5</v>
      </c>
      <c r="ET80" s="9">
        <v>14316.1</v>
      </c>
      <c r="EU80" s="9">
        <v>12981.8</v>
      </c>
      <c r="EV80" s="9">
        <v>14213.6</v>
      </c>
      <c r="EW80" s="9">
        <v>12819.9</v>
      </c>
      <c r="EX80" s="9">
        <v>13063.4</v>
      </c>
      <c r="EY80" s="9">
        <v>12701.1</v>
      </c>
      <c r="EZ80" s="9">
        <v>13968.4</v>
      </c>
      <c r="FA80" s="9">
        <v>14398.5</v>
      </c>
      <c r="FB80" s="9">
        <v>14201.9</v>
      </c>
      <c r="FC80" s="9">
        <v>14139.6</v>
      </c>
      <c r="FD80" s="9">
        <v>14125.8</v>
      </c>
      <c r="FE80" s="9">
        <v>14169.2</v>
      </c>
      <c r="FF80" s="9">
        <v>13114.5</v>
      </c>
      <c r="FG80" s="9">
        <v>14217.5</v>
      </c>
      <c r="FH80" s="9">
        <v>14276.3</v>
      </c>
      <c r="FI80" s="9">
        <v>14271.3</v>
      </c>
      <c r="FJ80" s="9">
        <v>14287.5</v>
      </c>
      <c r="FK80" s="9">
        <v>14241.5</v>
      </c>
      <c r="FL80" s="9">
        <v>14289.5</v>
      </c>
      <c r="FM80" s="9">
        <v>13054.5</v>
      </c>
      <c r="FN80" s="9">
        <v>14350.6</v>
      </c>
      <c r="FO80" s="9">
        <v>13131.4</v>
      </c>
      <c r="FP80" s="11">
        <v>0</v>
      </c>
      <c r="FQ80" s="11">
        <v>0</v>
      </c>
      <c r="FR80" s="11">
        <v>36.89975826972011</v>
      </c>
      <c r="FS80" s="11">
        <v>36.870318066157814</v>
      </c>
      <c r="FT80" s="11">
        <v>36.448702290076348</v>
      </c>
      <c r="FU80" s="11">
        <v>37.049440203562291</v>
      </c>
      <c r="FV80" s="11">
        <v>0</v>
      </c>
      <c r="FW80" s="11">
        <v>0</v>
      </c>
      <c r="FX80" s="11">
        <v>0</v>
      </c>
      <c r="FY80" s="11">
        <v>0</v>
      </c>
      <c r="FZ80" s="11">
        <v>49.835394402035654</v>
      </c>
      <c r="GA80" s="11">
        <v>50.3</v>
      </c>
      <c r="GB80" s="11">
        <v>0</v>
      </c>
      <c r="GC80" s="11">
        <v>0</v>
      </c>
      <c r="GD80" s="11">
        <v>5.2529450954198493</v>
      </c>
      <c r="GE80" s="11">
        <v>5.3540370877862653</v>
      </c>
      <c r="GF80" s="11">
        <v>5.3822177531806679</v>
      </c>
      <c r="GG80" s="11">
        <v>5.4136914440203538</v>
      </c>
      <c r="GH80" s="11">
        <v>0</v>
      </c>
      <c r="GI80" s="11">
        <v>0</v>
      </c>
      <c r="GJ80" s="11">
        <v>9.32</v>
      </c>
      <c r="GK80" s="11">
        <v>8.5466660000000001</v>
      </c>
      <c r="GL80" s="11">
        <v>8.8399990000000006</v>
      </c>
      <c r="GM80" s="11">
        <v>8.7466670000000004</v>
      </c>
      <c r="GN80" s="11">
        <v>0</v>
      </c>
      <c r="GO80" s="11">
        <v>0</v>
      </c>
      <c r="GP80" s="11">
        <v>8.2004806666666639</v>
      </c>
      <c r="GQ80" s="11">
        <v>8.1101303333333306</v>
      </c>
      <c r="GR80" s="11">
        <v>8.0943948333333307</v>
      </c>
      <c r="GS80" s="11">
        <v>8.0943948333333307</v>
      </c>
      <c r="GT80" s="108">
        <v>0</v>
      </c>
      <c r="GU80" s="108">
        <v>0</v>
      </c>
      <c r="GV80" s="108">
        <v>1.8899618333333337</v>
      </c>
      <c r="GW80" s="108">
        <v>2.3129438333333341</v>
      </c>
      <c r="GX80" s="108">
        <v>2.2726923333333322</v>
      </c>
      <c r="GY80" s="108">
        <v>1.9024068333333346</v>
      </c>
      <c r="GZ80" s="13">
        <v>0</v>
      </c>
      <c r="HA80" s="13">
        <v>0</v>
      </c>
      <c r="HB80" s="13">
        <v>7.6653018333333351</v>
      </c>
      <c r="HC80" s="13">
        <v>0</v>
      </c>
      <c r="HD80" s="13">
        <v>7.6632148333333294</v>
      </c>
      <c r="HE80" s="13">
        <v>7.7590811666666664</v>
      </c>
      <c r="HF80" s="13">
        <v>0</v>
      </c>
      <c r="HG80" s="13">
        <v>0</v>
      </c>
      <c r="HH80" s="13">
        <v>0.63486566666666733</v>
      </c>
      <c r="HI80" s="13">
        <v>0.66423650000000056</v>
      </c>
      <c r="HJ80" s="13">
        <v>0.68933166666666734</v>
      </c>
      <c r="HK80" s="13">
        <v>0.71261066666666628</v>
      </c>
      <c r="HL80" s="12">
        <v>0</v>
      </c>
      <c r="HM80" s="12">
        <v>0</v>
      </c>
      <c r="HN80" s="12">
        <v>0</v>
      </c>
      <c r="HO80" s="12">
        <v>0</v>
      </c>
      <c r="HP80" s="12">
        <v>0</v>
      </c>
      <c r="HQ80" s="12">
        <v>0</v>
      </c>
      <c r="HR80" s="12">
        <v>0</v>
      </c>
      <c r="HS80" s="12">
        <v>0</v>
      </c>
      <c r="HT80" s="12">
        <v>0</v>
      </c>
      <c r="HU80" s="12">
        <v>0</v>
      </c>
      <c r="HV80" s="12">
        <v>0</v>
      </c>
      <c r="HW80" s="12">
        <v>0</v>
      </c>
      <c r="HX80" s="9">
        <v>966533</v>
      </c>
      <c r="HY80" s="9">
        <v>1794</v>
      </c>
      <c r="HZ80" s="9">
        <v>953202</v>
      </c>
      <c r="IA80" s="9">
        <v>1821</v>
      </c>
      <c r="IB80" s="11">
        <v>224644.484</v>
      </c>
      <c r="IC80" s="11">
        <v>499.66699999999997</v>
      </c>
      <c r="ID80" s="14">
        <f t="shared" ref="ID80:II80" si="763">GN80-HL80</f>
        <v>0</v>
      </c>
      <c r="IE80" s="14">
        <f t="shared" si="763"/>
        <v>0</v>
      </c>
      <c r="IF80" s="14">
        <f t="shared" si="763"/>
        <v>8.2004806666666639</v>
      </c>
      <c r="IG80" s="14">
        <f t="shared" si="763"/>
        <v>8.1101303333333306</v>
      </c>
      <c r="IH80" s="14">
        <f t="shared" si="763"/>
        <v>8.0943948333333307</v>
      </c>
      <c r="II80" s="14">
        <f t="shared" si="763"/>
        <v>8.0943948333333307</v>
      </c>
      <c r="IJ80" s="15">
        <f t="shared" ref="IJ80:IO80" si="764">GZ80-HR80</f>
        <v>0</v>
      </c>
      <c r="IK80" s="15">
        <f t="shared" si="764"/>
        <v>0</v>
      </c>
      <c r="IL80" s="15">
        <f t="shared" si="764"/>
        <v>7.6653018333333351</v>
      </c>
      <c r="IM80" s="15">
        <f t="shared" si="764"/>
        <v>0</v>
      </c>
      <c r="IN80" s="15">
        <f t="shared" si="764"/>
        <v>7.6632148333333294</v>
      </c>
      <c r="IO80" s="15">
        <f t="shared" si="764"/>
        <v>7.7590811666666664</v>
      </c>
      <c r="IP80" s="16">
        <f t="shared" ref="IP80" si="765">(HX80-HX79)*1000</f>
        <v>1038000</v>
      </c>
      <c r="IQ80" s="16">
        <f t="shared" ref="IQ80" si="766">(HY80-HY79)*1000</f>
        <v>1000</v>
      </c>
      <c r="IR80" s="16">
        <f t="shared" ref="IR80" si="767">(HZ80-HZ79)*1000</f>
        <v>1048000</v>
      </c>
      <c r="IS80" s="16">
        <f t="shared" ref="IS80" si="768">(IA80-IA79)*1000</f>
        <v>1000</v>
      </c>
      <c r="IT80" s="16">
        <f t="shared" ref="IT80" si="769">(IB80-IB79)*1000</f>
        <v>2091266.9999999925</v>
      </c>
      <c r="IU80" s="16">
        <f t="shared" ref="IU80" si="770">(IC80-IC79)*1000</f>
        <v>4133.9999999999582</v>
      </c>
      <c r="IV80" s="17">
        <f t="shared" ref="IV80" si="771">(IP80+IR80)-(IQ80+IS80)</f>
        <v>2084000</v>
      </c>
      <c r="IW80" s="17">
        <f t="shared" ref="IW80" si="772">IT80-IU80</f>
        <v>2087132.9999999925</v>
      </c>
      <c r="IX80" s="19">
        <f>(Raw_Data[[#This Row],[Sunset Time (POA&lt;20 W/m2)]]-Raw_Data[[#This Row],[Sunrise Time (POA&gt;20 W/m2)]])*24</f>
        <v>13.316666666666665</v>
      </c>
      <c r="IY80" s="68">
        <f>AVERAGEIF(Raw_Data[[#This Row],[GHI_UP_Net_IS2_W1]:[GHI_UP_Net_IS19_W6]],"&lt;&gt;"&amp;0,Raw_Data[[#This Row],[GHI_UP_Net_IS2_W1]:[GHI_UP_Net_IS19_W6]])</f>
        <v>8.1248501666666648</v>
      </c>
      <c r="IZ80" s="68">
        <f>AVERAGEIF(Raw_Data[[#This Row],[GHI_Down_IS2_W1]:[GHI_Down_IS19_W6]],"&lt;&gt;"&amp;0,Raw_Data[[#This Row],[GHI_Down_IS2_W1]:[GHI_Down_IS19_W6]])</f>
        <v>2.0945012083333334</v>
      </c>
      <c r="JA80" s="68">
        <f>AVERAGEIF(Raw_Data[[#This Row],[POA_Up_IS2_W1]:[POA_Up_IS19_W6]],"&lt;&gt;"&amp;0,Raw_Data[[#This Row],[POA_Up_IS2_W1]:[POA_Up_IS19_W6]])</f>
        <v>7.6958659444444448</v>
      </c>
      <c r="JB80" s="68">
        <f>AVERAGEIF(Raw_Data[[#This Row],[POA_Down_IS2_W1]:[POA_Down_IS19_W6]],"&lt;&gt;"&amp;0,Raw_Data[[#This Row],[POA_Down_IS2_W1]:[POA_Down_IS19_W6]])</f>
        <v>0.67526112500000046</v>
      </c>
      <c r="JC80" s="69">
        <f>Raw_Data[[#This Row],[GHI-Down(KWh/m2)]]/Raw_Data[[#This Row],[GHI-UP (KWh/m2)]]</f>
        <v>0.25778951800567568</v>
      </c>
      <c r="JD80" s="72">
        <f>Raw_Data[[#This Row],[POA-Down(KWh/m2)]]/Raw_Data[[#This Row],[POA-UP(KWh/m2)]]</f>
        <v>8.7743358560898987E-2</v>
      </c>
      <c r="JE80" s="68">
        <f>AVERAGEIF(Raw_Data[[#This Row],[Amb_Temp_IS2_W1]:[Amb_Temp_IS19_W6]],"&lt;&gt;"&amp;0,Raw_Data[[#This Row],[Amb_Temp_IS2_W1]:[Amb_Temp_IS19_W6]])</f>
        <v>36.817054707379135</v>
      </c>
      <c r="JF80" s="68">
        <f>AVERAGEIF(Raw_Data[[#This Row],[MT_Temp_IS2_W1]:[MT_Temp_IS19_W6]],"&lt;&gt;"&amp;0,Raw_Data[[#This Row],[MT_Temp_IS2_W1]:[MT_Temp_IS19_W6]])</f>
        <v>50.067697201017822</v>
      </c>
      <c r="JG80" s="68">
        <f>AVERAGEIF(Raw_Data[[#This Row],[WS_Avg_IS2_W1]:[WS_Avg_IS19_W6]],"&lt;&gt;"&amp;0,Raw_Data[[#This Row],[WS_Avg_IS2_W1]:[WS_Avg_IS19_W6]])</f>
        <v>5.3507228451017843</v>
      </c>
      <c r="JH80" s="68">
        <f>AVERAGEIF(Raw_Data[[#This Row],[WS_Max_IS2_W1]:[WS_Max_IS19_W6]],"&lt;&gt;"&amp;0,Raw_Data[[#This Row],[WS_Max_IS2_W1]:[WS_Max_IS19_W6]])</f>
        <v>8.8633330000000008</v>
      </c>
      <c r="JI80" s="70">
        <f>SUM(Raw_Data[[#This Row],[IS1_INV1_M1]:[IS20_INV4_M2]])</f>
        <v>2105370.1999999997</v>
      </c>
      <c r="JJ80" s="73">
        <v>1977666.9999999867</v>
      </c>
      <c r="JK80" s="71">
        <v>2422301.1536561828</v>
      </c>
      <c r="JL80" s="143">
        <f>IFERROR(Raw_Data[[#This Row],[WPR_Eac]]/Raw_Data[[#This Row],[WPR_Edc]],"")</f>
        <v>0.81644142265916342</v>
      </c>
      <c r="JM80" s="6">
        <v>22</v>
      </c>
      <c r="JN80" s="6">
        <v>0</v>
      </c>
    </row>
    <row r="81" spans="2:274">
      <c r="B81" s="250">
        <f t="shared" si="596"/>
        <v>45820</v>
      </c>
      <c r="C81" s="9">
        <f>YEAR(Raw_Data[[#This Row],[Date]])+IF(MONTH(Raw_Data[[#This Row],[Date]])&gt;=4,1,0)</f>
        <v>2026</v>
      </c>
      <c r="D81" s="6">
        <f t="shared" si="721"/>
        <v>2025</v>
      </c>
      <c r="E81" s="7" t="s">
        <v>361</v>
      </c>
      <c r="F81" s="7" t="s">
        <v>361</v>
      </c>
      <c r="G81" s="8">
        <v>45809</v>
      </c>
      <c r="H81" s="6">
        <f t="shared" si="722"/>
        <v>30</v>
      </c>
      <c r="I81" s="9">
        <v>335090.89</v>
      </c>
      <c r="J81" s="10">
        <v>0.26041666666666669</v>
      </c>
      <c r="K81" s="10">
        <v>0.81388888888888888</v>
      </c>
      <c r="L81" s="9">
        <v>12130</v>
      </c>
      <c r="M81" s="9">
        <v>12547.7</v>
      </c>
      <c r="N81" s="9">
        <v>12607.3</v>
      </c>
      <c r="O81" s="9">
        <v>12577.8</v>
      </c>
      <c r="P81" s="9">
        <v>12720.9</v>
      </c>
      <c r="Q81" s="9">
        <v>12721.5</v>
      </c>
      <c r="R81" s="9">
        <v>12708.7</v>
      </c>
      <c r="S81" s="9">
        <v>12997</v>
      </c>
      <c r="T81" s="9">
        <v>12659</v>
      </c>
      <c r="U81" s="9">
        <v>12663.2</v>
      </c>
      <c r="V81" s="9">
        <v>12501.8</v>
      </c>
      <c r="W81" s="9">
        <v>12577.4</v>
      </c>
      <c r="X81" s="9">
        <v>12658.8</v>
      </c>
      <c r="Y81" s="9">
        <v>12522.6</v>
      </c>
      <c r="Z81" s="9">
        <v>12684.8</v>
      </c>
      <c r="AA81" s="9">
        <v>12723.3</v>
      </c>
      <c r="AB81" s="9">
        <v>12589.9</v>
      </c>
      <c r="AC81" s="9">
        <v>12618.2</v>
      </c>
      <c r="AD81" s="9">
        <v>12638.2</v>
      </c>
      <c r="AE81" s="9">
        <v>12751.1</v>
      </c>
      <c r="AF81" s="9">
        <v>12655.6</v>
      </c>
      <c r="AG81" s="9">
        <v>12678.6</v>
      </c>
      <c r="AH81" s="9">
        <v>12488.1</v>
      </c>
      <c r="AI81" s="9">
        <v>12562</v>
      </c>
      <c r="AJ81" s="9">
        <v>12452.5</v>
      </c>
      <c r="AK81" s="9">
        <v>11163.5</v>
      </c>
      <c r="AL81" s="9">
        <v>12418.9</v>
      </c>
      <c r="AM81" s="9">
        <v>12411.2</v>
      </c>
      <c r="AN81" s="9">
        <v>12668.2</v>
      </c>
      <c r="AO81" s="9">
        <v>12544.1</v>
      </c>
      <c r="AP81" s="9">
        <v>12524.2</v>
      </c>
      <c r="AQ81" s="9">
        <v>12679.1</v>
      </c>
      <c r="AR81" s="9">
        <v>13232.3</v>
      </c>
      <c r="AS81" s="9">
        <v>13252.5</v>
      </c>
      <c r="AT81" s="9">
        <v>13393.6</v>
      </c>
      <c r="AU81" s="9">
        <v>13269.2</v>
      </c>
      <c r="AV81" s="9">
        <v>12753.3</v>
      </c>
      <c r="AW81" s="9">
        <v>12615.8</v>
      </c>
      <c r="AX81" s="9">
        <v>12623.1</v>
      </c>
      <c r="AY81" s="9">
        <v>12575.3</v>
      </c>
      <c r="AZ81" s="9">
        <v>13239.8</v>
      </c>
      <c r="BA81" s="9">
        <v>12386</v>
      </c>
      <c r="BB81" s="9">
        <v>13138.6</v>
      </c>
      <c r="BC81" s="9">
        <v>12215.3</v>
      </c>
      <c r="BD81" s="9">
        <v>12768.5</v>
      </c>
      <c r="BE81" s="9">
        <v>13623.3</v>
      </c>
      <c r="BF81" s="9">
        <v>12224.6</v>
      </c>
      <c r="BG81" s="9">
        <v>13248.1</v>
      </c>
      <c r="BH81" s="9">
        <v>12706.7</v>
      </c>
      <c r="BI81" s="9">
        <v>12871.8</v>
      </c>
      <c r="BJ81" s="9">
        <v>12748.2</v>
      </c>
      <c r="BK81" s="9">
        <v>12216</v>
      </c>
      <c r="BL81" s="9">
        <v>13005.1</v>
      </c>
      <c r="BM81" s="9">
        <v>12886.4</v>
      </c>
      <c r="BN81" s="9">
        <v>12936.2</v>
      </c>
      <c r="BO81" s="9">
        <v>12857</v>
      </c>
      <c r="BP81" s="9">
        <v>11792.1</v>
      </c>
      <c r="BQ81" s="9">
        <v>13083.9</v>
      </c>
      <c r="BR81" s="9">
        <v>11834.4</v>
      </c>
      <c r="BS81" s="9">
        <v>13062.2</v>
      </c>
      <c r="BT81" s="9">
        <v>12954.2</v>
      </c>
      <c r="BU81" s="9">
        <v>11791</v>
      </c>
      <c r="BV81" s="9">
        <v>12694.2</v>
      </c>
      <c r="BW81" s="9">
        <v>12229.7</v>
      </c>
      <c r="BX81" s="9">
        <v>12448.5</v>
      </c>
      <c r="BY81" s="9">
        <v>11822.4</v>
      </c>
      <c r="BZ81" s="9">
        <v>12378.2</v>
      </c>
      <c r="CA81" s="9">
        <v>12778.4</v>
      </c>
      <c r="CB81" s="9">
        <v>12971.5</v>
      </c>
      <c r="CC81" s="9">
        <v>12005.9</v>
      </c>
      <c r="CD81" s="9">
        <v>12860.8</v>
      </c>
      <c r="CE81" s="9">
        <v>11615.4</v>
      </c>
      <c r="CF81" s="9">
        <v>12622</v>
      </c>
      <c r="CG81" s="9">
        <v>12457.8</v>
      </c>
      <c r="CH81" s="9">
        <v>11876.8</v>
      </c>
      <c r="CI81" s="9">
        <v>12842.4</v>
      </c>
      <c r="CJ81" s="9">
        <v>11696.9</v>
      </c>
      <c r="CK81" s="9">
        <v>13050.7</v>
      </c>
      <c r="CL81" s="9">
        <v>11909.7</v>
      </c>
      <c r="CM81" s="9">
        <v>12885.1</v>
      </c>
      <c r="CN81" s="9">
        <v>12062.7</v>
      </c>
      <c r="CO81" s="9">
        <v>12766.6</v>
      </c>
      <c r="CP81" s="9">
        <v>12146.9</v>
      </c>
      <c r="CQ81" s="9">
        <v>13042.7</v>
      </c>
      <c r="CR81" s="9">
        <v>12063.1</v>
      </c>
      <c r="CS81" s="9">
        <v>12674.6</v>
      </c>
      <c r="CT81" s="9">
        <v>12029.1</v>
      </c>
      <c r="CU81" s="9">
        <v>10832.2</v>
      </c>
      <c r="CV81" s="9">
        <v>12808.8</v>
      </c>
      <c r="CW81" s="9">
        <v>12490</v>
      </c>
      <c r="CX81" s="9">
        <v>11774.9</v>
      </c>
      <c r="CY81" s="9">
        <v>13106.6</v>
      </c>
      <c r="CZ81" s="9">
        <v>12863.7</v>
      </c>
      <c r="DA81" s="9">
        <v>12181.6</v>
      </c>
      <c r="DB81" s="9">
        <v>12026.3</v>
      </c>
      <c r="DC81" s="9">
        <v>12882.5</v>
      </c>
      <c r="DD81" s="9">
        <v>11918.5</v>
      </c>
      <c r="DE81" s="9">
        <v>12338.8</v>
      </c>
      <c r="DF81" s="9">
        <v>13059.2</v>
      </c>
      <c r="DG81" s="9">
        <v>11861.3</v>
      </c>
      <c r="DH81" s="9">
        <v>13081</v>
      </c>
      <c r="DI81" s="9">
        <v>11883</v>
      </c>
      <c r="DJ81" s="9">
        <v>12902.8</v>
      </c>
      <c r="DK81" s="9">
        <v>12116.9</v>
      </c>
      <c r="DL81" s="9">
        <v>12906.3</v>
      </c>
      <c r="DM81" s="9">
        <v>11560.5</v>
      </c>
      <c r="DN81" s="9">
        <v>12971.4</v>
      </c>
      <c r="DO81" s="9">
        <v>12015.6</v>
      </c>
      <c r="DP81" s="9">
        <v>12863.1</v>
      </c>
      <c r="DQ81" s="9">
        <v>11961.9</v>
      </c>
      <c r="DR81" s="9">
        <v>12904.5</v>
      </c>
      <c r="DS81" s="9">
        <v>12189.6</v>
      </c>
      <c r="DT81" s="9">
        <v>11886</v>
      </c>
      <c r="DU81" s="9">
        <v>12836</v>
      </c>
      <c r="DV81" s="9">
        <v>12023.1</v>
      </c>
      <c r="DW81" s="9">
        <v>11831.3</v>
      </c>
      <c r="DX81" s="9">
        <v>12908.9</v>
      </c>
      <c r="DY81" s="9">
        <v>12954</v>
      </c>
      <c r="DZ81" s="9">
        <v>12820.9</v>
      </c>
      <c r="EA81" s="9">
        <v>12030.3</v>
      </c>
      <c r="EB81" s="9">
        <v>12897.9</v>
      </c>
      <c r="EC81" s="9">
        <v>11880.2</v>
      </c>
      <c r="ED81" s="9">
        <v>12710.2</v>
      </c>
      <c r="EE81" s="9">
        <v>12013.2</v>
      </c>
      <c r="EF81" s="9">
        <v>12584.6</v>
      </c>
      <c r="EG81" s="9">
        <v>11259.4</v>
      </c>
      <c r="EH81" s="9">
        <v>12730.2</v>
      </c>
      <c r="EI81" s="9">
        <v>11910</v>
      </c>
      <c r="EJ81" s="9">
        <v>12022.6</v>
      </c>
      <c r="EK81" s="9">
        <v>12059</v>
      </c>
      <c r="EL81" s="9">
        <v>11892.8</v>
      </c>
      <c r="EM81" s="9">
        <v>10477.799999999999</v>
      </c>
      <c r="EN81" s="9">
        <v>11753</v>
      </c>
      <c r="EO81" s="9">
        <v>10640.7</v>
      </c>
      <c r="EP81" s="9">
        <v>11880</v>
      </c>
      <c r="EQ81" s="9">
        <v>11923.5</v>
      </c>
      <c r="ER81" s="9">
        <v>13293.9</v>
      </c>
      <c r="ES81" s="9">
        <v>12159.2</v>
      </c>
      <c r="ET81" s="9">
        <v>13334.4</v>
      </c>
      <c r="EU81" s="9">
        <v>12385.2</v>
      </c>
      <c r="EV81" s="9">
        <v>13241.7</v>
      </c>
      <c r="EW81" s="9">
        <v>12236</v>
      </c>
      <c r="EX81" s="9">
        <v>12402</v>
      </c>
      <c r="EY81" s="9">
        <v>12171.5</v>
      </c>
      <c r="EZ81" s="9">
        <v>13081.5</v>
      </c>
      <c r="FA81" s="9">
        <v>13368</v>
      </c>
      <c r="FB81" s="9">
        <v>13291.4</v>
      </c>
      <c r="FC81" s="9">
        <v>13225.9</v>
      </c>
      <c r="FD81" s="9">
        <v>13212.7</v>
      </c>
      <c r="FE81" s="9">
        <v>13238.4</v>
      </c>
      <c r="FF81" s="9">
        <v>12497.6</v>
      </c>
      <c r="FG81" s="9">
        <v>13269.8</v>
      </c>
      <c r="FH81" s="9">
        <v>13328.5</v>
      </c>
      <c r="FI81" s="9">
        <v>13316.9</v>
      </c>
      <c r="FJ81" s="9">
        <v>13319.4</v>
      </c>
      <c r="FK81" s="9">
        <v>13294.9</v>
      </c>
      <c r="FL81" s="9">
        <v>13333.7</v>
      </c>
      <c r="FM81" s="9">
        <v>12454</v>
      </c>
      <c r="FN81" s="9">
        <v>13391.4</v>
      </c>
      <c r="FO81" s="9">
        <v>12516</v>
      </c>
      <c r="FP81" s="11">
        <v>0</v>
      </c>
      <c r="FQ81" s="11">
        <v>0</v>
      </c>
      <c r="FR81" s="11">
        <v>37.372614795918324</v>
      </c>
      <c r="FS81" s="11">
        <v>36.966938775510201</v>
      </c>
      <c r="FT81" s="11">
        <v>36.726224489795911</v>
      </c>
      <c r="FU81" s="11">
        <v>37.170790816326537</v>
      </c>
      <c r="FV81" s="11">
        <v>0</v>
      </c>
      <c r="FW81" s="11">
        <v>0</v>
      </c>
      <c r="FX81" s="11">
        <v>0</v>
      </c>
      <c r="FY81" s="11">
        <v>0</v>
      </c>
      <c r="FZ81" s="11">
        <v>52.084795165816367</v>
      </c>
      <c r="GA81" s="11">
        <v>53.463418367346975</v>
      </c>
      <c r="GB81" s="11">
        <v>0</v>
      </c>
      <c r="GC81" s="11">
        <v>0</v>
      </c>
      <c r="GD81" s="11">
        <v>3.3517813061224495</v>
      </c>
      <c r="GE81" s="11">
        <v>3.4276167708035752</v>
      </c>
      <c r="GF81" s="11">
        <v>3.8595215144132617</v>
      </c>
      <c r="GG81" s="11">
        <v>3.8877336747448945</v>
      </c>
      <c r="GH81" s="11">
        <v>0</v>
      </c>
      <c r="GI81" s="11">
        <v>0</v>
      </c>
      <c r="GJ81" s="11">
        <v>6.6633339999999999</v>
      </c>
      <c r="GK81" s="11">
        <v>7.1466659999999997</v>
      </c>
      <c r="GL81" s="11">
        <v>6.8733329999999997</v>
      </c>
      <c r="GM81" s="11">
        <v>6.7816660000000004</v>
      </c>
      <c r="GN81" s="11">
        <v>0</v>
      </c>
      <c r="GO81" s="11">
        <v>0</v>
      </c>
      <c r="GP81" s="11">
        <v>8.0989670000000036</v>
      </c>
      <c r="GQ81" s="11">
        <v>8.0094901666666658</v>
      </c>
      <c r="GR81" s="11">
        <v>7.9245086666666715</v>
      </c>
      <c r="GS81" s="11">
        <v>8.059723833333333</v>
      </c>
      <c r="GT81" s="108">
        <v>0</v>
      </c>
      <c r="GU81" s="108">
        <v>0</v>
      </c>
      <c r="GV81" s="108">
        <v>1.8658035000000008</v>
      </c>
      <c r="GW81" s="108">
        <v>2.2900016666666705</v>
      </c>
      <c r="GX81" s="108">
        <v>2.251849166666668</v>
      </c>
      <c r="GY81" s="108">
        <v>1.9112808333333324</v>
      </c>
      <c r="GZ81" s="13">
        <v>0</v>
      </c>
      <c r="HA81" s="13">
        <v>0</v>
      </c>
      <c r="HB81" s="13">
        <v>7.5658503333333345</v>
      </c>
      <c r="HC81" s="13">
        <v>0</v>
      </c>
      <c r="HD81" s="13">
        <v>7.5477796666666661</v>
      </c>
      <c r="HE81" s="13">
        <v>7.6805670000000044</v>
      </c>
      <c r="HF81" s="13">
        <v>0</v>
      </c>
      <c r="HG81" s="13">
        <v>0</v>
      </c>
      <c r="HH81" s="13">
        <v>0.62487033333333364</v>
      </c>
      <c r="HI81" s="13">
        <v>0.65379899999999957</v>
      </c>
      <c r="HJ81" s="13">
        <v>0.66627716666666603</v>
      </c>
      <c r="HK81" s="13">
        <v>0.69625350000000064</v>
      </c>
      <c r="HL81" s="12">
        <v>0</v>
      </c>
      <c r="HM81" s="12">
        <v>0</v>
      </c>
      <c r="HN81" s="12">
        <v>0</v>
      </c>
      <c r="HO81" s="12">
        <v>0</v>
      </c>
      <c r="HP81" s="12">
        <v>0</v>
      </c>
      <c r="HQ81" s="12">
        <v>0</v>
      </c>
      <c r="HR81" s="12">
        <v>0</v>
      </c>
      <c r="HS81" s="12">
        <v>0</v>
      </c>
      <c r="HT81" s="12">
        <v>0</v>
      </c>
      <c r="HU81" s="12">
        <v>0</v>
      </c>
      <c r="HV81" s="12">
        <v>0</v>
      </c>
      <c r="HW81" s="12">
        <v>0</v>
      </c>
      <c r="HX81" s="9">
        <v>967527</v>
      </c>
      <c r="HY81" s="9">
        <v>1797</v>
      </c>
      <c r="HZ81" s="9">
        <v>954196</v>
      </c>
      <c r="IA81" s="9">
        <v>1823</v>
      </c>
      <c r="IB81" s="11">
        <v>226638.951</v>
      </c>
      <c r="IC81" s="11">
        <v>503.8</v>
      </c>
      <c r="ID81" s="14">
        <f t="shared" ref="ID81:II81" si="773">GN81-HL81</f>
        <v>0</v>
      </c>
      <c r="IE81" s="14">
        <f t="shared" si="773"/>
        <v>0</v>
      </c>
      <c r="IF81" s="14">
        <f t="shared" si="773"/>
        <v>8.0989670000000036</v>
      </c>
      <c r="IG81" s="14">
        <f t="shared" si="773"/>
        <v>8.0094901666666658</v>
      </c>
      <c r="IH81" s="14">
        <f t="shared" si="773"/>
        <v>7.9245086666666715</v>
      </c>
      <c r="II81" s="14">
        <f t="shared" si="773"/>
        <v>8.059723833333333</v>
      </c>
      <c r="IJ81" s="15">
        <f t="shared" ref="IJ81:IO81" si="774">GZ81-HR81</f>
        <v>0</v>
      </c>
      <c r="IK81" s="15">
        <f t="shared" si="774"/>
        <v>0</v>
      </c>
      <c r="IL81" s="15">
        <f t="shared" si="774"/>
        <v>7.5658503333333345</v>
      </c>
      <c r="IM81" s="15">
        <f t="shared" si="774"/>
        <v>0</v>
      </c>
      <c r="IN81" s="15">
        <f t="shared" si="774"/>
        <v>7.5477796666666661</v>
      </c>
      <c r="IO81" s="15">
        <f t="shared" si="774"/>
        <v>7.6805670000000044</v>
      </c>
      <c r="IP81" s="16">
        <f t="shared" ref="IP81" si="775">(HX81-HX80)*1000</f>
        <v>994000</v>
      </c>
      <c r="IQ81" s="16">
        <f t="shared" ref="IQ81" si="776">(HY81-HY80)*1000</f>
        <v>3000</v>
      </c>
      <c r="IR81" s="16">
        <f t="shared" ref="IR81" si="777">(HZ81-HZ80)*1000</f>
        <v>994000</v>
      </c>
      <c r="IS81" s="16">
        <f t="shared" ref="IS81" si="778">(IA81-IA80)*1000</f>
        <v>2000</v>
      </c>
      <c r="IT81" s="16">
        <f t="shared" ref="IT81" si="779">(IB81-IB80)*1000</f>
        <v>1994467.0000000042</v>
      </c>
      <c r="IU81" s="16">
        <f t="shared" ref="IU81" si="780">(IC81-IC80)*1000</f>
        <v>4133.0000000000382</v>
      </c>
      <c r="IV81" s="17">
        <f t="shared" ref="IV81" si="781">(IP81+IR81)-(IQ81+IS81)</f>
        <v>1983000</v>
      </c>
      <c r="IW81" s="17">
        <f t="shared" ref="IW81" si="782">IT81-IU81</f>
        <v>1990334.0000000042</v>
      </c>
      <c r="IX81" s="19">
        <f>(Raw_Data[[#This Row],[Sunset Time (POA&lt;20 W/m2)]]-Raw_Data[[#This Row],[Sunrise Time (POA&gt;20 W/m2)]])*24</f>
        <v>13.283333333333331</v>
      </c>
      <c r="IY81" s="68">
        <f>AVERAGEIF(Raw_Data[[#This Row],[GHI_UP_Net_IS2_W1]:[GHI_UP_Net_IS19_W6]],"&lt;&gt;"&amp;0,Raw_Data[[#This Row],[GHI_UP_Net_IS2_W1]:[GHI_UP_Net_IS19_W6]])</f>
        <v>8.023172416666668</v>
      </c>
      <c r="IZ81" s="68">
        <f>AVERAGEIF(Raw_Data[[#This Row],[GHI_Down_IS2_W1]:[GHI_Down_IS19_W6]],"&lt;&gt;"&amp;0,Raw_Data[[#This Row],[GHI_Down_IS2_W1]:[GHI_Down_IS19_W6]])</f>
        <v>2.0797337916666678</v>
      </c>
      <c r="JA81" s="68">
        <f>AVERAGEIF(Raw_Data[[#This Row],[POA_Up_IS2_W1]:[POA_Up_IS19_W6]],"&lt;&gt;"&amp;0,Raw_Data[[#This Row],[POA_Up_IS2_W1]:[POA_Up_IS19_W6]])</f>
        <v>7.5980656666666677</v>
      </c>
      <c r="JB81" s="68">
        <f>AVERAGEIF(Raw_Data[[#This Row],[POA_Down_IS2_W1]:[POA_Down_IS19_W6]],"&lt;&gt;"&amp;0,Raw_Data[[#This Row],[POA_Down_IS2_W1]:[POA_Down_IS19_W6]])</f>
        <v>0.6603</v>
      </c>
      <c r="JC81" s="69">
        <f>Raw_Data[[#This Row],[GHI-Down(KWh/m2)]]/Raw_Data[[#This Row],[GHI-UP (KWh/m2)]]</f>
        <v>0.25921589162740694</v>
      </c>
      <c r="JD81" s="72">
        <f>Raw_Data[[#This Row],[POA-Down(KWh/m2)]]/Raw_Data[[#This Row],[POA-UP(KWh/m2)]]</f>
        <v>8.6903697462999016E-2</v>
      </c>
      <c r="JE81" s="68">
        <f>AVERAGEIF(Raw_Data[[#This Row],[Amb_Temp_IS2_W1]:[Amb_Temp_IS19_W6]],"&lt;&gt;"&amp;0,Raw_Data[[#This Row],[Amb_Temp_IS2_W1]:[Amb_Temp_IS19_W6]])</f>
        <v>37.059142219387745</v>
      </c>
      <c r="JF81" s="68">
        <f>AVERAGEIF(Raw_Data[[#This Row],[MT_Temp_IS2_W1]:[MT_Temp_IS19_W6]],"&lt;&gt;"&amp;0,Raw_Data[[#This Row],[MT_Temp_IS2_W1]:[MT_Temp_IS19_W6]])</f>
        <v>52.774106766581667</v>
      </c>
      <c r="JG81" s="68">
        <f>AVERAGEIF(Raw_Data[[#This Row],[WS_Avg_IS2_W1]:[WS_Avg_IS19_W6]],"&lt;&gt;"&amp;0,Raw_Data[[#This Row],[WS_Avg_IS2_W1]:[WS_Avg_IS19_W6]])</f>
        <v>3.6316633165210455</v>
      </c>
      <c r="JH81" s="68">
        <f>AVERAGEIF(Raw_Data[[#This Row],[WS_Max_IS2_W1]:[WS_Max_IS19_W6]],"&lt;&gt;"&amp;0,Raw_Data[[#This Row],[WS_Max_IS2_W1]:[WS_Max_IS19_W6]])</f>
        <v>6.8662497499999997</v>
      </c>
      <c r="JI81" s="70">
        <f>SUM(Raw_Data[[#This Row],[IS1_INV1_M1]:[IS20_INV4_M2]])</f>
        <v>2005872.3999999992</v>
      </c>
      <c r="JJ81" s="73">
        <v>1943852.6799999983</v>
      </c>
      <c r="JK81" s="71">
        <v>2327868.8269968266</v>
      </c>
      <c r="JL81" s="143">
        <f>IFERROR(Raw_Data[[#This Row],[WPR_Eac]]/Raw_Data[[#This Row],[WPR_Edc]],"")</f>
        <v>0.83503531533078446</v>
      </c>
      <c r="JM81" s="6">
        <v>21</v>
      </c>
      <c r="JN81" s="6">
        <v>0</v>
      </c>
    </row>
    <row r="82" spans="2:274">
      <c r="B82" s="250">
        <f t="shared" si="596"/>
        <v>45821</v>
      </c>
      <c r="C82" s="9">
        <f>YEAR(Raw_Data[[#This Row],[Date]])+IF(MONTH(Raw_Data[[#This Row],[Date]])&gt;=4,1,0)</f>
        <v>2026</v>
      </c>
      <c r="D82" s="6">
        <f t="shared" ref="D82:D87" si="783">YEAR(B82)</f>
        <v>2025</v>
      </c>
      <c r="E82" s="7" t="s">
        <v>361</v>
      </c>
      <c r="F82" s="7" t="s">
        <v>361</v>
      </c>
      <c r="G82" s="8">
        <v>45809</v>
      </c>
      <c r="H82" s="6">
        <f t="shared" ref="H82:H87" si="784">DAY(EOMONTH(B82,0))</f>
        <v>30</v>
      </c>
      <c r="I82" s="9">
        <v>335090.89</v>
      </c>
      <c r="J82" s="10">
        <v>0.26250000000000001</v>
      </c>
      <c r="K82" s="10">
        <v>0.81180555555555556</v>
      </c>
      <c r="L82" s="9">
        <v>9394.2999999999993</v>
      </c>
      <c r="M82" s="9">
        <v>9585.6</v>
      </c>
      <c r="N82" s="9">
        <v>9620.7000000000007</v>
      </c>
      <c r="O82" s="9">
        <v>9612.7999999999993</v>
      </c>
      <c r="P82" s="9">
        <v>9693.4</v>
      </c>
      <c r="Q82" s="9">
        <v>9685.9</v>
      </c>
      <c r="R82" s="9">
        <v>9676.7999999999993</v>
      </c>
      <c r="S82" s="9">
        <v>9824.6</v>
      </c>
      <c r="T82" s="9">
        <v>9640.4</v>
      </c>
      <c r="U82" s="9">
        <v>9605.4</v>
      </c>
      <c r="V82" s="9">
        <v>9567.7000000000007</v>
      </c>
      <c r="W82" s="9">
        <v>9594.2000000000007</v>
      </c>
      <c r="X82" s="9">
        <v>9688.2999999999993</v>
      </c>
      <c r="Y82" s="9">
        <v>9566</v>
      </c>
      <c r="Z82" s="9">
        <v>9721.7999999999993</v>
      </c>
      <c r="AA82" s="9">
        <v>9733.2000000000007</v>
      </c>
      <c r="AB82" s="9">
        <v>9641.7999999999993</v>
      </c>
      <c r="AC82" s="9">
        <v>9660.2999999999993</v>
      </c>
      <c r="AD82" s="9">
        <v>9662.9</v>
      </c>
      <c r="AE82" s="9">
        <v>9776.7999999999993</v>
      </c>
      <c r="AF82" s="9">
        <v>9681.5</v>
      </c>
      <c r="AG82" s="9">
        <v>9702.7999999999993</v>
      </c>
      <c r="AH82" s="9">
        <v>9643.2999999999993</v>
      </c>
      <c r="AI82" s="9">
        <v>9656.7000000000007</v>
      </c>
      <c r="AJ82" s="9">
        <v>9573.4</v>
      </c>
      <c r="AK82" s="9">
        <v>9080.1</v>
      </c>
      <c r="AL82" s="9">
        <v>9562</v>
      </c>
      <c r="AM82" s="9">
        <v>9544.5</v>
      </c>
      <c r="AN82" s="9">
        <v>9692.4</v>
      </c>
      <c r="AO82" s="9">
        <v>9639.5</v>
      </c>
      <c r="AP82" s="9">
        <v>9653.2999999999993</v>
      </c>
      <c r="AQ82" s="9">
        <v>9687.4</v>
      </c>
      <c r="AR82" s="9">
        <v>12572.8</v>
      </c>
      <c r="AS82" s="9">
        <v>12624.8</v>
      </c>
      <c r="AT82" s="9">
        <v>12764.4</v>
      </c>
      <c r="AU82" s="9">
        <v>12629.7</v>
      </c>
      <c r="AV82" s="9">
        <v>9734.4</v>
      </c>
      <c r="AW82" s="9">
        <v>9666.4</v>
      </c>
      <c r="AX82" s="9">
        <v>9662.2999999999993</v>
      </c>
      <c r="AY82" s="9">
        <v>9631</v>
      </c>
      <c r="AZ82" s="9">
        <v>9991</v>
      </c>
      <c r="BA82" s="9">
        <v>9602.1</v>
      </c>
      <c r="BB82" s="9">
        <v>9931.5</v>
      </c>
      <c r="BC82" s="9">
        <v>9540</v>
      </c>
      <c r="BD82" s="9">
        <v>9794.1</v>
      </c>
      <c r="BE82" s="9">
        <v>10231.4</v>
      </c>
      <c r="BF82" s="9">
        <v>9495</v>
      </c>
      <c r="BG82" s="9">
        <v>9976.2000000000007</v>
      </c>
      <c r="BH82" s="9">
        <v>9698.7000000000007</v>
      </c>
      <c r="BI82" s="9">
        <v>9786.9</v>
      </c>
      <c r="BJ82" s="9">
        <v>9749.7000000000007</v>
      </c>
      <c r="BK82" s="9">
        <v>9524.7000000000007</v>
      </c>
      <c r="BL82" s="9">
        <v>9876</v>
      </c>
      <c r="BM82" s="9">
        <v>9799.1</v>
      </c>
      <c r="BN82" s="9">
        <v>9831.9</v>
      </c>
      <c r="BO82" s="9">
        <v>9788.5</v>
      </c>
      <c r="BP82" s="9">
        <v>9347.2999999999993</v>
      </c>
      <c r="BQ82" s="9">
        <v>9890.2999999999993</v>
      </c>
      <c r="BR82" s="9">
        <v>9416.9</v>
      </c>
      <c r="BS82" s="9">
        <v>9879.1</v>
      </c>
      <c r="BT82" s="9">
        <v>9814.9</v>
      </c>
      <c r="BU82" s="9">
        <v>9350.7999999999993</v>
      </c>
      <c r="BV82" s="9">
        <v>9634.2999999999993</v>
      </c>
      <c r="BW82" s="9">
        <v>9427.9</v>
      </c>
      <c r="BX82" s="9">
        <v>9572</v>
      </c>
      <c r="BY82" s="9">
        <v>9354.6</v>
      </c>
      <c r="BZ82" s="9">
        <v>9545.2000000000007</v>
      </c>
      <c r="CA82" s="9">
        <v>9730.2999999999993</v>
      </c>
      <c r="CB82" s="9">
        <v>9787.2999999999993</v>
      </c>
      <c r="CC82" s="9">
        <v>9402.1</v>
      </c>
      <c r="CD82" s="9">
        <v>9731.2999999999993</v>
      </c>
      <c r="CE82" s="9">
        <v>9279.9</v>
      </c>
      <c r="CF82" s="9">
        <v>9627.1</v>
      </c>
      <c r="CG82" s="9">
        <v>9562.7999999999993</v>
      </c>
      <c r="CH82" s="9">
        <v>9346.5</v>
      </c>
      <c r="CI82" s="9">
        <v>9702.5</v>
      </c>
      <c r="CJ82" s="9">
        <v>9269.1</v>
      </c>
      <c r="CK82" s="9">
        <v>9819.2999999999993</v>
      </c>
      <c r="CL82" s="9">
        <v>9353.4</v>
      </c>
      <c r="CM82" s="9">
        <v>9727.2000000000007</v>
      </c>
      <c r="CN82" s="9">
        <v>9447.9</v>
      </c>
      <c r="CO82" s="9">
        <v>9722.6</v>
      </c>
      <c r="CP82" s="9">
        <v>9490.1</v>
      </c>
      <c r="CQ82" s="9">
        <v>9872.5</v>
      </c>
      <c r="CR82" s="9">
        <v>9462.7000000000007</v>
      </c>
      <c r="CS82" s="9">
        <v>9712</v>
      </c>
      <c r="CT82" s="9">
        <v>9412.6</v>
      </c>
      <c r="CU82" s="9">
        <v>9016.4</v>
      </c>
      <c r="CV82" s="9">
        <v>9776.4</v>
      </c>
      <c r="CW82" s="9">
        <v>9617.4</v>
      </c>
      <c r="CX82" s="9">
        <v>9362.7999999999993</v>
      </c>
      <c r="CY82" s="9">
        <v>9933.2000000000007</v>
      </c>
      <c r="CZ82" s="9">
        <v>9791</v>
      </c>
      <c r="DA82" s="9">
        <v>9514.5</v>
      </c>
      <c r="DB82" s="9">
        <v>9434.5</v>
      </c>
      <c r="DC82" s="9">
        <v>9798.4</v>
      </c>
      <c r="DD82" s="9">
        <v>9431.2999999999993</v>
      </c>
      <c r="DE82" s="9">
        <v>9604.2000000000007</v>
      </c>
      <c r="DF82" s="9">
        <v>9917.7999999999993</v>
      </c>
      <c r="DG82" s="9">
        <v>9417.5</v>
      </c>
      <c r="DH82" s="9">
        <v>9955.2000000000007</v>
      </c>
      <c r="DI82" s="9">
        <v>9452.7999999999993</v>
      </c>
      <c r="DJ82" s="9">
        <v>9902.7999999999993</v>
      </c>
      <c r="DK82" s="9">
        <v>9570.5</v>
      </c>
      <c r="DL82" s="9">
        <v>9872.4</v>
      </c>
      <c r="DM82" s="9">
        <v>9323.2999999999993</v>
      </c>
      <c r="DN82" s="9">
        <v>9924.4</v>
      </c>
      <c r="DO82" s="9">
        <v>9501.5</v>
      </c>
      <c r="DP82" s="9">
        <v>9872.7999999999993</v>
      </c>
      <c r="DQ82" s="9">
        <v>9494</v>
      </c>
      <c r="DR82" s="9">
        <v>9901.7999999999993</v>
      </c>
      <c r="DS82" s="9">
        <v>9631.2000000000007</v>
      </c>
      <c r="DT82" s="9">
        <v>9425.2999999999993</v>
      </c>
      <c r="DU82" s="9">
        <v>9819.6</v>
      </c>
      <c r="DV82" s="9">
        <v>9515.5</v>
      </c>
      <c r="DW82" s="9">
        <v>9443.7000000000007</v>
      </c>
      <c r="DX82" s="9">
        <v>9886.2999999999993</v>
      </c>
      <c r="DY82" s="9">
        <v>9901.7000000000007</v>
      </c>
      <c r="DZ82" s="9">
        <v>9837.9</v>
      </c>
      <c r="EA82" s="9">
        <v>9534.9</v>
      </c>
      <c r="EB82" s="9">
        <v>9866</v>
      </c>
      <c r="EC82" s="9">
        <v>9457.7000000000007</v>
      </c>
      <c r="ED82" s="9">
        <v>9794.9</v>
      </c>
      <c r="EE82" s="9">
        <v>9514.2999999999993</v>
      </c>
      <c r="EF82" s="9">
        <v>9726.9</v>
      </c>
      <c r="EG82" s="9">
        <v>9262.4</v>
      </c>
      <c r="EH82" s="9">
        <v>9810.2999999999993</v>
      </c>
      <c r="EI82" s="9">
        <v>9518.7999999999993</v>
      </c>
      <c r="EJ82" s="9">
        <v>9532.2000000000007</v>
      </c>
      <c r="EK82" s="9">
        <v>9524.9</v>
      </c>
      <c r="EL82" s="9">
        <v>9480.6</v>
      </c>
      <c r="EM82" s="9">
        <v>8929.2999999999993</v>
      </c>
      <c r="EN82" s="9">
        <v>9376.9</v>
      </c>
      <c r="EO82" s="9">
        <v>8969</v>
      </c>
      <c r="EP82" s="9">
        <v>9452.7000000000007</v>
      </c>
      <c r="EQ82" s="9">
        <v>9464.7000000000007</v>
      </c>
      <c r="ER82" s="9">
        <v>10054.6</v>
      </c>
      <c r="ES82" s="9">
        <v>9499.7999999999993</v>
      </c>
      <c r="ET82" s="9">
        <v>10063.299999999999</v>
      </c>
      <c r="EU82" s="9">
        <v>9601.9</v>
      </c>
      <c r="EV82" s="9">
        <v>10011.9</v>
      </c>
      <c r="EW82" s="9">
        <v>9531.7000000000007</v>
      </c>
      <c r="EX82" s="9">
        <v>9596.7000000000007</v>
      </c>
      <c r="EY82" s="9">
        <v>9532.7000000000007</v>
      </c>
      <c r="EZ82" s="9">
        <v>9884.7999999999993</v>
      </c>
      <c r="FA82" s="9">
        <v>9995.6</v>
      </c>
      <c r="FB82" s="9">
        <v>10001.4</v>
      </c>
      <c r="FC82" s="9">
        <v>9980.6</v>
      </c>
      <c r="FD82" s="9">
        <v>10008.4</v>
      </c>
      <c r="FE82" s="9">
        <v>10029.700000000001</v>
      </c>
      <c r="FF82" s="9">
        <v>9649</v>
      </c>
      <c r="FG82" s="9">
        <v>10007.200000000001</v>
      </c>
      <c r="FH82" s="9">
        <v>9940.7999999999993</v>
      </c>
      <c r="FI82" s="9">
        <v>9948.4</v>
      </c>
      <c r="FJ82" s="9">
        <v>9933.2000000000007</v>
      </c>
      <c r="FK82" s="9">
        <v>9919.2999999999993</v>
      </c>
      <c r="FL82" s="9">
        <v>9971</v>
      </c>
      <c r="FM82" s="9">
        <v>9569.2000000000007</v>
      </c>
      <c r="FN82" s="9">
        <v>10040.200000000001</v>
      </c>
      <c r="FO82" s="9">
        <v>9594.6</v>
      </c>
      <c r="FP82" s="11">
        <v>0</v>
      </c>
      <c r="FQ82" s="11">
        <v>39.824481434058917</v>
      </c>
      <c r="FR82" s="11">
        <v>40.21544174135726</v>
      </c>
      <c r="FS82" s="11">
        <v>40.034276568501966</v>
      </c>
      <c r="FT82" s="11">
        <v>40.113841229193312</v>
      </c>
      <c r="FU82" s="11">
        <v>40.07047375160046</v>
      </c>
      <c r="FV82" s="11">
        <v>0</v>
      </c>
      <c r="FW82" s="11">
        <v>55.6</v>
      </c>
      <c r="FX82" s="11">
        <v>0</v>
      </c>
      <c r="FY82" s="11">
        <v>0</v>
      </c>
      <c r="FZ82" s="11">
        <v>55.6</v>
      </c>
      <c r="GA82" s="11">
        <v>55.9</v>
      </c>
      <c r="GB82" s="11">
        <v>0</v>
      </c>
      <c r="GC82" s="11">
        <v>3.2667710919334194</v>
      </c>
      <c r="GD82" s="11">
        <v>3.0262269478873201</v>
      </c>
      <c r="GE82" s="11">
        <v>2.7735316631370055</v>
      </c>
      <c r="GF82" s="11">
        <v>3.1530877933930861</v>
      </c>
      <c r="GG82" s="11">
        <v>2.913988343495522</v>
      </c>
      <c r="GH82" s="11">
        <v>0</v>
      </c>
      <c r="GI82" s="11">
        <v>6.7516660000000002</v>
      </c>
      <c r="GJ82" s="11">
        <v>7.2633330000000003</v>
      </c>
      <c r="GK82" s="11">
        <v>6.7549999999999999</v>
      </c>
      <c r="GL82" s="11">
        <v>6.7083339999999998</v>
      </c>
      <c r="GM82" s="11">
        <v>7.59</v>
      </c>
      <c r="GN82" s="11">
        <v>0</v>
      </c>
      <c r="GO82" s="11">
        <v>7.6062119999999984</v>
      </c>
      <c r="GP82" s="11">
        <v>7.7098824999999991</v>
      </c>
      <c r="GQ82" s="11">
        <v>7.5972403333333354</v>
      </c>
      <c r="GR82" s="11">
        <v>7.6363568333333367</v>
      </c>
      <c r="GS82" s="11">
        <v>7.6460158333333297</v>
      </c>
      <c r="GT82" s="108">
        <v>0</v>
      </c>
      <c r="GU82" s="108">
        <v>1.8942405000000004</v>
      </c>
      <c r="GV82" s="108">
        <v>1.7822743333333348</v>
      </c>
      <c r="GW82" s="108">
        <v>2.1840419999999989</v>
      </c>
      <c r="GX82" s="108">
        <v>2.1615924999999994</v>
      </c>
      <c r="GY82" s="108">
        <v>1.7916139999999992</v>
      </c>
      <c r="GZ82" s="13">
        <v>0</v>
      </c>
      <c r="HA82" s="13">
        <v>7.3417220000000016</v>
      </c>
      <c r="HB82" s="13">
        <v>7.2271433333333297</v>
      </c>
      <c r="HC82" s="13">
        <v>0</v>
      </c>
      <c r="HD82" s="13">
        <v>7.3239033333333348</v>
      </c>
      <c r="HE82" s="13">
        <v>7.2950476666666715</v>
      </c>
      <c r="HF82" s="13">
        <v>0</v>
      </c>
      <c r="HG82" s="13">
        <v>0.71349983333333344</v>
      </c>
      <c r="HH82" s="13">
        <v>0.60357116666666699</v>
      </c>
      <c r="HI82" s="13">
        <v>0.62621333333333418</v>
      </c>
      <c r="HJ82" s="13">
        <v>0.64260500000000031</v>
      </c>
      <c r="HK82" s="13">
        <v>0.66378316666666715</v>
      </c>
      <c r="HL82" s="12">
        <v>0</v>
      </c>
      <c r="HM82" s="12">
        <v>0</v>
      </c>
      <c r="HN82" s="12">
        <v>0</v>
      </c>
      <c r="HO82" s="12">
        <v>0</v>
      </c>
      <c r="HP82" s="12">
        <v>0</v>
      </c>
      <c r="HQ82" s="12">
        <v>0</v>
      </c>
      <c r="HR82" s="12">
        <v>0</v>
      </c>
      <c r="HS82" s="12">
        <v>0</v>
      </c>
      <c r="HT82" s="12">
        <v>0</v>
      </c>
      <c r="HU82" s="12">
        <v>0</v>
      </c>
      <c r="HV82" s="12">
        <v>0</v>
      </c>
      <c r="HW82" s="12">
        <v>0</v>
      </c>
      <c r="HX82" s="9">
        <v>968302</v>
      </c>
      <c r="HY82" s="9">
        <v>1798</v>
      </c>
      <c r="HZ82" s="9">
        <v>954969</v>
      </c>
      <c r="IA82" s="9">
        <v>1824</v>
      </c>
      <c r="IB82" s="11">
        <v>228191.75099999999</v>
      </c>
      <c r="IC82" s="11">
        <v>508</v>
      </c>
      <c r="ID82" s="14">
        <f t="shared" ref="ID82:II82" si="785">GN82-HL82</f>
        <v>0</v>
      </c>
      <c r="IE82" s="14">
        <f t="shared" si="785"/>
        <v>7.6062119999999984</v>
      </c>
      <c r="IF82" s="14">
        <f t="shared" si="785"/>
        <v>7.7098824999999991</v>
      </c>
      <c r="IG82" s="14">
        <f t="shared" si="785"/>
        <v>7.5972403333333354</v>
      </c>
      <c r="IH82" s="14">
        <f t="shared" si="785"/>
        <v>7.6363568333333367</v>
      </c>
      <c r="II82" s="14">
        <f t="shared" si="785"/>
        <v>7.6460158333333297</v>
      </c>
      <c r="IJ82" s="15">
        <f t="shared" ref="IJ82:IO82" si="786">GZ82-HR82</f>
        <v>0</v>
      </c>
      <c r="IK82" s="15">
        <f t="shared" si="786"/>
        <v>7.3417220000000016</v>
      </c>
      <c r="IL82" s="15">
        <f t="shared" si="786"/>
        <v>7.2271433333333297</v>
      </c>
      <c r="IM82" s="15">
        <f t="shared" si="786"/>
        <v>0</v>
      </c>
      <c r="IN82" s="15">
        <f t="shared" si="786"/>
        <v>7.3239033333333348</v>
      </c>
      <c r="IO82" s="15">
        <f t="shared" si="786"/>
        <v>7.2950476666666715</v>
      </c>
      <c r="IP82" s="16">
        <f t="shared" ref="IP82" si="787">(HX82-HX81)*1000</f>
        <v>775000</v>
      </c>
      <c r="IQ82" s="16">
        <f t="shared" ref="IQ82" si="788">(HY82-HY81)*1000</f>
        <v>1000</v>
      </c>
      <c r="IR82" s="16">
        <f t="shared" ref="IR82" si="789">(HZ82-HZ81)*1000</f>
        <v>773000</v>
      </c>
      <c r="IS82" s="16">
        <f t="shared" ref="IS82" si="790">(IA82-IA81)*1000</f>
        <v>1000</v>
      </c>
      <c r="IT82" s="16">
        <f t="shared" ref="IT82" si="791">(IB82-IB81)*1000</f>
        <v>1552799.9999999884</v>
      </c>
      <c r="IU82" s="16">
        <f t="shared" ref="IU82" si="792">(IC82-IC81)*1000</f>
        <v>4199.9999999999891</v>
      </c>
      <c r="IV82" s="17">
        <f t="shared" ref="IV82" si="793">(IP82+IR82)-(IQ82+IS82)</f>
        <v>1546000</v>
      </c>
      <c r="IW82" s="17">
        <f t="shared" ref="IW82" si="794">IT82-IU82</f>
        <v>1548599.9999999884</v>
      </c>
      <c r="IX82" s="19">
        <f>(Raw_Data[[#This Row],[Sunset Time (POA&lt;20 W/m2)]]-Raw_Data[[#This Row],[Sunrise Time (POA&gt;20 W/m2)]])*24</f>
        <v>13.183333333333332</v>
      </c>
      <c r="IY82" s="68">
        <f>AVERAGEIF(Raw_Data[[#This Row],[GHI_UP_Net_IS2_W1]:[GHI_UP_Net_IS19_W6]],"&lt;&gt;"&amp;0,Raw_Data[[#This Row],[GHI_UP_Net_IS2_W1]:[GHI_UP_Net_IS19_W6]])</f>
        <v>7.6391414999999991</v>
      </c>
      <c r="IZ82" s="68">
        <f>AVERAGEIF(Raw_Data[[#This Row],[GHI_Down_IS2_W1]:[GHI_Down_IS19_W6]],"&lt;&gt;"&amp;0,Raw_Data[[#This Row],[GHI_Down_IS2_W1]:[GHI_Down_IS19_W6]])</f>
        <v>1.9627526666666664</v>
      </c>
      <c r="JA82" s="68">
        <f>AVERAGEIF(Raw_Data[[#This Row],[POA_Up_IS2_W1]:[POA_Up_IS19_W6]],"&lt;&gt;"&amp;0,Raw_Data[[#This Row],[POA_Up_IS2_W1]:[POA_Up_IS19_W6]])</f>
        <v>7.2969540833333344</v>
      </c>
      <c r="JB82" s="68">
        <f>AVERAGEIF(Raw_Data[[#This Row],[POA_Down_IS2_W1]:[POA_Down_IS19_W6]],"&lt;&gt;"&amp;0,Raw_Data[[#This Row],[POA_Down_IS2_W1]:[POA_Down_IS19_W6]])</f>
        <v>0.64993450000000041</v>
      </c>
      <c r="JC82" s="69">
        <f>Raw_Data[[#This Row],[GHI-Down(KWh/m2)]]/Raw_Data[[#This Row],[GHI-UP (KWh/m2)]]</f>
        <v>0.25693367070981293</v>
      </c>
      <c r="JD82" s="72">
        <f>Raw_Data[[#This Row],[POA-Down(KWh/m2)]]/Raw_Data[[#This Row],[POA-UP(KWh/m2)]]</f>
        <v>8.9069287346139184E-2</v>
      </c>
      <c r="JE82" s="68">
        <f>AVERAGEIF(Raw_Data[[#This Row],[Amb_Temp_IS2_W1]:[Amb_Temp_IS19_W6]],"&lt;&gt;"&amp;0,Raw_Data[[#This Row],[Amb_Temp_IS2_W1]:[Amb_Temp_IS19_W6]])</f>
        <v>40.051702944942384</v>
      </c>
      <c r="JF82" s="68">
        <f>AVERAGEIF(Raw_Data[[#This Row],[MT_Temp_IS2_W1]:[MT_Temp_IS19_W6]],"&lt;&gt;"&amp;0,Raw_Data[[#This Row],[MT_Temp_IS2_W1]:[MT_Temp_IS19_W6]])</f>
        <v>55.699999999999996</v>
      </c>
      <c r="JG82" s="68">
        <f>AVERAGEIF(Raw_Data[[#This Row],[WS_Avg_IS2_W1]:[WS_Avg_IS19_W6]],"&lt;&gt;"&amp;0,Raw_Data[[#This Row],[WS_Avg_IS2_W1]:[WS_Avg_IS19_W6]])</f>
        <v>3.0267211679692703</v>
      </c>
      <c r="JH82" s="68">
        <f>AVERAGEIF(Raw_Data[[#This Row],[WS_Max_IS2_W1]:[WS_Max_IS19_W6]],"&lt;&gt;"&amp;0,Raw_Data[[#This Row],[WS_Max_IS2_W1]:[WS_Max_IS19_W6]])</f>
        <v>7.0136665999999988</v>
      </c>
      <c r="JI82" s="70">
        <f>SUM(Raw_Data[[#This Row],[IS1_INV1_M1]:[IS20_INV4_M2]])</f>
        <v>1557095.5</v>
      </c>
      <c r="JJ82" s="73">
        <v>1947064.8235000041</v>
      </c>
      <c r="JK82" s="71">
        <v>2325621.5943184509</v>
      </c>
      <c r="JL82" s="143">
        <f>IFERROR(Raw_Data[[#This Row],[WPR_Eac]]/Raw_Data[[#This Row],[WPR_Edc]],"")</f>
        <v>0.83722340223221614</v>
      </c>
      <c r="JM82" s="6">
        <v>21</v>
      </c>
      <c r="JN82" s="6">
        <v>8281</v>
      </c>
    </row>
    <row r="83" spans="2:274">
      <c r="B83" s="250">
        <f t="shared" si="596"/>
        <v>45822</v>
      </c>
      <c r="C83" s="9">
        <f>YEAR(Raw_Data[[#This Row],[Date]])+IF(MONTH(Raw_Data[[#This Row],[Date]])&gt;=4,1,0)</f>
        <v>2026</v>
      </c>
      <c r="D83" s="6">
        <f t="shared" si="783"/>
        <v>2025</v>
      </c>
      <c r="E83" s="7" t="s">
        <v>361</v>
      </c>
      <c r="F83" s="7" t="s">
        <v>361</v>
      </c>
      <c r="G83" s="8">
        <v>45809</v>
      </c>
      <c r="H83" s="6">
        <f t="shared" si="784"/>
        <v>30</v>
      </c>
      <c r="I83" s="9">
        <v>335090.89</v>
      </c>
      <c r="J83" s="10">
        <v>0.28333333333333333</v>
      </c>
      <c r="K83" s="10">
        <v>0.80972222222222223</v>
      </c>
      <c r="L83" s="9">
        <v>3042.7</v>
      </c>
      <c r="M83" s="9">
        <v>3177.7</v>
      </c>
      <c r="N83" s="9">
        <v>3187</v>
      </c>
      <c r="O83" s="9">
        <v>3158.4</v>
      </c>
      <c r="P83" s="9">
        <v>3210.7</v>
      </c>
      <c r="Q83" s="9">
        <v>3233.3</v>
      </c>
      <c r="R83" s="9">
        <v>3249.8</v>
      </c>
      <c r="S83" s="9">
        <v>3311.8</v>
      </c>
      <c r="T83" s="9">
        <v>3239.1</v>
      </c>
      <c r="U83" s="9">
        <v>3264.7</v>
      </c>
      <c r="V83" s="9">
        <v>3164.8</v>
      </c>
      <c r="W83" s="9">
        <v>3196.2</v>
      </c>
      <c r="X83" s="9">
        <v>3211.3</v>
      </c>
      <c r="Y83" s="9">
        <v>3172.5</v>
      </c>
      <c r="Z83" s="9">
        <v>3242.6</v>
      </c>
      <c r="AA83" s="9">
        <v>3250.1</v>
      </c>
      <c r="AB83" s="9">
        <v>3235.2</v>
      </c>
      <c r="AC83" s="9">
        <v>3200.4</v>
      </c>
      <c r="AD83" s="9">
        <v>3239.4</v>
      </c>
      <c r="AE83" s="9">
        <v>3276.4</v>
      </c>
      <c r="AF83" s="9">
        <v>3276.9</v>
      </c>
      <c r="AG83" s="9">
        <v>3222.8</v>
      </c>
      <c r="AH83" s="9">
        <v>3198.3</v>
      </c>
      <c r="AI83" s="9">
        <v>3227.8</v>
      </c>
      <c r="AJ83" s="9">
        <v>3178.5</v>
      </c>
      <c r="AK83" s="9">
        <v>2778.9</v>
      </c>
      <c r="AL83" s="9">
        <v>3158.1</v>
      </c>
      <c r="AM83" s="9">
        <v>3152.2</v>
      </c>
      <c r="AN83" s="9">
        <v>3273.8</v>
      </c>
      <c r="AO83" s="9">
        <v>3250.7</v>
      </c>
      <c r="AP83" s="9">
        <v>3233.9</v>
      </c>
      <c r="AQ83" s="9">
        <v>3299.2</v>
      </c>
      <c r="AR83" s="9">
        <v>3317.3</v>
      </c>
      <c r="AS83" s="9">
        <v>3335.8</v>
      </c>
      <c r="AT83" s="9">
        <v>3354.3</v>
      </c>
      <c r="AU83" s="9">
        <v>3316.8</v>
      </c>
      <c r="AV83" s="9">
        <v>3327.6</v>
      </c>
      <c r="AW83" s="9">
        <v>3262.5</v>
      </c>
      <c r="AX83" s="9">
        <v>3295.9</v>
      </c>
      <c r="AY83" s="9">
        <v>3269.2</v>
      </c>
      <c r="AZ83" s="9">
        <v>3558.8</v>
      </c>
      <c r="BA83" s="9">
        <v>3190</v>
      </c>
      <c r="BB83" s="9">
        <v>3571.8</v>
      </c>
      <c r="BC83" s="9">
        <v>3144.2</v>
      </c>
      <c r="BD83" s="9">
        <v>3371.1</v>
      </c>
      <c r="BE83" s="9">
        <v>3803.6</v>
      </c>
      <c r="BF83" s="9">
        <v>3133.9</v>
      </c>
      <c r="BG83" s="9">
        <v>3599.7</v>
      </c>
      <c r="BH83" s="9">
        <v>3261.1</v>
      </c>
      <c r="BI83" s="9">
        <v>3313.8</v>
      </c>
      <c r="BJ83" s="9">
        <v>3258.5</v>
      </c>
      <c r="BK83" s="9">
        <v>3093.2</v>
      </c>
      <c r="BL83" s="9">
        <v>3363.3</v>
      </c>
      <c r="BM83" s="9">
        <v>3344.6</v>
      </c>
      <c r="BN83" s="9">
        <v>3393.2</v>
      </c>
      <c r="BO83" s="9">
        <v>3353</v>
      </c>
      <c r="BP83" s="9">
        <v>2970.3</v>
      </c>
      <c r="BQ83" s="9">
        <v>3464.8</v>
      </c>
      <c r="BR83" s="9">
        <v>2965.3</v>
      </c>
      <c r="BS83" s="9">
        <v>3424</v>
      </c>
      <c r="BT83" s="9">
        <v>3381.1</v>
      </c>
      <c r="BU83" s="9">
        <v>2971.3</v>
      </c>
      <c r="BV83" s="9">
        <v>3274.6</v>
      </c>
      <c r="BW83" s="9">
        <v>3106.2</v>
      </c>
      <c r="BX83" s="9">
        <v>3205.8</v>
      </c>
      <c r="BY83" s="9">
        <v>3025.9</v>
      </c>
      <c r="BZ83" s="9">
        <v>3185.4</v>
      </c>
      <c r="CA83" s="9">
        <v>3382.6</v>
      </c>
      <c r="CB83" s="9">
        <v>3446</v>
      </c>
      <c r="CC83" s="9">
        <v>3103.8</v>
      </c>
      <c r="CD83" s="9">
        <v>3395</v>
      </c>
      <c r="CE83" s="9">
        <v>2933.4</v>
      </c>
      <c r="CF83" s="9">
        <v>3301.9</v>
      </c>
      <c r="CG83" s="9">
        <v>3204.5</v>
      </c>
      <c r="CH83" s="9">
        <v>3025.5</v>
      </c>
      <c r="CI83" s="9">
        <v>3414</v>
      </c>
      <c r="CJ83" s="9">
        <v>2956.2</v>
      </c>
      <c r="CK83" s="9">
        <v>3476.4</v>
      </c>
      <c r="CL83" s="9">
        <v>2991.2</v>
      </c>
      <c r="CM83" s="9">
        <v>3415.3</v>
      </c>
      <c r="CN83" s="9">
        <v>3113.2</v>
      </c>
      <c r="CO83" s="9">
        <v>3390.4</v>
      </c>
      <c r="CP83" s="9">
        <v>3177.5</v>
      </c>
      <c r="CQ83" s="9">
        <v>3473.5</v>
      </c>
      <c r="CR83" s="9">
        <v>3117.6</v>
      </c>
      <c r="CS83" s="9">
        <v>3351.5</v>
      </c>
      <c r="CT83" s="9">
        <v>3141.8</v>
      </c>
      <c r="CU83" s="9">
        <v>2742.9</v>
      </c>
      <c r="CV83" s="9">
        <v>3468.2</v>
      </c>
      <c r="CW83" s="9">
        <v>3318.1</v>
      </c>
      <c r="CX83" s="9">
        <v>3040.1</v>
      </c>
      <c r="CY83" s="9">
        <v>3566.5</v>
      </c>
      <c r="CZ83" s="9">
        <v>3438.4</v>
      </c>
      <c r="DA83" s="9">
        <v>3167</v>
      </c>
      <c r="DB83" s="9">
        <v>3125.7</v>
      </c>
      <c r="DC83" s="9">
        <v>3507.2</v>
      </c>
      <c r="DD83" s="9">
        <v>3139.4</v>
      </c>
      <c r="DE83" s="9">
        <v>3252</v>
      </c>
      <c r="DF83" s="9">
        <v>3586.8</v>
      </c>
      <c r="DG83" s="9">
        <v>3125.3</v>
      </c>
      <c r="DH83" s="9">
        <v>3592.2</v>
      </c>
      <c r="DI83" s="9">
        <v>3121.3</v>
      </c>
      <c r="DJ83" s="9">
        <v>3484.9</v>
      </c>
      <c r="DK83" s="9">
        <v>3196.5</v>
      </c>
      <c r="DL83" s="9">
        <v>3560.9</v>
      </c>
      <c r="DM83" s="9">
        <v>3039.5</v>
      </c>
      <c r="DN83" s="9">
        <v>3575.2</v>
      </c>
      <c r="DO83" s="9">
        <v>3200.8</v>
      </c>
      <c r="DP83" s="9">
        <v>3508.9</v>
      </c>
      <c r="DQ83" s="9">
        <v>3188.1</v>
      </c>
      <c r="DR83" s="9">
        <v>3570</v>
      </c>
      <c r="DS83" s="9">
        <v>3238.1</v>
      </c>
      <c r="DT83" s="9">
        <v>3156.2</v>
      </c>
      <c r="DU83" s="9">
        <v>3522.1</v>
      </c>
      <c r="DV83" s="9">
        <v>3207.1</v>
      </c>
      <c r="DW83" s="9">
        <v>3125.4</v>
      </c>
      <c r="DX83" s="9">
        <v>3576.4</v>
      </c>
      <c r="DY83" s="9">
        <v>3590.4</v>
      </c>
      <c r="DZ83" s="9">
        <v>3544.7</v>
      </c>
      <c r="EA83" s="9">
        <v>3225.3</v>
      </c>
      <c r="EB83" s="9">
        <v>3592.3</v>
      </c>
      <c r="EC83" s="9">
        <v>3195.4</v>
      </c>
      <c r="ED83" s="9">
        <v>3490.3</v>
      </c>
      <c r="EE83" s="9">
        <v>3202.2</v>
      </c>
      <c r="EF83" s="9">
        <v>3449.6</v>
      </c>
      <c r="EG83" s="9">
        <v>2988.3</v>
      </c>
      <c r="EH83" s="9">
        <v>3496.5</v>
      </c>
      <c r="EI83" s="9">
        <v>3215.8</v>
      </c>
      <c r="EJ83" s="9">
        <v>3245.6</v>
      </c>
      <c r="EK83" s="9">
        <v>3287.9</v>
      </c>
      <c r="EL83" s="9">
        <v>3229.1</v>
      </c>
      <c r="EM83" s="9">
        <v>2763.1</v>
      </c>
      <c r="EN83" s="9">
        <v>3161.9</v>
      </c>
      <c r="EO83" s="9">
        <v>2818.7</v>
      </c>
      <c r="EP83" s="9">
        <v>3194.4</v>
      </c>
      <c r="EQ83" s="9">
        <v>3232.1</v>
      </c>
      <c r="ER83" s="9">
        <v>3740.9</v>
      </c>
      <c r="ES83" s="9">
        <v>3220</v>
      </c>
      <c r="ET83" s="9">
        <v>3789.5</v>
      </c>
      <c r="EU83" s="9">
        <v>3308.1</v>
      </c>
      <c r="EV83" s="9">
        <v>3732</v>
      </c>
      <c r="EW83" s="9">
        <v>3294.7</v>
      </c>
      <c r="EX83" s="9">
        <v>3319.3</v>
      </c>
      <c r="EY83" s="9">
        <v>3241.4</v>
      </c>
      <c r="EZ83" s="9">
        <v>3577.8</v>
      </c>
      <c r="FA83" s="9">
        <v>3747</v>
      </c>
      <c r="FB83" s="9">
        <v>3645.6</v>
      </c>
      <c r="FC83" s="9">
        <v>3651.7</v>
      </c>
      <c r="FD83" s="9">
        <v>3665.5</v>
      </c>
      <c r="FE83" s="9">
        <v>3695.2</v>
      </c>
      <c r="FF83" s="9">
        <v>3328.7</v>
      </c>
      <c r="FG83" s="9">
        <v>3716.1</v>
      </c>
      <c r="FH83" s="9">
        <v>3683.5</v>
      </c>
      <c r="FI83" s="9">
        <v>3712.3</v>
      </c>
      <c r="FJ83" s="9">
        <v>3746.4</v>
      </c>
      <c r="FK83" s="9">
        <v>3707.3</v>
      </c>
      <c r="FL83" s="9">
        <v>3712.5</v>
      </c>
      <c r="FM83" s="9">
        <v>3300.6</v>
      </c>
      <c r="FN83" s="9">
        <v>3719.4</v>
      </c>
      <c r="FO83" s="9">
        <v>3302.2</v>
      </c>
      <c r="FP83" s="11">
        <v>0</v>
      </c>
      <c r="FQ83" s="11">
        <v>35.039204244031879</v>
      </c>
      <c r="FR83" s="11">
        <v>34.995716180371346</v>
      </c>
      <c r="FS83" s="11">
        <v>35.239244031830246</v>
      </c>
      <c r="FT83" s="11">
        <v>35.264429708222821</v>
      </c>
      <c r="FU83" s="11">
        <v>35.267294429708265</v>
      </c>
      <c r="FV83" s="11">
        <v>0</v>
      </c>
      <c r="FW83" s="11">
        <v>37.843381962864711</v>
      </c>
      <c r="FX83" s="11">
        <v>0</v>
      </c>
      <c r="FY83" s="11">
        <v>0</v>
      </c>
      <c r="FZ83" s="11">
        <v>37.946298859416473</v>
      </c>
      <c r="GA83" s="11">
        <v>37.636763925729468</v>
      </c>
      <c r="GB83" s="11">
        <v>0</v>
      </c>
      <c r="GC83" s="11">
        <v>3.4870113574270563</v>
      </c>
      <c r="GD83" s="11">
        <v>3.1817748602519922</v>
      </c>
      <c r="GE83" s="11">
        <v>3.2697943087135255</v>
      </c>
      <c r="GF83" s="11">
        <v>3.4158530814456252</v>
      </c>
      <c r="GG83" s="11">
        <v>3.3070953723607395</v>
      </c>
      <c r="GH83" s="11">
        <v>0</v>
      </c>
      <c r="GI83" s="11">
        <v>6.926666</v>
      </c>
      <c r="GJ83" s="11">
        <v>7.1</v>
      </c>
      <c r="GK83" s="11">
        <v>7.869999</v>
      </c>
      <c r="GL83" s="11">
        <v>7.4816659999999997</v>
      </c>
      <c r="GM83" s="11">
        <v>6.676666</v>
      </c>
      <c r="GN83" s="11">
        <v>0</v>
      </c>
      <c r="GO83" s="11">
        <v>1.6997976666666661</v>
      </c>
      <c r="GP83" s="11">
        <v>1.7287973333333315</v>
      </c>
      <c r="GQ83" s="11">
        <v>1.6922959999999989</v>
      </c>
      <c r="GR83" s="11">
        <v>1.8003866666666659</v>
      </c>
      <c r="GS83" s="11">
        <v>1.789574500000001</v>
      </c>
      <c r="GT83" s="108">
        <v>0</v>
      </c>
      <c r="GU83" s="108">
        <v>0.37808683333333315</v>
      </c>
      <c r="GV83" s="108">
        <v>0.34765150000000006</v>
      </c>
      <c r="GW83" s="108">
        <v>0.43644233333333299</v>
      </c>
      <c r="GX83" s="108">
        <v>0.44325966666666627</v>
      </c>
      <c r="GY83" s="108">
        <v>0.37372183333333359</v>
      </c>
      <c r="GZ83" s="13">
        <v>0</v>
      </c>
      <c r="HA83" s="13">
        <v>1.704510500000004</v>
      </c>
      <c r="HB83" s="13">
        <v>1.6944228333333324</v>
      </c>
      <c r="HC83" s="13">
        <v>0</v>
      </c>
      <c r="HD83" s="13">
        <v>1.7812336666666633</v>
      </c>
      <c r="HE83" s="13">
        <v>1.7721959999999994</v>
      </c>
      <c r="HF83" s="13">
        <v>0</v>
      </c>
      <c r="HG83" s="13">
        <v>7.2747333333333331E-2</v>
      </c>
      <c r="HH83" s="13">
        <v>6.0463500000000003E-2</v>
      </c>
      <c r="HI83" s="13">
        <v>6.7197166666666655E-2</v>
      </c>
      <c r="HJ83" s="13">
        <v>6.6755666666666671E-2</v>
      </c>
      <c r="HK83" s="13">
        <v>7.0111500000000021E-2</v>
      </c>
      <c r="HL83" s="12">
        <v>0</v>
      </c>
      <c r="HM83" s="12">
        <v>0</v>
      </c>
      <c r="HN83" s="12">
        <v>0</v>
      </c>
      <c r="HO83" s="12">
        <v>0</v>
      </c>
      <c r="HP83" s="12">
        <v>0</v>
      </c>
      <c r="HQ83" s="12">
        <v>0</v>
      </c>
      <c r="HR83" s="12">
        <v>0</v>
      </c>
      <c r="HS83" s="12">
        <v>0</v>
      </c>
      <c r="HT83" s="12">
        <v>0</v>
      </c>
      <c r="HU83" s="12">
        <v>0</v>
      </c>
      <c r="HV83" s="12">
        <v>0</v>
      </c>
      <c r="HW83" s="12">
        <v>0</v>
      </c>
      <c r="HX83" s="9">
        <v>968558</v>
      </c>
      <c r="HY83" s="9">
        <v>1800</v>
      </c>
      <c r="HZ83" s="9">
        <v>955238</v>
      </c>
      <c r="IA83" s="9">
        <v>1825</v>
      </c>
      <c r="IB83" s="11">
        <v>228717.08499999999</v>
      </c>
      <c r="IC83" s="11">
        <v>512.33299999999997</v>
      </c>
      <c r="ID83" s="14">
        <f t="shared" ref="ID83:II83" si="795">GN83-HL83</f>
        <v>0</v>
      </c>
      <c r="IE83" s="14">
        <f t="shared" si="795"/>
        <v>1.6997976666666661</v>
      </c>
      <c r="IF83" s="14">
        <f t="shared" si="795"/>
        <v>1.7287973333333315</v>
      </c>
      <c r="IG83" s="14">
        <f t="shared" si="795"/>
        <v>1.6922959999999989</v>
      </c>
      <c r="IH83" s="14">
        <f t="shared" si="795"/>
        <v>1.8003866666666659</v>
      </c>
      <c r="II83" s="14">
        <f t="shared" si="795"/>
        <v>1.789574500000001</v>
      </c>
      <c r="IJ83" s="15">
        <f t="shared" ref="IJ83:IO83" si="796">GZ83-HR83</f>
        <v>0</v>
      </c>
      <c r="IK83" s="15">
        <f t="shared" si="796"/>
        <v>1.704510500000004</v>
      </c>
      <c r="IL83" s="15">
        <f t="shared" si="796"/>
        <v>1.6944228333333324</v>
      </c>
      <c r="IM83" s="15">
        <f t="shared" si="796"/>
        <v>0</v>
      </c>
      <c r="IN83" s="15">
        <f t="shared" si="796"/>
        <v>1.7812336666666633</v>
      </c>
      <c r="IO83" s="15">
        <f t="shared" si="796"/>
        <v>1.7721959999999994</v>
      </c>
      <c r="IP83" s="16">
        <f t="shared" ref="IP83" si="797">(HX83-HX82)*1000</f>
        <v>256000</v>
      </c>
      <c r="IQ83" s="16">
        <f t="shared" ref="IQ83" si="798">(HY83-HY82)*1000</f>
        <v>2000</v>
      </c>
      <c r="IR83" s="16">
        <f t="shared" ref="IR83" si="799">(HZ83-HZ82)*1000</f>
        <v>269000</v>
      </c>
      <c r="IS83" s="16">
        <f t="shared" ref="IS83" si="800">(IA83-IA82)*1000</f>
        <v>1000</v>
      </c>
      <c r="IT83" s="16">
        <f t="shared" ref="IT83" si="801">(IB83-IB82)*1000</f>
        <v>525334.00000000256</v>
      </c>
      <c r="IU83" s="16">
        <f t="shared" ref="IU83" si="802">(IC83-IC82)*1000</f>
        <v>4332.99999999997</v>
      </c>
      <c r="IV83" s="17">
        <f t="shared" ref="IV83" si="803">(IP83+IR83)-(IQ83+IS83)</f>
        <v>522000</v>
      </c>
      <c r="IW83" s="17">
        <f t="shared" ref="IW83" si="804">IT83-IU83</f>
        <v>521001.00000000262</v>
      </c>
      <c r="IX83" s="19">
        <f>(Raw_Data[[#This Row],[Sunset Time (POA&lt;20 W/m2)]]-Raw_Data[[#This Row],[Sunrise Time (POA&gt;20 W/m2)]])*24</f>
        <v>12.633333333333333</v>
      </c>
      <c r="IY83" s="68">
        <f>AVERAGEIF(Raw_Data[[#This Row],[GHI_UP_Net_IS2_W1]:[GHI_UP_Net_IS19_W6]],"&lt;&gt;"&amp;0,Raw_Data[[#This Row],[GHI_UP_Net_IS2_W1]:[GHI_UP_Net_IS19_W6]])</f>
        <v>1.7421704333333328</v>
      </c>
      <c r="IZ83" s="68">
        <f>AVERAGEIF(Raw_Data[[#This Row],[GHI_Down_IS2_W1]:[GHI_Down_IS19_W6]],"&lt;&gt;"&amp;0,Raw_Data[[#This Row],[GHI_Down_IS2_W1]:[GHI_Down_IS19_W6]])</f>
        <v>0.39583243333333318</v>
      </c>
      <c r="JA83" s="68">
        <f>AVERAGEIF(Raw_Data[[#This Row],[POA_Up_IS2_W1]:[POA_Up_IS19_W6]],"&lt;&gt;"&amp;0,Raw_Data[[#This Row],[POA_Up_IS2_W1]:[POA_Up_IS19_W6]])</f>
        <v>1.7380907499999998</v>
      </c>
      <c r="JB83" s="68">
        <f>AVERAGEIF(Raw_Data[[#This Row],[POA_Down_IS2_W1]:[POA_Down_IS19_W6]],"&lt;&gt;"&amp;0,Raw_Data[[#This Row],[POA_Down_IS2_W1]:[POA_Down_IS19_W6]])</f>
        <v>6.7455033333333331E-2</v>
      </c>
      <c r="JC83" s="69">
        <f>Raw_Data[[#This Row],[GHI-Down(KWh/m2)]]/Raw_Data[[#This Row],[GHI-UP (KWh/m2)]]</f>
        <v>0.22720649240727747</v>
      </c>
      <c r="JD83" s="72">
        <f>Raw_Data[[#This Row],[POA-Down(KWh/m2)]]/Raw_Data[[#This Row],[POA-UP(KWh/m2)]]</f>
        <v>3.8809845419943312E-2</v>
      </c>
      <c r="JE83" s="68">
        <f>AVERAGEIF(Raw_Data[[#This Row],[Amb_Temp_IS2_W1]:[Amb_Temp_IS19_W6]],"&lt;&gt;"&amp;0,Raw_Data[[#This Row],[Amb_Temp_IS2_W1]:[Amb_Temp_IS19_W6]])</f>
        <v>35.161177718832917</v>
      </c>
      <c r="JF83" s="68">
        <f>AVERAGEIF(Raw_Data[[#This Row],[MT_Temp_IS2_W1]:[MT_Temp_IS19_W6]],"&lt;&gt;"&amp;0,Raw_Data[[#This Row],[MT_Temp_IS2_W1]:[MT_Temp_IS19_W6]])</f>
        <v>37.808814916003548</v>
      </c>
      <c r="JG83" s="68">
        <f>AVERAGEIF(Raw_Data[[#This Row],[WS_Avg_IS2_W1]:[WS_Avg_IS19_W6]],"&lt;&gt;"&amp;0,Raw_Data[[#This Row],[WS_Avg_IS2_W1]:[WS_Avg_IS19_W6]])</f>
        <v>3.3323057960397877</v>
      </c>
      <c r="JH83" s="68">
        <f>AVERAGEIF(Raw_Data[[#This Row],[WS_Max_IS2_W1]:[WS_Max_IS19_W6]],"&lt;&gt;"&amp;0,Raw_Data[[#This Row],[WS_Max_IS2_W1]:[WS_Max_IS19_W6]])</f>
        <v>7.2109994000000004</v>
      </c>
      <c r="JI83" s="70">
        <f>SUM(Raw_Data[[#This Row],[IS1_INV1_M1]:[IS20_INV4_M2]])</f>
        <v>529356.89999999991</v>
      </c>
      <c r="JJ83" s="73">
        <v>437201.00000000093</v>
      </c>
      <c r="JK83" s="71">
        <v>504146.12064309046</v>
      </c>
      <c r="JL83" s="143">
        <f>IFERROR(Raw_Data[[#This Row],[WPR_Eac]]/Raw_Data[[#This Row],[WPR_Edc]],"")</f>
        <v>0.86721087815236164</v>
      </c>
      <c r="JM83" s="6">
        <v>26</v>
      </c>
      <c r="JN83" s="6">
        <v>17895</v>
      </c>
    </row>
    <row r="84" spans="2:274">
      <c r="B84" s="250">
        <f t="shared" si="596"/>
        <v>45823</v>
      </c>
      <c r="C84" s="9">
        <f>YEAR(Raw_Data[[#This Row],[Date]])+IF(MONTH(Raw_Data[[#This Row],[Date]])&gt;=4,1,0)</f>
        <v>2026</v>
      </c>
      <c r="D84" s="6">
        <f t="shared" si="783"/>
        <v>2025</v>
      </c>
      <c r="E84" s="7" t="s">
        <v>361</v>
      </c>
      <c r="F84" s="7" t="s">
        <v>361</v>
      </c>
      <c r="G84" s="8">
        <v>45809</v>
      </c>
      <c r="H84" s="6">
        <f t="shared" si="784"/>
        <v>30</v>
      </c>
      <c r="I84" s="9">
        <v>335090.89</v>
      </c>
      <c r="J84" s="10">
        <v>0.27708333333333335</v>
      </c>
      <c r="K84" s="10">
        <v>0.81319444444444444</v>
      </c>
      <c r="L84" s="9">
        <v>5243.1</v>
      </c>
      <c r="M84" s="9">
        <v>5520.6</v>
      </c>
      <c r="N84" s="9">
        <v>5522.4</v>
      </c>
      <c r="O84" s="9">
        <v>5463.6</v>
      </c>
      <c r="P84" s="9">
        <v>5585.2</v>
      </c>
      <c r="Q84" s="9">
        <v>5589.4</v>
      </c>
      <c r="R84" s="9">
        <v>5614.7</v>
      </c>
      <c r="S84" s="9">
        <v>5788.6</v>
      </c>
      <c r="T84" s="9">
        <v>5548</v>
      </c>
      <c r="U84" s="9">
        <v>5589.7</v>
      </c>
      <c r="V84" s="9">
        <v>5414.9</v>
      </c>
      <c r="W84" s="9">
        <v>5467.1</v>
      </c>
      <c r="X84" s="9">
        <v>5504.7</v>
      </c>
      <c r="Y84" s="9">
        <v>5415.2</v>
      </c>
      <c r="Z84" s="9">
        <v>5581</v>
      </c>
      <c r="AA84" s="9">
        <v>5578.9</v>
      </c>
      <c r="AB84" s="9">
        <v>5556.4</v>
      </c>
      <c r="AC84" s="9">
        <v>5513.9</v>
      </c>
      <c r="AD84" s="9">
        <v>5547.2</v>
      </c>
      <c r="AE84" s="9">
        <v>5601.8</v>
      </c>
      <c r="AF84" s="9">
        <v>5593.8</v>
      </c>
      <c r="AG84" s="9">
        <v>5516.3</v>
      </c>
      <c r="AH84" s="9">
        <v>5464</v>
      </c>
      <c r="AI84" s="9">
        <v>5501.8</v>
      </c>
      <c r="AJ84" s="9">
        <v>5418.4</v>
      </c>
      <c r="AK84" s="9">
        <v>4731.5</v>
      </c>
      <c r="AL84" s="9">
        <v>5382.7</v>
      </c>
      <c r="AM84" s="9">
        <v>5384.8</v>
      </c>
      <c r="AN84" s="9">
        <v>5562.2</v>
      </c>
      <c r="AO84" s="9">
        <v>5507</v>
      </c>
      <c r="AP84" s="9">
        <v>5461.3</v>
      </c>
      <c r="AQ84" s="9">
        <v>5588.6</v>
      </c>
      <c r="AR84" s="9">
        <v>5535</v>
      </c>
      <c r="AS84" s="9">
        <v>5579.8</v>
      </c>
      <c r="AT84" s="9">
        <v>5667.8</v>
      </c>
      <c r="AU84" s="9">
        <v>5594.3</v>
      </c>
      <c r="AV84" s="9">
        <v>5606</v>
      </c>
      <c r="AW84" s="9">
        <v>5503.2</v>
      </c>
      <c r="AX84" s="9">
        <v>5539.1</v>
      </c>
      <c r="AY84" s="9">
        <v>5472.7</v>
      </c>
      <c r="AZ84" s="9">
        <v>6029.8</v>
      </c>
      <c r="BA84" s="9">
        <v>5357</v>
      </c>
      <c r="BB84" s="9">
        <v>5982.2</v>
      </c>
      <c r="BC84" s="9">
        <v>5275</v>
      </c>
      <c r="BD84" s="9">
        <v>5672.2</v>
      </c>
      <c r="BE84" s="9">
        <v>6422.8</v>
      </c>
      <c r="BF84" s="9">
        <v>5293</v>
      </c>
      <c r="BG84" s="9">
        <v>6068.7</v>
      </c>
      <c r="BH84" s="9">
        <v>5562.5</v>
      </c>
      <c r="BI84" s="9">
        <v>5655.5</v>
      </c>
      <c r="BJ84" s="9">
        <v>5567.2</v>
      </c>
      <c r="BK84" s="9">
        <v>5257.2</v>
      </c>
      <c r="BL84" s="9">
        <v>5781.1</v>
      </c>
      <c r="BM84" s="9">
        <v>5724.3</v>
      </c>
      <c r="BN84" s="9">
        <v>5766.8</v>
      </c>
      <c r="BO84" s="9">
        <v>5682.1</v>
      </c>
      <c r="BP84" s="9">
        <v>5038.8999999999996</v>
      </c>
      <c r="BQ84" s="9">
        <v>5859.4</v>
      </c>
      <c r="BR84" s="9">
        <v>5068.3999999999996</v>
      </c>
      <c r="BS84" s="9">
        <v>5809.5</v>
      </c>
      <c r="BT84" s="9">
        <v>5739.6</v>
      </c>
      <c r="BU84" s="9">
        <v>5078.8999999999996</v>
      </c>
      <c r="BV84" s="9">
        <v>5542.3</v>
      </c>
      <c r="BW84" s="9">
        <v>5262.6</v>
      </c>
      <c r="BX84" s="9">
        <v>5407.7</v>
      </c>
      <c r="BY84" s="9">
        <v>5095.6000000000004</v>
      </c>
      <c r="BZ84" s="9">
        <v>5382.3</v>
      </c>
      <c r="CA84" s="9">
        <v>5660.3</v>
      </c>
      <c r="CB84" s="9">
        <v>5828.5</v>
      </c>
      <c r="CC84" s="9">
        <v>5222</v>
      </c>
      <c r="CD84" s="9">
        <v>5614.5</v>
      </c>
      <c r="CE84" s="9">
        <v>4940.6000000000004</v>
      </c>
      <c r="CF84" s="9">
        <v>5581.6</v>
      </c>
      <c r="CG84" s="9">
        <v>5433.7</v>
      </c>
      <c r="CH84" s="9">
        <v>5126.7</v>
      </c>
      <c r="CI84" s="9">
        <v>5771.3</v>
      </c>
      <c r="CJ84" s="9">
        <v>5008</v>
      </c>
      <c r="CK84" s="9">
        <v>5886.8</v>
      </c>
      <c r="CL84" s="9">
        <v>5101</v>
      </c>
      <c r="CM84" s="9">
        <v>5784.2</v>
      </c>
      <c r="CN84" s="9">
        <v>5183.3999999999996</v>
      </c>
      <c r="CO84" s="9">
        <v>5662.4</v>
      </c>
      <c r="CP84" s="9">
        <v>5250</v>
      </c>
      <c r="CQ84" s="9">
        <v>5757.9</v>
      </c>
      <c r="CR84" s="9">
        <v>5163.7</v>
      </c>
      <c r="CS84" s="9">
        <v>5526.5</v>
      </c>
      <c r="CT84" s="9">
        <v>5222.1000000000004</v>
      </c>
      <c r="CU84" s="9">
        <v>4526.7</v>
      </c>
      <c r="CV84" s="9">
        <v>5754.9</v>
      </c>
      <c r="CW84" s="9">
        <v>5474.8</v>
      </c>
      <c r="CX84" s="9">
        <v>5020.6000000000004</v>
      </c>
      <c r="CY84" s="9">
        <v>5902.4</v>
      </c>
      <c r="CZ84" s="9">
        <v>5674.5</v>
      </c>
      <c r="DA84" s="9">
        <v>5230.8999999999996</v>
      </c>
      <c r="DB84" s="9">
        <v>5165.8</v>
      </c>
      <c r="DC84" s="9">
        <v>5782.2</v>
      </c>
      <c r="DD84" s="9">
        <v>5097.3</v>
      </c>
      <c r="DE84" s="9">
        <v>5263.1</v>
      </c>
      <c r="DF84" s="9">
        <v>5812.9</v>
      </c>
      <c r="DG84" s="9">
        <v>5060.3</v>
      </c>
      <c r="DH84" s="9">
        <v>5853.2</v>
      </c>
      <c r="DI84" s="9">
        <v>5069.7</v>
      </c>
      <c r="DJ84" s="9">
        <v>5676.2</v>
      </c>
      <c r="DK84" s="9">
        <v>5200.3</v>
      </c>
      <c r="DL84" s="9">
        <v>5764.7</v>
      </c>
      <c r="DM84" s="9">
        <v>4930.3999999999996</v>
      </c>
      <c r="DN84" s="9">
        <v>5775.9</v>
      </c>
      <c r="DO84" s="9">
        <v>5152.5</v>
      </c>
      <c r="DP84" s="9">
        <v>5672.3</v>
      </c>
      <c r="DQ84" s="9">
        <v>5142.8</v>
      </c>
      <c r="DR84" s="9">
        <v>5745.5</v>
      </c>
      <c r="DS84" s="9">
        <v>5192.3999999999996</v>
      </c>
      <c r="DT84" s="9">
        <v>5063.8999999999996</v>
      </c>
      <c r="DU84" s="9">
        <v>5677.2</v>
      </c>
      <c r="DV84" s="9">
        <v>5166</v>
      </c>
      <c r="DW84" s="9">
        <v>5045.3</v>
      </c>
      <c r="DX84" s="9">
        <v>5734.8</v>
      </c>
      <c r="DY84" s="9">
        <v>5739.2</v>
      </c>
      <c r="DZ84" s="9">
        <v>5665.9</v>
      </c>
      <c r="EA84" s="9">
        <v>5008.5</v>
      </c>
      <c r="EB84" s="9">
        <v>5709.3</v>
      </c>
      <c r="EC84" s="9">
        <v>5071.1000000000004</v>
      </c>
      <c r="ED84" s="9">
        <v>5573.9</v>
      </c>
      <c r="EE84" s="9">
        <v>5117.3</v>
      </c>
      <c r="EF84" s="9">
        <v>5505.4</v>
      </c>
      <c r="EG84" s="9">
        <v>4723.1000000000004</v>
      </c>
      <c r="EH84" s="9">
        <v>5541.9</v>
      </c>
      <c r="EI84" s="9">
        <v>5069.8999999999996</v>
      </c>
      <c r="EJ84" s="9">
        <v>5131.8</v>
      </c>
      <c r="EK84" s="9">
        <v>5181.6000000000004</v>
      </c>
      <c r="EL84" s="9">
        <v>5092.7</v>
      </c>
      <c r="EM84" s="9">
        <v>4371.3999999999996</v>
      </c>
      <c r="EN84" s="9">
        <v>4990.8999999999996</v>
      </c>
      <c r="EO84" s="9">
        <v>4452</v>
      </c>
      <c r="EP84" s="9">
        <v>5099.8</v>
      </c>
      <c r="EQ84" s="9">
        <v>5140.3</v>
      </c>
      <c r="ER84" s="9">
        <v>6014</v>
      </c>
      <c r="ES84" s="9">
        <v>5165</v>
      </c>
      <c r="ET84" s="9">
        <v>6065.1</v>
      </c>
      <c r="EU84" s="9">
        <v>5271.8</v>
      </c>
      <c r="EV84" s="9">
        <v>5931.8</v>
      </c>
      <c r="EW84" s="9">
        <v>5206.2</v>
      </c>
      <c r="EX84" s="9">
        <v>5267.5</v>
      </c>
      <c r="EY84" s="9">
        <v>5254.7</v>
      </c>
      <c r="EZ84" s="9">
        <v>5781.3</v>
      </c>
      <c r="FA84" s="9">
        <v>6037.1</v>
      </c>
      <c r="FB84" s="9">
        <v>5911.4</v>
      </c>
      <c r="FC84" s="9">
        <v>5895</v>
      </c>
      <c r="FD84" s="9">
        <v>5917.9</v>
      </c>
      <c r="FE84" s="9">
        <v>5944.9</v>
      </c>
      <c r="FF84" s="9">
        <v>5349.5</v>
      </c>
      <c r="FG84" s="9">
        <v>5970.5</v>
      </c>
      <c r="FH84" s="9">
        <v>5992</v>
      </c>
      <c r="FI84" s="9">
        <v>6055.3</v>
      </c>
      <c r="FJ84" s="9">
        <v>6109</v>
      </c>
      <c r="FK84" s="9">
        <v>6036.3</v>
      </c>
      <c r="FL84" s="9">
        <v>6055.2</v>
      </c>
      <c r="FM84" s="9">
        <v>5351.1</v>
      </c>
      <c r="FN84" s="9">
        <v>6038.6</v>
      </c>
      <c r="FO84" s="9">
        <v>5368.5</v>
      </c>
      <c r="FP84" s="11">
        <v>0</v>
      </c>
      <c r="FQ84" s="11">
        <v>32.301730515191515</v>
      </c>
      <c r="FR84" s="11">
        <v>32.333645970937901</v>
      </c>
      <c r="FS84" s="11">
        <v>32.584253632760898</v>
      </c>
      <c r="FT84" s="11">
        <v>32.581334214002609</v>
      </c>
      <c r="FU84" s="11">
        <v>32.464081902245738</v>
      </c>
      <c r="FV84" s="11">
        <v>0</v>
      </c>
      <c r="FW84" s="11">
        <v>37.923712021136026</v>
      </c>
      <c r="FX84" s="11">
        <v>0</v>
      </c>
      <c r="FY84" s="11">
        <v>0</v>
      </c>
      <c r="FZ84" s="11">
        <v>37.527391175693552</v>
      </c>
      <c r="GA84" s="11">
        <v>37.540052840158488</v>
      </c>
      <c r="GB84" s="11">
        <v>0</v>
      </c>
      <c r="GC84" s="11">
        <v>4.3792402272126862</v>
      </c>
      <c r="GD84" s="11">
        <v>4.0422675667106978</v>
      </c>
      <c r="GE84" s="11">
        <v>4.1588659436856004</v>
      </c>
      <c r="GF84" s="11">
        <v>4.2896475464993413</v>
      </c>
      <c r="GG84" s="11">
        <v>4.1856867356671072</v>
      </c>
      <c r="GH84" s="11">
        <v>0</v>
      </c>
      <c r="GI84" s="11">
        <v>8.1950000000000003</v>
      </c>
      <c r="GJ84" s="11">
        <v>7.6033330000000001</v>
      </c>
      <c r="GK84" s="11">
        <v>8.5766670000000005</v>
      </c>
      <c r="GL84" s="11">
        <v>8.3716670000000004</v>
      </c>
      <c r="GM84" s="11">
        <v>7.988334</v>
      </c>
      <c r="GN84" s="11">
        <v>0</v>
      </c>
      <c r="GO84" s="11">
        <v>3.0108321666666691</v>
      </c>
      <c r="GP84" s="11">
        <v>3.0507508333333289</v>
      </c>
      <c r="GQ84" s="11">
        <v>2.972061000000001</v>
      </c>
      <c r="GR84" s="11">
        <v>3.0335394999999972</v>
      </c>
      <c r="GS84" s="11">
        <v>3.0467800000000036</v>
      </c>
      <c r="GT84" s="108">
        <v>0</v>
      </c>
      <c r="GU84" s="108">
        <v>0.71222116666666502</v>
      </c>
      <c r="GV84" s="108">
        <v>0.68218066666666677</v>
      </c>
      <c r="GW84" s="108">
        <v>0.83408383333333458</v>
      </c>
      <c r="GX84" s="108">
        <v>0.80602466666666595</v>
      </c>
      <c r="GY84" s="108">
        <v>0.66162966666666656</v>
      </c>
      <c r="GZ84" s="13">
        <v>0</v>
      </c>
      <c r="HA84" s="13">
        <v>2.9523404999999996</v>
      </c>
      <c r="HB84" s="13">
        <v>2.9107606666666626</v>
      </c>
      <c r="HC84" s="13">
        <v>0</v>
      </c>
      <c r="HD84" s="13">
        <v>2.9434588333333367</v>
      </c>
      <c r="HE84" s="13">
        <v>2.9383420000000013</v>
      </c>
      <c r="HF84" s="13">
        <v>0</v>
      </c>
      <c r="HG84" s="13">
        <v>0.29474016666666647</v>
      </c>
      <c r="HH84" s="13">
        <v>0.25044883333333379</v>
      </c>
      <c r="HI84" s="13">
        <v>0.2645878333333333</v>
      </c>
      <c r="HJ84" s="13">
        <v>0.26075849999999989</v>
      </c>
      <c r="HK84" s="13">
        <v>0.26810633333333328</v>
      </c>
      <c r="HL84" s="12">
        <v>0</v>
      </c>
      <c r="HM84" s="12">
        <v>0</v>
      </c>
      <c r="HN84" s="12">
        <v>0</v>
      </c>
      <c r="HO84" s="12">
        <v>0</v>
      </c>
      <c r="HP84" s="12">
        <v>0</v>
      </c>
      <c r="HQ84" s="12">
        <v>0</v>
      </c>
      <c r="HR84" s="12">
        <v>0</v>
      </c>
      <c r="HS84" s="12">
        <v>0</v>
      </c>
      <c r="HT84" s="12">
        <v>0</v>
      </c>
      <c r="HU84" s="12">
        <v>0</v>
      </c>
      <c r="HV84" s="12">
        <v>0</v>
      </c>
      <c r="HW84" s="12">
        <v>0</v>
      </c>
      <c r="HX84" s="9">
        <v>968996</v>
      </c>
      <c r="HY84" s="9">
        <v>1801</v>
      </c>
      <c r="HZ84" s="9">
        <v>955673</v>
      </c>
      <c r="IA84" s="9">
        <v>1826</v>
      </c>
      <c r="IB84" s="11">
        <v>229589.75099999999</v>
      </c>
      <c r="IC84" s="11">
        <v>516.6</v>
      </c>
      <c r="ID84" s="14">
        <f t="shared" ref="ID84:II84" si="805">GN84-HL84</f>
        <v>0</v>
      </c>
      <c r="IE84" s="14">
        <f t="shared" si="805"/>
        <v>3.0108321666666691</v>
      </c>
      <c r="IF84" s="14">
        <f t="shared" si="805"/>
        <v>3.0507508333333289</v>
      </c>
      <c r="IG84" s="14">
        <f t="shared" si="805"/>
        <v>2.972061000000001</v>
      </c>
      <c r="IH84" s="14">
        <f t="shared" si="805"/>
        <v>3.0335394999999972</v>
      </c>
      <c r="II84" s="14">
        <f t="shared" si="805"/>
        <v>3.0467800000000036</v>
      </c>
      <c r="IJ84" s="15">
        <f t="shared" ref="IJ84:IO84" si="806">GZ84-HR84</f>
        <v>0</v>
      </c>
      <c r="IK84" s="15">
        <f t="shared" si="806"/>
        <v>2.9523404999999996</v>
      </c>
      <c r="IL84" s="15">
        <f t="shared" si="806"/>
        <v>2.9107606666666626</v>
      </c>
      <c r="IM84" s="15">
        <f t="shared" si="806"/>
        <v>0</v>
      </c>
      <c r="IN84" s="15">
        <f t="shared" si="806"/>
        <v>2.9434588333333367</v>
      </c>
      <c r="IO84" s="15">
        <f t="shared" si="806"/>
        <v>2.9383420000000013</v>
      </c>
      <c r="IP84" s="16">
        <f t="shared" ref="IP84" si="807">(HX84-HX83)*1000</f>
        <v>438000</v>
      </c>
      <c r="IQ84" s="16">
        <f t="shared" ref="IQ84" si="808">(HY84-HY83)*1000</f>
        <v>1000</v>
      </c>
      <c r="IR84" s="16">
        <f t="shared" ref="IR84" si="809">(HZ84-HZ83)*1000</f>
        <v>435000</v>
      </c>
      <c r="IS84" s="16">
        <f t="shared" ref="IS84" si="810">(IA84-IA83)*1000</f>
        <v>1000</v>
      </c>
      <c r="IT84" s="16">
        <f t="shared" ref="IT84" si="811">(IB84-IB83)*1000</f>
        <v>872665.99999999744</v>
      </c>
      <c r="IU84" s="16">
        <f t="shared" ref="IU84" si="812">(IC84-IC83)*1000</f>
        <v>4267.0000000000528</v>
      </c>
      <c r="IV84" s="17">
        <f t="shared" ref="IV84" si="813">(IP84+IR84)-(IQ84+IS84)</f>
        <v>871000</v>
      </c>
      <c r="IW84" s="17">
        <f t="shared" ref="IW84" si="814">IT84-IU84</f>
        <v>868398.99999999744</v>
      </c>
      <c r="IX84" s="19">
        <f>(Raw_Data[[#This Row],[Sunset Time (POA&lt;20 W/m2)]]-Raw_Data[[#This Row],[Sunrise Time (POA&gt;20 W/m2)]])*24</f>
        <v>12.866666666666667</v>
      </c>
      <c r="IY84" s="68">
        <f>AVERAGEIF(Raw_Data[[#This Row],[GHI_UP_Net_IS2_W1]:[GHI_UP_Net_IS19_W6]],"&lt;&gt;"&amp;0,Raw_Data[[#This Row],[GHI_UP_Net_IS2_W1]:[GHI_UP_Net_IS19_W6]])</f>
        <v>3.0227926999999997</v>
      </c>
      <c r="IZ84" s="68">
        <f>AVERAGEIF(Raw_Data[[#This Row],[GHI_Down_IS2_W1]:[GHI_Down_IS19_W6]],"&lt;&gt;"&amp;0,Raw_Data[[#This Row],[GHI_Down_IS2_W1]:[GHI_Down_IS19_W6]])</f>
        <v>0.73922799999999977</v>
      </c>
      <c r="JA84" s="68">
        <f>AVERAGEIF(Raw_Data[[#This Row],[POA_Up_IS2_W1]:[POA_Up_IS19_W6]],"&lt;&gt;"&amp;0,Raw_Data[[#This Row],[POA_Up_IS2_W1]:[POA_Up_IS19_W6]])</f>
        <v>2.9362254999999999</v>
      </c>
      <c r="JB84" s="68">
        <f>AVERAGEIF(Raw_Data[[#This Row],[POA_Down_IS2_W1]:[POA_Down_IS19_W6]],"&lt;&gt;"&amp;0,Raw_Data[[#This Row],[POA_Down_IS2_W1]:[POA_Down_IS19_W6]])</f>
        <v>0.26772833333333335</v>
      </c>
      <c r="JC84" s="69">
        <f>Raw_Data[[#This Row],[GHI-Down(KWh/m2)]]/Raw_Data[[#This Row],[GHI-UP (KWh/m2)]]</f>
        <v>0.24455133823765018</v>
      </c>
      <c r="JD84" s="72">
        <f>Raw_Data[[#This Row],[POA-Down(KWh/m2)]]/Raw_Data[[#This Row],[POA-UP(KWh/m2)]]</f>
        <v>9.1181121250167391E-2</v>
      </c>
      <c r="JE84" s="68">
        <f>AVERAGEIF(Raw_Data[[#This Row],[Amb_Temp_IS2_W1]:[Amb_Temp_IS19_W6]],"&lt;&gt;"&amp;0,Raw_Data[[#This Row],[Amb_Temp_IS2_W1]:[Amb_Temp_IS19_W6]])</f>
        <v>32.453009247027737</v>
      </c>
      <c r="JF84" s="68">
        <f>AVERAGEIF(Raw_Data[[#This Row],[MT_Temp_IS2_W1]:[MT_Temp_IS19_W6]],"&lt;&gt;"&amp;0,Raw_Data[[#This Row],[MT_Temp_IS2_W1]:[MT_Temp_IS19_W6]])</f>
        <v>37.66371867899602</v>
      </c>
      <c r="JG84" s="68">
        <f>AVERAGEIF(Raw_Data[[#This Row],[WS_Avg_IS2_W1]:[WS_Avg_IS19_W6]],"&lt;&gt;"&amp;0,Raw_Data[[#This Row],[WS_Avg_IS2_W1]:[WS_Avg_IS19_W6]])</f>
        <v>4.2111416039550864</v>
      </c>
      <c r="JH84" s="68">
        <f>AVERAGEIF(Raw_Data[[#This Row],[WS_Max_IS2_W1]:[WS_Max_IS19_W6]],"&lt;&gt;"&amp;0,Raw_Data[[#This Row],[WS_Max_IS2_W1]:[WS_Max_IS19_W6]])</f>
        <v>8.1470002000000008</v>
      </c>
      <c r="JI84" s="70">
        <f>SUM(Raw_Data[[#This Row],[IS1_INV1_M1]:[IS20_INV4_M2]])</f>
        <v>877169.70000000042</v>
      </c>
      <c r="JJ84" s="73">
        <v>819266.00000003236</v>
      </c>
      <c r="JK84" s="71">
        <v>968299.2022527681</v>
      </c>
      <c r="JL84" s="143">
        <f>IFERROR(Raw_Data[[#This Row],[WPR_Eac]]/Raw_Data[[#This Row],[WPR_Edc]],"")</f>
        <v>0.84608765358268712</v>
      </c>
      <c r="JM84" s="6">
        <v>25</v>
      </c>
      <c r="JN84" s="6">
        <v>94688</v>
      </c>
    </row>
    <row r="85" spans="2:274">
      <c r="B85" s="250">
        <f t="shared" si="596"/>
        <v>45824</v>
      </c>
      <c r="C85" s="9">
        <f>YEAR(Raw_Data[[#This Row],[Date]])+IF(MONTH(Raw_Data[[#This Row],[Date]])&gt;=4,1,0)</f>
        <v>2026</v>
      </c>
      <c r="D85" s="6">
        <f t="shared" si="783"/>
        <v>2025</v>
      </c>
      <c r="E85" s="7" t="s">
        <v>361</v>
      </c>
      <c r="F85" s="7" t="s">
        <v>361</v>
      </c>
      <c r="G85" s="8">
        <v>45809</v>
      </c>
      <c r="H85" s="6">
        <f t="shared" si="784"/>
        <v>30</v>
      </c>
      <c r="I85" s="9">
        <v>335090.89</v>
      </c>
      <c r="J85" s="10">
        <v>0.25972222222222224</v>
      </c>
      <c r="K85" s="10">
        <v>0.81944444444444442</v>
      </c>
      <c r="L85" s="9">
        <v>10106.4</v>
      </c>
      <c r="M85" s="9">
        <v>10649.3</v>
      </c>
      <c r="N85" s="9">
        <v>10656.3</v>
      </c>
      <c r="O85" s="9">
        <v>10550.2</v>
      </c>
      <c r="P85" s="9">
        <v>10755.3</v>
      </c>
      <c r="Q85" s="9">
        <v>10810</v>
      </c>
      <c r="R85" s="9">
        <v>10796.5</v>
      </c>
      <c r="S85" s="9">
        <v>11056.4</v>
      </c>
      <c r="T85" s="9">
        <v>10713.8</v>
      </c>
      <c r="U85" s="9">
        <v>10597.5</v>
      </c>
      <c r="V85" s="9">
        <v>10564.5</v>
      </c>
      <c r="W85" s="9">
        <v>10563.9</v>
      </c>
      <c r="X85" s="9">
        <v>10644.9</v>
      </c>
      <c r="Y85" s="9">
        <v>10487.2</v>
      </c>
      <c r="Z85" s="9">
        <v>10684.1</v>
      </c>
      <c r="AA85" s="9">
        <v>10744.7</v>
      </c>
      <c r="AB85" s="9">
        <v>10645.3</v>
      </c>
      <c r="AC85" s="9">
        <v>10715.6</v>
      </c>
      <c r="AD85" s="9">
        <v>10686.9</v>
      </c>
      <c r="AE85" s="9">
        <v>10763.9</v>
      </c>
      <c r="AF85" s="9">
        <v>10744.1</v>
      </c>
      <c r="AG85" s="9">
        <v>10715.5</v>
      </c>
      <c r="AH85" s="9">
        <v>10526</v>
      </c>
      <c r="AI85" s="9">
        <v>10607.6</v>
      </c>
      <c r="AJ85" s="9">
        <v>10437.9</v>
      </c>
      <c r="AK85" s="9">
        <v>9121.4</v>
      </c>
      <c r="AL85" s="9">
        <v>9915.1</v>
      </c>
      <c r="AM85" s="9">
        <v>10208.700000000001</v>
      </c>
      <c r="AN85" s="9">
        <v>10751.9</v>
      </c>
      <c r="AO85" s="9">
        <v>10568.1</v>
      </c>
      <c r="AP85" s="9">
        <v>10519</v>
      </c>
      <c r="AQ85" s="9">
        <v>10733.5</v>
      </c>
      <c r="AR85" s="9">
        <v>10627.4</v>
      </c>
      <c r="AS85" s="9">
        <v>10774.2</v>
      </c>
      <c r="AT85" s="9">
        <v>10840.2</v>
      </c>
      <c r="AU85" s="9">
        <v>10747.8</v>
      </c>
      <c r="AV85" s="9">
        <v>10781.9</v>
      </c>
      <c r="AW85" s="9">
        <v>10601.4</v>
      </c>
      <c r="AX85" s="9">
        <v>10614.6</v>
      </c>
      <c r="AY85" s="9">
        <v>10562.5</v>
      </c>
      <c r="AZ85" s="9">
        <v>11395.5</v>
      </c>
      <c r="BA85" s="9">
        <v>10332.4</v>
      </c>
      <c r="BB85" s="9">
        <v>11294.3</v>
      </c>
      <c r="BC85" s="9">
        <v>10149.6</v>
      </c>
      <c r="BD85" s="9">
        <v>10796.7</v>
      </c>
      <c r="BE85" s="9">
        <v>11978</v>
      </c>
      <c r="BF85" s="9">
        <v>10238.9</v>
      </c>
      <c r="BG85" s="9">
        <v>11501</v>
      </c>
      <c r="BH85" s="9">
        <v>10741</v>
      </c>
      <c r="BI85" s="9">
        <v>10913.6</v>
      </c>
      <c r="BJ85" s="9">
        <v>10761.7</v>
      </c>
      <c r="BK85" s="9">
        <v>10139</v>
      </c>
      <c r="BL85" s="9">
        <v>11090.2</v>
      </c>
      <c r="BM85" s="9">
        <v>10896.6</v>
      </c>
      <c r="BN85" s="9">
        <v>11010.1</v>
      </c>
      <c r="BO85" s="9">
        <v>10877.3</v>
      </c>
      <c r="BP85" s="9">
        <v>9786.6</v>
      </c>
      <c r="BQ85" s="9">
        <v>11226.3</v>
      </c>
      <c r="BR85" s="9">
        <v>9855.2999999999993</v>
      </c>
      <c r="BS85" s="9">
        <v>11159.4</v>
      </c>
      <c r="BT85" s="9">
        <v>11041.6</v>
      </c>
      <c r="BU85" s="9">
        <v>9847.4</v>
      </c>
      <c r="BV85" s="9">
        <v>10694.2</v>
      </c>
      <c r="BW85" s="9">
        <v>10189.6</v>
      </c>
      <c r="BX85" s="9">
        <v>10323.799999999999</v>
      </c>
      <c r="BY85" s="9">
        <v>9625.2000000000007</v>
      </c>
      <c r="BZ85" s="9">
        <v>10288.700000000001</v>
      </c>
      <c r="CA85" s="9">
        <v>10626.6</v>
      </c>
      <c r="CB85" s="9">
        <v>11072</v>
      </c>
      <c r="CC85" s="9">
        <v>9819.7999999999993</v>
      </c>
      <c r="CD85" s="9">
        <v>10584.7</v>
      </c>
      <c r="CE85" s="9">
        <v>9373.1</v>
      </c>
      <c r="CF85" s="9">
        <v>10669.8</v>
      </c>
      <c r="CG85" s="9">
        <v>10354.799999999999</v>
      </c>
      <c r="CH85" s="9">
        <v>9898.2999999999993</v>
      </c>
      <c r="CI85" s="9">
        <v>10900.4</v>
      </c>
      <c r="CJ85" s="9">
        <v>9658.1</v>
      </c>
      <c r="CK85" s="9">
        <v>11192.8</v>
      </c>
      <c r="CL85" s="9">
        <v>9873.7000000000007</v>
      </c>
      <c r="CM85" s="9">
        <v>10969.7</v>
      </c>
      <c r="CN85" s="9">
        <v>9817</v>
      </c>
      <c r="CO85" s="9">
        <v>10622.6</v>
      </c>
      <c r="CP85" s="9">
        <v>9892.7999999999993</v>
      </c>
      <c r="CQ85" s="9">
        <v>10945.9</v>
      </c>
      <c r="CR85" s="9">
        <v>9809.2999999999993</v>
      </c>
      <c r="CS85" s="9">
        <v>10439</v>
      </c>
      <c r="CT85" s="9">
        <v>9825.7000000000007</v>
      </c>
      <c r="CU85" s="9">
        <v>8673.5</v>
      </c>
      <c r="CV85" s="9">
        <v>10794.2</v>
      </c>
      <c r="CW85" s="9">
        <v>10341.6</v>
      </c>
      <c r="CX85" s="9">
        <v>9639.4</v>
      </c>
      <c r="CY85" s="9">
        <v>11109.2</v>
      </c>
      <c r="CZ85" s="9">
        <v>10771.5</v>
      </c>
      <c r="DA85" s="9">
        <v>10045.1</v>
      </c>
      <c r="DB85" s="9">
        <v>9935</v>
      </c>
      <c r="DC85" s="9">
        <v>10878.6</v>
      </c>
      <c r="DD85" s="9">
        <v>9721.2999999999993</v>
      </c>
      <c r="DE85" s="9">
        <v>10112.4</v>
      </c>
      <c r="DF85" s="9">
        <v>11057.4</v>
      </c>
      <c r="DG85" s="9">
        <v>9763.2999999999993</v>
      </c>
      <c r="DH85" s="9">
        <v>11117.2</v>
      </c>
      <c r="DI85" s="9">
        <v>9782.7999999999993</v>
      </c>
      <c r="DJ85" s="9">
        <v>10833.4</v>
      </c>
      <c r="DK85" s="9">
        <v>10023.5</v>
      </c>
      <c r="DL85" s="9">
        <v>10973.8</v>
      </c>
      <c r="DM85" s="9">
        <v>9505.5</v>
      </c>
      <c r="DN85" s="9">
        <v>11051.5</v>
      </c>
      <c r="DO85" s="9">
        <v>9896.6</v>
      </c>
      <c r="DP85" s="9">
        <v>10901.3</v>
      </c>
      <c r="DQ85" s="9">
        <v>9943.7000000000007</v>
      </c>
      <c r="DR85" s="9">
        <v>10968.2</v>
      </c>
      <c r="DS85" s="9">
        <v>10068.200000000001</v>
      </c>
      <c r="DT85" s="9">
        <v>9747.7999999999993</v>
      </c>
      <c r="DU85" s="9">
        <v>10714.3</v>
      </c>
      <c r="DV85" s="9">
        <v>9760.9</v>
      </c>
      <c r="DW85" s="9">
        <v>9621.7000000000007</v>
      </c>
      <c r="DX85" s="9">
        <v>10829.9</v>
      </c>
      <c r="DY85" s="9">
        <v>10805</v>
      </c>
      <c r="DZ85" s="9">
        <v>10686.7</v>
      </c>
      <c r="EA85" s="9">
        <v>9779.6</v>
      </c>
      <c r="EB85" s="9">
        <v>10729.4</v>
      </c>
      <c r="EC85" s="9">
        <v>9621.1</v>
      </c>
      <c r="ED85" s="9">
        <v>10553.5</v>
      </c>
      <c r="EE85" s="9">
        <v>9839.2999999999993</v>
      </c>
      <c r="EF85" s="9">
        <v>10416.799999999999</v>
      </c>
      <c r="EG85" s="9">
        <v>9030.5</v>
      </c>
      <c r="EH85" s="9">
        <v>10460.5</v>
      </c>
      <c r="EI85" s="9">
        <v>9615</v>
      </c>
      <c r="EJ85" s="9">
        <v>9733.9</v>
      </c>
      <c r="EK85" s="9">
        <v>9781.7999999999993</v>
      </c>
      <c r="EL85" s="9">
        <v>9616.9</v>
      </c>
      <c r="EM85" s="9">
        <v>8333.5</v>
      </c>
      <c r="EN85" s="9">
        <v>9418.9</v>
      </c>
      <c r="EO85" s="9">
        <v>8483.4</v>
      </c>
      <c r="EP85" s="9">
        <v>9472.9</v>
      </c>
      <c r="EQ85" s="9">
        <v>9550.9</v>
      </c>
      <c r="ER85" s="9">
        <v>10990.2</v>
      </c>
      <c r="ES85" s="9">
        <v>9608.2000000000007</v>
      </c>
      <c r="ET85" s="9">
        <v>10946.7</v>
      </c>
      <c r="EU85" s="9">
        <v>9738.7000000000007</v>
      </c>
      <c r="EV85" s="9">
        <v>10887.9</v>
      </c>
      <c r="EW85" s="9">
        <v>9585.7999999999993</v>
      </c>
      <c r="EX85" s="9">
        <v>9764.5</v>
      </c>
      <c r="EY85" s="9">
        <v>9693.2000000000007</v>
      </c>
      <c r="EZ85" s="9">
        <v>10417.200000000001</v>
      </c>
      <c r="FA85" s="9">
        <v>10796.9</v>
      </c>
      <c r="FB85" s="9">
        <v>10728.7</v>
      </c>
      <c r="FC85" s="9">
        <v>10692.1</v>
      </c>
      <c r="FD85" s="9">
        <v>10785.7</v>
      </c>
      <c r="FE85" s="9">
        <v>10889.7</v>
      </c>
      <c r="FF85" s="9">
        <v>9792.6</v>
      </c>
      <c r="FG85" s="9">
        <v>10750.8</v>
      </c>
      <c r="FH85" s="9">
        <v>10722.8</v>
      </c>
      <c r="FI85" s="9">
        <v>10746.6</v>
      </c>
      <c r="FJ85" s="9">
        <v>10650.7</v>
      </c>
      <c r="FK85" s="9">
        <v>10636.5</v>
      </c>
      <c r="FL85" s="9">
        <v>10689</v>
      </c>
      <c r="FM85" s="9">
        <v>9552.4</v>
      </c>
      <c r="FN85" s="9">
        <v>10810.7</v>
      </c>
      <c r="FO85" s="9">
        <v>9681.6</v>
      </c>
      <c r="FP85" s="11">
        <v>0</v>
      </c>
      <c r="FQ85" s="11">
        <v>34.356243654822343</v>
      </c>
      <c r="FR85" s="11">
        <v>34.794695431472086</v>
      </c>
      <c r="FS85" s="11">
        <v>34.593413705583764</v>
      </c>
      <c r="FT85" s="11">
        <v>34.416357868020292</v>
      </c>
      <c r="FU85" s="11">
        <v>34.441294416243679</v>
      </c>
      <c r="FV85" s="11">
        <v>0</v>
      </c>
      <c r="FW85" s="11">
        <v>44.830418781725882</v>
      </c>
      <c r="FX85" s="11">
        <v>0</v>
      </c>
      <c r="FY85" s="11">
        <v>0</v>
      </c>
      <c r="FZ85" s="11">
        <v>44.1</v>
      </c>
      <c r="GA85" s="11">
        <v>43.4</v>
      </c>
      <c r="GB85" s="11">
        <v>0</v>
      </c>
      <c r="GC85" s="11">
        <v>3.9073665887055826</v>
      </c>
      <c r="GD85" s="11">
        <v>3.5528298129441653</v>
      </c>
      <c r="GE85" s="11">
        <v>3.4031449420431468</v>
      </c>
      <c r="GF85" s="11">
        <v>3.9816855478426434</v>
      </c>
      <c r="GG85" s="11">
        <v>3.9642193909898475</v>
      </c>
      <c r="GH85" s="11">
        <v>0</v>
      </c>
      <c r="GI85" s="11">
        <v>8.5983330000000002</v>
      </c>
      <c r="GJ85" s="11">
        <v>7.3316660000000002</v>
      </c>
      <c r="GK85" s="11">
        <v>8.4600000000000009</v>
      </c>
      <c r="GL85" s="11">
        <v>8.2533329999999996</v>
      </c>
      <c r="GM85" s="11">
        <v>8.74</v>
      </c>
      <c r="GN85" s="11">
        <v>0</v>
      </c>
      <c r="GO85" s="11">
        <v>6.1270188333333353</v>
      </c>
      <c r="GP85" s="11">
        <v>6.2087590000000024</v>
      </c>
      <c r="GQ85" s="11">
        <v>6.1020611666666618</v>
      </c>
      <c r="GR85" s="11">
        <v>5.9779131666666672</v>
      </c>
      <c r="GS85" s="11">
        <v>5.7937156666666665</v>
      </c>
      <c r="GT85" s="108">
        <v>0</v>
      </c>
      <c r="GU85" s="108">
        <v>1.5055706666666659</v>
      </c>
      <c r="GV85" s="108">
        <v>1.3619135000000007</v>
      </c>
      <c r="GW85" s="108">
        <v>1.6765969999999994</v>
      </c>
      <c r="GX85" s="108">
        <v>1.6310806666666664</v>
      </c>
      <c r="GY85" s="108">
        <v>1.3335173333333332</v>
      </c>
      <c r="GZ85" s="13">
        <v>0</v>
      </c>
      <c r="HA85" s="13">
        <v>6.0252389999999982</v>
      </c>
      <c r="HB85" s="13">
        <v>5.9254755000000001</v>
      </c>
      <c r="HC85" s="13">
        <v>0</v>
      </c>
      <c r="HD85" s="13">
        <v>5.7636416666666692</v>
      </c>
      <c r="HE85" s="13">
        <v>5.5309220000000092</v>
      </c>
      <c r="HF85" s="13">
        <v>0</v>
      </c>
      <c r="HG85" s="13">
        <v>0.62012466666666655</v>
      </c>
      <c r="HH85" s="13">
        <v>0.5193485000000001</v>
      </c>
      <c r="HI85" s="13">
        <v>0.55151150000000015</v>
      </c>
      <c r="HJ85" s="13">
        <v>0.53950466666666674</v>
      </c>
      <c r="HK85" s="13">
        <v>0.54430250000000024</v>
      </c>
      <c r="HL85" s="12">
        <v>0</v>
      </c>
      <c r="HM85" s="12">
        <v>0</v>
      </c>
      <c r="HN85" s="12">
        <v>0</v>
      </c>
      <c r="HO85" s="12">
        <v>0</v>
      </c>
      <c r="HP85" s="12">
        <v>0</v>
      </c>
      <c r="HQ85" s="12">
        <v>0</v>
      </c>
      <c r="HR85" s="12">
        <v>0</v>
      </c>
      <c r="HS85" s="12">
        <v>0</v>
      </c>
      <c r="HT85" s="12">
        <v>0</v>
      </c>
      <c r="HU85" s="12">
        <v>0</v>
      </c>
      <c r="HV85" s="12">
        <v>0</v>
      </c>
      <c r="HW85" s="12">
        <v>0</v>
      </c>
      <c r="HX85" s="9">
        <v>969833</v>
      </c>
      <c r="HY85" s="9">
        <v>1804</v>
      </c>
      <c r="HZ85" s="9">
        <v>956486</v>
      </c>
      <c r="IA85" s="9">
        <v>1827</v>
      </c>
      <c r="IB85" s="11">
        <v>231242.75099999999</v>
      </c>
      <c r="IC85" s="11">
        <v>520.66700000000003</v>
      </c>
      <c r="ID85" s="14">
        <f t="shared" ref="ID85:II85" si="815">GN85-HL85</f>
        <v>0</v>
      </c>
      <c r="IE85" s="14">
        <f t="shared" si="815"/>
        <v>6.1270188333333353</v>
      </c>
      <c r="IF85" s="14">
        <f t="shared" si="815"/>
        <v>6.2087590000000024</v>
      </c>
      <c r="IG85" s="14">
        <f t="shared" si="815"/>
        <v>6.1020611666666618</v>
      </c>
      <c r="IH85" s="14">
        <f t="shared" si="815"/>
        <v>5.9779131666666672</v>
      </c>
      <c r="II85" s="14">
        <f t="shared" si="815"/>
        <v>5.7937156666666665</v>
      </c>
      <c r="IJ85" s="15">
        <f t="shared" ref="IJ85:IO85" si="816">GZ85-HR85</f>
        <v>0</v>
      </c>
      <c r="IK85" s="15">
        <f t="shared" si="816"/>
        <v>6.0252389999999982</v>
      </c>
      <c r="IL85" s="15">
        <f t="shared" si="816"/>
        <v>5.9254755000000001</v>
      </c>
      <c r="IM85" s="15">
        <f t="shared" si="816"/>
        <v>0</v>
      </c>
      <c r="IN85" s="15">
        <f t="shared" si="816"/>
        <v>5.7636416666666692</v>
      </c>
      <c r="IO85" s="15">
        <f t="shared" si="816"/>
        <v>5.5309220000000092</v>
      </c>
      <c r="IP85" s="16">
        <f t="shared" ref="IP85" si="817">(HX85-HX84)*1000</f>
        <v>837000</v>
      </c>
      <c r="IQ85" s="16">
        <f t="shared" ref="IQ85" si="818">(HY85-HY84)*1000</f>
        <v>3000</v>
      </c>
      <c r="IR85" s="16">
        <f t="shared" ref="IR85" si="819">(HZ85-HZ84)*1000</f>
        <v>813000</v>
      </c>
      <c r="IS85" s="16">
        <f t="shared" ref="IS85" si="820">(IA85-IA84)*1000</f>
        <v>1000</v>
      </c>
      <c r="IT85" s="16">
        <f t="shared" ref="IT85" si="821">(IB85-IB84)*1000</f>
        <v>1653000</v>
      </c>
      <c r="IU85" s="16">
        <f t="shared" ref="IU85" si="822">(IC85-IC84)*1000</f>
        <v>4067.0000000000073</v>
      </c>
      <c r="IV85" s="17">
        <f t="shared" ref="IV85" si="823">(IP85+IR85)-(IQ85+IS85)</f>
        <v>1646000</v>
      </c>
      <c r="IW85" s="17">
        <f t="shared" ref="IW85" si="824">IT85-IU85</f>
        <v>1648933</v>
      </c>
      <c r="IX85" s="19">
        <f>(Raw_Data[[#This Row],[Sunset Time (POA&lt;20 W/m2)]]-Raw_Data[[#This Row],[Sunrise Time (POA&gt;20 W/m2)]])*24</f>
        <v>13.433333333333334</v>
      </c>
      <c r="IY85" s="68">
        <f>AVERAGEIF(Raw_Data[[#This Row],[GHI_UP_Net_IS2_W1]:[GHI_UP_Net_IS19_W6]],"&lt;&gt;"&amp;0,Raw_Data[[#This Row],[GHI_UP_Net_IS2_W1]:[GHI_UP_Net_IS19_W6]])</f>
        <v>6.0418935666666673</v>
      </c>
      <c r="IZ85" s="68">
        <f>AVERAGEIF(Raw_Data[[#This Row],[GHI_Down_IS2_W1]:[GHI_Down_IS19_W6]],"&lt;&gt;"&amp;0,Raw_Data[[#This Row],[GHI_Down_IS2_W1]:[GHI_Down_IS19_W6]])</f>
        <v>1.501735833333333</v>
      </c>
      <c r="JA85" s="68">
        <f>AVERAGEIF(Raw_Data[[#This Row],[POA_Up_IS2_W1]:[POA_Up_IS19_W6]],"&lt;&gt;"&amp;0,Raw_Data[[#This Row],[POA_Up_IS2_W1]:[POA_Up_IS19_W6]])</f>
        <v>5.8113195416666699</v>
      </c>
      <c r="JB85" s="68">
        <f>AVERAGEIF(Raw_Data[[#This Row],[POA_Down_IS2_W1]:[POA_Down_IS19_W6]],"&lt;&gt;"&amp;0,Raw_Data[[#This Row],[POA_Down_IS2_W1]:[POA_Down_IS19_W6]])</f>
        <v>0.55495836666666676</v>
      </c>
      <c r="JC85" s="69">
        <f>Raw_Data[[#This Row],[GHI-Down(KWh/m2)]]/Raw_Data[[#This Row],[GHI-UP (KWh/m2)]]</f>
        <v>0.24855383776014539</v>
      </c>
      <c r="JD85" s="72">
        <f>Raw_Data[[#This Row],[POA-Down(KWh/m2)]]/Raw_Data[[#This Row],[POA-UP(KWh/m2)]]</f>
        <v>9.5496102509535427E-2</v>
      </c>
      <c r="JE85" s="68">
        <f>AVERAGEIF(Raw_Data[[#This Row],[Amb_Temp_IS2_W1]:[Amb_Temp_IS19_W6]],"&lt;&gt;"&amp;0,Raw_Data[[#This Row],[Amb_Temp_IS2_W1]:[Amb_Temp_IS19_W6]])</f>
        <v>34.520401015228437</v>
      </c>
      <c r="JF85" s="68">
        <f>AVERAGEIF(Raw_Data[[#This Row],[MT_Temp_IS2_W1]:[MT_Temp_IS19_W6]],"&lt;&gt;"&amp;0,Raw_Data[[#This Row],[MT_Temp_IS2_W1]:[MT_Temp_IS19_W6]])</f>
        <v>44.110139593908627</v>
      </c>
      <c r="JG85" s="68">
        <f>AVERAGEIF(Raw_Data[[#This Row],[WS_Avg_IS2_W1]:[WS_Avg_IS19_W6]],"&lt;&gt;"&amp;0,Raw_Data[[#This Row],[WS_Avg_IS2_W1]:[WS_Avg_IS19_W6]])</f>
        <v>3.7618492565050774</v>
      </c>
      <c r="JH85" s="68">
        <f>AVERAGEIF(Raw_Data[[#This Row],[WS_Max_IS2_W1]:[WS_Max_IS19_W6]],"&lt;&gt;"&amp;0,Raw_Data[[#This Row],[WS_Max_IS2_W1]:[WS_Max_IS19_W6]])</f>
        <v>8.2766663999999999</v>
      </c>
      <c r="JI85" s="70">
        <f>SUM(Raw_Data[[#This Row],[IS1_INV1_M1]:[IS20_INV4_M2]])</f>
        <v>1662163.1999999993</v>
      </c>
      <c r="JJ85" s="73">
        <v>1621333.0000000133</v>
      </c>
      <c r="JK85" s="71">
        <v>1927186.7130419579</v>
      </c>
      <c r="JL85" s="143">
        <f>IFERROR(Raw_Data[[#This Row],[WPR_Eac]]/Raw_Data[[#This Row],[WPR_Edc]],"")</f>
        <v>0.84129523570698994</v>
      </c>
      <c r="JM85" s="6">
        <v>23</v>
      </c>
      <c r="JN85" s="6">
        <v>51964</v>
      </c>
    </row>
    <row r="86" spans="2:274">
      <c r="B86" s="250">
        <f t="shared" si="596"/>
        <v>45825</v>
      </c>
      <c r="C86" s="9">
        <f>YEAR(Raw_Data[[#This Row],[Date]])+IF(MONTH(Raw_Data[[#This Row],[Date]])&gt;=4,1,0)</f>
        <v>2026</v>
      </c>
      <c r="D86" s="6">
        <f t="shared" si="783"/>
        <v>2025</v>
      </c>
      <c r="E86" s="7" t="s">
        <v>361</v>
      </c>
      <c r="F86" s="7" t="s">
        <v>361</v>
      </c>
      <c r="G86" s="8">
        <v>45809</v>
      </c>
      <c r="H86" s="6">
        <f t="shared" si="784"/>
        <v>30</v>
      </c>
      <c r="I86" s="9">
        <v>335090.89</v>
      </c>
      <c r="J86" s="10">
        <v>0.27152777777777776</v>
      </c>
      <c r="K86" s="10">
        <v>0.81874999999999998</v>
      </c>
      <c r="L86" s="9">
        <v>7459</v>
      </c>
      <c r="M86" s="9">
        <v>7673.4</v>
      </c>
      <c r="N86" s="9">
        <v>7658.6</v>
      </c>
      <c r="O86" s="9">
        <v>7655.7</v>
      </c>
      <c r="P86" s="9">
        <v>7697.1</v>
      </c>
      <c r="Q86" s="9">
        <v>7734.9</v>
      </c>
      <c r="R86" s="9">
        <v>7729.7</v>
      </c>
      <c r="S86" s="9">
        <v>7850.2</v>
      </c>
      <c r="T86" s="9">
        <v>7683.5</v>
      </c>
      <c r="U86" s="9">
        <v>7643.3</v>
      </c>
      <c r="V86" s="9">
        <v>7851.1</v>
      </c>
      <c r="W86" s="9">
        <v>7612.3</v>
      </c>
      <c r="X86" s="9">
        <v>7890.6</v>
      </c>
      <c r="Y86" s="9">
        <v>7626</v>
      </c>
      <c r="Z86" s="9">
        <v>7827.6</v>
      </c>
      <c r="AA86" s="9">
        <v>7839.7</v>
      </c>
      <c r="AB86" s="9">
        <v>7748.6</v>
      </c>
      <c r="AC86" s="9">
        <v>7753.2</v>
      </c>
      <c r="AD86" s="9">
        <v>7761.6</v>
      </c>
      <c r="AE86" s="9">
        <v>7872.3</v>
      </c>
      <c r="AF86" s="9">
        <v>7762.2</v>
      </c>
      <c r="AG86" s="9">
        <v>7772.2</v>
      </c>
      <c r="AH86" s="9">
        <v>7670.3</v>
      </c>
      <c r="AI86" s="9">
        <v>7712.4</v>
      </c>
      <c r="AJ86" s="9">
        <v>7614.4</v>
      </c>
      <c r="AK86" s="9">
        <v>7214.1</v>
      </c>
      <c r="AL86" s="9">
        <v>7668.3</v>
      </c>
      <c r="AM86" s="9">
        <v>7644</v>
      </c>
      <c r="AN86" s="9">
        <v>7714.5</v>
      </c>
      <c r="AO86" s="9">
        <v>7601.1</v>
      </c>
      <c r="AP86" s="9">
        <v>7635.3</v>
      </c>
      <c r="AQ86" s="9">
        <v>7702.8</v>
      </c>
      <c r="AR86" s="9">
        <v>10100.4</v>
      </c>
      <c r="AS86" s="9">
        <v>10168</v>
      </c>
      <c r="AT86" s="9">
        <v>10324.6</v>
      </c>
      <c r="AU86" s="9">
        <v>10239.6</v>
      </c>
      <c r="AV86" s="9">
        <v>7736.9</v>
      </c>
      <c r="AW86" s="9">
        <v>7678.5</v>
      </c>
      <c r="AX86" s="9">
        <v>7681.1</v>
      </c>
      <c r="AY86" s="9">
        <v>7652</v>
      </c>
      <c r="AZ86" s="9">
        <v>8043</v>
      </c>
      <c r="BA86" s="9">
        <v>7645.9</v>
      </c>
      <c r="BB86" s="9">
        <v>7980.2</v>
      </c>
      <c r="BC86" s="9">
        <v>7591.5</v>
      </c>
      <c r="BD86" s="9">
        <v>7781.4</v>
      </c>
      <c r="BE86" s="9">
        <v>8214.7999999999993</v>
      </c>
      <c r="BF86" s="9">
        <v>7534.6</v>
      </c>
      <c r="BG86" s="9">
        <v>8025.4</v>
      </c>
      <c r="BH86" s="9">
        <v>7796</v>
      </c>
      <c r="BI86" s="9">
        <v>7851</v>
      </c>
      <c r="BJ86" s="9">
        <v>7846.1</v>
      </c>
      <c r="BK86" s="9">
        <v>7567.3</v>
      </c>
      <c r="BL86" s="9">
        <v>7969.3</v>
      </c>
      <c r="BM86" s="9">
        <v>7893.9</v>
      </c>
      <c r="BN86" s="9">
        <v>7876.2</v>
      </c>
      <c r="BO86" s="9">
        <v>7857.1</v>
      </c>
      <c r="BP86" s="9">
        <v>7390.2</v>
      </c>
      <c r="BQ86" s="9">
        <v>7937.8</v>
      </c>
      <c r="BR86" s="9">
        <v>7441.6</v>
      </c>
      <c r="BS86" s="9">
        <v>7897.3</v>
      </c>
      <c r="BT86" s="9">
        <v>7846</v>
      </c>
      <c r="BU86" s="9">
        <v>7397</v>
      </c>
      <c r="BV86" s="9">
        <v>7712.1</v>
      </c>
      <c r="BW86" s="9">
        <v>7535.7</v>
      </c>
      <c r="BX86" s="9">
        <v>7605.6</v>
      </c>
      <c r="BY86" s="9">
        <v>7385.1</v>
      </c>
      <c r="BZ86" s="9">
        <v>7580.5</v>
      </c>
      <c r="CA86" s="9">
        <v>7745.8</v>
      </c>
      <c r="CB86" s="9">
        <v>7850.6</v>
      </c>
      <c r="CC86" s="9">
        <v>7428.1</v>
      </c>
      <c r="CD86" s="9">
        <v>7767.9</v>
      </c>
      <c r="CE86" s="9">
        <v>7307.6</v>
      </c>
      <c r="CF86" s="9">
        <v>7698.8</v>
      </c>
      <c r="CG86" s="9">
        <v>7624.8</v>
      </c>
      <c r="CH86" s="9">
        <v>7429.6</v>
      </c>
      <c r="CI86" s="9">
        <v>7825.6</v>
      </c>
      <c r="CJ86" s="9">
        <v>7395</v>
      </c>
      <c r="CK86" s="9">
        <v>7912.2</v>
      </c>
      <c r="CL86" s="9">
        <v>7456.6</v>
      </c>
      <c r="CM86" s="9">
        <v>7864.9</v>
      </c>
      <c r="CN86" s="9">
        <v>7464</v>
      </c>
      <c r="CO86" s="9">
        <v>7752.7</v>
      </c>
      <c r="CP86" s="9">
        <v>7536.6</v>
      </c>
      <c r="CQ86" s="9">
        <v>7888.3</v>
      </c>
      <c r="CR86" s="9">
        <v>7490.1</v>
      </c>
      <c r="CS86" s="9">
        <v>7740.9</v>
      </c>
      <c r="CT86" s="9">
        <v>7461.4</v>
      </c>
      <c r="CU86" s="9">
        <v>7081.7</v>
      </c>
      <c r="CV86" s="9">
        <v>7892.7</v>
      </c>
      <c r="CW86" s="9">
        <v>7707.3</v>
      </c>
      <c r="CX86" s="9">
        <v>7447.2</v>
      </c>
      <c r="CY86" s="9">
        <v>7974.9</v>
      </c>
      <c r="CZ86" s="9">
        <v>7841.4</v>
      </c>
      <c r="DA86" s="9">
        <v>7564.3</v>
      </c>
      <c r="DB86" s="9">
        <v>7490.2</v>
      </c>
      <c r="DC86" s="9">
        <v>7873.5</v>
      </c>
      <c r="DD86" s="9">
        <v>7472.9</v>
      </c>
      <c r="DE86" s="9">
        <v>7620</v>
      </c>
      <c r="DF86" s="9">
        <v>7914.3</v>
      </c>
      <c r="DG86" s="9">
        <v>7418.3</v>
      </c>
      <c r="DH86" s="9">
        <v>7930.9</v>
      </c>
      <c r="DI86" s="9">
        <v>7407.6</v>
      </c>
      <c r="DJ86" s="9">
        <v>7805.8</v>
      </c>
      <c r="DK86" s="9">
        <v>7510.2</v>
      </c>
      <c r="DL86" s="9">
        <v>7810.3</v>
      </c>
      <c r="DM86" s="9">
        <v>7286.9</v>
      </c>
      <c r="DN86" s="9">
        <v>7850.4</v>
      </c>
      <c r="DO86" s="9">
        <v>7442.6</v>
      </c>
      <c r="DP86" s="9">
        <v>7789</v>
      </c>
      <c r="DQ86" s="9">
        <v>7434.7</v>
      </c>
      <c r="DR86" s="9">
        <v>7813.6</v>
      </c>
      <c r="DS86" s="9">
        <v>7545.8</v>
      </c>
      <c r="DT86" s="9">
        <v>7424.5</v>
      </c>
      <c r="DU86" s="9">
        <v>7765.7</v>
      </c>
      <c r="DV86" s="9">
        <v>7433</v>
      </c>
      <c r="DW86" s="9">
        <v>7377.1</v>
      </c>
      <c r="DX86" s="9">
        <v>7788.7</v>
      </c>
      <c r="DY86" s="9">
        <v>7800.5</v>
      </c>
      <c r="DZ86" s="9">
        <v>7727.7</v>
      </c>
      <c r="EA86" s="9">
        <v>7430.7</v>
      </c>
      <c r="EB86" s="9">
        <v>7762.2</v>
      </c>
      <c r="EC86" s="9">
        <v>7371.5</v>
      </c>
      <c r="ED86" s="9">
        <v>7686.7</v>
      </c>
      <c r="EE86" s="9">
        <v>7437.6</v>
      </c>
      <c r="EF86" s="9">
        <v>7641.8</v>
      </c>
      <c r="EG86" s="9">
        <v>7187.3</v>
      </c>
      <c r="EH86" s="9">
        <v>7691.3</v>
      </c>
      <c r="EI86" s="9">
        <v>7424.2</v>
      </c>
      <c r="EJ86" s="9">
        <v>7488.1</v>
      </c>
      <c r="EK86" s="9">
        <v>7515</v>
      </c>
      <c r="EL86" s="9">
        <v>7349.5</v>
      </c>
      <c r="EM86" s="9">
        <v>6909.7</v>
      </c>
      <c r="EN86" s="9">
        <v>7391.5</v>
      </c>
      <c r="EO86" s="9">
        <v>7071.1</v>
      </c>
      <c r="EP86" s="9">
        <v>7579.1</v>
      </c>
      <c r="EQ86" s="9">
        <v>7619.6</v>
      </c>
      <c r="ER86" s="9">
        <v>8132.9</v>
      </c>
      <c r="ES86" s="9">
        <v>7579.8</v>
      </c>
      <c r="ET86" s="9">
        <v>8202.1</v>
      </c>
      <c r="EU86" s="9">
        <v>7718</v>
      </c>
      <c r="EV86" s="9">
        <v>8156.8</v>
      </c>
      <c r="EW86" s="9">
        <v>7657.9</v>
      </c>
      <c r="EX86" s="9">
        <v>7722.6</v>
      </c>
      <c r="EY86" s="9">
        <v>7679.2</v>
      </c>
      <c r="EZ86" s="9">
        <v>8106.1</v>
      </c>
      <c r="FA86" s="9">
        <v>8238.2000000000007</v>
      </c>
      <c r="FB86" s="9">
        <v>8206.2000000000007</v>
      </c>
      <c r="FC86" s="9">
        <v>8184.9</v>
      </c>
      <c r="FD86" s="9">
        <v>8166.7</v>
      </c>
      <c r="FE86" s="9">
        <v>8151.9</v>
      </c>
      <c r="FF86" s="9">
        <v>7791.1</v>
      </c>
      <c r="FG86" s="9">
        <v>8202.6</v>
      </c>
      <c r="FH86" s="9">
        <v>8220.9</v>
      </c>
      <c r="FI86" s="9">
        <v>8205.1</v>
      </c>
      <c r="FJ86" s="9">
        <v>8181.3</v>
      </c>
      <c r="FK86" s="9">
        <v>8183.9</v>
      </c>
      <c r="FL86" s="9">
        <v>8217.7999999999993</v>
      </c>
      <c r="FM86" s="9">
        <v>7755.1</v>
      </c>
      <c r="FN86" s="9">
        <v>8298.7999999999993</v>
      </c>
      <c r="FO86" s="9">
        <v>7801.5</v>
      </c>
      <c r="FP86" s="11">
        <v>0</v>
      </c>
      <c r="FQ86" s="11">
        <v>34.421246851385369</v>
      </c>
      <c r="FR86" s="11">
        <v>34.685377833753108</v>
      </c>
      <c r="FS86" s="11">
        <v>34.543526448362734</v>
      </c>
      <c r="FT86" s="11">
        <v>34.359181360201489</v>
      </c>
      <c r="FU86" s="11">
        <v>34.324937027707797</v>
      </c>
      <c r="FV86" s="11">
        <v>0</v>
      </c>
      <c r="FW86" s="11">
        <v>46</v>
      </c>
      <c r="FX86" s="11">
        <v>0</v>
      </c>
      <c r="FY86" s="11">
        <v>0</v>
      </c>
      <c r="FZ86" s="11">
        <v>45.568027481108331</v>
      </c>
      <c r="GA86" s="11">
        <v>45.355012594458508</v>
      </c>
      <c r="GB86" s="11">
        <v>0</v>
      </c>
      <c r="GC86" s="11">
        <v>4.0317861527707812</v>
      </c>
      <c r="GD86" s="11">
        <v>3.6983395186020158</v>
      </c>
      <c r="GE86" s="11">
        <v>3.4789167220780888</v>
      </c>
      <c r="GF86" s="11">
        <v>4.099021697103276</v>
      </c>
      <c r="GG86" s="11">
        <v>3.605533037707811</v>
      </c>
      <c r="GH86" s="11">
        <v>0</v>
      </c>
      <c r="GI86" s="11">
        <v>15.10833</v>
      </c>
      <c r="GJ86" s="11">
        <v>15.05667</v>
      </c>
      <c r="GK86" s="11">
        <v>15.19833</v>
      </c>
      <c r="GL86" s="11">
        <v>15.3</v>
      </c>
      <c r="GM86" s="11">
        <v>14.981669999999999</v>
      </c>
      <c r="GN86" s="11">
        <v>0</v>
      </c>
      <c r="GO86" s="11">
        <v>5.8634006666666645</v>
      </c>
      <c r="GP86" s="11">
        <v>5.9487949999999969</v>
      </c>
      <c r="GQ86" s="11">
        <v>5.7569301666666659</v>
      </c>
      <c r="GR86" s="11">
        <v>5.8579753333333286</v>
      </c>
      <c r="GS86" s="11">
        <v>5.9398215000000052</v>
      </c>
      <c r="GT86" s="108">
        <v>0</v>
      </c>
      <c r="GU86" s="108">
        <v>1.3892411666666671</v>
      </c>
      <c r="GV86" s="108">
        <v>1.3947908333333332</v>
      </c>
      <c r="GW86" s="108">
        <v>1.6700496666666651</v>
      </c>
      <c r="GX86" s="108">
        <v>1.5668938333333327</v>
      </c>
      <c r="GY86" s="108">
        <v>1.2899038333333335</v>
      </c>
      <c r="GZ86" s="13">
        <v>0</v>
      </c>
      <c r="HA86" s="13">
        <v>5.7408758333333347</v>
      </c>
      <c r="HB86" s="13">
        <v>5.683874833333336</v>
      </c>
      <c r="HC86" s="13">
        <v>0</v>
      </c>
      <c r="HD86" s="13">
        <v>5.6795234999999993</v>
      </c>
      <c r="HE86" s="13">
        <v>5.6588949999999976</v>
      </c>
      <c r="HF86" s="13">
        <v>0</v>
      </c>
      <c r="HG86" s="13">
        <v>0.5202903333333333</v>
      </c>
      <c r="HH86" s="13">
        <v>0.44160316666666688</v>
      </c>
      <c r="HI86" s="13">
        <v>0.45162200000000069</v>
      </c>
      <c r="HJ86" s="13">
        <v>0.45113466666666657</v>
      </c>
      <c r="HK86" s="13">
        <v>0.47379233333333337</v>
      </c>
      <c r="HL86" s="12">
        <v>0</v>
      </c>
      <c r="HM86" s="12">
        <v>0</v>
      </c>
      <c r="HN86" s="12">
        <v>0</v>
      </c>
      <c r="HO86" s="12">
        <v>0</v>
      </c>
      <c r="HP86" s="12">
        <v>0</v>
      </c>
      <c r="HQ86" s="12">
        <v>0</v>
      </c>
      <c r="HR86" s="12">
        <v>0</v>
      </c>
      <c r="HS86" s="12">
        <v>0</v>
      </c>
      <c r="HT86" s="12">
        <v>0</v>
      </c>
      <c r="HU86" s="12">
        <v>0</v>
      </c>
      <c r="HV86" s="12">
        <v>0</v>
      </c>
      <c r="HW86" s="12">
        <v>0</v>
      </c>
      <c r="HX86" s="9">
        <v>970453</v>
      </c>
      <c r="HY86" s="9">
        <v>1806</v>
      </c>
      <c r="HZ86" s="9">
        <v>957103</v>
      </c>
      <c r="IA86" s="9">
        <v>1829</v>
      </c>
      <c r="IB86" s="11">
        <v>232482.08499999999</v>
      </c>
      <c r="IC86" s="11">
        <v>525</v>
      </c>
      <c r="ID86" s="14">
        <f t="shared" ref="ID86:II86" si="825">GN86-HL86</f>
        <v>0</v>
      </c>
      <c r="IE86" s="14">
        <f t="shared" si="825"/>
        <v>5.8634006666666645</v>
      </c>
      <c r="IF86" s="14">
        <f t="shared" si="825"/>
        <v>5.9487949999999969</v>
      </c>
      <c r="IG86" s="14">
        <f t="shared" si="825"/>
        <v>5.7569301666666659</v>
      </c>
      <c r="IH86" s="14">
        <f t="shared" si="825"/>
        <v>5.8579753333333286</v>
      </c>
      <c r="II86" s="14">
        <f t="shared" si="825"/>
        <v>5.9398215000000052</v>
      </c>
      <c r="IJ86" s="15">
        <f t="shared" ref="IJ86:IO86" si="826">GZ86-HR86</f>
        <v>0</v>
      </c>
      <c r="IK86" s="15">
        <f t="shared" si="826"/>
        <v>5.7408758333333347</v>
      </c>
      <c r="IL86" s="15">
        <f t="shared" si="826"/>
        <v>5.683874833333336</v>
      </c>
      <c r="IM86" s="15">
        <f t="shared" si="826"/>
        <v>0</v>
      </c>
      <c r="IN86" s="15">
        <f t="shared" si="826"/>
        <v>5.6795234999999993</v>
      </c>
      <c r="IO86" s="15">
        <f t="shared" si="826"/>
        <v>5.6588949999999976</v>
      </c>
      <c r="IP86" s="16">
        <f t="shared" ref="IP86" si="827">(HX86-HX85)*1000</f>
        <v>620000</v>
      </c>
      <c r="IQ86" s="16">
        <f t="shared" ref="IQ86" si="828">(HY86-HY85)*1000</f>
        <v>2000</v>
      </c>
      <c r="IR86" s="16">
        <f t="shared" ref="IR86" si="829">(HZ86-HZ85)*1000</f>
        <v>617000</v>
      </c>
      <c r="IS86" s="16">
        <f t="shared" ref="IS86" si="830">(IA86-IA85)*1000</f>
        <v>2000</v>
      </c>
      <c r="IT86" s="16">
        <f t="shared" ref="IT86" si="831">(IB86-IB85)*1000</f>
        <v>1239334.0000000026</v>
      </c>
      <c r="IU86" s="16">
        <f t="shared" ref="IU86" si="832">(IC86-IC85)*1000</f>
        <v>4332.99999999997</v>
      </c>
      <c r="IV86" s="17">
        <f t="shared" ref="IV86" si="833">(IP86+IR86)-(IQ86+IS86)</f>
        <v>1233000</v>
      </c>
      <c r="IW86" s="17">
        <f t="shared" ref="IW86" si="834">IT86-IU86</f>
        <v>1235001.0000000026</v>
      </c>
      <c r="IX86" s="19">
        <f>(Raw_Data[[#This Row],[Sunset Time (POA&lt;20 W/m2)]]-Raw_Data[[#This Row],[Sunrise Time (POA&gt;20 W/m2)]])*24</f>
        <v>13.133333333333335</v>
      </c>
      <c r="IY86" s="68">
        <f>AVERAGEIF(Raw_Data[[#This Row],[GHI_UP_Net_IS2_W1]:[GHI_UP_Net_IS19_W6]],"&lt;&gt;"&amp;0,Raw_Data[[#This Row],[GHI_UP_Net_IS2_W1]:[GHI_UP_Net_IS19_W6]])</f>
        <v>5.8733845333333319</v>
      </c>
      <c r="IZ86" s="68">
        <f>AVERAGEIF(Raw_Data[[#This Row],[GHI_Down_IS2_W1]:[GHI_Down_IS19_W6]],"&lt;&gt;"&amp;0,Raw_Data[[#This Row],[GHI_Down_IS2_W1]:[GHI_Down_IS19_W6]])</f>
        <v>1.4621758666666662</v>
      </c>
      <c r="JA86" s="68">
        <f>AVERAGEIF(Raw_Data[[#This Row],[POA_Up_IS2_W1]:[POA_Up_IS19_W6]],"&lt;&gt;"&amp;0,Raw_Data[[#This Row],[POA_Up_IS2_W1]:[POA_Up_IS19_W6]])</f>
        <v>5.6907922916666669</v>
      </c>
      <c r="JB86" s="68">
        <f>AVERAGEIF(Raw_Data[[#This Row],[POA_Down_IS2_W1]:[POA_Down_IS19_W6]],"&lt;&gt;"&amp;0,Raw_Data[[#This Row],[POA_Down_IS2_W1]:[POA_Down_IS19_W6]])</f>
        <v>0.46768850000000012</v>
      </c>
      <c r="JC86" s="69">
        <f>Raw_Data[[#This Row],[GHI-Down(KWh/m2)]]/Raw_Data[[#This Row],[GHI-UP (KWh/m2)]]</f>
        <v>0.24894945297185148</v>
      </c>
      <c r="JD86" s="72">
        <f>Raw_Data[[#This Row],[POA-Down(KWh/m2)]]/Raw_Data[[#This Row],[POA-UP(KWh/m2)]]</f>
        <v>8.2183372020950676E-2</v>
      </c>
      <c r="JE86" s="68">
        <f>AVERAGEIF(Raw_Data[[#This Row],[Amb_Temp_IS2_W1]:[Amb_Temp_IS19_W6]],"&lt;&gt;"&amp;0,Raw_Data[[#This Row],[Amb_Temp_IS2_W1]:[Amb_Temp_IS19_W6]])</f>
        <v>34.466853904282104</v>
      </c>
      <c r="JF86" s="68">
        <f>AVERAGEIF(Raw_Data[[#This Row],[MT_Temp_IS2_W1]:[MT_Temp_IS19_W6]],"&lt;&gt;"&amp;0,Raw_Data[[#This Row],[MT_Temp_IS2_W1]:[MT_Temp_IS19_W6]])</f>
        <v>45.641013358522279</v>
      </c>
      <c r="JG86" s="68">
        <f>AVERAGEIF(Raw_Data[[#This Row],[WS_Avg_IS2_W1]:[WS_Avg_IS19_W6]],"&lt;&gt;"&amp;0,Raw_Data[[#This Row],[WS_Avg_IS2_W1]:[WS_Avg_IS19_W6]])</f>
        <v>3.7827194256523944</v>
      </c>
      <c r="JH86" s="68">
        <f>AVERAGEIF(Raw_Data[[#This Row],[WS_Max_IS2_W1]:[WS_Max_IS19_W6]],"&lt;&gt;"&amp;0,Raw_Data[[#This Row],[WS_Max_IS2_W1]:[WS_Max_IS19_W6]])</f>
        <v>15.129</v>
      </c>
      <c r="JI86" s="70">
        <f>SUM(Raw_Data[[#This Row],[IS1_INV1_M1]:[IS20_INV4_M2]])</f>
        <v>1243267.2</v>
      </c>
      <c r="JJ86" s="73">
        <v>1179656.5599999735</v>
      </c>
      <c r="JK86" s="71">
        <v>1449514.0635298234</v>
      </c>
      <c r="JL86" s="143">
        <f>IFERROR(Raw_Data[[#This Row],[WPR_Eac]]/Raw_Data[[#This Row],[WPR_Edc]],"")</f>
        <v>0.81382898564454142</v>
      </c>
      <c r="JM86" s="6">
        <v>20</v>
      </c>
      <c r="JN86" s="6">
        <v>16219</v>
      </c>
    </row>
    <row r="87" spans="2:274">
      <c r="B87" s="250">
        <f t="shared" si="596"/>
        <v>45826</v>
      </c>
      <c r="C87" s="9">
        <f>YEAR(Raw_Data[[#This Row],[Date]])+IF(MONTH(Raw_Data[[#This Row],[Date]])&gt;=4,1,0)</f>
        <v>2026</v>
      </c>
      <c r="D87" s="6">
        <f t="shared" si="783"/>
        <v>2025</v>
      </c>
      <c r="E87" s="7" t="s">
        <v>361</v>
      </c>
      <c r="F87" s="7" t="s">
        <v>361</v>
      </c>
      <c r="G87" s="8">
        <v>45809</v>
      </c>
      <c r="H87" s="6">
        <f t="shared" si="784"/>
        <v>30</v>
      </c>
      <c r="I87" s="9">
        <v>335090.89</v>
      </c>
      <c r="J87" s="10">
        <v>0.26527777777777778</v>
      </c>
      <c r="K87" s="10">
        <v>0.81666666666666665</v>
      </c>
      <c r="L87" s="9">
        <v>11036.3</v>
      </c>
      <c r="M87" s="9">
        <v>11399.3</v>
      </c>
      <c r="N87" s="9">
        <v>11454.2</v>
      </c>
      <c r="O87" s="9">
        <v>11405.6</v>
      </c>
      <c r="P87" s="9">
        <v>11549.4</v>
      </c>
      <c r="Q87" s="9">
        <v>11588.7</v>
      </c>
      <c r="R87" s="9">
        <v>11555.4</v>
      </c>
      <c r="S87" s="9">
        <v>11780.3</v>
      </c>
      <c r="T87" s="9">
        <v>11502.9</v>
      </c>
      <c r="U87" s="9">
        <v>11493.1</v>
      </c>
      <c r="V87" s="9">
        <v>11830.2</v>
      </c>
      <c r="W87" s="9">
        <v>11336.6</v>
      </c>
      <c r="X87" s="9">
        <v>12171.1</v>
      </c>
      <c r="Y87" s="9">
        <v>11309.8</v>
      </c>
      <c r="Z87" s="9">
        <v>11538.3</v>
      </c>
      <c r="AA87" s="9">
        <v>11600.8</v>
      </c>
      <c r="AB87" s="9">
        <v>11468.7</v>
      </c>
      <c r="AC87" s="9">
        <v>11475.5</v>
      </c>
      <c r="AD87" s="9">
        <v>11500</v>
      </c>
      <c r="AE87" s="9">
        <v>11579.3</v>
      </c>
      <c r="AF87" s="9">
        <v>11512.9</v>
      </c>
      <c r="AG87" s="9">
        <v>11521.8</v>
      </c>
      <c r="AH87" s="9">
        <v>11339.6</v>
      </c>
      <c r="AI87" s="9">
        <v>11412.7</v>
      </c>
      <c r="AJ87" s="9">
        <v>11294.3</v>
      </c>
      <c r="AK87" s="9">
        <v>10327.799999999999</v>
      </c>
      <c r="AL87" s="9">
        <v>11308</v>
      </c>
      <c r="AM87" s="9">
        <v>11280</v>
      </c>
      <c r="AN87" s="9">
        <v>11478.9</v>
      </c>
      <c r="AO87" s="9">
        <v>11297.6</v>
      </c>
      <c r="AP87" s="9">
        <v>11355.2</v>
      </c>
      <c r="AQ87" s="9">
        <v>11518.8</v>
      </c>
      <c r="AR87" s="9">
        <v>12540</v>
      </c>
      <c r="AS87" s="9">
        <v>12540.7</v>
      </c>
      <c r="AT87" s="9">
        <v>12675.8</v>
      </c>
      <c r="AU87" s="9">
        <v>12550.2</v>
      </c>
      <c r="AV87" s="9">
        <v>11587.9</v>
      </c>
      <c r="AW87" s="9">
        <v>11454.3</v>
      </c>
      <c r="AX87" s="9">
        <v>11474</v>
      </c>
      <c r="AY87" s="9">
        <v>11431.4</v>
      </c>
      <c r="AZ87" s="9">
        <v>12024.1</v>
      </c>
      <c r="BA87" s="9">
        <v>11196.7</v>
      </c>
      <c r="BB87" s="9">
        <v>11925.2</v>
      </c>
      <c r="BC87" s="9">
        <v>11051</v>
      </c>
      <c r="BD87" s="9">
        <v>11523.2</v>
      </c>
      <c r="BE87" s="9">
        <v>12413.5</v>
      </c>
      <c r="BF87" s="9">
        <v>11051.7</v>
      </c>
      <c r="BG87" s="9">
        <v>12071.6</v>
      </c>
      <c r="BH87" s="9">
        <v>11576.5</v>
      </c>
      <c r="BI87" s="9">
        <v>11726.3</v>
      </c>
      <c r="BJ87" s="9">
        <v>11631.2</v>
      </c>
      <c r="BK87" s="9">
        <v>11146.2</v>
      </c>
      <c r="BL87" s="9">
        <v>11872.2</v>
      </c>
      <c r="BM87" s="9">
        <v>11708</v>
      </c>
      <c r="BN87" s="9">
        <v>11823.4</v>
      </c>
      <c r="BO87" s="9">
        <v>11696.9</v>
      </c>
      <c r="BP87" s="9">
        <v>10885.3</v>
      </c>
      <c r="BQ87" s="9">
        <v>11976.1</v>
      </c>
      <c r="BR87" s="9">
        <v>10934.7</v>
      </c>
      <c r="BS87" s="9">
        <v>11964.1</v>
      </c>
      <c r="BT87" s="9">
        <v>11867.2</v>
      </c>
      <c r="BU87" s="9">
        <v>10885.5</v>
      </c>
      <c r="BV87" s="9">
        <v>11559.5</v>
      </c>
      <c r="BW87" s="9">
        <v>11144</v>
      </c>
      <c r="BX87" s="9">
        <v>11340.3</v>
      </c>
      <c r="BY87" s="9">
        <v>10879.3</v>
      </c>
      <c r="BZ87" s="9">
        <v>11305</v>
      </c>
      <c r="CA87" s="9">
        <v>11672.9</v>
      </c>
      <c r="CB87" s="9">
        <v>11858.6</v>
      </c>
      <c r="CC87" s="9">
        <v>11010</v>
      </c>
      <c r="CD87" s="9">
        <v>11737.1</v>
      </c>
      <c r="CE87" s="9">
        <v>10708.6</v>
      </c>
      <c r="CF87" s="9">
        <v>11514.8</v>
      </c>
      <c r="CG87" s="9">
        <v>11355.3</v>
      </c>
      <c r="CH87" s="9">
        <v>10926.4</v>
      </c>
      <c r="CI87" s="9">
        <v>11731.1</v>
      </c>
      <c r="CJ87" s="9">
        <v>10771.5</v>
      </c>
      <c r="CK87" s="9">
        <v>11950.5</v>
      </c>
      <c r="CL87" s="9">
        <v>10920.3</v>
      </c>
      <c r="CM87" s="9">
        <v>11772.9</v>
      </c>
      <c r="CN87" s="9">
        <v>11056.5</v>
      </c>
      <c r="CO87" s="9">
        <v>11641.5</v>
      </c>
      <c r="CP87" s="9">
        <v>11138.6</v>
      </c>
      <c r="CQ87" s="9">
        <v>11956.7</v>
      </c>
      <c r="CR87" s="9">
        <v>11067.2</v>
      </c>
      <c r="CS87" s="9">
        <v>11557.5</v>
      </c>
      <c r="CT87" s="9">
        <v>11033.7</v>
      </c>
      <c r="CU87" s="9">
        <v>10112.9</v>
      </c>
      <c r="CV87" s="9">
        <v>11762.1</v>
      </c>
      <c r="CW87" s="9">
        <v>11396.8</v>
      </c>
      <c r="CX87" s="9">
        <v>10848.7</v>
      </c>
      <c r="CY87" s="9">
        <v>12031.1</v>
      </c>
      <c r="CZ87" s="9">
        <v>11748.4</v>
      </c>
      <c r="DA87" s="9">
        <v>11138.3</v>
      </c>
      <c r="DB87" s="9">
        <v>11020.3</v>
      </c>
      <c r="DC87" s="9">
        <v>11814.1</v>
      </c>
      <c r="DD87" s="9">
        <v>10921.3</v>
      </c>
      <c r="DE87" s="9">
        <v>11211</v>
      </c>
      <c r="DF87" s="9">
        <v>11892.9</v>
      </c>
      <c r="DG87" s="9">
        <v>10838.5</v>
      </c>
      <c r="DH87" s="9">
        <v>11878.3</v>
      </c>
      <c r="DI87" s="9">
        <v>10816.1</v>
      </c>
      <c r="DJ87" s="9">
        <v>11659.9</v>
      </c>
      <c r="DK87" s="9">
        <v>11008.2</v>
      </c>
      <c r="DL87" s="9">
        <v>11691.8</v>
      </c>
      <c r="DM87" s="9">
        <v>10582.4</v>
      </c>
      <c r="DN87" s="9">
        <v>11766.5</v>
      </c>
      <c r="DO87" s="9">
        <v>10928.7</v>
      </c>
      <c r="DP87" s="9">
        <v>11634.7</v>
      </c>
      <c r="DQ87" s="9">
        <v>10901</v>
      </c>
      <c r="DR87" s="9">
        <v>11692</v>
      </c>
      <c r="DS87" s="9">
        <v>11084.8</v>
      </c>
      <c r="DT87" s="9">
        <v>10851.5</v>
      </c>
      <c r="DU87" s="9">
        <v>11634.1</v>
      </c>
      <c r="DV87" s="9">
        <v>10955.9</v>
      </c>
      <c r="DW87" s="9">
        <v>10799.2</v>
      </c>
      <c r="DX87" s="9">
        <v>11711.9</v>
      </c>
      <c r="DY87" s="9">
        <v>11745.5</v>
      </c>
      <c r="DZ87" s="9">
        <v>11602.9</v>
      </c>
      <c r="EA87" s="9">
        <v>10934.3</v>
      </c>
      <c r="EB87" s="9">
        <v>11687.9</v>
      </c>
      <c r="EC87" s="9">
        <v>10828.1</v>
      </c>
      <c r="ED87" s="9">
        <v>11501.7</v>
      </c>
      <c r="EE87" s="9">
        <v>10938.2</v>
      </c>
      <c r="EF87" s="9">
        <v>11386.4</v>
      </c>
      <c r="EG87" s="9">
        <v>10357.200000000001</v>
      </c>
      <c r="EH87" s="9">
        <v>11505.8</v>
      </c>
      <c r="EI87" s="9">
        <v>10859.6</v>
      </c>
      <c r="EJ87" s="9">
        <v>10937.6</v>
      </c>
      <c r="EK87" s="9">
        <v>10945.5</v>
      </c>
      <c r="EL87" s="9">
        <v>11225.9</v>
      </c>
      <c r="EM87" s="9">
        <v>9857.7999999999993</v>
      </c>
      <c r="EN87" s="9">
        <v>10645.8</v>
      </c>
      <c r="EO87" s="9">
        <v>9927.4</v>
      </c>
      <c r="EP87" s="9">
        <v>10869.6</v>
      </c>
      <c r="EQ87" s="9">
        <v>10918.3</v>
      </c>
      <c r="ER87" s="9">
        <v>12136.5</v>
      </c>
      <c r="ES87" s="9">
        <v>11035.3</v>
      </c>
      <c r="ET87" s="9">
        <v>12165.7</v>
      </c>
      <c r="EU87" s="9">
        <v>11215.4</v>
      </c>
      <c r="EV87" s="9">
        <v>12084.2</v>
      </c>
      <c r="EW87" s="9">
        <v>11106</v>
      </c>
      <c r="EX87" s="9">
        <v>11212.3</v>
      </c>
      <c r="EY87" s="9">
        <v>11049.8</v>
      </c>
      <c r="EZ87" s="9">
        <v>11839</v>
      </c>
      <c r="FA87" s="9">
        <v>12134.8</v>
      </c>
      <c r="FB87" s="9">
        <v>12069.2</v>
      </c>
      <c r="FC87" s="9">
        <v>12032.7</v>
      </c>
      <c r="FD87" s="9">
        <v>12053.6</v>
      </c>
      <c r="FE87" s="9">
        <v>12086.2</v>
      </c>
      <c r="FF87" s="9">
        <v>11293.9</v>
      </c>
      <c r="FG87" s="9">
        <v>12074.6</v>
      </c>
      <c r="FH87" s="9">
        <v>12102.1</v>
      </c>
      <c r="FI87" s="9">
        <v>12086</v>
      </c>
      <c r="FJ87" s="9">
        <v>12078.7</v>
      </c>
      <c r="FK87" s="9">
        <v>12039.4</v>
      </c>
      <c r="FL87" s="9">
        <v>12069.9</v>
      </c>
      <c r="FM87" s="9">
        <v>11192.4</v>
      </c>
      <c r="FN87" s="9">
        <v>12144.2</v>
      </c>
      <c r="FO87" s="9">
        <v>11245.8</v>
      </c>
      <c r="FP87" s="11">
        <v>0</v>
      </c>
      <c r="FQ87" s="11">
        <v>36.618158567774927</v>
      </c>
      <c r="FR87" s="11">
        <v>37.013081841432189</v>
      </c>
      <c r="FS87" s="11">
        <v>36.991419437340198</v>
      </c>
      <c r="FT87" s="11">
        <v>36.790818414322246</v>
      </c>
      <c r="FU87" s="11">
        <v>36.785332480818369</v>
      </c>
      <c r="FV87" s="11">
        <v>0</v>
      </c>
      <c r="FW87" s="11">
        <v>48.3</v>
      </c>
      <c r="FX87" s="11">
        <v>0</v>
      </c>
      <c r="FY87" s="11">
        <v>0</v>
      </c>
      <c r="FZ87" s="11">
        <v>48.011781304347821</v>
      </c>
      <c r="GA87" s="11">
        <v>48.203324808184135</v>
      </c>
      <c r="GB87" s="11">
        <v>0</v>
      </c>
      <c r="GC87" s="11">
        <v>3.8138318891304341</v>
      </c>
      <c r="GD87" s="11">
        <v>3.6620373400255741</v>
      </c>
      <c r="GE87" s="11">
        <v>3.8258011863555006</v>
      </c>
      <c r="GF87" s="11">
        <v>3.8166281282608665</v>
      </c>
      <c r="GG87" s="11">
        <v>3.701638797953966</v>
      </c>
      <c r="GH87" s="11">
        <v>0</v>
      </c>
      <c r="GI87" s="11">
        <v>7.3066659999999999</v>
      </c>
      <c r="GJ87" s="11">
        <v>7.7666659999999998</v>
      </c>
      <c r="GK87" s="11">
        <v>7.4766659999999998</v>
      </c>
      <c r="GL87" s="11">
        <v>7.3316660000000002</v>
      </c>
      <c r="GM87" s="11">
        <v>7.193333</v>
      </c>
      <c r="GN87" s="11">
        <v>0</v>
      </c>
      <c r="GO87" s="11">
        <v>7.4539659999999941</v>
      </c>
      <c r="GP87" s="11">
        <v>7.466955666666669</v>
      </c>
      <c r="GQ87" s="11">
        <v>7.4529305000000061</v>
      </c>
      <c r="GR87" s="11">
        <v>7.2774610000000015</v>
      </c>
      <c r="GS87" s="11">
        <v>7.4204876666666628</v>
      </c>
      <c r="GT87" s="108">
        <v>0</v>
      </c>
      <c r="GU87" s="108">
        <v>1.8100096666666654</v>
      </c>
      <c r="GV87" s="108">
        <v>1.6690940000000001</v>
      </c>
      <c r="GW87" s="108">
        <v>2.0781809999999958</v>
      </c>
      <c r="GX87" s="108">
        <v>1.9856223333333314</v>
      </c>
      <c r="GY87" s="108">
        <v>1.6600501666666678</v>
      </c>
      <c r="GZ87" s="13">
        <v>0</v>
      </c>
      <c r="HA87" s="13">
        <v>7.1936756666666657</v>
      </c>
      <c r="HB87" s="13">
        <v>7.0710203333333341</v>
      </c>
      <c r="HC87" s="13">
        <v>0</v>
      </c>
      <c r="HD87" s="13">
        <v>7.0150199999999971</v>
      </c>
      <c r="HE87" s="13">
        <v>7.0982044999999943</v>
      </c>
      <c r="HF87" s="13">
        <v>0</v>
      </c>
      <c r="HG87" s="13">
        <v>0.68115666666666763</v>
      </c>
      <c r="HH87" s="13">
        <v>0.57275216666666706</v>
      </c>
      <c r="HI87" s="13">
        <v>0.60435349999999988</v>
      </c>
      <c r="HJ87" s="13">
        <v>0.58098299999999958</v>
      </c>
      <c r="HK87" s="13">
        <v>0.60639566666666678</v>
      </c>
      <c r="HL87" s="12">
        <v>0</v>
      </c>
      <c r="HM87" s="12">
        <v>0</v>
      </c>
      <c r="HN87" s="12">
        <v>0</v>
      </c>
      <c r="HO87" s="12">
        <v>0</v>
      </c>
      <c r="HP87" s="12">
        <v>0</v>
      </c>
      <c r="HQ87" s="12">
        <v>0</v>
      </c>
      <c r="HR87" s="12">
        <v>0</v>
      </c>
      <c r="HS87" s="12">
        <v>0</v>
      </c>
      <c r="HT87" s="12">
        <v>0</v>
      </c>
      <c r="HU87" s="12">
        <v>0</v>
      </c>
      <c r="HV87" s="12">
        <v>0</v>
      </c>
      <c r="HW87" s="12">
        <v>0</v>
      </c>
      <c r="HX87" s="9">
        <v>971363</v>
      </c>
      <c r="HY87" s="9">
        <v>1808</v>
      </c>
      <c r="HZ87" s="9">
        <v>958009</v>
      </c>
      <c r="IA87" s="9">
        <v>1831</v>
      </c>
      <c r="IB87" s="11">
        <v>234302.41800000001</v>
      </c>
      <c r="IC87" s="11">
        <v>529.20000000000005</v>
      </c>
      <c r="ID87" s="14">
        <f t="shared" ref="ID87:II87" si="835">GN87-HL87</f>
        <v>0</v>
      </c>
      <c r="IE87" s="14">
        <f t="shared" si="835"/>
        <v>7.4539659999999941</v>
      </c>
      <c r="IF87" s="14">
        <f t="shared" si="835"/>
        <v>7.466955666666669</v>
      </c>
      <c r="IG87" s="14">
        <f t="shared" si="835"/>
        <v>7.4529305000000061</v>
      </c>
      <c r="IH87" s="14">
        <f t="shared" si="835"/>
        <v>7.2774610000000015</v>
      </c>
      <c r="II87" s="14">
        <f t="shared" si="835"/>
        <v>7.4204876666666628</v>
      </c>
      <c r="IJ87" s="15">
        <f t="shared" ref="IJ87:IO87" si="836">GZ87-HR87</f>
        <v>0</v>
      </c>
      <c r="IK87" s="15">
        <f t="shared" si="836"/>
        <v>7.1936756666666657</v>
      </c>
      <c r="IL87" s="15">
        <f t="shared" si="836"/>
        <v>7.0710203333333341</v>
      </c>
      <c r="IM87" s="15">
        <f t="shared" si="836"/>
        <v>0</v>
      </c>
      <c r="IN87" s="15">
        <f t="shared" si="836"/>
        <v>7.0150199999999971</v>
      </c>
      <c r="IO87" s="15">
        <f t="shared" si="836"/>
        <v>7.0982044999999943</v>
      </c>
      <c r="IP87" s="16">
        <f t="shared" ref="IP87" si="837">(HX87-HX86)*1000</f>
        <v>910000</v>
      </c>
      <c r="IQ87" s="16">
        <f t="shared" ref="IQ87" si="838">(HY87-HY86)*1000</f>
        <v>2000</v>
      </c>
      <c r="IR87" s="16">
        <f t="shared" ref="IR87" si="839">(HZ87-HZ86)*1000</f>
        <v>906000</v>
      </c>
      <c r="IS87" s="16">
        <f t="shared" ref="IS87" si="840">(IA87-IA86)*1000</f>
        <v>2000</v>
      </c>
      <c r="IT87" s="16">
        <f t="shared" ref="IT87" si="841">(IB87-IB86)*1000</f>
        <v>1820333.0000000133</v>
      </c>
      <c r="IU87" s="16">
        <f t="shared" ref="IU87" si="842">(IC87-IC86)*1000</f>
        <v>4200.0000000000455</v>
      </c>
      <c r="IV87" s="17">
        <f t="shared" ref="IV87" si="843">(IP87+IR87)-(IQ87+IS87)</f>
        <v>1812000</v>
      </c>
      <c r="IW87" s="17">
        <f t="shared" ref="IW87" si="844">IT87-IU87</f>
        <v>1816133.0000000133</v>
      </c>
      <c r="IX87" s="19">
        <f>(Raw_Data[[#This Row],[Sunset Time (POA&lt;20 W/m2)]]-Raw_Data[[#This Row],[Sunrise Time (POA&gt;20 W/m2)]])*24</f>
        <v>13.233333333333334</v>
      </c>
      <c r="IY87" s="68">
        <f>AVERAGEIF(Raw_Data[[#This Row],[GHI_UP_Net_IS2_W1]:[GHI_UP_Net_IS19_W6]],"&lt;&gt;"&amp;0,Raw_Data[[#This Row],[GHI_UP_Net_IS2_W1]:[GHI_UP_Net_IS19_W6]])</f>
        <v>7.4143601666666665</v>
      </c>
      <c r="IZ87" s="68">
        <f>AVERAGEIF(Raw_Data[[#This Row],[GHI_Down_IS2_W1]:[GHI_Down_IS19_W6]],"&lt;&gt;"&amp;0,Raw_Data[[#This Row],[GHI_Down_IS2_W1]:[GHI_Down_IS19_W6]])</f>
        <v>1.8405914333333322</v>
      </c>
      <c r="JA87" s="68">
        <f>AVERAGEIF(Raw_Data[[#This Row],[POA_Up_IS2_W1]:[POA_Up_IS19_W6]],"&lt;&gt;"&amp;0,Raw_Data[[#This Row],[POA_Up_IS2_W1]:[POA_Up_IS19_W6]])</f>
        <v>7.0944801249999978</v>
      </c>
      <c r="JB87" s="68">
        <f>AVERAGEIF(Raw_Data[[#This Row],[POA_Down_IS2_W1]:[POA_Down_IS19_W6]],"&lt;&gt;"&amp;0,Raw_Data[[#This Row],[POA_Down_IS2_W1]:[POA_Down_IS19_W6]])</f>
        <v>0.60912820000000012</v>
      </c>
      <c r="JC87" s="69">
        <f>Raw_Data[[#This Row],[GHI-Down(KWh/m2)]]/Raw_Data[[#This Row],[GHI-UP (KWh/m2)]]</f>
        <v>0.24824683343658252</v>
      </c>
      <c r="JD87" s="72">
        <f>Raw_Data[[#This Row],[POA-Down(KWh/m2)]]/Raw_Data[[#This Row],[POA-UP(KWh/m2)]]</f>
        <v>8.5859455417108571E-2</v>
      </c>
      <c r="JE87" s="68">
        <f>AVERAGEIF(Raw_Data[[#This Row],[Amb_Temp_IS2_W1]:[Amb_Temp_IS19_W6]],"&lt;&gt;"&amp;0,Raw_Data[[#This Row],[Amb_Temp_IS2_W1]:[Amb_Temp_IS19_W6]])</f>
        <v>36.839762148337584</v>
      </c>
      <c r="JF87" s="68">
        <f>AVERAGEIF(Raw_Data[[#This Row],[MT_Temp_IS2_W1]:[MT_Temp_IS19_W6]],"&lt;&gt;"&amp;0,Raw_Data[[#This Row],[MT_Temp_IS2_W1]:[MT_Temp_IS19_W6]])</f>
        <v>48.171702037510649</v>
      </c>
      <c r="JG87" s="68">
        <f>AVERAGEIF(Raw_Data[[#This Row],[WS_Avg_IS2_W1]:[WS_Avg_IS19_W6]],"&lt;&gt;"&amp;0,Raw_Data[[#This Row],[WS_Avg_IS2_W1]:[WS_Avg_IS19_W6]])</f>
        <v>3.7639874683452681</v>
      </c>
      <c r="JH87" s="68">
        <f>AVERAGEIF(Raw_Data[[#This Row],[WS_Max_IS2_W1]:[WS_Max_IS19_W6]],"&lt;&gt;"&amp;0,Raw_Data[[#This Row],[WS_Max_IS2_W1]:[WS_Max_IS19_W6]])</f>
        <v>7.414999400000001</v>
      </c>
      <c r="JI87" s="70">
        <f>SUM(Raw_Data[[#This Row],[IS1_INV1_M1]:[IS20_INV4_M2]])</f>
        <v>1830594.3999999994</v>
      </c>
      <c r="JJ87" s="73">
        <v>1927346.8999999783</v>
      </c>
      <c r="JK87" s="71">
        <v>2317337.2356463792</v>
      </c>
      <c r="JL87" s="143">
        <f>IFERROR(Raw_Data[[#This Row],[WPR_Eac]]/Raw_Data[[#This Row],[WPR_Edc]],"")</f>
        <v>0.83170756088178066</v>
      </c>
      <c r="JM87" s="6">
        <v>26</v>
      </c>
      <c r="JN87" s="6">
        <v>9033</v>
      </c>
    </row>
    <row r="88" spans="2:274">
      <c r="B88" s="250">
        <f t="shared" si="596"/>
        <v>45827</v>
      </c>
      <c r="C88" s="9">
        <f>YEAR(Raw_Data[[#This Row],[Date]])+IF(MONTH(Raw_Data[[#This Row],[Date]])&gt;=4,1,0)</f>
        <v>2026</v>
      </c>
      <c r="D88" s="6">
        <f t="shared" ref="D88:D93" si="845">YEAR(B88)</f>
        <v>2025</v>
      </c>
      <c r="E88" s="7" t="s">
        <v>361</v>
      </c>
      <c r="F88" s="7" t="s">
        <v>361</v>
      </c>
      <c r="G88" s="8">
        <v>45809</v>
      </c>
      <c r="H88" s="6">
        <f t="shared" ref="H88:H93" si="846">DAY(EOMONTH(B88,0))</f>
        <v>30</v>
      </c>
      <c r="I88" s="9">
        <v>335090.89</v>
      </c>
      <c r="J88" s="10">
        <v>0.25833333333333336</v>
      </c>
      <c r="K88" s="10">
        <v>0.81111111111111112</v>
      </c>
      <c r="L88" s="9">
        <v>10526.1</v>
      </c>
      <c r="M88" s="9">
        <v>10877.3</v>
      </c>
      <c r="N88" s="9">
        <v>10956.8</v>
      </c>
      <c r="O88" s="9">
        <v>10885.4</v>
      </c>
      <c r="P88" s="9">
        <v>11095.3</v>
      </c>
      <c r="Q88" s="9">
        <v>11098.2</v>
      </c>
      <c r="R88" s="9">
        <v>10992.6</v>
      </c>
      <c r="S88" s="9">
        <v>11187.7</v>
      </c>
      <c r="T88" s="9">
        <v>10966.8</v>
      </c>
      <c r="U88" s="9">
        <v>10936.4</v>
      </c>
      <c r="V88" s="9">
        <v>11198.9</v>
      </c>
      <c r="W88" s="9">
        <v>10747.5</v>
      </c>
      <c r="X88" s="9">
        <v>11696</v>
      </c>
      <c r="Y88" s="9">
        <v>10793.7</v>
      </c>
      <c r="Z88" s="9">
        <v>11017.3</v>
      </c>
      <c r="AA88" s="9">
        <v>11085.6</v>
      </c>
      <c r="AB88" s="9">
        <v>10947.3</v>
      </c>
      <c r="AC88" s="9">
        <v>10939.7</v>
      </c>
      <c r="AD88" s="9">
        <v>10919.7</v>
      </c>
      <c r="AE88" s="9">
        <v>10994.5</v>
      </c>
      <c r="AF88" s="9">
        <v>10915.4</v>
      </c>
      <c r="AG88" s="9">
        <v>10914.3</v>
      </c>
      <c r="AH88" s="9">
        <v>10805.9</v>
      </c>
      <c r="AI88" s="9">
        <v>10851.6</v>
      </c>
      <c r="AJ88" s="9">
        <v>10710</v>
      </c>
      <c r="AK88" s="9">
        <v>9749.9</v>
      </c>
      <c r="AL88" s="9">
        <v>10701.5</v>
      </c>
      <c r="AM88" s="9">
        <v>10680.6</v>
      </c>
      <c r="AN88" s="9">
        <v>10907.4</v>
      </c>
      <c r="AO88" s="9">
        <v>10751.1</v>
      </c>
      <c r="AP88" s="9">
        <v>10809.4</v>
      </c>
      <c r="AQ88" s="9">
        <v>10947.5</v>
      </c>
      <c r="AR88" s="9">
        <v>11772.8</v>
      </c>
      <c r="AS88" s="9">
        <v>11750.7</v>
      </c>
      <c r="AT88" s="9">
        <v>11835.9</v>
      </c>
      <c r="AU88" s="9">
        <v>11714</v>
      </c>
      <c r="AV88" s="9">
        <v>10988.4</v>
      </c>
      <c r="AW88" s="9">
        <v>10815.7</v>
      </c>
      <c r="AX88" s="9">
        <v>10959.4</v>
      </c>
      <c r="AY88" s="9">
        <v>10935.3</v>
      </c>
      <c r="AZ88" s="9">
        <v>11794.2</v>
      </c>
      <c r="BA88" s="9">
        <v>10853.7</v>
      </c>
      <c r="BB88" s="9">
        <v>11677.5</v>
      </c>
      <c r="BC88" s="9">
        <v>10766.2</v>
      </c>
      <c r="BD88" s="9">
        <v>11206.5</v>
      </c>
      <c r="BE88" s="9">
        <v>12173.6</v>
      </c>
      <c r="BF88" s="9">
        <v>10701.7</v>
      </c>
      <c r="BG88" s="9">
        <v>11797.3</v>
      </c>
      <c r="BH88" s="9">
        <v>10841</v>
      </c>
      <c r="BI88" s="9">
        <v>11055.3</v>
      </c>
      <c r="BJ88" s="9">
        <v>10799.5</v>
      </c>
      <c r="BK88" s="9">
        <v>10311.6</v>
      </c>
      <c r="BL88" s="9">
        <v>11282</v>
      </c>
      <c r="BM88" s="9">
        <v>11130</v>
      </c>
      <c r="BN88" s="9">
        <v>11189.6</v>
      </c>
      <c r="BO88" s="9">
        <v>11091.4</v>
      </c>
      <c r="BP88" s="9">
        <v>10267.5</v>
      </c>
      <c r="BQ88" s="9">
        <v>11372.6</v>
      </c>
      <c r="BR88" s="9">
        <v>10381.5</v>
      </c>
      <c r="BS88" s="9">
        <v>11346</v>
      </c>
      <c r="BT88" s="9">
        <v>11292.3</v>
      </c>
      <c r="BU88" s="9">
        <v>10348.200000000001</v>
      </c>
      <c r="BV88" s="9">
        <v>11019.5</v>
      </c>
      <c r="BW88" s="9">
        <v>10630.2</v>
      </c>
      <c r="BX88" s="9">
        <v>10725.6</v>
      </c>
      <c r="BY88" s="9">
        <v>10276.9</v>
      </c>
      <c r="BZ88" s="9">
        <v>10678.6</v>
      </c>
      <c r="CA88" s="9">
        <v>11050.5</v>
      </c>
      <c r="CB88" s="9">
        <v>11275.9</v>
      </c>
      <c r="CC88" s="9">
        <v>10402.5</v>
      </c>
      <c r="CD88" s="9">
        <v>11156.8</v>
      </c>
      <c r="CE88" s="9">
        <v>10143.6</v>
      </c>
      <c r="CF88" s="9">
        <v>10931.5</v>
      </c>
      <c r="CG88" s="9">
        <v>10783.5</v>
      </c>
      <c r="CH88" s="9">
        <v>10347.9</v>
      </c>
      <c r="CI88" s="9">
        <v>11173.5</v>
      </c>
      <c r="CJ88" s="9">
        <v>10224.700000000001</v>
      </c>
      <c r="CK88" s="9">
        <v>11398.5</v>
      </c>
      <c r="CL88" s="9">
        <v>10412</v>
      </c>
      <c r="CM88" s="9">
        <v>11247.2</v>
      </c>
      <c r="CN88" s="9">
        <v>10453.200000000001</v>
      </c>
      <c r="CO88" s="9">
        <v>11045.6</v>
      </c>
      <c r="CP88" s="9">
        <v>10526.1</v>
      </c>
      <c r="CQ88" s="9">
        <v>11340</v>
      </c>
      <c r="CR88" s="9">
        <v>10442.4</v>
      </c>
      <c r="CS88" s="9">
        <v>10941.9</v>
      </c>
      <c r="CT88" s="9">
        <v>10378.200000000001</v>
      </c>
      <c r="CU88" s="9">
        <v>9396.7999999999993</v>
      </c>
      <c r="CV88" s="9">
        <v>11127</v>
      </c>
      <c r="CW88" s="9">
        <v>10796.7</v>
      </c>
      <c r="CX88" s="9">
        <v>10235.700000000001</v>
      </c>
      <c r="CY88" s="9">
        <v>11451.8</v>
      </c>
      <c r="CZ88" s="9">
        <v>11200.4</v>
      </c>
      <c r="DA88" s="9">
        <v>10607</v>
      </c>
      <c r="DB88" s="9">
        <v>10527.7</v>
      </c>
      <c r="DC88" s="9">
        <v>11290.8</v>
      </c>
      <c r="DD88" s="9">
        <v>10405.4</v>
      </c>
      <c r="DE88" s="9">
        <v>10711.4</v>
      </c>
      <c r="DF88" s="9">
        <v>11429</v>
      </c>
      <c r="DG88" s="9">
        <v>10368.4</v>
      </c>
      <c r="DH88" s="9">
        <v>11387.8</v>
      </c>
      <c r="DI88" s="9">
        <v>10325.299999999999</v>
      </c>
      <c r="DJ88" s="9">
        <v>11155.1</v>
      </c>
      <c r="DK88" s="9">
        <v>10518.9</v>
      </c>
      <c r="DL88" s="9">
        <v>11190</v>
      </c>
      <c r="DM88" s="9">
        <v>10090.5</v>
      </c>
      <c r="DN88" s="9">
        <v>11243.7</v>
      </c>
      <c r="DO88" s="9">
        <v>10425.6</v>
      </c>
      <c r="DP88" s="9">
        <v>11104.9</v>
      </c>
      <c r="DQ88" s="9">
        <v>10369.200000000001</v>
      </c>
      <c r="DR88" s="9">
        <v>11201.4</v>
      </c>
      <c r="DS88" s="9">
        <v>10594.5</v>
      </c>
      <c r="DT88" s="9">
        <v>10408.6</v>
      </c>
      <c r="DU88" s="9">
        <v>11191.8</v>
      </c>
      <c r="DV88" s="9">
        <v>10482.299999999999</v>
      </c>
      <c r="DW88" s="9">
        <v>10341.9</v>
      </c>
      <c r="DX88" s="9">
        <v>11235.8</v>
      </c>
      <c r="DY88" s="9">
        <v>11281.2</v>
      </c>
      <c r="DZ88" s="9">
        <v>11136.4</v>
      </c>
      <c r="EA88" s="9">
        <v>10465.6</v>
      </c>
      <c r="EB88" s="9">
        <v>11226.4</v>
      </c>
      <c r="EC88" s="9">
        <v>10365.700000000001</v>
      </c>
      <c r="ED88" s="9">
        <v>11002.4</v>
      </c>
      <c r="EE88" s="9">
        <v>10459.799999999999</v>
      </c>
      <c r="EF88" s="9">
        <v>10918.5</v>
      </c>
      <c r="EG88" s="9">
        <v>9975.7999999999993</v>
      </c>
      <c r="EH88" s="9">
        <v>11056</v>
      </c>
      <c r="EI88" s="9">
        <v>10442.700000000001</v>
      </c>
      <c r="EJ88" s="9">
        <v>10986</v>
      </c>
      <c r="EK88" s="9">
        <v>11065</v>
      </c>
      <c r="EL88" s="9">
        <v>10392.9</v>
      </c>
      <c r="EM88" s="9">
        <v>9341.5</v>
      </c>
      <c r="EN88" s="9">
        <v>10276.4</v>
      </c>
      <c r="EO88" s="9">
        <v>9561.7000000000007</v>
      </c>
      <c r="EP88" s="9">
        <v>10505</v>
      </c>
      <c r="EQ88" s="9">
        <v>10535.5</v>
      </c>
      <c r="ER88" s="9">
        <v>11802.7</v>
      </c>
      <c r="ES88" s="9">
        <v>10646.7</v>
      </c>
      <c r="ET88" s="9">
        <v>11885.5</v>
      </c>
      <c r="EU88" s="9">
        <v>10852.2</v>
      </c>
      <c r="EV88" s="9">
        <v>11585.8</v>
      </c>
      <c r="EW88" s="9">
        <v>10687.1</v>
      </c>
      <c r="EX88" s="9">
        <v>10849.5</v>
      </c>
      <c r="EY88" s="9">
        <v>10660.6</v>
      </c>
      <c r="EZ88" s="9">
        <v>11466.1</v>
      </c>
      <c r="FA88" s="9">
        <v>11803.1</v>
      </c>
      <c r="FB88" s="9">
        <v>11724.6</v>
      </c>
      <c r="FC88" s="9">
        <v>11681.5</v>
      </c>
      <c r="FD88" s="9">
        <v>11699.3</v>
      </c>
      <c r="FE88" s="9">
        <v>11770</v>
      </c>
      <c r="FF88" s="9">
        <v>10941.2</v>
      </c>
      <c r="FG88" s="9">
        <v>11775.2</v>
      </c>
      <c r="FH88" s="9">
        <v>11749.7</v>
      </c>
      <c r="FI88" s="9">
        <v>11758.7</v>
      </c>
      <c r="FJ88" s="9">
        <v>11766.1</v>
      </c>
      <c r="FK88" s="9">
        <v>11761.4</v>
      </c>
      <c r="FL88" s="9">
        <v>11786.2</v>
      </c>
      <c r="FM88" s="9">
        <v>10841.7</v>
      </c>
      <c r="FN88" s="9">
        <v>11830.5</v>
      </c>
      <c r="FO88" s="9">
        <v>10914.5</v>
      </c>
      <c r="FP88" s="11">
        <v>0</v>
      </c>
      <c r="FQ88" s="11">
        <v>34.819334170854269</v>
      </c>
      <c r="FR88" s="11">
        <v>35.158618090452251</v>
      </c>
      <c r="FS88" s="11">
        <v>34.986319095477384</v>
      </c>
      <c r="FT88" s="11">
        <v>34.708768844221126</v>
      </c>
      <c r="FU88" s="11">
        <v>35.133404522612992</v>
      </c>
      <c r="FV88" s="11">
        <v>0</v>
      </c>
      <c r="FW88" s="11">
        <v>48.332173366834212</v>
      </c>
      <c r="FX88" s="11">
        <v>0</v>
      </c>
      <c r="FY88" s="11">
        <v>0</v>
      </c>
      <c r="FZ88" s="11">
        <v>48</v>
      </c>
      <c r="GA88" s="11">
        <v>48.5</v>
      </c>
      <c r="GB88" s="11">
        <v>0</v>
      </c>
      <c r="GC88" s="11">
        <v>5.8461911276381961</v>
      </c>
      <c r="GD88" s="11">
        <v>5.6068863128140753</v>
      </c>
      <c r="GE88" s="11">
        <v>5.714331910929646</v>
      </c>
      <c r="GF88" s="11">
        <v>5.6850353630653325</v>
      </c>
      <c r="GG88" s="11">
        <v>5.8842355389447176</v>
      </c>
      <c r="GH88" s="11">
        <v>0</v>
      </c>
      <c r="GI88" s="11">
        <v>25.908329999999999</v>
      </c>
      <c r="GJ88" s="11">
        <v>24.20833</v>
      </c>
      <c r="GK88" s="11">
        <v>25.676670000000001</v>
      </c>
      <c r="GL88" s="11">
        <v>21.988330000000001</v>
      </c>
      <c r="GM88" s="11">
        <v>23.545000000000002</v>
      </c>
      <c r="GN88" s="11">
        <v>0</v>
      </c>
      <c r="GO88" s="11">
        <v>6.9971344999999978</v>
      </c>
      <c r="GP88" s="11">
        <v>7.1825181666666662</v>
      </c>
      <c r="GQ88" s="11">
        <v>6.9261264833333298</v>
      </c>
      <c r="GR88" s="11">
        <v>6.9557573333333362</v>
      </c>
      <c r="GS88" s="11">
        <v>7.0798003499999984</v>
      </c>
      <c r="GT88" s="108">
        <v>0</v>
      </c>
      <c r="GU88" s="108">
        <v>1.6633170000000004</v>
      </c>
      <c r="GV88" s="108">
        <v>1.6256840000000008</v>
      </c>
      <c r="GW88" s="108">
        <v>1.9612303333333336</v>
      </c>
      <c r="GX88" s="108">
        <v>1.8754026666666666</v>
      </c>
      <c r="GY88" s="108">
        <v>1.5703865000000008</v>
      </c>
      <c r="GZ88" s="13">
        <v>0</v>
      </c>
      <c r="HA88" s="13">
        <v>6.7425654999999978</v>
      </c>
      <c r="HB88" s="13">
        <v>6.785965833333325</v>
      </c>
      <c r="HC88" s="13">
        <v>0</v>
      </c>
      <c r="HD88" s="13">
        <v>6.6996890000000038</v>
      </c>
      <c r="HE88" s="13">
        <v>6.7847114999999931</v>
      </c>
      <c r="HF88" s="13">
        <v>0</v>
      </c>
      <c r="HG88" s="13">
        <v>0.63554383333333264</v>
      </c>
      <c r="HH88" s="13">
        <v>0.54318016666666624</v>
      </c>
      <c r="HI88" s="13">
        <v>0.5567523333333334</v>
      </c>
      <c r="HJ88" s="13">
        <v>0.56371683333333389</v>
      </c>
      <c r="HK88" s="13">
        <v>0.57989100000000104</v>
      </c>
      <c r="HL88" s="12">
        <v>0</v>
      </c>
      <c r="HM88" s="12">
        <v>0</v>
      </c>
      <c r="HN88" s="12">
        <v>0</v>
      </c>
      <c r="HO88" s="12">
        <v>0</v>
      </c>
      <c r="HP88" s="12">
        <v>0</v>
      </c>
      <c r="HQ88" s="12">
        <v>0</v>
      </c>
      <c r="HR88" s="12">
        <v>0</v>
      </c>
      <c r="HS88" s="12">
        <v>0</v>
      </c>
      <c r="HT88" s="12">
        <v>0</v>
      </c>
      <c r="HU88" s="12">
        <v>0</v>
      </c>
      <c r="HV88" s="12">
        <v>0</v>
      </c>
      <c r="HW88" s="12">
        <v>0</v>
      </c>
      <c r="HX88" s="9">
        <v>972220</v>
      </c>
      <c r="HY88" s="9">
        <v>1810</v>
      </c>
      <c r="HZ88" s="9">
        <v>958891</v>
      </c>
      <c r="IA88" s="9">
        <v>1832</v>
      </c>
      <c r="IB88" s="11">
        <v>236044.08499999999</v>
      </c>
      <c r="IC88" s="11">
        <v>532.6</v>
      </c>
      <c r="ID88" s="14">
        <f t="shared" ref="ID88:II88" si="847">GN88-HL88</f>
        <v>0</v>
      </c>
      <c r="IE88" s="14">
        <f t="shared" si="847"/>
        <v>6.9971344999999978</v>
      </c>
      <c r="IF88" s="14">
        <f t="shared" si="847"/>
        <v>7.1825181666666662</v>
      </c>
      <c r="IG88" s="14">
        <f t="shared" si="847"/>
        <v>6.9261264833333298</v>
      </c>
      <c r="IH88" s="14">
        <f t="shared" si="847"/>
        <v>6.9557573333333362</v>
      </c>
      <c r="II88" s="14">
        <f t="shared" si="847"/>
        <v>7.0798003499999984</v>
      </c>
      <c r="IJ88" s="15">
        <f t="shared" ref="IJ88:IO88" si="848">GZ88-HR88</f>
        <v>0</v>
      </c>
      <c r="IK88" s="15">
        <f t="shared" si="848"/>
        <v>6.7425654999999978</v>
      </c>
      <c r="IL88" s="15">
        <f t="shared" si="848"/>
        <v>6.785965833333325</v>
      </c>
      <c r="IM88" s="15">
        <f t="shared" si="848"/>
        <v>0</v>
      </c>
      <c r="IN88" s="15">
        <f t="shared" si="848"/>
        <v>6.6996890000000038</v>
      </c>
      <c r="IO88" s="15">
        <f t="shared" si="848"/>
        <v>6.7847114999999931</v>
      </c>
      <c r="IP88" s="16">
        <f t="shared" ref="IP88" si="849">(HX88-HX87)*1000</f>
        <v>857000</v>
      </c>
      <c r="IQ88" s="16">
        <f t="shared" ref="IQ88" si="850">(HY88-HY87)*1000</f>
        <v>2000</v>
      </c>
      <c r="IR88" s="16">
        <f t="shared" ref="IR88" si="851">(HZ88-HZ87)*1000</f>
        <v>882000</v>
      </c>
      <c r="IS88" s="16">
        <f t="shared" ref="IS88" si="852">(IA88-IA87)*1000</f>
        <v>1000</v>
      </c>
      <c r="IT88" s="16">
        <f t="shared" ref="IT88" si="853">(IB88-IB87)*1000</f>
        <v>1741666.9999999867</v>
      </c>
      <c r="IU88" s="16">
        <f t="shared" ref="IU88" si="854">(IC88-IC87)*1000</f>
        <v>3399.9999999999773</v>
      </c>
      <c r="IV88" s="17">
        <f t="shared" ref="IV88" si="855">(IP88+IR88)-(IQ88+IS88)</f>
        <v>1736000</v>
      </c>
      <c r="IW88" s="17">
        <f t="shared" ref="IW88" si="856">IT88-IU88</f>
        <v>1738266.9999999867</v>
      </c>
      <c r="IX88" s="19">
        <f>(Raw_Data[[#This Row],[Sunset Time (POA&lt;20 W/m2)]]-Raw_Data[[#This Row],[Sunrise Time (POA&gt;20 W/m2)]])*24</f>
        <v>13.266666666666667</v>
      </c>
      <c r="IY88" s="68">
        <f>AVERAGEIF(Raw_Data[[#This Row],[GHI_UP_Net_IS2_W1]:[GHI_UP_Net_IS19_W6]],"&lt;&gt;"&amp;0,Raw_Data[[#This Row],[GHI_UP_Net_IS2_W1]:[GHI_UP_Net_IS19_W6]])</f>
        <v>7.0282673666666655</v>
      </c>
      <c r="IZ88" s="68">
        <f>AVERAGEIF(Raw_Data[[#This Row],[GHI_Down_IS2_W1]:[GHI_Down_IS19_W6]],"&lt;&gt;"&amp;0,Raw_Data[[#This Row],[GHI_Down_IS2_W1]:[GHI_Down_IS19_W6]])</f>
        <v>1.7392041000000007</v>
      </c>
      <c r="JA88" s="68">
        <f>AVERAGEIF(Raw_Data[[#This Row],[POA_Up_IS2_W1]:[POA_Up_IS19_W6]],"&lt;&gt;"&amp;0,Raw_Data[[#This Row],[POA_Up_IS2_W1]:[POA_Up_IS19_W6]])</f>
        <v>6.7532329583333297</v>
      </c>
      <c r="JB88" s="68">
        <f>AVERAGEIF(Raw_Data[[#This Row],[POA_Down_IS2_W1]:[POA_Down_IS19_W6]],"&lt;&gt;"&amp;0,Raw_Data[[#This Row],[POA_Down_IS2_W1]:[POA_Down_IS19_W6]])</f>
        <v>0.57581683333333333</v>
      </c>
      <c r="JC88" s="69">
        <f>Raw_Data[[#This Row],[GHI-Down(KWh/m2)]]/Raw_Data[[#This Row],[GHI-UP (KWh/m2)]]</f>
        <v>0.2474584430650171</v>
      </c>
      <c r="JD88" s="72">
        <f>Raw_Data[[#This Row],[POA-Down(KWh/m2)]]/Raw_Data[[#This Row],[POA-UP(KWh/m2)]]</f>
        <v>8.5265359108157079E-2</v>
      </c>
      <c r="JE88" s="68">
        <f>AVERAGEIF(Raw_Data[[#This Row],[Amb_Temp_IS2_W1]:[Amb_Temp_IS19_W6]],"&lt;&gt;"&amp;0,Raw_Data[[#This Row],[Amb_Temp_IS2_W1]:[Amb_Temp_IS19_W6]])</f>
        <v>34.961288944723606</v>
      </c>
      <c r="JF88" s="68">
        <f>AVERAGEIF(Raw_Data[[#This Row],[MT_Temp_IS2_W1]:[MT_Temp_IS19_W6]],"&lt;&gt;"&amp;0,Raw_Data[[#This Row],[MT_Temp_IS2_W1]:[MT_Temp_IS19_W6]])</f>
        <v>48.277391122278068</v>
      </c>
      <c r="JG88" s="68">
        <f>AVERAGEIF(Raw_Data[[#This Row],[WS_Avg_IS2_W1]:[WS_Avg_IS19_W6]],"&lt;&gt;"&amp;0,Raw_Data[[#This Row],[WS_Avg_IS2_W1]:[WS_Avg_IS19_W6]])</f>
        <v>5.7473360506783937</v>
      </c>
      <c r="JH88" s="68">
        <f>AVERAGEIF(Raw_Data[[#This Row],[WS_Max_IS2_W1]:[WS_Max_IS19_W6]],"&lt;&gt;"&amp;0,Raw_Data[[#This Row],[WS_Max_IS2_W1]:[WS_Max_IS19_W6]])</f>
        <v>24.265332000000001</v>
      </c>
      <c r="JI88" s="70">
        <f>SUM(Raw_Data[[#This Row],[IS1_INV1_M1]:[IS20_INV4_M2]])</f>
        <v>1750114.8999999994</v>
      </c>
      <c r="JJ88" s="73">
        <v>1787143.7000000207</v>
      </c>
      <c r="JK88" s="71">
        <v>2181924.1122740246</v>
      </c>
      <c r="JL88" s="143">
        <f>IFERROR(Raw_Data[[#This Row],[WPR_Eac]]/Raw_Data[[#This Row],[WPR_Edc]],"")</f>
        <v>0.81906776223185895</v>
      </c>
      <c r="JM88" s="6">
        <v>24</v>
      </c>
      <c r="JN88" s="6">
        <v>3794</v>
      </c>
    </row>
    <row r="89" spans="2:274">
      <c r="B89" s="250">
        <f t="shared" si="596"/>
        <v>45828</v>
      </c>
      <c r="C89" s="9">
        <f>YEAR(Raw_Data[[#This Row],[Date]])+IF(MONTH(Raw_Data[[#This Row],[Date]])&gt;=4,1,0)</f>
        <v>2026</v>
      </c>
      <c r="D89" s="6">
        <f t="shared" si="845"/>
        <v>2025</v>
      </c>
      <c r="E89" s="7" t="s">
        <v>361</v>
      </c>
      <c r="F89" s="7" t="s">
        <v>361</v>
      </c>
      <c r="G89" s="8">
        <v>45809</v>
      </c>
      <c r="H89" s="6">
        <f t="shared" si="846"/>
        <v>30</v>
      </c>
      <c r="I89" s="9">
        <v>335090.89</v>
      </c>
      <c r="J89" s="10">
        <v>0.26250000000000001</v>
      </c>
      <c r="K89" s="10">
        <v>0.81597222222222221</v>
      </c>
      <c r="L89" s="9">
        <v>10714.4</v>
      </c>
      <c r="M89" s="9">
        <v>11300.2</v>
      </c>
      <c r="N89" s="9">
        <v>11263</v>
      </c>
      <c r="O89" s="9">
        <v>11167.5</v>
      </c>
      <c r="P89" s="9">
        <v>11365.4</v>
      </c>
      <c r="Q89" s="9">
        <v>11426.7</v>
      </c>
      <c r="R89" s="9">
        <v>11498.2</v>
      </c>
      <c r="S89" s="9">
        <v>11804.1</v>
      </c>
      <c r="T89" s="9">
        <v>11320.3</v>
      </c>
      <c r="U89" s="9">
        <v>11392.7</v>
      </c>
      <c r="V89" s="9">
        <v>11859.5</v>
      </c>
      <c r="W89" s="9">
        <v>11345</v>
      </c>
      <c r="X89" s="9">
        <v>12173.3</v>
      </c>
      <c r="Y89" s="9">
        <v>11250.8</v>
      </c>
      <c r="Z89" s="9">
        <v>11352.6</v>
      </c>
      <c r="AA89" s="9">
        <v>11339.3</v>
      </c>
      <c r="AB89" s="9">
        <v>11260.9</v>
      </c>
      <c r="AC89" s="9">
        <v>11231.2</v>
      </c>
      <c r="AD89" s="9">
        <v>11274.6</v>
      </c>
      <c r="AE89" s="9">
        <v>11325.7</v>
      </c>
      <c r="AF89" s="9">
        <v>11295.4</v>
      </c>
      <c r="AG89" s="9">
        <v>11264.8</v>
      </c>
      <c r="AH89" s="9">
        <v>11040.5</v>
      </c>
      <c r="AI89" s="9">
        <v>11133.1</v>
      </c>
      <c r="AJ89" s="9">
        <v>10988.4</v>
      </c>
      <c r="AK89" s="9">
        <v>9763.6</v>
      </c>
      <c r="AL89" s="9">
        <v>10964.9</v>
      </c>
      <c r="AM89" s="9">
        <v>10954.1</v>
      </c>
      <c r="AN89" s="9">
        <v>11312.4</v>
      </c>
      <c r="AO89" s="9">
        <v>11269.2</v>
      </c>
      <c r="AP89" s="9">
        <v>11081.9</v>
      </c>
      <c r="AQ89" s="9">
        <v>11294.8</v>
      </c>
      <c r="AR89" s="9">
        <v>11696</v>
      </c>
      <c r="AS89" s="9">
        <v>11649.4</v>
      </c>
      <c r="AT89" s="9">
        <v>11739.7</v>
      </c>
      <c r="AU89" s="9">
        <v>11665.5</v>
      </c>
      <c r="AV89" s="9">
        <v>11430.7</v>
      </c>
      <c r="AW89" s="9">
        <v>11245</v>
      </c>
      <c r="AX89" s="9">
        <v>11302</v>
      </c>
      <c r="AY89" s="9">
        <v>11252</v>
      </c>
      <c r="AZ89" s="9">
        <v>11989.8</v>
      </c>
      <c r="BA89" s="9">
        <v>10697.8</v>
      </c>
      <c r="BB89" s="9">
        <v>11857.1</v>
      </c>
      <c r="BC89" s="9">
        <v>10683.8</v>
      </c>
      <c r="BD89" s="9">
        <v>11341.6</v>
      </c>
      <c r="BE89" s="9">
        <v>12559.5</v>
      </c>
      <c r="BF89" s="9">
        <v>10748.3</v>
      </c>
      <c r="BG89" s="9">
        <v>12067.8</v>
      </c>
      <c r="BH89" s="9">
        <v>11459.5</v>
      </c>
      <c r="BI89" s="9">
        <v>11578.6</v>
      </c>
      <c r="BJ89" s="9">
        <v>0</v>
      </c>
      <c r="BK89" s="9">
        <v>0</v>
      </c>
      <c r="BL89" s="9">
        <v>11723.6</v>
      </c>
      <c r="BM89" s="9">
        <v>11627.1</v>
      </c>
      <c r="BN89" s="9">
        <v>11660.2</v>
      </c>
      <c r="BO89" s="9">
        <v>11647.3</v>
      </c>
      <c r="BP89" s="9">
        <v>10417.799999999999</v>
      </c>
      <c r="BQ89" s="9">
        <v>11865.7</v>
      </c>
      <c r="BR89" s="9">
        <v>10437.200000000001</v>
      </c>
      <c r="BS89" s="9">
        <v>11793.1</v>
      </c>
      <c r="BT89" s="9">
        <v>11633.7</v>
      </c>
      <c r="BU89" s="9">
        <v>10387.1</v>
      </c>
      <c r="BV89" s="9">
        <v>11441.7</v>
      </c>
      <c r="BW89" s="9">
        <v>10873.9</v>
      </c>
      <c r="BX89" s="9">
        <v>10985.2</v>
      </c>
      <c r="BY89" s="9">
        <v>10319.200000000001</v>
      </c>
      <c r="BZ89" s="9">
        <v>10917.5</v>
      </c>
      <c r="CA89" s="9">
        <v>11282.1</v>
      </c>
      <c r="CB89" s="9">
        <v>11688.6</v>
      </c>
      <c r="CC89" s="9">
        <v>10495.6</v>
      </c>
      <c r="CD89" s="9">
        <v>11504.3</v>
      </c>
      <c r="CE89" s="9">
        <v>10124.5</v>
      </c>
      <c r="CF89" s="9">
        <v>11238</v>
      </c>
      <c r="CG89" s="9">
        <v>10956.8</v>
      </c>
      <c r="CH89" s="9">
        <v>10428.5</v>
      </c>
      <c r="CI89" s="9">
        <v>11480.3</v>
      </c>
      <c r="CJ89" s="9">
        <v>10223.5</v>
      </c>
      <c r="CK89" s="9">
        <v>11748.6</v>
      </c>
      <c r="CL89" s="9">
        <v>10419.6</v>
      </c>
      <c r="CM89" s="9">
        <v>11516.5</v>
      </c>
      <c r="CN89" s="9">
        <v>10494.2</v>
      </c>
      <c r="CO89" s="9">
        <v>11282.2</v>
      </c>
      <c r="CP89" s="9">
        <v>10648.9</v>
      </c>
      <c r="CQ89" s="9">
        <v>11631.4</v>
      </c>
      <c r="CR89" s="9">
        <v>10507.9</v>
      </c>
      <c r="CS89" s="9">
        <v>11158</v>
      </c>
      <c r="CT89" s="9">
        <v>10495.3</v>
      </c>
      <c r="CU89" s="9">
        <v>9362.6</v>
      </c>
      <c r="CV89" s="9">
        <v>11472.7</v>
      </c>
      <c r="CW89" s="9">
        <v>10991</v>
      </c>
      <c r="CX89" s="9">
        <v>10277.6</v>
      </c>
      <c r="CY89" s="9">
        <v>11826</v>
      </c>
      <c r="CZ89" s="9">
        <v>11513.2</v>
      </c>
      <c r="DA89" s="9">
        <v>10738.8</v>
      </c>
      <c r="DB89" s="9">
        <v>10651.9</v>
      </c>
      <c r="DC89" s="9">
        <v>11590</v>
      </c>
      <c r="DD89" s="9">
        <v>10456.6</v>
      </c>
      <c r="DE89" s="9">
        <v>10724.4</v>
      </c>
      <c r="DF89" s="9">
        <v>11702.4</v>
      </c>
      <c r="DG89" s="9">
        <v>10306.5</v>
      </c>
      <c r="DH89" s="9">
        <v>11760.4</v>
      </c>
      <c r="DI89" s="9">
        <v>10311.5</v>
      </c>
      <c r="DJ89" s="9">
        <v>11418.7</v>
      </c>
      <c r="DK89" s="9">
        <v>10549.4</v>
      </c>
      <c r="DL89" s="9">
        <v>11505.6</v>
      </c>
      <c r="DM89" s="9">
        <v>10055.4</v>
      </c>
      <c r="DN89" s="9">
        <v>11536.2</v>
      </c>
      <c r="DO89" s="9">
        <v>10434.200000000001</v>
      </c>
      <c r="DP89" s="9">
        <v>11366.5</v>
      </c>
      <c r="DQ89" s="9">
        <v>10419</v>
      </c>
      <c r="DR89" s="9">
        <v>11421</v>
      </c>
      <c r="DS89" s="9">
        <v>10539.9</v>
      </c>
      <c r="DT89" s="9">
        <v>10234.200000000001</v>
      </c>
      <c r="DU89" s="9">
        <v>11302.9</v>
      </c>
      <c r="DV89" s="9">
        <v>10482.1</v>
      </c>
      <c r="DW89" s="9">
        <v>10274</v>
      </c>
      <c r="DX89" s="9">
        <v>11424.1</v>
      </c>
      <c r="DY89" s="9">
        <v>11447.3</v>
      </c>
      <c r="DZ89" s="9">
        <v>11241</v>
      </c>
      <c r="EA89" s="9">
        <v>10305.5</v>
      </c>
      <c r="EB89" s="9">
        <v>11398.1</v>
      </c>
      <c r="EC89" s="9">
        <v>10273.700000000001</v>
      </c>
      <c r="ED89" s="9">
        <v>11164.9</v>
      </c>
      <c r="EE89" s="9">
        <v>10378.4</v>
      </c>
      <c r="EF89" s="9">
        <v>11010.1</v>
      </c>
      <c r="EG89" s="9">
        <v>9726.7999999999993</v>
      </c>
      <c r="EH89" s="9">
        <v>11110.1</v>
      </c>
      <c r="EI89" s="9">
        <v>10294.1</v>
      </c>
      <c r="EJ89" s="9">
        <v>10523.9</v>
      </c>
      <c r="EK89" s="9">
        <v>10597.5</v>
      </c>
      <c r="EL89" s="9">
        <v>10400.9</v>
      </c>
      <c r="EM89" s="9">
        <v>9128.4</v>
      </c>
      <c r="EN89" s="9">
        <v>10385.9</v>
      </c>
      <c r="EO89" s="9">
        <v>9309.7999999999993</v>
      </c>
      <c r="EP89" s="9">
        <v>10425.200000000001</v>
      </c>
      <c r="EQ89" s="9">
        <v>10468.6</v>
      </c>
      <c r="ER89" s="9">
        <v>11978</v>
      </c>
      <c r="ES89" s="9">
        <v>10545.2</v>
      </c>
      <c r="ET89" s="9">
        <v>12083.3</v>
      </c>
      <c r="EU89" s="9">
        <v>10699.5</v>
      </c>
      <c r="EV89" s="9">
        <v>11006.1</v>
      </c>
      <c r="EW89" s="9">
        <v>10437.9</v>
      </c>
      <c r="EX89" s="9">
        <v>10828.8</v>
      </c>
      <c r="EY89" s="9">
        <v>10633.4</v>
      </c>
      <c r="EZ89" s="9">
        <v>11691.6</v>
      </c>
      <c r="FA89" s="9">
        <v>12126.3</v>
      </c>
      <c r="FB89" s="9">
        <v>11954.9</v>
      </c>
      <c r="FC89" s="9">
        <v>11912</v>
      </c>
      <c r="FD89" s="9">
        <v>11882.9</v>
      </c>
      <c r="FE89" s="9">
        <v>11930</v>
      </c>
      <c r="FF89" s="9">
        <v>10908.6</v>
      </c>
      <c r="FG89" s="9">
        <v>12007.8</v>
      </c>
      <c r="FH89" s="9">
        <v>12093.5</v>
      </c>
      <c r="FI89" s="9">
        <v>12119.8</v>
      </c>
      <c r="FJ89" s="9">
        <v>12140.1</v>
      </c>
      <c r="FK89" s="9">
        <v>12098</v>
      </c>
      <c r="FL89" s="9">
        <v>12136.1</v>
      </c>
      <c r="FM89" s="9">
        <v>10942.9</v>
      </c>
      <c r="FN89" s="9">
        <v>12111.1</v>
      </c>
      <c r="FO89" s="9">
        <v>10976.4</v>
      </c>
      <c r="FP89" s="11">
        <v>0</v>
      </c>
      <c r="FQ89" s="11">
        <v>34.321002570694105</v>
      </c>
      <c r="FR89" s="11">
        <v>34.129023136246772</v>
      </c>
      <c r="FS89" s="11">
        <v>34.2587146529563</v>
      </c>
      <c r="FT89" s="11">
        <v>34.037095115681225</v>
      </c>
      <c r="FU89" s="11">
        <v>34.567712082262197</v>
      </c>
      <c r="FV89" s="11">
        <v>0</v>
      </c>
      <c r="FW89" s="11">
        <v>46.418737146529587</v>
      </c>
      <c r="FX89" s="11">
        <v>0</v>
      </c>
      <c r="FY89" s="11">
        <v>0</v>
      </c>
      <c r="FZ89" s="11">
        <v>45.6</v>
      </c>
      <c r="GA89" s="11">
        <v>46.2</v>
      </c>
      <c r="GB89" s="11">
        <v>0</v>
      </c>
      <c r="GC89" s="11">
        <v>5.8704303508997393</v>
      </c>
      <c r="GD89" s="11">
        <v>5.5793163804627204</v>
      </c>
      <c r="GE89" s="11">
        <v>5.7424290775964009</v>
      </c>
      <c r="GF89" s="11">
        <v>5.5030867313624698</v>
      </c>
      <c r="GG89" s="11">
        <v>5.836565731362473</v>
      </c>
      <c r="GH89" s="11">
        <v>0</v>
      </c>
      <c r="GI89" s="11">
        <v>8.9033329999999999</v>
      </c>
      <c r="GJ89" s="11">
        <v>10.244999999999999</v>
      </c>
      <c r="GK89" s="11">
        <v>9.2633340000000004</v>
      </c>
      <c r="GL89" s="11">
        <v>8.8816659999999992</v>
      </c>
      <c r="GM89" s="11">
        <v>9.3933339999999994</v>
      </c>
      <c r="GN89" s="11">
        <v>0</v>
      </c>
      <c r="GO89" s="11">
        <v>6.7428393333333352</v>
      </c>
      <c r="GP89" s="11">
        <v>6.7902905000000047</v>
      </c>
      <c r="GQ89" s="11">
        <v>6.7051671666666692</v>
      </c>
      <c r="GR89" s="11">
        <v>6.6819550000000056</v>
      </c>
      <c r="GS89" s="11">
        <v>6.7543904999999986</v>
      </c>
      <c r="GT89" s="108">
        <v>0</v>
      </c>
      <c r="GU89" s="108">
        <v>1.3881723333333336</v>
      </c>
      <c r="GV89" s="108">
        <v>1.3810563333333328</v>
      </c>
      <c r="GW89" s="108">
        <v>1.750985833333333</v>
      </c>
      <c r="GX89" s="108">
        <v>1.5796819999999989</v>
      </c>
      <c r="GY89" s="108">
        <v>1.5383050000000003</v>
      </c>
      <c r="GZ89" s="13">
        <v>0</v>
      </c>
      <c r="HA89" s="13">
        <v>6.6116803333333278</v>
      </c>
      <c r="HB89" s="13">
        <v>6.4939254999999987</v>
      </c>
      <c r="HC89" s="13">
        <v>0</v>
      </c>
      <c r="HD89" s="13">
        <v>6.4433879999999979</v>
      </c>
      <c r="HE89" s="13">
        <v>6.5702236666666716</v>
      </c>
      <c r="HF89" s="13">
        <v>0</v>
      </c>
      <c r="HG89" s="13">
        <v>0.54167633333333365</v>
      </c>
      <c r="HH89" s="13">
        <v>0.41889699999999985</v>
      </c>
      <c r="HI89" s="13">
        <v>0.47472849999999983</v>
      </c>
      <c r="HJ89" s="13">
        <v>0.46690616666666684</v>
      </c>
      <c r="HK89" s="13">
        <v>0.52240883333333299</v>
      </c>
      <c r="HL89" s="12">
        <v>0</v>
      </c>
      <c r="HM89" s="12">
        <v>0</v>
      </c>
      <c r="HN89" s="12">
        <v>0</v>
      </c>
      <c r="HO89" s="12">
        <v>0</v>
      </c>
      <c r="HP89" s="12">
        <v>0</v>
      </c>
      <c r="HQ89" s="12">
        <v>0</v>
      </c>
      <c r="HR89" s="12">
        <v>0</v>
      </c>
      <c r="HS89" s="12">
        <v>0</v>
      </c>
      <c r="HT89" s="12">
        <v>0</v>
      </c>
      <c r="HU89" s="12">
        <v>0</v>
      </c>
      <c r="HV89" s="12">
        <v>0</v>
      </c>
      <c r="HW89" s="12">
        <v>0</v>
      </c>
      <c r="HX89" s="9">
        <v>973090</v>
      </c>
      <c r="HY89" s="9">
        <v>1812</v>
      </c>
      <c r="HZ89" s="9">
        <v>959756</v>
      </c>
      <c r="IA89" s="9">
        <v>1834</v>
      </c>
      <c r="IB89" s="11">
        <v>237790.95199999999</v>
      </c>
      <c r="IC89" s="11">
        <v>536.4</v>
      </c>
      <c r="ID89" s="14">
        <f t="shared" ref="ID89:II89" si="857">GN89-HL89</f>
        <v>0</v>
      </c>
      <c r="IE89" s="14">
        <f t="shared" si="857"/>
        <v>6.7428393333333352</v>
      </c>
      <c r="IF89" s="14">
        <f t="shared" si="857"/>
        <v>6.7902905000000047</v>
      </c>
      <c r="IG89" s="14">
        <f t="shared" si="857"/>
        <v>6.7051671666666692</v>
      </c>
      <c r="IH89" s="14">
        <f t="shared" si="857"/>
        <v>6.6819550000000056</v>
      </c>
      <c r="II89" s="14">
        <f t="shared" si="857"/>
        <v>6.7543904999999986</v>
      </c>
      <c r="IJ89" s="15">
        <f t="shared" ref="IJ89:IO89" si="858">GZ89-HR89</f>
        <v>0</v>
      </c>
      <c r="IK89" s="15">
        <f t="shared" si="858"/>
        <v>6.6116803333333278</v>
      </c>
      <c r="IL89" s="15">
        <f t="shared" si="858"/>
        <v>6.4939254999999987</v>
      </c>
      <c r="IM89" s="15">
        <f t="shared" si="858"/>
        <v>0</v>
      </c>
      <c r="IN89" s="15">
        <f t="shared" si="858"/>
        <v>6.4433879999999979</v>
      </c>
      <c r="IO89" s="15">
        <f t="shared" si="858"/>
        <v>6.5702236666666716</v>
      </c>
      <c r="IP89" s="16">
        <f t="shared" ref="IP89" si="859">(HX89-HX88)*1000</f>
        <v>870000</v>
      </c>
      <c r="IQ89" s="16">
        <f t="shared" ref="IQ89" si="860">(HY89-HY88)*1000</f>
        <v>2000</v>
      </c>
      <c r="IR89" s="16">
        <f t="shared" ref="IR89" si="861">(HZ89-HZ88)*1000</f>
        <v>865000</v>
      </c>
      <c r="IS89" s="16">
        <f t="shared" ref="IS89" si="862">(IA89-IA88)*1000</f>
        <v>2000</v>
      </c>
      <c r="IT89" s="16">
        <f t="shared" ref="IT89" si="863">(IB89-IB88)*1000</f>
        <v>1746866.9999999984</v>
      </c>
      <c r="IU89" s="16">
        <f t="shared" ref="IU89" si="864">(IC89-IC88)*1000</f>
        <v>3799.9999999999545</v>
      </c>
      <c r="IV89" s="17">
        <f t="shared" ref="IV89" si="865">(IP89+IR89)-(IQ89+IS89)</f>
        <v>1731000</v>
      </c>
      <c r="IW89" s="17">
        <f t="shared" ref="IW89" si="866">IT89-IU89</f>
        <v>1743066.9999999984</v>
      </c>
      <c r="IX89" s="19">
        <f>(Raw_Data[[#This Row],[Sunset Time (POA&lt;20 W/m2)]]-Raw_Data[[#This Row],[Sunrise Time (POA&gt;20 W/m2)]])*24</f>
        <v>13.283333333333331</v>
      </c>
      <c r="IY89" s="68">
        <f>AVERAGEIF(Raw_Data[[#This Row],[GHI_UP_Net_IS2_W1]:[GHI_UP_Net_IS19_W6]],"&lt;&gt;"&amp;0,Raw_Data[[#This Row],[GHI_UP_Net_IS2_W1]:[GHI_UP_Net_IS19_W6]])</f>
        <v>6.7349285000000023</v>
      </c>
      <c r="IZ89" s="68">
        <f>AVERAGEIF(Raw_Data[[#This Row],[GHI_Down_IS2_W1]:[GHI_Down_IS19_W6]],"&lt;&gt;"&amp;0,Raw_Data[[#This Row],[GHI_Down_IS2_W1]:[GHI_Down_IS19_W6]])</f>
        <v>1.5276402999999998</v>
      </c>
      <c r="JA89" s="68">
        <f>AVERAGEIF(Raw_Data[[#This Row],[POA_Up_IS2_W1]:[POA_Up_IS19_W6]],"&lt;&gt;"&amp;0,Raw_Data[[#This Row],[POA_Up_IS2_W1]:[POA_Up_IS19_W6]])</f>
        <v>6.5298043749999986</v>
      </c>
      <c r="JB89" s="68">
        <f>AVERAGEIF(Raw_Data[[#This Row],[POA_Down_IS2_W1]:[POA_Down_IS19_W6]],"&lt;&gt;"&amp;0,Raw_Data[[#This Row],[POA_Down_IS2_W1]:[POA_Down_IS19_W6]])</f>
        <v>0.48492336666666669</v>
      </c>
      <c r="JC89" s="69">
        <f>Raw_Data[[#This Row],[GHI-Down(KWh/m2)]]/Raw_Data[[#This Row],[GHI-UP (KWh/m2)]]</f>
        <v>0.22682353643397984</v>
      </c>
      <c r="JD89" s="72">
        <f>Raw_Data[[#This Row],[POA-Down(KWh/m2)]]/Raw_Data[[#This Row],[POA-UP(KWh/m2)]]</f>
        <v>7.4263077240605199E-2</v>
      </c>
      <c r="JE89" s="68">
        <f>AVERAGEIF(Raw_Data[[#This Row],[Amb_Temp_IS2_W1]:[Amb_Temp_IS19_W6]],"&lt;&gt;"&amp;0,Raw_Data[[#This Row],[Amb_Temp_IS2_W1]:[Amb_Temp_IS19_W6]])</f>
        <v>34.262709511568126</v>
      </c>
      <c r="JF89" s="68">
        <f>AVERAGEIF(Raw_Data[[#This Row],[MT_Temp_IS2_W1]:[MT_Temp_IS19_W6]],"&lt;&gt;"&amp;0,Raw_Data[[#This Row],[MT_Temp_IS2_W1]:[MT_Temp_IS19_W6]])</f>
        <v>46.072912382176526</v>
      </c>
      <c r="JG89" s="68">
        <f>AVERAGEIF(Raw_Data[[#This Row],[WS_Avg_IS2_W1]:[WS_Avg_IS19_W6]],"&lt;&gt;"&amp;0,Raw_Data[[#This Row],[WS_Avg_IS2_W1]:[WS_Avg_IS19_W6]])</f>
        <v>5.7063656543367607</v>
      </c>
      <c r="JH89" s="68">
        <f>AVERAGEIF(Raw_Data[[#This Row],[WS_Max_IS2_W1]:[WS_Max_IS19_W6]],"&lt;&gt;"&amp;0,Raw_Data[[#This Row],[WS_Max_IS2_W1]:[WS_Max_IS19_W6]])</f>
        <v>9.3373334000000003</v>
      </c>
      <c r="JI89" s="70">
        <f>SUM(Raw_Data[[#This Row],[IS1_INV1_M1]:[IS20_INV4_M2]])</f>
        <v>1757530.8999999992</v>
      </c>
      <c r="JJ89" s="73">
        <v>1757849.8750000042</v>
      </c>
      <c r="JK89" s="71">
        <v>2168157.4438403943</v>
      </c>
      <c r="JL89" s="143">
        <f>IFERROR(Raw_Data[[#This Row],[WPR_Eac]]/Raw_Data[[#This Row],[WPR_Edc]],"")</f>
        <v>0.81075748442252227</v>
      </c>
      <c r="JM89" s="6">
        <v>26</v>
      </c>
      <c r="JN89" s="6">
        <v>16919</v>
      </c>
    </row>
    <row r="90" spans="2:274">
      <c r="B90" s="250">
        <f t="shared" si="596"/>
        <v>45829</v>
      </c>
      <c r="C90" s="9">
        <f>YEAR(Raw_Data[[#This Row],[Date]])+IF(MONTH(Raw_Data[[#This Row],[Date]])&gt;=4,1,0)</f>
        <v>2026</v>
      </c>
      <c r="D90" s="6">
        <f t="shared" si="845"/>
        <v>2025</v>
      </c>
      <c r="E90" s="7" t="s">
        <v>361</v>
      </c>
      <c r="F90" s="7" t="s">
        <v>361</v>
      </c>
      <c r="G90" s="8">
        <v>45809</v>
      </c>
      <c r="H90" s="6">
        <f t="shared" si="846"/>
        <v>30</v>
      </c>
      <c r="I90" s="9">
        <v>335090.89</v>
      </c>
      <c r="J90" s="10">
        <v>0.26597222222222222</v>
      </c>
      <c r="K90" s="10">
        <v>0.81111111111111112</v>
      </c>
      <c r="L90" s="9">
        <v>3953.7</v>
      </c>
      <c r="M90" s="9">
        <v>4205</v>
      </c>
      <c r="N90" s="9">
        <v>4205.3999999999996</v>
      </c>
      <c r="O90" s="9">
        <v>4170.8</v>
      </c>
      <c r="P90" s="9">
        <v>4260.3</v>
      </c>
      <c r="Q90" s="9">
        <v>4251</v>
      </c>
      <c r="R90" s="9">
        <v>4288.2</v>
      </c>
      <c r="S90" s="9">
        <v>4435.8999999999996</v>
      </c>
      <c r="T90" s="9">
        <v>4218.3</v>
      </c>
      <c r="U90" s="9">
        <v>4242.3</v>
      </c>
      <c r="V90" s="9">
        <v>4456.7</v>
      </c>
      <c r="W90" s="9">
        <v>4214.8999999999996</v>
      </c>
      <c r="X90" s="9">
        <v>4624.8999999999996</v>
      </c>
      <c r="Y90" s="9">
        <v>4177.8999999999996</v>
      </c>
      <c r="Z90" s="9">
        <v>4278</v>
      </c>
      <c r="AA90" s="9">
        <v>4264.3999999999996</v>
      </c>
      <c r="AB90" s="9">
        <v>4263.8</v>
      </c>
      <c r="AC90" s="9">
        <v>4105.8</v>
      </c>
      <c r="AD90" s="9">
        <v>4228.6000000000004</v>
      </c>
      <c r="AE90" s="9">
        <v>4228.7</v>
      </c>
      <c r="AF90" s="9">
        <v>4277.3</v>
      </c>
      <c r="AG90" s="9">
        <v>4237.8</v>
      </c>
      <c r="AH90" s="9">
        <v>4147.5</v>
      </c>
      <c r="AI90" s="9">
        <v>4187.7</v>
      </c>
      <c r="AJ90" s="9">
        <v>4074.1</v>
      </c>
      <c r="AK90" s="9">
        <v>3559.5</v>
      </c>
      <c r="AL90" s="9">
        <v>4092.6</v>
      </c>
      <c r="AM90" s="9">
        <v>4073</v>
      </c>
      <c r="AN90" s="9">
        <v>4245.7</v>
      </c>
      <c r="AO90" s="9">
        <v>4257</v>
      </c>
      <c r="AP90" s="9">
        <v>4152.7</v>
      </c>
      <c r="AQ90" s="9">
        <v>4226.1000000000004</v>
      </c>
      <c r="AR90" s="9">
        <v>4248.6000000000004</v>
      </c>
      <c r="AS90" s="9">
        <v>4245.5</v>
      </c>
      <c r="AT90" s="9">
        <v>4293.8</v>
      </c>
      <c r="AU90" s="9">
        <v>4251.3</v>
      </c>
      <c r="AV90" s="9">
        <v>4258.8999999999996</v>
      </c>
      <c r="AW90" s="9">
        <v>4167.8</v>
      </c>
      <c r="AX90" s="9">
        <v>4237</v>
      </c>
      <c r="AY90" s="9">
        <v>4170</v>
      </c>
      <c r="AZ90" s="9">
        <v>4677.8999999999996</v>
      </c>
      <c r="BA90" s="9">
        <v>4088.5</v>
      </c>
      <c r="BB90" s="9">
        <v>4633.2</v>
      </c>
      <c r="BC90" s="9">
        <v>4088.4</v>
      </c>
      <c r="BD90" s="9">
        <v>4375.3</v>
      </c>
      <c r="BE90" s="9">
        <v>4925.5</v>
      </c>
      <c r="BF90" s="9">
        <v>4077</v>
      </c>
      <c r="BG90" s="9">
        <v>4703.3999999999996</v>
      </c>
      <c r="BH90" s="9">
        <v>4058</v>
      </c>
      <c r="BI90" s="9">
        <v>4104.7</v>
      </c>
      <c r="BJ90" s="9">
        <v>0</v>
      </c>
      <c r="BK90" s="9">
        <v>0</v>
      </c>
      <c r="BL90" s="9">
        <v>4310.8</v>
      </c>
      <c r="BM90" s="9">
        <v>4333</v>
      </c>
      <c r="BN90" s="9">
        <v>4284.3</v>
      </c>
      <c r="BO90" s="9">
        <v>4265.8999999999996</v>
      </c>
      <c r="BP90" s="9">
        <v>3789.4</v>
      </c>
      <c r="BQ90" s="9">
        <v>4409.7</v>
      </c>
      <c r="BR90" s="9">
        <v>3851.5</v>
      </c>
      <c r="BS90" s="9">
        <v>4383.5</v>
      </c>
      <c r="BT90" s="9">
        <v>4266.6000000000004</v>
      </c>
      <c r="BU90" s="9">
        <v>3832.9</v>
      </c>
      <c r="BV90" s="9">
        <v>4182.3999999999996</v>
      </c>
      <c r="BW90" s="9">
        <v>3955.8</v>
      </c>
      <c r="BX90" s="9">
        <v>4036.9</v>
      </c>
      <c r="BY90" s="9">
        <v>3766.2</v>
      </c>
      <c r="BZ90" s="9">
        <v>4018.7</v>
      </c>
      <c r="CA90" s="9">
        <v>4204.3999999999996</v>
      </c>
      <c r="CB90" s="9">
        <v>4335.1000000000004</v>
      </c>
      <c r="CC90" s="9">
        <v>3860</v>
      </c>
      <c r="CD90" s="9">
        <v>4264.8999999999996</v>
      </c>
      <c r="CE90" s="9">
        <v>3644.1</v>
      </c>
      <c r="CF90" s="9">
        <v>4189.1000000000004</v>
      </c>
      <c r="CG90" s="9">
        <v>3986.4</v>
      </c>
      <c r="CH90" s="9">
        <v>3795.2</v>
      </c>
      <c r="CI90" s="9">
        <v>4237.6000000000004</v>
      </c>
      <c r="CJ90" s="9">
        <v>3699.7</v>
      </c>
      <c r="CK90" s="9">
        <v>4387.5</v>
      </c>
      <c r="CL90" s="9">
        <v>3663.9</v>
      </c>
      <c r="CM90" s="9">
        <v>4149.3999999999996</v>
      </c>
      <c r="CN90" s="9">
        <v>3834.9</v>
      </c>
      <c r="CO90" s="9">
        <v>4187.8999999999996</v>
      </c>
      <c r="CP90" s="9">
        <v>3915</v>
      </c>
      <c r="CQ90" s="9">
        <v>4299</v>
      </c>
      <c r="CR90" s="9">
        <v>3845.3</v>
      </c>
      <c r="CS90" s="9">
        <v>4115.1000000000004</v>
      </c>
      <c r="CT90" s="9">
        <v>3898.7</v>
      </c>
      <c r="CU90" s="9">
        <v>3366.5</v>
      </c>
      <c r="CV90" s="9">
        <v>4297.5</v>
      </c>
      <c r="CW90" s="9">
        <v>4096.1000000000004</v>
      </c>
      <c r="CX90" s="9">
        <v>3773.1</v>
      </c>
      <c r="CY90" s="9">
        <v>4407.8999999999996</v>
      </c>
      <c r="CZ90" s="9">
        <v>4288.1000000000004</v>
      </c>
      <c r="DA90" s="9">
        <v>3949.1</v>
      </c>
      <c r="DB90" s="9">
        <v>3904.1</v>
      </c>
      <c r="DC90" s="9">
        <v>4333.8999999999996</v>
      </c>
      <c r="DD90" s="9">
        <v>3871</v>
      </c>
      <c r="DE90" s="9">
        <v>3964.6</v>
      </c>
      <c r="DF90" s="9">
        <v>4371.7</v>
      </c>
      <c r="DG90" s="9">
        <v>3788.6</v>
      </c>
      <c r="DH90" s="9">
        <v>4408.1000000000004</v>
      </c>
      <c r="DI90" s="9">
        <v>3790.2</v>
      </c>
      <c r="DJ90" s="9">
        <v>4258.3999999999996</v>
      </c>
      <c r="DK90" s="9">
        <v>3868</v>
      </c>
      <c r="DL90" s="9">
        <v>4360.1000000000004</v>
      </c>
      <c r="DM90" s="9">
        <v>3691</v>
      </c>
      <c r="DN90" s="9">
        <v>4358.3</v>
      </c>
      <c r="DO90" s="9">
        <v>3854.4</v>
      </c>
      <c r="DP90" s="9">
        <v>4282.8</v>
      </c>
      <c r="DQ90" s="9">
        <v>3878.1</v>
      </c>
      <c r="DR90" s="9">
        <v>4353.3</v>
      </c>
      <c r="DS90" s="9">
        <v>3846.5</v>
      </c>
      <c r="DT90" s="9">
        <v>3800.1</v>
      </c>
      <c r="DU90" s="9">
        <v>4220.1000000000004</v>
      </c>
      <c r="DV90" s="9">
        <v>3849.4</v>
      </c>
      <c r="DW90" s="9">
        <v>3737.1</v>
      </c>
      <c r="DX90" s="9">
        <v>4275.7</v>
      </c>
      <c r="DY90" s="9">
        <v>4243</v>
      </c>
      <c r="DZ90" s="9">
        <v>4226.3</v>
      </c>
      <c r="EA90" s="9">
        <v>3790.2</v>
      </c>
      <c r="EB90" s="9">
        <v>4241.6000000000004</v>
      </c>
      <c r="EC90" s="9">
        <v>3769.4</v>
      </c>
      <c r="ED90" s="9">
        <v>4181.8</v>
      </c>
      <c r="EE90" s="9">
        <v>3756</v>
      </c>
      <c r="EF90" s="9">
        <v>4134.7</v>
      </c>
      <c r="EG90" s="9">
        <v>3505.5</v>
      </c>
      <c r="EH90" s="9">
        <v>4104.8</v>
      </c>
      <c r="EI90" s="9">
        <v>3770.7</v>
      </c>
      <c r="EJ90" s="9">
        <v>3829.2</v>
      </c>
      <c r="EK90" s="9">
        <v>3904.4</v>
      </c>
      <c r="EL90" s="9">
        <v>3831.1</v>
      </c>
      <c r="EM90" s="9">
        <v>3267.4</v>
      </c>
      <c r="EN90" s="9">
        <v>3792.1</v>
      </c>
      <c r="EO90" s="9">
        <v>3319.9</v>
      </c>
      <c r="EP90" s="9">
        <v>3735</v>
      </c>
      <c r="EQ90" s="9">
        <v>3743.7</v>
      </c>
      <c r="ER90" s="9">
        <v>4333.8999999999996</v>
      </c>
      <c r="ES90" s="9">
        <v>3713.3</v>
      </c>
      <c r="ET90" s="9">
        <v>4364.3999999999996</v>
      </c>
      <c r="EU90" s="9">
        <v>3770</v>
      </c>
      <c r="EV90" s="9">
        <v>4268.8</v>
      </c>
      <c r="EW90" s="9">
        <v>3792.5</v>
      </c>
      <c r="EX90" s="9">
        <v>3823.9</v>
      </c>
      <c r="EY90" s="9">
        <v>3813.4</v>
      </c>
      <c r="EZ90" s="9">
        <v>4112.1000000000004</v>
      </c>
      <c r="FA90" s="9">
        <v>4298.8999999999996</v>
      </c>
      <c r="FB90" s="9">
        <v>4216.8</v>
      </c>
      <c r="FC90" s="9">
        <v>4222.3999999999996</v>
      </c>
      <c r="FD90" s="9">
        <v>4245.8</v>
      </c>
      <c r="FE90" s="9">
        <v>4260.5</v>
      </c>
      <c r="FF90" s="9">
        <v>3814.2</v>
      </c>
      <c r="FG90" s="9">
        <v>4266.3999999999996</v>
      </c>
      <c r="FH90" s="9">
        <v>4270.2</v>
      </c>
      <c r="FI90" s="9">
        <v>4301.3999999999996</v>
      </c>
      <c r="FJ90" s="9">
        <v>4314.7</v>
      </c>
      <c r="FK90" s="9">
        <v>4246.3999999999996</v>
      </c>
      <c r="FL90" s="9">
        <v>4268.2</v>
      </c>
      <c r="FM90" s="9">
        <v>3777.1</v>
      </c>
      <c r="FN90" s="9">
        <v>4325.5</v>
      </c>
      <c r="FO90" s="9">
        <v>3805.6</v>
      </c>
      <c r="FP90" s="11">
        <v>0</v>
      </c>
      <c r="FQ90" s="11">
        <v>29.568632812500017</v>
      </c>
      <c r="FR90" s="11">
        <v>29.70170572916669</v>
      </c>
      <c r="FS90" s="11">
        <v>29.500026041666654</v>
      </c>
      <c r="FT90" s="11">
        <v>29.456809895833317</v>
      </c>
      <c r="FU90" s="11">
        <v>29.4697265625</v>
      </c>
      <c r="FV90" s="11">
        <v>0</v>
      </c>
      <c r="FW90" s="11">
        <v>33.217749322916696</v>
      </c>
      <c r="FX90" s="11">
        <v>0</v>
      </c>
      <c r="FY90" s="11">
        <v>0</v>
      </c>
      <c r="FZ90" s="11">
        <v>33</v>
      </c>
      <c r="GA90" s="11">
        <v>32.868033854166633</v>
      </c>
      <c r="GB90" s="11">
        <v>0</v>
      </c>
      <c r="GC90" s="11">
        <v>5.7368357135416757</v>
      </c>
      <c r="GD90" s="11">
        <v>4.8210891966145857</v>
      </c>
      <c r="GE90" s="11">
        <v>5.7343552278645875</v>
      </c>
      <c r="GF90" s="11">
        <v>5.4350344791666743</v>
      </c>
      <c r="GG90" s="11">
        <v>5.5810523085937547</v>
      </c>
      <c r="GH90" s="11">
        <v>0</v>
      </c>
      <c r="GI90" s="11">
        <v>9.5383329999999997</v>
      </c>
      <c r="GJ90" s="11">
        <v>8.375</v>
      </c>
      <c r="GK90" s="11">
        <v>9.0383329999999997</v>
      </c>
      <c r="GL90" s="11">
        <v>8.6916659999999997</v>
      </c>
      <c r="GM90" s="11">
        <v>9.9299990000000005</v>
      </c>
      <c r="GN90" s="11">
        <v>0</v>
      </c>
      <c r="GO90" s="11">
        <v>2.2939228333333332</v>
      </c>
      <c r="GP90" s="11">
        <v>2.359653999999995</v>
      </c>
      <c r="GQ90" s="11">
        <v>2.2392811666666677</v>
      </c>
      <c r="GR90" s="11">
        <v>2.2352874999999992</v>
      </c>
      <c r="GS90" s="11">
        <v>2.1586411666666674</v>
      </c>
      <c r="GT90" s="108">
        <v>0</v>
      </c>
      <c r="GU90" s="108">
        <v>0.40013816666666713</v>
      </c>
      <c r="GV90" s="108">
        <v>0.44611533333333331</v>
      </c>
      <c r="GW90" s="108">
        <v>0.49896866666666678</v>
      </c>
      <c r="GX90" s="108">
        <v>0.43748399999999982</v>
      </c>
      <c r="GY90" s="108">
        <v>0.37496049999999981</v>
      </c>
      <c r="GZ90" s="13">
        <v>0</v>
      </c>
      <c r="HA90" s="13">
        <v>2.1922716666666648</v>
      </c>
      <c r="HB90" s="13">
        <v>2.2121531666666674</v>
      </c>
      <c r="HC90" s="13">
        <v>0</v>
      </c>
      <c r="HD90" s="13">
        <v>2.1254328333333348</v>
      </c>
      <c r="HE90" s="13">
        <v>2.0346983333333326</v>
      </c>
      <c r="HF90" s="13">
        <v>0</v>
      </c>
      <c r="HG90" s="13">
        <v>0.1390163333333333</v>
      </c>
      <c r="HH90" s="13">
        <v>0.11508316666666664</v>
      </c>
      <c r="HI90" s="13">
        <v>0.12031416666666674</v>
      </c>
      <c r="HJ90" s="13">
        <v>0.11630833333333321</v>
      </c>
      <c r="HK90" s="13">
        <v>0.11363283333333335</v>
      </c>
      <c r="HL90" s="12">
        <v>0</v>
      </c>
      <c r="HM90" s="12">
        <v>0</v>
      </c>
      <c r="HN90" s="12">
        <v>0</v>
      </c>
      <c r="HO90" s="12">
        <v>0</v>
      </c>
      <c r="HP90" s="12">
        <v>0</v>
      </c>
      <c r="HQ90" s="12">
        <v>0</v>
      </c>
      <c r="HR90" s="12">
        <v>0</v>
      </c>
      <c r="HS90" s="12">
        <v>0</v>
      </c>
      <c r="HT90" s="12">
        <v>0</v>
      </c>
      <c r="HU90" s="12">
        <v>0</v>
      </c>
      <c r="HV90" s="12">
        <v>0</v>
      </c>
      <c r="HW90" s="12">
        <v>0</v>
      </c>
      <c r="HX90" s="9">
        <v>973425</v>
      </c>
      <c r="HY90" s="9">
        <v>1814</v>
      </c>
      <c r="HZ90" s="9">
        <v>960080</v>
      </c>
      <c r="IA90" s="9">
        <v>1835</v>
      </c>
      <c r="IB90" s="11">
        <v>238434.21900000001</v>
      </c>
      <c r="IC90" s="11">
        <v>540.4</v>
      </c>
      <c r="ID90" s="14">
        <f t="shared" ref="ID90:II90" si="867">GN90-HL90</f>
        <v>0</v>
      </c>
      <c r="IE90" s="14">
        <f t="shared" si="867"/>
        <v>2.2939228333333332</v>
      </c>
      <c r="IF90" s="14">
        <f t="shared" si="867"/>
        <v>2.359653999999995</v>
      </c>
      <c r="IG90" s="14">
        <f t="shared" si="867"/>
        <v>2.2392811666666677</v>
      </c>
      <c r="IH90" s="14">
        <f t="shared" si="867"/>
        <v>2.2352874999999992</v>
      </c>
      <c r="II90" s="14">
        <f t="shared" si="867"/>
        <v>2.1586411666666674</v>
      </c>
      <c r="IJ90" s="15">
        <f t="shared" ref="IJ90:IO90" si="868">GZ90-HR90</f>
        <v>0</v>
      </c>
      <c r="IK90" s="15">
        <f t="shared" si="868"/>
        <v>2.1922716666666648</v>
      </c>
      <c r="IL90" s="15">
        <f t="shared" si="868"/>
        <v>2.2121531666666674</v>
      </c>
      <c r="IM90" s="15">
        <f t="shared" si="868"/>
        <v>0</v>
      </c>
      <c r="IN90" s="15">
        <f t="shared" si="868"/>
        <v>2.1254328333333348</v>
      </c>
      <c r="IO90" s="15">
        <f t="shared" si="868"/>
        <v>2.0346983333333326</v>
      </c>
      <c r="IP90" s="16">
        <f t="shared" ref="IP90" si="869">(HX90-HX89)*1000</f>
        <v>335000</v>
      </c>
      <c r="IQ90" s="16">
        <f t="shared" ref="IQ90" si="870">(HY90-HY89)*1000</f>
        <v>2000</v>
      </c>
      <c r="IR90" s="16">
        <f t="shared" ref="IR90" si="871">(HZ90-HZ89)*1000</f>
        <v>324000</v>
      </c>
      <c r="IS90" s="16">
        <f t="shared" ref="IS90" si="872">(IA90-IA89)*1000</f>
        <v>1000</v>
      </c>
      <c r="IT90" s="16">
        <f t="shared" ref="IT90" si="873">(IB90-IB89)*1000</f>
        <v>643267.00000002165</v>
      </c>
      <c r="IU90" s="16">
        <f t="shared" ref="IU90" si="874">(IC90-IC89)*1000</f>
        <v>4000</v>
      </c>
      <c r="IV90" s="17">
        <f t="shared" ref="IV90" si="875">(IP90+IR90)-(IQ90+IS90)</f>
        <v>656000</v>
      </c>
      <c r="IW90" s="17">
        <f t="shared" ref="IW90" si="876">IT90-IU90</f>
        <v>639267.00000002165</v>
      </c>
      <c r="IX90" s="19">
        <f>(Raw_Data[[#This Row],[Sunset Time (POA&lt;20 W/m2)]]-Raw_Data[[#This Row],[Sunrise Time (POA&gt;20 W/m2)]])*24</f>
        <v>13.083333333333332</v>
      </c>
      <c r="IY90" s="68">
        <f>AVERAGEIF(Raw_Data[[#This Row],[GHI_UP_Net_IS2_W1]:[GHI_UP_Net_IS19_W6]],"&lt;&gt;"&amp;0,Raw_Data[[#This Row],[GHI_UP_Net_IS2_W1]:[GHI_UP_Net_IS19_W6]])</f>
        <v>2.2573573333333323</v>
      </c>
      <c r="IZ90" s="68">
        <f>AVERAGEIF(Raw_Data[[#This Row],[GHI_Down_IS2_W1]:[GHI_Down_IS19_W6]],"&lt;&gt;"&amp;0,Raw_Data[[#This Row],[GHI_Down_IS2_W1]:[GHI_Down_IS19_W6]])</f>
        <v>0.43153333333333332</v>
      </c>
      <c r="JA90" s="68">
        <f>AVERAGEIF(Raw_Data[[#This Row],[POA_Up_IS2_W1]:[POA_Up_IS19_W6]],"&lt;&gt;"&amp;0,Raw_Data[[#This Row],[POA_Up_IS2_W1]:[POA_Up_IS19_W6]])</f>
        <v>2.1411389999999999</v>
      </c>
      <c r="JB90" s="68">
        <f>AVERAGEIF(Raw_Data[[#This Row],[POA_Down_IS2_W1]:[POA_Down_IS19_W6]],"&lt;&gt;"&amp;0,Raw_Data[[#This Row],[POA_Down_IS2_W1]:[POA_Down_IS19_W6]])</f>
        <v>0.12087096666666666</v>
      </c>
      <c r="JC90" s="69">
        <f>Raw_Data[[#This Row],[GHI-Down(KWh/m2)]]/Raw_Data[[#This Row],[GHI-UP (KWh/m2)]]</f>
        <v>0.19116748906390843</v>
      </c>
      <c r="JD90" s="72">
        <f>Raw_Data[[#This Row],[POA-Down(KWh/m2)]]/Raw_Data[[#This Row],[POA-UP(KWh/m2)]]</f>
        <v>5.6451714095472859E-2</v>
      </c>
      <c r="JE90" s="68">
        <f>AVERAGEIF(Raw_Data[[#This Row],[Amb_Temp_IS2_W1]:[Amb_Temp_IS19_W6]],"&lt;&gt;"&amp;0,Raw_Data[[#This Row],[Amb_Temp_IS2_W1]:[Amb_Temp_IS19_W6]])</f>
        <v>29.539380208333334</v>
      </c>
      <c r="JF90" s="68">
        <f>AVERAGEIF(Raw_Data[[#This Row],[MT_Temp_IS2_W1]:[MT_Temp_IS19_W6]],"&lt;&gt;"&amp;0,Raw_Data[[#This Row],[MT_Temp_IS2_W1]:[MT_Temp_IS19_W6]])</f>
        <v>33.028594392361107</v>
      </c>
      <c r="JG90" s="68">
        <f>AVERAGEIF(Raw_Data[[#This Row],[WS_Avg_IS2_W1]:[WS_Avg_IS19_W6]],"&lt;&gt;"&amp;0,Raw_Data[[#This Row],[WS_Avg_IS2_W1]:[WS_Avg_IS19_W6]])</f>
        <v>5.4616733851562556</v>
      </c>
      <c r="JH90" s="68">
        <f>AVERAGEIF(Raw_Data[[#This Row],[WS_Max_IS2_W1]:[WS_Max_IS19_W6]],"&lt;&gt;"&amp;0,Raw_Data[[#This Row],[WS_Max_IS2_W1]:[WS_Max_IS19_W6]])</f>
        <v>9.1146662000000003</v>
      </c>
      <c r="JI90" s="70">
        <f>SUM(Raw_Data[[#This Row],[IS1_INV1_M1]:[IS20_INV4_M2]])</f>
        <v>647428.19999999995</v>
      </c>
      <c r="JJ90" s="73">
        <v>602399.99999999418</v>
      </c>
      <c r="JK90" s="71">
        <v>715522.59555697045</v>
      </c>
      <c r="JL90" s="143">
        <f>IFERROR(Raw_Data[[#This Row],[WPR_Eac]]/Raw_Data[[#This Row],[WPR_Edc]],"")</f>
        <v>0.84190213382580825</v>
      </c>
      <c r="JM90" s="6">
        <v>21</v>
      </c>
      <c r="JN90" s="6">
        <v>36583</v>
      </c>
    </row>
    <row r="91" spans="2:274">
      <c r="B91" s="250">
        <f t="shared" si="596"/>
        <v>45830</v>
      </c>
      <c r="C91" s="9">
        <f>YEAR(Raw_Data[[#This Row],[Date]])+IF(MONTH(Raw_Data[[#This Row],[Date]])&gt;=4,1,0)</f>
        <v>2026</v>
      </c>
      <c r="D91" s="6">
        <f t="shared" si="845"/>
        <v>2025</v>
      </c>
      <c r="E91" s="7" t="s">
        <v>361</v>
      </c>
      <c r="F91" s="7" t="s">
        <v>361</v>
      </c>
      <c r="G91" s="8">
        <v>45809</v>
      </c>
      <c r="H91" s="6">
        <f t="shared" si="846"/>
        <v>30</v>
      </c>
      <c r="I91" s="9">
        <v>335090.89</v>
      </c>
      <c r="J91" s="10">
        <v>0.26041666666666669</v>
      </c>
      <c r="K91" s="10">
        <v>0.81388888888888888</v>
      </c>
      <c r="L91" s="9">
        <v>10168</v>
      </c>
      <c r="M91" s="9">
        <v>10563.4</v>
      </c>
      <c r="N91" s="9">
        <v>10499.6</v>
      </c>
      <c r="O91" s="9">
        <v>10449.299999999999</v>
      </c>
      <c r="P91" s="9">
        <v>10591.7</v>
      </c>
      <c r="Q91" s="9">
        <v>10576.8</v>
      </c>
      <c r="R91" s="9">
        <v>10648.1</v>
      </c>
      <c r="S91" s="9">
        <v>10839.1</v>
      </c>
      <c r="T91" s="9">
        <v>10604.3</v>
      </c>
      <c r="U91" s="9">
        <v>10664.1</v>
      </c>
      <c r="V91" s="9">
        <v>11184.4</v>
      </c>
      <c r="W91" s="9">
        <v>10597.8</v>
      </c>
      <c r="X91" s="9">
        <v>11179</v>
      </c>
      <c r="Y91" s="9">
        <v>10484.1</v>
      </c>
      <c r="Z91" s="9">
        <v>10436.5</v>
      </c>
      <c r="AA91" s="9">
        <v>10564.8</v>
      </c>
      <c r="AB91" s="9">
        <v>10462.4</v>
      </c>
      <c r="AC91" s="9">
        <v>10128.700000000001</v>
      </c>
      <c r="AD91" s="9">
        <v>10486.1</v>
      </c>
      <c r="AE91" s="9">
        <v>10541.2</v>
      </c>
      <c r="AF91" s="9">
        <v>10577.5</v>
      </c>
      <c r="AG91" s="9">
        <v>10346.4</v>
      </c>
      <c r="AH91" s="9">
        <v>10486.2</v>
      </c>
      <c r="AI91" s="9">
        <v>10493.4</v>
      </c>
      <c r="AJ91" s="9">
        <v>10375.799999999999</v>
      </c>
      <c r="AK91" s="9">
        <v>9388.6</v>
      </c>
      <c r="AL91" s="9">
        <v>10234.6</v>
      </c>
      <c r="AM91" s="9">
        <v>10283</v>
      </c>
      <c r="AN91" s="9">
        <v>10679.4</v>
      </c>
      <c r="AO91" s="9">
        <v>10663.2</v>
      </c>
      <c r="AP91" s="9">
        <v>10530.1</v>
      </c>
      <c r="AQ91" s="9">
        <v>10675.9</v>
      </c>
      <c r="AR91" s="9">
        <v>12207.1</v>
      </c>
      <c r="AS91" s="9">
        <v>12146.3</v>
      </c>
      <c r="AT91" s="9">
        <v>12310.2</v>
      </c>
      <c r="AU91" s="9">
        <v>12270.7</v>
      </c>
      <c r="AV91" s="9">
        <v>10768.9</v>
      </c>
      <c r="AW91" s="9">
        <v>10619.3</v>
      </c>
      <c r="AX91" s="9">
        <v>10661</v>
      </c>
      <c r="AY91" s="9">
        <v>10396</v>
      </c>
      <c r="AZ91" s="9">
        <v>11183.1</v>
      </c>
      <c r="BA91" s="9">
        <v>10138.6</v>
      </c>
      <c r="BB91" s="9">
        <v>11117.5</v>
      </c>
      <c r="BC91" s="9">
        <v>9972</v>
      </c>
      <c r="BD91" s="9">
        <v>10718.1</v>
      </c>
      <c r="BE91" s="9">
        <v>11456</v>
      </c>
      <c r="BF91" s="9">
        <v>10272.6</v>
      </c>
      <c r="BG91" s="9">
        <v>11190.1</v>
      </c>
      <c r="BH91" s="9">
        <v>10590.9</v>
      </c>
      <c r="BI91" s="9">
        <v>10669.9</v>
      </c>
      <c r="BJ91" s="9">
        <v>10578.5</v>
      </c>
      <c r="BK91" s="9">
        <v>10194.700000000001</v>
      </c>
      <c r="BL91" s="9">
        <v>10385.299999999999</v>
      </c>
      <c r="BM91" s="9">
        <v>10753.7</v>
      </c>
      <c r="BN91" s="9">
        <v>10801.7</v>
      </c>
      <c r="BO91" s="9">
        <v>10620.4</v>
      </c>
      <c r="BP91" s="9">
        <v>9820.4</v>
      </c>
      <c r="BQ91" s="9">
        <v>10923.2</v>
      </c>
      <c r="BR91" s="9">
        <v>9984</v>
      </c>
      <c r="BS91" s="9">
        <v>10925.4</v>
      </c>
      <c r="BT91" s="9">
        <v>10612</v>
      </c>
      <c r="BU91" s="9">
        <v>9935.4</v>
      </c>
      <c r="BV91" s="9">
        <v>10696</v>
      </c>
      <c r="BW91" s="9">
        <v>10333.6</v>
      </c>
      <c r="BX91" s="9">
        <v>10421.9</v>
      </c>
      <c r="BY91" s="9">
        <v>9998.5</v>
      </c>
      <c r="BZ91" s="9">
        <v>10216.5</v>
      </c>
      <c r="CA91" s="9">
        <v>10555.8</v>
      </c>
      <c r="CB91" s="9">
        <v>10889.5</v>
      </c>
      <c r="CC91" s="9">
        <v>10103.5</v>
      </c>
      <c r="CD91" s="9">
        <v>10704.1</v>
      </c>
      <c r="CE91" s="9">
        <v>9489.2000000000007</v>
      </c>
      <c r="CF91" s="9">
        <v>10583.4</v>
      </c>
      <c r="CG91" s="9">
        <v>10231</v>
      </c>
      <c r="CH91" s="9">
        <v>9981.4</v>
      </c>
      <c r="CI91" s="9">
        <v>10791.2</v>
      </c>
      <c r="CJ91" s="9">
        <v>9631.7999999999993</v>
      </c>
      <c r="CK91" s="9">
        <v>10949.2</v>
      </c>
      <c r="CL91" s="9">
        <v>10000.1</v>
      </c>
      <c r="CM91" s="9">
        <v>10851.1</v>
      </c>
      <c r="CN91" s="9">
        <v>10137</v>
      </c>
      <c r="CO91" s="9">
        <v>10672.5</v>
      </c>
      <c r="CP91" s="9">
        <v>10299.5</v>
      </c>
      <c r="CQ91" s="9">
        <v>10521.4</v>
      </c>
      <c r="CR91" s="9">
        <v>10190</v>
      </c>
      <c r="CS91" s="9">
        <v>10275.299999999999</v>
      </c>
      <c r="CT91" s="9">
        <v>10139.9</v>
      </c>
      <c r="CU91" s="9">
        <v>9225</v>
      </c>
      <c r="CV91" s="9">
        <v>10808.9</v>
      </c>
      <c r="CW91" s="9">
        <v>10540.4</v>
      </c>
      <c r="CX91" s="9">
        <v>10012.4</v>
      </c>
      <c r="CY91" s="9">
        <v>11095.2</v>
      </c>
      <c r="CZ91" s="9">
        <v>10819.9</v>
      </c>
      <c r="DA91" s="9">
        <v>10247.700000000001</v>
      </c>
      <c r="DB91" s="9">
        <v>10131.5</v>
      </c>
      <c r="DC91" s="9">
        <v>10881.8</v>
      </c>
      <c r="DD91" s="9">
        <v>10022.9</v>
      </c>
      <c r="DE91" s="9">
        <v>10309.4</v>
      </c>
      <c r="DF91" s="9">
        <v>10964.5</v>
      </c>
      <c r="DG91" s="9">
        <v>9918.7999999999993</v>
      </c>
      <c r="DH91" s="9">
        <v>10923.6</v>
      </c>
      <c r="DI91" s="9">
        <v>9953.7000000000007</v>
      </c>
      <c r="DJ91" s="9">
        <v>10738.1</v>
      </c>
      <c r="DK91" s="9">
        <v>10118</v>
      </c>
      <c r="DL91" s="9">
        <v>10770.2</v>
      </c>
      <c r="DM91" s="9">
        <v>9563</v>
      </c>
      <c r="DN91" s="9">
        <v>10838.8</v>
      </c>
      <c r="DO91" s="9">
        <v>10046</v>
      </c>
      <c r="DP91" s="9">
        <v>10732.9</v>
      </c>
      <c r="DQ91" s="9">
        <v>9951</v>
      </c>
      <c r="DR91" s="9">
        <v>10802.2</v>
      </c>
      <c r="DS91" s="9">
        <v>9805.7999999999993</v>
      </c>
      <c r="DT91" s="9">
        <v>9967.2999999999993</v>
      </c>
      <c r="DU91" s="9">
        <v>10733.2</v>
      </c>
      <c r="DV91" s="9">
        <v>9932.6</v>
      </c>
      <c r="DW91" s="9">
        <v>9793.7000000000007</v>
      </c>
      <c r="DX91" s="9">
        <v>10836.2</v>
      </c>
      <c r="DY91" s="9">
        <v>10856.9</v>
      </c>
      <c r="DZ91" s="9">
        <v>10757.4</v>
      </c>
      <c r="EA91" s="9">
        <v>10107.9</v>
      </c>
      <c r="EB91" s="9">
        <v>10846.3</v>
      </c>
      <c r="EC91" s="9">
        <v>10035.9</v>
      </c>
      <c r="ED91" s="9">
        <v>10678</v>
      </c>
      <c r="EE91" s="9">
        <v>9728.2999999999993</v>
      </c>
      <c r="EF91" s="9">
        <v>10596</v>
      </c>
      <c r="EG91" s="9">
        <v>9270</v>
      </c>
      <c r="EH91" s="9">
        <v>10663.4</v>
      </c>
      <c r="EI91" s="9">
        <v>10037.6</v>
      </c>
      <c r="EJ91" s="9">
        <v>9823.2999999999993</v>
      </c>
      <c r="EK91" s="9">
        <v>10242.6</v>
      </c>
      <c r="EL91" s="9">
        <v>10111.299999999999</v>
      </c>
      <c r="EM91" s="9">
        <v>9058.6</v>
      </c>
      <c r="EN91" s="9">
        <v>10056.200000000001</v>
      </c>
      <c r="EO91" s="9">
        <v>9179.2000000000007</v>
      </c>
      <c r="EP91" s="9">
        <v>9996.2999999999993</v>
      </c>
      <c r="EQ91" s="9">
        <v>10026.799999999999</v>
      </c>
      <c r="ER91" s="9">
        <v>11126</v>
      </c>
      <c r="ES91" s="9">
        <v>10073.1</v>
      </c>
      <c r="ET91" s="9">
        <v>11150.1</v>
      </c>
      <c r="EU91" s="9">
        <v>10146.1</v>
      </c>
      <c r="EV91" s="9">
        <v>11000.3</v>
      </c>
      <c r="EW91" s="9">
        <v>10173.299999999999</v>
      </c>
      <c r="EX91" s="9">
        <v>10278</v>
      </c>
      <c r="EY91" s="9">
        <v>10145.700000000001</v>
      </c>
      <c r="EZ91" s="9">
        <v>10891</v>
      </c>
      <c r="FA91" s="9">
        <v>11159.1</v>
      </c>
      <c r="FB91" s="9">
        <v>10955.4</v>
      </c>
      <c r="FC91" s="9">
        <v>11042.2</v>
      </c>
      <c r="FD91" s="9">
        <v>11031.7</v>
      </c>
      <c r="FE91" s="9">
        <v>11067.7</v>
      </c>
      <c r="FF91" s="9">
        <v>10303.1</v>
      </c>
      <c r="FG91" s="9">
        <v>11081.8</v>
      </c>
      <c r="FH91" s="9">
        <v>11176.3</v>
      </c>
      <c r="FI91" s="9">
        <v>11157.4</v>
      </c>
      <c r="FJ91" s="9">
        <v>11229.9</v>
      </c>
      <c r="FK91" s="9">
        <v>11013.1</v>
      </c>
      <c r="FL91" s="9">
        <v>11148.9</v>
      </c>
      <c r="FM91" s="9">
        <v>10304.6</v>
      </c>
      <c r="FN91" s="9">
        <v>11146</v>
      </c>
      <c r="FO91" s="9">
        <v>10299</v>
      </c>
      <c r="FP91" s="11">
        <v>34.079166666666666</v>
      </c>
      <c r="FQ91" s="11">
        <v>33.986426767676733</v>
      </c>
      <c r="FR91" s="11">
        <v>34.50867424242427</v>
      </c>
      <c r="FS91" s="11">
        <v>34.039444444444449</v>
      </c>
      <c r="FT91" s="11">
        <v>33.964179292929302</v>
      </c>
      <c r="FU91" s="11">
        <v>34.208244949494954</v>
      </c>
      <c r="FV91" s="11">
        <v>0</v>
      </c>
      <c r="FW91" s="11">
        <v>49.6</v>
      </c>
      <c r="FX91" s="11">
        <v>0</v>
      </c>
      <c r="FY91" s="11">
        <v>0</v>
      </c>
      <c r="FZ91" s="11">
        <v>48.763169217171793</v>
      </c>
      <c r="GA91" s="11">
        <v>49.2</v>
      </c>
      <c r="GB91" s="11">
        <v>0.2098568989015154</v>
      </c>
      <c r="GC91" s="11">
        <v>3.7922073472222269</v>
      </c>
      <c r="GD91" s="11">
        <v>3.5067738566919195</v>
      </c>
      <c r="GE91" s="11">
        <v>4.1641980606060605</v>
      </c>
      <c r="GF91" s="11">
        <v>4.0635183396464676</v>
      </c>
      <c r="GG91" s="11">
        <v>3.512725018939391</v>
      </c>
      <c r="GH91" s="11">
        <v>4.13</v>
      </c>
      <c r="GI91" s="11">
        <v>7.9916660000000004</v>
      </c>
      <c r="GJ91" s="11">
        <v>7.32</v>
      </c>
      <c r="GK91" s="11">
        <v>8.4049999999999994</v>
      </c>
      <c r="GL91" s="11">
        <v>7.9883329999999999</v>
      </c>
      <c r="GM91" s="11">
        <v>7.8883330000000003</v>
      </c>
      <c r="GN91" s="11">
        <v>7.0890575000000045</v>
      </c>
      <c r="GO91" s="11">
        <v>7.2423889999999984</v>
      </c>
      <c r="GP91" s="11">
        <v>7.2411129999999977</v>
      </c>
      <c r="GQ91" s="11">
        <v>7.1987356666666624</v>
      </c>
      <c r="GR91" s="11">
        <v>7.1156420000000011</v>
      </c>
      <c r="GS91" s="11">
        <v>7.2149671666666659</v>
      </c>
      <c r="GT91" s="108">
        <v>1.5294424999999989</v>
      </c>
      <c r="GU91" s="108">
        <v>1.525069999999999</v>
      </c>
      <c r="GV91" s="108">
        <v>1.4961723333333332</v>
      </c>
      <c r="GW91" s="108">
        <v>1.8395881666666682</v>
      </c>
      <c r="GX91" s="108">
        <v>1.7609086666666656</v>
      </c>
      <c r="GY91" s="108">
        <v>1.4907784999999996</v>
      </c>
      <c r="GZ91" s="13">
        <v>0</v>
      </c>
      <c r="HA91" s="13">
        <v>7.0396868333333318</v>
      </c>
      <c r="HB91" s="13">
        <v>6.9021983333333372</v>
      </c>
      <c r="HC91" s="13">
        <v>0</v>
      </c>
      <c r="HD91" s="13">
        <v>6.8563976666666617</v>
      </c>
      <c r="HE91" s="13">
        <v>6.9892808333333294</v>
      </c>
      <c r="HF91" s="13">
        <v>0.39854099999999965</v>
      </c>
      <c r="HG91" s="13">
        <v>0.55859600000000043</v>
      </c>
      <c r="HH91" s="13">
        <v>0.47613449999999935</v>
      </c>
      <c r="HI91" s="13">
        <v>0.48889283333333322</v>
      </c>
      <c r="HJ91" s="13">
        <v>0.49993099999999935</v>
      </c>
      <c r="HK91" s="13">
        <v>0.52290983333333374</v>
      </c>
      <c r="HL91" s="12">
        <v>0</v>
      </c>
      <c r="HM91" s="12">
        <v>0</v>
      </c>
      <c r="HN91" s="12">
        <v>0</v>
      </c>
      <c r="HO91" s="12">
        <v>0</v>
      </c>
      <c r="HP91" s="12">
        <v>0</v>
      </c>
      <c r="HQ91" s="12">
        <v>0</v>
      </c>
      <c r="HR91" s="12">
        <v>0</v>
      </c>
      <c r="HS91" s="12">
        <v>0</v>
      </c>
      <c r="HT91" s="12">
        <v>0</v>
      </c>
      <c r="HU91" s="12">
        <v>0</v>
      </c>
      <c r="HV91" s="12">
        <v>0</v>
      </c>
      <c r="HW91" s="12">
        <v>0</v>
      </c>
      <c r="HX91" s="9">
        <v>974262</v>
      </c>
      <c r="HY91" s="9">
        <v>1815</v>
      </c>
      <c r="HZ91" s="9">
        <v>960911</v>
      </c>
      <c r="IA91" s="9">
        <v>1837</v>
      </c>
      <c r="IB91" s="11">
        <v>240106.41899999999</v>
      </c>
      <c r="IC91" s="11">
        <v>544.26700000000005</v>
      </c>
      <c r="ID91" s="14">
        <f t="shared" ref="ID91:II91" si="877">GN91-HL91</f>
        <v>7.0890575000000045</v>
      </c>
      <c r="IE91" s="14">
        <f t="shared" si="877"/>
        <v>7.2423889999999984</v>
      </c>
      <c r="IF91" s="14">
        <f t="shared" si="877"/>
        <v>7.2411129999999977</v>
      </c>
      <c r="IG91" s="14">
        <f t="shared" si="877"/>
        <v>7.1987356666666624</v>
      </c>
      <c r="IH91" s="14">
        <f t="shared" si="877"/>
        <v>7.1156420000000011</v>
      </c>
      <c r="II91" s="14">
        <f t="shared" si="877"/>
        <v>7.2149671666666659</v>
      </c>
      <c r="IJ91" s="15">
        <f t="shared" ref="IJ91:IO91" si="878">GZ91-HR91</f>
        <v>0</v>
      </c>
      <c r="IK91" s="15">
        <f t="shared" si="878"/>
        <v>7.0396868333333318</v>
      </c>
      <c r="IL91" s="15">
        <f t="shared" si="878"/>
        <v>6.9021983333333372</v>
      </c>
      <c r="IM91" s="15">
        <f t="shared" si="878"/>
        <v>0</v>
      </c>
      <c r="IN91" s="15">
        <f t="shared" si="878"/>
        <v>6.8563976666666617</v>
      </c>
      <c r="IO91" s="15">
        <f t="shared" si="878"/>
        <v>6.9892808333333294</v>
      </c>
      <c r="IP91" s="16">
        <f t="shared" ref="IP91" si="879">(HX91-HX90)*1000</f>
        <v>837000</v>
      </c>
      <c r="IQ91" s="16">
        <f t="shared" ref="IQ91" si="880">(HY91-HY90)*1000</f>
        <v>1000</v>
      </c>
      <c r="IR91" s="16">
        <f t="shared" ref="IR91" si="881">(HZ91-HZ90)*1000</f>
        <v>831000</v>
      </c>
      <c r="IS91" s="16">
        <f t="shared" ref="IS91" si="882">(IA91-IA90)*1000</f>
        <v>2000</v>
      </c>
      <c r="IT91" s="16">
        <f t="shared" ref="IT91" si="883">(IB91-IB90)*1000</f>
        <v>1672199.9999999825</v>
      </c>
      <c r="IU91" s="16">
        <f t="shared" ref="IU91" si="884">(IC91-IC90)*1000</f>
        <v>3867.0000000000755</v>
      </c>
      <c r="IV91" s="17">
        <f t="shared" ref="IV91" si="885">(IP91+IR91)-(IQ91+IS91)</f>
        <v>1665000</v>
      </c>
      <c r="IW91" s="17">
        <f t="shared" ref="IW91" si="886">IT91-IU91</f>
        <v>1668332.9999999825</v>
      </c>
      <c r="IX91" s="19">
        <f>(Raw_Data[[#This Row],[Sunset Time (POA&lt;20 W/m2)]]-Raw_Data[[#This Row],[Sunrise Time (POA&gt;20 W/m2)]])*24</f>
        <v>13.283333333333331</v>
      </c>
      <c r="IY91" s="68">
        <f>AVERAGEIF(Raw_Data[[#This Row],[GHI_UP_Net_IS2_W1]:[GHI_UP_Net_IS19_W6]],"&lt;&gt;"&amp;0,Raw_Data[[#This Row],[GHI_UP_Net_IS2_W1]:[GHI_UP_Net_IS19_W6]])</f>
        <v>7.1836507222222217</v>
      </c>
      <c r="IZ91" s="68">
        <f>AVERAGEIF(Raw_Data[[#This Row],[GHI_Down_IS2_W1]:[GHI_Down_IS19_W6]],"&lt;&gt;"&amp;0,Raw_Data[[#This Row],[GHI_Down_IS2_W1]:[GHI_Down_IS19_W6]])</f>
        <v>1.6069933611111107</v>
      </c>
      <c r="JA91" s="68">
        <f>AVERAGEIF(Raw_Data[[#This Row],[POA_Up_IS2_W1]:[POA_Up_IS19_W6]],"&lt;&gt;"&amp;0,Raw_Data[[#This Row],[POA_Up_IS2_W1]:[POA_Up_IS19_W6]])</f>
        <v>6.946890916666665</v>
      </c>
      <c r="JB91" s="68">
        <f>AVERAGEIF(Raw_Data[[#This Row],[POA_Down_IS2_W1]:[POA_Down_IS19_W6]],"&lt;&gt;"&amp;0,Raw_Data[[#This Row],[POA_Down_IS2_W1]:[POA_Down_IS19_W6]])</f>
        <v>0.49083419444444432</v>
      </c>
      <c r="JC91" s="69">
        <f>Raw_Data[[#This Row],[GHI-Down(KWh/m2)]]/Raw_Data[[#This Row],[GHI-UP (KWh/m2)]]</f>
        <v>0.22370148873468565</v>
      </c>
      <c r="JD91" s="72">
        <f>Raw_Data[[#This Row],[POA-Down(KWh/m2)]]/Raw_Data[[#This Row],[POA-UP(KWh/m2)]]</f>
        <v>7.0655232726752226E-2</v>
      </c>
      <c r="JE91" s="68">
        <f>AVERAGEIF(Raw_Data[[#This Row],[Amb_Temp_IS2_W1]:[Amb_Temp_IS19_W6]],"&lt;&gt;"&amp;0,Raw_Data[[#This Row],[Amb_Temp_IS2_W1]:[Amb_Temp_IS19_W6]])</f>
        <v>34.131022727272729</v>
      </c>
      <c r="JF91" s="68">
        <f>AVERAGEIF(Raw_Data[[#This Row],[MT_Temp_IS2_W1]:[MT_Temp_IS19_W6]],"&lt;&gt;"&amp;0,Raw_Data[[#This Row],[MT_Temp_IS2_W1]:[MT_Temp_IS19_W6]])</f>
        <v>49.18772307239059</v>
      </c>
      <c r="JG91" s="68">
        <f>AVERAGEIF(Raw_Data[[#This Row],[WS_Avg_IS2_W1]:[WS_Avg_IS19_W6]],"&lt;&gt;"&amp;0,Raw_Data[[#This Row],[WS_Avg_IS2_W1]:[WS_Avg_IS19_W6]])</f>
        <v>3.2082132536679304</v>
      </c>
      <c r="JH91" s="68">
        <f>AVERAGEIF(Raw_Data[[#This Row],[WS_Max_IS2_W1]:[WS_Max_IS19_W6]],"&lt;&gt;"&amp;0,Raw_Data[[#This Row],[WS_Max_IS2_W1]:[WS_Max_IS19_W6]])</f>
        <v>7.2872219999999999</v>
      </c>
      <c r="JI91" s="70">
        <f>SUM(Raw_Data[[#This Row],[IS1_INV1_M1]:[IS20_INV4_M2]])</f>
        <v>1680946.4000000004</v>
      </c>
      <c r="JJ91" s="73">
        <v>1565816.8499999808</v>
      </c>
      <c r="JK91" s="71">
        <v>1874707.5867604273</v>
      </c>
      <c r="JL91" s="143">
        <f>IFERROR(Raw_Data[[#This Row],[WPR_Eac]]/Raw_Data[[#This Row],[WPR_Edc]],"")</f>
        <v>0.83523257763402847</v>
      </c>
      <c r="JM91" s="6">
        <v>22</v>
      </c>
      <c r="JN91" s="6">
        <v>12396</v>
      </c>
    </row>
    <row r="92" spans="2:274">
      <c r="B92" s="250">
        <f t="shared" si="596"/>
        <v>45831</v>
      </c>
      <c r="C92" s="9">
        <f>YEAR(Raw_Data[[#This Row],[Date]])+IF(MONTH(Raw_Data[[#This Row],[Date]])&gt;=4,1,0)</f>
        <v>2026</v>
      </c>
      <c r="D92" s="6">
        <f t="shared" si="845"/>
        <v>2025</v>
      </c>
      <c r="E92" s="7" t="s">
        <v>361</v>
      </c>
      <c r="F92" s="7" t="s">
        <v>361</v>
      </c>
      <c r="G92" s="8">
        <v>45809</v>
      </c>
      <c r="H92" s="6">
        <f t="shared" si="846"/>
        <v>30</v>
      </c>
      <c r="I92" s="9">
        <v>335090.89</v>
      </c>
      <c r="J92" s="10">
        <v>0.26805555555555555</v>
      </c>
      <c r="K92" s="10">
        <v>0.81111111111111112</v>
      </c>
      <c r="L92" s="9">
        <v>9711.9</v>
      </c>
      <c r="M92" s="9">
        <v>10251.700000000001</v>
      </c>
      <c r="N92" s="9">
        <v>10186.4</v>
      </c>
      <c r="O92" s="9">
        <v>10105.5</v>
      </c>
      <c r="P92" s="9">
        <v>10294.4</v>
      </c>
      <c r="Q92" s="9">
        <v>10316.799999999999</v>
      </c>
      <c r="R92" s="9">
        <v>10374.700000000001</v>
      </c>
      <c r="S92" s="9">
        <v>10729.5</v>
      </c>
      <c r="T92" s="9">
        <v>10314.6</v>
      </c>
      <c r="U92" s="9">
        <v>10401.6</v>
      </c>
      <c r="V92" s="9">
        <v>11224.2</v>
      </c>
      <c r="W92" s="9">
        <v>10305.200000000001</v>
      </c>
      <c r="X92" s="9">
        <v>11241.9</v>
      </c>
      <c r="Y92" s="9">
        <v>10163.9</v>
      </c>
      <c r="Z92" s="9">
        <v>10223</v>
      </c>
      <c r="AA92" s="9">
        <v>10289.799999999999</v>
      </c>
      <c r="AB92" s="9">
        <v>10225.4</v>
      </c>
      <c r="AC92" s="9">
        <v>10095.5</v>
      </c>
      <c r="AD92" s="9">
        <v>10238</v>
      </c>
      <c r="AE92" s="9">
        <v>10282.9</v>
      </c>
      <c r="AF92" s="9">
        <v>10272.799999999999</v>
      </c>
      <c r="AG92" s="9">
        <v>10147.5</v>
      </c>
      <c r="AH92" s="9">
        <v>10007.700000000001</v>
      </c>
      <c r="AI92" s="9">
        <v>10105.6</v>
      </c>
      <c r="AJ92" s="9">
        <v>9987</v>
      </c>
      <c r="AK92" s="9">
        <v>8709.7999999999993</v>
      </c>
      <c r="AL92" s="9">
        <v>9931</v>
      </c>
      <c r="AM92" s="9">
        <v>9927.6</v>
      </c>
      <c r="AN92" s="9">
        <v>10262.4</v>
      </c>
      <c r="AO92" s="9">
        <v>10247.6</v>
      </c>
      <c r="AP92" s="9">
        <v>10056.5</v>
      </c>
      <c r="AQ92" s="9">
        <v>10294.4</v>
      </c>
      <c r="AR92" s="9">
        <v>10335.6</v>
      </c>
      <c r="AS92" s="9">
        <v>10330.799999999999</v>
      </c>
      <c r="AT92" s="9">
        <v>10405.5</v>
      </c>
      <c r="AU92" s="9">
        <v>10327.700000000001</v>
      </c>
      <c r="AV92" s="9">
        <v>10419.200000000001</v>
      </c>
      <c r="AW92" s="9">
        <v>10210.700000000001</v>
      </c>
      <c r="AX92" s="9">
        <v>10277.5</v>
      </c>
      <c r="AY92" s="9">
        <v>10131</v>
      </c>
      <c r="AZ92" s="9">
        <v>11076.2</v>
      </c>
      <c r="BA92" s="9">
        <v>9832.6</v>
      </c>
      <c r="BB92" s="9">
        <v>10973.3</v>
      </c>
      <c r="BC92" s="9">
        <v>9602.2999999999993</v>
      </c>
      <c r="BD92" s="9">
        <v>10311.200000000001</v>
      </c>
      <c r="BE92" s="9">
        <v>11640</v>
      </c>
      <c r="BF92" s="9">
        <v>9724.7999999999993</v>
      </c>
      <c r="BG92" s="9">
        <v>11141.6</v>
      </c>
      <c r="BH92" s="9">
        <v>10313.1</v>
      </c>
      <c r="BI92" s="9">
        <v>10461.700000000001</v>
      </c>
      <c r="BJ92" s="9">
        <v>10269.799999999999</v>
      </c>
      <c r="BK92" s="9">
        <v>9696.5</v>
      </c>
      <c r="BL92" s="9">
        <v>10585.2</v>
      </c>
      <c r="BM92" s="9">
        <v>10555.4</v>
      </c>
      <c r="BN92" s="9">
        <v>10602.2</v>
      </c>
      <c r="BO92" s="9">
        <v>10450.200000000001</v>
      </c>
      <c r="BP92" s="9">
        <v>9335.7999999999993</v>
      </c>
      <c r="BQ92" s="9">
        <v>10885.4</v>
      </c>
      <c r="BR92" s="9">
        <v>9320.6</v>
      </c>
      <c r="BS92" s="9">
        <v>10735.6</v>
      </c>
      <c r="BT92" s="9">
        <v>10564.1</v>
      </c>
      <c r="BU92" s="9">
        <v>9351.6</v>
      </c>
      <c r="BV92" s="9">
        <v>10485.5</v>
      </c>
      <c r="BW92" s="9">
        <v>9947.2999999999993</v>
      </c>
      <c r="BX92" s="9">
        <v>10081.299999999999</v>
      </c>
      <c r="BY92" s="9">
        <v>9462.7000000000007</v>
      </c>
      <c r="BZ92" s="9">
        <v>9980.2000000000007</v>
      </c>
      <c r="CA92" s="9">
        <v>10445.9</v>
      </c>
      <c r="CB92" s="9">
        <v>10808.9</v>
      </c>
      <c r="CC92" s="9">
        <v>9648</v>
      </c>
      <c r="CD92" s="9">
        <v>10652</v>
      </c>
      <c r="CE92" s="9">
        <v>9168.2000000000007</v>
      </c>
      <c r="CF92" s="9">
        <v>10328.6</v>
      </c>
      <c r="CG92" s="9">
        <v>10009.299999999999</v>
      </c>
      <c r="CH92" s="9">
        <v>9502.1</v>
      </c>
      <c r="CI92" s="9">
        <v>10663.4</v>
      </c>
      <c r="CJ92" s="9">
        <v>9280.1</v>
      </c>
      <c r="CK92" s="9">
        <v>10894.2</v>
      </c>
      <c r="CL92" s="9">
        <v>9440.2999999999993</v>
      </c>
      <c r="CM92" s="9">
        <v>10663.5</v>
      </c>
      <c r="CN92" s="9">
        <v>9657.7000000000007</v>
      </c>
      <c r="CO92" s="9">
        <v>10473.6</v>
      </c>
      <c r="CP92" s="9">
        <v>9777.2000000000007</v>
      </c>
      <c r="CQ92" s="9">
        <v>10835.7</v>
      </c>
      <c r="CR92" s="9">
        <v>9637.4</v>
      </c>
      <c r="CS92" s="9">
        <v>10307.1</v>
      </c>
      <c r="CT92" s="9">
        <v>9674.6</v>
      </c>
      <c r="CU92" s="9">
        <v>8461.9</v>
      </c>
      <c r="CV92" s="9">
        <v>10661.7</v>
      </c>
      <c r="CW92" s="9">
        <v>10176.5</v>
      </c>
      <c r="CX92" s="9">
        <v>9379.2000000000007</v>
      </c>
      <c r="CY92" s="9">
        <v>10986.2</v>
      </c>
      <c r="CZ92" s="9">
        <v>10598.9</v>
      </c>
      <c r="DA92" s="9">
        <v>9752.7000000000007</v>
      </c>
      <c r="DB92" s="9">
        <v>9645.6</v>
      </c>
      <c r="DC92" s="9">
        <v>10756.7</v>
      </c>
      <c r="DD92" s="9">
        <v>9589.5</v>
      </c>
      <c r="DE92" s="9">
        <v>9903.2999999999993</v>
      </c>
      <c r="DF92" s="9">
        <v>10916</v>
      </c>
      <c r="DG92" s="9">
        <v>9460.2999999999993</v>
      </c>
      <c r="DH92" s="9">
        <v>10901.8</v>
      </c>
      <c r="DI92" s="9">
        <v>9443.7999999999993</v>
      </c>
      <c r="DJ92" s="9">
        <v>10548.4</v>
      </c>
      <c r="DK92" s="9">
        <v>9671.7000000000007</v>
      </c>
      <c r="DL92" s="9">
        <v>10677.3</v>
      </c>
      <c r="DM92" s="9">
        <v>9166.1</v>
      </c>
      <c r="DN92" s="9">
        <v>10718.3</v>
      </c>
      <c r="DO92" s="9">
        <v>9592.5</v>
      </c>
      <c r="DP92" s="9">
        <v>10511.2</v>
      </c>
      <c r="DQ92" s="9">
        <v>9510.9</v>
      </c>
      <c r="DR92" s="9">
        <v>10633.9</v>
      </c>
      <c r="DS92" s="9">
        <v>9671.7999999999993</v>
      </c>
      <c r="DT92" s="9">
        <v>9467.6</v>
      </c>
      <c r="DU92" s="9">
        <v>10526.8</v>
      </c>
      <c r="DV92" s="9">
        <v>9610.6</v>
      </c>
      <c r="DW92" s="9">
        <v>9393</v>
      </c>
      <c r="DX92" s="9">
        <v>10683.8</v>
      </c>
      <c r="DY92" s="9">
        <v>10686.7</v>
      </c>
      <c r="DZ92" s="9">
        <v>10520.5</v>
      </c>
      <c r="EA92" s="9">
        <v>9563.7000000000007</v>
      </c>
      <c r="EB92" s="9">
        <v>10621.6</v>
      </c>
      <c r="EC92" s="9">
        <v>9433.7000000000007</v>
      </c>
      <c r="ED92" s="9">
        <v>10373.1</v>
      </c>
      <c r="EE92" s="9">
        <v>9543.5</v>
      </c>
      <c r="EF92" s="9">
        <v>10226.9</v>
      </c>
      <c r="EG92" s="9">
        <v>8852.5</v>
      </c>
      <c r="EH92" s="9">
        <v>10308.4</v>
      </c>
      <c r="EI92" s="9">
        <v>9449.7000000000007</v>
      </c>
      <c r="EJ92" s="9">
        <v>9646.5</v>
      </c>
      <c r="EK92" s="9">
        <v>9752</v>
      </c>
      <c r="EL92" s="9">
        <v>9535.2000000000007</v>
      </c>
      <c r="EM92" s="9">
        <v>8222.9</v>
      </c>
      <c r="EN92" s="9">
        <v>9551.2000000000007</v>
      </c>
      <c r="EO92" s="9">
        <v>8450.4</v>
      </c>
      <c r="EP92" s="9">
        <v>9601.7000000000007</v>
      </c>
      <c r="EQ92" s="9">
        <v>9632.1</v>
      </c>
      <c r="ER92" s="9">
        <v>11199.6</v>
      </c>
      <c r="ES92" s="9">
        <v>9699.7000000000007</v>
      </c>
      <c r="ET92" s="9">
        <v>11255.9</v>
      </c>
      <c r="EU92" s="9">
        <v>9823.4</v>
      </c>
      <c r="EV92" s="9">
        <v>11148.1</v>
      </c>
      <c r="EW92" s="9">
        <v>9861.6</v>
      </c>
      <c r="EX92" s="9">
        <v>10022.700000000001</v>
      </c>
      <c r="EY92" s="9">
        <v>9812.6</v>
      </c>
      <c r="EZ92" s="9">
        <v>10742</v>
      </c>
      <c r="FA92" s="9">
        <v>11206</v>
      </c>
      <c r="FB92" s="9">
        <v>11022.3</v>
      </c>
      <c r="FC92" s="9">
        <v>11021.9</v>
      </c>
      <c r="FD92" s="9">
        <v>11035.2</v>
      </c>
      <c r="FE92" s="9">
        <v>11087.5</v>
      </c>
      <c r="FF92" s="9">
        <v>9980</v>
      </c>
      <c r="FG92" s="9">
        <v>11118</v>
      </c>
      <c r="FH92" s="9">
        <v>11207.3</v>
      </c>
      <c r="FI92" s="9">
        <v>11249.1</v>
      </c>
      <c r="FJ92" s="9">
        <v>11296</v>
      </c>
      <c r="FK92" s="9">
        <v>11211</v>
      </c>
      <c r="FL92" s="9">
        <v>11221.8</v>
      </c>
      <c r="FM92" s="9">
        <v>9938.6</v>
      </c>
      <c r="FN92" s="9">
        <v>11247.7</v>
      </c>
      <c r="FO92" s="9">
        <v>9999</v>
      </c>
      <c r="FP92" s="11">
        <v>34.701675257731942</v>
      </c>
      <c r="FQ92" s="11">
        <v>34.596623711340207</v>
      </c>
      <c r="FR92" s="11">
        <v>34.938788659793808</v>
      </c>
      <c r="FS92" s="11">
        <v>34.65356958762888</v>
      </c>
      <c r="FT92" s="11">
        <v>34.500193298969059</v>
      </c>
      <c r="FU92" s="11">
        <v>34.863350515463914</v>
      </c>
      <c r="FV92" s="11">
        <v>0</v>
      </c>
      <c r="FW92" s="11">
        <v>47.1</v>
      </c>
      <c r="FX92" s="11">
        <v>0</v>
      </c>
      <c r="FY92" s="11">
        <v>0</v>
      </c>
      <c r="FZ92" s="11">
        <v>46.3</v>
      </c>
      <c r="GA92" s="11">
        <v>46.6</v>
      </c>
      <c r="GB92" s="11">
        <v>1.591071676301544</v>
      </c>
      <c r="GC92" s="11">
        <v>4.2752038453608279</v>
      </c>
      <c r="GD92" s="11">
        <v>3.721853341752583</v>
      </c>
      <c r="GE92" s="11">
        <v>4.3021797795103138</v>
      </c>
      <c r="GF92" s="11">
        <v>4.1833524974226854</v>
      </c>
      <c r="GG92" s="11">
        <v>4.0934749073453593</v>
      </c>
      <c r="GH92" s="11">
        <v>5.9349999999999996</v>
      </c>
      <c r="GI92" s="11">
        <v>6.8766660000000002</v>
      </c>
      <c r="GJ92" s="11">
        <v>7.6683329999999996</v>
      </c>
      <c r="GK92" s="11">
        <v>7.1066659999999997</v>
      </c>
      <c r="GL92" s="11">
        <v>6.9333330000000002</v>
      </c>
      <c r="GM92" s="11">
        <v>7.4233330000000004</v>
      </c>
      <c r="GN92" s="11">
        <v>5.8364558333333356</v>
      </c>
      <c r="GO92" s="11">
        <v>5.9161473333333383</v>
      </c>
      <c r="GP92" s="11">
        <v>5.9402393333333352</v>
      </c>
      <c r="GQ92" s="11">
        <v>5.9162130000000035</v>
      </c>
      <c r="GR92" s="11">
        <v>5.9465214999999967</v>
      </c>
      <c r="GS92" s="11">
        <v>5.9500769999999958</v>
      </c>
      <c r="GT92" s="108">
        <v>1.3759068333333364</v>
      </c>
      <c r="GU92" s="108">
        <v>1.2798066666666668</v>
      </c>
      <c r="GV92" s="108">
        <v>1.3128764999999996</v>
      </c>
      <c r="GW92" s="108">
        <v>1.6065705000000012</v>
      </c>
      <c r="GX92" s="108">
        <v>1.5567231666666674</v>
      </c>
      <c r="GY92" s="108">
        <v>1.2196275000000005</v>
      </c>
      <c r="GZ92" s="13">
        <v>0</v>
      </c>
      <c r="HA92" s="13">
        <v>5.7441521666666722</v>
      </c>
      <c r="HB92" s="13">
        <v>5.6845913333333353</v>
      </c>
      <c r="HC92" s="13">
        <v>0</v>
      </c>
      <c r="HD92" s="13">
        <v>5.7685028333333319</v>
      </c>
      <c r="HE92" s="13">
        <v>5.69816216666666</v>
      </c>
      <c r="HF92" s="13">
        <v>0.37958116666666625</v>
      </c>
      <c r="HG92" s="13">
        <v>0.52196833333333359</v>
      </c>
      <c r="HH92" s="13">
        <v>0.45173216666666671</v>
      </c>
      <c r="HI92" s="13">
        <v>0.46333583333333372</v>
      </c>
      <c r="HJ92" s="13">
        <v>0.48745783333333376</v>
      </c>
      <c r="HK92" s="13">
        <v>0.49078016666666685</v>
      </c>
      <c r="HL92" s="12">
        <v>0</v>
      </c>
      <c r="HM92" s="12">
        <v>0</v>
      </c>
      <c r="HN92" s="12">
        <v>0</v>
      </c>
      <c r="HO92" s="12">
        <v>0</v>
      </c>
      <c r="HP92" s="12">
        <v>0</v>
      </c>
      <c r="HQ92" s="12">
        <v>0</v>
      </c>
      <c r="HR92" s="12">
        <v>0</v>
      </c>
      <c r="HS92" s="12">
        <v>0</v>
      </c>
      <c r="HT92" s="12">
        <v>0</v>
      </c>
      <c r="HU92" s="12">
        <v>0</v>
      </c>
      <c r="HV92" s="12">
        <v>0</v>
      </c>
      <c r="HW92" s="12">
        <v>0</v>
      </c>
      <c r="HX92" s="9">
        <v>975072</v>
      </c>
      <c r="HY92" s="9">
        <v>1815</v>
      </c>
      <c r="HZ92" s="9">
        <v>961721</v>
      </c>
      <c r="IA92" s="9">
        <v>1837</v>
      </c>
      <c r="IB92" s="11">
        <v>241728.75200000001</v>
      </c>
      <c r="IC92" s="11">
        <v>548.13300000000004</v>
      </c>
      <c r="ID92" s="14">
        <f t="shared" ref="ID92:II92" si="887">GN92-HL92</f>
        <v>5.8364558333333356</v>
      </c>
      <c r="IE92" s="14">
        <f t="shared" si="887"/>
        <v>5.9161473333333383</v>
      </c>
      <c r="IF92" s="14">
        <f t="shared" si="887"/>
        <v>5.9402393333333352</v>
      </c>
      <c r="IG92" s="14">
        <f t="shared" si="887"/>
        <v>5.9162130000000035</v>
      </c>
      <c r="IH92" s="14">
        <f t="shared" si="887"/>
        <v>5.9465214999999967</v>
      </c>
      <c r="II92" s="14">
        <f t="shared" si="887"/>
        <v>5.9500769999999958</v>
      </c>
      <c r="IJ92" s="15">
        <f t="shared" ref="IJ92:IO92" si="888">GZ92-HR92</f>
        <v>0</v>
      </c>
      <c r="IK92" s="15">
        <f t="shared" si="888"/>
        <v>5.7441521666666722</v>
      </c>
      <c r="IL92" s="15">
        <f t="shared" si="888"/>
        <v>5.6845913333333353</v>
      </c>
      <c r="IM92" s="15">
        <f t="shared" si="888"/>
        <v>0</v>
      </c>
      <c r="IN92" s="15">
        <f t="shared" si="888"/>
        <v>5.7685028333333319</v>
      </c>
      <c r="IO92" s="15">
        <f t="shared" si="888"/>
        <v>5.69816216666666</v>
      </c>
      <c r="IP92" s="16">
        <f t="shared" ref="IP92" si="889">(HX92-HX91)*1000</f>
        <v>810000</v>
      </c>
      <c r="IQ92" s="16">
        <f t="shared" ref="IQ92" si="890">(HY92-HY91)*1000</f>
        <v>0</v>
      </c>
      <c r="IR92" s="16">
        <f t="shared" ref="IR92" si="891">(HZ92-HZ91)*1000</f>
        <v>810000</v>
      </c>
      <c r="IS92" s="16">
        <f t="shared" ref="IS92" si="892">(IA92-IA91)*1000</f>
        <v>0</v>
      </c>
      <c r="IT92" s="16">
        <f t="shared" ref="IT92" si="893">(IB92-IB91)*1000</f>
        <v>1622333.0000000133</v>
      </c>
      <c r="IU92" s="16">
        <f t="shared" ref="IU92" si="894">(IC92-IC91)*1000</f>
        <v>3865.9999999999854</v>
      </c>
      <c r="IV92" s="17">
        <f t="shared" ref="IV92" si="895">(IP92+IR92)-(IQ92+IS92)</f>
        <v>1620000</v>
      </c>
      <c r="IW92" s="17">
        <f t="shared" ref="IW92" si="896">IT92-IU92</f>
        <v>1618467.0000000133</v>
      </c>
      <c r="IX92" s="19">
        <f>(Raw_Data[[#This Row],[Sunset Time (POA&lt;20 W/m2)]]-Raw_Data[[#This Row],[Sunrise Time (POA&gt;20 W/m2)]])*24</f>
        <v>13.033333333333335</v>
      </c>
      <c r="IY92" s="68">
        <f>AVERAGEIF(Raw_Data[[#This Row],[GHI_UP_Net_IS2_W1]:[GHI_UP_Net_IS19_W6]],"&lt;&gt;"&amp;0,Raw_Data[[#This Row],[GHI_UP_Net_IS2_W1]:[GHI_UP_Net_IS19_W6]])</f>
        <v>5.9176089999999997</v>
      </c>
      <c r="IZ92" s="68">
        <f>AVERAGEIF(Raw_Data[[#This Row],[GHI_Down_IS2_W1]:[GHI_Down_IS19_W6]],"&lt;&gt;"&amp;0,Raw_Data[[#This Row],[GHI_Down_IS2_W1]:[GHI_Down_IS19_W6]])</f>
        <v>1.3919185277777786</v>
      </c>
      <c r="JA92" s="68">
        <f>AVERAGEIF(Raw_Data[[#This Row],[POA_Up_IS2_W1]:[POA_Up_IS19_W6]],"&lt;&gt;"&amp;0,Raw_Data[[#This Row],[POA_Up_IS2_W1]:[POA_Up_IS19_W6]])</f>
        <v>5.7238521249999996</v>
      </c>
      <c r="JB92" s="68">
        <f>AVERAGEIF(Raw_Data[[#This Row],[POA_Down_IS2_W1]:[POA_Down_IS19_W6]],"&lt;&gt;"&amp;0,Raw_Data[[#This Row],[POA_Down_IS2_W1]:[POA_Down_IS19_W6]])</f>
        <v>0.46580925000000012</v>
      </c>
      <c r="JC92" s="69">
        <f>Raw_Data[[#This Row],[GHI-Down(KWh/m2)]]/Raw_Data[[#This Row],[GHI-UP (KWh/m2)]]</f>
        <v>0.23521637333216483</v>
      </c>
      <c r="JD92" s="72">
        <f>Raw_Data[[#This Row],[POA-Down(KWh/m2)]]/Raw_Data[[#This Row],[POA-UP(KWh/m2)]]</f>
        <v>8.1380378078862434E-2</v>
      </c>
      <c r="JE92" s="68">
        <f>AVERAGEIF(Raw_Data[[#This Row],[Amb_Temp_IS2_W1]:[Amb_Temp_IS19_W6]],"&lt;&gt;"&amp;0,Raw_Data[[#This Row],[Amb_Temp_IS2_W1]:[Amb_Temp_IS19_W6]])</f>
        <v>34.709033505154636</v>
      </c>
      <c r="JF92" s="68">
        <f>AVERAGEIF(Raw_Data[[#This Row],[MT_Temp_IS2_W1]:[MT_Temp_IS19_W6]],"&lt;&gt;"&amp;0,Raw_Data[[#This Row],[MT_Temp_IS2_W1]:[MT_Temp_IS19_W6]])</f>
        <v>46.666666666666664</v>
      </c>
      <c r="JG92" s="68">
        <f>AVERAGEIF(Raw_Data[[#This Row],[WS_Avg_IS2_W1]:[WS_Avg_IS19_W6]],"&lt;&gt;"&amp;0,Raw_Data[[#This Row],[WS_Avg_IS2_W1]:[WS_Avg_IS19_W6]])</f>
        <v>3.6945226746155524</v>
      </c>
      <c r="JH92" s="68">
        <f>AVERAGEIF(Raw_Data[[#This Row],[WS_Max_IS2_W1]:[WS_Max_IS19_W6]],"&lt;&gt;"&amp;0,Raw_Data[[#This Row],[WS_Max_IS2_W1]:[WS_Max_IS19_W6]])</f>
        <v>6.9905551666666668</v>
      </c>
      <c r="JI92" s="70">
        <f>SUM(Raw_Data[[#This Row],[IS1_INV1_M1]:[IS20_INV4_M2]])</f>
        <v>1631016.0999999996</v>
      </c>
      <c r="JJ92" s="73">
        <v>1588733.9999999967</v>
      </c>
      <c r="JK92" s="71">
        <v>1893570.7850249552</v>
      </c>
      <c r="JL92" s="143">
        <f>IFERROR(Raw_Data[[#This Row],[WPR_Eac]]/Raw_Data[[#This Row],[WPR_Edc]],"")</f>
        <v>0.83901484568957319</v>
      </c>
      <c r="JM92" s="6">
        <v>19</v>
      </c>
      <c r="JN92" s="6">
        <v>7070</v>
      </c>
    </row>
    <row r="93" spans="2:274">
      <c r="B93" s="250">
        <f t="shared" si="596"/>
        <v>45832</v>
      </c>
      <c r="C93" s="9">
        <f>YEAR(Raw_Data[[#This Row],[Date]])+IF(MONTH(Raw_Data[[#This Row],[Date]])&gt;=4,1,0)</f>
        <v>2026</v>
      </c>
      <c r="D93" s="6">
        <f t="shared" si="845"/>
        <v>2025</v>
      </c>
      <c r="E93" s="7" t="s">
        <v>361</v>
      </c>
      <c r="F93" s="7" t="s">
        <v>361</v>
      </c>
      <c r="G93" s="8">
        <v>45809</v>
      </c>
      <c r="H93" s="6">
        <f t="shared" si="846"/>
        <v>30</v>
      </c>
      <c r="I93" s="9">
        <v>335090.89</v>
      </c>
      <c r="J93" s="10">
        <v>0.27013888888888887</v>
      </c>
      <c r="K93" s="10">
        <v>0.81319444444444444</v>
      </c>
      <c r="L93" s="9">
        <v>10840.9</v>
      </c>
      <c r="M93" s="9">
        <v>11460.2</v>
      </c>
      <c r="N93" s="9">
        <v>11463.7</v>
      </c>
      <c r="O93" s="9">
        <v>11379</v>
      </c>
      <c r="P93" s="9">
        <v>11563.1</v>
      </c>
      <c r="Q93" s="9">
        <v>11551.2</v>
      </c>
      <c r="R93" s="9">
        <v>11598.7</v>
      </c>
      <c r="S93" s="9">
        <v>11955.8</v>
      </c>
      <c r="T93" s="9">
        <v>11483.4</v>
      </c>
      <c r="U93" s="9">
        <v>11585.1</v>
      </c>
      <c r="V93" s="9">
        <v>12491.5</v>
      </c>
      <c r="W93" s="9">
        <v>11453.3</v>
      </c>
      <c r="X93" s="9">
        <v>12508.9</v>
      </c>
      <c r="Y93" s="9">
        <v>11354.4</v>
      </c>
      <c r="Z93" s="9">
        <v>11449.9</v>
      </c>
      <c r="AA93" s="9">
        <v>11480.2</v>
      </c>
      <c r="AB93" s="9">
        <v>11368.5</v>
      </c>
      <c r="AC93" s="9">
        <v>11357.7</v>
      </c>
      <c r="AD93" s="9">
        <v>11382.4</v>
      </c>
      <c r="AE93" s="9">
        <v>11475.3</v>
      </c>
      <c r="AF93" s="9">
        <v>11393.7</v>
      </c>
      <c r="AG93" s="9">
        <v>11362.1</v>
      </c>
      <c r="AH93" s="9">
        <v>11128.3</v>
      </c>
      <c r="AI93" s="9">
        <v>11225.5</v>
      </c>
      <c r="AJ93" s="9">
        <v>11061.3</v>
      </c>
      <c r="AK93" s="9">
        <v>9651.7000000000007</v>
      </c>
      <c r="AL93" s="9">
        <v>11037.4</v>
      </c>
      <c r="AM93" s="9">
        <v>11021.2</v>
      </c>
      <c r="AN93" s="9">
        <v>11435.5</v>
      </c>
      <c r="AO93" s="9">
        <v>11376.1</v>
      </c>
      <c r="AP93" s="9">
        <v>11192</v>
      </c>
      <c r="AQ93" s="9">
        <v>11428.8</v>
      </c>
      <c r="AR93" s="9">
        <v>11392.6</v>
      </c>
      <c r="AS93" s="9">
        <v>11401.4</v>
      </c>
      <c r="AT93" s="9">
        <v>11485.4</v>
      </c>
      <c r="AU93" s="9">
        <v>11401.8</v>
      </c>
      <c r="AV93" s="9">
        <v>11548.9</v>
      </c>
      <c r="AW93" s="9">
        <v>11338.2</v>
      </c>
      <c r="AX93" s="9">
        <v>11394.9</v>
      </c>
      <c r="AY93" s="9">
        <v>11333.3</v>
      </c>
      <c r="AZ93" s="9">
        <v>12373.2</v>
      </c>
      <c r="BA93" s="9">
        <v>11024.1</v>
      </c>
      <c r="BB93" s="9">
        <v>12228.9</v>
      </c>
      <c r="BC93" s="9">
        <v>10848.2</v>
      </c>
      <c r="BD93" s="9">
        <v>11518.9</v>
      </c>
      <c r="BE93" s="9">
        <v>12953.9</v>
      </c>
      <c r="BF93" s="9">
        <v>10891.2</v>
      </c>
      <c r="BG93" s="9">
        <v>12455.8</v>
      </c>
      <c r="BH93" s="9">
        <v>11536.2</v>
      </c>
      <c r="BI93" s="9">
        <v>11674.4</v>
      </c>
      <c r="BJ93" s="9">
        <v>11429.3</v>
      </c>
      <c r="BK93" s="9">
        <v>10756.2</v>
      </c>
      <c r="BL93" s="9">
        <v>11841.3</v>
      </c>
      <c r="BM93" s="9">
        <v>11716.4</v>
      </c>
      <c r="BN93" s="9">
        <v>11717</v>
      </c>
      <c r="BO93" s="9">
        <v>11685.3</v>
      </c>
      <c r="BP93" s="9">
        <v>10332.700000000001</v>
      </c>
      <c r="BQ93" s="9">
        <v>11970.9</v>
      </c>
      <c r="BR93" s="9">
        <v>10417.200000000001</v>
      </c>
      <c r="BS93" s="9">
        <v>11974.2</v>
      </c>
      <c r="BT93" s="9">
        <v>11831.1</v>
      </c>
      <c r="BU93" s="9">
        <v>10398.4</v>
      </c>
      <c r="BV93" s="9">
        <v>11607.6</v>
      </c>
      <c r="BW93" s="9">
        <v>11019.8</v>
      </c>
      <c r="BX93" s="9">
        <v>11048.9</v>
      </c>
      <c r="BY93" s="9">
        <v>10394.700000000001</v>
      </c>
      <c r="BZ93" s="9">
        <v>10989.4</v>
      </c>
      <c r="CA93" s="9">
        <v>11564</v>
      </c>
      <c r="CB93" s="9">
        <v>11854.4</v>
      </c>
      <c r="CC93" s="9">
        <v>10649.2</v>
      </c>
      <c r="CD93" s="9">
        <v>11689.1</v>
      </c>
      <c r="CE93" s="9">
        <v>10227.4</v>
      </c>
      <c r="CF93" s="9">
        <v>11334.7</v>
      </c>
      <c r="CG93" s="9">
        <v>11170</v>
      </c>
      <c r="CH93" s="9">
        <v>10490.6</v>
      </c>
      <c r="CI93" s="9">
        <v>11791.9</v>
      </c>
      <c r="CJ93" s="9">
        <v>10347.1</v>
      </c>
      <c r="CK93" s="9">
        <v>12079.1</v>
      </c>
      <c r="CL93" s="9">
        <v>10565.6</v>
      </c>
      <c r="CM93" s="9">
        <v>11830.9</v>
      </c>
      <c r="CN93" s="9">
        <v>10709.1</v>
      </c>
      <c r="CO93" s="9">
        <v>11606.7</v>
      </c>
      <c r="CP93" s="9">
        <v>10840</v>
      </c>
      <c r="CQ93" s="9">
        <v>12012.3</v>
      </c>
      <c r="CR93" s="9">
        <v>10670.4</v>
      </c>
      <c r="CS93" s="9">
        <v>11388.3</v>
      </c>
      <c r="CT93" s="9">
        <v>10613.3</v>
      </c>
      <c r="CU93" s="9">
        <v>9320</v>
      </c>
      <c r="CV93" s="9">
        <v>11716.1</v>
      </c>
      <c r="CW93" s="9">
        <v>11169.4</v>
      </c>
      <c r="CX93" s="9">
        <v>10324.4</v>
      </c>
      <c r="CY93" s="9">
        <v>12072.1</v>
      </c>
      <c r="CZ93" s="9">
        <v>11654.5</v>
      </c>
      <c r="DA93" s="9">
        <v>10723.8</v>
      </c>
      <c r="DB93" s="9">
        <v>10602.3</v>
      </c>
      <c r="DC93" s="9">
        <v>11807</v>
      </c>
      <c r="DD93" s="9">
        <v>10589.6</v>
      </c>
      <c r="DE93" s="9">
        <v>11013.1</v>
      </c>
      <c r="DF93" s="9">
        <v>12152.7</v>
      </c>
      <c r="DG93" s="9">
        <v>10569.2</v>
      </c>
      <c r="DH93" s="9">
        <v>12190.1</v>
      </c>
      <c r="DI93" s="9">
        <v>10566</v>
      </c>
      <c r="DJ93" s="9">
        <v>11813.1</v>
      </c>
      <c r="DK93" s="9">
        <v>10835.4</v>
      </c>
      <c r="DL93" s="9">
        <v>11906.3</v>
      </c>
      <c r="DM93" s="9">
        <v>10255.4</v>
      </c>
      <c r="DN93" s="9">
        <v>11959.5</v>
      </c>
      <c r="DO93" s="9">
        <v>10711.7</v>
      </c>
      <c r="DP93" s="9">
        <v>11722.7</v>
      </c>
      <c r="DQ93" s="9">
        <v>10598.7</v>
      </c>
      <c r="DR93" s="9">
        <v>11824.7</v>
      </c>
      <c r="DS93" s="9">
        <v>10854.9</v>
      </c>
      <c r="DT93" s="9">
        <v>10578.4</v>
      </c>
      <c r="DU93" s="9">
        <v>11768.1</v>
      </c>
      <c r="DV93" s="9">
        <v>10679.9</v>
      </c>
      <c r="DW93" s="9">
        <v>10499.2</v>
      </c>
      <c r="DX93" s="9">
        <v>11917.4</v>
      </c>
      <c r="DY93" s="9">
        <v>11958.9</v>
      </c>
      <c r="DZ93" s="9">
        <v>11659.4</v>
      </c>
      <c r="EA93" s="9">
        <v>10620.8</v>
      </c>
      <c r="EB93" s="9">
        <v>11882.7</v>
      </c>
      <c r="EC93" s="9">
        <v>10566.3</v>
      </c>
      <c r="ED93" s="9">
        <v>11571.9</v>
      </c>
      <c r="EE93" s="9">
        <v>10691.3</v>
      </c>
      <c r="EF93" s="9">
        <v>11416.8</v>
      </c>
      <c r="EG93" s="9">
        <v>9933.2999999999993</v>
      </c>
      <c r="EH93" s="9">
        <v>11561.4</v>
      </c>
      <c r="EI93" s="9">
        <v>10595.5</v>
      </c>
      <c r="EJ93" s="9">
        <v>10797.4</v>
      </c>
      <c r="EK93" s="9">
        <v>10869.6</v>
      </c>
      <c r="EL93" s="9">
        <v>10645.7</v>
      </c>
      <c r="EM93" s="9">
        <v>9195</v>
      </c>
      <c r="EN93" s="9">
        <v>10642.4</v>
      </c>
      <c r="EO93" s="9">
        <v>9401.1</v>
      </c>
      <c r="EP93" s="9">
        <v>10699.5</v>
      </c>
      <c r="EQ93" s="9">
        <v>10742.4</v>
      </c>
      <c r="ER93" s="9">
        <v>12532.9</v>
      </c>
      <c r="ES93" s="9">
        <v>10840.8</v>
      </c>
      <c r="ET93" s="9">
        <v>12572.4</v>
      </c>
      <c r="EU93" s="9">
        <v>10999.2</v>
      </c>
      <c r="EV93" s="9">
        <v>12464.8</v>
      </c>
      <c r="EW93" s="9">
        <v>11026.1</v>
      </c>
      <c r="EX93" s="9">
        <v>11218</v>
      </c>
      <c r="EY93" s="9">
        <v>10969.2</v>
      </c>
      <c r="EZ93" s="9">
        <v>12052.1</v>
      </c>
      <c r="FA93" s="9">
        <v>12566.3</v>
      </c>
      <c r="FB93" s="9">
        <v>12363.7</v>
      </c>
      <c r="FC93" s="9">
        <v>12335.4</v>
      </c>
      <c r="FD93" s="9">
        <v>12374.8</v>
      </c>
      <c r="FE93" s="9">
        <v>12429.7</v>
      </c>
      <c r="FF93" s="9">
        <v>11142.7</v>
      </c>
      <c r="FG93" s="9">
        <v>12449.1</v>
      </c>
      <c r="FH93" s="9">
        <v>12547.8</v>
      </c>
      <c r="FI93" s="9">
        <v>12571</v>
      </c>
      <c r="FJ93" s="9">
        <v>12649.3</v>
      </c>
      <c r="FK93" s="9">
        <v>12574.5</v>
      </c>
      <c r="FL93" s="9">
        <v>12589.6</v>
      </c>
      <c r="FM93" s="9">
        <v>11178.7</v>
      </c>
      <c r="FN93" s="9">
        <v>12357.9</v>
      </c>
      <c r="FO93" s="9">
        <v>11209.1</v>
      </c>
      <c r="FP93" s="11">
        <v>35.771701030927836</v>
      </c>
      <c r="FQ93" s="11">
        <v>35.701829896907192</v>
      </c>
      <c r="FR93" s="11">
        <v>36.067358247422646</v>
      </c>
      <c r="FS93" s="11">
        <v>35.732409793814433</v>
      </c>
      <c r="FT93" s="11">
        <v>35.550051546391764</v>
      </c>
      <c r="FU93" s="11">
        <v>35.977396907216516</v>
      </c>
      <c r="FV93" s="11">
        <v>0</v>
      </c>
      <c r="FW93" s="11">
        <v>49.6</v>
      </c>
      <c r="FX93" s="11">
        <v>0</v>
      </c>
      <c r="FY93" s="11">
        <v>0</v>
      </c>
      <c r="FZ93" s="11">
        <v>48.989086739690748</v>
      </c>
      <c r="GA93" s="11">
        <v>49.5</v>
      </c>
      <c r="GB93" s="11">
        <v>1.1972400747164951</v>
      </c>
      <c r="GC93" s="11">
        <v>4.6037111398195911</v>
      </c>
      <c r="GD93" s="11">
        <v>3.9504551546391715</v>
      </c>
      <c r="GE93" s="11">
        <v>4.3731892546005193</v>
      </c>
      <c r="GF93" s="11">
        <v>4.4733997396907208</v>
      </c>
      <c r="GG93" s="11">
        <v>4.4856849394329918</v>
      </c>
      <c r="GH93" s="11">
        <v>6.9066660000000004</v>
      </c>
      <c r="GI93" s="11">
        <v>7.94</v>
      </c>
      <c r="GJ93" s="11">
        <v>7.52</v>
      </c>
      <c r="GK93" s="11">
        <v>7.7983330000000004</v>
      </c>
      <c r="GL93" s="11">
        <v>8.6583330000000007</v>
      </c>
      <c r="GM93" s="11">
        <v>7.3066659999999999</v>
      </c>
      <c r="GN93" s="11">
        <v>6.6141761666666667</v>
      </c>
      <c r="GO93" s="11">
        <v>6.6472095000000042</v>
      </c>
      <c r="GP93" s="11">
        <v>6.7556249999999931</v>
      </c>
      <c r="GQ93" s="11">
        <v>6.6040448333333339</v>
      </c>
      <c r="GR93" s="11">
        <v>6.7434469999999997</v>
      </c>
      <c r="GS93" s="11">
        <v>6.7858198333333313</v>
      </c>
      <c r="GT93" s="108">
        <v>1.5451595000000027</v>
      </c>
      <c r="GU93" s="108">
        <v>1.4926591666666684</v>
      </c>
      <c r="GV93" s="108">
        <v>1.4688163333333337</v>
      </c>
      <c r="GW93" s="108">
        <v>1.7645700000000026</v>
      </c>
      <c r="GX93" s="108">
        <v>1.8122559999999999</v>
      </c>
      <c r="GY93" s="108">
        <v>1.4538799999999994</v>
      </c>
      <c r="GZ93" s="13">
        <v>0</v>
      </c>
      <c r="HA93" s="13">
        <v>6.4427773333333347</v>
      </c>
      <c r="HB93" s="13">
        <v>6.4588121666666662</v>
      </c>
      <c r="HC93" s="13">
        <v>0</v>
      </c>
      <c r="HD93" s="13">
        <v>6.5126175000000011</v>
      </c>
      <c r="HE93" s="13">
        <v>6.537962333333339</v>
      </c>
      <c r="HF93" s="13">
        <v>0.43791866666666718</v>
      </c>
      <c r="HG93" s="13">
        <v>0.56503783333333357</v>
      </c>
      <c r="HH93" s="13">
        <v>0.49019533333333359</v>
      </c>
      <c r="HI93" s="13">
        <v>0.49753566666666654</v>
      </c>
      <c r="HJ93" s="13">
        <v>0.53143466666666606</v>
      </c>
      <c r="HK93" s="13">
        <v>0.54258116666666667</v>
      </c>
      <c r="HL93" s="12">
        <v>0</v>
      </c>
      <c r="HM93" s="12">
        <v>0</v>
      </c>
      <c r="HN93" s="12">
        <v>0</v>
      </c>
      <c r="HO93" s="12">
        <v>0</v>
      </c>
      <c r="HP93" s="12">
        <v>0</v>
      </c>
      <c r="HQ93" s="12">
        <v>0</v>
      </c>
      <c r="HR93" s="12">
        <v>0</v>
      </c>
      <c r="HS93" s="12">
        <v>0</v>
      </c>
      <c r="HT93" s="12">
        <v>0</v>
      </c>
      <c r="HU93" s="12">
        <v>0</v>
      </c>
      <c r="HV93" s="12">
        <v>0</v>
      </c>
      <c r="HW93" s="12">
        <v>0</v>
      </c>
      <c r="HX93" s="9">
        <v>975972</v>
      </c>
      <c r="HY93" s="9">
        <v>1817</v>
      </c>
      <c r="HZ93" s="9">
        <v>962624</v>
      </c>
      <c r="IA93" s="9">
        <v>1840</v>
      </c>
      <c r="IB93" s="11">
        <v>243533.95199999999</v>
      </c>
      <c r="IC93" s="11">
        <v>552</v>
      </c>
      <c r="ID93" s="14">
        <f t="shared" ref="ID93:II93" si="897">GN93-HL93</f>
        <v>6.6141761666666667</v>
      </c>
      <c r="IE93" s="14">
        <f t="shared" si="897"/>
        <v>6.6472095000000042</v>
      </c>
      <c r="IF93" s="14">
        <f t="shared" si="897"/>
        <v>6.7556249999999931</v>
      </c>
      <c r="IG93" s="14">
        <f t="shared" si="897"/>
        <v>6.6040448333333339</v>
      </c>
      <c r="IH93" s="14">
        <f t="shared" si="897"/>
        <v>6.7434469999999997</v>
      </c>
      <c r="II93" s="14">
        <f t="shared" si="897"/>
        <v>6.7858198333333313</v>
      </c>
      <c r="IJ93" s="15">
        <f t="shared" ref="IJ93:IO93" si="898">GZ93-HR93</f>
        <v>0</v>
      </c>
      <c r="IK93" s="15">
        <f t="shared" si="898"/>
        <v>6.4427773333333347</v>
      </c>
      <c r="IL93" s="15">
        <f t="shared" si="898"/>
        <v>6.4588121666666662</v>
      </c>
      <c r="IM93" s="15">
        <f t="shared" si="898"/>
        <v>0</v>
      </c>
      <c r="IN93" s="15">
        <f t="shared" si="898"/>
        <v>6.5126175000000011</v>
      </c>
      <c r="IO93" s="15">
        <f t="shared" si="898"/>
        <v>6.537962333333339</v>
      </c>
      <c r="IP93" s="16">
        <f t="shared" ref="IP93" si="899">(HX93-HX92)*1000</f>
        <v>900000</v>
      </c>
      <c r="IQ93" s="16">
        <f t="shared" ref="IQ93" si="900">(HY93-HY92)*1000</f>
        <v>2000</v>
      </c>
      <c r="IR93" s="16">
        <f t="shared" ref="IR93" si="901">(HZ93-HZ92)*1000</f>
        <v>903000</v>
      </c>
      <c r="IS93" s="16">
        <f t="shared" ref="IS93" si="902">(IA93-IA92)*1000</f>
        <v>3000</v>
      </c>
      <c r="IT93" s="16">
        <f t="shared" ref="IT93" si="903">(IB93-IB92)*1000</f>
        <v>1805199.9999999825</v>
      </c>
      <c r="IU93" s="16">
        <f t="shared" ref="IU93" si="904">(IC93-IC92)*1000</f>
        <v>3866.9999999999618</v>
      </c>
      <c r="IV93" s="17">
        <f t="shared" ref="IV93" si="905">(IP93+IR93)-(IQ93+IS93)</f>
        <v>1798000</v>
      </c>
      <c r="IW93" s="17">
        <f t="shared" ref="IW93" si="906">IT93-IU93</f>
        <v>1801332.9999999825</v>
      </c>
      <c r="IX93" s="19">
        <f>(Raw_Data[[#This Row],[Sunset Time (POA&lt;20 W/m2)]]-Raw_Data[[#This Row],[Sunrise Time (POA&gt;20 W/m2)]])*24</f>
        <v>13.033333333333335</v>
      </c>
      <c r="IY93" s="68">
        <f>AVERAGEIF(Raw_Data[[#This Row],[GHI_UP_Net_IS2_W1]:[GHI_UP_Net_IS19_W6]],"&lt;&gt;"&amp;0,Raw_Data[[#This Row],[GHI_UP_Net_IS2_W1]:[GHI_UP_Net_IS19_W6]])</f>
        <v>6.6917203888888892</v>
      </c>
      <c r="IZ93" s="68">
        <f>AVERAGEIF(Raw_Data[[#This Row],[GHI_Down_IS2_W1]:[GHI_Down_IS19_W6]],"&lt;&gt;"&amp;0,Raw_Data[[#This Row],[GHI_Down_IS2_W1]:[GHI_Down_IS19_W6]])</f>
        <v>1.5895568333333345</v>
      </c>
      <c r="JA93" s="68">
        <f>AVERAGEIF(Raw_Data[[#This Row],[POA_Up_IS2_W1]:[POA_Up_IS19_W6]],"&lt;&gt;"&amp;0,Raw_Data[[#This Row],[POA_Up_IS2_W1]:[POA_Up_IS19_W6]])</f>
        <v>6.4880423333333352</v>
      </c>
      <c r="JB93" s="68">
        <f>AVERAGEIF(Raw_Data[[#This Row],[POA_Down_IS2_W1]:[POA_Down_IS19_W6]],"&lt;&gt;"&amp;0,Raw_Data[[#This Row],[POA_Down_IS2_W1]:[POA_Down_IS19_W6]])</f>
        <v>0.51078388888888882</v>
      </c>
      <c r="JC93" s="69">
        <f>Raw_Data[[#This Row],[GHI-Down(KWh/m2)]]/Raw_Data[[#This Row],[GHI-UP (KWh/m2)]]</f>
        <v>0.23754083269418683</v>
      </c>
      <c r="JD93" s="72">
        <f>Raw_Data[[#This Row],[POA-Down(KWh/m2)]]/Raw_Data[[#This Row],[POA-UP(KWh/m2)]]</f>
        <v>7.8726966108814744E-2</v>
      </c>
      <c r="JE93" s="68">
        <f>AVERAGEIF(Raw_Data[[#This Row],[Amb_Temp_IS2_W1]:[Amb_Temp_IS19_W6]],"&lt;&gt;"&amp;0,Raw_Data[[#This Row],[Amb_Temp_IS2_W1]:[Amb_Temp_IS19_W6]])</f>
        <v>35.800124570446734</v>
      </c>
      <c r="JF93" s="68">
        <f>AVERAGEIF(Raw_Data[[#This Row],[MT_Temp_IS2_W1]:[MT_Temp_IS19_W6]],"&lt;&gt;"&amp;0,Raw_Data[[#This Row],[MT_Temp_IS2_W1]:[MT_Temp_IS19_W6]])</f>
        <v>49.363028913230245</v>
      </c>
      <c r="JG93" s="68">
        <f>AVERAGEIF(Raw_Data[[#This Row],[WS_Avg_IS2_W1]:[WS_Avg_IS19_W6]],"&lt;&gt;"&amp;0,Raw_Data[[#This Row],[WS_Avg_IS2_W1]:[WS_Avg_IS19_W6]])</f>
        <v>3.8472800504832478</v>
      </c>
      <c r="JH93" s="68">
        <f>AVERAGEIF(Raw_Data[[#This Row],[WS_Max_IS2_W1]:[WS_Max_IS19_W6]],"&lt;&gt;"&amp;0,Raw_Data[[#This Row],[WS_Max_IS2_W1]:[WS_Max_IS19_W6]])</f>
        <v>7.6883330000000001</v>
      </c>
      <c r="JI93" s="70">
        <f>SUM(Raw_Data[[#This Row],[IS1_INV1_M1]:[IS20_INV4_M2]])</f>
        <v>1815744.7999999996</v>
      </c>
      <c r="JJ93" s="73">
        <v>1781200.0000000116</v>
      </c>
      <c r="JK93" s="71">
        <v>2137857.1058387249</v>
      </c>
      <c r="JL93" s="143">
        <f>IFERROR(Raw_Data[[#This Row],[WPR_Eac]]/Raw_Data[[#This Row],[WPR_Edc]],"")</f>
        <v>0.83317074613422804</v>
      </c>
      <c r="JM93" s="6">
        <v>23</v>
      </c>
      <c r="JN93" s="6">
        <v>3081</v>
      </c>
    </row>
    <row r="94" spans="2:274">
      <c r="B94" s="250">
        <f t="shared" si="596"/>
        <v>45833</v>
      </c>
      <c r="C94" s="9">
        <f>YEAR(Raw_Data[[#This Row],[Date]])+IF(MONTH(Raw_Data[[#This Row],[Date]])&gt;=4,1,0)</f>
        <v>2026</v>
      </c>
      <c r="D94" s="6">
        <f t="shared" ref="D94:D99" si="907">YEAR(B94)</f>
        <v>2025</v>
      </c>
      <c r="E94" s="7" t="s">
        <v>361</v>
      </c>
      <c r="F94" s="7" t="s">
        <v>361</v>
      </c>
      <c r="G94" s="8">
        <v>45809</v>
      </c>
      <c r="H94" s="6">
        <f t="shared" ref="H94:H99" si="908">DAY(EOMONTH(B94,0))</f>
        <v>30</v>
      </c>
      <c r="I94" s="9">
        <v>335090.89</v>
      </c>
      <c r="J94" s="10">
        <v>0.26527777777777778</v>
      </c>
      <c r="K94" s="10">
        <v>0.80763888888888891</v>
      </c>
      <c r="L94" s="9">
        <v>10091.299999999999</v>
      </c>
      <c r="M94" s="9">
        <v>10610.2</v>
      </c>
      <c r="N94" s="9">
        <v>10601</v>
      </c>
      <c r="O94" s="9">
        <v>10511</v>
      </c>
      <c r="P94" s="9">
        <v>10718.1</v>
      </c>
      <c r="Q94" s="9">
        <v>10757.8</v>
      </c>
      <c r="R94" s="9">
        <v>10808.9</v>
      </c>
      <c r="S94" s="9">
        <v>11166.5</v>
      </c>
      <c r="T94" s="9">
        <v>10702.6</v>
      </c>
      <c r="U94" s="9">
        <v>10772.9</v>
      </c>
      <c r="V94" s="9">
        <v>11640</v>
      </c>
      <c r="W94" s="9">
        <v>10689.3</v>
      </c>
      <c r="X94" s="9">
        <v>11749.9</v>
      </c>
      <c r="Y94" s="9">
        <v>10660.5</v>
      </c>
      <c r="Z94" s="9">
        <v>10793.4</v>
      </c>
      <c r="AA94" s="9">
        <v>10801.5</v>
      </c>
      <c r="AB94" s="9">
        <v>10760.7</v>
      </c>
      <c r="AC94" s="9">
        <v>10600.3</v>
      </c>
      <c r="AD94" s="9">
        <v>10783.4</v>
      </c>
      <c r="AE94" s="9">
        <v>10829</v>
      </c>
      <c r="AF94" s="9">
        <v>10834.2</v>
      </c>
      <c r="AG94" s="9">
        <v>10543.8</v>
      </c>
      <c r="AH94" s="9">
        <v>10581.9</v>
      </c>
      <c r="AI94" s="9">
        <v>10684</v>
      </c>
      <c r="AJ94" s="9">
        <v>10567.8</v>
      </c>
      <c r="AK94" s="9">
        <v>9228.9</v>
      </c>
      <c r="AL94" s="9">
        <v>10492.1</v>
      </c>
      <c r="AM94" s="9">
        <v>10510.3</v>
      </c>
      <c r="AN94" s="9">
        <v>10881.1</v>
      </c>
      <c r="AO94" s="9">
        <v>10748</v>
      </c>
      <c r="AP94" s="9">
        <v>10570.9</v>
      </c>
      <c r="AQ94" s="9">
        <v>10853</v>
      </c>
      <c r="AR94" s="9">
        <v>10765.2</v>
      </c>
      <c r="AS94" s="9">
        <v>10775.3</v>
      </c>
      <c r="AT94" s="9">
        <v>10945.6</v>
      </c>
      <c r="AU94" s="9">
        <v>10834.3</v>
      </c>
      <c r="AV94" s="9">
        <v>10938.3</v>
      </c>
      <c r="AW94" s="9">
        <v>10682.1</v>
      </c>
      <c r="AX94" s="9">
        <v>10746.8</v>
      </c>
      <c r="AY94" s="9">
        <v>10546.8</v>
      </c>
      <c r="AZ94" s="9">
        <v>11512.7</v>
      </c>
      <c r="BA94" s="9">
        <v>10194.6</v>
      </c>
      <c r="BB94" s="9">
        <v>11405</v>
      </c>
      <c r="BC94" s="9">
        <v>10037.9</v>
      </c>
      <c r="BD94" s="9">
        <v>10779.5</v>
      </c>
      <c r="BE94" s="9">
        <v>12075.5</v>
      </c>
      <c r="BF94" s="9">
        <v>10191.299999999999</v>
      </c>
      <c r="BG94" s="9">
        <v>11583.9</v>
      </c>
      <c r="BH94" s="9">
        <v>10774.6</v>
      </c>
      <c r="BI94" s="9">
        <v>10986</v>
      </c>
      <c r="BJ94" s="9">
        <v>10800.7</v>
      </c>
      <c r="BK94" s="9">
        <v>10193.9</v>
      </c>
      <c r="BL94" s="9">
        <v>10946</v>
      </c>
      <c r="BM94" s="9">
        <v>11080.9</v>
      </c>
      <c r="BN94" s="9">
        <v>11096.2</v>
      </c>
      <c r="BO94" s="9">
        <v>11032.5</v>
      </c>
      <c r="BP94" s="9">
        <v>9779.7999999999993</v>
      </c>
      <c r="BQ94" s="9">
        <v>11293</v>
      </c>
      <c r="BR94" s="9">
        <v>9799.2999999999993</v>
      </c>
      <c r="BS94" s="9">
        <v>11239.7</v>
      </c>
      <c r="BT94" s="9">
        <v>10980.3</v>
      </c>
      <c r="BU94" s="9">
        <v>9765.9</v>
      </c>
      <c r="BV94" s="9">
        <v>10843.9</v>
      </c>
      <c r="BW94" s="9">
        <v>10308.299999999999</v>
      </c>
      <c r="BX94" s="9">
        <v>10409.299999999999</v>
      </c>
      <c r="BY94" s="9">
        <v>9762.1</v>
      </c>
      <c r="BZ94" s="9">
        <v>10315.1</v>
      </c>
      <c r="CA94" s="9">
        <v>10792.8</v>
      </c>
      <c r="CB94" s="9">
        <v>11126.4</v>
      </c>
      <c r="CC94" s="9">
        <v>9936.2999999999993</v>
      </c>
      <c r="CD94" s="9">
        <v>10927.4</v>
      </c>
      <c r="CE94" s="9">
        <v>9470.1</v>
      </c>
      <c r="CF94" s="9">
        <v>10656.6</v>
      </c>
      <c r="CG94" s="9">
        <v>10327.9</v>
      </c>
      <c r="CH94" s="9">
        <v>9820.9</v>
      </c>
      <c r="CI94" s="9">
        <v>10955.2</v>
      </c>
      <c r="CJ94" s="9">
        <v>9630.2000000000007</v>
      </c>
      <c r="CK94" s="9">
        <v>11246.8</v>
      </c>
      <c r="CL94" s="9">
        <v>9645</v>
      </c>
      <c r="CM94" s="9">
        <v>11037.3</v>
      </c>
      <c r="CN94" s="9">
        <v>9976.2999999999993</v>
      </c>
      <c r="CO94" s="9">
        <v>10802.6</v>
      </c>
      <c r="CP94" s="9">
        <v>10130.4</v>
      </c>
      <c r="CQ94" s="9">
        <v>10957.3</v>
      </c>
      <c r="CR94" s="9">
        <v>9985.7999999999993</v>
      </c>
      <c r="CS94" s="9">
        <v>10640</v>
      </c>
      <c r="CT94" s="9">
        <v>9984.2999999999993</v>
      </c>
      <c r="CU94" s="9">
        <v>8616.2000000000007</v>
      </c>
      <c r="CV94" s="9">
        <v>11052.7</v>
      </c>
      <c r="CW94" s="9">
        <v>10539.5</v>
      </c>
      <c r="CX94" s="9">
        <v>9777.1</v>
      </c>
      <c r="CY94" s="9">
        <v>11391.2</v>
      </c>
      <c r="CZ94" s="9">
        <v>11010.4</v>
      </c>
      <c r="DA94" s="9">
        <v>10109.200000000001</v>
      </c>
      <c r="DB94" s="9">
        <v>9848</v>
      </c>
      <c r="DC94" s="9">
        <v>11144.5</v>
      </c>
      <c r="DD94" s="9">
        <v>9934.7999999999993</v>
      </c>
      <c r="DE94" s="9">
        <v>10235.6</v>
      </c>
      <c r="DF94" s="9">
        <v>11264.1</v>
      </c>
      <c r="DG94" s="9">
        <v>9754.6</v>
      </c>
      <c r="DH94" s="9">
        <v>11326.6</v>
      </c>
      <c r="DI94" s="9">
        <v>9783.4</v>
      </c>
      <c r="DJ94" s="9">
        <v>10949.1</v>
      </c>
      <c r="DK94" s="9">
        <v>9985.2999999999993</v>
      </c>
      <c r="DL94" s="9">
        <v>11073.5</v>
      </c>
      <c r="DM94" s="9">
        <v>9444.4</v>
      </c>
      <c r="DN94" s="9">
        <v>11122.8</v>
      </c>
      <c r="DO94" s="9">
        <v>9957.9</v>
      </c>
      <c r="DP94" s="9">
        <v>10970.9</v>
      </c>
      <c r="DQ94" s="9">
        <v>9980</v>
      </c>
      <c r="DR94" s="9">
        <v>11096.1</v>
      </c>
      <c r="DS94" s="9">
        <v>9873.7000000000007</v>
      </c>
      <c r="DT94" s="9">
        <v>9703.1</v>
      </c>
      <c r="DU94" s="9">
        <v>10842.9</v>
      </c>
      <c r="DV94" s="9">
        <v>9885.9</v>
      </c>
      <c r="DW94" s="9">
        <v>9686.2000000000007</v>
      </c>
      <c r="DX94" s="9">
        <v>11064.2</v>
      </c>
      <c r="DY94" s="9">
        <v>11057.2</v>
      </c>
      <c r="DZ94" s="9">
        <v>10889.4</v>
      </c>
      <c r="EA94" s="9">
        <v>9932.2000000000007</v>
      </c>
      <c r="EB94" s="9">
        <v>11052.7</v>
      </c>
      <c r="EC94" s="9">
        <v>9853.2000000000007</v>
      </c>
      <c r="ED94" s="9">
        <v>10817.9</v>
      </c>
      <c r="EE94" s="9">
        <v>9758.1</v>
      </c>
      <c r="EF94" s="9">
        <v>10718.5</v>
      </c>
      <c r="EG94" s="9">
        <v>9112.9</v>
      </c>
      <c r="EH94" s="9">
        <v>10787.1</v>
      </c>
      <c r="EI94" s="9">
        <v>9866.6</v>
      </c>
      <c r="EJ94" s="9">
        <v>9757.6</v>
      </c>
      <c r="EK94" s="9">
        <v>10098</v>
      </c>
      <c r="EL94" s="9">
        <v>9908.7000000000007</v>
      </c>
      <c r="EM94" s="9">
        <v>8520.4</v>
      </c>
      <c r="EN94" s="9">
        <v>9864.4</v>
      </c>
      <c r="EO94" s="9">
        <v>8750.6</v>
      </c>
      <c r="EP94" s="9">
        <v>9936.7000000000007</v>
      </c>
      <c r="EQ94" s="9">
        <v>10015.700000000001</v>
      </c>
      <c r="ER94" s="9">
        <v>11829.2</v>
      </c>
      <c r="ES94" s="9">
        <v>10315.5</v>
      </c>
      <c r="ET94" s="9">
        <v>11872.6</v>
      </c>
      <c r="EU94" s="9">
        <v>10406.1</v>
      </c>
      <c r="EV94" s="9">
        <v>11689</v>
      </c>
      <c r="EW94" s="9">
        <v>10347.700000000001</v>
      </c>
      <c r="EX94" s="9">
        <v>10475.4</v>
      </c>
      <c r="EY94" s="9">
        <v>10251</v>
      </c>
      <c r="EZ94" s="9">
        <v>11472.4</v>
      </c>
      <c r="FA94" s="9">
        <v>11912</v>
      </c>
      <c r="FB94" s="9">
        <v>11494.3</v>
      </c>
      <c r="FC94" s="9">
        <v>11666.9</v>
      </c>
      <c r="FD94" s="9">
        <v>11683.3</v>
      </c>
      <c r="FE94" s="9">
        <v>11716.7</v>
      </c>
      <c r="FF94" s="9">
        <v>10558.5</v>
      </c>
      <c r="FG94" s="9">
        <v>11729.7</v>
      </c>
      <c r="FH94" s="9">
        <v>11691.4</v>
      </c>
      <c r="FI94" s="9">
        <v>11910.1</v>
      </c>
      <c r="FJ94" s="9">
        <v>11976.4</v>
      </c>
      <c r="FK94" s="9">
        <v>11703.3</v>
      </c>
      <c r="FL94" s="9">
        <v>11905.3</v>
      </c>
      <c r="FM94" s="9">
        <v>10647.2</v>
      </c>
      <c r="FN94" s="9">
        <v>11752.2</v>
      </c>
      <c r="FO94" s="9">
        <v>10655.4</v>
      </c>
      <c r="FP94" s="11">
        <v>35.268049792531123</v>
      </c>
      <c r="FQ94" s="11">
        <v>35.155186721991697</v>
      </c>
      <c r="FR94" s="11">
        <v>35.497814661134122</v>
      </c>
      <c r="FS94" s="11">
        <v>35.248603042876901</v>
      </c>
      <c r="FT94" s="11">
        <v>35.005739972337487</v>
      </c>
      <c r="FU94" s="11">
        <v>35.471023513139691</v>
      </c>
      <c r="FV94" s="11">
        <v>0</v>
      </c>
      <c r="FW94" s="11">
        <v>50.007455048409355</v>
      </c>
      <c r="FX94" s="11">
        <v>0</v>
      </c>
      <c r="FY94" s="11">
        <v>0</v>
      </c>
      <c r="FZ94" s="11">
        <v>49.1</v>
      </c>
      <c r="GA94" s="11">
        <v>49.7</v>
      </c>
      <c r="GB94" s="11">
        <v>0.65264174391424679</v>
      </c>
      <c r="GC94" s="11">
        <v>4.3465789022129968</v>
      </c>
      <c r="GD94" s="11">
        <v>3.9638518520055293</v>
      </c>
      <c r="GE94" s="11">
        <v>4.4565304739972387</v>
      </c>
      <c r="GF94" s="11">
        <v>4.2315396872752427</v>
      </c>
      <c r="GG94" s="11">
        <v>4.2318601120331971</v>
      </c>
      <c r="GH94" s="11">
        <v>4.8949999999999996</v>
      </c>
      <c r="GI94" s="11">
        <v>8.16</v>
      </c>
      <c r="GJ94" s="11">
        <v>7.6399990000000004</v>
      </c>
      <c r="GK94" s="11">
        <v>8.4316659999999999</v>
      </c>
      <c r="GL94" s="11">
        <v>7.9583339999999998</v>
      </c>
      <c r="GM94" s="11">
        <v>7.3033340000000004</v>
      </c>
      <c r="GN94" s="11">
        <v>6.1675001666666631</v>
      </c>
      <c r="GO94" s="11">
        <v>6.2940215000000004</v>
      </c>
      <c r="GP94" s="11">
        <v>6.303188666666661</v>
      </c>
      <c r="GQ94" s="11">
        <v>6.1408934999999998</v>
      </c>
      <c r="GR94" s="11">
        <v>6.1853566666666797</v>
      </c>
      <c r="GS94" s="11">
        <v>6.3752421666666743</v>
      </c>
      <c r="GT94" s="108">
        <v>1.4511436666666659</v>
      </c>
      <c r="GU94" s="108">
        <v>1.4075588333333351</v>
      </c>
      <c r="GV94" s="108">
        <v>1.3824983333333321</v>
      </c>
      <c r="GW94" s="108">
        <v>1.6680103333333332</v>
      </c>
      <c r="GX94" s="108">
        <v>1.6439226666666682</v>
      </c>
      <c r="GY94" s="108">
        <v>1.3608779999999996</v>
      </c>
      <c r="GZ94" s="13">
        <v>0</v>
      </c>
      <c r="HA94" s="13">
        <v>6.1320961666666616</v>
      </c>
      <c r="HB94" s="13">
        <v>6.0204898333333334</v>
      </c>
      <c r="HC94" s="13">
        <v>0</v>
      </c>
      <c r="HD94" s="13">
        <v>5.9970670000000004</v>
      </c>
      <c r="HE94" s="13">
        <v>6.1644349999999966</v>
      </c>
      <c r="HF94" s="13">
        <v>0.44565566666666684</v>
      </c>
      <c r="HG94" s="13">
        <v>0.56358700000000039</v>
      </c>
      <c r="HH94" s="13">
        <v>0.48232666666666668</v>
      </c>
      <c r="HI94" s="13">
        <v>0.4926243333333335</v>
      </c>
      <c r="HJ94" s="13">
        <v>0.50583716666666645</v>
      </c>
      <c r="HK94" s="13">
        <v>0.53207549999999959</v>
      </c>
      <c r="HL94" s="12">
        <v>0</v>
      </c>
      <c r="HM94" s="12">
        <v>0</v>
      </c>
      <c r="HN94" s="12">
        <v>0</v>
      </c>
      <c r="HO94" s="12">
        <v>0</v>
      </c>
      <c r="HP94" s="12">
        <v>0</v>
      </c>
      <c r="HQ94" s="12">
        <v>0</v>
      </c>
      <c r="HR94" s="12">
        <v>0</v>
      </c>
      <c r="HS94" s="12">
        <v>0</v>
      </c>
      <c r="HT94" s="12">
        <v>0</v>
      </c>
      <c r="HU94" s="12">
        <v>0</v>
      </c>
      <c r="HV94" s="12">
        <v>0</v>
      </c>
      <c r="HW94" s="12">
        <v>0</v>
      </c>
      <c r="HX94" s="9">
        <v>976817</v>
      </c>
      <c r="HY94" s="9">
        <v>1818</v>
      </c>
      <c r="HZ94" s="9">
        <v>963468</v>
      </c>
      <c r="IA94" s="9">
        <v>1840</v>
      </c>
      <c r="IB94" s="11">
        <v>245224.886</v>
      </c>
      <c r="IC94" s="11">
        <v>555.79999999999995</v>
      </c>
      <c r="ID94" s="14">
        <f t="shared" ref="ID94:II94" si="909">GN94-HL94</f>
        <v>6.1675001666666631</v>
      </c>
      <c r="IE94" s="14">
        <f t="shared" si="909"/>
        <v>6.2940215000000004</v>
      </c>
      <c r="IF94" s="14">
        <f t="shared" si="909"/>
        <v>6.303188666666661</v>
      </c>
      <c r="IG94" s="14">
        <f t="shared" si="909"/>
        <v>6.1408934999999998</v>
      </c>
      <c r="IH94" s="14">
        <f t="shared" si="909"/>
        <v>6.1853566666666797</v>
      </c>
      <c r="II94" s="14">
        <f t="shared" si="909"/>
        <v>6.3752421666666743</v>
      </c>
      <c r="IJ94" s="15">
        <f t="shared" ref="IJ94:IO94" si="910">GZ94-HR94</f>
        <v>0</v>
      </c>
      <c r="IK94" s="15">
        <f t="shared" si="910"/>
        <v>6.1320961666666616</v>
      </c>
      <c r="IL94" s="15">
        <f t="shared" si="910"/>
        <v>6.0204898333333334</v>
      </c>
      <c r="IM94" s="15">
        <f t="shared" si="910"/>
        <v>0</v>
      </c>
      <c r="IN94" s="15">
        <f t="shared" si="910"/>
        <v>5.9970670000000004</v>
      </c>
      <c r="IO94" s="15">
        <f t="shared" si="910"/>
        <v>6.1644349999999966</v>
      </c>
      <c r="IP94" s="16">
        <f t="shared" ref="IP94" si="911">(HX94-HX93)*1000</f>
        <v>845000</v>
      </c>
      <c r="IQ94" s="16">
        <f t="shared" ref="IQ94" si="912">(HY94-HY93)*1000</f>
        <v>1000</v>
      </c>
      <c r="IR94" s="16">
        <f t="shared" ref="IR94" si="913">(HZ94-HZ93)*1000</f>
        <v>844000</v>
      </c>
      <c r="IS94" s="16">
        <f t="shared" ref="IS94" si="914">(IA94-IA93)*1000</f>
        <v>0</v>
      </c>
      <c r="IT94" s="16">
        <f t="shared" ref="IT94" si="915">(IB94-IB93)*1000</f>
        <v>1690934.0000000084</v>
      </c>
      <c r="IU94" s="16">
        <f t="shared" ref="IU94" si="916">(IC94-IC93)*1000</f>
        <v>3799.9999999999545</v>
      </c>
      <c r="IV94" s="17">
        <f t="shared" ref="IV94" si="917">(IP94+IR94)-(IQ94+IS94)</f>
        <v>1688000</v>
      </c>
      <c r="IW94" s="17">
        <f t="shared" ref="IW94" si="918">IT94-IU94</f>
        <v>1687134.0000000084</v>
      </c>
      <c r="IX94" s="19">
        <f>(Raw_Data[[#This Row],[Sunset Time (POA&lt;20 W/m2)]]-Raw_Data[[#This Row],[Sunrise Time (POA&gt;20 W/m2)]])*24</f>
        <v>13.016666666666666</v>
      </c>
      <c r="IY94" s="68">
        <f>AVERAGEIF(Raw_Data[[#This Row],[GHI_UP_Net_IS2_W1]:[GHI_UP_Net_IS19_W6]],"&lt;&gt;"&amp;0,Raw_Data[[#This Row],[GHI_UP_Net_IS2_W1]:[GHI_UP_Net_IS19_W6]])</f>
        <v>6.2443671111111128</v>
      </c>
      <c r="IZ94" s="68">
        <f>AVERAGEIF(Raw_Data[[#This Row],[GHI_Down_IS2_W1]:[GHI_Down_IS19_W6]],"&lt;&gt;"&amp;0,Raw_Data[[#This Row],[GHI_Down_IS2_W1]:[GHI_Down_IS19_W6]])</f>
        <v>1.4856686388888889</v>
      </c>
      <c r="JA94" s="68">
        <f>AVERAGEIF(Raw_Data[[#This Row],[POA_Up_IS2_W1]:[POA_Up_IS19_W6]],"&lt;&gt;"&amp;0,Raw_Data[[#This Row],[POA_Up_IS2_W1]:[POA_Up_IS19_W6]])</f>
        <v>6.0785219999999986</v>
      </c>
      <c r="JB94" s="68">
        <f>AVERAGEIF(Raw_Data[[#This Row],[POA_Down_IS2_W1]:[POA_Down_IS19_W6]],"&lt;&gt;"&amp;0,Raw_Data[[#This Row],[POA_Down_IS2_W1]:[POA_Down_IS19_W6]])</f>
        <v>0.50368438888888889</v>
      </c>
      <c r="JC94" s="69">
        <f>Raw_Data[[#This Row],[GHI-Down(KWh/m2)]]/Raw_Data[[#This Row],[GHI-UP (KWh/m2)]]</f>
        <v>0.23792141180253756</v>
      </c>
      <c r="JD94" s="72">
        <f>Raw_Data[[#This Row],[POA-Down(KWh/m2)]]/Raw_Data[[#This Row],[POA-UP(KWh/m2)]]</f>
        <v>8.2862970453819032E-2</v>
      </c>
      <c r="JE94" s="68">
        <f>AVERAGEIF(Raw_Data[[#This Row],[Amb_Temp_IS2_W1]:[Amb_Temp_IS19_W6]],"&lt;&gt;"&amp;0,Raw_Data[[#This Row],[Amb_Temp_IS2_W1]:[Amb_Temp_IS19_W6]])</f>
        <v>35.27440295066851</v>
      </c>
      <c r="JF94" s="68">
        <f>AVERAGEIF(Raw_Data[[#This Row],[MT_Temp_IS2_W1]:[MT_Temp_IS19_W6]],"&lt;&gt;"&amp;0,Raw_Data[[#This Row],[MT_Temp_IS2_W1]:[MT_Temp_IS19_W6]])</f>
        <v>49.602485016136448</v>
      </c>
      <c r="JG94" s="68">
        <f>AVERAGEIF(Raw_Data[[#This Row],[WS_Avg_IS2_W1]:[WS_Avg_IS19_W6]],"&lt;&gt;"&amp;0,Raw_Data[[#This Row],[WS_Avg_IS2_W1]:[WS_Avg_IS19_W6]])</f>
        <v>3.6471671285730749</v>
      </c>
      <c r="JH94" s="68">
        <f>AVERAGEIF(Raw_Data[[#This Row],[WS_Max_IS2_W1]:[WS_Max_IS19_W6]],"&lt;&gt;"&amp;0,Raw_Data[[#This Row],[WS_Max_IS2_W1]:[WS_Max_IS19_W6]])</f>
        <v>7.398055499999999</v>
      </c>
      <c r="JI94" s="70">
        <f>SUM(Raw_Data[[#This Row],[IS1_INV1_M1]:[IS20_INV4_M2]])</f>
        <v>1699799.5999999994</v>
      </c>
      <c r="JJ94" s="73">
        <v>1667866.9999999984</v>
      </c>
      <c r="JK94" s="71">
        <v>2014273.4669000513</v>
      </c>
      <c r="JL94" s="143">
        <f>IFERROR(Raw_Data[[#This Row],[WPR_Eac]]/Raw_Data[[#This Row],[WPR_Edc]],"")</f>
        <v>0.82802411261805009</v>
      </c>
      <c r="JM94" s="6">
        <v>27</v>
      </c>
      <c r="JN94" s="6">
        <v>9230</v>
      </c>
    </row>
    <row r="95" spans="2:274">
      <c r="B95" s="250">
        <f t="shared" si="596"/>
        <v>45834</v>
      </c>
      <c r="C95" s="9">
        <f>YEAR(Raw_Data[[#This Row],[Date]])+IF(MONTH(Raw_Data[[#This Row],[Date]])&gt;=4,1,0)</f>
        <v>2026</v>
      </c>
      <c r="D95" s="6">
        <f t="shared" si="907"/>
        <v>2025</v>
      </c>
      <c r="E95" s="7" t="s">
        <v>361</v>
      </c>
      <c r="F95" s="7" t="s">
        <v>361</v>
      </c>
      <c r="G95" s="8">
        <v>45809</v>
      </c>
      <c r="H95" s="6">
        <f t="shared" si="908"/>
        <v>30</v>
      </c>
      <c r="I95" s="9">
        <v>335090.89</v>
      </c>
      <c r="J95" s="10">
        <v>0.26597222222222222</v>
      </c>
      <c r="K95" s="10">
        <v>0.76041666666666663</v>
      </c>
      <c r="L95" s="9">
        <v>9440.2000000000007</v>
      </c>
      <c r="M95" s="9">
        <v>9838.5</v>
      </c>
      <c r="N95" s="9">
        <v>9651.2000000000007</v>
      </c>
      <c r="O95" s="9">
        <v>9615</v>
      </c>
      <c r="P95" s="9">
        <v>9699.4</v>
      </c>
      <c r="Q95" s="9">
        <v>9730.1</v>
      </c>
      <c r="R95" s="9">
        <v>9875.2000000000007</v>
      </c>
      <c r="S95" s="9">
        <v>10175.799999999999</v>
      </c>
      <c r="T95" s="9">
        <v>9968.2999999999993</v>
      </c>
      <c r="U95" s="9">
        <v>10074.1</v>
      </c>
      <c r="V95" s="9">
        <v>10676.1</v>
      </c>
      <c r="W95" s="9">
        <v>9922.5</v>
      </c>
      <c r="X95" s="9">
        <v>10604.3</v>
      </c>
      <c r="Y95" s="9">
        <v>9808.2999999999993</v>
      </c>
      <c r="Z95" s="9">
        <v>9688.5</v>
      </c>
      <c r="AA95" s="9">
        <v>9747.2999999999993</v>
      </c>
      <c r="AB95" s="9">
        <v>9604.7000000000007</v>
      </c>
      <c r="AC95" s="9">
        <v>9581</v>
      </c>
      <c r="AD95" s="9">
        <v>9730.7999999999993</v>
      </c>
      <c r="AE95" s="9">
        <v>9824.1</v>
      </c>
      <c r="AF95" s="9">
        <v>9695.4</v>
      </c>
      <c r="AG95" s="9">
        <v>9718.5</v>
      </c>
      <c r="AH95" s="9">
        <v>9464.6</v>
      </c>
      <c r="AI95" s="9">
        <v>9580.1</v>
      </c>
      <c r="AJ95" s="9">
        <v>9616.2000000000007</v>
      </c>
      <c r="AK95" s="9">
        <v>8467.7000000000007</v>
      </c>
      <c r="AL95" s="9">
        <v>9585.2999999999993</v>
      </c>
      <c r="AM95" s="9">
        <v>9530.2000000000007</v>
      </c>
      <c r="AN95" s="9">
        <v>9832.2999999999993</v>
      </c>
      <c r="AO95" s="9">
        <v>9699.2000000000007</v>
      </c>
      <c r="AP95" s="9">
        <v>9607.9</v>
      </c>
      <c r="AQ95" s="9">
        <v>9843.7000000000007</v>
      </c>
      <c r="AR95" s="9">
        <v>10006.700000000001</v>
      </c>
      <c r="AS95" s="9">
        <v>10007.5</v>
      </c>
      <c r="AT95" s="9">
        <v>10042.299999999999</v>
      </c>
      <c r="AU95" s="9">
        <v>9935.2000000000007</v>
      </c>
      <c r="AV95" s="9">
        <v>10001.6</v>
      </c>
      <c r="AW95" s="9">
        <v>9794.7999999999993</v>
      </c>
      <c r="AX95" s="9">
        <v>9830.1</v>
      </c>
      <c r="AY95" s="9">
        <v>9857.4</v>
      </c>
      <c r="AZ95" s="9">
        <v>10195.6</v>
      </c>
      <c r="BA95" s="9">
        <v>9196.7000000000007</v>
      </c>
      <c r="BB95" s="9">
        <v>9265.1</v>
      </c>
      <c r="BC95" s="9">
        <v>9323</v>
      </c>
      <c r="BD95" s="9">
        <v>9627.2999999999993</v>
      </c>
      <c r="BE95" s="9">
        <v>10743</v>
      </c>
      <c r="BF95" s="9">
        <v>9069.7000000000007</v>
      </c>
      <c r="BG95" s="9">
        <v>10244.9</v>
      </c>
      <c r="BH95" s="9">
        <v>9903.4</v>
      </c>
      <c r="BI95" s="9">
        <v>10115.299999999999</v>
      </c>
      <c r="BJ95" s="9">
        <v>9958.1</v>
      </c>
      <c r="BK95" s="9">
        <v>9478.4</v>
      </c>
      <c r="BL95" s="9">
        <v>10230.700000000001</v>
      </c>
      <c r="BM95" s="9">
        <v>10066.4</v>
      </c>
      <c r="BN95" s="9">
        <v>10302.4</v>
      </c>
      <c r="BO95" s="9">
        <v>10191.1</v>
      </c>
      <c r="BP95" s="9">
        <v>9175</v>
      </c>
      <c r="BQ95" s="9">
        <v>10516.5</v>
      </c>
      <c r="BR95" s="9">
        <v>9138.2999999999993</v>
      </c>
      <c r="BS95" s="9">
        <v>10481.4</v>
      </c>
      <c r="BT95" s="9">
        <v>10368.5</v>
      </c>
      <c r="BU95" s="9">
        <v>9145.1</v>
      </c>
      <c r="BV95" s="9">
        <v>10095.6</v>
      </c>
      <c r="BW95" s="9">
        <v>9596.1</v>
      </c>
      <c r="BX95" s="9">
        <v>9773.2000000000007</v>
      </c>
      <c r="BY95" s="9">
        <v>9214.6</v>
      </c>
      <c r="BZ95" s="9">
        <v>9710</v>
      </c>
      <c r="CA95" s="9">
        <v>10185.4</v>
      </c>
      <c r="CB95" s="9">
        <v>10398.9</v>
      </c>
      <c r="CC95" s="9">
        <v>9392.4</v>
      </c>
      <c r="CD95" s="9">
        <v>10271.1</v>
      </c>
      <c r="CE95" s="9">
        <v>9015.1</v>
      </c>
      <c r="CF95" s="9">
        <v>9978.5</v>
      </c>
      <c r="CG95" s="9">
        <v>9817.2000000000007</v>
      </c>
      <c r="CH95" s="9">
        <v>9229</v>
      </c>
      <c r="CI95" s="9">
        <v>10300</v>
      </c>
      <c r="CJ95" s="9">
        <v>9085.7999999999993</v>
      </c>
      <c r="CK95" s="9">
        <v>10464.299999999999</v>
      </c>
      <c r="CL95" s="9">
        <v>9238.5</v>
      </c>
      <c r="CM95" s="9">
        <v>10313.5</v>
      </c>
      <c r="CN95" s="9">
        <v>9405.7000000000007</v>
      </c>
      <c r="CO95" s="9">
        <v>10168.299999999999</v>
      </c>
      <c r="CP95" s="9">
        <v>9443.5</v>
      </c>
      <c r="CQ95" s="9">
        <v>10494.4</v>
      </c>
      <c r="CR95" s="9">
        <v>9367.9</v>
      </c>
      <c r="CS95" s="9">
        <v>9970.2000000000007</v>
      </c>
      <c r="CT95" s="9">
        <v>9434.2999999999993</v>
      </c>
      <c r="CU95" s="9">
        <v>8242</v>
      </c>
      <c r="CV95" s="9">
        <v>10299.700000000001</v>
      </c>
      <c r="CW95" s="9">
        <v>9881.6</v>
      </c>
      <c r="CX95" s="9">
        <v>9150.2000000000007</v>
      </c>
      <c r="CY95" s="9">
        <v>10577.6</v>
      </c>
      <c r="CZ95" s="9">
        <v>10260.5</v>
      </c>
      <c r="DA95" s="9">
        <v>9514.4</v>
      </c>
      <c r="DB95" s="9">
        <v>9386.4</v>
      </c>
      <c r="DC95" s="9">
        <v>10333.299999999999</v>
      </c>
      <c r="DD95" s="9">
        <v>9245.7000000000007</v>
      </c>
      <c r="DE95" s="9">
        <v>9537</v>
      </c>
      <c r="DF95" s="9">
        <v>10400.700000000001</v>
      </c>
      <c r="DG95" s="9">
        <v>9079.9</v>
      </c>
      <c r="DH95" s="9">
        <v>10478.5</v>
      </c>
      <c r="DI95" s="9">
        <v>9098.2999999999993</v>
      </c>
      <c r="DJ95" s="9">
        <v>10160</v>
      </c>
      <c r="DK95" s="9">
        <v>9307.7000000000007</v>
      </c>
      <c r="DL95" s="9">
        <v>10262.799999999999</v>
      </c>
      <c r="DM95" s="9">
        <v>8835.9</v>
      </c>
      <c r="DN95" s="9">
        <v>10290.799999999999</v>
      </c>
      <c r="DO95" s="9">
        <v>9224.6</v>
      </c>
      <c r="DP95" s="9">
        <v>10155.700000000001</v>
      </c>
      <c r="DQ95" s="9">
        <v>9239.6</v>
      </c>
      <c r="DR95" s="9">
        <v>10213.1</v>
      </c>
      <c r="DS95" s="9">
        <v>9375.6</v>
      </c>
      <c r="DT95" s="9">
        <v>8875.5</v>
      </c>
      <c r="DU95" s="9">
        <v>10008.6</v>
      </c>
      <c r="DV95" s="9">
        <v>9169.4</v>
      </c>
      <c r="DW95" s="9">
        <v>8978.9</v>
      </c>
      <c r="DX95" s="9">
        <v>10163.299999999999</v>
      </c>
      <c r="DY95" s="9">
        <v>10176.4</v>
      </c>
      <c r="DZ95" s="9">
        <v>10008.299999999999</v>
      </c>
      <c r="EA95" s="9">
        <v>9123.5</v>
      </c>
      <c r="EB95" s="9">
        <v>10106.700000000001</v>
      </c>
      <c r="EC95" s="9">
        <v>9025.4</v>
      </c>
      <c r="ED95" s="9">
        <v>9899.1</v>
      </c>
      <c r="EE95" s="9">
        <v>9175.4</v>
      </c>
      <c r="EF95" s="9">
        <v>9771.1</v>
      </c>
      <c r="EG95" s="9">
        <v>8466.7999999999993</v>
      </c>
      <c r="EH95" s="9">
        <v>9843.2000000000007</v>
      </c>
      <c r="EI95" s="9">
        <v>9014.6</v>
      </c>
      <c r="EJ95" s="9">
        <v>9158.9</v>
      </c>
      <c r="EK95" s="9">
        <v>9235.2999999999993</v>
      </c>
      <c r="EL95" s="9">
        <v>8998.1</v>
      </c>
      <c r="EM95" s="9">
        <v>7789.7</v>
      </c>
      <c r="EN95" s="9">
        <v>9007.7000000000007</v>
      </c>
      <c r="EO95" s="9">
        <v>8013.1</v>
      </c>
      <c r="EP95" s="9">
        <v>8811</v>
      </c>
      <c r="EQ95" s="9">
        <v>8856.7999999999993</v>
      </c>
      <c r="ER95" s="9">
        <v>10252.700000000001</v>
      </c>
      <c r="ES95" s="9">
        <v>8982.1</v>
      </c>
      <c r="ET95" s="9">
        <v>10211.700000000001</v>
      </c>
      <c r="EU95" s="9">
        <v>9067</v>
      </c>
      <c r="EV95" s="9">
        <v>10147.799999999999</v>
      </c>
      <c r="EW95" s="9">
        <v>9053.7999999999993</v>
      </c>
      <c r="EX95" s="9">
        <v>9199.2999999999993</v>
      </c>
      <c r="EY95" s="9">
        <v>9029</v>
      </c>
      <c r="EZ95" s="9">
        <v>9784.2999999999993</v>
      </c>
      <c r="FA95" s="9">
        <v>10151.4</v>
      </c>
      <c r="FB95" s="9">
        <v>10084.1</v>
      </c>
      <c r="FC95" s="9">
        <v>10046.4</v>
      </c>
      <c r="FD95" s="9">
        <v>10106.6</v>
      </c>
      <c r="FE95" s="9">
        <v>10150.6</v>
      </c>
      <c r="FF95" s="9">
        <v>9166.4</v>
      </c>
      <c r="FG95" s="9">
        <v>10081.4</v>
      </c>
      <c r="FH95" s="9">
        <v>10083.9</v>
      </c>
      <c r="FI95" s="9">
        <v>10072.1</v>
      </c>
      <c r="FJ95" s="9">
        <v>10032.299999999999</v>
      </c>
      <c r="FK95" s="9">
        <v>9976.9</v>
      </c>
      <c r="FL95" s="9">
        <v>10006.1</v>
      </c>
      <c r="FM95" s="9">
        <v>8973.9</v>
      </c>
      <c r="FN95" s="9">
        <v>10069.799999999999</v>
      </c>
      <c r="FO95" s="9">
        <v>9095.4</v>
      </c>
      <c r="FP95" s="11">
        <v>36.233762376237621</v>
      </c>
      <c r="FQ95" s="11">
        <v>35.642277227722772</v>
      </c>
      <c r="FR95" s="11">
        <v>35.76248939179635</v>
      </c>
      <c r="FS95" s="11">
        <v>35.933663366336653</v>
      </c>
      <c r="FT95" s="11">
        <v>35.955940594059399</v>
      </c>
      <c r="FU95" s="11">
        <v>35.899363507779356</v>
      </c>
      <c r="FV95" s="11">
        <v>0</v>
      </c>
      <c r="FW95" s="11">
        <v>49.313521923620961</v>
      </c>
      <c r="FX95" s="11">
        <v>0</v>
      </c>
      <c r="FY95" s="11">
        <v>0</v>
      </c>
      <c r="FZ95" s="11">
        <v>47.106107821782139</v>
      </c>
      <c r="GA95" s="11">
        <v>47.057878359264535</v>
      </c>
      <c r="GB95" s="11">
        <v>0.63305278335219362</v>
      </c>
      <c r="GC95" s="11">
        <v>3.6412893507779351</v>
      </c>
      <c r="GD95" s="11">
        <v>3.2314567561103251</v>
      </c>
      <c r="GE95" s="11">
        <v>3.4708744491796337</v>
      </c>
      <c r="GF95" s="11">
        <v>3.6794152209335214</v>
      </c>
      <c r="GG95" s="11">
        <v>3.4971780816124447</v>
      </c>
      <c r="GH95" s="11">
        <v>6.06</v>
      </c>
      <c r="GI95" s="11">
        <v>14.60833</v>
      </c>
      <c r="GJ95" s="11">
        <v>12.725</v>
      </c>
      <c r="GK95" s="11">
        <v>17.309999999999999</v>
      </c>
      <c r="GL95" s="11">
        <v>12.75</v>
      </c>
      <c r="GM95" s="11">
        <v>11.768330000000001</v>
      </c>
      <c r="GN95" s="11">
        <v>5.7059219333333351</v>
      </c>
      <c r="GO95" s="11">
        <v>5.7167068333333368</v>
      </c>
      <c r="GP95" s="11">
        <v>5.5850361666666677</v>
      </c>
      <c r="GQ95" s="11">
        <v>5.7507110000000017</v>
      </c>
      <c r="GR95" s="11">
        <v>5.7025668333333321</v>
      </c>
      <c r="GS95" s="11">
        <v>5.461534833333328</v>
      </c>
      <c r="GT95" s="108">
        <v>1.3454176666666657</v>
      </c>
      <c r="GU95" s="108">
        <v>1.2268776666666665</v>
      </c>
      <c r="GV95" s="108">
        <v>1.2284236666666686</v>
      </c>
      <c r="GW95" s="108">
        <v>1.5823413333333347</v>
      </c>
      <c r="GX95" s="108">
        <v>1.4977503333333329</v>
      </c>
      <c r="GY95" s="108">
        <v>1.1183043333333338</v>
      </c>
      <c r="GZ95" s="13">
        <v>0</v>
      </c>
      <c r="HA95" s="13">
        <v>5.5409721666666663</v>
      </c>
      <c r="HB95" s="13">
        <v>5.3450294999999963</v>
      </c>
      <c r="HC95" s="13">
        <v>0</v>
      </c>
      <c r="HD95" s="13">
        <v>5.5362631666666609</v>
      </c>
      <c r="HE95" s="13">
        <v>5.2343148333333316</v>
      </c>
      <c r="HF95" s="13">
        <v>0.43582183333333313</v>
      </c>
      <c r="HG95" s="13">
        <v>0.52569466666666675</v>
      </c>
      <c r="HH95" s="13">
        <v>0.44916316666666695</v>
      </c>
      <c r="HI95" s="13">
        <v>0.48075383333333283</v>
      </c>
      <c r="HJ95" s="13">
        <v>0.48316599999999998</v>
      </c>
      <c r="HK95" s="13">
        <v>0.4745513333333331</v>
      </c>
      <c r="HL95" s="12">
        <v>0</v>
      </c>
      <c r="HM95" s="12">
        <v>0</v>
      </c>
      <c r="HN95" s="12">
        <v>0</v>
      </c>
      <c r="HO95" s="12">
        <v>0</v>
      </c>
      <c r="HP95" s="12">
        <v>0</v>
      </c>
      <c r="HQ95" s="12">
        <v>0</v>
      </c>
      <c r="HR95" s="12">
        <v>0</v>
      </c>
      <c r="HS95" s="12">
        <v>0</v>
      </c>
      <c r="HT95" s="12">
        <v>0</v>
      </c>
      <c r="HU95" s="12">
        <v>0</v>
      </c>
      <c r="HV95" s="12">
        <v>0</v>
      </c>
      <c r="HW95" s="12">
        <v>0</v>
      </c>
      <c r="HX95" s="9">
        <v>977593</v>
      </c>
      <c r="HY95" s="9">
        <v>1818</v>
      </c>
      <c r="HZ95" s="9">
        <v>964232</v>
      </c>
      <c r="IA95" s="9">
        <v>1842</v>
      </c>
      <c r="IB95" s="11">
        <v>246767.55300000001</v>
      </c>
      <c r="IC95" s="11">
        <v>559.73299999999995</v>
      </c>
      <c r="ID95" s="14">
        <f t="shared" ref="ID95:II95" si="919">GN95-HL95</f>
        <v>5.7059219333333351</v>
      </c>
      <c r="IE95" s="14">
        <f t="shared" si="919"/>
        <v>5.7167068333333368</v>
      </c>
      <c r="IF95" s="14">
        <f t="shared" si="919"/>
        <v>5.5850361666666677</v>
      </c>
      <c r="IG95" s="14">
        <f t="shared" si="919"/>
        <v>5.7507110000000017</v>
      </c>
      <c r="IH95" s="14">
        <f t="shared" si="919"/>
        <v>5.7025668333333321</v>
      </c>
      <c r="II95" s="14">
        <f t="shared" si="919"/>
        <v>5.461534833333328</v>
      </c>
      <c r="IJ95" s="15">
        <f t="shared" ref="IJ95:IO95" si="920">GZ95-HR95</f>
        <v>0</v>
      </c>
      <c r="IK95" s="15">
        <f t="shared" si="920"/>
        <v>5.5409721666666663</v>
      </c>
      <c r="IL95" s="15">
        <f t="shared" si="920"/>
        <v>5.3450294999999963</v>
      </c>
      <c r="IM95" s="15">
        <f t="shared" si="920"/>
        <v>0</v>
      </c>
      <c r="IN95" s="15">
        <f t="shared" si="920"/>
        <v>5.5362631666666609</v>
      </c>
      <c r="IO95" s="15">
        <f t="shared" si="920"/>
        <v>5.2343148333333316</v>
      </c>
      <c r="IP95" s="16">
        <f t="shared" ref="IP95" si="921">(HX95-HX94)*1000</f>
        <v>776000</v>
      </c>
      <c r="IQ95" s="16">
        <f t="shared" ref="IQ95" si="922">(HY95-HY94)*1000</f>
        <v>0</v>
      </c>
      <c r="IR95" s="16">
        <f t="shared" ref="IR95" si="923">(HZ95-HZ94)*1000</f>
        <v>764000</v>
      </c>
      <c r="IS95" s="16">
        <f t="shared" ref="IS95" si="924">(IA95-IA94)*1000</f>
        <v>2000</v>
      </c>
      <c r="IT95" s="16">
        <f t="shared" ref="IT95" si="925">(IB95-IB94)*1000</f>
        <v>1542667.0000000158</v>
      </c>
      <c r="IU95" s="16">
        <f t="shared" ref="IU95" si="926">(IC95-IC94)*1000</f>
        <v>3932.9999999999927</v>
      </c>
      <c r="IV95" s="17">
        <f t="shared" ref="IV95" si="927">(IP95+IR95)-(IQ95+IS95)</f>
        <v>1538000</v>
      </c>
      <c r="IW95" s="17">
        <f t="shared" ref="IW95" si="928">IT95-IU95</f>
        <v>1538734.0000000158</v>
      </c>
      <c r="IX95" s="19">
        <f>(Raw_Data[[#This Row],[Sunset Time (POA&lt;20 W/m2)]]-Raw_Data[[#This Row],[Sunrise Time (POA&gt;20 W/m2)]])*24</f>
        <v>11.866666666666665</v>
      </c>
      <c r="IY95" s="68">
        <f>AVERAGEIF(Raw_Data[[#This Row],[GHI_UP_Net_IS2_W1]:[GHI_UP_Net_IS19_W6]],"&lt;&gt;"&amp;0,Raw_Data[[#This Row],[GHI_UP_Net_IS2_W1]:[GHI_UP_Net_IS19_W6]])</f>
        <v>5.6537462666666682</v>
      </c>
      <c r="IZ95" s="68">
        <f>AVERAGEIF(Raw_Data[[#This Row],[GHI_Down_IS2_W1]:[GHI_Down_IS19_W6]],"&lt;&gt;"&amp;0,Raw_Data[[#This Row],[GHI_Down_IS2_W1]:[GHI_Down_IS19_W6]])</f>
        <v>1.3331858333333337</v>
      </c>
      <c r="JA95" s="68">
        <f>AVERAGEIF(Raw_Data[[#This Row],[POA_Up_IS2_W1]:[POA_Up_IS19_W6]],"&lt;&gt;"&amp;0,Raw_Data[[#This Row],[POA_Up_IS2_W1]:[POA_Up_IS19_W6]])</f>
        <v>5.4141449166666638</v>
      </c>
      <c r="JB95" s="68">
        <f>AVERAGEIF(Raw_Data[[#This Row],[POA_Down_IS2_W1]:[POA_Down_IS19_W6]],"&lt;&gt;"&amp;0,Raw_Data[[#This Row],[POA_Down_IS2_W1]:[POA_Down_IS19_W6]])</f>
        <v>0.47485847222222216</v>
      </c>
      <c r="JC95" s="69">
        <f>Raw_Data[[#This Row],[GHI-Down(KWh/m2)]]/Raw_Data[[#This Row],[GHI-UP (KWh/m2)]]</f>
        <v>0.23580574197210172</v>
      </c>
      <c r="JD95" s="72">
        <f>Raw_Data[[#This Row],[POA-Down(KWh/m2)]]/Raw_Data[[#This Row],[POA-UP(KWh/m2)]]</f>
        <v>8.770701182386878E-2</v>
      </c>
      <c r="JE95" s="68">
        <f>AVERAGEIF(Raw_Data[[#This Row],[Amb_Temp_IS2_W1]:[Amb_Temp_IS19_W6]],"&lt;&gt;"&amp;0,Raw_Data[[#This Row],[Amb_Temp_IS2_W1]:[Amb_Temp_IS19_W6]])</f>
        <v>35.904582743988691</v>
      </c>
      <c r="JF95" s="68">
        <f>AVERAGEIF(Raw_Data[[#This Row],[MT_Temp_IS2_W1]:[MT_Temp_IS19_W6]],"&lt;&gt;"&amp;0,Raw_Data[[#This Row],[MT_Temp_IS2_W1]:[MT_Temp_IS19_W6]])</f>
        <v>47.825836034889214</v>
      </c>
      <c r="JG95" s="68">
        <f>AVERAGEIF(Raw_Data[[#This Row],[WS_Avg_IS2_W1]:[WS_Avg_IS19_W6]],"&lt;&gt;"&amp;0,Raw_Data[[#This Row],[WS_Avg_IS2_W1]:[WS_Avg_IS19_W6]])</f>
        <v>3.0255444403276761</v>
      </c>
      <c r="JH95" s="68">
        <f>AVERAGEIF(Raw_Data[[#This Row],[WS_Max_IS2_W1]:[WS_Max_IS19_W6]],"&lt;&gt;"&amp;0,Raw_Data[[#This Row],[WS_Max_IS2_W1]:[WS_Max_IS19_W6]])</f>
        <v>12.536943333333333</v>
      </c>
      <c r="JI95" s="70">
        <f>SUM(Raw_Data[[#This Row],[IS1_INV1_M1]:[IS20_INV4_M2]])</f>
        <v>1550524.9000000004</v>
      </c>
      <c r="JJ95" s="73">
        <v>1523267.0000000217</v>
      </c>
      <c r="JK95" s="71">
        <v>1794131.4810318945</v>
      </c>
      <c r="JL95" s="143">
        <f>IFERROR(Raw_Data[[#This Row],[WPR_Eac]]/Raw_Data[[#This Row],[WPR_Edc]],"")</f>
        <v>0.84902751894410489</v>
      </c>
      <c r="JM95" s="6">
        <v>24</v>
      </c>
      <c r="JN95" s="6">
        <v>95</v>
      </c>
    </row>
    <row r="96" spans="2:274">
      <c r="B96" s="250">
        <f t="shared" si="596"/>
        <v>45835</v>
      </c>
      <c r="C96" s="9">
        <f>YEAR(Raw_Data[[#This Row],[Date]])+IF(MONTH(Raw_Data[[#This Row],[Date]])&gt;=4,1,0)</f>
        <v>2026</v>
      </c>
      <c r="D96" s="6">
        <f t="shared" si="907"/>
        <v>2025</v>
      </c>
      <c r="E96" s="7" t="s">
        <v>361</v>
      </c>
      <c r="F96" s="7" t="s">
        <v>361</v>
      </c>
      <c r="G96" s="8">
        <v>45809</v>
      </c>
      <c r="H96" s="6">
        <f t="shared" si="908"/>
        <v>30</v>
      </c>
      <c r="I96" s="9">
        <v>335090.89</v>
      </c>
      <c r="J96" s="10">
        <v>0.26527777777777778</v>
      </c>
      <c r="K96" s="10">
        <v>0.80208333333333337</v>
      </c>
      <c r="L96" s="9">
        <v>7443.5</v>
      </c>
      <c r="M96" s="9">
        <v>7823.5</v>
      </c>
      <c r="N96" s="9">
        <v>7768</v>
      </c>
      <c r="O96" s="9">
        <v>7744.7</v>
      </c>
      <c r="P96" s="9">
        <v>7809</v>
      </c>
      <c r="Q96" s="9">
        <v>7827</v>
      </c>
      <c r="R96" s="9">
        <v>7897.4</v>
      </c>
      <c r="S96" s="9">
        <v>8123.4</v>
      </c>
      <c r="T96" s="9">
        <v>7824</v>
      </c>
      <c r="U96" s="9">
        <v>7932.5</v>
      </c>
      <c r="V96" s="9">
        <v>8418.2000000000007</v>
      </c>
      <c r="W96" s="9">
        <v>7793.3</v>
      </c>
      <c r="X96" s="9">
        <v>8444.4</v>
      </c>
      <c r="Y96" s="9">
        <v>7699.1</v>
      </c>
      <c r="Z96" s="9">
        <v>7798.3</v>
      </c>
      <c r="AA96" s="9">
        <v>7803.7</v>
      </c>
      <c r="AB96" s="9">
        <v>7752.3</v>
      </c>
      <c r="AC96" s="9">
        <v>7632.1</v>
      </c>
      <c r="AD96" s="9">
        <v>7724.1</v>
      </c>
      <c r="AE96" s="9">
        <v>7783.7</v>
      </c>
      <c r="AF96" s="9">
        <v>7754.6</v>
      </c>
      <c r="AG96" s="9">
        <v>7587</v>
      </c>
      <c r="AH96" s="9">
        <v>7543.7</v>
      </c>
      <c r="AI96" s="9">
        <v>7620.3</v>
      </c>
      <c r="AJ96" s="9">
        <v>7488.9</v>
      </c>
      <c r="AK96" s="9">
        <v>6598</v>
      </c>
      <c r="AL96" s="9">
        <v>7496</v>
      </c>
      <c r="AM96" s="9">
        <v>7475</v>
      </c>
      <c r="AN96" s="9">
        <v>7746.3</v>
      </c>
      <c r="AO96" s="9">
        <v>7705.5</v>
      </c>
      <c r="AP96" s="9">
        <v>7541.6</v>
      </c>
      <c r="AQ96" s="9">
        <v>7683.3</v>
      </c>
      <c r="AR96" s="9">
        <v>7646.2</v>
      </c>
      <c r="AS96" s="9">
        <v>7630.1</v>
      </c>
      <c r="AT96" s="9">
        <v>7794.9</v>
      </c>
      <c r="AU96" s="9">
        <v>7707.1</v>
      </c>
      <c r="AV96" s="9">
        <v>7748.1</v>
      </c>
      <c r="AW96" s="9">
        <v>7589.2</v>
      </c>
      <c r="AX96" s="9">
        <v>7528.4</v>
      </c>
      <c r="AY96" s="9">
        <v>7499.9</v>
      </c>
      <c r="AZ96" s="9">
        <v>8179.9</v>
      </c>
      <c r="BA96" s="9">
        <v>7333.8</v>
      </c>
      <c r="BB96" s="9">
        <v>8060.3</v>
      </c>
      <c r="BC96" s="9">
        <v>8032.5</v>
      </c>
      <c r="BD96" s="9">
        <v>7671.6</v>
      </c>
      <c r="BE96" s="9">
        <v>8487.6</v>
      </c>
      <c r="BF96" s="9">
        <v>7230.5</v>
      </c>
      <c r="BG96" s="9">
        <v>8207.5</v>
      </c>
      <c r="BH96" s="9">
        <v>7789.1</v>
      </c>
      <c r="BI96" s="9">
        <v>7930.5</v>
      </c>
      <c r="BJ96" s="9">
        <v>7764.3</v>
      </c>
      <c r="BK96" s="9">
        <v>7329.6</v>
      </c>
      <c r="BL96" s="9">
        <v>7906.6</v>
      </c>
      <c r="BM96" s="9">
        <v>7997.4</v>
      </c>
      <c r="BN96" s="9">
        <v>7966.5</v>
      </c>
      <c r="BO96" s="9">
        <v>7903.7</v>
      </c>
      <c r="BP96" s="9">
        <v>7085.1</v>
      </c>
      <c r="BQ96" s="9">
        <v>8099.1</v>
      </c>
      <c r="BR96" s="9">
        <v>7135.9</v>
      </c>
      <c r="BS96" s="9">
        <v>8078.2</v>
      </c>
      <c r="BT96" s="9">
        <v>7880.8</v>
      </c>
      <c r="BU96" s="9">
        <v>7132.4</v>
      </c>
      <c r="BV96" s="9">
        <v>7799.7</v>
      </c>
      <c r="BW96" s="9">
        <v>7424.9</v>
      </c>
      <c r="BX96" s="9">
        <v>7467.4</v>
      </c>
      <c r="BY96" s="9">
        <v>7023.1</v>
      </c>
      <c r="BZ96" s="9">
        <v>7429.6</v>
      </c>
      <c r="CA96" s="9">
        <v>7711.5</v>
      </c>
      <c r="CB96" s="9">
        <v>7876.4</v>
      </c>
      <c r="CC96" s="9">
        <v>7138.6</v>
      </c>
      <c r="CD96" s="9">
        <v>6562</v>
      </c>
      <c r="CE96" s="9">
        <v>6600.8</v>
      </c>
      <c r="CF96" s="9">
        <v>7677.3</v>
      </c>
      <c r="CG96" s="9">
        <v>7420</v>
      </c>
      <c r="CH96" s="9">
        <v>7097</v>
      </c>
      <c r="CI96" s="9">
        <v>7840.6</v>
      </c>
      <c r="CJ96" s="9">
        <v>6934.9</v>
      </c>
      <c r="CK96" s="9">
        <v>8053.9</v>
      </c>
      <c r="CL96" s="9">
        <v>7070.5</v>
      </c>
      <c r="CM96" s="9">
        <v>7924.6</v>
      </c>
      <c r="CN96" s="9">
        <v>7091.2</v>
      </c>
      <c r="CO96" s="9">
        <v>7652.7</v>
      </c>
      <c r="CP96" s="9">
        <v>7162.3</v>
      </c>
      <c r="CQ96" s="9">
        <v>7603.8</v>
      </c>
      <c r="CR96" s="9">
        <v>7054.4</v>
      </c>
      <c r="CS96" s="9">
        <v>7465.8</v>
      </c>
      <c r="CT96" s="9">
        <v>7157.1</v>
      </c>
      <c r="CU96" s="9">
        <v>6166.8</v>
      </c>
      <c r="CV96" s="9">
        <v>7834</v>
      </c>
      <c r="CW96" s="9">
        <v>7480.5</v>
      </c>
      <c r="CX96" s="9">
        <v>6950.4</v>
      </c>
      <c r="CY96" s="9">
        <v>7993.7</v>
      </c>
      <c r="CZ96" s="9">
        <v>7760.9</v>
      </c>
      <c r="DA96" s="9">
        <v>7213.9</v>
      </c>
      <c r="DB96" s="9">
        <v>7125.5</v>
      </c>
      <c r="DC96" s="9">
        <v>7829.3</v>
      </c>
      <c r="DD96" s="9">
        <v>7018.5</v>
      </c>
      <c r="DE96" s="9">
        <v>7159.2</v>
      </c>
      <c r="DF96" s="9">
        <v>7821.1</v>
      </c>
      <c r="DG96" s="9">
        <v>6830.4</v>
      </c>
      <c r="DH96" s="9">
        <v>7865.9</v>
      </c>
      <c r="DI96" s="9">
        <v>6867.4</v>
      </c>
      <c r="DJ96" s="9">
        <v>7634.4</v>
      </c>
      <c r="DK96" s="9">
        <v>6999.8</v>
      </c>
      <c r="DL96" s="9">
        <v>7738.7</v>
      </c>
      <c r="DM96" s="9">
        <v>6658.1</v>
      </c>
      <c r="DN96" s="9">
        <v>7752.3</v>
      </c>
      <c r="DO96" s="9">
        <v>6927.3</v>
      </c>
      <c r="DP96" s="9">
        <v>7478.7</v>
      </c>
      <c r="DQ96" s="9">
        <v>6858.3</v>
      </c>
      <c r="DR96" s="9">
        <v>7711.3</v>
      </c>
      <c r="DS96" s="9">
        <v>6130</v>
      </c>
      <c r="DT96" s="9">
        <v>6732.1</v>
      </c>
      <c r="DU96" s="9">
        <v>7501.3</v>
      </c>
      <c r="DV96" s="9">
        <v>6766.2</v>
      </c>
      <c r="DW96" s="9">
        <v>6731.2</v>
      </c>
      <c r="DX96" s="9">
        <v>7390.3</v>
      </c>
      <c r="DY96" s="9">
        <v>7490.3</v>
      </c>
      <c r="DZ96" s="9">
        <v>7316</v>
      </c>
      <c r="EA96" s="9">
        <v>6737.9</v>
      </c>
      <c r="EB96" s="9">
        <v>7434.9</v>
      </c>
      <c r="EC96" s="9">
        <v>6651.5</v>
      </c>
      <c r="ED96" s="9">
        <v>7379.8</v>
      </c>
      <c r="EE96" s="9">
        <v>6486.7</v>
      </c>
      <c r="EF96" s="9">
        <v>7238.2</v>
      </c>
      <c r="EG96" s="9">
        <v>6082.3</v>
      </c>
      <c r="EH96" s="9">
        <v>7209.1</v>
      </c>
      <c r="EI96" s="9">
        <v>6594.4</v>
      </c>
      <c r="EJ96" s="9">
        <v>6238.5</v>
      </c>
      <c r="EK96" s="9">
        <v>6836</v>
      </c>
      <c r="EL96" s="9">
        <v>6668.1</v>
      </c>
      <c r="EM96" s="9">
        <v>5746.3</v>
      </c>
      <c r="EN96" s="9">
        <v>6674.9</v>
      </c>
      <c r="EO96" s="9">
        <v>5928.4</v>
      </c>
      <c r="EP96" s="9">
        <v>6773.8</v>
      </c>
      <c r="EQ96" s="9">
        <v>6812.9</v>
      </c>
      <c r="ER96" s="9">
        <v>7890.9</v>
      </c>
      <c r="ES96" s="9">
        <v>6872.4</v>
      </c>
      <c r="ET96" s="9">
        <v>7899.2</v>
      </c>
      <c r="EU96" s="9">
        <v>6805.1</v>
      </c>
      <c r="EV96" s="9">
        <v>7805.9</v>
      </c>
      <c r="EW96" s="9">
        <v>6938.5</v>
      </c>
      <c r="EX96" s="9">
        <v>6965</v>
      </c>
      <c r="EY96" s="9">
        <v>6910.5</v>
      </c>
      <c r="EZ96" s="9">
        <v>7583.6</v>
      </c>
      <c r="FA96" s="9">
        <v>7874.7</v>
      </c>
      <c r="FB96" s="9">
        <v>7676.5</v>
      </c>
      <c r="FC96" s="9">
        <v>7721.7</v>
      </c>
      <c r="FD96" s="9">
        <v>7744.2</v>
      </c>
      <c r="FE96" s="9">
        <v>7682.9</v>
      </c>
      <c r="FF96" s="9">
        <v>7028.2</v>
      </c>
      <c r="FG96" s="9">
        <v>7797.5</v>
      </c>
      <c r="FH96" s="9">
        <v>7684.8</v>
      </c>
      <c r="FI96" s="9">
        <v>7829.1</v>
      </c>
      <c r="FJ96" s="9">
        <v>7853.4</v>
      </c>
      <c r="FK96" s="9">
        <v>7672.1</v>
      </c>
      <c r="FL96" s="9">
        <v>7800.4</v>
      </c>
      <c r="FM96" s="9">
        <v>6997.2</v>
      </c>
      <c r="FN96" s="9">
        <v>7859.5</v>
      </c>
      <c r="FO96" s="9">
        <v>7004.7</v>
      </c>
      <c r="FP96" s="11">
        <v>31.266640625000022</v>
      </c>
      <c r="FQ96" s="11">
        <v>31.082174479166639</v>
      </c>
      <c r="FR96" s="11">
        <v>31.959296875000035</v>
      </c>
      <c r="FS96" s="11">
        <v>31.187760416666659</v>
      </c>
      <c r="FT96" s="11">
        <v>30.657031250000017</v>
      </c>
      <c r="FU96" s="11">
        <v>30.657031250000017</v>
      </c>
      <c r="FV96" s="11">
        <v>0</v>
      </c>
      <c r="FW96" s="11">
        <v>39.4</v>
      </c>
      <c r="FX96" s="11">
        <v>0</v>
      </c>
      <c r="FY96" s="11">
        <v>0</v>
      </c>
      <c r="FZ96" s="11">
        <v>37.874654231770833</v>
      </c>
      <c r="GA96" s="11">
        <v>37.687656249999996</v>
      </c>
      <c r="GB96" s="11">
        <v>0.44600042781250027</v>
      </c>
      <c r="GC96" s="11">
        <v>3.9011717217447877</v>
      </c>
      <c r="GD96" s="11">
        <v>3.2811174786458293</v>
      </c>
      <c r="GE96" s="11">
        <v>4.0699238597656295</v>
      </c>
      <c r="GF96" s="11">
        <v>3.7943488011718736</v>
      </c>
      <c r="GG96" s="11">
        <v>3.7943488011718736</v>
      </c>
      <c r="GH96" s="11">
        <v>5.4566660000000002</v>
      </c>
      <c r="GI96" s="11">
        <v>7.233333</v>
      </c>
      <c r="GJ96" s="11">
        <v>9.1933340000000001</v>
      </c>
      <c r="GK96" s="11">
        <v>8.1433339999999994</v>
      </c>
      <c r="GL96" s="11">
        <v>8.3633330000000008</v>
      </c>
      <c r="GM96" s="11">
        <v>8.3633330000000008</v>
      </c>
      <c r="GN96" s="11">
        <v>4.4219575000000004</v>
      </c>
      <c r="GO96" s="11">
        <v>4.4296349999999984</v>
      </c>
      <c r="GP96" s="11">
        <v>4.3924261666666631</v>
      </c>
      <c r="GQ96" s="11">
        <v>4.322996166666667</v>
      </c>
      <c r="GR96" s="11">
        <v>4.2339603333333313</v>
      </c>
      <c r="GS96" s="11">
        <v>4.2339603333333313</v>
      </c>
      <c r="GT96" s="108">
        <v>0.79488999999999999</v>
      </c>
      <c r="GU96" s="108">
        <v>0.64358316666666737</v>
      </c>
      <c r="GV96" s="108">
        <v>0.74758250000000148</v>
      </c>
      <c r="GW96" s="108">
        <v>0.90111999999999948</v>
      </c>
      <c r="GX96" s="108">
        <v>0.74945350000000066</v>
      </c>
      <c r="GY96" s="108">
        <v>0.74945350000000066</v>
      </c>
      <c r="GZ96" s="13">
        <v>0</v>
      </c>
      <c r="HA96" s="13">
        <v>4.249786833333336</v>
      </c>
      <c r="HB96" s="13">
        <v>4.1732821666666586</v>
      </c>
      <c r="HC96" s="13">
        <v>4.2418420000000001</v>
      </c>
      <c r="HD96" s="13">
        <v>4.0695181666666667</v>
      </c>
      <c r="HE96" s="13">
        <v>4.0695181666666667</v>
      </c>
      <c r="HF96" s="13">
        <v>0.23226366666666662</v>
      </c>
      <c r="HG96" s="13">
        <v>0.30447916666666675</v>
      </c>
      <c r="HH96" s="13">
        <v>0.26486766666666683</v>
      </c>
      <c r="HI96" s="13">
        <v>0.26507766666666649</v>
      </c>
      <c r="HJ96" s="13">
        <v>0.2503141666666665</v>
      </c>
      <c r="HK96" s="13">
        <v>0.2503141666666665</v>
      </c>
      <c r="HL96" s="12">
        <v>0</v>
      </c>
      <c r="HM96" s="12">
        <v>0</v>
      </c>
      <c r="HN96" s="12">
        <v>0</v>
      </c>
      <c r="HO96" s="12">
        <v>0</v>
      </c>
      <c r="HP96" s="12">
        <v>0</v>
      </c>
      <c r="HQ96" s="12">
        <v>0</v>
      </c>
      <c r="HR96" s="12">
        <v>0</v>
      </c>
      <c r="HS96" s="12">
        <v>0</v>
      </c>
      <c r="HT96" s="12">
        <v>0</v>
      </c>
      <c r="HU96" s="12">
        <v>0</v>
      </c>
      <c r="HV96" s="12">
        <v>0</v>
      </c>
      <c r="HW96" s="12">
        <v>0</v>
      </c>
      <c r="HX96" s="9">
        <v>978200</v>
      </c>
      <c r="HY96" s="9">
        <v>1821</v>
      </c>
      <c r="HZ96" s="9">
        <v>964808</v>
      </c>
      <c r="IA96" s="9">
        <v>1843</v>
      </c>
      <c r="IB96" s="11">
        <v>247950.21900000001</v>
      </c>
      <c r="IC96" s="11">
        <v>564.13300000000004</v>
      </c>
      <c r="ID96" s="14">
        <f t="shared" ref="ID96:II96" si="929">GN96-HL96</f>
        <v>4.4219575000000004</v>
      </c>
      <c r="IE96" s="14">
        <f t="shared" si="929"/>
        <v>4.4296349999999984</v>
      </c>
      <c r="IF96" s="14">
        <f t="shared" si="929"/>
        <v>4.3924261666666631</v>
      </c>
      <c r="IG96" s="14">
        <f t="shared" si="929"/>
        <v>4.322996166666667</v>
      </c>
      <c r="IH96" s="14">
        <f t="shared" si="929"/>
        <v>4.2339603333333313</v>
      </c>
      <c r="II96" s="14">
        <f t="shared" si="929"/>
        <v>4.2339603333333313</v>
      </c>
      <c r="IJ96" s="15">
        <f t="shared" ref="IJ96:IO96" si="930">GZ96-HR96</f>
        <v>0</v>
      </c>
      <c r="IK96" s="15">
        <f t="shared" si="930"/>
        <v>4.249786833333336</v>
      </c>
      <c r="IL96" s="15">
        <f t="shared" si="930"/>
        <v>4.1732821666666586</v>
      </c>
      <c r="IM96" s="15">
        <f t="shared" si="930"/>
        <v>4.2418420000000001</v>
      </c>
      <c r="IN96" s="15">
        <f t="shared" si="930"/>
        <v>4.0695181666666667</v>
      </c>
      <c r="IO96" s="15">
        <f t="shared" si="930"/>
        <v>4.0695181666666667</v>
      </c>
      <c r="IP96" s="16">
        <f t="shared" ref="IP96" si="931">(HX96-HX95)*1000</f>
        <v>607000</v>
      </c>
      <c r="IQ96" s="16">
        <f t="shared" ref="IQ96" si="932">(HY96-HY95)*1000</f>
        <v>3000</v>
      </c>
      <c r="IR96" s="16">
        <f t="shared" ref="IR96" si="933">(HZ96-HZ95)*1000</f>
        <v>576000</v>
      </c>
      <c r="IS96" s="16">
        <f t="shared" ref="IS96" si="934">(IA96-IA95)*1000</f>
        <v>1000</v>
      </c>
      <c r="IT96" s="16">
        <f t="shared" ref="IT96" si="935">(IB96-IB95)*1000</f>
        <v>1182665.9999999974</v>
      </c>
      <c r="IU96" s="16">
        <f t="shared" ref="IU96" si="936">(IC96-IC95)*1000</f>
        <v>4400.0000000000909</v>
      </c>
      <c r="IV96" s="17">
        <f t="shared" ref="IV96" si="937">(IP96+IR96)-(IQ96+IS96)</f>
        <v>1179000</v>
      </c>
      <c r="IW96" s="17">
        <f t="shared" ref="IW96" si="938">IT96-IU96</f>
        <v>1178265.9999999974</v>
      </c>
      <c r="IX96" s="19">
        <f>(Raw_Data[[#This Row],[Sunset Time (POA&lt;20 W/m2)]]-Raw_Data[[#This Row],[Sunrise Time (POA&gt;20 W/m2)]])*24</f>
        <v>12.883333333333333</v>
      </c>
      <c r="IY96" s="68">
        <f>AVERAGEIF(Raw_Data[[#This Row],[GHI_UP_Net_IS2_W1]:[GHI_UP_Net_IS19_W6]],"&lt;&gt;"&amp;0,Raw_Data[[#This Row],[GHI_UP_Net_IS2_W1]:[GHI_UP_Net_IS19_W6]])</f>
        <v>4.3391559166666651</v>
      </c>
      <c r="IZ96" s="68">
        <f>AVERAGEIF(Raw_Data[[#This Row],[GHI_Down_IS2_W1]:[GHI_Down_IS19_W6]],"&lt;&gt;"&amp;0,Raw_Data[[#This Row],[GHI_Down_IS2_W1]:[GHI_Down_IS19_W6]])</f>
        <v>0.76434711111111142</v>
      </c>
      <c r="JA96" s="68">
        <f>AVERAGEIF(Raw_Data[[#This Row],[POA_Up_IS2_W1]:[POA_Up_IS19_W6]],"&lt;&gt;"&amp;0,Raw_Data[[#This Row],[POA_Up_IS2_W1]:[POA_Up_IS19_W6]])</f>
        <v>4.1607894666666656</v>
      </c>
      <c r="JB96" s="68">
        <f>AVERAGEIF(Raw_Data[[#This Row],[POA_Down_IS2_W1]:[POA_Down_IS19_W6]],"&lt;&gt;"&amp;0,Raw_Data[[#This Row],[POA_Down_IS2_W1]:[POA_Down_IS19_W6]])</f>
        <v>0.26121941666666665</v>
      </c>
      <c r="JC96" s="69">
        <f>Raw_Data[[#This Row],[GHI-Down(KWh/m2)]]/Raw_Data[[#This Row],[GHI-UP (KWh/m2)]]</f>
        <v>0.17615110537403367</v>
      </c>
      <c r="JD96" s="72">
        <f>Raw_Data[[#This Row],[POA-Down(KWh/m2)]]/Raw_Data[[#This Row],[POA-UP(KWh/m2)]]</f>
        <v>6.2781214661153578E-2</v>
      </c>
      <c r="JE96" s="68">
        <f>AVERAGEIF(Raw_Data[[#This Row],[Amb_Temp_IS2_W1]:[Amb_Temp_IS19_W6]],"&lt;&gt;"&amp;0,Raw_Data[[#This Row],[Amb_Temp_IS2_W1]:[Amb_Temp_IS19_W6]])</f>
        <v>31.134989149305564</v>
      </c>
      <c r="JF96" s="68">
        <f>AVERAGEIF(Raw_Data[[#This Row],[MT_Temp_IS2_W1]:[MT_Temp_IS19_W6]],"&lt;&gt;"&amp;0,Raw_Data[[#This Row],[MT_Temp_IS2_W1]:[MT_Temp_IS19_W6]])</f>
        <v>38.320770160590278</v>
      </c>
      <c r="JG96" s="68">
        <f>AVERAGEIF(Raw_Data[[#This Row],[WS_Avg_IS2_W1]:[WS_Avg_IS19_W6]],"&lt;&gt;"&amp;0,Raw_Data[[#This Row],[WS_Avg_IS2_W1]:[WS_Avg_IS19_W6]])</f>
        <v>3.2144851817187488</v>
      </c>
      <c r="JH96" s="68">
        <f>AVERAGEIF(Raw_Data[[#This Row],[WS_Max_IS2_W1]:[WS_Max_IS19_W6]],"&lt;&gt;"&amp;0,Raw_Data[[#This Row],[WS_Max_IS2_W1]:[WS_Max_IS19_W6]])</f>
        <v>7.792222166666666</v>
      </c>
      <c r="JI96" s="70">
        <f>SUM(Raw_Data[[#This Row],[IS1_INV1_M1]:[IS20_INV4_M2]])</f>
        <v>1188994.8000000003</v>
      </c>
      <c r="JJ96" s="73">
        <v>953601.00000008242</v>
      </c>
      <c r="JK96" s="71">
        <v>1145533.294174759</v>
      </c>
      <c r="JL96" s="143">
        <f>IFERROR(Raw_Data[[#This Row],[WPR_Eac]]/Raw_Data[[#This Row],[WPR_Edc]],"")</f>
        <v>0.83245157940787362</v>
      </c>
      <c r="JM96" s="6">
        <v>27</v>
      </c>
      <c r="JN96" s="6">
        <v>80350</v>
      </c>
    </row>
    <row r="97" spans="2:274">
      <c r="B97" s="250">
        <f t="shared" si="596"/>
        <v>45836</v>
      </c>
      <c r="C97" s="9">
        <f>YEAR(Raw_Data[[#This Row],[Date]])+IF(MONTH(Raw_Data[[#This Row],[Date]])&gt;=4,1,0)</f>
        <v>2026</v>
      </c>
      <c r="D97" s="6">
        <f t="shared" si="907"/>
        <v>2025</v>
      </c>
      <c r="E97" s="7" t="s">
        <v>361</v>
      </c>
      <c r="F97" s="7" t="s">
        <v>361</v>
      </c>
      <c r="G97" s="8">
        <v>45809</v>
      </c>
      <c r="H97" s="6">
        <f t="shared" si="908"/>
        <v>30</v>
      </c>
      <c r="I97" s="9">
        <v>335090.89</v>
      </c>
      <c r="J97" s="10">
        <v>0.27291666666666664</v>
      </c>
      <c r="K97" s="10">
        <v>0.8125</v>
      </c>
      <c r="L97" s="9">
        <v>9869.5</v>
      </c>
      <c r="M97" s="9">
        <v>10283.6</v>
      </c>
      <c r="N97" s="9">
        <v>10250.6</v>
      </c>
      <c r="O97" s="9">
        <v>10266.1</v>
      </c>
      <c r="P97" s="9">
        <v>10324.299999999999</v>
      </c>
      <c r="Q97" s="9">
        <v>10274.799999999999</v>
      </c>
      <c r="R97" s="9">
        <v>10356.9</v>
      </c>
      <c r="S97" s="9">
        <v>10761.4</v>
      </c>
      <c r="T97" s="9">
        <v>10410.799999999999</v>
      </c>
      <c r="U97" s="9">
        <v>10594.3</v>
      </c>
      <c r="V97" s="9">
        <v>11292.8</v>
      </c>
      <c r="W97" s="9">
        <v>10455.4</v>
      </c>
      <c r="X97" s="9">
        <v>11287</v>
      </c>
      <c r="Y97" s="9">
        <v>10297</v>
      </c>
      <c r="Z97" s="9">
        <v>10176.299999999999</v>
      </c>
      <c r="AA97" s="9">
        <v>10289.1</v>
      </c>
      <c r="AB97" s="9">
        <v>10300.799999999999</v>
      </c>
      <c r="AC97" s="9">
        <v>9953.7000000000007</v>
      </c>
      <c r="AD97" s="9">
        <v>10311.5</v>
      </c>
      <c r="AE97" s="9">
        <v>10392.9</v>
      </c>
      <c r="AF97" s="9">
        <v>10344.1</v>
      </c>
      <c r="AG97" s="9">
        <v>10083</v>
      </c>
      <c r="AH97" s="9">
        <v>10091.1</v>
      </c>
      <c r="AI97" s="9">
        <v>10162.4</v>
      </c>
      <c r="AJ97" s="9">
        <v>10133.5</v>
      </c>
      <c r="AK97" s="9">
        <v>8910.4</v>
      </c>
      <c r="AL97" s="9">
        <v>10030</v>
      </c>
      <c r="AM97" s="9">
        <v>10040.4</v>
      </c>
      <c r="AN97" s="9">
        <v>10286.299999999999</v>
      </c>
      <c r="AO97" s="9">
        <v>10443.4</v>
      </c>
      <c r="AP97" s="9">
        <v>10315.5</v>
      </c>
      <c r="AQ97" s="9">
        <v>10437.700000000001</v>
      </c>
      <c r="AR97" s="9">
        <v>10727.3</v>
      </c>
      <c r="AS97" s="9">
        <v>10531.3</v>
      </c>
      <c r="AT97" s="9">
        <v>10506.1</v>
      </c>
      <c r="AU97" s="9">
        <v>10411.6</v>
      </c>
      <c r="AV97" s="9">
        <v>10564.6</v>
      </c>
      <c r="AW97" s="9">
        <v>10397.700000000001</v>
      </c>
      <c r="AX97" s="9">
        <v>10664.9</v>
      </c>
      <c r="AY97" s="9">
        <v>10465.200000000001</v>
      </c>
      <c r="AZ97" s="9">
        <v>11606.8</v>
      </c>
      <c r="BA97" s="9">
        <v>10379.799999999999</v>
      </c>
      <c r="BB97" s="9">
        <v>11343.1</v>
      </c>
      <c r="BC97" s="9">
        <v>11359.6</v>
      </c>
      <c r="BD97" s="9">
        <v>10892.1</v>
      </c>
      <c r="BE97" s="9">
        <v>12152</v>
      </c>
      <c r="BF97" s="9">
        <v>10409</v>
      </c>
      <c r="BG97" s="9">
        <v>11668.1</v>
      </c>
      <c r="BH97" s="9">
        <v>10535.9</v>
      </c>
      <c r="BI97" s="9">
        <v>10671.5</v>
      </c>
      <c r="BJ97" s="9">
        <v>10476.299999999999</v>
      </c>
      <c r="BK97" s="9">
        <v>9967.1</v>
      </c>
      <c r="BL97" s="9">
        <v>10555.8</v>
      </c>
      <c r="BM97" s="9">
        <v>10693</v>
      </c>
      <c r="BN97" s="9">
        <v>10763.5</v>
      </c>
      <c r="BO97" s="9">
        <v>10510</v>
      </c>
      <c r="BP97" s="9">
        <v>9524.5</v>
      </c>
      <c r="BQ97" s="9">
        <v>11037.7</v>
      </c>
      <c r="BR97" s="9">
        <v>9587.7999999999993</v>
      </c>
      <c r="BS97" s="9">
        <v>10947.2</v>
      </c>
      <c r="BT97" s="9">
        <v>10777.3</v>
      </c>
      <c r="BU97" s="9">
        <v>9586.2000000000007</v>
      </c>
      <c r="BV97" s="9">
        <v>10711.9</v>
      </c>
      <c r="BW97" s="9">
        <v>10242.4</v>
      </c>
      <c r="BX97" s="9">
        <v>10276.4</v>
      </c>
      <c r="BY97" s="9">
        <v>9730.2000000000007</v>
      </c>
      <c r="BZ97" s="9">
        <v>10135</v>
      </c>
      <c r="CA97" s="9">
        <v>10613.1</v>
      </c>
      <c r="CB97" s="9">
        <v>10953.4</v>
      </c>
      <c r="CC97" s="9">
        <v>9957.7000000000007</v>
      </c>
      <c r="CD97" s="9">
        <v>10842</v>
      </c>
      <c r="CE97" s="9">
        <v>9511.5</v>
      </c>
      <c r="CF97" s="9">
        <v>10574.7</v>
      </c>
      <c r="CG97" s="9">
        <v>10311.6</v>
      </c>
      <c r="CH97" s="9">
        <v>9840.9</v>
      </c>
      <c r="CI97" s="9">
        <v>10908.8</v>
      </c>
      <c r="CJ97" s="9">
        <v>9627.5</v>
      </c>
      <c r="CK97" s="9">
        <v>11210.9</v>
      </c>
      <c r="CL97" s="9">
        <v>9791.1</v>
      </c>
      <c r="CM97" s="9">
        <v>11029.8</v>
      </c>
      <c r="CN97" s="9">
        <v>10005.1</v>
      </c>
      <c r="CO97" s="9">
        <v>10769.8</v>
      </c>
      <c r="CP97" s="9">
        <v>10089.700000000001</v>
      </c>
      <c r="CQ97" s="9">
        <v>10966.7</v>
      </c>
      <c r="CR97" s="9">
        <v>9920.2999999999993</v>
      </c>
      <c r="CS97" s="9">
        <v>10442.799999999999</v>
      </c>
      <c r="CT97" s="9">
        <v>9924.2999999999993</v>
      </c>
      <c r="CU97" s="9">
        <v>8627.6</v>
      </c>
      <c r="CV97" s="9">
        <v>11071.6</v>
      </c>
      <c r="CW97" s="9">
        <v>10439.5</v>
      </c>
      <c r="CX97" s="9">
        <v>9805.1</v>
      </c>
      <c r="CY97" s="9">
        <v>11361.2</v>
      </c>
      <c r="CZ97" s="9">
        <v>11080.5</v>
      </c>
      <c r="DA97" s="9">
        <v>10324.700000000001</v>
      </c>
      <c r="DB97" s="9">
        <v>10249.200000000001</v>
      </c>
      <c r="DC97" s="9">
        <v>11296.4</v>
      </c>
      <c r="DD97" s="9">
        <v>10359.9</v>
      </c>
      <c r="DE97" s="9">
        <v>10674.2</v>
      </c>
      <c r="DF97" s="9">
        <v>11605.4</v>
      </c>
      <c r="DG97" s="9">
        <v>10252.1</v>
      </c>
      <c r="DH97" s="9">
        <v>11646.1</v>
      </c>
      <c r="DI97" s="9">
        <v>10237</v>
      </c>
      <c r="DJ97" s="9">
        <v>11344.8</v>
      </c>
      <c r="DK97" s="9">
        <v>10473.700000000001</v>
      </c>
      <c r="DL97" s="9">
        <v>11418.1</v>
      </c>
      <c r="DM97" s="9">
        <v>9923.1</v>
      </c>
      <c r="DN97" s="9">
        <v>11471.8</v>
      </c>
      <c r="DO97" s="9">
        <v>10377</v>
      </c>
      <c r="DP97" s="9">
        <v>11293</v>
      </c>
      <c r="DQ97" s="9">
        <v>10391.200000000001</v>
      </c>
      <c r="DR97" s="9">
        <v>11466.9</v>
      </c>
      <c r="DS97" s="9">
        <v>10497.7</v>
      </c>
      <c r="DT97" s="9">
        <v>10092.299999999999</v>
      </c>
      <c r="DU97" s="9">
        <v>11366.4</v>
      </c>
      <c r="DV97" s="9">
        <v>10421.700000000001</v>
      </c>
      <c r="DW97" s="9">
        <v>10257.799999999999</v>
      </c>
      <c r="DX97" s="9">
        <v>11496.8</v>
      </c>
      <c r="DY97" s="9">
        <v>11470.4</v>
      </c>
      <c r="DZ97" s="9">
        <v>11354.6</v>
      </c>
      <c r="EA97" s="9">
        <v>10434.799999999999</v>
      </c>
      <c r="EB97" s="9">
        <v>11435.9</v>
      </c>
      <c r="EC97" s="9">
        <v>10352.299999999999</v>
      </c>
      <c r="ED97" s="9">
        <v>11229.1</v>
      </c>
      <c r="EE97" s="9">
        <v>10341.299999999999</v>
      </c>
      <c r="EF97" s="9">
        <v>11047.4</v>
      </c>
      <c r="EG97" s="9">
        <v>9669.4</v>
      </c>
      <c r="EH97" s="9">
        <v>11219.5</v>
      </c>
      <c r="EI97" s="9">
        <v>10370.5</v>
      </c>
      <c r="EJ97" s="9">
        <v>10524.6</v>
      </c>
      <c r="EK97" s="9">
        <v>10711.9</v>
      </c>
      <c r="EL97" s="9">
        <v>10550.9</v>
      </c>
      <c r="EM97" s="9">
        <v>9077.5</v>
      </c>
      <c r="EN97" s="9">
        <v>10538.1</v>
      </c>
      <c r="EO97" s="9">
        <v>9352.2999999999993</v>
      </c>
      <c r="EP97" s="9">
        <v>10387</v>
      </c>
      <c r="EQ97" s="9">
        <v>10403.4</v>
      </c>
      <c r="ER97" s="9">
        <v>11897.5</v>
      </c>
      <c r="ES97" s="9">
        <v>10435.9</v>
      </c>
      <c r="ET97" s="9">
        <v>11961.1</v>
      </c>
      <c r="EU97" s="9">
        <v>10616.1</v>
      </c>
      <c r="EV97" s="9">
        <v>11813.2</v>
      </c>
      <c r="EW97" s="9">
        <v>10522.5</v>
      </c>
      <c r="EX97" s="9">
        <v>10669.8</v>
      </c>
      <c r="EY97" s="9">
        <v>10537.6</v>
      </c>
      <c r="EZ97" s="9">
        <v>11664.1</v>
      </c>
      <c r="FA97" s="9">
        <v>11997</v>
      </c>
      <c r="FB97" s="9">
        <v>11751</v>
      </c>
      <c r="FC97" s="9">
        <v>11857.4</v>
      </c>
      <c r="FD97" s="9">
        <v>11838.2</v>
      </c>
      <c r="FE97" s="9">
        <v>11845.3</v>
      </c>
      <c r="FF97" s="9">
        <v>10721.5</v>
      </c>
      <c r="FG97" s="9">
        <v>11879.4</v>
      </c>
      <c r="FH97" s="9">
        <v>11790.3</v>
      </c>
      <c r="FI97" s="9">
        <v>11906.8</v>
      </c>
      <c r="FJ97" s="9">
        <v>11980.6</v>
      </c>
      <c r="FK97" s="9">
        <v>11890.4</v>
      </c>
      <c r="FL97" s="9">
        <v>11959.6</v>
      </c>
      <c r="FM97" s="9">
        <v>10806.8</v>
      </c>
      <c r="FN97" s="9">
        <v>11893.8</v>
      </c>
      <c r="FO97" s="9">
        <v>10912.4</v>
      </c>
      <c r="FP97" s="11">
        <v>31.480850515463899</v>
      </c>
      <c r="FQ97" s="11">
        <v>31.231868556700984</v>
      </c>
      <c r="FR97" s="11">
        <v>34.278904639175316</v>
      </c>
      <c r="FS97" s="11">
        <v>31.439162371134032</v>
      </c>
      <c r="FT97" s="11">
        <v>31.286301546391815</v>
      </c>
      <c r="FU97" s="11">
        <v>31.539407216494833</v>
      </c>
      <c r="FV97" s="11">
        <v>0</v>
      </c>
      <c r="FW97" s="11">
        <v>45.471971649484502</v>
      </c>
      <c r="FX97" s="11">
        <v>0</v>
      </c>
      <c r="FY97" s="11">
        <v>0</v>
      </c>
      <c r="FZ97" s="11">
        <v>46.1</v>
      </c>
      <c r="GA97" s="11">
        <v>46.455579896907253</v>
      </c>
      <c r="GB97" s="11">
        <v>0.10675257282216498</v>
      </c>
      <c r="GC97" s="11">
        <v>3.571995135309276</v>
      </c>
      <c r="GD97" s="11">
        <v>3.0210673168814437</v>
      </c>
      <c r="GE97" s="11">
        <v>3.5390569780927783</v>
      </c>
      <c r="GF97" s="11">
        <v>3.638573715206185</v>
      </c>
      <c r="GG97" s="11">
        <v>3.1289624806701046</v>
      </c>
      <c r="GH97" s="11">
        <v>3.361666</v>
      </c>
      <c r="GI97" s="11">
        <v>6.0883330000000004</v>
      </c>
      <c r="GJ97" s="11">
        <v>6.3599990000000002</v>
      </c>
      <c r="GK97" s="11">
        <v>5.8949999999999996</v>
      </c>
      <c r="GL97" s="11">
        <v>7.0149999999999997</v>
      </c>
      <c r="GM97" s="11">
        <v>5.8566659999999997</v>
      </c>
      <c r="GN97" s="11">
        <v>6.0971613333333314</v>
      </c>
      <c r="GO97" s="11">
        <v>6.2401983333333435</v>
      </c>
      <c r="GP97" s="11">
        <v>6.5506896666666705</v>
      </c>
      <c r="GQ97" s="11">
        <v>6.2919238333333354</v>
      </c>
      <c r="GR97" s="11">
        <v>6.6358433333333275</v>
      </c>
      <c r="GS97" s="11">
        <v>6.7932166666666634</v>
      </c>
      <c r="GT97" s="108">
        <v>1.1539251666666657</v>
      </c>
      <c r="GU97" s="108">
        <v>1.0576416666666668</v>
      </c>
      <c r="GV97" s="108">
        <v>1.2243488333333317</v>
      </c>
      <c r="GW97" s="108">
        <v>1.387133666666668</v>
      </c>
      <c r="GX97" s="108">
        <v>1.2775904999999994</v>
      </c>
      <c r="GY97" s="108">
        <v>1.2155196666666657</v>
      </c>
      <c r="GZ97" s="13">
        <v>5.9070624999999977</v>
      </c>
      <c r="HA97" s="13">
        <v>5.9865566666666625</v>
      </c>
      <c r="HB97" s="13">
        <v>6.1682446666666708</v>
      </c>
      <c r="HC97" s="13">
        <v>6.0641951666666696</v>
      </c>
      <c r="HD97" s="13">
        <v>6.3530781666666671</v>
      </c>
      <c r="HE97" s="13">
        <v>6.4497940000000069</v>
      </c>
      <c r="HF97" s="13">
        <v>0.36515270000000044</v>
      </c>
      <c r="HG97" s="13">
        <v>0.46196416666666595</v>
      </c>
      <c r="HH97" s="13">
        <v>0.45307649999999983</v>
      </c>
      <c r="HI97" s="13">
        <v>0.41830816666666609</v>
      </c>
      <c r="HJ97" s="13">
        <v>0.42481450000000015</v>
      </c>
      <c r="HK97" s="13">
        <v>0.47702983333333382</v>
      </c>
      <c r="HL97" s="12">
        <v>0</v>
      </c>
      <c r="HM97" s="12">
        <v>0</v>
      </c>
      <c r="HN97" s="12">
        <v>0</v>
      </c>
      <c r="HO97" s="12">
        <v>0</v>
      </c>
      <c r="HP97" s="12">
        <v>0</v>
      </c>
      <c r="HQ97" s="12">
        <v>0</v>
      </c>
      <c r="HR97" s="12">
        <v>0</v>
      </c>
      <c r="HS97" s="12">
        <v>0</v>
      </c>
      <c r="HT97" s="12">
        <v>0</v>
      </c>
      <c r="HU97" s="12">
        <v>0</v>
      </c>
      <c r="HV97" s="12">
        <v>0</v>
      </c>
      <c r="HW97" s="12">
        <v>0</v>
      </c>
      <c r="HX97" s="9">
        <v>979027</v>
      </c>
      <c r="HY97" s="9">
        <v>1822</v>
      </c>
      <c r="HZ97" s="9">
        <v>965675</v>
      </c>
      <c r="IA97" s="9">
        <v>1844</v>
      </c>
      <c r="IB97" s="11">
        <v>249644.68599999999</v>
      </c>
      <c r="IC97" s="11">
        <v>567.86699999999996</v>
      </c>
      <c r="ID97" s="14">
        <f t="shared" ref="ID97:II97" si="939">GN97-HL97</f>
        <v>6.0971613333333314</v>
      </c>
      <c r="IE97" s="14">
        <f t="shared" si="939"/>
        <v>6.2401983333333435</v>
      </c>
      <c r="IF97" s="14">
        <f t="shared" si="939"/>
        <v>6.5506896666666705</v>
      </c>
      <c r="IG97" s="14">
        <f t="shared" si="939"/>
        <v>6.2919238333333354</v>
      </c>
      <c r="IH97" s="14">
        <f t="shared" si="939"/>
        <v>6.6358433333333275</v>
      </c>
      <c r="II97" s="14">
        <f t="shared" si="939"/>
        <v>6.7932166666666634</v>
      </c>
      <c r="IJ97" s="15">
        <f t="shared" ref="IJ97:IO97" si="940">GZ97-HR97</f>
        <v>5.9070624999999977</v>
      </c>
      <c r="IK97" s="15">
        <f t="shared" si="940"/>
        <v>5.9865566666666625</v>
      </c>
      <c r="IL97" s="15">
        <f t="shared" si="940"/>
        <v>6.1682446666666708</v>
      </c>
      <c r="IM97" s="15">
        <f t="shared" si="940"/>
        <v>6.0641951666666696</v>
      </c>
      <c r="IN97" s="15">
        <f t="shared" si="940"/>
        <v>6.3530781666666671</v>
      </c>
      <c r="IO97" s="15">
        <f t="shared" si="940"/>
        <v>6.4497940000000069</v>
      </c>
      <c r="IP97" s="16">
        <f t="shared" ref="IP97" si="941">(HX97-HX96)*1000</f>
        <v>827000</v>
      </c>
      <c r="IQ97" s="16">
        <f t="shared" ref="IQ97" si="942">(HY97-HY96)*1000</f>
        <v>1000</v>
      </c>
      <c r="IR97" s="16">
        <f t="shared" ref="IR97" si="943">(HZ97-HZ96)*1000</f>
        <v>867000</v>
      </c>
      <c r="IS97" s="16">
        <f t="shared" ref="IS97" si="944">(IA97-IA96)*1000</f>
        <v>1000</v>
      </c>
      <c r="IT97" s="16">
        <f t="shared" ref="IT97" si="945">(IB97-IB96)*1000</f>
        <v>1694466.9999999751</v>
      </c>
      <c r="IU97" s="16">
        <f t="shared" ref="IU97" si="946">(IC97-IC96)*1000</f>
        <v>3733.9999999999236</v>
      </c>
      <c r="IV97" s="17">
        <f t="shared" ref="IV97" si="947">(IP97+IR97)-(IQ97+IS97)</f>
        <v>1692000</v>
      </c>
      <c r="IW97" s="17">
        <f t="shared" ref="IW97" si="948">IT97-IU97</f>
        <v>1690732.9999999751</v>
      </c>
      <c r="IX97" s="19">
        <f>(Raw_Data[[#This Row],[Sunset Time (POA&lt;20 W/m2)]]-Raw_Data[[#This Row],[Sunrise Time (POA&gt;20 W/m2)]])*24</f>
        <v>12.95</v>
      </c>
      <c r="IY97" s="68">
        <f>AVERAGEIF(Raw_Data[[#This Row],[GHI_UP_Net_IS2_W1]:[GHI_UP_Net_IS19_W6]],"&lt;&gt;"&amp;0,Raw_Data[[#This Row],[GHI_UP_Net_IS2_W1]:[GHI_UP_Net_IS19_W6]])</f>
        <v>6.4348388611111114</v>
      </c>
      <c r="IZ97" s="68">
        <f>AVERAGEIF(Raw_Data[[#This Row],[GHI_Down_IS2_W1]:[GHI_Down_IS19_W6]],"&lt;&gt;"&amp;0,Raw_Data[[#This Row],[GHI_Down_IS2_W1]:[GHI_Down_IS19_W6]])</f>
        <v>1.2193599166666662</v>
      </c>
      <c r="JA97" s="68">
        <f>AVERAGEIF(Raw_Data[[#This Row],[POA_Up_IS2_W1]:[POA_Up_IS19_W6]],"&lt;&gt;"&amp;0,Raw_Data[[#This Row],[POA_Up_IS2_W1]:[POA_Up_IS19_W6]])</f>
        <v>6.1548218611111123</v>
      </c>
      <c r="JB97" s="68">
        <f>AVERAGEIF(Raw_Data[[#This Row],[POA_Down_IS2_W1]:[POA_Down_IS19_W6]],"&lt;&gt;"&amp;0,Raw_Data[[#This Row],[POA_Down_IS2_W1]:[POA_Down_IS19_W6]])</f>
        <v>0.43339097777777774</v>
      </c>
      <c r="JC97" s="69">
        <f>Raw_Data[[#This Row],[GHI-Down(KWh/m2)]]/Raw_Data[[#This Row],[GHI-UP (KWh/m2)]]</f>
        <v>0.18949346564618058</v>
      </c>
      <c r="JD97" s="72">
        <f>Raw_Data[[#This Row],[POA-Down(KWh/m2)]]/Raw_Data[[#This Row],[POA-UP(KWh/m2)]]</f>
        <v>7.0414869440191874E-2</v>
      </c>
      <c r="JE97" s="68">
        <f>AVERAGEIF(Raw_Data[[#This Row],[Amb_Temp_IS2_W1]:[Amb_Temp_IS19_W6]],"&lt;&gt;"&amp;0,Raw_Data[[#This Row],[Amb_Temp_IS2_W1]:[Amb_Temp_IS19_W6]])</f>
        <v>31.876082474226816</v>
      </c>
      <c r="JF97" s="68">
        <f>AVERAGEIF(Raw_Data[[#This Row],[MT_Temp_IS2_W1]:[MT_Temp_IS19_W6]],"&lt;&gt;"&amp;0,Raw_Data[[#This Row],[MT_Temp_IS2_W1]:[MT_Temp_IS19_W6]])</f>
        <v>46.00918384879725</v>
      </c>
      <c r="JG97" s="68">
        <f>AVERAGEIF(Raw_Data[[#This Row],[WS_Avg_IS2_W1]:[WS_Avg_IS19_W6]],"&lt;&gt;"&amp;0,Raw_Data[[#This Row],[WS_Avg_IS2_W1]:[WS_Avg_IS19_W6]])</f>
        <v>2.8344013664969925</v>
      </c>
      <c r="JH97" s="68">
        <f>AVERAGEIF(Raw_Data[[#This Row],[WS_Max_IS2_W1]:[WS_Max_IS19_W6]],"&lt;&gt;"&amp;0,Raw_Data[[#This Row],[WS_Max_IS2_W1]:[WS_Max_IS19_W6]])</f>
        <v>5.7627773333333332</v>
      </c>
      <c r="JI97" s="70">
        <f>SUM(Raw_Data[[#This Row],[IS1_INV1_M1]:[IS20_INV4_M2]])</f>
        <v>1704469.2000000002</v>
      </c>
      <c r="JJ97" s="73">
        <v>1121531.9999999192</v>
      </c>
      <c r="JK97" s="71">
        <v>1367918.1777348758</v>
      </c>
      <c r="JL97" s="143">
        <f>IFERROR(Raw_Data[[#This Row],[WPR_Eac]]/Raw_Data[[#This Row],[WPR_Edc]],"")</f>
        <v>0.81988237180754087</v>
      </c>
      <c r="JM97" s="6">
        <v>25</v>
      </c>
      <c r="JN97" s="6" t="s">
        <v>2635</v>
      </c>
    </row>
    <row r="98" spans="2:274">
      <c r="B98" s="250">
        <f t="shared" si="596"/>
        <v>45837</v>
      </c>
      <c r="C98" s="9">
        <f>YEAR(Raw_Data[[#This Row],[Date]])+IF(MONTH(Raw_Data[[#This Row],[Date]])&gt;=4,1,0)</f>
        <v>2026</v>
      </c>
      <c r="D98" s="6">
        <f t="shared" si="907"/>
        <v>2025</v>
      </c>
      <c r="E98" s="7" t="s">
        <v>361</v>
      </c>
      <c r="F98" s="7" t="s">
        <v>361</v>
      </c>
      <c r="G98" s="8">
        <v>45809</v>
      </c>
      <c r="H98" s="6">
        <f t="shared" si="908"/>
        <v>30</v>
      </c>
      <c r="I98" s="9">
        <v>335090.89</v>
      </c>
      <c r="J98" s="10">
        <v>0.26527777777777778</v>
      </c>
      <c r="K98" s="10">
        <v>0.81388888888888888</v>
      </c>
      <c r="L98" s="9">
        <v>8773.2000000000007</v>
      </c>
      <c r="M98" s="9">
        <v>9308.2999999999993</v>
      </c>
      <c r="N98" s="9">
        <v>9411.7000000000007</v>
      </c>
      <c r="O98" s="9">
        <v>9293</v>
      </c>
      <c r="P98" s="9">
        <v>9589.7999999999993</v>
      </c>
      <c r="Q98" s="9">
        <v>9566.5</v>
      </c>
      <c r="R98" s="9">
        <v>9527.6</v>
      </c>
      <c r="S98" s="9">
        <v>9814.2000000000007</v>
      </c>
      <c r="T98" s="9">
        <v>9269.4</v>
      </c>
      <c r="U98" s="9">
        <v>9401.7000000000007</v>
      </c>
      <c r="V98" s="9">
        <v>10079.6</v>
      </c>
      <c r="W98" s="9">
        <v>9215.7000000000007</v>
      </c>
      <c r="X98" s="9">
        <v>10240.5</v>
      </c>
      <c r="Y98" s="9">
        <v>9222</v>
      </c>
      <c r="Z98" s="9">
        <v>9521.2999999999993</v>
      </c>
      <c r="AA98" s="9">
        <v>9536.6</v>
      </c>
      <c r="AB98" s="9">
        <v>9496.7000000000007</v>
      </c>
      <c r="AC98" s="9">
        <v>9291.7999999999993</v>
      </c>
      <c r="AD98" s="9">
        <v>9405.7000000000007</v>
      </c>
      <c r="AE98" s="9">
        <v>9417.5</v>
      </c>
      <c r="AF98" s="9">
        <v>9507.5</v>
      </c>
      <c r="AG98" s="9">
        <v>9260.4</v>
      </c>
      <c r="AH98" s="9">
        <v>9371.5</v>
      </c>
      <c r="AI98" s="9">
        <v>9395.4</v>
      </c>
      <c r="AJ98" s="9">
        <v>9113.5</v>
      </c>
      <c r="AK98" s="9">
        <v>7927.2</v>
      </c>
      <c r="AL98" s="9">
        <v>9018.1</v>
      </c>
      <c r="AM98" s="9">
        <v>9103</v>
      </c>
      <c r="AN98" s="9">
        <v>9517</v>
      </c>
      <c r="AO98" s="9">
        <v>9599.1</v>
      </c>
      <c r="AP98" s="9">
        <v>9449.7999999999993</v>
      </c>
      <c r="AQ98" s="9">
        <v>9484.6</v>
      </c>
      <c r="AR98" s="9">
        <v>9381.7999999999993</v>
      </c>
      <c r="AS98" s="9">
        <v>9319.2999999999993</v>
      </c>
      <c r="AT98" s="9">
        <v>9400.7000000000007</v>
      </c>
      <c r="AU98" s="9">
        <v>9344.5</v>
      </c>
      <c r="AV98" s="9">
        <v>9519</v>
      </c>
      <c r="AW98" s="9">
        <v>9443.7000000000007</v>
      </c>
      <c r="AX98" s="9">
        <v>9533.7999999999993</v>
      </c>
      <c r="AY98" s="9">
        <v>9391.2999999999993</v>
      </c>
      <c r="AZ98" s="9">
        <v>10341.200000000001</v>
      </c>
      <c r="BA98" s="9">
        <v>10296.6</v>
      </c>
      <c r="BB98" s="9">
        <v>10186.9</v>
      </c>
      <c r="BC98" s="9">
        <v>10201.1</v>
      </c>
      <c r="BD98" s="9">
        <v>9844.4</v>
      </c>
      <c r="BE98" s="9">
        <v>10889.5</v>
      </c>
      <c r="BF98" s="9">
        <v>9305.1</v>
      </c>
      <c r="BG98" s="9">
        <v>10383.299999999999</v>
      </c>
      <c r="BH98" s="9">
        <v>9334.6</v>
      </c>
      <c r="BI98" s="9">
        <v>9428</v>
      </c>
      <c r="BJ98" s="9">
        <v>9279</v>
      </c>
      <c r="BK98" s="9">
        <v>8725</v>
      </c>
      <c r="BL98" s="9">
        <v>9563</v>
      </c>
      <c r="BM98" s="9">
        <v>9682.9</v>
      </c>
      <c r="BN98" s="9">
        <v>9449.7999999999993</v>
      </c>
      <c r="BO98" s="9">
        <v>9484.2999999999993</v>
      </c>
      <c r="BP98" s="9">
        <v>8315.7000000000007</v>
      </c>
      <c r="BQ98" s="9">
        <v>9606.5</v>
      </c>
      <c r="BR98" s="9">
        <v>8414</v>
      </c>
      <c r="BS98" s="9">
        <v>9533.9</v>
      </c>
      <c r="BT98" s="9">
        <v>9382</v>
      </c>
      <c r="BU98" s="9">
        <v>8390.2999999999993</v>
      </c>
      <c r="BV98" s="9">
        <v>9260.2999999999993</v>
      </c>
      <c r="BW98" s="9">
        <v>8861.7000000000007</v>
      </c>
      <c r="BX98" s="9">
        <v>8823</v>
      </c>
      <c r="BY98" s="9">
        <v>8301.6</v>
      </c>
      <c r="BZ98" s="9">
        <v>8792.1</v>
      </c>
      <c r="CA98" s="9">
        <v>9168.5</v>
      </c>
      <c r="CB98" s="9">
        <v>9496.6</v>
      </c>
      <c r="CC98" s="9">
        <v>8527.4</v>
      </c>
      <c r="CD98" s="9">
        <v>9401.7999999999993</v>
      </c>
      <c r="CE98" s="9">
        <v>8033.2</v>
      </c>
      <c r="CF98" s="9">
        <v>9171.6</v>
      </c>
      <c r="CG98" s="9">
        <v>9052.5</v>
      </c>
      <c r="CH98" s="9">
        <v>8497</v>
      </c>
      <c r="CI98" s="9">
        <v>9530.7999999999993</v>
      </c>
      <c r="CJ98" s="9">
        <v>8362.5</v>
      </c>
      <c r="CK98" s="9">
        <v>9718.7999999999993</v>
      </c>
      <c r="CL98" s="9">
        <v>8593.1</v>
      </c>
      <c r="CM98" s="9">
        <v>9605.2999999999993</v>
      </c>
      <c r="CN98" s="9">
        <v>8526.6</v>
      </c>
      <c r="CO98" s="9">
        <v>9272</v>
      </c>
      <c r="CP98" s="9">
        <v>8649.7000000000007</v>
      </c>
      <c r="CQ98" s="9">
        <v>9254.2000000000007</v>
      </c>
      <c r="CR98" s="9">
        <v>8500.7000000000007</v>
      </c>
      <c r="CS98" s="9">
        <v>9009.2999999999993</v>
      </c>
      <c r="CT98" s="9">
        <v>8516.2999999999993</v>
      </c>
      <c r="CU98" s="9">
        <v>7317.2</v>
      </c>
      <c r="CV98" s="9">
        <v>9442.1</v>
      </c>
      <c r="CW98" s="9">
        <v>9003.5</v>
      </c>
      <c r="CX98" s="9">
        <v>8406</v>
      </c>
      <c r="CY98" s="9">
        <v>9769.2999999999993</v>
      </c>
      <c r="CZ98" s="9">
        <v>9551.2999999999993</v>
      </c>
      <c r="DA98" s="9">
        <v>8920.2000000000007</v>
      </c>
      <c r="DB98" s="9">
        <v>8835.4</v>
      </c>
      <c r="DC98" s="9">
        <v>9632.5</v>
      </c>
      <c r="DD98" s="9">
        <v>8668.4</v>
      </c>
      <c r="DE98" s="9">
        <v>8847.1</v>
      </c>
      <c r="DF98" s="9">
        <v>9723.1</v>
      </c>
      <c r="DG98" s="9">
        <v>8508</v>
      </c>
      <c r="DH98" s="9">
        <v>9805.1</v>
      </c>
      <c r="DI98" s="9">
        <v>8555.1</v>
      </c>
      <c r="DJ98" s="9">
        <v>9577.5</v>
      </c>
      <c r="DK98" s="9">
        <v>8803.7000000000007</v>
      </c>
      <c r="DL98" s="9">
        <v>9686.7999999999993</v>
      </c>
      <c r="DM98" s="9">
        <v>8364.5</v>
      </c>
      <c r="DN98" s="9">
        <v>9724.4</v>
      </c>
      <c r="DO98" s="9">
        <v>8720.2999999999993</v>
      </c>
      <c r="DP98" s="9">
        <v>9543.2000000000007</v>
      </c>
      <c r="DQ98" s="9">
        <v>8737.4</v>
      </c>
      <c r="DR98" s="9">
        <v>9782</v>
      </c>
      <c r="DS98" s="9">
        <v>8702.2000000000007</v>
      </c>
      <c r="DT98" s="9">
        <v>8372.5</v>
      </c>
      <c r="DU98" s="9">
        <v>9447.7999999999993</v>
      </c>
      <c r="DV98" s="9">
        <v>8623</v>
      </c>
      <c r="DW98" s="9">
        <v>8471.9</v>
      </c>
      <c r="DX98" s="9">
        <v>9493.6</v>
      </c>
      <c r="DY98" s="9">
        <v>9612.2000000000007</v>
      </c>
      <c r="DZ98" s="9">
        <v>9350.9</v>
      </c>
      <c r="EA98" s="9">
        <v>8578</v>
      </c>
      <c r="EB98" s="9">
        <v>9543.7999999999993</v>
      </c>
      <c r="EC98" s="9">
        <v>8617.7000000000007</v>
      </c>
      <c r="ED98" s="9">
        <v>9365.1</v>
      </c>
      <c r="EE98" s="9">
        <v>8531.2999999999993</v>
      </c>
      <c r="EF98" s="9">
        <v>8440.2000000000007</v>
      </c>
      <c r="EG98" s="9">
        <v>8042.8</v>
      </c>
      <c r="EH98" s="9">
        <v>9358.5</v>
      </c>
      <c r="EI98" s="9">
        <v>8662.2999999999993</v>
      </c>
      <c r="EJ98" s="9">
        <v>8661.4</v>
      </c>
      <c r="EK98" s="9">
        <v>8915.2000000000007</v>
      </c>
      <c r="EL98" s="9">
        <v>8803.5</v>
      </c>
      <c r="EM98" s="9">
        <v>7591.5</v>
      </c>
      <c r="EN98" s="9">
        <v>8736.9</v>
      </c>
      <c r="EO98" s="9">
        <v>7746.9</v>
      </c>
      <c r="EP98" s="9">
        <v>8546.7000000000007</v>
      </c>
      <c r="EQ98" s="9">
        <v>8612.2999999999993</v>
      </c>
      <c r="ER98" s="9">
        <v>9824.9</v>
      </c>
      <c r="ES98" s="9">
        <v>8651</v>
      </c>
      <c r="ET98" s="9">
        <v>9835.4</v>
      </c>
      <c r="EU98" s="9">
        <v>8696.6</v>
      </c>
      <c r="EV98" s="9">
        <v>9813.9</v>
      </c>
      <c r="EW98" s="9">
        <v>8727.6</v>
      </c>
      <c r="EX98" s="9">
        <v>8671.9</v>
      </c>
      <c r="EY98" s="9">
        <v>8689.2999999999993</v>
      </c>
      <c r="EZ98" s="9">
        <v>9462.4</v>
      </c>
      <c r="FA98" s="9">
        <v>9797.7000000000007</v>
      </c>
      <c r="FB98" s="9">
        <v>9557.5</v>
      </c>
      <c r="FC98" s="9">
        <v>9627.1</v>
      </c>
      <c r="FD98" s="9">
        <v>9656</v>
      </c>
      <c r="FE98" s="9">
        <v>9611.1</v>
      </c>
      <c r="FF98" s="9">
        <v>8591.2999999999993</v>
      </c>
      <c r="FG98" s="9">
        <v>9681.2000000000007</v>
      </c>
      <c r="FH98" s="9">
        <v>9583.5</v>
      </c>
      <c r="FI98" s="9">
        <v>9727.4</v>
      </c>
      <c r="FJ98" s="9">
        <v>9714.1</v>
      </c>
      <c r="FK98" s="9">
        <v>9537.7999999999993</v>
      </c>
      <c r="FL98" s="9">
        <v>9631.2000000000007</v>
      </c>
      <c r="FM98" s="9">
        <v>8729.4</v>
      </c>
      <c r="FN98" s="9">
        <v>9615.4</v>
      </c>
      <c r="FO98" s="9">
        <v>8719.9</v>
      </c>
      <c r="FP98" s="11">
        <v>31.773417721519039</v>
      </c>
      <c r="FQ98" s="11">
        <v>31.656582278481004</v>
      </c>
      <c r="FR98" s="11">
        <v>32.370468354430422</v>
      </c>
      <c r="FS98" s="11">
        <v>31.700443037974654</v>
      </c>
      <c r="FT98" s="11">
        <v>31.443632911392388</v>
      </c>
      <c r="FU98" s="11">
        <v>31.917126582278506</v>
      </c>
      <c r="FV98" s="11">
        <v>0</v>
      </c>
      <c r="FW98" s="11">
        <v>41.610278481012614</v>
      </c>
      <c r="FX98" s="11">
        <v>0</v>
      </c>
      <c r="FY98" s="11">
        <v>0</v>
      </c>
      <c r="FZ98" s="11">
        <v>40.560083658227846</v>
      </c>
      <c r="GA98" s="11">
        <v>40.9</v>
      </c>
      <c r="GB98" s="11">
        <v>2.7281032528354423</v>
      </c>
      <c r="GC98" s="11">
        <v>5.5748837227848087</v>
      </c>
      <c r="GD98" s="11">
        <v>5.3281854481012703</v>
      </c>
      <c r="GE98" s="11">
        <v>5.4898162303797582</v>
      </c>
      <c r="GF98" s="11">
        <v>5.2369596797468381</v>
      </c>
      <c r="GG98" s="11">
        <v>5.4575145329113885</v>
      </c>
      <c r="GH98" s="11">
        <v>8.3483330000000002</v>
      </c>
      <c r="GI98" s="11">
        <v>9.4699989999999996</v>
      </c>
      <c r="GJ98" s="11">
        <v>9.6416660000000007</v>
      </c>
      <c r="GK98" s="11">
        <v>9.6433330000000002</v>
      </c>
      <c r="GL98" s="11">
        <v>9.1516660000000005</v>
      </c>
      <c r="GM98" s="11">
        <v>9.9550000000000001</v>
      </c>
      <c r="GN98" s="11">
        <v>5.3567308333333354</v>
      </c>
      <c r="GO98" s="11">
        <v>5.532701833333336</v>
      </c>
      <c r="GP98" s="11">
        <v>5.7437114999999972</v>
      </c>
      <c r="GQ98" s="11">
        <v>5.2349669999999957</v>
      </c>
      <c r="GR98" s="11">
        <v>5.3378738333333313</v>
      </c>
      <c r="GS98" s="11">
        <v>5.3008301666666693</v>
      </c>
      <c r="GT98" s="108">
        <v>1.0523486666666655</v>
      </c>
      <c r="GU98" s="108">
        <v>1.0724734999999999</v>
      </c>
      <c r="GV98" s="108">
        <v>1.1168785000000001</v>
      </c>
      <c r="GW98" s="108">
        <v>1.2242859999999998</v>
      </c>
      <c r="GX98" s="108">
        <v>1.1618214999999994</v>
      </c>
      <c r="GY98" s="108">
        <v>1.0744486666666675</v>
      </c>
      <c r="GZ98" s="13">
        <v>5.1822480000000022</v>
      </c>
      <c r="HA98" s="13">
        <v>5.3056211666666666</v>
      </c>
      <c r="HB98" s="13">
        <v>5.3791256666666696</v>
      </c>
      <c r="HC98" s="13">
        <v>4.9870843333333283</v>
      </c>
      <c r="HD98" s="13">
        <v>5.0633198333333276</v>
      </c>
      <c r="HE98" s="13">
        <v>5.0544781666666694</v>
      </c>
      <c r="HF98" s="13">
        <v>0.35569333333333375</v>
      </c>
      <c r="HG98" s="13">
        <v>0.46602616666666707</v>
      </c>
      <c r="HH98" s="13">
        <v>0.44876233333333287</v>
      </c>
      <c r="HI98" s="13">
        <v>0.39528716666666663</v>
      </c>
      <c r="HJ98" s="13">
        <v>0.42684533333333341</v>
      </c>
      <c r="HK98" s="13">
        <v>0.44111966666666647</v>
      </c>
      <c r="HL98" s="12">
        <v>0</v>
      </c>
      <c r="HM98" s="12">
        <v>0</v>
      </c>
      <c r="HN98" s="12">
        <v>0</v>
      </c>
      <c r="HO98" s="12">
        <v>0</v>
      </c>
      <c r="HP98" s="12">
        <v>0</v>
      </c>
      <c r="HQ98" s="12">
        <v>0</v>
      </c>
      <c r="HR98" s="12">
        <v>0</v>
      </c>
      <c r="HS98" s="12">
        <v>0</v>
      </c>
      <c r="HT98" s="12">
        <v>0</v>
      </c>
      <c r="HU98" s="12">
        <v>0</v>
      </c>
      <c r="HV98" s="12">
        <v>0</v>
      </c>
      <c r="HW98" s="12">
        <v>0</v>
      </c>
      <c r="HX98" s="9">
        <v>979768</v>
      </c>
      <c r="HY98" s="9">
        <v>1824</v>
      </c>
      <c r="HZ98" s="9">
        <v>966397</v>
      </c>
      <c r="IA98" s="9">
        <v>1844</v>
      </c>
      <c r="IB98" s="11">
        <v>251107.82</v>
      </c>
      <c r="IC98" s="11">
        <v>569.73299999999995</v>
      </c>
      <c r="ID98" s="14">
        <f t="shared" ref="ID98:II98" si="949">GN98-HL98</f>
        <v>5.3567308333333354</v>
      </c>
      <c r="IE98" s="14">
        <f t="shared" si="949"/>
        <v>5.532701833333336</v>
      </c>
      <c r="IF98" s="14">
        <f t="shared" si="949"/>
        <v>5.7437114999999972</v>
      </c>
      <c r="IG98" s="14">
        <f t="shared" si="949"/>
        <v>5.2349669999999957</v>
      </c>
      <c r="IH98" s="14">
        <f t="shared" si="949"/>
        <v>5.3378738333333313</v>
      </c>
      <c r="II98" s="14">
        <f t="shared" si="949"/>
        <v>5.3008301666666693</v>
      </c>
      <c r="IJ98" s="15">
        <f t="shared" ref="IJ98:IO98" si="950">GZ98-HR98</f>
        <v>5.1822480000000022</v>
      </c>
      <c r="IK98" s="15">
        <f t="shared" si="950"/>
        <v>5.3056211666666666</v>
      </c>
      <c r="IL98" s="15">
        <f t="shared" si="950"/>
        <v>5.3791256666666696</v>
      </c>
      <c r="IM98" s="15">
        <f t="shared" si="950"/>
        <v>4.9870843333333283</v>
      </c>
      <c r="IN98" s="15">
        <f t="shared" si="950"/>
        <v>5.0633198333333276</v>
      </c>
      <c r="IO98" s="15">
        <f t="shared" si="950"/>
        <v>5.0544781666666694</v>
      </c>
      <c r="IP98" s="16">
        <f t="shared" ref="IP98" si="951">(HX98-HX97)*1000</f>
        <v>741000</v>
      </c>
      <c r="IQ98" s="16">
        <f t="shared" ref="IQ98" si="952">(HY98-HY97)*1000</f>
        <v>2000</v>
      </c>
      <c r="IR98" s="16">
        <f t="shared" ref="IR98" si="953">(HZ98-HZ97)*1000</f>
        <v>722000</v>
      </c>
      <c r="IS98" s="16">
        <f t="shared" ref="IS98" si="954">(IA98-IA97)*1000</f>
        <v>0</v>
      </c>
      <c r="IT98" s="16">
        <f t="shared" ref="IT98" si="955">(IB98-IB97)*1000</f>
        <v>1463134.00000002</v>
      </c>
      <c r="IU98" s="16">
        <f t="shared" ref="IU98" si="956">(IC98-IC97)*1000</f>
        <v>1865.9999999999854</v>
      </c>
      <c r="IV98" s="17">
        <f t="shared" ref="IV98" si="957">(IP98+IR98)-(IQ98+IS98)</f>
        <v>1461000</v>
      </c>
      <c r="IW98" s="17">
        <f t="shared" ref="IW98" si="958">IT98-IU98</f>
        <v>1461268.00000002</v>
      </c>
      <c r="IX98" s="19">
        <f>(Raw_Data[[#This Row],[Sunset Time (POA&lt;20 W/m2)]]-Raw_Data[[#This Row],[Sunrise Time (POA&gt;20 W/m2)]])*24</f>
        <v>13.166666666666668</v>
      </c>
      <c r="IY98" s="68">
        <f>AVERAGEIF(Raw_Data[[#This Row],[GHI_UP_Net_IS2_W1]:[GHI_UP_Net_IS19_W6]],"&lt;&gt;"&amp;0,Raw_Data[[#This Row],[GHI_UP_Net_IS2_W1]:[GHI_UP_Net_IS19_W6]])</f>
        <v>5.4178025277777779</v>
      </c>
      <c r="IZ98" s="68">
        <f>AVERAGEIF(Raw_Data[[#This Row],[GHI_Down_IS2_W1]:[GHI_Down_IS19_W6]],"&lt;&gt;"&amp;0,Raw_Data[[#This Row],[GHI_Down_IS2_W1]:[GHI_Down_IS19_W6]])</f>
        <v>1.1170428055555555</v>
      </c>
      <c r="JA98" s="68">
        <f>AVERAGEIF(Raw_Data[[#This Row],[POA_Up_IS2_W1]:[POA_Up_IS19_W6]],"&lt;&gt;"&amp;0,Raw_Data[[#This Row],[POA_Up_IS2_W1]:[POA_Up_IS19_W6]])</f>
        <v>5.1619795277777776</v>
      </c>
      <c r="JB98" s="68">
        <f>AVERAGEIF(Raw_Data[[#This Row],[POA_Down_IS2_W1]:[POA_Down_IS19_W6]],"&lt;&gt;"&amp;0,Raw_Data[[#This Row],[POA_Down_IS2_W1]:[POA_Down_IS19_W6]])</f>
        <v>0.42228899999999997</v>
      </c>
      <c r="JC98" s="69">
        <f>Raw_Data[[#This Row],[GHI-Down(KWh/m2)]]/Raw_Data[[#This Row],[GHI-UP (KWh/m2)]]</f>
        <v>0.20618005175130172</v>
      </c>
      <c r="JD98" s="72">
        <f>Raw_Data[[#This Row],[POA-Down(KWh/m2)]]/Raw_Data[[#This Row],[POA-UP(KWh/m2)]]</f>
        <v>8.1807569698323576E-2</v>
      </c>
      <c r="JE98" s="68">
        <f>AVERAGEIF(Raw_Data[[#This Row],[Amb_Temp_IS2_W1]:[Amb_Temp_IS19_W6]],"&lt;&gt;"&amp;0,Raw_Data[[#This Row],[Amb_Temp_IS2_W1]:[Amb_Temp_IS19_W6]])</f>
        <v>31.81027848101267</v>
      </c>
      <c r="JF98" s="68">
        <f>AVERAGEIF(Raw_Data[[#This Row],[MT_Temp_IS2_W1]:[MT_Temp_IS19_W6]],"&lt;&gt;"&amp;0,Raw_Data[[#This Row],[MT_Temp_IS2_W1]:[MT_Temp_IS19_W6]])</f>
        <v>41.023454046413491</v>
      </c>
      <c r="JG98" s="68">
        <f>AVERAGEIF(Raw_Data[[#This Row],[WS_Avg_IS2_W1]:[WS_Avg_IS19_W6]],"&lt;&gt;"&amp;0,Raw_Data[[#This Row],[WS_Avg_IS2_W1]:[WS_Avg_IS19_W6]])</f>
        <v>4.9692438111265842</v>
      </c>
      <c r="JH98" s="68">
        <f>AVERAGEIF(Raw_Data[[#This Row],[WS_Max_IS2_W1]:[WS_Max_IS19_W6]],"&lt;&gt;"&amp;0,Raw_Data[[#This Row],[WS_Max_IS2_W1]:[WS_Max_IS19_W6]])</f>
        <v>9.3683328333333318</v>
      </c>
      <c r="JI98" s="70">
        <f>SUM(Raw_Data[[#This Row],[IS1_INV1_M1]:[IS20_INV4_M2]])</f>
        <v>1469333.5999999992</v>
      </c>
      <c r="JJ98" s="73">
        <v>1109065.9999999916</v>
      </c>
      <c r="JK98" s="71">
        <v>1333189.6779287823</v>
      </c>
      <c r="JL98" s="143">
        <f>IFERROR(Raw_Data[[#This Row],[WPR_Eac]]/Raw_Data[[#This Row],[WPR_Edc]],"")</f>
        <v>0.83188912902702272</v>
      </c>
      <c r="JM98" s="6">
        <v>27</v>
      </c>
      <c r="JN98" s="6" t="s">
        <v>2635</v>
      </c>
    </row>
    <row r="99" spans="2:274">
      <c r="B99" s="250">
        <f t="shared" si="596"/>
        <v>45838</v>
      </c>
      <c r="C99" s="9">
        <f>YEAR(Raw_Data[[#This Row],[Date]])+IF(MONTH(Raw_Data[[#This Row],[Date]])&gt;=4,1,0)</f>
        <v>2026</v>
      </c>
      <c r="D99" s="6">
        <f t="shared" si="907"/>
        <v>2025</v>
      </c>
      <c r="E99" s="7" t="s">
        <v>361</v>
      </c>
      <c r="F99" s="7" t="s">
        <v>361</v>
      </c>
      <c r="G99" s="8">
        <v>45809</v>
      </c>
      <c r="H99" s="6">
        <f t="shared" si="908"/>
        <v>30</v>
      </c>
      <c r="I99" s="9">
        <v>335090.89</v>
      </c>
      <c r="J99" s="10">
        <v>0.26180555555555557</v>
      </c>
      <c r="K99" s="10">
        <v>0.81319444444444444</v>
      </c>
      <c r="L99" s="9">
        <v>9089.7000000000007</v>
      </c>
      <c r="M99" s="9">
        <v>9589.7000000000007</v>
      </c>
      <c r="N99" s="9">
        <v>9555.4</v>
      </c>
      <c r="O99" s="9">
        <v>9460.1</v>
      </c>
      <c r="P99" s="9">
        <v>9696</v>
      </c>
      <c r="Q99" s="9">
        <v>9758.5</v>
      </c>
      <c r="R99" s="9">
        <v>9807.2000000000007</v>
      </c>
      <c r="S99" s="9">
        <v>10120.700000000001</v>
      </c>
      <c r="T99" s="9">
        <v>9646.7000000000007</v>
      </c>
      <c r="U99" s="9">
        <v>9730.2000000000007</v>
      </c>
      <c r="V99" s="9">
        <v>10582.5</v>
      </c>
      <c r="W99" s="9">
        <v>9615.2999999999993</v>
      </c>
      <c r="X99" s="9">
        <v>10693.3</v>
      </c>
      <c r="Y99" s="9">
        <v>9664.7999999999993</v>
      </c>
      <c r="Z99" s="9">
        <v>9831.5</v>
      </c>
      <c r="AA99" s="9">
        <v>9813.7000000000007</v>
      </c>
      <c r="AB99" s="9">
        <v>9832.2000000000007</v>
      </c>
      <c r="AC99" s="9">
        <v>9825.9</v>
      </c>
      <c r="AD99" s="9">
        <v>9858.6</v>
      </c>
      <c r="AE99" s="9">
        <v>9878.5</v>
      </c>
      <c r="AF99" s="9">
        <v>9860.7000000000007</v>
      </c>
      <c r="AG99" s="9">
        <v>9860.5</v>
      </c>
      <c r="AH99" s="9">
        <v>9685.2000000000007</v>
      </c>
      <c r="AI99" s="9">
        <v>9739.1</v>
      </c>
      <c r="AJ99" s="9">
        <v>9608.7999999999993</v>
      </c>
      <c r="AK99" s="9">
        <v>8390.7000000000007</v>
      </c>
      <c r="AL99" s="9">
        <v>9541.7999999999993</v>
      </c>
      <c r="AM99" s="9">
        <v>9565.6</v>
      </c>
      <c r="AN99" s="9">
        <v>9936</v>
      </c>
      <c r="AO99" s="9">
        <v>9916.2000000000007</v>
      </c>
      <c r="AP99" s="9">
        <v>9756.2999999999993</v>
      </c>
      <c r="AQ99" s="9">
        <v>9938</v>
      </c>
      <c r="AR99" s="9">
        <v>9922.2000000000007</v>
      </c>
      <c r="AS99" s="9">
        <v>9887.4</v>
      </c>
      <c r="AT99" s="9">
        <v>9972.2999999999993</v>
      </c>
      <c r="AU99" s="9">
        <v>9858.7000000000007</v>
      </c>
      <c r="AV99" s="9">
        <v>10026.5</v>
      </c>
      <c r="AW99" s="9">
        <v>9868.7000000000007</v>
      </c>
      <c r="AX99" s="9">
        <v>9901.6</v>
      </c>
      <c r="AY99" s="9">
        <v>9839.4</v>
      </c>
      <c r="AZ99" s="9">
        <v>11013.2</v>
      </c>
      <c r="BA99" s="9">
        <v>11069.1</v>
      </c>
      <c r="BB99" s="9">
        <v>10725.6</v>
      </c>
      <c r="BC99" s="9">
        <v>10941</v>
      </c>
      <c r="BD99" s="9">
        <v>10390.299999999999</v>
      </c>
      <c r="BE99" s="9">
        <v>11580.6</v>
      </c>
      <c r="BF99" s="9">
        <v>11007.9</v>
      </c>
      <c r="BG99" s="9">
        <v>10990.8</v>
      </c>
      <c r="BH99" s="9">
        <v>9864.2000000000007</v>
      </c>
      <c r="BI99" s="9">
        <v>9999.2000000000007</v>
      </c>
      <c r="BJ99" s="9">
        <v>9815.7000000000007</v>
      </c>
      <c r="BK99" s="9">
        <v>9211.2000000000007</v>
      </c>
      <c r="BL99" s="9">
        <v>10216.1</v>
      </c>
      <c r="BM99" s="9">
        <v>10109.700000000001</v>
      </c>
      <c r="BN99" s="9">
        <v>10029.700000000001</v>
      </c>
      <c r="BO99" s="9">
        <v>10110.4</v>
      </c>
      <c r="BP99" s="9">
        <v>8825.6</v>
      </c>
      <c r="BQ99" s="9">
        <v>10213.299999999999</v>
      </c>
      <c r="BR99" s="9">
        <v>8844.9</v>
      </c>
      <c r="BS99" s="9">
        <v>10145.6</v>
      </c>
      <c r="BT99" s="9">
        <v>10001.299999999999</v>
      </c>
      <c r="BU99" s="9">
        <v>8796.5</v>
      </c>
      <c r="BV99" s="9">
        <v>9836.5</v>
      </c>
      <c r="BW99" s="9">
        <v>9386.6</v>
      </c>
      <c r="BX99" s="9">
        <v>9416.7999999999993</v>
      </c>
      <c r="BY99" s="9">
        <v>8896.2999999999993</v>
      </c>
      <c r="BZ99" s="9">
        <v>9433.7000000000007</v>
      </c>
      <c r="CA99" s="9">
        <v>9899.2999999999993</v>
      </c>
      <c r="CB99" s="9">
        <v>10178.799999999999</v>
      </c>
      <c r="CC99" s="9">
        <v>9160.1</v>
      </c>
      <c r="CD99" s="9">
        <v>10102.5</v>
      </c>
      <c r="CE99" s="9">
        <v>8849.2999999999993</v>
      </c>
      <c r="CF99" s="9">
        <v>9710.9</v>
      </c>
      <c r="CG99" s="9">
        <v>9612.4</v>
      </c>
      <c r="CH99" s="9">
        <v>8988.4</v>
      </c>
      <c r="CI99" s="9">
        <v>10138.200000000001</v>
      </c>
      <c r="CJ99" s="9">
        <v>8919.2999999999993</v>
      </c>
      <c r="CK99" s="9">
        <v>10282</v>
      </c>
      <c r="CL99" s="9">
        <v>9057.9</v>
      </c>
      <c r="CM99" s="9">
        <v>10127.299999999999</v>
      </c>
      <c r="CN99" s="9">
        <v>9158.7999999999993</v>
      </c>
      <c r="CO99" s="9">
        <v>9975.1</v>
      </c>
      <c r="CP99" s="9">
        <v>9272.7000000000007</v>
      </c>
      <c r="CQ99" s="9">
        <v>10220.9</v>
      </c>
      <c r="CR99" s="9">
        <v>9109.4</v>
      </c>
      <c r="CS99" s="9">
        <v>9781.2000000000007</v>
      </c>
      <c r="CT99" s="9">
        <v>9126.2999999999993</v>
      </c>
      <c r="CU99" s="9">
        <v>8047.9</v>
      </c>
      <c r="CV99" s="9">
        <v>10185.700000000001</v>
      </c>
      <c r="CW99" s="9">
        <v>9657</v>
      </c>
      <c r="CX99" s="9">
        <v>8984.4</v>
      </c>
      <c r="CY99" s="9">
        <v>10467.9</v>
      </c>
      <c r="CZ99" s="9">
        <v>10155.1</v>
      </c>
      <c r="DA99" s="9">
        <v>9417.1</v>
      </c>
      <c r="DB99" s="9">
        <v>9310.7999999999993</v>
      </c>
      <c r="DC99" s="9">
        <v>10240.6</v>
      </c>
      <c r="DD99" s="9">
        <v>9192.6</v>
      </c>
      <c r="DE99" s="9">
        <v>9473.9</v>
      </c>
      <c r="DF99" s="9">
        <v>10393.5</v>
      </c>
      <c r="DG99" s="9">
        <v>9060.1</v>
      </c>
      <c r="DH99" s="9">
        <v>10468.5</v>
      </c>
      <c r="DI99" s="9">
        <v>9101.1</v>
      </c>
      <c r="DJ99" s="9">
        <v>10159.5</v>
      </c>
      <c r="DK99" s="9">
        <v>9367.4</v>
      </c>
      <c r="DL99" s="9">
        <v>10316.9</v>
      </c>
      <c r="DM99" s="9">
        <v>8877.1</v>
      </c>
      <c r="DN99" s="9">
        <v>10388.200000000001</v>
      </c>
      <c r="DO99" s="9">
        <v>9309.2000000000007</v>
      </c>
      <c r="DP99" s="9">
        <v>10291.200000000001</v>
      </c>
      <c r="DQ99" s="9">
        <v>9373.4</v>
      </c>
      <c r="DR99" s="9">
        <v>10416.9</v>
      </c>
      <c r="DS99" s="9">
        <v>9528.5</v>
      </c>
      <c r="DT99" s="9">
        <v>8935.4</v>
      </c>
      <c r="DU99" s="9">
        <v>10103.299999999999</v>
      </c>
      <c r="DV99" s="9">
        <v>9270.9</v>
      </c>
      <c r="DW99" s="9">
        <v>9099</v>
      </c>
      <c r="DX99" s="9">
        <v>10340.5</v>
      </c>
      <c r="DY99" s="9">
        <v>10332.5</v>
      </c>
      <c r="DZ99" s="9">
        <v>10233.6</v>
      </c>
      <c r="EA99" s="9">
        <v>9331.9</v>
      </c>
      <c r="EB99" s="9">
        <v>10342.4</v>
      </c>
      <c r="EC99" s="9">
        <v>9232.1</v>
      </c>
      <c r="ED99" s="9">
        <v>10096.5</v>
      </c>
      <c r="EE99" s="9">
        <v>9335.7000000000007</v>
      </c>
      <c r="EF99" s="9">
        <v>9894.1</v>
      </c>
      <c r="EG99" s="9">
        <v>8616.5</v>
      </c>
      <c r="EH99" s="9">
        <v>10060.5</v>
      </c>
      <c r="EI99" s="9">
        <v>9200.4</v>
      </c>
      <c r="EJ99" s="9">
        <v>9400.2999999999993</v>
      </c>
      <c r="EK99" s="9">
        <v>9448</v>
      </c>
      <c r="EL99" s="9">
        <v>9304.7000000000007</v>
      </c>
      <c r="EM99" s="9">
        <v>8042.8</v>
      </c>
      <c r="EN99" s="9">
        <v>9222.7999999999993</v>
      </c>
      <c r="EO99" s="9">
        <v>8121.9</v>
      </c>
      <c r="EP99" s="9">
        <v>9060.5</v>
      </c>
      <c r="EQ99" s="9">
        <v>9194.5</v>
      </c>
      <c r="ER99" s="9">
        <v>10567.7</v>
      </c>
      <c r="ES99" s="9">
        <v>9190.7000000000007</v>
      </c>
      <c r="ET99" s="9">
        <v>10662.6</v>
      </c>
      <c r="EU99" s="9">
        <v>9391.2000000000007</v>
      </c>
      <c r="EV99" s="9">
        <v>10577.7</v>
      </c>
      <c r="EW99" s="9">
        <v>9321.1</v>
      </c>
      <c r="EX99" s="9">
        <v>9470.7999999999993</v>
      </c>
      <c r="EY99" s="9">
        <v>9314.2000000000007</v>
      </c>
      <c r="EZ99" s="9">
        <v>10254.799999999999</v>
      </c>
      <c r="FA99" s="9">
        <v>10659.2</v>
      </c>
      <c r="FB99" s="9">
        <v>10561</v>
      </c>
      <c r="FC99" s="9">
        <v>10522.6</v>
      </c>
      <c r="FD99" s="9">
        <v>10514.3</v>
      </c>
      <c r="FE99" s="9">
        <v>10534.4</v>
      </c>
      <c r="FF99" s="9">
        <v>9585.5</v>
      </c>
      <c r="FG99" s="9">
        <v>10608.8</v>
      </c>
      <c r="FH99" s="9">
        <v>10580.2</v>
      </c>
      <c r="FI99" s="9">
        <v>10604.3</v>
      </c>
      <c r="FJ99" s="9">
        <v>10666.1</v>
      </c>
      <c r="FK99" s="9">
        <v>10622.6</v>
      </c>
      <c r="FL99" s="9">
        <v>10627.8</v>
      </c>
      <c r="FM99" s="9">
        <v>9477</v>
      </c>
      <c r="FN99" s="9">
        <v>10676.1</v>
      </c>
      <c r="FO99" s="9">
        <v>9553.7000000000007</v>
      </c>
      <c r="FP99" s="11">
        <v>31.646217948717947</v>
      </c>
      <c r="FQ99" s="11">
        <v>31.431294871794869</v>
      </c>
      <c r="FR99" s="11">
        <v>31.807884615384641</v>
      </c>
      <c r="FS99" s="11">
        <v>31.644384615384634</v>
      </c>
      <c r="FT99" s="11">
        <v>31.530410256410249</v>
      </c>
      <c r="FU99" s="11">
        <v>31.667641025641064</v>
      </c>
      <c r="FV99" s="11">
        <v>0</v>
      </c>
      <c r="FW99" s="11">
        <v>43.304628205128246</v>
      </c>
      <c r="FX99" s="11">
        <v>0</v>
      </c>
      <c r="FY99" s="11">
        <v>0</v>
      </c>
      <c r="FZ99" s="11">
        <v>43.370138512820503</v>
      </c>
      <c r="GA99" s="11">
        <v>43.5</v>
      </c>
      <c r="GB99" s="11">
        <v>0.33460041847435923</v>
      </c>
      <c r="GC99" s="11">
        <v>4.6837434000000071</v>
      </c>
      <c r="GD99" s="11">
        <v>3.5706921500000011</v>
      </c>
      <c r="GE99" s="11">
        <v>4.6722562115384623</v>
      </c>
      <c r="GF99" s="11">
        <v>4.4833801538461548</v>
      </c>
      <c r="GG99" s="11">
        <v>4.1032604871794858</v>
      </c>
      <c r="GH99" s="11">
        <v>5.4633330000000004</v>
      </c>
      <c r="GI99" s="11">
        <v>7.875</v>
      </c>
      <c r="GJ99" s="11">
        <v>7.3849999999999998</v>
      </c>
      <c r="GK99" s="11">
        <v>7.5266659999999996</v>
      </c>
      <c r="GL99" s="11">
        <v>6.8816660000000001</v>
      </c>
      <c r="GM99" s="11">
        <v>7.2183330000000003</v>
      </c>
      <c r="GN99" s="11">
        <v>5.4838873333333416</v>
      </c>
      <c r="GO99" s="11">
        <v>5.6807038333333368</v>
      </c>
      <c r="GP99" s="11">
        <v>5.9795923333333363</v>
      </c>
      <c r="GQ99" s="11">
        <v>5.5035396666666703</v>
      </c>
      <c r="GR99" s="11">
        <v>5.6441675000000062</v>
      </c>
      <c r="GS99" s="11">
        <v>5.7394353333333354</v>
      </c>
      <c r="GT99" s="108">
        <v>1.1282696666666683</v>
      </c>
      <c r="GU99" s="108">
        <v>1.1521749999999995</v>
      </c>
      <c r="GV99" s="108">
        <v>1.2010681666666654</v>
      </c>
      <c r="GW99" s="108">
        <v>1.3209416666666665</v>
      </c>
      <c r="GX99" s="108">
        <v>1.3494090000000001</v>
      </c>
      <c r="GY99" s="108">
        <v>1.1606533333333318</v>
      </c>
      <c r="GZ99" s="13">
        <v>5.3448353333333447</v>
      </c>
      <c r="HA99" s="13">
        <v>5.5125883333333334</v>
      </c>
      <c r="HB99" s="13">
        <v>5.6649696666666616</v>
      </c>
      <c r="HC99" s="13">
        <v>0</v>
      </c>
      <c r="HD99" s="13">
        <v>0</v>
      </c>
      <c r="HE99" s="13">
        <v>5.5191405000000007</v>
      </c>
      <c r="HF99" s="13">
        <v>0.36720383333333306</v>
      </c>
      <c r="HG99" s="13">
        <v>0.48039550000000009</v>
      </c>
      <c r="HH99" s="13">
        <v>0.49277916666666638</v>
      </c>
      <c r="HI99" s="13">
        <v>0.41690333333333335</v>
      </c>
      <c r="HJ99" s="13">
        <v>0.45906916666666592</v>
      </c>
      <c r="HK99" s="13">
        <v>0.46850449999999988</v>
      </c>
      <c r="HL99" s="12">
        <v>0</v>
      </c>
      <c r="HM99" s="12">
        <v>0</v>
      </c>
      <c r="HN99" s="12">
        <v>0</v>
      </c>
      <c r="HO99" s="12">
        <v>0</v>
      </c>
      <c r="HP99" s="12">
        <v>0</v>
      </c>
      <c r="HQ99" s="12">
        <v>0</v>
      </c>
      <c r="HR99" s="12">
        <v>0</v>
      </c>
      <c r="HS99" s="12">
        <v>0</v>
      </c>
      <c r="HT99" s="12">
        <v>0</v>
      </c>
      <c r="HU99" s="12">
        <v>0</v>
      </c>
      <c r="HV99" s="12">
        <v>0</v>
      </c>
      <c r="HW99" s="12">
        <v>0</v>
      </c>
      <c r="HX99" s="9">
        <v>980548</v>
      </c>
      <c r="HY99" s="9">
        <v>1824</v>
      </c>
      <c r="HZ99" s="9">
        <v>967175</v>
      </c>
      <c r="IA99" s="9">
        <v>1844</v>
      </c>
      <c r="IB99" s="11">
        <v>252667.62</v>
      </c>
      <c r="IC99" s="11">
        <v>571.53300000000002</v>
      </c>
      <c r="ID99" s="14">
        <f t="shared" ref="ID99:II99" si="959">GN99-HL99</f>
        <v>5.4838873333333416</v>
      </c>
      <c r="IE99" s="14">
        <f t="shared" si="959"/>
        <v>5.6807038333333368</v>
      </c>
      <c r="IF99" s="14">
        <f t="shared" si="959"/>
        <v>5.9795923333333363</v>
      </c>
      <c r="IG99" s="14">
        <f t="shared" si="959"/>
        <v>5.5035396666666703</v>
      </c>
      <c r="IH99" s="14">
        <f t="shared" si="959"/>
        <v>5.6441675000000062</v>
      </c>
      <c r="II99" s="14">
        <f t="shared" si="959"/>
        <v>5.7394353333333354</v>
      </c>
      <c r="IJ99" s="15">
        <f t="shared" ref="IJ99:IO99" si="960">GZ99-HR99</f>
        <v>5.3448353333333447</v>
      </c>
      <c r="IK99" s="15">
        <f t="shared" si="960"/>
        <v>5.5125883333333334</v>
      </c>
      <c r="IL99" s="15">
        <f t="shared" si="960"/>
        <v>5.6649696666666616</v>
      </c>
      <c r="IM99" s="15">
        <f t="shared" si="960"/>
        <v>0</v>
      </c>
      <c r="IN99" s="15">
        <f t="shared" si="960"/>
        <v>0</v>
      </c>
      <c r="IO99" s="15">
        <f t="shared" si="960"/>
        <v>5.5191405000000007</v>
      </c>
      <c r="IP99" s="16">
        <f t="shared" ref="IP99" si="961">(HX99-HX98)*1000</f>
        <v>780000</v>
      </c>
      <c r="IQ99" s="16">
        <f t="shared" ref="IQ99" si="962">(HY99-HY98)*1000</f>
        <v>0</v>
      </c>
      <c r="IR99" s="16">
        <f t="shared" ref="IR99" si="963">(HZ99-HZ98)*1000</f>
        <v>778000</v>
      </c>
      <c r="IS99" s="16">
        <f t="shared" ref="IS99" si="964">(IA99-IA98)*1000</f>
        <v>0</v>
      </c>
      <c r="IT99" s="16">
        <f t="shared" ref="IT99" si="965">(IB99-IB98)*1000</f>
        <v>1559799.9999999884</v>
      </c>
      <c r="IU99" s="16">
        <f t="shared" ref="IU99" si="966">(IC99-IC98)*1000</f>
        <v>1800.0000000000682</v>
      </c>
      <c r="IV99" s="17">
        <f t="shared" ref="IV99" si="967">(IP99+IR99)-(IQ99+IS99)</f>
        <v>1558000</v>
      </c>
      <c r="IW99" s="17">
        <f t="shared" ref="IW99" si="968">IT99-IU99</f>
        <v>1557999.9999999884</v>
      </c>
      <c r="IX99" s="19">
        <f>(Raw_Data[[#This Row],[Sunset Time (POA&lt;20 W/m2)]]-Raw_Data[[#This Row],[Sunrise Time (POA&gt;20 W/m2)]])*24</f>
        <v>13.233333333333334</v>
      </c>
      <c r="IY99" s="68">
        <f>AVERAGEIF(Raw_Data[[#This Row],[GHI_UP_Net_IS2_W1]:[GHI_UP_Net_IS19_W6]],"&lt;&gt;"&amp;0,Raw_Data[[#This Row],[GHI_UP_Net_IS2_W1]:[GHI_UP_Net_IS19_W6]])</f>
        <v>5.6718876666666711</v>
      </c>
      <c r="IZ99" s="68">
        <f>AVERAGEIF(Raw_Data[[#This Row],[GHI_Down_IS2_W1]:[GHI_Down_IS19_W6]],"&lt;&gt;"&amp;0,Raw_Data[[#This Row],[GHI_Down_IS2_W1]:[GHI_Down_IS19_W6]])</f>
        <v>1.2187528055555552</v>
      </c>
      <c r="JA99" s="68">
        <f>AVERAGEIF(Raw_Data[[#This Row],[POA_Up_IS2_W1]:[POA_Up_IS19_W6]],"&lt;&gt;"&amp;0,Raw_Data[[#This Row],[POA_Up_IS2_W1]:[POA_Up_IS19_W6]])</f>
        <v>5.5103834583333349</v>
      </c>
      <c r="JB99" s="68">
        <f>AVERAGEIF(Raw_Data[[#This Row],[POA_Down_IS2_W1]:[POA_Down_IS19_W6]],"&lt;&gt;"&amp;0,Raw_Data[[#This Row],[POA_Down_IS2_W1]:[POA_Down_IS19_W6]])</f>
        <v>0.44747591666666642</v>
      </c>
      <c r="JC99" s="69">
        <f>Raw_Data[[#This Row],[GHI-Down(KWh/m2)]]/Raw_Data[[#This Row],[GHI-UP (KWh/m2)]]</f>
        <v>0.21487604783114608</v>
      </c>
      <c r="JD99" s="72">
        <f>Raw_Data[[#This Row],[POA-Down(KWh/m2)]]/Raw_Data[[#This Row],[POA-UP(KWh/m2)]]</f>
        <v>8.1205948742088002E-2</v>
      </c>
      <c r="JE99" s="68">
        <f>AVERAGEIF(Raw_Data[[#This Row],[Amb_Temp_IS2_W1]:[Amb_Temp_IS19_W6]],"&lt;&gt;"&amp;0,Raw_Data[[#This Row],[Amb_Temp_IS2_W1]:[Amb_Temp_IS19_W6]])</f>
        <v>31.621305555555569</v>
      </c>
      <c r="JF99" s="68">
        <f>AVERAGEIF(Raw_Data[[#This Row],[MT_Temp_IS2_W1]:[MT_Temp_IS19_W6]],"&lt;&gt;"&amp;0,Raw_Data[[#This Row],[MT_Temp_IS2_W1]:[MT_Temp_IS19_W6]])</f>
        <v>43.391588905982921</v>
      </c>
      <c r="JG99" s="68">
        <f>AVERAGEIF(Raw_Data[[#This Row],[WS_Avg_IS2_W1]:[WS_Avg_IS19_W6]],"&lt;&gt;"&amp;0,Raw_Data[[#This Row],[WS_Avg_IS2_W1]:[WS_Avg_IS19_W6]])</f>
        <v>3.641322136839745</v>
      </c>
      <c r="JH99" s="68">
        <f>AVERAGEIF(Raw_Data[[#This Row],[WS_Max_IS2_W1]:[WS_Max_IS19_W6]],"&lt;&gt;"&amp;0,Raw_Data[[#This Row],[WS_Max_IS2_W1]:[WS_Max_IS19_W6]])</f>
        <v>7.0583330000000002</v>
      </c>
      <c r="JI99" s="70">
        <f>SUM(Raw_Data[[#This Row],[IS1_INV1_M1]:[IS20_INV4_M2]])</f>
        <v>1566618.5000000002</v>
      </c>
      <c r="JJ99" s="73">
        <v>1209933.9999999793</v>
      </c>
      <c r="JK99" s="71">
        <v>1461560.0694811123</v>
      </c>
      <c r="JL99" s="143">
        <f>IFERROR(Raw_Data[[#This Row],[WPR_Eac]]/Raw_Data[[#This Row],[WPR_Edc]],"")</f>
        <v>0.82783733988404173</v>
      </c>
      <c r="JM99" s="6">
        <v>28</v>
      </c>
      <c r="JN99" s="6" t="s">
        <v>2635</v>
      </c>
    </row>
    <row r="100" spans="2:274">
      <c r="B100" s="250">
        <f t="shared" si="596"/>
        <v>45839</v>
      </c>
      <c r="C100" s="9">
        <f>YEAR(Raw_Data[[#This Row],[Date]])+IF(MONTH(Raw_Data[[#This Row],[Date]])&gt;=4,1,0)</f>
        <v>2026</v>
      </c>
      <c r="D100" s="6">
        <f t="shared" ref="D100:D105" si="969">YEAR(B100)</f>
        <v>2025</v>
      </c>
      <c r="E100" s="7" t="s">
        <v>361</v>
      </c>
      <c r="F100" s="7" t="s">
        <v>361</v>
      </c>
      <c r="G100" s="8">
        <v>45839</v>
      </c>
      <c r="H100" s="6">
        <f t="shared" ref="H100:H105" si="970">DAY(EOMONTH(B100,0))</f>
        <v>31</v>
      </c>
      <c r="I100" s="9">
        <v>335090.89</v>
      </c>
      <c r="J100" s="10">
        <v>0.26944444444444443</v>
      </c>
      <c r="K100" s="10">
        <v>0.8125</v>
      </c>
      <c r="L100" s="9">
        <v>10680</v>
      </c>
      <c r="M100" s="9">
        <v>11274.7</v>
      </c>
      <c r="N100" s="9">
        <v>11236.6</v>
      </c>
      <c r="O100" s="9">
        <v>11162.3</v>
      </c>
      <c r="P100" s="9">
        <v>11327.2</v>
      </c>
      <c r="Q100" s="9">
        <v>11344</v>
      </c>
      <c r="R100" s="9">
        <v>11415.3</v>
      </c>
      <c r="S100" s="9">
        <v>11710.7</v>
      </c>
      <c r="T100" s="9">
        <v>11317.9</v>
      </c>
      <c r="U100" s="9">
        <v>11386.4</v>
      </c>
      <c r="V100" s="9">
        <v>12310.9</v>
      </c>
      <c r="W100" s="9">
        <v>11264.1</v>
      </c>
      <c r="X100" s="9">
        <v>12272.3</v>
      </c>
      <c r="Y100" s="9">
        <v>11199.4</v>
      </c>
      <c r="Z100" s="9">
        <v>11125.5</v>
      </c>
      <c r="AA100" s="9">
        <v>11203.3</v>
      </c>
      <c r="AB100" s="9">
        <v>11055.7</v>
      </c>
      <c r="AC100" s="9">
        <v>11025.6</v>
      </c>
      <c r="AD100" s="9">
        <v>11096</v>
      </c>
      <c r="AE100" s="9">
        <v>11173.7</v>
      </c>
      <c r="AF100" s="9">
        <v>11085.9</v>
      </c>
      <c r="AG100" s="9">
        <v>11085.1</v>
      </c>
      <c r="AH100" s="9">
        <v>10816.3</v>
      </c>
      <c r="AI100" s="9">
        <v>10915.2</v>
      </c>
      <c r="AJ100" s="9">
        <v>10845.6</v>
      </c>
      <c r="AK100" s="9">
        <v>9492.9</v>
      </c>
      <c r="AL100" s="9">
        <v>10802.6</v>
      </c>
      <c r="AM100" s="9">
        <v>10801.5</v>
      </c>
      <c r="AN100" s="9">
        <v>11157.3</v>
      </c>
      <c r="AO100" s="9">
        <v>11060.9</v>
      </c>
      <c r="AP100" s="9">
        <v>10877.1</v>
      </c>
      <c r="AQ100" s="9">
        <v>11150</v>
      </c>
      <c r="AR100" s="9">
        <v>11187.5</v>
      </c>
      <c r="AS100" s="9">
        <v>11171.1</v>
      </c>
      <c r="AT100" s="9">
        <v>11271</v>
      </c>
      <c r="AU100" s="9">
        <v>11139.2</v>
      </c>
      <c r="AV100" s="9">
        <v>11266.8</v>
      </c>
      <c r="AW100" s="9">
        <v>11029.2</v>
      </c>
      <c r="AX100" s="9">
        <v>11093.5</v>
      </c>
      <c r="AY100" s="9">
        <v>11061.5</v>
      </c>
      <c r="AZ100" s="9">
        <v>11792.3</v>
      </c>
      <c r="BA100" s="9">
        <v>11821.2</v>
      </c>
      <c r="BB100" s="9">
        <v>11697.9</v>
      </c>
      <c r="BC100" s="9">
        <v>11899</v>
      </c>
      <c r="BD100" s="9">
        <v>11104.3</v>
      </c>
      <c r="BE100" s="9">
        <v>12420.8</v>
      </c>
      <c r="BF100" s="9">
        <v>11807.3</v>
      </c>
      <c r="BG100" s="9">
        <v>11835.7</v>
      </c>
      <c r="BH100" s="9">
        <v>11276.2</v>
      </c>
      <c r="BI100" s="9">
        <v>11541</v>
      </c>
      <c r="BJ100" s="9">
        <v>11295.6</v>
      </c>
      <c r="BK100" s="9">
        <v>10639</v>
      </c>
      <c r="BL100" s="9">
        <v>11657.9</v>
      </c>
      <c r="BM100" s="9">
        <v>11522.3</v>
      </c>
      <c r="BN100" s="9">
        <v>11611.4</v>
      </c>
      <c r="BO100" s="9">
        <v>11558.8</v>
      </c>
      <c r="BP100" s="9">
        <v>10264</v>
      </c>
      <c r="BQ100" s="9">
        <v>11895.2</v>
      </c>
      <c r="BR100" s="9">
        <v>10310.4</v>
      </c>
      <c r="BS100" s="9">
        <v>11824.8</v>
      </c>
      <c r="BT100" s="9">
        <v>11678.6</v>
      </c>
      <c r="BU100" s="9">
        <v>10298.4</v>
      </c>
      <c r="BV100" s="9">
        <v>11451.7</v>
      </c>
      <c r="BW100" s="9">
        <v>10852.8</v>
      </c>
      <c r="BX100" s="9">
        <v>10934.9</v>
      </c>
      <c r="BY100" s="9">
        <v>10255.6</v>
      </c>
      <c r="BZ100" s="9">
        <v>10885.4</v>
      </c>
      <c r="CA100" s="9">
        <v>11354.3</v>
      </c>
      <c r="CB100" s="9">
        <v>11755.3</v>
      </c>
      <c r="CC100" s="9">
        <v>10452.6</v>
      </c>
      <c r="CD100" s="9">
        <v>11588.3</v>
      </c>
      <c r="CE100" s="9">
        <v>10008.200000000001</v>
      </c>
      <c r="CF100" s="9">
        <v>11241</v>
      </c>
      <c r="CG100" s="9">
        <v>10939.1</v>
      </c>
      <c r="CH100" s="9">
        <v>10348.6</v>
      </c>
      <c r="CI100" s="9">
        <v>11516</v>
      </c>
      <c r="CJ100" s="9">
        <v>10082.700000000001</v>
      </c>
      <c r="CK100" s="9">
        <v>11838</v>
      </c>
      <c r="CL100" s="9">
        <v>10309.6</v>
      </c>
      <c r="CM100" s="9">
        <v>11499.8</v>
      </c>
      <c r="CN100" s="9">
        <v>10411.1</v>
      </c>
      <c r="CO100" s="9">
        <v>11285.3</v>
      </c>
      <c r="CP100" s="9">
        <v>10525.9</v>
      </c>
      <c r="CQ100" s="9">
        <v>11705.9</v>
      </c>
      <c r="CR100" s="9">
        <v>10408.4</v>
      </c>
      <c r="CS100" s="9">
        <v>11135.3</v>
      </c>
      <c r="CT100" s="9">
        <v>10428.1</v>
      </c>
      <c r="CU100" s="9">
        <v>9141.4</v>
      </c>
      <c r="CV100" s="9">
        <v>11509.3</v>
      </c>
      <c r="CW100" s="9">
        <v>10979.7</v>
      </c>
      <c r="CX100" s="9">
        <v>10167.200000000001</v>
      </c>
      <c r="CY100" s="9">
        <v>11895.5</v>
      </c>
      <c r="CZ100" s="9">
        <v>11516.2</v>
      </c>
      <c r="DA100" s="9">
        <v>10598.6</v>
      </c>
      <c r="DB100" s="9">
        <v>10480.299999999999</v>
      </c>
      <c r="DC100" s="9">
        <v>11636.4</v>
      </c>
      <c r="DD100" s="9">
        <v>10365.9</v>
      </c>
      <c r="DE100" s="9">
        <v>10724.6</v>
      </c>
      <c r="DF100" s="9">
        <v>11779.1</v>
      </c>
      <c r="DG100" s="9">
        <v>10206.5</v>
      </c>
      <c r="DH100" s="9">
        <v>11644.5</v>
      </c>
      <c r="DI100" s="9">
        <v>10188.6</v>
      </c>
      <c r="DJ100" s="9">
        <v>11409.1</v>
      </c>
      <c r="DK100" s="9">
        <v>10457.200000000001</v>
      </c>
      <c r="DL100" s="9">
        <v>11528.6</v>
      </c>
      <c r="DM100" s="9">
        <v>9903.6</v>
      </c>
      <c r="DN100" s="9">
        <v>11550.7</v>
      </c>
      <c r="DO100" s="9">
        <v>10339.200000000001</v>
      </c>
      <c r="DP100" s="9">
        <v>11330.1</v>
      </c>
      <c r="DQ100" s="9">
        <v>10282.700000000001</v>
      </c>
      <c r="DR100" s="9">
        <v>11409.9</v>
      </c>
      <c r="DS100" s="9">
        <v>10476.5</v>
      </c>
      <c r="DT100" s="9">
        <v>10083.9</v>
      </c>
      <c r="DU100" s="9">
        <v>11366.1</v>
      </c>
      <c r="DV100" s="9">
        <v>10348.6</v>
      </c>
      <c r="DW100" s="9">
        <v>10143.4</v>
      </c>
      <c r="DX100" s="9">
        <v>11516.1</v>
      </c>
      <c r="DY100" s="9">
        <v>11523.4</v>
      </c>
      <c r="DZ100" s="9">
        <v>11337.6</v>
      </c>
      <c r="EA100" s="9">
        <v>10326.799999999999</v>
      </c>
      <c r="EB100" s="9">
        <v>11448.2</v>
      </c>
      <c r="EC100" s="9">
        <v>10163.700000000001</v>
      </c>
      <c r="ED100" s="9">
        <v>11164</v>
      </c>
      <c r="EE100" s="9">
        <v>10293.5</v>
      </c>
      <c r="EF100" s="9">
        <v>10917.6</v>
      </c>
      <c r="EG100" s="9">
        <v>9549.6</v>
      </c>
      <c r="EH100" s="9">
        <v>11105.4</v>
      </c>
      <c r="EI100" s="9">
        <v>10185.200000000001</v>
      </c>
      <c r="EJ100" s="9">
        <v>10453</v>
      </c>
      <c r="EK100" s="9">
        <v>10536.7</v>
      </c>
      <c r="EL100" s="9">
        <v>10283.4</v>
      </c>
      <c r="EM100" s="9">
        <v>8897.7999999999993</v>
      </c>
      <c r="EN100" s="9">
        <v>10314.4</v>
      </c>
      <c r="EO100" s="9">
        <v>9097.7999999999993</v>
      </c>
      <c r="EP100" s="9">
        <v>10113.5</v>
      </c>
      <c r="EQ100" s="9">
        <v>10254</v>
      </c>
      <c r="ER100" s="9">
        <v>12049.1</v>
      </c>
      <c r="ES100" s="9">
        <v>10437.799999999999</v>
      </c>
      <c r="ET100" s="9">
        <v>12138.8</v>
      </c>
      <c r="EU100" s="9">
        <v>10690.3</v>
      </c>
      <c r="EV100" s="9">
        <v>11981.9</v>
      </c>
      <c r="EW100" s="9">
        <v>10538.8</v>
      </c>
      <c r="EX100" s="9">
        <v>10702.1</v>
      </c>
      <c r="EY100" s="9">
        <v>10443.200000000001</v>
      </c>
      <c r="EZ100" s="9">
        <v>11559.4</v>
      </c>
      <c r="FA100" s="9">
        <v>12060.1</v>
      </c>
      <c r="FB100" s="9">
        <v>11893.4</v>
      </c>
      <c r="FC100" s="9">
        <v>11868.5</v>
      </c>
      <c r="FD100" s="9">
        <v>11902.4</v>
      </c>
      <c r="FE100" s="9">
        <v>11957.4</v>
      </c>
      <c r="FF100" s="9">
        <v>10803.4</v>
      </c>
      <c r="FG100" s="9">
        <v>11982.3</v>
      </c>
      <c r="FH100" s="9">
        <v>11970.5</v>
      </c>
      <c r="FI100" s="9">
        <v>11995.3</v>
      </c>
      <c r="FJ100" s="9">
        <v>12057</v>
      </c>
      <c r="FK100" s="9">
        <v>11994.9</v>
      </c>
      <c r="FL100" s="9">
        <v>12007.1</v>
      </c>
      <c r="FM100" s="9">
        <v>10670.6</v>
      </c>
      <c r="FN100" s="9">
        <v>11928.6</v>
      </c>
      <c r="FO100" s="9">
        <v>10723.9</v>
      </c>
      <c r="FP100" s="11">
        <v>33.220359435173286</v>
      </c>
      <c r="FQ100" s="11">
        <v>33.11481386392812</v>
      </c>
      <c r="FR100" s="11">
        <v>33.289178433889582</v>
      </c>
      <c r="FS100" s="11">
        <v>33.248806161745847</v>
      </c>
      <c r="FT100" s="11">
        <v>32.945417201540408</v>
      </c>
      <c r="FU100" s="11">
        <v>33.482939666238785</v>
      </c>
      <c r="FV100" s="11">
        <v>0</v>
      </c>
      <c r="FW100" s="11">
        <v>44.802926829268308</v>
      </c>
      <c r="FX100" s="11">
        <v>0</v>
      </c>
      <c r="FY100" s="11">
        <v>0</v>
      </c>
      <c r="FZ100" s="11">
        <v>44.753229602053942</v>
      </c>
      <c r="GA100" s="11">
        <v>45</v>
      </c>
      <c r="GB100" s="11">
        <v>1.6995399297946092</v>
      </c>
      <c r="GC100" s="11">
        <v>5.5861058947368427</v>
      </c>
      <c r="GD100" s="11">
        <v>5.1264845870346649</v>
      </c>
      <c r="GE100" s="11">
        <v>5.5682603671373547</v>
      </c>
      <c r="GF100" s="11">
        <v>5.3135877150192599</v>
      </c>
      <c r="GG100" s="11">
        <v>5.5341204544287548</v>
      </c>
      <c r="GH100" s="11">
        <v>8.0449990000000007</v>
      </c>
      <c r="GI100" s="11">
        <v>8.7750000000000004</v>
      </c>
      <c r="GJ100" s="11">
        <v>9.1433339999999994</v>
      </c>
      <c r="GK100" s="11">
        <v>9.2683330000000002</v>
      </c>
      <c r="GL100" s="11">
        <v>8.6966660000000005</v>
      </c>
      <c r="GM100" s="11">
        <v>8.9383330000000001</v>
      </c>
      <c r="GN100" s="11">
        <v>6.3789498333333343</v>
      </c>
      <c r="GO100" s="11">
        <v>6.3553190000000033</v>
      </c>
      <c r="GP100" s="11">
        <v>6.2938560000000026</v>
      </c>
      <c r="GQ100" s="11">
        <v>6.3799354999999958</v>
      </c>
      <c r="GR100" s="11">
        <v>6.3793016666666684</v>
      </c>
      <c r="GS100" s="11">
        <v>6.3994746666666682</v>
      </c>
      <c r="GT100" s="108">
        <v>1.4359739999999988</v>
      </c>
      <c r="GU100" s="108">
        <v>1.3203568333333349</v>
      </c>
      <c r="GV100" s="108">
        <v>1.3372145000000022</v>
      </c>
      <c r="GW100" s="108">
        <v>1.6247018333333332</v>
      </c>
      <c r="GX100" s="108">
        <v>1.6184848333333337</v>
      </c>
      <c r="GY100" s="108">
        <v>1.2892259999999993</v>
      </c>
      <c r="GZ100" s="13">
        <v>6.2424213333333354</v>
      </c>
      <c r="HA100" s="13">
        <v>6.1763068333333262</v>
      </c>
      <c r="HB100" s="13">
        <v>6.0179636666666703</v>
      </c>
      <c r="HC100" s="13">
        <v>0</v>
      </c>
      <c r="HD100" s="13">
        <v>0</v>
      </c>
      <c r="HE100" s="13">
        <v>6.1724459999999954</v>
      </c>
      <c r="HF100" s="13">
        <v>0.4153994999999997</v>
      </c>
      <c r="HG100" s="13">
        <v>0.52725933333333352</v>
      </c>
      <c r="HH100" s="13">
        <v>0.50183099999999958</v>
      </c>
      <c r="HI100" s="13">
        <v>0.46325433333333288</v>
      </c>
      <c r="HJ100" s="13">
        <v>0.5073858333333332</v>
      </c>
      <c r="HK100" s="13">
        <v>0.50900883333333335</v>
      </c>
      <c r="HL100" s="12">
        <v>0</v>
      </c>
      <c r="HM100" s="12">
        <v>0</v>
      </c>
      <c r="HN100" s="12">
        <v>0</v>
      </c>
      <c r="HO100" s="12">
        <v>0</v>
      </c>
      <c r="HP100" s="12">
        <v>0</v>
      </c>
      <c r="HQ100" s="12">
        <v>0</v>
      </c>
      <c r="HR100" s="12">
        <v>0</v>
      </c>
      <c r="HS100" s="12">
        <v>0</v>
      </c>
      <c r="HT100" s="12">
        <v>0</v>
      </c>
      <c r="HU100" s="12">
        <v>0</v>
      </c>
      <c r="HV100" s="12">
        <v>0</v>
      </c>
      <c r="HW100" s="12">
        <v>0</v>
      </c>
      <c r="HX100" s="9">
        <v>981434</v>
      </c>
      <c r="HY100" s="9">
        <v>1826</v>
      </c>
      <c r="HZ100" s="9">
        <v>968049</v>
      </c>
      <c r="IA100" s="9">
        <v>1846</v>
      </c>
      <c r="IB100" s="11">
        <v>254428.55300000001</v>
      </c>
      <c r="IC100" s="11">
        <v>575.66700000000003</v>
      </c>
      <c r="ID100" s="14">
        <f t="shared" ref="ID100:II100" si="971">GN100-HL100</f>
        <v>6.3789498333333343</v>
      </c>
      <c r="IE100" s="14">
        <f t="shared" si="971"/>
        <v>6.3553190000000033</v>
      </c>
      <c r="IF100" s="14">
        <f t="shared" si="971"/>
        <v>6.2938560000000026</v>
      </c>
      <c r="IG100" s="14">
        <f t="shared" si="971"/>
        <v>6.3799354999999958</v>
      </c>
      <c r="IH100" s="14">
        <f t="shared" si="971"/>
        <v>6.3793016666666684</v>
      </c>
      <c r="II100" s="14">
        <f t="shared" si="971"/>
        <v>6.3994746666666682</v>
      </c>
      <c r="IJ100" s="15">
        <f t="shared" ref="IJ100:IO100" si="972">GZ100-HR100</f>
        <v>6.2424213333333354</v>
      </c>
      <c r="IK100" s="15">
        <f t="shared" si="972"/>
        <v>6.1763068333333262</v>
      </c>
      <c r="IL100" s="15">
        <f t="shared" si="972"/>
        <v>6.0179636666666703</v>
      </c>
      <c r="IM100" s="15">
        <f t="shared" si="972"/>
        <v>0</v>
      </c>
      <c r="IN100" s="15">
        <f t="shared" si="972"/>
        <v>0</v>
      </c>
      <c r="IO100" s="15">
        <f t="shared" si="972"/>
        <v>6.1724459999999954</v>
      </c>
      <c r="IP100" s="16">
        <f t="shared" ref="IP100" si="973">(HX100-HX99)*1000</f>
        <v>886000</v>
      </c>
      <c r="IQ100" s="16">
        <f t="shared" ref="IQ100" si="974">(HY100-HY99)*1000</f>
        <v>2000</v>
      </c>
      <c r="IR100" s="16">
        <f t="shared" ref="IR100" si="975">(HZ100-HZ99)*1000</f>
        <v>874000</v>
      </c>
      <c r="IS100" s="16">
        <f t="shared" ref="IS100" si="976">(IA100-IA99)*1000</f>
        <v>2000</v>
      </c>
      <c r="IT100" s="16">
        <f t="shared" ref="IT100" si="977">(IB100-IB99)*1000</f>
        <v>1760933.0000000191</v>
      </c>
      <c r="IU100" s="16">
        <f t="shared" ref="IU100" si="978">(IC100-IC99)*1000</f>
        <v>4134.0000000000146</v>
      </c>
      <c r="IV100" s="17">
        <f t="shared" ref="IV100" si="979">(IP100+IR100)-(IQ100+IS100)</f>
        <v>1756000</v>
      </c>
      <c r="IW100" s="17">
        <f t="shared" ref="IW100" si="980">IT100-IU100</f>
        <v>1756799.0000000191</v>
      </c>
      <c r="IX100" s="19">
        <f>(Raw_Data[[#This Row],[Sunset Time (POA&lt;20 W/m2)]]-Raw_Data[[#This Row],[Sunrise Time (POA&gt;20 W/m2)]])*24</f>
        <v>13.033333333333335</v>
      </c>
      <c r="IY100" s="68">
        <f>AVERAGEIF(Raw_Data[[#This Row],[GHI_UP_Net_IS2_W1]:[GHI_UP_Net_IS19_W6]],"&lt;&gt;"&amp;0,Raw_Data[[#This Row],[GHI_UP_Net_IS2_W1]:[GHI_UP_Net_IS19_W6]])</f>
        <v>6.3644727777777783</v>
      </c>
      <c r="IZ100" s="68">
        <f>AVERAGEIF(Raw_Data[[#This Row],[GHI_Down_IS2_W1]:[GHI_Down_IS19_W6]],"&lt;&gt;"&amp;0,Raw_Data[[#This Row],[GHI_Down_IS2_W1]:[GHI_Down_IS19_W6]])</f>
        <v>1.4376596666666668</v>
      </c>
      <c r="JA100" s="68">
        <f>AVERAGEIF(Raw_Data[[#This Row],[POA_Up_IS2_W1]:[POA_Up_IS19_W6]],"&lt;&gt;"&amp;0,Raw_Data[[#This Row],[POA_Up_IS2_W1]:[POA_Up_IS19_W6]])</f>
        <v>6.152284458333332</v>
      </c>
      <c r="JB100" s="68">
        <f>AVERAGEIF(Raw_Data[[#This Row],[POA_Down_IS2_W1]:[POA_Down_IS19_W6]],"&lt;&gt;"&amp;0,Raw_Data[[#This Row],[POA_Down_IS2_W1]:[POA_Down_IS19_W6]])</f>
        <v>0.48735647222222206</v>
      </c>
      <c r="JC100" s="69">
        <f>Raw_Data[[#This Row],[GHI-Down(KWh/m2)]]/Raw_Data[[#This Row],[GHI-UP (KWh/m2)]]</f>
        <v>0.22588825765527754</v>
      </c>
      <c r="JD100" s="72">
        <f>Raw_Data[[#This Row],[POA-Down(KWh/m2)]]/Raw_Data[[#This Row],[POA-UP(KWh/m2)]]</f>
        <v>7.9215529698418399E-2</v>
      </c>
      <c r="JE100" s="68">
        <f>AVERAGEIF(Raw_Data[[#This Row],[Amb_Temp_IS2_W1]:[Amb_Temp_IS19_W6]],"&lt;&gt;"&amp;0,Raw_Data[[#This Row],[Amb_Temp_IS2_W1]:[Amb_Temp_IS19_W6]])</f>
        <v>33.216919127086008</v>
      </c>
      <c r="JF100" s="68">
        <f>AVERAGEIF(Raw_Data[[#This Row],[MT_Temp_IS2_W1]:[MT_Temp_IS19_W6]],"&lt;&gt;"&amp;0,Raw_Data[[#This Row],[MT_Temp_IS2_W1]:[MT_Temp_IS19_W6]])</f>
        <v>44.852052143774081</v>
      </c>
      <c r="JG100" s="68">
        <f>AVERAGEIF(Raw_Data[[#This Row],[WS_Avg_IS2_W1]:[WS_Avg_IS19_W6]],"&lt;&gt;"&amp;0,Raw_Data[[#This Row],[WS_Avg_IS2_W1]:[WS_Avg_IS19_W6]])</f>
        <v>4.8046831580252478</v>
      </c>
      <c r="JH100" s="68">
        <f>AVERAGEIF(Raw_Data[[#This Row],[WS_Max_IS2_W1]:[WS_Max_IS19_W6]],"&lt;&gt;"&amp;0,Raw_Data[[#This Row],[WS_Max_IS2_W1]:[WS_Max_IS19_W6]])</f>
        <v>8.8111108333333341</v>
      </c>
      <c r="JI100" s="70">
        <f>SUM(Raw_Data[[#This Row],[IS1_INV1_M1]:[IS20_INV4_M2]])</f>
        <v>1770159.7000000002</v>
      </c>
      <c r="JJ100" s="73">
        <v>1710599.9999999767</v>
      </c>
      <c r="JK100" s="71">
        <v>2019418.9405978927</v>
      </c>
      <c r="JL100" s="143">
        <f>IFERROR(Raw_Data[[#This Row],[WPR_Eac]]/Raw_Data[[#This Row],[WPR_Edc]],"")</f>
        <v>0.84707534707657861</v>
      </c>
      <c r="JM100" s="6">
        <v>23</v>
      </c>
      <c r="JN100" s="6" t="s">
        <v>2635</v>
      </c>
    </row>
    <row r="101" spans="2:274">
      <c r="B101" s="250">
        <f t="shared" si="596"/>
        <v>45840</v>
      </c>
      <c r="C101" s="9">
        <f>YEAR(Raw_Data[[#This Row],[Date]])+IF(MONTH(Raw_Data[[#This Row],[Date]])&gt;=4,1,0)</f>
        <v>2026</v>
      </c>
      <c r="D101" s="6">
        <f t="shared" si="969"/>
        <v>2025</v>
      </c>
      <c r="E101" s="7" t="s">
        <v>361</v>
      </c>
      <c r="F101" s="7" t="s">
        <v>361</v>
      </c>
      <c r="G101" s="8">
        <v>45839</v>
      </c>
      <c r="H101" s="6">
        <f t="shared" si="970"/>
        <v>31</v>
      </c>
      <c r="I101" s="9">
        <v>335090.89</v>
      </c>
      <c r="J101" s="10">
        <v>0.26944444444444443</v>
      </c>
      <c r="K101" s="10">
        <v>0.78194444444444444</v>
      </c>
      <c r="L101" s="9">
        <v>6200.1</v>
      </c>
      <c r="M101" s="9">
        <v>6535.9</v>
      </c>
      <c r="N101" s="9">
        <v>6522.7</v>
      </c>
      <c r="O101" s="9">
        <v>6470.3</v>
      </c>
      <c r="P101" s="9">
        <v>6591.3</v>
      </c>
      <c r="Q101" s="9">
        <v>6607.8</v>
      </c>
      <c r="R101" s="9">
        <v>6622.9</v>
      </c>
      <c r="S101" s="9">
        <v>6814.2</v>
      </c>
      <c r="T101" s="9">
        <v>6571.6</v>
      </c>
      <c r="U101" s="9">
        <v>6604.5</v>
      </c>
      <c r="V101" s="9">
        <v>7163.4</v>
      </c>
      <c r="W101" s="9">
        <v>6527.6</v>
      </c>
      <c r="X101" s="9">
        <v>7191.4</v>
      </c>
      <c r="Y101" s="9">
        <v>6506.7</v>
      </c>
      <c r="Z101" s="9">
        <v>6588.7</v>
      </c>
      <c r="AA101" s="9">
        <v>6609.9</v>
      </c>
      <c r="AB101" s="9">
        <v>6560.9</v>
      </c>
      <c r="AC101" s="9">
        <v>6528.4</v>
      </c>
      <c r="AD101" s="9">
        <v>6548.4</v>
      </c>
      <c r="AE101" s="9">
        <v>6581.3</v>
      </c>
      <c r="AF101" s="9">
        <v>6587.4</v>
      </c>
      <c r="AG101" s="9">
        <v>6539</v>
      </c>
      <c r="AH101" s="9">
        <v>6429.1</v>
      </c>
      <c r="AI101" s="9">
        <v>6490.9</v>
      </c>
      <c r="AJ101" s="9">
        <v>6376.7</v>
      </c>
      <c r="AK101" s="9">
        <v>5570.9</v>
      </c>
      <c r="AL101" s="9">
        <v>6351.2</v>
      </c>
      <c r="AM101" s="9">
        <v>6354.7</v>
      </c>
      <c r="AN101" s="9">
        <v>6595.4</v>
      </c>
      <c r="AO101" s="9">
        <v>6558.3</v>
      </c>
      <c r="AP101" s="9">
        <v>6447.3</v>
      </c>
      <c r="AQ101" s="9">
        <v>6584.6</v>
      </c>
      <c r="AR101" s="9">
        <v>6563.3</v>
      </c>
      <c r="AS101" s="9">
        <v>6565.8</v>
      </c>
      <c r="AT101" s="9">
        <v>6637.8</v>
      </c>
      <c r="AU101" s="9">
        <v>6551.6</v>
      </c>
      <c r="AV101" s="9">
        <v>6611.3</v>
      </c>
      <c r="AW101" s="9">
        <v>6483.4</v>
      </c>
      <c r="AX101" s="9">
        <v>6535.8</v>
      </c>
      <c r="AY101" s="9">
        <v>6488.8</v>
      </c>
      <c r="AZ101" s="9">
        <v>7093</v>
      </c>
      <c r="BA101" s="9">
        <v>7080.3</v>
      </c>
      <c r="BB101" s="9">
        <v>7034.7</v>
      </c>
      <c r="BC101" s="9">
        <v>7111.9</v>
      </c>
      <c r="BD101" s="9">
        <v>6965.6</v>
      </c>
      <c r="BE101" s="9">
        <v>7508.8</v>
      </c>
      <c r="BF101" s="9">
        <v>7098.7</v>
      </c>
      <c r="BG101" s="9">
        <v>7131.7</v>
      </c>
      <c r="BH101" s="9">
        <v>6593.1</v>
      </c>
      <c r="BI101" s="9">
        <v>6730</v>
      </c>
      <c r="BJ101" s="9">
        <v>6596.5</v>
      </c>
      <c r="BK101" s="9">
        <v>6194.9</v>
      </c>
      <c r="BL101" s="9">
        <v>6825</v>
      </c>
      <c r="BM101" s="9">
        <v>6769.6</v>
      </c>
      <c r="BN101" s="9">
        <v>6784.9</v>
      </c>
      <c r="BO101" s="9">
        <v>6757</v>
      </c>
      <c r="BP101" s="9">
        <v>5954.2</v>
      </c>
      <c r="BQ101" s="9">
        <v>6904.8</v>
      </c>
      <c r="BR101" s="9">
        <v>5994.6</v>
      </c>
      <c r="BS101" s="9">
        <v>6861.1</v>
      </c>
      <c r="BT101" s="9">
        <v>6761.3</v>
      </c>
      <c r="BU101" s="9">
        <v>5985.2</v>
      </c>
      <c r="BV101" s="9">
        <v>6568.9</v>
      </c>
      <c r="BW101" s="9">
        <v>6230.1</v>
      </c>
      <c r="BX101" s="9">
        <v>6347.3</v>
      </c>
      <c r="BY101" s="9">
        <v>5977.5</v>
      </c>
      <c r="BZ101" s="9">
        <v>6317.9</v>
      </c>
      <c r="CA101" s="9">
        <v>6620.6</v>
      </c>
      <c r="CB101" s="9">
        <v>6824.9</v>
      </c>
      <c r="CC101" s="9">
        <v>6090.8</v>
      </c>
      <c r="CD101" s="9">
        <v>6707.1</v>
      </c>
      <c r="CE101" s="9">
        <v>5831.9</v>
      </c>
      <c r="CF101" s="9">
        <v>6542.8</v>
      </c>
      <c r="CG101" s="9">
        <v>6365.3</v>
      </c>
      <c r="CH101" s="9">
        <v>5998.7</v>
      </c>
      <c r="CI101" s="9">
        <v>6731.2</v>
      </c>
      <c r="CJ101" s="9">
        <v>5872.7</v>
      </c>
      <c r="CK101" s="9">
        <v>6889.3</v>
      </c>
      <c r="CL101" s="9">
        <v>5992.4</v>
      </c>
      <c r="CM101" s="9">
        <v>6743.8</v>
      </c>
      <c r="CN101" s="9">
        <v>6088.3</v>
      </c>
      <c r="CO101" s="9">
        <v>6623</v>
      </c>
      <c r="CP101" s="9">
        <v>6185</v>
      </c>
      <c r="CQ101" s="9">
        <v>6793.9</v>
      </c>
      <c r="CR101" s="9">
        <v>6087.6</v>
      </c>
      <c r="CS101" s="9">
        <v>6526.8</v>
      </c>
      <c r="CT101" s="9">
        <v>6104.4</v>
      </c>
      <c r="CU101" s="9">
        <v>5355.6</v>
      </c>
      <c r="CV101" s="9">
        <v>6723.9</v>
      </c>
      <c r="CW101" s="9">
        <v>6446.7</v>
      </c>
      <c r="CX101" s="9">
        <v>5922.1</v>
      </c>
      <c r="CY101" s="9">
        <v>6926</v>
      </c>
      <c r="CZ101" s="9">
        <v>6708.2</v>
      </c>
      <c r="DA101" s="9">
        <v>6179.8</v>
      </c>
      <c r="DB101" s="9">
        <v>6112.9</v>
      </c>
      <c r="DC101" s="9">
        <v>6789.7</v>
      </c>
      <c r="DD101" s="9">
        <v>6060.3</v>
      </c>
      <c r="DE101" s="9">
        <v>6273.1</v>
      </c>
      <c r="DF101" s="9">
        <v>6906.5</v>
      </c>
      <c r="DG101" s="9">
        <v>5992</v>
      </c>
      <c r="DH101" s="9">
        <v>6813.3</v>
      </c>
      <c r="DI101" s="9">
        <v>5973.9</v>
      </c>
      <c r="DJ101" s="9">
        <v>6695.6</v>
      </c>
      <c r="DK101" s="9">
        <v>6126</v>
      </c>
      <c r="DL101" s="9">
        <v>6784.3</v>
      </c>
      <c r="DM101" s="9">
        <v>5811.7</v>
      </c>
      <c r="DN101" s="9">
        <v>6803.3</v>
      </c>
      <c r="DO101" s="9">
        <v>6081.4</v>
      </c>
      <c r="DP101" s="9">
        <v>6683.6</v>
      </c>
      <c r="DQ101" s="9">
        <v>6063.1</v>
      </c>
      <c r="DR101" s="9">
        <v>6749.9</v>
      </c>
      <c r="DS101" s="9">
        <v>6108.3</v>
      </c>
      <c r="DT101" s="9">
        <v>5953.6</v>
      </c>
      <c r="DU101" s="9">
        <v>6687.3</v>
      </c>
      <c r="DV101" s="9">
        <v>6093.5</v>
      </c>
      <c r="DW101" s="9">
        <v>5961</v>
      </c>
      <c r="DX101" s="9">
        <v>6793.9</v>
      </c>
      <c r="DY101" s="9">
        <v>6785.9</v>
      </c>
      <c r="DZ101" s="9">
        <v>6695.1</v>
      </c>
      <c r="EA101" s="9">
        <v>6072.9</v>
      </c>
      <c r="EB101" s="9">
        <v>6758.5</v>
      </c>
      <c r="EC101" s="9">
        <v>6001.9</v>
      </c>
      <c r="ED101" s="9">
        <v>6583.8</v>
      </c>
      <c r="EE101" s="9">
        <v>6038.7</v>
      </c>
      <c r="EF101" s="9">
        <v>6493.5</v>
      </c>
      <c r="EG101" s="9">
        <v>5625.5</v>
      </c>
      <c r="EH101" s="9">
        <v>6556.5</v>
      </c>
      <c r="EI101" s="9">
        <v>6009.2</v>
      </c>
      <c r="EJ101" s="9">
        <v>6106.2</v>
      </c>
      <c r="EK101" s="9">
        <v>6170.6</v>
      </c>
      <c r="EL101" s="9">
        <v>6059</v>
      </c>
      <c r="EM101" s="9">
        <v>5223</v>
      </c>
      <c r="EN101" s="9">
        <v>6023.3</v>
      </c>
      <c r="EO101" s="9">
        <v>5323.4</v>
      </c>
      <c r="EP101" s="9">
        <v>6041.8</v>
      </c>
      <c r="EQ101" s="9">
        <v>6064.4</v>
      </c>
      <c r="ER101" s="9">
        <v>7056.5</v>
      </c>
      <c r="ES101" s="9">
        <v>6097.1</v>
      </c>
      <c r="ET101" s="9">
        <v>7101.4</v>
      </c>
      <c r="EU101" s="9">
        <v>6221.6</v>
      </c>
      <c r="EV101" s="9">
        <v>7020.9</v>
      </c>
      <c r="EW101" s="9">
        <v>6143</v>
      </c>
      <c r="EX101" s="9">
        <v>6276.5</v>
      </c>
      <c r="EY101" s="9">
        <v>6165.1</v>
      </c>
      <c r="EZ101" s="9">
        <v>6773.3</v>
      </c>
      <c r="FA101" s="9">
        <v>7059.1</v>
      </c>
      <c r="FB101" s="9">
        <v>6955.1</v>
      </c>
      <c r="FC101" s="9">
        <v>6946.2</v>
      </c>
      <c r="FD101" s="9">
        <v>6954.2</v>
      </c>
      <c r="FE101" s="9">
        <v>6985.7</v>
      </c>
      <c r="FF101" s="9">
        <v>6297</v>
      </c>
      <c r="FG101" s="9">
        <v>7004.8</v>
      </c>
      <c r="FH101" s="9">
        <v>7034.9</v>
      </c>
      <c r="FI101" s="9">
        <v>7053.3</v>
      </c>
      <c r="FJ101" s="9">
        <v>7076.5</v>
      </c>
      <c r="FK101" s="9">
        <v>7023.7</v>
      </c>
      <c r="FL101" s="9">
        <v>7038.1</v>
      </c>
      <c r="FM101" s="9">
        <v>6260.4</v>
      </c>
      <c r="FN101" s="9">
        <v>7027.1</v>
      </c>
      <c r="FO101" s="9">
        <v>6291.4</v>
      </c>
      <c r="FP101" s="11">
        <v>31.618205128205116</v>
      </c>
      <c r="FQ101" s="11">
        <v>31.610612535612567</v>
      </c>
      <c r="FR101" s="11">
        <v>31.747094017094042</v>
      </c>
      <c r="FS101" s="11">
        <v>31.71502849002847</v>
      </c>
      <c r="FT101" s="11">
        <v>31.42915954415955</v>
      </c>
      <c r="FU101" s="11">
        <v>31.857920227920225</v>
      </c>
      <c r="FV101" s="11">
        <v>0</v>
      </c>
      <c r="FW101" s="11">
        <v>38.670797720797708</v>
      </c>
      <c r="FX101" s="11">
        <v>0</v>
      </c>
      <c r="FY101" s="11">
        <v>0</v>
      </c>
      <c r="FZ101" s="11">
        <v>38.782512467902997</v>
      </c>
      <c r="GA101" s="11">
        <v>38.9</v>
      </c>
      <c r="GB101" s="11">
        <v>2.2020274401709394</v>
      </c>
      <c r="GC101" s="11">
        <v>4.8135373148148135</v>
      </c>
      <c r="GD101" s="11">
        <v>4.6100971737891765</v>
      </c>
      <c r="GE101" s="11">
        <v>4.858185918803418</v>
      </c>
      <c r="GF101" s="11">
        <v>4.6706265769230759</v>
      </c>
      <c r="GG101" s="11">
        <v>4.7607001894586931</v>
      </c>
      <c r="GH101" s="11">
        <v>6.27</v>
      </c>
      <c r="GI101" s="11">
        <v>7.1916659999999997</v>
      </c>
      <c r="GJ101" s="11">
        <v>7.3333339999999998</v>
      </c>
      <c r="GK101" s="11">
        <v>7.591666</v>
      </c>
      <c r="GL101" s="11">
        <v>7.6383330000000003</v>
      </c>
      <c r="GM101" s="11">
        <v>7.3549990000000003</v>
      </c>
      <c r="GN101" s="11">
        <v>3.5162913333333323</v>
      </c>
      <c r="GO101" s="11">
        <v>3.5611436666666649</v>
      </c>
      <c r="GP101" s="11">
        <v>3.5873338333333313</v>
      </c>
      <c r="GQ101" s="11">
        <v>3.4788839999999972</v>
      </c>
      <c r="GR101" s="11">
        <v>3.5539160000000019</v>
      </c>
      <c r="GS101" s="11">
        <v>3.5362158333333316</v>
      </c>
      <c r="GT101" s="108">
        <v>0.76526466666666715</v>
      </c>
      <c r="GU101" s="108">
        <v>0.72400416666666767</v>
      </c>
      <c r="GV101" s="108">
        <v>0.74239783333333342</v>
      </c>
      <c r="GW101" s="108">
        <v>0.86344599999999982</v>
      </c>
      <c r="GX101" s="108">
        <v>0.87485333333333293</v>
      </c>
      <c r="GY101" s="108">
        <v>0.6950601666666667</v>
      </c>
      <c r="GZ101" s="13">
        <v>3.4173483333333321</v>
      </c>
      <c r="HA101" s="13">
        <v>3.4386008333333362</v>
      </c>
      <c r="HB101" s="13">
        <v>3.3902616666666638</v>
      </c>
      <c r="HC101" s="13">
        <v>0</v>
      </c>
      <c r="HD101" s="13">
        <v>0</v>
      </c>
      <c r="HE101" s="13">
        <v>3.3862584999999994</v>
      </c>
      <c r="HF101" s="13">
        <v>0.24711666666666657</v>
      </c>
      <c r="HG101" s="13">
        <v>0.31348766666666678</v>
      </c>
      <c r="HH101" s="13">
        <v>0.30380749999999995</v>
      </c>
      <c r="HI101" s="13">
        <v>0.27488116666666684</v>
      </c>
      <c r="HJ101" s="13">
        <v>0.30124183333333343</v>
      </c>
      <c r="HK101" s="13">
        <v>0.29478966666666651</v>
      </c>
      <c r="HL101" s="12">
        <v>0</v>
      </c>
      <c r="HM101" s="12">
        <v>0</v>
      </c>
      <c r="HN101" s="12">
        <v>0</v>
      </c>
      <c r="HO101" s="12">
        <v>0</v>
      </c>
      <c r="HP101" s="12">
        <v>0</v>
      </c>
      <c r="HQ101" s="12">
        <v>0</v>
      </c>
      <c r="HR101" s="12">
        <v>0</v>
      </c>
      <c r="HS101" s="12">
        <v>0</v>
      </c>
      <c r="HT101" s="12">
        <v>0</v>
      </c>
      <c r="HU101" s="12">
        <v>0</v>
      </c>
      <c r="HV101" s="12">
        <v>0</v>
      </c>
      <c r="HW101" s="12">
        <v>0</v>
      </c>
      <c r="HX101" s="9">
        <v>981955</v>
      </c>
      <c r="HY101" s="9">
        <v>1827</v>
      </c>
      <c r="HZ101" s="9">
        <v>968562</v>
      </c>
      <c r="IA101" s="9">
        <v>1847</v>
      </c>
      <c r="IB101" s="11">
        <v>255463.15299999999</v>
      </c>
      <c r="IC101" s="11">
        <v>580.13300000000004</v>
      </c>
      <c r="ID101" s="14">
        <f t="shared" ref="ID101:II101" si="981">GN101-HL101</f>
        <v>3.5162913333333323</v>
      </c>
      <c r="IE101" s="14">
        <f t="shared" si="981"/>
        <v>3.5611436666666649</v>
      </c>
      <c r="IF101" s="14">
        <f t="shared" si="981"/>
        <v>3.5873338333333313</v>
      </c>
      <c r="IG101" s="14">
        <f t="shared" si="981"/>
        <v>3.4788839999999972</v>
      </c>
      <c r="IH101" s="14">
        <f t="shared" si="981"/>
        <v>3.5539160000000019</v>
      </c>
      <c r="II101" s="14">
        <f t="shared" si="981"/>
        <v>3.5362158333333316</v>
      </c>
      <c r="IJ101" s="15">
        <f t="shared" ref="IJ101:IO101" si="982">GZ101-HR101</f>
        <v>3.4173483333333321</v>
      </c>
      <c r="IK101" s="15">
        <f t="shared" si="982"/>
        <v>3.4386008333333362</v>
      </c>
      <c r="IL101" s="15">
        <f t="shared" si="982"/>
        <v>3.3902616666666638</v>
      </c>
      <c r="IM101" s="15">
        <f t="shared" si="982"/>
        <v>0</v>
      </c>
      <c r="IN101" s="15">
        <f t="shared" si="982"/>
        <v>0</v>
      </c>
      <c r="IO101" s="15">
        <f t="shared" si="982"/>
        <v>3.3862584999999994</v>
      </c>
      <c r="IP101" s="16">
        <f t="shared" ref="IP101" si="983">(HX101-HX100)*1000</f>
        <v>521000</v>
      </c>
      <c r="IQ101" s="16">
        <f t="shared" ref="IQ101" si="984">(HY101-HY100)*1000</f>
        <v>1000</v>
      </c>
      <c r="IR101" s="16">
        <f t="shared" ref="IR101" si="985">(HZ101-HZ100)*1000</f>
        <v>513000</v>
      </c>
      <c r="IS101" s="16">
        <f t="shared" ref="IS101" si="986">(IA101-IA100)*1000</f>
        <v>1000</v>
      </c>
      <c r="IT101" s="16">
        <f t="shared" ref="IT101" si="987">(IB101-IB100)*1000</f>
        <v>1034599.9999999767</v>
      </c>
      <c r="IU101" s="16">
        <f t="shared" ref="IU101" si="988">(IC101-IC100)*1000</f>
        <v>4466.0000000000082</v>
      </c>
      <c r="IV101" s="17">
        <f t="shared" ref="IV101" si="989">(IP101+IR101)-(IQ101+IS101)</f>
        <v>1032000</v>
      </c>
      <c r="IW101" s="17">
        <f t="shared" ref="IW101" si="990">IT101-IU101</f>
        <v>1030133.9999999767</v>
      </c>
      <c r="IX101" s="19">
        <f>(Raw_Data[[#This Row],[Sunset Time (POA&lt;20 W/m2)]]-Raw_Data[[#This Row],[Sunrise Time (POA&gt;20 W/m2)]])*24</f>
        <v>12.299999999999999</v>
      </c>
      <c r="IY101" s="68">
        <f>AVERAGEIF(Raw_Data[[#This Row],[GHI_UP_Net_IS2_W1]:[GHI_UP_Net_IS19_W6]],"&lt;&gt;"&amp;0,Raw_Data[[#This Row],[GHI_UP_Net_IS2_W1]:[GHI_UP_Net_IS19_W6]])</f>
        <v>3.5389641111111096</v>
      </c>
      <c r="IZ101" s="68">
        <f>AVERAGEIF(Raw_Data[[#This Row],[GHI_Down_IS2_W1]:[GHI_Down_IS19_W6]],"&lt;&gt;"&amp;0,Raw_Data[[#This Row],[GHI_Down_IS2_W1]:[GHI_Down_IS19_W6]])</f>
        <v>0.77750436111111121</v>
      </c>
      <c r="JA101" s="68">
        <f>AVERAGEIF(Raw_Data[[#This Row],[POA_Up_IS2_W1]:[POA_Up_IS19_W6]],"&lt;&gt;"&amp;0,Raw_Data[[#This Row],[POA_Up_IS2_W1]:[POA_Up_IS19_W6]])</f>
        <v>3.4081173333333332</v>
      </c>
      <c r="JB101" s="68">
        <f>AVERAGEIF(Raw_Data[[#This Row],[POA_Down_IS2_W1]:[POA_Down_IS19_W6]],"&lt;&gt;"&amp;0,Raw_Data[[#This Row],[POA_Down_IS2_W1]:[POA_Down_IS19_W6]])</f>
        <v>0.28922074999999997</v>
      </c>
      <c r="JC101" s="69">
        <f>Raw_Data[[#This Row],[GHI-Down(KWh/m2)]]/Raw_Data[[#This Row],[GHI-UP (KWh/m2)]]</f>
        <v>0.21969828930166865</v>
      </c>
      <c r="JD101" s="72">
        <f>Raw_Data[[#This Row],[POA-Down(KWh/m2)]]/Raw_Data[[#This Row],[POA-UP(KWh/m2)]]</f>
        <v>8.4862321837119836E-2</v>
      </c>
      <c r="JE101" s="68">
        <f>AVERAGEIF(Raw_Data[[#This Row],[Amb_Temp_IS2_W1]:[Amb_Temp_IS19_W6]],"&lt;&gt;"&amp;0,Raw_Data[[#This Row],[Amb_Temp_IS2_W1]:[Amb_Temp_IS19_W6]])</f>
        <v>31.663003323836662</v>
      </c>
      <c r="JF101" s="68">
        <f>AVERAGEIF(Raw_Data[[#This Row],[MT_Temp_IS2_W1]:[MT_Temp_IS19_W6]],"&lt;&gt;"&amp;0,Raw_Data[[#This Row],[MT_Temp_IS2_W1]:[MT_Temp_IS19_W6]])</f>
        <v>38.784436729566899</v>
      </c>
      <c r="JG101" s="68">
        <f>AVERAGEIF(Raw_Data[[#This Row],[WS_Avg_IS2_W1]:[WS_Avg_IS19_W6]],"&lt;&gt;"&amp;0,Raw_Data[[#This Row],[WS_Avg_IS2_W1]:[WS_Avg_IS19_W6]])</f>
        <v>4.3191957689933522</v>
      </c>
      <c r="JH101" s="68">
        <f>AVERAGEIF(Raw_Data[[#This Row],[WS_Max_IS2_W1]:[WS_Max_IS19_W6]],"&lt;&gt;"&amp;0,Raw_Data[[#This Row],[WS_Max_IS2_W1]:[WS_Max_IS19_W6]])</f>
        <v>7.229999666666667</v>
      </c>
      <c r="JI101" s="70">
        <f>SUM(Raw_Data[[#This Row],[IS1_INV1_M1]:[IS20_INV4_M2]])</f>
        <v>1038547.0000000001</v>
      </c>
      <c r="JJ101" s="73">
        <v>1008466.9999999751</v>
      </c>
      <c r="JK101" s="71">
        <v>1149171.9395904469</v>
      </c>
      <c r="JL101" s="143">
        <f>IFERROR(Raw_Data[[#This Row],[WPR_Eac]]/Raw_Data[[#This Row],[WPR_Edc]],"")</f>
        <v>0.87755971518011688</v>
      </c>
      <c r="JM101" s="6">
        <v>24</v>
      </c>
      <c r="JN101" s="6" t="s">
        <v>2635</v>
      </c>
    </row>
    <row r="102" spans="2:274">
      <c r="B102" s="250">
        <f t="shared" si="596"/>
        <v>45841</v>
      </c>
      <c r="C102" s="9">
        <f>YEAR(Raw_Data[[#This Row],[Date]])+IF(MONTH(Raw_Data[[#This Row],[Date]])&gt;=4,1,0)</f>
        <v>2026</v>
      </c>
      <c r="D102" s="6">
        <f t="shared" si="969"/>
        <v>2025</v>
      </c>
      <c r="E102" s="7" t="s">
        <v>361</v>
      </c>
      <c r="F102" s="7" t="s">
        <v>361</v>
      </c>
      <c r="G102" s="8">
        <v>45839</v>
      </c>
      <c r="H102" s="6">
        <f t="shared" si="970"/>
        <v>31</v>
      </c>
      <c r="I102" s="9">
        <v>335090.89</v>
      </c>
      <c r="J102" s="10">
        <v>0.26874999999999999</v>
      </c>
      <c r="K102" s="10">
        <v>0.80972222222222223</v>
      </c>
      <c r="L102" s="9">
        <v>4467</v>
      </c>
      <c r="M102" s="9">
        <v>4750</v>
      </c>
      <c r="N102" s="9">
        <v>4731.6000000000004</v>
      </c>
      <c r="O102" s="9">
        <v>4674.1000000000004</v>
      </c>
      <c r="P102" s="9">
        <v>4786</v>
      </c>
      <c r="Q102" s="9">
        <v>4774.7</v>
      </c>
      <c r="R102" s="9">
        <v>4768</v>
      </c>
      <c r="S102" s="9">
        <v>4775.2</v>
      </c>
      <c r="T102" s="9">
        <v>4731.8</v>
      </c>
      <c r="U102" s="9">
        <v>4764.5</v>
      </c>
      <c r="V102" s="9">
        <v>5173.8</v>
      </c>
      <c r="W102" s="9">
        <v>4721</v>
      </c>
      <c r="X102" s="9">
        <v>5190.2</v>
      </c>
      <c r="Y102" s="9">
        <v>4718</v>
      </c>
      <c r="Z102" s="9">
        <v>4468.7</v>
      </c>
      <c r="AA102" s="9">
        <v>4655.8999999999996</v>
      </c>
      <c r="AB102" s="9">
        <v>4691.3</v>
      </c>
      <c r="AC102" s="9">
        <v>4360.2</v>
      </c>
      <c r="AD102" s="9">
        <v>4699.3</v>
      </c>
      <c r="AE102" s="9">
        <v>4728.3</v>
      </c>
      <c r="AF102" s="9">
        <v>4701.5</v>
      </c>
      <c r="AG102" s="9">
        <v>4371</v>
      </c>
      <c r="AH102" s="9">
        <v>4556.3999999999996</v>
      </c>
      <c r="AI102" s="9">
        <v>4625.5</v>
      </c>
      <c r="AJ102" s="9">
        <v>4318</v>
      </c>
      <c r="AK102" s="9">
        <v>3751.4</v>
      </c>
      <c r="AL102" s="9">
        <v>3963.7</v>
      </c>
      <c r="AM102" s="9">
        <v>4193.7</v>
      </c>
      <c r="AN102" s="9">
        <v>4444.5</v>
      </c>
      <c r="AO102" s="9">
        <v>4396.2</v>
      </c>
      <c r="AP102" s="9">
        <v>4324.5</v>
      </c>
      <c r="AQ102" s="9">
        <v>4446.7</v>
      </c>
      <c r="AR102" s="9">
        <v>4716.3</v>
      </c>
      <c r="AS102" s="9">
        <v>4725.7</v>
      </c>
      <c r="AT102" s="9">
        <v>4762.8999999999996</v>
      </c>
      <c r="AU102" s="9">
        <v>4693.3999999999996</v>
      </c>
      <c r="AV102" s="9">
        <v>4726.8999999999996</v>
      </c>
      <c r="AW102" s="9">
        <v>4525.7</v>
      </c>
      <c r="AX102" s="9">
        <v>4657.3</v>
      </c>
      <c r="AY102" s="9">
        <v>4571.1000000000004</v>
      </c>
      <c r="AZ102" s="9">
        <v>5042.1000000000004</v>
      </c>
      <c r="BA102" s="9">
        <v>4754</v>
      </c>
      <c r="BB102" s="9">
        <v>5019.8999999999996</v>
      </c>
      <c r="BC102" s="9">
        <v>4774</v>
      </c>
      <c r="BD102" s="9">
        <v>5103</v>
      </c>
      <c r="BE102" s="9">
        <v>5147.6000000000004</v>
      </c>
      <c r="BF102" s="9">
        <v>5029.8999999999996</v>
      </c>
      <c r="BG102" s="9">
        <v>5057.7</v>
      </c>
      <c r="BH102" s="9">
        <v>4533.6000000000004</v>
      </c>
      <c r="BI102" s="9">
        <v>4707.3999999999996</v>
      </c>
      <c r="BJ102" s="9">
        <v>4743.3999999999996</v>
      </c>
      <c r="BK102" s="9">
        <v>4463.5</v>
      </c>
      <c r="BL102" s="9">
        <v>4531.5</v>
      </c>
      <c r="BM102" s="9">
        <v>4838.3999999999996</v>
      </c>
      <c r="BN102" s="9">
        <v>4851.1000000000004</v>
      </c>
      <c r="BO102" s="9">
        <v>4539.8999999999996</v>
      </c>
      <c r="BP102" s="9">
        <v>4145.2</v>
      </c>
      <c r="BQ102" s="9">
        <v>4923.8</v>
      </c>
      <c r="BR102" s="9">
        <v>4261.8</v>
      </c>
      <c r="BS102" s="9">
        <v>4923.6000000000004</v>
      </c>
      <c r="BT102" s="9">
        <v>4566.5</v>
      </c>
      <c r="BU102" s="9">
        <v>4310.1000000000004</v>
      </c>
      <c r="BV102" s="9">
        <v>4696.1000000000004</v>
      </c>
      <c r="BW102" s="9">
        <v>4480.3</v>
      </c>
      <c r="BX102" s="9">
        <v>4554.3999999999996</v>
      </c>
      <c r="BY102" s="9">
        <v>4265</v>
      </c>
      <c r="BZ102" s="9">
        <v>4322.8</v>
      </c>
      <c r="CA102" s="9">
        <v>4576.7</v>
      </c>
      <c r="CB102" s="9">
        <v>4836.8</v>
      </c>
      <c r="CC102" s="9">
        <v>4332.6000000000004</v>
      </c>
      <c r="CD102" s="9">
        <v>4842</v>
      </c>
      <c r="CE102" s="9">
        <v>3944.3</v>
      </c>
      <c r="CF102" s="9">
        <v>4737.3</v>
      </c>
      <c r="CG102" s="9">
        <v>4438.8</v>
      </c>
      <c r="CH102" s="9">
        <v>4348.3999999999996</v>
      </c>
      <c r="CI102" s="9">
        <v>4851.8</v>
      </c>
      <c r="CJ102" s="9">
        <v>4193.3999999999996</v>
      </c>
      <c r="CK102" s="9">
        <v>4976.1000000000004</v>
      </c>
      <c r="CL102" s="9">
        <v>4172.6000000000004</v>
      </c>
      <c r="CM102" s="9">
        <v>4786.8999999999996</v>
      </c>
      <c r="CN102" s="9">
        <v>4342.1000000000004</v>
      </c>
      <c r="CO102" s="9">
        <v>4740.3</v>
      </c>
      <c r="CP102" s="9">
        <v>4407.8999999999996</v>
      </c>
      <c r="CQ102" s="9">
        <v>4568.2</v>
      </c>
      <c r="CR102" s="9">
        <v>4319.3999999999996</v>
      </c>
      <c r="CS102" s="9">
        <v>4373.3999999999996</v>
      </c>
      <c r="CT102" s="9">
        <v>4329.7</v>
      </c>
      <c r="CU102" s="9">
        <v>3547.8</v>
      </c>
      <c r="CV102" s="9">
        <v>4641.8999999999996</v>
      </c>
      <c r="CW102" s="9">
        <v>4522.6000000000004</v>
      </c>
      <c r="CX102" s="9">
        <v>4167.8999999999996</v>
      </c>
      <c r="CY102" s="9">
        <v>4677.1000000000004</v>
      </c>
      <c r="CZ102" s="9">
        <v>4741.2</v>
      </c>
      <c r="DA102" s="9">
        <v>4378.5</v>
      </c>
      <c r="DB102" s="9">
        <v>4265.3</v>
      </c>
      <c r="DC102" s="9">
        <v>4794.3999999999996</v>
      </c>
      <c r="DD102" s="9">
        <v>4264.5</v>
      </c>
      <c r="DE102" s="9">
        <v>4381.8</v>
      </c>
      <c r="DF102" s="9">
        <v>4719.6000000000004</v>
      </c>
      <c r="DG102" s="9">
        <v>4216.6000000000004</v>
      </c>
      <c r="DH102" s="9">
        <v>4704.5</v>
      </c>
      <c r="DI102" s="9">
        <v>4212.5</v>
      </c>
      <c r="DJ102" s="9">
        <v>4727.8999999999996</v>
      </c>
      <c r="DK102" s="9">
        <v>4293.2</v>
      </c>
      <c r="DL102" s="9">
        <v>4834.8</v>
      </c>
      <c r="DM102" s="9">
        <v>4103.5</v>
      </c>
      <c r="DN102" s="9">
        <v>4848.5</v>
      </c>
      <c r="DO102" s="9">
        <v>4323.8</v>
      </c>
      <c r="DP102" s="9">
        <v>4662.6000000000004</v>
      </c>
      <c r="DQ102" s="9">
        <v>4234.3</v>
      </c>
      <c r="DR102" s="9">
        <v>4846.3999999999996</v>
      </c>
      <c r="DS102" s="9">
        <v>4150.2</v>
      </c>
      <c r="DT102" s="9">
        <v>4211.3999999999996</v>
      </c>
      <c r="DU102" s="9">
        <v>4662.6000000000004</v>
      </c>
      <c r="DV102" s="9">
        <v>4196.6000000000004</v>
      </c>
      <c r="DW102" s="9">
        <v>4090</v>
      </c>
      <c r="DX102" s="9">
        <v>4763.3</v>
      </c>
      <c r="DY102" s="9">
        <v>4729.1000000000004</v>
      </c>
      <c r="DZ102" s="9">
        <v>4658</v>
      </c>
      <c r="EA102" s="9">
        <v>4134.2</v>
      </c>
      <c r="EB102" s="9">
        <v>4719.6000000000004</v>
      </c>
      <c r="EC102" s="9">
        <v>4226.7</v>
      </c>
      <c r="ED102" s="9">
        <v>4692.1000000000004</v>
      </c>
      <c r="EE102" s="9">
        <v>4039.4</v>
      </c>
      <c r="EF102" s="9">
        <v>4662.8999999999996</v>
      </c>
      <c r="EG102" s="9">
        <v>3761.6</v>
      </c>
      <c r="EH102" s="9">
        <v>4632.7</v>
      </c>
      <c r="EI102" s="9">
        <v>4235.1000000000004</v>
      </c>
      <c r="EJ102" s="9">
        <v>3998.5</v>
      </c>
      <c r="EK102" s="9">
        <v>4309.5</v>
      </c>
      <c r="EL102" s="9">
        <v>4238.8</v>
      </c>
      <c r="EM102" s="9">
        <v>3624</v>
      </c>
      <c r="EN102" s="9">
        <v>4203.5</v>
      </c>
      <c r="EO102" s="9">
        <v>3695.8</v>
      </c>
      <c r="EP102" s="9">
        <v>4221.3</v>
      </c>
      <c r="EQ102" s="9">
        <v>4270.8999999999996</v>
      </c>
      <c r="ER102" s="9">
        <v>4894.2</v>
      </c>
      <c r="ES102" s="9">
        <v>4256.5</v>
      </c>
      <c r="ET102" s="9">
        <v>4985.8</v>
      </c>
      <c r="EU102" s="9">
        <v>4224.5</v>
      </c>
      <c r="EV102" s="9">
        <v>4793.8</v>
      </c>
      <c r="EW102" s="9">
        <v>4303.1000000000004</v>
      </c>
      <c r="EX102" s="9">
        <v>4215.5</v>
      </c>
      <c r="EY102" s="9">
        <v>4338.8</v>
      </c>
      <c r="EZ102" s="9">
        <v>4827.2</v>
      </c>
      <c r="FA102" s="9">
        <v>5036.2</v>
      </c>
      <c r="FB102" s="9">
        <v>4680.2</v>
      </c>
      <c r="FC102" s="9">
        <v>4882</v>
      </c>
      <c r="FD102" s="9">
        <v>4869.6000000000004</v>
      </c>
      <c r="FE102" s="9">
        <v>4743.5</v>
      </c>
      <c r="FF102" s="9">
        <v>4405.6000000000004</v>
      </c>
      <c r="FG102" s="9">
        <v>4946.2</v>
      </c>
      <c r="FH102" s="9">
        <v>4903.8999999999996</v>
      </c>
      <c r="FI102" s="9">
        <v>4891.8999999999996</v>
      </c>
      <c r="FJ102" s="9">
        <v>5147.6000000000004</v>
      </c>
      <c r="FK102" s="9">
        <v>4914.3</v>
      </c>
      <c r="FL102" s="9">
        <v>5101.2</v>
      </c>
      <c r="FM102" s="9">
        <v>4519.8999999999996</v>
      </c>
      <c r="FN102" s="9">
        <v>4995.8</v>
      </c>
      <c r="FO102" s="9">
        <v>4481.3999999999996</v>
      </c>
      <c r="FP102" s="11">
        <v>30.887496012759176</v>
      </c>
      <c r="FQ102" s="11">
        <v>30.706650717703354</v>
      </c>
      <c r="FR102" s="11">
        <v>30.720701754385932</v>
      </c>
      <c r="FS102" s="11">
        <v>30.971674641148322</v>
      </c>
      <c r="FT102" s="11">
        <v>30.958947368421068</v>
      </c>
      <c r="FU102" s="11">
        <v>30.976060606060592</v>
      </c>
      <c r="FV102" s="11">
        <v>0</v>
      </c>
      <c r="FW102" s="11">
        <v>37.811642743221661</v>
      </c>
      <c r="FX102" s="11">
        <v>0</v>
      </c>
      <c r="FY102" s="11">
        <v>0</v>
      </c>
      <c r="FZ102" s="11">
        <v>37.430590000000016</v>
      </c>
      <c r="GA102" s="11">
        <v>37.5</v>
      </c>
      <c r="GB102" s="11">
        <v>1.7073843295853277</v>
      </c>
      <c r="GC102" s="11">
        <v>2.8119217295055825</v>
      </c>
      <c r="GD102" s="11">
        <v>2.513139215789475</v>
      </c>
      <c r="GE102" s="11">
        <v>2.8182959897448181</v>
      </c>
      <c r="GF102" s="11">
        <v>2.8485432082934614</v>
      </c>
      <c r="GG102" s="11">
        <v>2.7840243322169047</v>
      </c>
      <c r="GH102" s="11">
        <v>6.7283330000000001</v>
      </c>
      <c r="GI102" s="11">
        <v>7.3166659999999997</v>
      </c>
      <c r="GJ102" s="11">
        <v>7.6549990000000001</v>
      </c>
      <c r="GK102" s="11">
        <v>7.619999</v>
      </c>
      <c r="GL102" s="11">
        <v>7.2549999999999999</v>
      </c>
      <c r="GM102" s="11">
        <v>7.4716659999999999</v>
      </c>
      <c r="GN102" s="11">
        <v>2.6353323333333352</v>
      </c>
      <c r="GO102" s="11">
        <v>2.6115936666666673</v>
      </c>
      <c r="GP102" s="11">
        <v>2.6181551666666611</v>
      </c>
      <c r="GQ102" s="11">
        <v>2.61364683333333</v>
      </c>
      <c r="GR102" s="11">
        <v>2.5791933333333295</v>
      </c>
      <c r="GS102" s="11">
        <v>2.5516061666666685</v>
      </c>
      <c r="GT102" s="108">
        <v>0.54593866666666635</v>
      </c>
      <c r="GU102" s="108">
        <v>0.48240383333333309</v>
      </c>
      <c r="GV102" s="108">
        <v>0.51048466666666648</v>
      </c>
      <c r="GW102" s="108">
        <v>0.6198996666666664</v>
      </c>
      <c r="GX102" s="108">
        <v>0.58834699999999995</v>
      </c>
      <c r="GY102" s="108">
        <v>0.44569166666666649</v>
      </c>
      <c r="GZ102" s="13">
        <v>2.5885759999999998</v>
      </c>
      <c r="HA102" s="13">
        <v>2.5578908333333334</v>
      </c>
      <c r="HB102" s="13">
        <v>2.5278948333333382</v>
      </c>
      <c r="HC102" s="13">
        <v>0</v>
      </c>
      <c r="HD102" s="13">
        <v>0</v>
      </c>
      <c r="HE102" s="13">
        <v>2.4648883333333309</v>
      </c>
      <c r="HF102" s="13">
        <v>0.15119166666666675</v>
      </c>
      <c r="HG102" s="13">
        <v>0.18918450000000009</v>
      </c>
      <c r="HH102" s="13">
        <v>0.1815800000000001</v>
      </c>
      <c r="HI102" s="13">
        <v>0.16967183333333333</v>
      </c>
      <c r="HJ102" s="13">
        <v>0.18046300000000001</v>
      </c>
      <c r="HK102" s="13">
        <v>0.17766100000000007</v>
      </c>
      <c r="HL102" s="12">
        <v>0</v>
      </c>
      <c r="HM102" s="12">
        <v>0</v>
      </c>
      <c r="HN102" s="12">
        <v>0</v>
      </c>
      <c r="HO102" s="12">
        <v>0</v>
      </c>
      <c r="HP102" s="12">
        <v>0</v>
      </c>
      <c r="HQ102" s="12">
        <v>0</v>
      </c>
      <c r="HR102" s="12">
        <v>0</v>
      </c>
      <c r="HS102" s="12">
        <v>0</v>
      </c>
      <c r="HT102" s="12">
        <v>0</v>
      </c>
      <c r="HU102" s="12">
        <v>0</v>
      </c>
      <c r="HV102" s="12">
        <v>0</v>
      </c>
      <c r="HW102" s="12">
        <v>0</v>
      </c>
      <c r="HX102" s="9">
        <v>982321</v>
      </c>
      <c r="HY102" s="9">
        <v>1829</v>
      </c>
      <c r="HZ102" s="9">
        <v>968920</v>
      </c>
      <c r="IA102" s="9">
        <v>1849</v>
      </c>
      <c r="IB102" s="11">
        <v>256186.88699999999</v>
      </c>
      <c r="IC102" s="11">
        <v>584.6</v>
      </c>
      <c r="ID102" s="14">
        <f t="shared" ref="ID102:II102" si="991">GN102-HL102</f>
        <v>2.6353323333333352</v>
      </c>
      <c r="IE102" s="14">
        <f t="shared" si="991"/>
        <v>2.6115936666666673</v>
      </c>
      <c r="IF102" s="14">
        <f t="shared" si="991"/>
        <v>2.6181551666666611</v>
      </c>
      <c r="IG102" s="14">
        <f t="shared" si="991"/>
        <v>2.61364683333333</v>
      </c>
      <c r="IH102" s="14">
        <f t="shared" si="991"/>
        <v>2.5791933333333295</v>
      </c>
      <c r="II102" s="14">
        <f t="shared" si="991"/>
        <v>2.5516061666666685</v>
      </c>
      <c r="IJ102" s="15">
        <f t="shared" ref="IJ102:IO102" si="992">GZ102-HR102</f>
        <v>2.5885759999999998</v>
      </c>
      <c r="IK102" s="15">
        <f t="shared" si="992"/>
        <v>2.5578908333333334</v>
      </c>
      <c r="IL102" s="15">
        <f t="shared" si="992"/>
        <v>2.5278948333333382</v>
      </c>
      <c r="IM102" s="15">
        <f t="shared" si="992"/>
        <v>0</v>
      </c>
      <c r="IN102" s="15">
        <f t="shared" si="992"/>
        <v>0</v>
      </c>
      <c r="IO102" s="15">
        <f t="shared" si="992"/>
        <v>2.4648883333333309</v>
      </c>
      <c r="IP102" s="16">
        <f t="shared" ref="IP102" si="993">(HX102-HX101)*1000</f>
        <v>366000</v>
      </c>
      <c r="IQ102" s="16">
        <f t="shared" ref="IQ102" si="994">(HY102-HY101)*1000</f>
        <v>2000</v>
      </c>
      <c r="IR102" s="16">
        <f t="shared" ref="IR102" si="995">(HZ102-HZ101)*1000</f>
        <v>358000</v>
      </c>
      <c r="IS102" s="16">
        <f t="shared" ref="IS102" si="996">(IA102-IA101)*1000</f>
        <v>2000</v>
      </c>
      <c r="IT102" s="16">
        <f t="shared" ref="IT102" si="997">(IB102-IB101)*1000</f>
        <v>723733.99999999674</v>
      </c>
      <c r="IU102" s="16">
        <f t="shared" ref="IU102" si="998">(IC102-IC101)*1000</f>
        <v>4466.9999999999845</v>
      </c>
      <c r="IV102" s="17">
        <f t="shared" ref="IV102" si="999">(IP102+IR102)-(IQ102+IS102)</f>
        <v>720000</v>
      </c>
      <c r="IW102" s="17">
        <f t="shared" ref="IW102" si="1000">IT102-IU102</f>
        <v>719266.99999999674</v>
      </c>
      <c r="IX102" s="19">
        <f>(Raw_Data[[#This Row],[Sunset Time (POA&lt;20 W/m2)]]-Raw_Data[[#This Row],[Sunrise Time (POA&gt;20 W/m2)]])*24</f>
        <v>12.983333333333333</v>
      </c>
      <c r="IY102" s="68">
        <f>AVERAGEIF(Raw_Data[[#This Row],[GHI_UP_Net_IS2_W1]:[GHI_UP_Net_IS19_W6]],"&lt;&gt;"&amp;0,Raw_Data[[#This Row],[GHI_UP_Net_IS2_W1]:[GHI_UP_Net_IS19_W6]])</f>
        <v>2.6015879166666651</v>
      </c>
      <c r="IZ102" s="68">
        <f>AVERAGEIF(Raw_Data[[#This Row],[GHI_Down_IS2_W1]:[GHI_Down_IS19_W6]],"&lt;&gt;"&amp;0,Raw_Data[[#This Row],[GHI_Down_IS2_W1]:[GHI_Down_IS19_W6]])</f>
        <v>0.5321275833333331</v>
      </c>
      <c r="JA102" s="68">
        <f>AVERAGEIF(Raw_Data[[#This Row],[POA_Up_IS2_W1]:[POA_Up_IS19_W6]],"&lt;&gt;"&amp;0,Raw_Data[[#This Row],[POA_Up_IS2_W1]:[POA_Up_IS19_W6]])</f>
        <v>2.5348125000000006</v>
      </c>
      <c r="JB102" s="68">
        <f>AVERAGEIF(Raw_Data[[#This Row],[POA_Down_IS2_W1]:[POA_Down_IS19_W6]],"&lt;&gt;"&amp;0,Raw_Data[[#This Row],[POA_Down_IS2_W1]:[POA_Down_IS19_W6]])</f>
        <v>0.17495866666666671</v>
      </c>
      <c r="JC102" s="69">
        <f>Raw_Data[[#This Row],[GHI-Down(KWh/m2)]]/Raw_Data[[#This Row],[GHI-UP (KWh/m2)]]</f>
        <v>0.20453953522936555</v>
      </c>
      <c r="JD102" s="72">
        <f>Raw_Data[[#This Row],[POA-Down(KWh/m2)]]/Raw_Data[[#This Row],[POA-UP(KWh/m2)]]</f>
        <v>6.90223307115089E-2</v>
      </c>
      <c r="JE102" s="68">
        <f>AVERAGEIF(Raw_Data[[#This Row],[Amb_Temp_IS2_W1]:[Amb_Temp_IS19_W6]],"&lt;&gt;"&amp;0,Raw_Data[[#This Row],[Amb_Temp_IS2_W1]:[Amb_Temp_IS19_W6]])</f>
        <v>30.870255183413075</v>
      </c>
      <c r="JF102" s="68">
        <f>AVERAGEIF(Raw_Data[[#This Row],[MT_Temp_IS2_W1]:[MT_Temp_IS19_W6]],"&lt;&gt;"&amp;0,Raw_Data[[#This Row],[MT_Temp_IS2_W1]:[MT_Temp_IS19_W6]])</f>
        <v>37.580744247740562</v>
      </c>
      <c r="JG102" s="68">
        <f>AVERAGEIF(Raw_Data[[#This Row],[WS_Avg_IS2_W1]:[WS_Avg_IS19_W6]],"&lt;&gt;"&amp;0,Raw_Data[[#This Row],[WS_Avg_IS2_W1]:[WS_Avg_IS19_W6]])</f>
        <v>2.5805514675225951</v>
      </c>
      <c r="JH102" s="68">
        <f>AVERAGEIF(Raw_Data[[#This Row],[WS_Max_IS2_W1]:[WS_Max_IS19_W6]],"&lt;&gt;"&amp;0,Raw_Data[[#This Row],[WS_Max_IS2_W1]:[WS_Max_IS19_W6]])</f>
        <v>7.3411105000000001</v>
      </c>
      <c r="JI102" s="70">
        <f>SUM(Raw_Data[[#This Row],[IS1_INV1_M1]:[IS20_INV4_M2]])</f>
        <v>728404.99999999988</v>
      </c>
      <c r="JJ102" s="73">
        <v>682000</v>
      </c>
      <c r="JK102" s="71">
        <v>788362.08617299248</v>
      </c>
      <c r="JL102" s="143">
        <f>IFERROR(Raw_Data[[#This Row],[WPR_Eac]]/Raw_Data[[#This Row],[WPR_Edc]],"")</f>
        <v>0.86508472688062121</v>
      </c>
      <c r="JM102" s="6">
        <v>23</v>
      </c>
      <c r="JN102" s="6" t="s">
        <v>2635</v>
      </c>
    </row>
    <row r="103" spans="2:274">
      <c r="B103" s="250">
        <f t="shared" si="596"/>
        <v>45842</v>
      </c>
      <c r="C103" s="9">
        <f>YEAR(Raw_Data[[#This Row],[Date]])+IF(MONTH(Raw_Data[[#This Row],[Date]])&gt;=4,1,0)</f>
        <v>2026</v>
      </c>
      <c r="D103" s="6">
        <f t="shared" si="969"/>
        <v>2025</v>
      </c>
      <c r="E103" s="7" t="s">
        <v>361</v>
      </c>
      <c r="F103" s="7" t="s">
        <v>361</v>
      </c>
      <c r="G103" s="8">
        <v>45839</v>
      </c>
      <c r="H103" s="6">
        <f t="shared" si="970"/>
        <v>31</v>
      </c>
      <c r="I103" s="9">
        <v>335090.89</v>
      </c>
      <c r="J103" s="10">
        <v>0.27152777777777776</v>
      </c>
      <c r="K103" s="10">
        <v>0.81319444444444444</v>
      </c>
      <c r="L103" s="9">
        <v>8251.1</v>
      </c>
      <c r="M103" s="9">
        <v>8727.1</v>
      </c>
      <c r="N103" s="9">
        <v>8700.6</v>
      </c>
      <c r="O103" s="9">
        <v>8664.2999999999993</v>
      </c>
      <c r="P103" s="9">
        <v>8792.5</v>
      </c>
      <c r="Q103" s="9">
        <v>8825.2999999999993</v>
      </c>
      <c r="R103" s="9">
        <v>8762.2000000000007</v>
      </c>
      <c r="S103" s="9">
        <v>9113.5</v>
      </c>
      <c r="T103" s="9">
        <v>8757.7000000000007</v>
      </c>
      <c r="U103" s="9">
        <v>8576.1</v>
      </c>
      <c r="V103" s="9">
        <v>9645.2999999999993</v>
      </c>
      <c r="W103" s="9">
        <v>8785.7999999999993</v>
      </c>
      <c r="X103" s="9">
        <v>9680.7000000000007</v>
      </c>
      <c r="Y103" s="9">
        <v>8940.2000000000007</v>
      </c>
      <c r="Z103" s="9">
        <v>8962.7000000000007</v>
      </c>
      <c r="AA103" s="9">
        <v>8973.7000000000007</v>
      </c>
      <c r="AB103" s="9">
        <v>7964.7</v>
      </c>
      <c r="AC103" s="9">
        <v>7999.8</v>
      </c>
      <c r="AD103" s="9">
        <v>8091.1</v>
      </c>
      <c r="AE103" s="9">
        <v>8121.1</v>
      </c>
      <c r="AF103" s="9">
        <v>8083.3</v>
      </c>
      <c r="AG103" s="9">
        <v>8031.9</v>
      </c>
      <c r="AH103" s="9">
        <v>7962.4</v>
      </c>
      <c r="AI103" s="9">
        <v>7990.3</v>
      </c>
      <c r="AJ103" s="9">
        <v>8702.7000000000007</v>
      </c>
      <c r="AK103" s="9">
        <v>7594.3</v>
      </c>
      <c r="AL103" s="9">
        <v>8673.7000000000007</v>
      </c>
      <c r="AM103" s="9">
        <v>8648.7999999999993</v>
      </c>
      <c r="AN103" s="9">
        <v>8956.2999999999993</v>
      </c>
      <c r="AO103" s="9">
        <v>9164.7000000000007</v>
      </c>
      <c r="AP103" s="9">
        <v>9066.6</v>
      </c>
      <c r="AQ103" s="9">
        <v>9059.9</v>
      </c>
      <c r="AR103" s="9">
        <v>9091.5</v>
      </c>
      <c r="AS103" s="9">
        <v>9061.9</v>
      </c>
      <c r="AT103" s="9">
        <v>9079</v>
      </c>
      <c r="AU103" s="9">
        <v>9042.2999999999993</v>
      </c>
      <c r="AV103" s="9">
        <v>9217</v>
      </c>
      <c r="AW103" s="9">
        <v>9043.5</v>
      </c>
      <c r="AX103" s="9">
        <v>9208.7999999999993</v>
      </c>
      <c r="AY103" s="9">
        <v>9129.7999999999993</v>
      </c>
      <c r="AZ103" s="9">
        <v>10825.4</v>
      </c>
      <c r="BA103" s="9">
        <v>10887.2</v>
      </c>
      <c r="BB103" s="9">
        <v>10754.4</v>
      </c>
      <c r="BC103" s="9">
        <v>10771.5</v>
      </c>
      <c r="BD103" s="9">
        <v>11006.7</v>
      </c>
      <c r="BE103" s="9">
        <v>11035.2</v>
      </c>
      <c r="BF103" s="9">
        <v>10733.9</v>
      </c>
      <c r="BG103" s="9">
        <v>10759.5</v>
      </c>
      <c r="BH103" s="9">
        <v>9101.5</v>
      </c>
      <c r="BI103" s="9">
        <v>9236.2000000000007</v>
      </c>
      <c r="BJ103" s="9">
        <v>9071.2999999999993</v>
      </c>
      <c r="BK103" s="9">
        <v>8505.2999999999993</v>
      </c>
      <c r="BL103" s="9">
        <v>9319.1</v>
      </c>
      <c r="BM103" s="9">
        <v>9358.9</v>
      </c>
      <c r="BN103" s="9">
        <v>9196.7000000000007</v>
      </c>
      <c r="BO103" s="9">
        <v>9172.1</v>
      </c>
      <c r="BP103" s="9">
        <v>8134.9</v>
      </c>
      <c r="BQ103" s="9">
        <v>9241.9</v>
      </c>
      <c r="BR103" s="9">
        <v>8223.2000000000007</v>
      </c>
      <c r="BS103" s="9">
        <v>9335.5</v>
      </c>
      <c r="BT103" s="9">
        <v>9001.5</v>
      </c>
      <c r="BU103" s="9">
        <v>8085.4</v>
      </c>
      <c r="BV103" s="9">
        <v>8823.2999999999993</v>
      </c>
      <c r="BW103" s="9">
        <v>8434.2999999999993</v>
      </c>
      <c r="BX103" s="9">
        <v>8402.9</v>
      </c>
      <c r="BY103" s="9">
        <v>7692.3</v>
      </c>
      <c r="BZ103" s="9">
        <v>8230</v>
      </c>
      <c r="CA103" s="9">
        <v>8331.5</v>
      </c>
      <c r="CB103" s="9">
        <v>8769.2999999999993</v>
      </c>
      <c r="CC103" s="9">
        <v>7614.8</v>
      </c>
      <c r="CD103" s="9">
        <v>8397.7000000000007</v>
      </c>
      <c r="CE103" s="9">
        <v>7187.7</v>
      </c>
      <c r="CF103" s="9">
        <v>8523.7000000000007</v>
      </c>
      <c r="CG103" s="9">
        <v>7912.5</v>
      </c>
      <c r="CH103" s="9">
        <v>7790.1</v>
      </c>
      <c r="CI103" s="9">
        <v>8412.6</v>
      </c>
      <c r="CJ103" s="9">
        <v>7456.6</v>
      </c>
      <c r="CK103" s="9">
        <v>8903.1</v>
      </c>
      <c r="CL103" s="9">
        <v>7716.4</v>
      </c>
      <c r="CM103" s="9">
        <v>8429.6</v>
      </c>
      <c r="CN103" s="9">
        <v>7586.5</v>
      </c>
      <c r="CO103" s="9">
        <v>8171.8</v>
      </c>
      <c r="CP103" s="9">
        <v>7799.6</v>
      </c>
      <c r="CQ103" s="9">
        <v>8450.4</v>
      </c>
      <c r="CR103" s="9">
        <v>7754.1</v>
      </c>
      <c r="CS103" s="9">
        <v>8295.2999999999993</v>
      </c>
      <c r="CT103" s="9">
        <v>7895.6</v>
      </c>
      <c r="CU103" s="9">
        <v>6891.6</v>
      </c>
      <c r="CV103" s="9">
        <v>8985.7000000000007</v>
      </c>
      <c r="CW103" s="9">
        <v>8428.1</v>
      </c>
      <c r="CX103" s="9">
        <v>7897.7</v>
      </c>
      <c r="CY103" s="9">
        <v>9220.9</v>
      </c>
      <c r="CZ103" s="9">
        <v>9056.2000000000007</v>
      </c>
      <c r="DA103" s="9">
        <v>8496.7999999999993</v>
      </c>
      <c r="DB103" s="9">
        <v>8461.2999999999993</v>
      </c>
      <c r="DC103" s="9">
        <v>9217.9</v>
      </c>
      <c r="DD103" s="9">
        <v>8369.9</v>
      </c>
      <c r="DE103" s="9">
        <v>8562.9</v>
      </c>
      <c r="DF103" s="9">
        <v>9338.7000000000007</v>
      </c>
      <c r="DG103" s="9">
        <v>8198</v>
      </c>
      <c r="DH103" s="9">
        <v>9529.7000000000007</v>
      </c>
      <c r="DI103" s="9">
        <v>8261.2000000000007</v>
      </c>
      <c r="DJ103" s="9">
        <v>9502.2000000000007</v>
      </c>
      <c r="DK103" s="9">
        <v>8553.7000000000007</v>
      </c>
      <c r="DL103" s="9">
        <v>9649.2999999999993</v>
      </c>
      <c r="DM103" s="9">
        <v>8146.7</v>
      </c>
      <c r="DN103" s="9">
        <v>9604.4</v>
      </c>
      <c r="DO103" s="9">
        <v>8513.9</v>
      </c>
      <c r="DP103" s="9">
        <v>9526</v>
      </c>
      <c r="DQ103" s="9">
        <v>8680.5</v>
      </c>
      <c r="DR103" s="9">
        <v>9673.1</v>
      </c>
      <c r="DS103" s="9">
        <v>8472.1</v>
      </c>
      <c r="DT103" s="9">
        <v>8165.4</v>
      </c>
      <c r="DU103" s="9">
        <v>8923.6</v>
      </c>
      <c r="DV103" s="9">
        <v>8182.5</v>
      </c>
      <c r="DW103" s="9">
        <v>8041.4</v>
      </c>
      <c r="DX103" s="9">
        <v>9174.6</v>
      </c>
      <c r="DY103" s="9">
        <v>9056.1</v>
      </c>
      <c r="DZ103" s="9">
        <v>9005.7999999999993</v>
      </c>
      <c r="EA103" s="9">
        <v>8127.9</v>
      </c>
      <c r="EB103" s="9">
        <v>9109.7000000000007</v>
      </c>
      <c r="EC103" s="9">
        <v>8188.6</v>
      </c>
      <c r="ED103" s="9">
        <v>9107</v>
      </c>
      <c r="EE103" s="9">
        <v>8280.4</v>
      </c>
      <c r="EF103" s="9">
        <v>9063.7999999999993</v>
      </c>
      <c r="EG103" s="9">
        <v>7667.1</v>
      </c>
      <c r="EH103" s="9">
        <v>8947.5</v>
      </c>
      <c r="EI103" s="9">
        <v>8190.5</v>
      </c>
      <c r="EJ103" s="9">
        <v>8172.5</v>
      </c>
      <c r="EK103" s="9">
        <v>8270.5</v>
      </c>
      <c r="EL103" s="9">
        <v>8308.4</v>
      </c>
      <c r="EM103" s="9">
        <v>7095.8</v>
      </c>
      <c r="EN103" s="9">
        <v>8067</v>
      </c>
      <c r="EO103" s="9">
        <v>7149.7</v>
      </c>
      <c r="EP103" s="9">
        <v>8098.5</v>
      </c>
      <c r="EQ103" s="9">
        <v>8161.1</v>
      </c>
      <c r="ER103" s="9">
        <v>9670.4</v>
      </c>
      <c r="ES103" s="9">
        <v>8288.2000000000007</v>
      </c>
      <c r="ET103" s="9">
        <v>10022.200000000001</v>
      </c>
      <c r="EU103" s="9">
        <v>8599.7000000000007</v>
      </c>
      <c r="EV103" s="9">
        <v>9468.6</v>
      </c>
      <c r="EW103" s="9">
        <v>8430.7999999999993</v>
      </c>
      <c r="EX103" s="9">
        <v>8503.6</v>
      </c>
      <c r="EY103" s="9">
        <v>8270.9</v>
      </c>
      <c r="EZ103" s="9">
        <v>9936.9</v>
      </c>
      <c r="FA103" s="9">
        <v>10284.4</v>
      </c>
      <c r="FB103" s="9">
        <v>9874.7999999999993</v>
      </c>
      <c r="FC103" s="9">
        <v>9937.5</v>
      </c>
      <c r="FD103" s="9">
        <v>9966.9</v>
      </c>
      <c r="FE103" s="9">
        <v>9715.2999999999993</v>
      </c>
      <c r="FF103" s="9">
        <v>9128.7999999999993</v>
      </c>
      <c r="FG103" s="9">
        <v>10143</v>
      </c>
      <c r="FH103" s="9">
        <v>9769.4</v>
      </c>
      <c r="FI103" s="9">
        <v>9888.6</v>
      </c>
      <c r="FJ103" s="9">
        <v>7766.5</v>
      </c>
      <c r="FK103" s="9">
        <v>9142.4</v>
      </c>
      <c r="FL103" s="9">
        <v>10236.5</v>
      </c>
      <c r="FM103" s="9">
        <v>9251.2000000000007</v>
      </c>
      <c r="FN103" s="9">
        <v>9766.4</v>
      </c>
      <c r="FO103" s="9">
        <v>9040.5</v>
      </c>
      <c r="FP103" s="11">
        <v>31.625362517099848</v>
      </c>
      <c r="FQ103" s="11">
        <v>31.625362517099848</v>
      </c>
      <c r="FR103" s="11">
        <v>31.912435020519862</v>
      </c>
      <c r="FS103" s="11">
        <v>31.844911080711359</v>
      </c>
      <c r="FT103" s="11">
        <v>31.520205198358443</v>
      </c>
      <c r="FU103" s="11">
        <v>31.951108071135479</v>
      </c>
      <c r="FV103" s="11">
        <v>0</v>
      </c>
      <c r="FW103" s="11">
        <v>44.8</v>
      </c>
      <c r="FX103" s="11">
        <v>0</v>
      </c>
      <c r="FY103" s="11">
        <v>0</v>
      </c>
      <c r="FZ103" s="11">
        <v>46.074868727770209</v>
      </c>
      <c r="GA103" s="11">
        <v>46.4</v>
      </c>
      <c r="GB103" s="11">
        <v>0.5416187580027364</v>
      </c>
      <c r="GC103" s="11">
        <v>2.9543364307797555</v>
      </c>
      <c r="GD103" s="11">
        <v>2.429600896716829</v>
      </c>
      <c r="GE103" s="11">
        <v>2.9737732530779781</v>
      </c>
      <c r="GF103" s="11">
        <v>2.876823886456906</v>
      </c>
      <c r="GG103" s="11">
        <v>2.7022228719562258</v>
      </c>
      <c r="GH103" s="11">
        <v>5.3283329999999998</v>
      </c>
      <c r="GI103" s="11">
        <v>7.4016659999999996</v>
      </c>
      <c r="GJ103" s="11">
        <v>5.8766660000000002</v>
      </c>
      <c r="GK103" s="11">
        <v>6.898333</v>
      </c>
      <c r="GL103" s="11">
        <v>6.7683330000000002</v>
      </c>
      <c r="GM103" s="11">
        <v>7.8516659999999998</v>
      </c>
      <c r="GN103" s="11">
        <v>5.160862499999995</v>
      </c>
      <c r="GO103" s="11">
        <v>5.2427035000000011</v>
      </c>
      <c r="GP103" s="11">
        <v>6.0356123333333302</v>
      </c>
      <c r="GQ103" s="11">
        <v>4.9946293333333305</v>
      </c>
      <c r="GR103" s="11">
        <v>5.0914601666666695</v>
      </c>
      <c r="GS103" s="11">
        <v>5.6456368333333318</v>
      </c>
      <c r="GT103" s="108">
        <v>0.93611183333333359</v>
      </c>
      <c r="GU103" s="108">
        <v>0.868896</v>
      </c>
      <c r="GV103" s="108">
        <v>1.0096396666666672</v>
      </c>
      <c r="GW103" s="108">
        <v>1.0191406666666667</v>
      </c>
      <c r="GX103" s="108">
        <v>1.0166711666666672</v>
      </c>
      <c r="GY103" s="108">
        <v>0.94801116666666674</v>
      </c>
      <c r="GZ103" s="13">
        <v>5.0738640000000004</v>
      </c>
      <c r="HA103" s="13">
        <v>5.123470166666662</v>
      </c>
      <c r="HB103" s="13">
        <v>5.7894635000000019</v>
      </c>
      <c r="HC103" s="13">
        <v>0</v>
      </c>
      <c r="HD103" s="13">
        <v>0</v>
      </c>
      <c r="HE103" s="13">
        <v>5.4774303333333361</v>
      </c>
      <c r="HF103" s="13">
        <v>0.27402383333333313</v>
      </c>
      <c r="HG103" s="13">
        <v>0.3417349999999999</v>
      </c>
      <c r="HH103" s="13">
        <v>0.34384683333333343</v>
      </c>
      <c r="HI103" s="13">
        <v>0.28657126666666649</v>
      </c>
      <c r="HJ103" s="13">
        <v>0.30659249999999955</v>
      </c>
      <c r="HK103" s="13">
        <v>0.35256083333333338</v>
      </c>
      <c r="HL103" s="12">
        <v>0</v>
      </c>
      <c r="HM103" s="12">
        <v>0</v>
      </c>
      <c r="HN103" s="12">
        <v>0</v>
      </c>
      <c r="HO103" s="12">
        <v>0</v>
      </c>
      <c r="HP103" s="12">
        <v>0</v>
      </c>
      <c r="HQ103" s="12">
        <v>0</v>
      </c>
      <c r="HR103" s="12">
        <v>0</v>
      </c>
      <c r="HS103" s="12">
        <v>0</v>
      </c>
      <c r="HT103" s="12">
        <v>0</v>
      </c>
      <c r="HU103" s="12">
        <v>0</v>
      </c>
      <c r="HV103" s="12">
        <v>0</v>
      </c>
      <c r="HW103" s="12">
        <v>0</v>
      </c>
      <c r="HX103" s="9">
        <v>983025</v>
      </c>
      <c r="HY103" s="9">
        <v>1831</v>
      </c>
      <c r="HZ103" s="9">
        <v>969620</v>
      </c>
      <c r="IA103" s="9">
        <v>1850</v>
      </c>
      <c r="IB103" s="11">
        <v>257588.353</v>
      </c>
      <c r="IC103" s="11">
        <v>588.73299999999995</v>
      </c>
      <c r="ID103" s="14">
        <f t="shared" ref="ID103:II103" si="1001">GN103-HL103</f>
        <v>5.160862499999995</v>
      </c>
      <c r="IE103" s="14">
        <f t="shared" si="1001"/>
        <v>5.2427035000000011</v>
      </c>
      <c r="IF103" s="14">
        <f t="shared" si="1001"/>
        <v>6.0356123333333302</v>
      </c>
      <c r="IG103" s="14">
        <f t="shared" si="1001"/>
        <v>4.9946293333333305</v>
      </c>
      <c r="IH103" s="14">
        <f t="shared" si="1001"/>
        <v>5.0914601666666695</v>
      </c>
      <c r="II103" s="14">
        <f t="shared" si="1001"/>
        <v>5.6456368333333318</v>
      </c>
      <c r="IJ103" s="15">
        <f t="shared" ref="IJ103:IO103" si="1002">GZ103-HR103</f>
        <v>5.0738640000000004</v>
      </c>
      <c r="IK103" s="15">
        <f t="shared" si="1002"/>
        <v>5.123470166666662</v>
      </c>
      <c r="IL103" s="15">
        <f t="shared" si="1002"/>
        <v>5.7894635000000019</v>
      </c>
      <c r="IM103" s="15">
        <f t="shared" si="1002"/>
        <v>0</v>
      </c>
      <c r="IN103" s="15">
        <f t="shared" si="1002"/>
        <v>0</v>
      </c>
      <c r="IO103" s="15">
        <f t="shared" si="1002"/>
        <v>5.4774303333333361</v>
      </c>
      <c r="IP103" s="16">
        <f t="shared" ref="IP103" si="1003">(HX103-HX102)*1000</f>
        <v>704000</v>
      </c>
      <c r="IQ103" s="16">
        <f t="shared" ref="IQ103" si="1004">(HY103-HY102)*1000</f>
        <v>2000</v>
      </c>
      <c r="IR103" s="16">
        <f t="shared" ref="IR103" si="1005">(HZ103-HZ102)*1000</f>
        <v>700000</v>
      </c>
      <c r="IS103" s="16">
        <f t="shared" ref="IS103" si="1006">(IA103-IA102)*1000</f>
        <v>1000</v>
      </c>
      <c r="IT103" s="16">
        <f t="shared" ref="IT103" si="1007">(IB103-IB102)*1000</f>
        <v>1401466.0000000149</v>
      </c>
      <c r="IU103" s="16">
        <f t="shared" ref="IU103" si="1008">(IC103-IC102)*1000</f>
        <v>4132.9999999999245</v>
      </c>
      <c r="IV103" s="17">
        <f t="shared" ref="IV103" si="1009">(IP103+IR103)-(IQ103+IS103)</f>
        <v>1401000</v>
      </c>
      <c r="IW103" s="17">
        <f t="shared" ref="IW103" si="1010">IT103-IU103</f>
        <v>1397333.0000000149</v>
      </c>
      <c r="IX103" s="19">
        <f>(Raw_Data[[#This Row],[Sunset Time (POA&lt;20 W/m2)]]-Raw_Data[[#This Row],[Sunrise Time (POA&gt;20 W/m2)]])*24</f>
        <v>13.000000000000002</v>
      </c>
      <c r="IY103" s="68">
        <f>AVERAGEIF(Raw_Data[[#This Row],[GHI_UP_Net_IS2_W1]:[GHI_UP_Net_IS19_W6]],"&lt;&gt;"&amp;0,Raw_Data[[#This Row],[GHI_UP_Net_IS2_W1]:[GHI_UP_Net_IS19_W6]])</f>
        <v>5.3618174444444442</v>
      </c>
      <c r="IZ103" s="68">
        <f>AVERAGEIF(Raw_Data[[#This Row],[GHI_Down_IS2_W1]:[GHI_Down_IS19_W6]],"&lt;&gt;"&amp;0,Raw_Data[[#This Row],[GHI_Down_IS2_W1]:[GHI_Down_IS19_W6]])</f>
        <v>0.96641175000000024</v>
      </c>
      <c r="JA103" s="68">
        <f>AVERAGEIF(Raw_Data[[#This Row],[POA_Up_IS2_W1]:[POA_Up_IS19_W6]],"&lt;&gt;"&amp;0,Raw_Data[[#This Row],[POA_Up_IS2_W1]:[POA_Up_IS19_W6]])</f>
        <v>5.3660569999999996</v>
      </c>
      <c r="JB103" s="68">
        <f>AVERAGEIF(Raw_Data[[#This Row],[POA_Down_IS2_W1]:[POA_Down_IS19_W6]],"&lt;&gt;"&amp;0,Raw_Data[[#This Row],[POA_Down_IS2_W1]:[POA_Down_IS19_W6]])</f>
        <v>0.31755504444444432</v>
      </c>
      <c r="JC103" s="69">
        <f>Raw_Data[[#This Row],[GHI-Down(KWh/m2)]]/Raw_Data[[#This Row],[GHI-UP (KWh/m2)]]</f>
        <v>0.18023958480744831</v>
      </c>
      <c r="JD103" s="72">
        <f>Raw_Data[[#This Row],[POA-Down(KWh/m2)]]/Raw_Data[[#This Row],[POA-UP(KWh/m2)]]</f>
        <v>5.9178470233254017E-2</v>
      </c>
      <c r="JE103" s="68">
        <f>AVERAGEIF(Raw_Data[[#This Row],[Amb_Temp_IS2_W1]:[Amb_Temp_IS19_W6]],"&lt;&gt;"&amp;0,Raw_Data[[#This Row],[Amb_Temp_IS2_W1]:[Amb_Temp_IS19_W6]])</f>
        <v>31.746564067487473</v>
      </c>
      <c r="JF103" s="68">
        <f>AVERAGEIF(Raw_Data[[#This Row],[MT_Temp_IS2_W1]:[MT_Temp_IS19_W6]],"&lt;&gt;"&amp;0,Raw_Data[[#This Row],[MT_Temp_IS2_W1]:[MT_Temp_IS19_W6]])</f>
        <v>45.758289575923406</v>
      </c>
      <c r="JG103" s="68">
        <f>AVERAGEIF(Raw_Data[[#This Row],[WS_Avg_IS2_W1]:[WS_Avg_IS19_W6]],"&lt;&gt;"&amp;0,Raw_Data[[#This Row],[WS_Avg_IS2_W1]:[WS_Avg_IS19_W6]])</f>
        <v>2.4130626828317383</v>
      </c>
      <c r="JH103" s="68">
        <f>AVERAGEIF(Raw_Data[[#This Row],[WS_Max_IS2_W1]:[WS_Max_IS19_W6]],"&lt;&gt;"&amp;0,Raw_Data[[#This Row],[WS_Max_IS2_W1]:[WS_Max_IS19_W6]])</f>
        <v>6.6874995000000004</v>
      </c>
      <c r="JI103" s="70">
        <f>SUM(Raw_Data[[#This Row],[IS1_INV1_M1]:[IS20_INV4_M2]])</f>
        <v>1408780.5999999996</v>
      </c>
      <c r="JJ103" s="73">
        <v>1378266.9999999925</v>
      </c>
      <c r="JK103" s="71">
        <v>1773415.3631743048</v>
      </c>
      <c r="JL103" s="143">
        <f>IFERROR(Raw_Data[[#This Row],[WPR_Eac]]/Raw_Data[[#This Row],[WPR_Edc]],"")</f>
        <v>0.7771822826283511</v>
      </c>
      <c r="JM103" s="6">
        <v>26</v>
      </c>
      <c r="JN103" s="6" t="s">
        <v>2635</v>
      </c>
    </row>
    <row r="104" spans="2:274">
      <c r="B104" s="250">
        <f t="shared" si="596"/>
        <v>45843</v>
      </c>
      <c r="C104" s="9">
        <f>YEAR(Raw_Data[[#This Row],[Date]])+IF(MONTH(Raw_Data[[#This Row],[Date]])&gt;=4,1,0)</f>
        <v>2026</v>
      </c>
      <c r="D104" s="6">
        <f t="shared" si="969"/>
        <v>2025</v>
      </c>
      <c r="E104" s="7" t="s">
        <v>361</v>
      </c>
      <c r="F104" s="7" t="s">
        <v>361</v>
      </c>
      <c r="G104" s="8">
        <v>45839</v>
      </c>
      <c r="H104" s="6">
        <f t="shared" si="970"/>
        <v>31</v>
      </c>
      <c r="I104" s="9">
        <v>335090.89</v>
      </c>
      <c r="J104" s="10">
        <v>0.26944444444444443</v>
      </c>
      <c r="K104" s="10">
        <v>0.81458333333333333</v>
      </c>
      <c r="L104" s="9">
        <v>10532.2</v>
      </c>
      <c r="M104" s="9">
        <v>11056.8</v>
      </c>
      <c r="N104" s="9">
        <v>10926.7</v>
      </c>
      <c r="O104" s="9">
        <v>10820</v>
      </c>
      <c r="P104" s="9">
        <v>11035.7</v>
      </c>
      <c r="Q104" s="9">
        <v>11025.7</v>
      </c>
      <c r="R104" s="9">
        <v>11136.7</v>
      </c>
      <c r="S104" s="9">
        <v>11369.7</v>
      </c>
      <c r="T104" s="9">
        <v>11159.8</v>
      </c>
      <c r="U104" s="9">
        <v>11201.2</v>
      </c>
      <c r="V104" s="9">
        <v>11877</v>
      </c>
      <c r="W104" s="9">
        <v>11082.6</v>
      </c>
      <c r="X104" s="9">
        <v>11869.9</v>
      </c>
      <c r="Y104" s="9">
        <v>10989.5</v>
      </c>
      <c r="Z104" s="9">
        <v>11266.5</v>
      </c>
      <c r="AA104" s="9">
        <v>11164.4</v>
      </c>
      <c r="AB104" s="9">
        <v>11277.5</v>
      </c>
      <c r="AC104" s="9">
        <v>11249.2</v>
      </c>
      <c r="AD104" s="9">
        <v>11282.9</v>
      </c>
      <c r="AE104" s="9">
        <v>11323.1</v>
      </c>
      <c r="AF104" s="9">
        <v>11288.7</v>
      </c>
      <c r="AG104" s="9">
        <v>11290.9</v>
      </c>
      <c r="AH104" s="9">
        <v>11124.9</v>
      </c>
      <c r="AI104" s="9">
        <v>11161.6</v>
      </c>
      <c r="AJ104" s="9">
        <v>11159.3</v>
      </c>
      <c r="AK104" s="9">
        <v>9766.4</v>
      </c>
      <c r="AL104" s="9">
        <v>11004.5</v>
      </c>
      <c r="AM104" s="9">
        <v>11029.9</v>
      </c>
      <c r="AN104" s="9">
        <v>11436.6</v>
      </c>
      <c r="AO104" s="9">
        <v>11468.8</v>
      </c>
      <c r="AP104" s="9">
        <v>11328.7</v>
      </c>
      <c r="AQ104" s="9">
        <v>11534.7</v>
      </c>
      <c r="AR104" s="9">
        <v>11673.4</v>
      </c>
      <c r="AS104" s="9">
        <v>11581.2</v>
      </c>
      <c r="AT104" s="9">
        <v>11609.1</v>
      </c>
      <c r="AU104" s="9">
        <v>11529.4</v>
      </c>
      <c r="AV104" s="9">
        <v>11682.8</v>
      </c>
      <c r="AW104" s="9">
        <v>11520.9</v>
      </c>
      <c r="AX104" s="9">
        <v>11541.5</v>
      </c>
      <c r="AY104" s="9">
        <v>11491.1</v>
      </c>
      <c r="AZ104" s="9">
        <v>12349.3</v>
      </c>
      <c r="BA104" s="9">
        <v>12325.6</v>
      </c>
      <c r="BB104" s="9">
        <v>12209.6</v>
      </c>
      <c r="BC104" s="9">
        <v>12305.1</v>
      </c>
      <c r="BD104" s="9">
        <v>12535</v>
      </c>
      <c r="BE104" s="9">
        <v>12823.7</v>
      </c>
      <c r="BF104" s="9">
        <v>12387.3</v>
      </c>
      <c r="BG104" s="9">
        <v>12357.2</v>
      </c>
      <c r="BH104" s="9">
        <v>11113.7</v>
      </c>
      <c r="BI104" s="9">
        <v>11366.5</v>
      </c>
      <c r="BJ104" s="9">
        <v>11227.3</v>
      </c>
      <c r="BK104" s="9">
        <v>10760.6</v>
      </c>
      <c r="BL104" s="9">
        <v>11597.7</v>
      </c>
      <c r="BM104" s="9">
        <v>11451.5</v>
      </c>
      <c r="BN104" s="9">
        <v>11685.4</v>
      </c>
      <c r="BO104" s="9">
        <v>11680.8</v>
      </c>
      <c r="BP104" s="9">
        <v>10348.6</v>
      </c>
      <c r="BQ104" s="9">
        <v>11858.7</v>
      </c>
      <c r="BR104" s="9">
        <v>10167.700000000001</v>
      </c>
      <c r="BS104" s="9">
        <v>11633.4</v>
      </c>
      <c r="BT104" s="9">
        <v>11456.9</v>
      </c>
      <c r="BU104" s="9">
        <v>10165.9</v>
      </c>
      <c r="BV104" s="9">
        <v>11405.5</v>
      </c>
      <c r="BW104" s="9">
        <v>10812.8</v>
      </c>
      <c r="BX104" s="9">
        <v>10886.1</v>
      </c>
      <c r="BY104" s="9">
        <v>10256.200000000001</v>
      </c>
      <c r="BZ104" s="9">
        <v>10979.6</v>
      </c>
      <c r="CA104" s="9">
        <v>11436.3</v>
      </c>
      <c r="CB104" s="9">
        <v>11751.1</v>
      </c>
      <c r="CC104" s="9">
        <v>10604</v>
      </c>
      <c r="CD104" s="9">
        <v>11600.9</v>
      </c>
      <c r="CE104" s="9">
        <v>10211.200000000001</v>
      </c>
      <c r="CF104" s="9">
        <v>11297.4</v>
      </c>
      <c r="CG104" s="9">
        <v>11113.9</v>
      </c>
      <c r="CH104" s="9">
        <v>10432.6</v>
      </c>
      <c r="CI104" s="9">
        <v>11588.9</v>
      </c>
      <c r="CJ104" s="9">
        <v>10251.4</v>
      </c>
      <c r="CK104" s="9">
        <v>11723.3</v>
      </c>
      <c r="CL104" s="9">
        <v>10377.4</v>
      </c>
      <c r="CM104" s="9">
        <v>11376.1</v>
      </c>
      <c r="CN104" s="9">
        <v>9485.9</v>
      </c>
      <c r="CO104" s="9">
        <v>10220.200000000001</v>
      </c>
      <c r="CP104" s="9">
        <v>9754.2999999999993</v>
      </c>
      <c r="CQ104" s="9">
        <v>10581.8</v>
      </c>
      <c r="CR104" s="9">
        <v>9568.2999999999993</v>
      </c>
      <c r="CS104" s="9">
        <v>10203.9</v>
      </c>
      <c r="CT104" s="9">
        <v>9485.2999999999993</v>
      </c>
      <c r="CU104" s="9">
        <v>8406.4</v>
      </c>
      <c r="CV104" s="9">
        <v>11814</v>
      </c>
      <c r="CW104" s="9">
        <v>11180.5</v>
      </c>
      <c r="CX104" s="9">
        <v>10479.4</v>
      </c>
      <c r="CY104" s="9">
        <v>12075.9</v>
      </c>
      <c r="CZ104" s="9">
        <v>11806.4</v>
      </c>
      <c r="DA104" s="9">
        <v>11063.9</v>
      </c>
      <c r="DB104" s="9">
        <v>11000.2</v>
      </c>
      <c r="DC104" s="9">
        <v>11985.9</v>
      </c>
      <c r="DD104" s="9">
        <v>10971</v>
      </c>
      <c r="DE104" s="9">
        <v>11248.8</v>
      </c>
      <c r="DF104" s="9">
        <v>12080.8</v>
      </c>
      <c r="DG104" s="9">
        <v>10654</v>
      </c>
      <c r="DH104" s="9">
        <v>11973.2</v>
      </c>
      <c r="DI104" s="9">
        <v>10624.1</v>
      </c>
      <c r="DJ104" s="9">
        <v>11754.7</v>
      </c>
      <c r="DK104" s="9">
        <v>10822.7</v>
      </c>
      <c r="DL104" s="9">
        <v>11801.8</v>
      </c>
      <c r="DM104" s="9">
        <v>10246.700000000001</v>
      </c>
      <c r="DN104" s="9">
        <v>11792.4</v>
      </c>
      <c r="DO104" s="9">
        <v>10652.1</v>
      </c>
      <c r="DP104" s="9">
        <v>11548.7</v>
      </c>
      <c r="DQ104" s="9">
        <v>10566.9</v>
      </c>
      <c r="DR104" s="9">
        <v>11619.2</v>
      </c>
      <c r="DS104" s="9">
        <v>10750.7</v>
      </c>
      <c r="DT104" s="9">
        <v>10622.3</v>
      </c>
      <c r="DU104" s="9">
        <v>11592.9</v>
      </c>
      <c r="DV104" s="9">
        <v>10659.9</v>
      </c>
      <c r="DW104" s="9">
        <v>10479.6</v>
      </c>
      <c r="DX104" s="9">
        <v>11672.1</v>
      </c>
      <c r="DY104" s="9">
        <v>11635.5</v>
      </c>
      <c r="DZ104" s="9">
        <v>11549.2</v>
      </c>
      <c r="EA104" s="9">
        <v>10575</v>
      </c>
      <c r="EB104" s="9">
        <v>11645.4</v>
      </c>
      <c r="EC104" s="9">
        <v>10478.700000000001</v>
      </c>
      <c r="ED104" s="9">
        <v>11443.2</v>
      </c>
      <c r="EE104" s="9">
        <v>10610.9</v>
      </c>
      <c r="EF104" s="9">
        <v>11288</v>
      </c>
      <c r="EG104" s="9">
        <v>9919.4</v>
      </c>
      <c r="EH104" s="9">
        <v>11420.1</v>
      </c>
      <c r="EI104" s="9">
        <v>10511.9</v>
      </c>
      <c r="EJ104" s="9">
        <v>10651.7</v>
      </c>
      <c r="EK104" s="9">
        <v>10776.1</v>
      </c>
      <c r="EL104" s="9">
        <v>10597.3</v>
      </c>
      <c r="EM104" s="9">
        <v>9082.9</v>
      </c>
      <c r="EN104" s="9">
        <v>10447.1</v>
      </c>
      <c r="EO104" s="9">
        <v>9263.7999999999993</v>
      </c>
      <c r="EP104" s="9">
        <v>10663.1</v>
      </c>
      <c r="EQ104" s="9">
        <v>10751.2</v>
      </c>
      <c r="ER104" s="9">
        <v>12447.6</v>
      </c>
      <c r="ES104" s="9">
        <v>10959.2</v>
      </c>
      <c r="ET104" s="9">
        <v>12409.9</v>
      </c>
      <c r="EU104" s="9">
        <v>11155</v>
      </c>
      <c r="EV104" s="9">
        <v>12308.5</v>
      </c>
      <c r="EW104" s="9">
        <v>10962.9</v>
      </c>
      <c r="EX104" s="9">
        <v>11204.7</v>
      </c>
      <c r="EY104" s="9">
        <v>10870.6</v>
      </c>
      <c r="EZ104" s="9">
        <v>12072.3</v>
      </c>
      <c r="FA104" s="9">
        <v>12428.3</v>
      </c>
      <c r="FB104" s="9">
        <v>12237.4</v>
      </c>
      <c r="FC104" s="9">
        <v>12198.5</v>
      </c>
      <c r="FD104" s="9">
        <v>12272.6</v>
      </c>
      <c r="FE104" s="9">
        <v>12331.1</v>
      </c>
      <c r="FF104" s="9">
        <v>11310.5</v>
      </c>
      <c r="FG104" s="9">
        <v>12284.6</v>
      </c>
      <c r="FH104" s="9">
        <v>12200.7</v>
      </c>
      <c r="FI104" s="9">
        <v>12183.6</v>
      </c>
      <c r="FJ104" s="9">
        <v>12176.2</v>
      </c>
      <c r="FK104" s="9">
        <v>12136.4</v>
      </c>
      <c r="FL104" s="9">
        <v>12212.8</v>
      </c>
      <c r="FM104" s="9">
        <v>11117.6</v>
      </c>
      <c r="FN104" s="9">
        <v>12256.4</v>
      </c>
      <c r="FO104" s="9">
        <v>11228.1</v>
      </c>
      <c r="FP104" s="11">
        <v>33.09031887755102</v>
      </c>
      <c r="FQ104" s="11">
        <v>32.968112244897959</v>
      </c>
      <c r="FR104" s="11">
        <v>33.0691581632653</v>
      </c>
      <c r="FS104" s="11">
        <v>33.141466836734701</v>
      </c>
      <c r="FT104" s="11">
        <v>32.866734693877561</v>
      </c>
      <c r="FU104" s="11">
        <v>33.251721938775532</v>
      </c>
      <c r="FV104" s="11">
        <v>0</v>
      </c>
      <c r="FW104" s="11">
        <v>46.7</v>
      </c>
      <c r="FX104" s="11">
        <v>0</v>
      </c>
      <c r="FY104" s="11">
        <v>0</v>
      </c>
      <c r="FZ104" s="11">
        <v>46.9</v>
      </c>
      <c r="GA104" s="11">
        <v>47.6</v>
      </c>
      <c r="GB104" s="11">
        <v>1.0136096531122447</v>
      </c>
      <c r="GC104" s="11">
        <v>4.3658969056122459</v>
      </c>
      <c r="GD104" s="11">
        <v>3.893007919897963</v>
      </c>
      <c r="GE104" s="11">
        <v>5.6262221193877471</v>
      </c>
      <c r="GF104" s="11">
        <v>4.2942408724489871</v>
      </c>
      <c r="GG104" s="11">
        <v>4.3242005198979623</v>
      </c>
      <c r="GH104" s="11">
        <v>5.9183329999999996</v>
      </c>
      <c r="GI104" s="11">
        <v>7.5466660000000001</v>
      </c>
      <c r="GJ104" s="11">
        <v>7.2866669999999996</v>
      </c>
      <c r="GK104" s="11">
        <v>9.091666</v>
      </c>
      <c r="GL104" s="11">
        <v>7.3133330000000001</v>
      </c>
      <c r="GM104" s="11">
        <v>7.5283329999999999</v>
      </c>
      <c r="GN104" s="11">
        <v>6.4361576666666602</v>
      </c>
      <c r="GO104" s="11">
        <v>6.7593420000000028</v>
      </c>
      <c r="GP104" s="11">
        <v>6.9799635000000047</v>
      </c>
      <c r="GQ104" s="11">
        <v>6.6474591666666667</v>
      </c>
      <c r="GR104" s="11">
        <v>6.7682141666666569</v>
      </c>
      <c r="GS104" s="11">
        <v>6.9367678333333291</v>
      </c>
      <c r="GT104" s="108">
        <v>1.3143325000000012</v>
      </c>
      <c r="GU104" s="108">
        <v>1.2796476666666659</v>
      </c>
      <c r="GV104" s="108">
        <v>1.3091276666666682</v>
      </c>
      <c r="GW104" s="108">
        <v>1.5280620000000003</v>
      </c>
      <c r="GX104" s="108">
        <v>1.5627208333333367</v>
      </c>
      <c r="GY104" s="108">
        <v>1.2885173333333331</v>
      </c>
      <c r="GZ104" s="13">
        <v>6.3042038333333332</v>
      </c>
      <c r="HA104" s="13">
        <v>6.6081778333333325</v>
      </c>
      <c r="HB104" s="13">
        <v>6.68000483333332</v>
      </c>
      <c r="HC104" s="13">
        <v>0</v>
      </c>
      <c r="HD104" s="13">
        <v>0</v>
      </c>
      <c r="HE104" s="13">
        <v>6.7121913333333261</v>
      </c>
      <c r="HF104" s="13">
        <v>0.38145883333333314</v>
      </c>
      <c r="HG104" s="13">
        <v>0.48194150000000041</v>
      </c>
      <c r="HH104" s="13">
        <v>0.46481833333333344</v>
      </c>
      <c r="HI104" s="13">
        <v>0.40392549999999983</v>
      </c>
      <c r="HJ104" s="13">
        <v>0.45781983333333365</v>
      </c>
      <c r="HK104" s="13">
        <v>0.47304250000000025</v>
      </c>
      <c r="HL104" s="12">
        <v>0</v>
      </c>
      <c r="HM104" s="12">
        <v>0</v>
      </c>
      <c r="HN104" s="12">
        <v>0</v>
      </c>
      <c r="HO104" s="12">
        <v>0</v>
      </c>
      <c r="HP104" s="12">
        <v>0</v>
      </c>
      <c r="HQ104" s="12">
        <v>0</v>
      </c>
      <c r="HR104" s="12">
        <v>0</v>
      </c>
      <c r="HS104" s="12">
        <v>0</v>
      </c>
      <c r="HT104" s="12">
        <v>0</v>
      </c>
      <c r="HU104" s="12">
        <v>0</v>
      </c>
      <c r="HV104" s="12">
        <v>0</v>
      </c>
      <c r="HW104" s="12">
        <v>0</v>
      </c>
      <c r="HX104" s="9">
        <v>983919</v>
      </c>
      <c r="HY104" s="9">
        <v>1832</v>
      </c>
      <c r="HZ104" s="9">
        <v>970508</v>
      </c>
      <c r="IA104" s="9">
        <v>1851</v>
      </c>
      <c r="IB104" s="11">
        <v>259372.28700000001</v>
      </c>
      <c r="IC104" s="11">
        <v>592.93299999999999</v>
      </c>
      <c r="ID104" s="14">
        <f t="shared" ref="ID104:II104" si="1011">GN104-HL104</f>
        <v>6.4361576666666602</v>
      </c>
      <c r="IE104" s="14">
        <f t="shared" si="1011"/>
        <v>6.7593420000000028</v>
      </c>
      <c r="IF104" s="14">
        <f t="shared" si="1011"/>
        <v>6.9799635000000047</v>
      </c>
      <c r="IG104" s="14">
        <f t="shared" si="1011"/>
        <v>6.6474591666666667</v>
      </c>
      <c r="IH104" s="14">
        <f t="shared" si="1011"/>
        <v>6.7682141666666569</v>
      </c>
      <c r="II104" s="14">
        <f t="shared" si="1011"/>
        <v>6.9367678333333291</v>
      </c>
      <c r="IJ104" s="15">
        <f t="shared" ref="IJ104:IO104" si="1012">GZ104-HR104</f>
        <v>6.3042038333333332</v>
      </c>
      <c r="IK104" s="15">
        <f t="shared" si="1012"/>
        <v>6.6081778333333325</v>
      </c>
      <c r="IL104" s="15">
        <f t="shared" si="1012"/>
        <v>6.68000483333332</v>
      </c>
      <c r="IM104" s="15">
        <f t="shared" si="1012"/>
        <v>0</v>
      </c>
      <c r="IN104" s="15">
        <f t="shared" si="1012"/>
        <v>0</v>
      </c>
      <c r="IO104" s="15">
        <f t="shared" si="1012"/>
        <v>6.7121913333333261</v>
      </c>
      <c r="IP104" s="16">
        <f t="shared" ref="IP104" si="1013">(HX104-HX103)*1000</f>
        <v>894000</v>
      </c>
      <c r="IQ104" s="16">
        <f t="shared" ref="IQ104" si="1014">(HY104-HY103)*1000</f>
        <v>1000</v>
      </c>
      <c r="IR104" s="16">
        <f t="shared" ref="IR104" si="1015">(HZ104-HZ103)*1000</f>
        <v>888000</v>
      </c>
      <c r="IS104" s="16">
        <f t="shared" ref="IS104" si="1016">(IA104-IA103)*1000</f>
        <v>1000</v>
      </c>
      <c r="IT104" s="16">
        <f t="shared" ref="IT104" si="1017">(IB104-IB103)*1000</f>
        <v>1783934.0000000084</v>
      </c>
      <c r="IU104" s="16">
        <f t="shared" ref="IU104" si="1018">(IC104-IC103)*1000</f>
        <v>4200.0000000000455</v>
      </c>
      <c r="IV104" s="17">
        <f t="shared" ref="IV104" si="1019">(IP104+IR104)-(IQ104+IS104)</f>
        <v>1780000</v>
      </c>
      <c r="IW104" s="17">
        <f t="shared" ref="IW104" si="1020">IT104-IU104</f>
        <v>1779734.0000000084</v>
      </c>
      <c r="IX104" s="19">
        <f>(Raw_Data[[#This Row],[Sunset Time (POA&lt;20 W/m2)]]-Raw_Data[[#This Row],[Sunrise Time (POA&gt;20 W/m2)]])*24</f>
        <v>13.083333333333332</v>
      </c>
      <c r="IY104" s="68">
        <f>AVERAGEIF(Raw_Data[[#This Row],[GHI_UP_Net_IS2_W1]:[GHI_UP_Net_IS19_W6]],"&lt;&gt;"&amp;0,Raw_Data[[#This Row],[GHI_UP_Net_IS2_W1]:[GHI_UP_Net_IS19_W6]])</f>
        <v>6.7546507222222196</v>
      </c>
      <c r="IZ104" s="68">
        <f>AVERAGEIF(Raw_Data[[#This Row],[GHI_Down_IS2_W1]:[GHI_Down_IS19_W6]],"&lt;&gt;"&amp;0,Raw_Data[[#This Row],[GHI_Down_IS2_W1]:[GHI_Down_IS19_W6]])</f>
        <v>1.3804013333333343</v>
      </c>
      <c r="JA104" s="68">
        <f>AVERAGEIF(Raw_Data[[#This Row],[POA_Up_IS2_W1]:[POA_Up_IS19_W6]],"&lt;&gt;"&amp;0,Raw_Data[[#This Row],[POA_Up_IS2_W1]:[POA_Up_IS19_W6]])</f>
        <v>6.5761444583333279</v>
      </c>
      <c r="JB104" s="68">
        <f>AVERAGEIF(Raw_Data[[#This Row],[POA_Down_IS2_W1]:[POA_Down_IS19_W6]],"&lt;&gt;"&amp;0,Raw_Data[[#This Row],[POA_Down_IS2_W1]:[POA_Down_IS19_W6]])</f>
        <v>0.44383441666666679</v>
      </c>
      <c r="JC104" s="69">
        <f>Raw_Data[[#This Row],[GHI-Down(KWh/m2)]]/Raw_Data[[#This Row],[GHI-UP (KWh/m2)]]</f>
        <v>0.20436309590249169</v>
      </c>
      <c r="JD104" s="72">
        <f>Raw_Data[[#This Row],[POA-Down(KWh/m2)]]/Raw_Data[[#This Row],[POA-UP(KWh/m2)]]</f>
        <v>6.7491585605945328E-2</v>
      </c>
      <c r="JE104" s="68">
        <f>AVERAGEIF(Raw_Data[[#This Row],[Amb_Temp_IS2_W1]:[Amb_Temp_IS19_W6]],"&lt;&gt;"&amp;0,Raw_Data[[#This Row],[Amb_Temp_IS2_W1]:[Amb_Temp_IS19_W6]])</f>
        <v>33.064585459183682</v>
      </c>
      <c r="JF104" s="68">
        <f>AVERAGEIF(Raw_Data[[#This Row],[MT_Temp_IS2_W1]:[MT_Temp_IS19_W6]],"&lt;&gt;"&amp;0,Raw_Data[[#This Row],[MT_Temp_IS2_W1]:[MT_Temp_IS19_W6]])</f>
        <v>47.066666666666663</v>
      </c>
      <c r="JG104" s="68">
        <f>AVERAGEIF(Raw_Data[[#This Row],[WS_Avg_IS2_W1]:[WS_Avg_IS19_W6]],"&lt;&gt;"&amp;0,Raw_Data[[#This Row],[WS_Avg_IS2_W1]:[WS_Avg_IS19_W6]])</f>
        <v>3.9195296650595259</v>
      </c>
      <c r="JH104" s="68">
        <f>AVERAGEIF(Raw_Data[[#This Row],[WS_Max_IS2_W1]:[WS_Max_IS19_W6]],"&lt;&gt;"&amp;0,Raw_Data[[#This Row],[WS_Max_IS2_W1]:[WS_Max_IS19_W6]])</f>
        <v>7.4474996666666682</v>
      </c>
      <c r="JI104" s="70">
        <f>SUM(Raw_Data[[#This Row],[IS1_INV1_M1]:[IS20_INV4_M2]])</f>
        <v>1795306.5999999999</v>
      </c>
      <c r="JJ104" s="73">
        <v>1155201.0000000009</v>
      </c>
      <c r="JK104" s="71">
        <v>1405663.0011438071</v>
      </c>
      <c r="JL104" s="143">
        <f>IFERROR(Raw_Data[[#This Row],[WPR_Eac]]/Raw_Data[[#This Row],[WPR_Edc]],"")</f>
        <v>0.82181931164155153</v>
      </c>
      <c r="JM104" s="6">
        <v>24</v>
      </c>
      <c r="JN104" s="6" t="s">
        <v>2635</v>
      </c>
    </row>
    <row r="105" spans="2:274">
      <c r="B105" s="250">
        <f t="shared" si="596"/>
        <v>45844</v>
      </c>
      <c r="C105" s="9">
        <f>YEAR(Raw_Data[[#This Row],[Date]])+IF(MONTH(Raw_Data[[#This Row],[Date]])&gt;=4,1,0)</f>
        <v>2026</v>
      </c>
      <c r="D105" s="6">
        <f t="shared" si="969"/>
        <v>2025</v>
      </c>
      <c r="E105" s="7" t="s">
        <v>361</v>
      </c>
      <c r="F105" s="7" t="s">
        <v>361</v>
      </c>
      <c r="G105" s="8">
        <v>45839</v>
      </c>
      <c r="H105" s="6">
        <f t="shared" si="970"/>
        <v>31</v>
      </c>
      <c r="I105" s="9">
        <v>335090.89</v>
      </c>
      <c r="J105" s="10">
        <v>0.27916666666666667</v>
      </c>
      <c r="K105" s="10">
        <v>0.81041666666666667</v>
      </c>
      <c r="L105" s="9">
        <v>10765.2</v>
      </c>
      <c r="M105" s="9">
        <v>11158.5</v>
      </c>
      <c r="N105" s="9">
        <v>11063.7</v>
      </c>
      <c r="O105" s="9">
        <v>11033.2</v>
      </c>
      <c r="P105" s="9">
        <v>11126.4</v>
      </c>
      <c r="Q105" s="9">
        <v>11123.7</v>
      </c>
      <c r="R105" s="9">
        <v>11215.5</v>
      </c>
      <c r="S105" s="9">
        <v>11380.6</v>
      </c>
      <c r="T105" s="9">
        <v>11175.5</v>
      </c>
      <c r="U105" s="9">
        <v>11259.5</v>
      </c>
      <c r="V105" s="9">
        <v>11784.6</v>
      </c>
      <c r="W105" s="9">
        <v>11133.2</v>
      </c>
      <c r="X105" s="9">
        <v>11749.3</v>
      </c>
      <c r="Y105" s="9">
        <v>11028.9</v>
      </c>
      <c r="Z105" s="9">
        <v>11060.4</v>
      </c>
      <c r="AA105" s="9">
        <v>11080.4</v>
      </c>
      <c r="AB105" s="9">
        <v>11004.9</v>
      </c>
      <c r="AC105" s="9">
        <v>10963.4</v>
      </c>
      <c r="AD105" s="9">
        <v>10992.3</v>
      </c>
      <c r="AE105" s="9">
        <v>11079</v>
      </c>
      <c r="AF105" s="9">
        <v>11011.6</v>
      </c>
      <c r="AG105" s="9">
        <v>10977.2</v>
      </c>
      <c r="AH105" s="9">
        <v>10824</v>
      </c>
      <c r="AI105" s="9">
        <v>10898.3</v>
      </c>
      <c r="AJ105" s="9">
        <v>10787.4</v>
      </c>
      <c r="AK105" s="9">
        <v>9862.4</v>
      </c>
      <c r="AL105" s="9">
        <v>10814.3</v>
      </c>
      <c r="AM105" s="9">
        <v>10775.7</v>
      </c>
      <c r="AN105" s="9">
        <v>11001.4</v>
      </c>
      <c r="AO105" s="9">
        <v>10951.8</v>
      </c>
      <c r="AP105" s="9">
        <v>10805.6</v>
      </c>
      <c r="AQ105" s="9">
        <v>10957.2</v>
      </c>
      <c r="AR105" s="9">
        <v>11635.8</v>
      </c>
      <c r="AS105" s="9">
        <v>11637.6</v>
      </c>
      <c r="AT105" s="9">
        <v>11811.6</v>
      </c>
      <c r="AU105" s="9">
        <v>11648.2</v>
      </c>
      <c r="AV105" s="9">
        <v>11010.6</v>
      </c>
      <c r="AW105" s="9">
        <v>10856.4</v>
      </c>
      <c r="AX105" s="9">
        <v>10896.7</v>
      </c>
      <c r="AY105" s="9">
        <v>10829.5</v>
      </c>
      <c r="AZ105" s="9">
        <v>11541.4</v>
      </c>
      <c r="BA105" s="9">
        <v>11522.8</v>
      </c>
      <c r="BB105" s="9">
        <v>11453</v>
      </c>
      <c r="BC105" s="9">
        <v>11467.7</v>
      </c>
      <c r="BD105" s="9">
        <v>11731.7</v>
      </c>
      <c r="BE105" s="9">
        <v>11975.1</v>
      </c>
      <c r="BF105" s="9">
        <v>11540.3</v>
      </c>
      <c r="BG105" s="9">
        <v>11572.2</v>
      </c>
      <c r="BH105" s="9">
        <v>11040.9</v>
      </c>
      <c r="BI105" s="9">
        <v>11272.4</v>
      </c>
      <c r="BJ105" s="9">
        <v>11127.2</v>
      </c>
      <c r="BK105" s="9">
        <v>10722.5</v>
      </c>
      <c r="BL105" s="9">
        <v>11345.2</v>
      </c>
      <c r="BM105" s="9">
        <v>11301.9</v>
      </c>
      <c r="BN105" s="9">
        <v>11385.7</v>
      </c>
      <c r="BO105" s="9">
        <v>11324.8</v>
      </c>
      <c r="BP105" s="9">
        <v>10413.299999999999</v>
      </c>
      <c r="BQ105" s="9">
        <v>11531.8</v>
      </c>
      <c r="BR105" s="9">
        <v>10459.6</v>
      </c>
      <c r="BS105" s="9">
        <v>11449.1</v>
      </c>
      <c r="BT105" s="9">
        <v>11365.3</v>
      </c>
      <c r="BU105" s="9">
        <v>10456.799999999999</v>
      </c>
      <c r="BV105" s="9">
        <v>11277.4</v>
      </c>
      <c r="BW105" s="9">
        <v>10923.1</v>
      </c>
      <c r="BX105" s="9">
        <v>10922.2</v>
      </c>
      <c r="BY105" s="9">
        <v>10507.2</v>
      </c>
      <c r="BZ105" s="9">
        <v>10893.9</v>
      </c>
      <c r="CA105" s="9">
        <v>11263.2</v>
      </c>
      <c r="CB105" s="9">
        <v>11454.2</v>
      </c>
      <c r="CC105" s="9">
        <v>10645.1</v>
      </c>
      <c r="CD105" s="9">
        <v>11319.8</v>
      </c>
      <c r="CE105" s="9">
        <v>10243.5</v>
      </c>
      <c r="CF105" s="9">
        <v>11152.3</v>
      </c>
      <c r="CG105" s="9">
        <v>10927.6</v>
      </c>
      <c r="CH105" s="9">
        <v>10567.9</v>
      </c>
      <c r="CI105" s="9">
        <v>11329.5</v>
      </c>
      <c r="CJ105" s="9">
        <v>10363.200000000001</v>
      </c>
      <c r="CK105" s="9">
        <v>11574.5</v>
      </c>
      <c r="CL105" s="9">
        <v>10512.6</v>
      </c>
      <c r="CM105" s="9">
        <v>11333.9</v>
      </c>
      <c r="CN105" s="9">
        <v>10658.3</v>
      </c>
      <c r="CO105" s="9">
        <v>11216.1</v>
      </c>
      <c r="CP105" s="9">
        <v>10741.9</v>
      </c>
      <c r="CQ105" s="9">
        <v>11458.9</v>
      </c>
      <c r="CR105" s="9">
        <v>10679.2</v>
      </c>
      <c r="CS105" s="9">
        <v>11171.5</v>
      </c>
      <c r="CT105" s="9">
        <v>10685.2</v>
      </c>
      <c r="CU105" s="9">
        <v>9601.2000000000007</v>
      </c>
      <c r="CV105" s="9">
        <v>10296.799999999999</v>
      </c>
      <c r="CW105" s="9">
        <v>10021.4</v>
      </c>
      <c r="CX105" s="9">
        <v>9393.7000000000007</v>
      </c>
      <c r="CY105" s="9">
        <v>10438.6</v>
      </c>
      <c r="CZ105" s="9">
        <v>10162.200000000001</v>
      </c>
      <c r="DA105" s="9">
        <v>9601.1</v>
      </c>
      <c r="DB105" s="9">
        <v>9454.6</v>
      </c>
      <c r="DC105" s="9">
        <v>10230.1</v>
      </c>
      <c r="DD105" s="9">
        <v>10504.5</v>
      </c>
      <c r="DE105" s="9">
        <v>10742.2</v>
      </c>
      <c r="DF105" s="9">
        <v>11429.5</v>
      </c>
      <c r="DG105" s="9">
        <v>10400.799999999999</v>
      </c>
      <c r="DH105" s="9">
        <v>11272.6</v>
      </c>
      <c r="DI105" s="9">
        <v>10385.4</v>
      </c>
      <c r="DJ105" s="9">
        <v>11193.2</v>
      </c>
      <c r="DK105" s="9">
        <v>10565.9</v>
      </c>
      <c r="DL105" s="9">
        <v>11259.1</v>
      </c>
      <c r="DM105" s="9">
        <v>10143.700000000001</v>
      </c>
      <c r="DN105" s="9">
        <v>11290.1</v>
      </c>
      <c r="DO105" s="9">
        <v>10486.2</v>
      </c>
      <c r="DP105" s="9">
        <v>11170.2</v>
      </c>
      <c r="DQ105" s="9">
        <v>10465</v>
      </c>
      <c r="DR105" s="9">
        <v>11276.7</v>
      </c>
      <c r="DS105" s="9">
        <v>10421.1</v>
      </c>
      <c r="DT105" s="9">
        <v>10446</v>
      </c>
      <c r="DU105" s="9">
        <v>11220.6</v>
      </c>
      <c r="DV105" s="9">
        <v>10490.6</v>
      </c>
      <c r="DW105" s="9">
        <v>10360.4</v>
      </c>
      <c r="DX105" s="9">
        <v>11243.8</v>
      </c>
      <c r="DY105" s="9">
        <v>11175.4</v>
      </c>
      <c r="DZ105" s="9">
        <v>11139.7</v>
      </c>
      <c r="EA105" s="9">
        <v>10439.799999999999</v>
      </c>
      <c r="EB105" s="9">
        <v>11272.6</v>
      </c>
      <c r="EC105" s="9">
        <v>10442.299999999999</v>
      </c>
      <c r="ED105" s="9">
        <v>11088.1</v>
      </c>
      <c r="EE105" s="9">
        <v>10349.9</v>
      </c>
      <c r="EF105" s="9">
        <v>11045.7</v>
      </c>
      <c r="EG105" s="9">
        <v>9920.7999999999993</v>
      </c>
      <c r="EH105" s="9">
        <v>11123.4</v>
      </c>
      <c r="EI105" s="9">
        <v>10505.3</v>
      </c>
      <c r="EJ105" s="9">
        <v>10442.200000000001</v>
      </c>
      <c r="EK105" s="9">
        <v>10695.6</v>
      </c>
      <c r="EL105" s="9">
        <v>10580.3</v>
      </c>
      <c r="EM105" s="9">
        <v>9377.1</v>
      </c>
      <c r="EN105" s="9">
        <v>10547.2</v>
      </c>
      <c r="EO105" s="9">
        <v>9618</v>
      </c>
      <c r="EP105" s="9">
        <v>10581.9</v>
      </c>
      <c r="EQ105" s="9">
        <v>10617.1</v>
      </c>
      <c r="ER105" s="9">
        <v>11764.9</v>
      </c>
      <c r="ES105" s="9">
        <v>10666</v>
      </c>
      <c r="ET105" s="9">
        <v>11818.7</v>
      </c>
      <c r="EU105" s="9">
        <v>10841.7</v>
      </c>
      <c r="EV105" s="9">
        <v>11770.1</v>
      </c>
      <c r="EW105" s="9">
        <v>10747.9</v>
      </c>
      <c r="EX105" s="9">
        <v>10889.2</v>
      </c>
      <c r="EY105" s="9">
        <v>10730.7</v>
      </c>
      <c r="EZ105" s="9">
        <v>11437.8</v>
      </c>
      <c r="FA105" s="9">
        <v>11739.7</v>
      </c>
      <c r="FB105" s="9">
        <v>11512.2</v>
      </c>
      <c r="FC105" s="9">
        <v>11650</v>
      </c>
      <c r="FD105" s="9">
        <v>11702.5</v>
      </c>
      <c r="FE105" s="9">
        <v>11710</v>
      </c>
      <c r="FF105" s="9">
        <v>10901.4</v>
      </c>
      <c r="FG105" s="9">
        <v>11723.2</v>
      </c>
      <c r="FH105" s="9">
        <v>11576.1</v>
      </c>
      <c r="FI105" s="9">
        <v>11651.6</v>
      </c>
      <c r="FJ105" s="9">
        <v>11660.4</v>
      </c>
      <c r="FK105" s="9">
        <v>11525.2</v>
      </c>
      <c r="FL105" s="9">
        <v>11684.8</v>
      </c>
      <c r="FM105" s="9">
        <v>10813.7</v>
      </c>
      <c r="FN105" s="9">
        <v>11708.4</v>
      </c>
      <c r="FO105" s="9">
        <v>10820.4</v>
      </c>
      <c r="FP105" s="11">
        <v>33.36273560209424</v>
      </c>
      <c r="FQ105" s="11">
        <v>33.18626963350787</v>
      </c>
      <c r="FR105" s="11">
        <v>33.310471204188502</v>
      </c>
      <c r="FS105" s="11">
        <v>33.340785340314135</v>
      </c>
      <c r="FT105" s="11">
        <v>33.077225130890035</v>
      </c>
      <c r="FU105" s="11">
        <v>33.515562827225089</v>
      </c>
      <c r="FV105" s="11">
        <v>0</v>
      </c>
      <c r="FW105" s="11">
        <v>47</v>
      </c>
      <c r="FX105" s="11">
        <v>0</v>
      </c>
      <c r="FY105" s="11">
        <v>0</v>
      </c>
      <c r="FZ105" s="11">
        <v>47.458751034031415</v>
      </c>
      <c r="GA105" s="11">
        <v>47.9</v>
      </c>
      <c r="GB105" s="11">
        <v>1.1506936796465963</v>
      </c>
      <c r="GC105" s="11">
        <v>4.5960534790575949</v>
      </c>
      <c r="GD105" s="11">
        <v>3.9342973952879641</v>
      </c>
      <c r="GE105" s="11">
        <v>5.5458832897251336</v>
      </c>
      <c r="GF105" s="11">
        <v>4.4505735392670145</v>
      </c>
      <c r="GG105" s="11">
        <v>4.5464919620418893</v>
      </c>
      <c r="GH105" s="11">
        <v>6.7183330000000003</v>
      </c>
      <c r="GI105" s="11">
        <v>8.1049989999999994</v>
      </c>
      <c r="GJ105" s="11">
        <v>7.4466659999999996</v>
      </c>
      <c r="GK105" s="11">
        <v>10.27833</v>
      </c>
      <c r="GL105" s="11">
        <v>7.773333</v>
      </c>
      <c r="GM105" s="11">
        <v>8.1416660000000007</v>
      </c>
      <c r="GN105" s="11">
        <v>6.755743333333335</v>
      </c>
      <c r="GO105" s="11">
        <v>6.7163713333333339</v>
      </c>
      <c r="GP105" s="11">
        <v>6.791947333333324</v>
      </c>
      <c r="GQ105" s="11">
        <v>6.7417979999999949</v>
      </c>
      <c r="GR105" s="11">
        <v>6.7248518333333349</v>
      </c>
      <c r="GS105" s="11">
        <v>6.8162776666666733</v>
      </c>
      <c r="GT105" s="108">
        <v>1.415637666666665</v>
      </c>
      <c r="GU105" s="108">
        <v>1.3480776666666683</v>
      </c>
      <c r="GV105" s="108">
        <v>1.3075416666666668</v>
      </c>
      <c r="GW105" s="108">
        <v>1.5906731666666676</v>
      </c>
      <c r="GX105" s="108">
        <v>1.6011958333333343</v>
      </c>
      <c r="GY105" s="108">
        <v>1.2907791666666661</v>
      </c>
      <c r="GZ105" s="13">
        <v>6.6518406666666605</v>
      </c>
      <c r="HA105" s="13">
        <v>6.6007498333333228</v>
      </c>
      <c r="HB105" s="13">
        <v>6.5258651666666756</v>
      </c>
      <c r="HC105" s="13">
        <v>0</v>
      </c>
      <c r="HD105" s="13">
        <v>0</v>
      </c>
      <c r="HE105" s="13">
        <v>6.6237698333333324</v>
      </c>
      <c r="HF105" s="13">
        <v>0.42101999999999995</v>
      </c>
      <c r="HG105" s="13">
        <v>0.50515616666666674</v>
      </c>
      <c r="HH105" s="13">
        <v>0.48373283333333361</v>
      </c>
      <c r="HI105" s="13">
        <v>0.43326750000000025</v>
      </c>
      <c r="HJ105" s="13">
        <v>0.48279633333333344</v>
      </c>
      <c r="HK105" s="13">
        <v>0.48775066666666667</v>
      </c>
      <c r="HL105" s="12">
        <v>0</v>
      </c>
      <c r="HM105" s="12">
        <v>0</v>
      </c>
      <c r="HN105" s="12">
        <v>0</v>
      </c>
      <c r="HO105" s="12">
        <v>0</v>
      </c>
      <c r="HP105" s="12">
        <v>0</v>
      </c>
      <c r="HQ105" s="12">
        <v>0</v>
      </c>
      <c r="HR105" s="12">
        <v>0</v>
      </c>
      <c r="HS105" s="12">
        <v>0</v>
      </c>
      <c r="HT105" s="12">
        <v>0</v>
      </c>
      <c r="HU105" s="12">
        <v>0</v>
      </c>
      <c r="HV105" s="12">
        <v>0</v>
      </c>
      <c r="HW105" s="12">
        <v>0</v>
      </c>
      <c r="HX105" s="9">
        <v>984797</v>
      </c>
      <c r="HY105" s="9">
        <v>1834</v>
      </c>
      <c r="HZ105" s="9">
        <v>971373</v>
      </c>
      <c r="IA105" s="9">
        <v>1853</v>
      </c>
      <c r="IB105" s="11">
        <v>261117.22</v>
      </c>
      <c r="IC105" s="11">
        <v>597.66700000000003</v>
      </c>
      <c r="ID105" s="14">
        <f t="shared" ref="ID105:II105" si="1021">GN105-HL105</f>
        <v>6.755743333333335</v>
      </c>
      <c r="IE105" s="14">
        <f t="shared" si="1021"/>
        <v>6.7163713333333339</v>
      </c>
      <c r="IF105" s="14">
        <f t="shared" si="1021"/>
        <v>6.791947333333324</v>
      </c>
      <c r="IG105" s="14">
        <f t="shared" si="1021"/>
        <v>6.7417979999999949</v>
      </c>
      <c r="IH105" s="14">
        <f t="shared" si="1021"/>
        <v>6.7248518333333349</v>
      </c>
      <c r="II105" s="14">
        <f t="shared" si="1021"/>
        <v>6.8162776666666733</v>
      </c>
      <c r="IJ105" s="15">
        <f t="shared" ref="IJ105:IO105" si="1022">GZ105-HR105</f>
        <v>6.6518406666666605</v>
      </c>
      <c r="IK105" s="15">
        <f t="shared" si="1022"/>
        <v>6.6007498333333228</v>
      </c>
      <c r="IL105" s="15">
        <f t="shared" si="1022"/>
        <v>6.5258651666666756</v>
      </c>
      <c r="IM105" s="15">
        <f t="shared" si="1022"/>
        <v>0</v>
      </c>
      <c r="IN105" s="15">
        <f t="shared" si="1022"/>
        <v>0</v>
      </c>
      <c r="IO105" s="15">
        <f t="shared" si="1022"/>
        <v>6.6237698333333324</v>
      </c>
      <c r="IP105" s="16">
        <f t="shared" ref="IP105" si="1023">(HX105-HX104)*1000</f>
        <v>878000</v>
      </c>
      <c r="IQ105" s="16">
        <f t="shared" ref="IQ105" si="1024">(HY105-HY104)*1000</f>
        <v>2000</v>
      </c>
      <c r="IR105" s="16">
        <f t="shared" ref="IR105" si="1025">(HZ105-HZ104)*1000</f>
        <v>865000</v>
      </c>
      <c r="IS105" s="16">
        <f t="shared" ref="IS105" si="1026">(IA105-IA104)*1000</f>
        <v>2000</v>
      </c>
      <c r="IT105" s="16">
        <f t="shared" ref="IT105" si="1027">(IB105-IB104)*1000</f>
        <v>1744932.99999999</v>
      </c>
      <c r="IU105" s="16">
        <f t="shared" ref="IU105" si="1028">(IC105-IC104)*1000</f>
        <v>4734.0000000000373</v>
      </c>
      <c r="IV105" s="17">
        <f t="shared" ref="IV105" si="1029">(IP105+IR105)-(IQ105+IS105)</f>
        <v>1739000</v>
      </c>
      <c r="IW105" s="17">
        <f t="shared" ref="IW105" si="1030">IT105-IU105</f>
        <v>1740198.99999999</v>
      </c>
      <c r="IX105" s="19">
        <f>(Raw_Data[[#This Row],[Sunset Time (POA&lt;20 W/m2)]]-Raw_Data[[#This Row],[Sunrise Time (POA&gt;20 W/m2)]])*24</f>
        <v>12.75</v>
      </c>
      <c r="IY105" s="68">
        <f>AVERAGEIF(Raw_Data[[#This Row],[GHI_UP_Net_IS2_W1]:[GHI_UP_Net_IS19_W6]],"&lt;&gt;"&amp;0,Raw_Data[[#This Row],[GHI_UP_Net_IS2_W1]:[GHI_UP_Net_IS19_W6]])</f>
        <v>6.7578315833333322</v>
      </c>
      <c r="IZ105" s="68">
        <f>AVERAGEIF(Raw_Data[[#This Row],[GHI_Down_IS2_W1]:[GHI_Down_IS19_W6]],"&lt;&gt;"&amp;0,Raw_Data[[#This Row],[GHI_Down_IS2_W1]:[GHI_Down_IS19_W6]])</f>
        <v>1.4256508611111114</v>
      </c>
      <c r="JA105" s="68">
        <f>AVERAGEIF(Raw_Data[[#This Row],[POA_Up_IS2_W1]:[POA_Up_IS19_W6]],"&lt;&gt;"&amp;0,Raw_Data[[#This Row],[POA_Up_IS2_W1]:[POA_Up_IS19_W6]])</f>
        <v>6.6005563749999983</v>
      </c>
      <c r="JB105" s="68">
        <f>AVERAGEIF(Raw_Data[[#This Row],[POA_Down_IS2_W1]:[POA_Down_IS19_W6]],"&lt;&gt;"&amp;0,Raw_Data[[#This Row],[POA_Down_IS2_W1]:[POA_Down_IS19_W6]])</f>
        <v>0.4689539166666668</v>
      </c>
      <c r="JC105" s="69">
        <f>Raw_Data[[#This Row],[GHI-Down(KWh/m2)]]/Raw_Data[[#This Row],[GHI-UP (KWh/m2)]]</f>
        <v>0.21096276868265817</v>
      </c>
      <c r="JD105" s="72">
        <f>Raw_Data[[#This Row],[POA-Down(KWh/m2)]]/Raw_Data[[#This Row],[POA-UP(KWh/m2)]]</f>
        <v>7.1047634475611451E-2</v>
      </c>
      <c r="JE105" s="68">
        <f>AVERAGEIF(Raw_Data[[#This Row],[Amb_Temp_IS2_W1]:[Amb_Temp_IS19_W6]],"&lt;&gt;"&amp;0,Raw_Data[[#This Row],[Amb_Temp_IS2_W1]:[Amb_Temp_IS19_W6]])</f>
        <v>33.298841623036644</v>
      </c>
      <c r="JF105" s="68">
        <f>AVERAGEIF(Raw_Data[[#This Row],[MT_Temp_IS2_W1]:[MT_Temp_IS19_W6]],"&lt;&gt;"&amp;0,Raw_Data[[#This Row],[MT_Temp_IS2_W1]:[MT_Temp_IS19_W6]])</f>
        <v>47.452917011343807</v>
      </c>
      <c r="JG105" s="68">
        <f>AVERAGEIF(Raw_Data[[#This Row],[WS_Avg_IS2_W1]:[WS_Avg_IS19_W6]],"&lt;&gt;"&amp;0,Raw_Data[[#This Row],[WS_Avg_IS2_W1]:[WS_Avg_IS19_W6]])</f>
        <v>4.0373322241710321</v>
      </c>
      <c r="JH105" s="68">
        <f>AVERAGEIF(Raw_Data[[#This Row],[WS_Max_IS2_W1]:[WS_Max_IS19_W6]],"&lt;&gt;"&amp;0,Raw_Data[[#This Row],[WS_Max_IS2_W1]:[WS_Max_IS19_W6]])</f>
        <v>8.077221166666666</v>
      </c>
      <c r="JI105" s="70">
        <f>SUM(Raw_Data[[#This Row],[IS1_INV1_M1]:[IS20_INV4_M2]])</f>
        <v>1754970.6999999995</v>
      </c>
      <c r="JJ105" s="73">
        <v>1856046.9999999925</v>
      </c>
      <c r="JK105" s="71">
        <v>2182498.2456721473</v>
      </c>
      <c r="JL105" s="143">
        <f>IFERROR(Raw_Data[[#This Row],[WPR_Eac]]/Raw_Data[[#This Row],[WPR_Edc]],"")</f>
        <v>0.8504231349007948</v>
      </c>
      <c r="JM105" s="6">
        <v>27</v>
      </c>
      <c r="JN105" s="6" t="s">
        <v>2635</v>
      </c>
    </row>
    <row r="106" spans="2:274">
      <c r="B106" s="250">
        <f t="shared" si="596"/>
        <v>45845</v>
      </c>
      <c r="C106" s="9">
        <f>YEAR(Raw_Data[[#This Row],[Date]])+IF(MONTH(Raw_Data[[#This Row],[Date]])&gt;=4,1,0)</f>
        <v>2026</v>
      </c>
      <c r="D106" s="6">
        <f t="shared" ref="D106:D111" si="1031">YEAR(B106)</f>
        <v>2025</v>
      </c>
      <c r="E106" s="7" t="s">
        <v>361</v>
      </c>
      <c r="F106" s="7" t="s">
        <v>361</v>
      </c>
      <c r="G106" s="8">
        <v>45839</v>
      </c>
      <c r="H106" s="6">
        <f t="shared" ref="H106:H111" si="1032">DAY(EOMONTH(B106,0))</f>
        <v>31</v>
      </c>
      <c r="I106" s="9">
        <v>335090.89</v>
      </c>
      <c r="J106" s="10">
        <v>0.27916666666666667</v>
      </c>
      <c r="K106" s="10">
        <v>0.80625000000000002</v>
      </c>
      <c r="L106" s="9">
        <v>9000.7000000000007</v>
      </c>
      <c r="M106" s="9">
        <v>9538.7000000000007</v>
      </c>
      <c r="N106" s="9">
        <v>9544.1</v>
      </c>
      <c r="O106" s="9">
        <v>9416.4</v>
      </c>
      <c r="P106" s="9">
        <v>9659.1</v>
      </c>
      <c r="Q106" s="9">
        <v>9628.7000000000007</v>
      </c>
      <c r="R106" s="9">
        <v>9620.6</v>
      </c>
      <c r="S106" s="9">
        <v>9838.7999999999993</v>
      </c>
      <c r="T106" s="9">
        <v>9496.7999999999993</v>
      </c>
      <c r="U106" s="9">
        <v>9500.7000000000007</v>
      </c>
      <c r="V106" s="9">
        <v>10241.5</v>
      </c>
      <c r="W106" s="9">
        <v>9463.9</v>
      </c>
      <c r="X106" s="9">
        <v>10187.4</v>
      </c>
      <c r="Y106" s="9">
        <v>9447.2000000000007</v>
      </c>
      <c r="Z106" s="9">
        <v>9509.1</v>
      </c>
      <c r="AA106" s="9">
        <v>9508.1</v>
      </c>
      <c r="AB106" s="9">
        <v>9483.9</v>
      </c>
      <c r="AC106" s="9">
        <v>9337</v>
      </c>
      <c r="AD106" s="9">
        <v>9462.7999999999993</v>
      </c>
      <c r="AE106" s="9">
        <v>9542.4</v>
      </c>
      <c r="AF106" s="9">
        <v>9568.5</v>
      </c>
      <c r="AG106" s="9">
        <v>9458.5</v>
      </c>
      <c r="AH106" s="9">
        <v>9410.4</v>
      </c>
      <c r="AI106" s="9">
        <v>9490.7999999999993</v>
      </c>
      <c r="AJ106" s="9">
        <v>9329.2999999999993</v>
      </c>
      <c r="AK106" s="9">
        <v>8245.1</v>
      </c>
      <c r="AL106" s="9">
        <v>9181.2999999999993</v>
      </c>
      <c r="AM106" s="9">
        <v>9239</v>
      </c>
      <c r="AN106" s="9">
        <v>9573.2000000000007</v>
      </c>
      <c r="AO106" s="9">
        <v>9460.2999999999993</v>
      </c>
      <c r="AP106" s="9">
        <v>9279.1</v>
      </c>
      <c r="AQ106" s="9">
        <v>9478.7999999999993</v>
      </c>
      <c r="AR106" s="9">
        <v>9356.1</v>
      </c>
      <c r="AS106" s="9">
        <v>9346.2000000000007</v>
      </c>
      <c r="AT106" s="9">
        <v>9582.2000000000007</v>
      </c>
      <c r="AU106" s="9">
        <v>9426.7000000000007</v>
      </c>
      <c r="AV106" s="9">
        <v>9468.4</v>
      </c>
      <c r="AW106" s="9">
        <v>9316.6</v>
      </c>
      <c r="AX106" s="9">
        <v>9385.9</v>
      </c>
      <c r="AY106" s="9">
        <v>9314</v>
      </c>
      <c r="AZ106" s="9">
        <v>10099.6</v>
      </c>
      <c r="BA106" s="9">
        <v>10136</v>
      </c>
      <c r="BB106" s="9">
        <v>10067.4</v>
      </c>
      <c r="BC106" s="9">
        <v>10120.799999999999</v>
      </c>
      <c r="BD106" s="9">
        <v>10369.4</v>
      </c>
      <c r="BE106" s="9">
        <v>10544.6</v>
      </c>
      <c r="BF106" s="9">
        <v>10139.6</v>
      </c>
      <c r="BG106" s="9">
        <v>10184.9</v>
      </c>
      <c r="BH106" s="9">
        <v>9412.2999999999993</v>
      </c>
      <c r="BI106" s="9">
        <v>9665.5</v>
      </c>
      <c r="BJ106" s="9">
        <v>9428.2999999999993</v>
      </c>
      <c r="BK106" s="9">
        <v>8996.2999999999993</v>
      </c>
      <c r="BL106" s="9">
        <v>9664.7999999999993</v>
      </c>
      <c r="BM106" s="9">
        <v>9656.5</v>
      </c>
      <c r="BN106" s="9">
        <v>9662.2000000000007</v>
      </c>
      <c r="BO106" s="9">
        <v>9605.7999999999993</v>
      </c>
      <c r="BP106" s="9">
        <v>8676</v>
      </c>
      <c r="BQ106" s="9">
        <v>9830.4</v>
      </c>
      <c r="BR106" s="9">
        <v>8791.1</v>
      </c>
      <c r="BS106" s="9">
        <v>9796.6</v>
      </c>
      <c r="BT106" s="9">
        <v>9660.2999999999993</v>
      </c>
      <c r="BU106" s="9">
        <v>8760.2000000000007</v>
      </c>
      <c r="BV106" s="9">
        <v>9528.4</v>
      </c>
      <c r="BW106" s="9">
        <v>9183.1</v>
      </c>
      <c r="BX106" s="9">
        <v>9121</v>
      </c>
      <c r="BY106" s="9">
        <v>8606.1</v>
      </c>
      <c r="BZ106" s="9">
        <v>9100.7000000000007</v>
      </c>
      <c r="CA106" s="9">
        <v>9369.2999999999993</v>
      </c>
      <c r="CB106" s="9">
        <v>9714.6</v>
      </c>
      <c r="CC106" s="9">
        <v>8787.9</v>
      </c>
      <c r="CD106" s="9">
        <v>9552.7999999999993</v>
      </c>
      <c r="CE106" s="9">
        <v>8473.2999999999993</v>
      </c>
      <c r="CF106" s="9">
        <v>9386.1</v>
      </c>
      <c r="CG106" s="9">
        <v>9173</v>
      </c>
      <c r="CH106" s="9">
        <v>8732.4</v>
      </c>
      <c r="CI106" s="9">
        <v>9596.2000000000007</v>
      </c>
      <c r="CJ106" s="9">
        <v>8582.2999999999993</v>
      </c>
      <c r="CK106" s="9">
        <v>9862.7999999999993</v>
      </c>
      <c r="CL106" s="9">
        <v>8761.2000000000007</v>
      </c>
      <c r="CM106" s="9">
        <v>9682.7000000000007</v>
      </c>
      <c r="CN106" s="9">
        <v>8763.9</v>
      </c>
      <c r="CO106" s="9">
        <v>9403.7000000000007</v>
      </c>
      <c r="CP106" s="9">
        <v>8805</v>
      </c>
      <c r="CQ106" s="9">
        <v>9580.4</v>
      </c>
      <c r="CR106" s="9">
        <v>8690.7000000000007</v>
      </c>
      <c r="CS106" s="9">
        <v>9186.7000000000007</v>
      </c>
      <c r="CT106" s="9">
        <v>8754.6</v>
      </c>
      <c r="CU106" s="9">
        <v>7657.8</v>
      </c>
      <c r="CV106" s="9">
        <v>9528.2999999999993</v>
      </c>
      <c r="CW106" s="9">
        <v>9131.7999999999993</v>
      </c>
      <c r="CX106" s="9">
        <v>8462.2000000000007</v>
      </c>
      <c r="CY106" s="9">
        <v>9735.6</v>
      </c>
      <c r="CZ106" s="9">
        <v>9525.9</v>
      </c>
      <c r="DA106" s="9">
        <v>8943.1</v>
      </c>
      <c r="DB106" s="9">
        <v>8828.7000000000007</v>
      </c>
      <c r="DC106" s="9">
        <v>9611.4</v>
      </c>
      <c r="DD106" s="9">
        <v>7876.2</v>
      </c>
      <c r="DE106" s="9">
        <v>8097.2</v>
      </c>
      <c r="DF106" s="9">
        <v>8752.2999999999993</v>
      </c>
      <c r="DG106" s="9">
        <v>7705.1</v>
      </c>
      <c r="DH106" s="9">
        <v>8609.6</v>
      </c>
      <c r="DI106" s="9">
        <v>7691.7</v>
      </c>
      <c r="DJ106" s="9">
        <v>8458.2000000000007</v>
      </c>
      <c r="DK106" s="9">
        <v>7838.2</v>
      </c>
      <c r="DL106" s="9">
        <v>9512.2999999999993</v>
      </c>
      <c r="DM106" s="9">
        <v>8331.9</v>
      </c>
      <c r="DN106" s="9">
        <v>9549.2000000000007</v>
      </c>
      <c r="DO106" s="9">
        <v>8640.2999999999993</v>
      </c>
      <c r="DP106" s="9">
        <v>9426.1</v>
      </c>
      <c r="DQ106" s="9">
        <v>8669.5</v>
      </c>
      <c r="DR106" s="9">
        <v>9545.2999999999993</v>
      </c>
      <c r="DS106" s="9">
        <v>8745.4</v>
      </c>
      <c r="DT106" s="9">
        <v>8575.7000000000007</v>
      </c>
      <c r="DU106" s="9">
        <v>9324</v>
      </c>
      <c r="DV106" s="9">
        <v>8628.5</v>
      </c>
      <c r="DW106" s="9">
        <v>8450.1</v>
      </c>
      <c r="DX106" s="9">
        <v>9415</v>
      </c>
      <c r="DY106" s="9">
        <v>9378.4</v>
      </c>
      <c r="DZ106" s="9">
        <v>9290.6</v>
      </c>
      <c r="EA106" s="9">
        <v>8644.9</v>
      </c>
      <c r="EB106" s="9">
        <v>9456.4</v>
      </c>
      <c r="EC106" s="9">
        <v>8642.9</v>
      </c>
      <c r="ED106" s="9">
        <v>9256.7999999999993</v>
      </c>
      <c r="EE106" s="9">
        <v>8722.7999999999993</v>
      </c>
      <c r="EF106" s="9">
        <v>9120.7000000000007</v>
      </c>
      <c r="EG106" s="9">
        <v>8128.2</v>
      </c>
      <c r="EH106" s="9">
        <v>9343.1</v>
      </c>
      <c r="EI106" s="9">
        <v>8706.4</v>
      </c>
      <c r="EJ106" s="9">
        <v>8654.5</v>
      </c>
      <c r="EK106" s="9">
        <v>8805.2000000000007</v>
      </c>
      <c r="EL106" s="9">
        <v>8780.6</v>
      </c>
      <c r="EM106" s="9">
        <v>7541.2</v>
      </c>
      <c r="EN106" s="9">
        <v>8676.2000000000007</v>
      </c>
      <c r="EO106" s="9">
        <v>7666.6</v>
      </c>
      <c r="EP106" s="9">
        <v>8613.9</v>
      </c>
      <c r="EQ106" s="9">
        <v>8633.2999999999993</v>
      </c>
      <c r="ER106" s="9">
        <v>9677.6</v>
      </c>
      <c r="ES106" s="9">
        <v>8508.2999999999993</v>
      </c>
      <c r="ET106" s="9">
        <v>9683.7000000000007</v>
      </c>
      <c r="EU106" s="9">
        <v>8637.2000000000007</v>
      </c>
      <c r="EV106" s="9">
        <v>9677.2999999999993</v>
      </c>
      <c r="EW106" s="9">
        <v>8641.6</v>
      </c>
      <c r="EX106" s="9">
        <v>8832.9</v>
      </c>
      <c r="EY106" s="9">
        <v>8763.5</v>
      </c>
      <c r="EZ106" s="9">
        <v>9547.1</v>
      </c>
      <c r="FA106" s="9">
        <v>9828.7000000000007</v>
      </c>
      <c r="FB106" s="9">
        <v>9677.2000000000007</v>
      </c>
      <c r="FC106" s="9">
        <v>9606.2999999999993</v>
      </c>
      <c r="FD106" s="9">
        <v>9625</v>
      </c>
      <c r="FE106" s="9">
        <v>9625.7999999999993</v>
      </c>
      <c r="FF106" s="9">
        <v>8728.1</v>
      </c>
      <c r="FG106" s="9">
        <v>9674.1</v>
      </c>
      <c r="FH106" s="9">
        <v>9687.5</v>
      </c>
      <c r="FI106" s="9">
        <v>9824.5</v>
      </c>
      <c r="FJ106" s="9">
        <v>9551.2000000000007</v>
      </c>
      <c r="FK106" s="9">
        <v>9672.4</v>
      </c>
      <c r="FL106" s="9">
        <v>9809.2000000000007</v>
      </c>
      <c r="FM106" s="9">
        <v>8841.2999999999993</v>
      </c>
      <c r="FN106" s="9">
        <v>9754.2000000000007</v>
      </c>
      <c r="FO106" s="9">
        <v>8906.7999999999993</v>
      </c>
      <c r="FP106" s="11">
        <v>31.702635046113283</v>
      </c>
      <c r="FQ106" s="11">
        <v>31.470671936758894</v>
      </c>
      <c r="FR106" s="11">
        <v>31.584901185770754</v>
      </c>
      <c r="FS106" s="11">
        <v>31.651752305665351</v>
      </c>
      <c r="FT106" s="11">
        <v>31.467246376811595</v>
      </c>
      <c r="FU106" s="11">
        <v>31.620461133069806</v>
      </c>
      <c r="FV106" s="11">
        <v>0</v>
      </c>
      <c r="FW106" s="11">
        <v>43.21949934123846</v>
      </c>
      <c r="FX106" s="11">
        <v>0</v>
      </c>
      <c r="FY106" s="11">
        <v>0</v>
      </c>
      <c r="FZ106" s="11">
        <v>43.144287997364962</v>
      </c>
      <c r="GA106" s="11">
        <v>43.3</v>
      </c>
      <c r="GB106" s="11">
        <v>0.33406235335968354</v>
      </c>
      <c r="GC106" s="11">
        <v>4.4101183899868266</v>
      </c>
      <c r="GD106" s="11">
        <v>3.5985769011857696</v>
      </c>
      <c r="GE106" s="11">
        <v>5.4688162151910449</v>
      </c>
      <c r="GF106" s="11">
        <v>4.4902611080368917</v>
      </c>
      <c r="GG106" s="11">
        <v>4.1243805849802389</v>
      </c>
      <c r="GH106" s="11">
        <v>4.4666670000000002</v>
      </c>
      <c r="GI106" s="11">
        <v>7.5650000000000004</v>
      </c>
      <c r="GJ106" s="11">
        <v>6.773333</v>
      </c>
      <c r="GK106" s="11">
        <v>10.07</v>
      </c>
      <c r="GL106" s="11">
        <v>7.011666</v>
      </c>
      <c r="GM106" s="11">
        <v>7.3483330000000002</v>
      </c>
      <c r="GN106" s="11">
        <v>5.5571846666666698</v>
      </c>
      <c r="GO106" s="11">
        <v>5.6224971666666628</v>
      </c>
      <c r="GP106" s="11">
        <v>5.5949116666666656</v>
      </c>
      <c r="GQ106" s="11">
        <v>5.3990263333333317</v>
      </c>
      <c r="GR106" s="11">
        <v>5.2249098333333341</v>
      </c>
      <c r="GS106" s="11">
        <v>5.289059166666668</v>
      </c>
      <c r="GT106" s="108">
        <v>1.1025611666666668</v>
      </c>
      <c r="GU106" s="108">
        <v>1.1571378333333344</v>
      </c>
      <c r="GV106" s="108">
        <v>1.0233025</v>
      </c>
      <c r="GW106" s="108">
        <v>1.2165558333333335</v>
      </c>
      <c r="GX106" s="108">
        <v>1.2453231666666664</v>
      </c>
      <c r="GY106" s="108">
        <v>1.0264846666666678</v>
      </c>
      <c r="GZ106" s="13">
        <v>5.5080651666666673</v>
      </c>
      <c r="HA106" s="13">
        <v>5.5642330000000007</v>
      </c>
      <c r="HB106" s="13">
        <v>5.3607321666666694</v>
      </c>
      <c r="HC106" s="13">
        <v>0</v>
      </c>
      <c r="HD106" s="13">
        <v>0</v>
      </c>
      <c r="HE106" s="13">
        <v>5.1947751666666573</v>
      </c>
      <c r="HF106" s="13">
        <v>0.336010166666667</v>
      </c>
      <c r="HG106" s="13">
        <v>0.39639016666666632</v>
      </c>
      <c r="HH106" s="13">
        <v>0.37244216666666652</v>
      </c>
      <c r="HI106" s="13">
        <v>0.33313976666666689</v>
      </c>
      <c r="HJ106" s="13">
        <v>0.35393033333333301</v>
      </c>
      <c r="HK106" s="13">
        <v>0.35156700000000002</v>
      </c>
      <c r="HL106" s="12">
        <v>0</v>
      </c>
      <c r="HM106" s="12">
        <v>0</v>
      </c>
      <c r="HN106" s="12">
        <v>0</v>
      </c>
      <c r="HO106" s="12">
        <v>0</v>
      </c>
      <c r="HP106" s="12">
        <v>0</v>
      </c>
      <c r="HQ106" s="12">
        <v>0</v>
      </c>
      <c r="HR106" s="12">
        <v>0</v>
      </c>
      <c r="HS106" s="12">
        <v>0</v>
      </c>
      <c r="HT106" s="12">
        <v>0</v>
      </c>
      <c r="HU106" s="12">
        <v>0</v>
      </c>
      <c r="HV106" s="12">
        <v>0</v>
      </c>
      <c r="HW106" s="12">
        <v>0</v>
      </c>
      <c r="HX106" s="9">
        <v>985546</v>
      </c>
      <c r="HY106" s="9">
        <v>1837</v>
      </c>
      <c r="HZ106" s="9">
        <v>972099</v>
      </c>
      <c r="IA106" s="9">
        <v>1854</v>
      </c>
      <c r="IB106" s="11">
        <v>262583.68699999998</v>
      </c>
      <c r="IC106" s="11">
        <v>602.13300000000004</v>
      </c>
      <c r="ID106" s="14">
        <f t="shared" ref="ID106:II106" si="1033">GN106-HL106</f>
        <v>5.5571846666666698</v>
      </c>
      <c r="IE106" s="14">
        <f t="shared" si="1033"/>
        <v>5.6224971666666628</v>
      </c>
      <c r="IF106" s="14">
        <f t="shared" si="1033"/>
        <v>5.5949116666666656</v>
      </c>
      <c r="IG106" s="14">
        <f t="shared" si="1033"/>
        <v>5.3990263333333317</v>
      </c>
      <c r="IH106" s="14">
        <f t="shared" si="1033"/>
        <v>5.2249098333333341</v>
      </c>
      <c r="II106" s="14">
        <f t="shared" si="1033"/>
        <v>5.289059166666668</v>
      </c>
      <c r="IJ106" s="15">
        <f t="shared" ref="IJ106:IO106" si="1034">GZ106-HR106</f>
        <v>5.5080651666666673</v>
      </c>
      <c r="IK106" s="15">
        <f t="shared" si="1034"/>
        <v>5.5642330000000007</v>
      </c>
      <c r="IL106" s="15">
        <f t="shared" si="1034"/>
        <v>5.3607321666666694</v>
      </c>
      <c r="IM106" s="15">
        <f t="shared" si="1034"/>
        <v>0</v>
      </c>
      <c r="IN106" s="15">
        <f t="shared" si="1034"/>
        <v>0</v>
      </c>
      <c r="IO106" s="15">
        <f t="shared" si="1034"/>
        <v>5.1947751666666573</v>
      </c>
      <c r="IP106" s="16">
        <f t="shared" ref="IP106" si="1035">(HX106-HX105)*1000</f>
        <v>749000</v>
      </c>
      <c r="IQ106" s="16">
        <f t="shared" ref="IQ106" si="1036">(HY106-HY105)*1000</f>
        <v>3000</v>
      </c>
      <c r="IR106" s="16">
        <f t="shared" ref="IR106" si="1037">(HZ106-HZ105)*1000</f>
        <v>726000</v>
      </c>
      <c r="IS106" s="16">
        <f t="shared" ref="IS106" si="1038">(IA106-IA105)*1000</f>
        <v>1000</v>
      </c>
      <c r="IT106" s="16">
        <f t="shared" ref="IT106" si="1039">(IB106-IB105)*1000</f>
        <v>1466466.9999999751</v>
      </c>
      <c r="IU106" s="16">
        <f t="shared" ref="IU106" si="1040">(IC106-IC105)*1000</f>
        <v>4466.0000000000082</v>
      </c>
      <c r="IV106" s="17">
        <f t="shared" ref="IV106" si="1041">(IP106+IR106)-(IQ106+IS106)</f>
        <v>1471000</v>
      </c>
      <c r="IW106" s="17">
        <f t="shared" ref="IW106" si="1042">IT106-IU106</f>
        <v>1462000.9999999751</v>
      </c>
      <c r="IX106" s="19">
        <f>(Raw_Data[[#This Row],[Sunset Time (POA&lt;20 W/m2)]]-Raw_Data[[#This Row],[Sunrise Time (POA&gt;20 W/m2)]])*24</f>
        <v>12.65</v>
      </c>
      <c r="IY106" s="68">
        <f>AVERAGEIF(Raw_Data[[#This Row],[GHI_UP_Net_IS2_W1]:[GHI_UP_Net_IS19_W6]],"&lt;&gt;"&amp;0,Raw_Data[[#This Row],[GHI_UP_Net_IS2_W1]:[GHI_UP_Net_IS19_W6]])</f>
        <v>5.4479314722222227</v>
      </c>
      <c r="IZ106" s="68">
        <f>AVERAGEIF(Raw_Data[[#This Row],[GHI_Down_IS2_W1]:[GHI_Down_IS19_W6]],"&lt;&gt;"&amp;0,Raw_Data[[#This Row],[GHI_Down_IS2_W1]:[GHI_Down_IS19_W6]])</f>
        <v>1.1285608611111113</v>
      </c>
      <c r="JA106" s="68">
        <f>AVERAGEIF(Raw_Data[[#This Row],[POA_Up_IS2_W1]:[POA_Up_IS19_W6]],"&lt;&gt;"&amp;0,Raw_Data[[#This Row],[POA_Up_IS2_W1]:[POA_Up_IS19_W6]])</f>
        <v>5.4069513749999984</v>
      </c>
      <c r="JB106" s="68">
        <f>AVERAGEIF(Raw_Data[[#This Row],[POA_Down_IS2_W1]:[POA_Down_IS19_W6]],"&lt;&gt;"&amp;0,Raw_Data[[#This Row],[POA_Down_IS2_W1]:[POA_Down_IS19_W6]])</f>
        <v>0.35724659999999991</v>
      </c>
      <c r="JC106" s="69">
        <f>Raw_Data[[#This Row],[GHI-Down(KWh/m2)]]/Raw_Data[[#This Row],[GHI-UP (KWh/m2)]]</f>
        <v>0.20715401191541952</v>
      </c>
      <c r="JD106" s="72">
        <f>Raw_Data[[#This Row],[POA-Down(KWh/m2)]]/Raw_Data[[#This Row],[POA-UP(KWh/m2)]]</f>
        <v>6.6071724197815637E-2</v>
      </c>
      <c r="JE106" s="68">
        <f>AVERAGEIF(Raw_Data[[#This Row],[Amb_Temp_IS2_W1]:[Amb_Temp_IS19_W6]],"&lt;&gt;"&amp;0,Raw_Data[[#This Row],[Amb_Temp_IS2_W1]:[Amb_Temp_IS19_W6]])</f>
        <v>31.582944664031615</v>
      </c>
      <c r="JF106" s="68">
        <f>AVERAGEIF(Raw_Data[[#This Row],[MT_Temp_IS2_W1]:[MT_Temp_IS19_W6]],"&lt;&gt;"&amp;0,Raw_Data[[#This Row],[MT_Temp_IS2_W1]:[MT_Temp_IS19_W6]])</f>
        <v>43.221262446201138</v>
      </c>
      <c r="JG106" s="68">
        <f>AVERAGEIF(Raw_Data[[#This Row],[WS_Avg_IS2_W1]:[WS_Avg_IS19_W6]],"&lt;&gt;"&amp;0,Raw_Data[[#This Row],[WS_Avg_IS2_W1]:[WS_Avg_IS19_W6]])</f>
        <v>3.7377025921234086</v>
      </c>
      <c r="JH106" s="68">
        <f>AVERAGEIF(Raw_Data[[#This Row],[WS_Max_IS2_W1]:[WS_Max_IS19_W6]],"&lt;&gt;"&amp;0,Raw_Data[[#This Row],[WS_Max_IS2_W1]:[WS_Max_IS19_W6]])</f>
        <v>7.2058331666666673</v>
      </c>
      <c r="JI106" s="70">
        <f>SUM(Raw_Data[[#This Row],[IS1_INV1_M1]:[IS20_INV4_M2]])</f>
        <v>1474116.5999999999</v>
      </c>
      <c r="JJ106" s="73">
        <v>1437334.0000000026</v>
      </c>
      <c r="JK106" s="71">
        <v>1785148.3491354983</v>
      </c>
      <c r="JL106" s="143">
        <f>IFERROR(Raw_Data[[#This Row],[WPR_Eac]]/Raw_Data[[#This Row],[WPR_Edc]],"")</f>
        <v>0.80516221561982049</v>
      </c>
      <c r="JM106" s="6">
        <v>23</v>
      </c>
      <c r="JN106" s="6" t="s">
        <v>2635</v>
      </c>
    </row>
    <row r="107" spans="2:274">
      <c r="B107" s="250">
        <f t="shared" si="596"/>
        <v>45846</v>
      </c>
      <c r="C107" s="9">
        <f>YEAR(Raw_Data[[#This Row],[Date]])+IF(MONTH(Raw_Data[[#This Row],[Date]])&gt;=4,1,0)</f>
        <v>2026</v>
      </c>
      <c r="D107" s="6">
        <f t="shared" si="1031"/>
        <v>2025</v>
      </c>
      <c r="E107" s="7" t="s">
        <v>361</v>
      </c>
      <c r="F107" s="7" t="s">
        <v>361</v>
      </c>
      <c r="G107" s="8">
        <v>45839</v>
      </c>
      <c r="H107" s="6">
        <f t="shared" si="1032"/>
        <v>31</v>
      </c>
      <c r="I107" s="9">
        <v>335090.89</v>
      </c>
      <c r="J107" s="10">
        <v>0.2673611111111111</v>
      </c>
      <c r="K107" s="10">
        <v>0.81388888888888888</v>
      </c>
      <c r="L107" s="9">
        <v>8808</v>
      </c>
      <c r="M107" s="9">
        <v>9202.4</v>
      </c>
      <c r="N107" s="9">
        <v>9181.7999999999993</v>
      </c>
      <c r="O107" s="9">
        <v>9137.9</v>
      </c>
      <c r="P107" s="9">
        <v>9307.2999999999993</v>
      </c>
      <c r="Q107" s="9">
        <v>9339.7999999999993</v>
      </c>
      <c r="R107" s="9">
        <v>9350.9</v>
      </c>
      <c r="S107" s="9">
        <v>9559.2999999999993</v>
      </c>
      <c r="T107" s="9">
        <v>9226.4</v>
      </c>
      <c r="U107" s="9">
        <v>9393.2000000000007</v>
      </c>
      <c r="V107" s="9">
        <v>9977.2000000000007</v>
      </c>
      <c r="W107" s="9">
        <v>9146</v>
      </c>
      <c r="X107" s="9">
        <v>9995.4</v>
      </c>
      <c r="Y107" s="9">
        <v>9106</v>
      </c>
      <c r="Z107" s="9">
        <v>9152.2000000000007</v>
      </c>
      <c r="AA107" s="9">
        <v>9222.5</v>
      </c>
      <c r="AB107" s="9">
        <v>8974.7999999999993</v>
      </c>
      <c r="AC107" s="9">
        <v>8885.7999999999993</v>
      </c>
      <c r="AD107" s="9">
        <v>8925.4</v>
      </c>
      <c r="AE107" s="9">
        <v>9032</v>
      </c>
      <c r="AF107" s="9">
        <v>8903</v>
      </c>
      <c r="AG107" s="9">
        <v>8906.2000000000007</v>
      </c>
      <c r="AH107" s="9">
        <v>8571.6</v>
      </c>
      <c r="AI107" s="9">
        <v>8701.5</v>
      </c>
      <c r="AJ107" s="9">
        <v>8554.7000000000007</v>
      </c>
      <c r="AK107" s="9">
        <v>7562.9</v>
      </c>
      <c r="AL107" s="9">
        <v>8655.2000000000007</v>
      </c>
      <c r="AM107" s="9">
        <v>8607</v>
      </c>
      <c r="AN107" s="9">
        <v>8803.6</v>
      </c>
      <c r="AO107" s="9">
        <v>8684.7000000000007</v>
      </c>
      <c r="AP107" s="9">
        <v>8523.4</v>
      </c>
      <c r="AQ107" s="9">
        <v>8747.9</v>
      </c>
      <c r="AR107" s="9">
        <v>8613.2000000000007</v>
      </c>
      <c r="AS107" s="9">
        <v>8656.7999999999993</v>
      </c>
      <c r="AT107" s="9">
        <v>8859.2000000000007</v>
      </c>
      <c r="AU107" s="9">
        <v>8694.1</v>
      </c>
      <c r="AV107" s="9">
        <v>8745.5</v>
      </c>
      <c r="AW107" s="9">
        <v>8587.6</v>
      </c>
      <c r="AX107" s="9">
        <v>8618.9</v>
      </c>
      <c r="AY107" s="9">
        <v>8553.1</v>
      </c>
      <c r="AZ107" s="9">
        <v>8898</v>
      </c>
      <c r="BA107" s="9">
        <v>8877.7000000000007</v>
      </c>
      <c r="BB107" s="9">
        <v>8804</v>
      </c>
      <c r="BC107" s="9">
        <v>8879.2999999999993</v>
      </c>
      <c r="BD107" s="9">
        <v>9114</v>
      </c>
      <c r="BE107" s="9">
        <v>9475.6</v>
      </c>
      <c r="BF107" s="9">
        <v>9016.1</v>
      </c>
      <c r="BG107" s="9">
        <v>9017.9</v>
      </c>
      <c r="BH107" s="9">
        <v>9140.2000000000007</v>
      </c>
      <c r="BI107" s="9">
        <v>9359.4</v>
      </c>
      <c r="BJ107" s="9">
        <v>9149.4</v>
      </c>
      <c r="BK107" s="9">
        <v>8593.4</v>
      </c>
      <c r="BL107" s="9">
        <v>9424.2999999999993</v>
      </c>
      <c r="BM107" s="9">
        <v>9370.7999999999993</v>
      </c>
      <c r="BN107" s="9">
        <v>9337</v>
      </c>
      <c r="BO107" s="9">
        <v>9258.4</v>
      </c>
      <c r="BP107" s="9">
        <v>8340.7999999999993</v>
      </c>
      <c r="BQ107" s="9">
        <v>9609.7000000000007</v>
      </c>
      <c r="BR107" s="9">
        <v>8367.2000000000007</v>
      </c>
      <c r="BS107" s="9">
        <v>9573.7999999999993</v>
      </c>
      <c r="BT107" s="9">
        <v>9419.6</v>
      </c>
      <c r="BU107" s="9">
        <v>8338.4</v>
      </c>
      <c r="BV107" s="9">
        <v>9169.6</v>
      </c>
      <c r="BW107" s="9">
        <v>8761.6</v>
      </c>
      <c r="BX107" s="9">
        <v>8829.5</v>
      </c>
      <c r="BY107" s="9">
        <v>8272.7000000000007</v>
      </c>
      <c r="BZ107" s="9">
        <v>8789.4</v>
      </c>
      <c r="CA107" s="9">
        <v>9154.6</v>
      </c>
      <c r="CB107" s="9">
        <v>9494.7999999999993</v>
      </c>
      <c r="CC107" s="9">
        <v>8487.7000000000007</v>
      </c>
      <c r="CD107" s="9">
        <v>9292.1</v>
      </c>
      <c r="CE107" s="9">
        <v>8125.6</v>
      </c>
      <c r="CF107" s="9">
        <v>9080.6</v>
      </c>
      <c r="CG107" s="9">
        <v>8879.4</v>
      </c>
      <c r="CH107" s="9">
        <v>8360.2000000000007</v>
      </c>
      <c r="CI107" s="9">
        <v>9345.7000000000007</v>
      </c>
      <c r="CJ107" s="9">
        <v>8214.6</v>
      </c>
      <c r="CK107" s="9">
        <v>9568.2000000000007</v>
      </c>
      <c r="CL107" s="9">
        <v>8410.1</v>
      </c>
      <c r="CM107" s="9">
        <v>9423.5</v>
      </c>
      <c r="CN107" s="9">
        <v>8433</v>
      </c>
      <c r="CO107" s="9">
        <v>9173.7999999999993</v>
      </c>
      <c r="CP107" s="9">
        <v>8528.4</v>
      </c>
      <c r="CQ107" s="9">
        <v>9429.7000000000007</v>
      </c>
      <c r="CR107" s="9">
        <v>8403.2999999999993</v>
      </c>
      <c r="CS107" s="9">
        <v>8955.1</v>
      </c>
      <c r="CT107" s="9">
        <v>8377.7999999999993</v>
      </c>
      <c r="CU107" s="9">
        <v>7343.7</v>
      </c>
      <c r="CV107" s="9">
        <v>9186.9</v>
      </c>
      <c r="CW107" s="9">
        <v>8765.7000000000007</v>
      </c>
      <c r="CX107" s="9">
        <v>8041.8</v>
      </c>
      <c r="CY107" s="9">
        <v>9290.4</v>
      </c>
      <c r="CZ107" s="9">
        <v>8900.2999999999993</v>
      </c>
      <c r="DA107" s="9">
        <v>8162.6</v>
      </c>
      <c r="DB107" s="9">
        <v>8056</v>
      </c>
      <c r="DC107" s="9">
        <v>8941.2999999999993</v>
      </c>
      <c r="DD107" s="9">
        <v>7894.7</v>
      </c>
      <c r="DE107" s="9">
        <v>8195.2000000000007</v>
      </c>
      <c r="DF107" s="9">
        <v>8941.4</v>
      </c>
      <c r="DG107" s="9">
        <v>7787.4</v>
      </c>
      <c r="DH107" s="9">
        <v>8813.7999999999993</v>
      </c>
      <c r="DI107" s="9">
        <v>7732.1</v>
      </c>
      <c r="DJ107" s="9">
        <v>8590.5</v>
      </c>
      <c r="DK107" s="9">
        <v>7866.6</v>
      </c>
      <c r="DL107" s="9">
        <v>8608.7999999999993</v>
      </c>
      <c r="DM107" s="9">
        <v>7410.5</v>
      </c>
      <c r="DN107" s="9">
        <v>8630.6</v>
      </c>
      <c r="DO107" s="9">
        <v>7728.3</v>
      </c>
      <c r="DP107" s="9">
        <v>8452.7999999999993</v>
      </c>
      <c r="DQ107" s="9">
        <v>7655.2</v>
      </c>
      <c r="DR107" s="9">
        <v>8524.9</v>
      </c>
      <c r="DS107" s="9">
        <v>7780.6</v>
      </c>
      <c r="DT107" s="9">
        <v>7843.6</v>
      </c>
      <c r="DU107" s="9">
        <v>8637.2000000000007</v>
      </c>
      <c r="DV107" s="9">
        <v>7733.5</v>
      </c>
      <c r="DW107" s="9">
        <v>7626.8</v>
      </c>
      <c r="DX107" s="9">
        <v>8644</v>
      </c>
      <c r="DY107" s="9">
        <v>8683.4</v>
      </c>
      <c r="DZ107" s="9">
        <v>8477.7000000000007</v>
      </c>
      <c r="EA107" s="9">
        <v>7635.5</v>
      </c>
      <c r="EB107" s="9">
        <v>8618.6</v>
      </c>
      <c r="EC107" s="9">
        <v>7685.9</v>
      </c>
      <c r="ED107" s="9">
        <v>8349.5</v>
      </c>
      <c r="EE107" s="9">
        <v>7705.2</v>
      </c>
      <c r="EF107" s="9">
        <v>8223.4</v>
      </c>
      <c r="EG107" s="9">
        <v>7156.2</v>
      </c>
      <c r="EH107" s="9">
        <v>8377.2000000000007</v>
      </c>
      <c r="EI107" s="9">
        <v>7696.3</v>
      </c>
      <c r="EJ107" s="9">
        <v>7892</v>
      </c>
      <c r="EK107" s="9">
        <v>8034.2</v>
      </c>
      <c r="EL107" s="9">
        <v>7802.8</v>
      </c>
      <c r="EM107" s="9">
        <v>6746.9</v>
      </c>
      <c r="EN107" s="9">
        <v>7878.9</v>
      </c>
      <c r="EO107" s="9">
        <v>7028.3</v>
      </c>
      <c r="EP107" s="9">
        <v>8065.5</v>
      </c>
      <c r="EQ107" s="9">
        <v>8095.6</v>
      </c>
      <c r="ER107" s="9">
        <v>9552.6</v>
      </c>
      <c r="ES107" s="9">
        <v>8246</v>
      </c>
      <c r="ET107" s="9">
        <v>9640.2000000000007</v>
      </c>
      <c r="EU107" s="9">
        <v>8427</v>
      </c>
      <c r="EV107" s="9">
        <v>9431.4</v>
      </c>
      <c r="EW107" s="9">
        <v>8216.2999999999993</v>
      </c>
      <c r="EX107" s="9">
        <v>8366.4</v>
      </c>
      <c r="EY107" s="9">
        <v>8209.2999999999993</v>
      </c>
      <c r="EZ107" s="9">
        <v>9310</v>
      </c>
      <c r="FA107" s="9">
        <v>9673.7000000000007</v>
      </c>
      <c r="FB107" s="9">
        <v>9581.7000000000007</v>
      </c>
      <c r="FC107" s="9">
        <v>9520</v>
      </c>
      <c r="FD107" s="9">
        <v>9515.6</v>
      </c>
      <c r="FE107" s="9">
        <v>9513.5</v>
      </c>
      <c r="FF107" s="9">
        <v>8594.2999999999993</v>
      </c>
      <c r="FG107" s="9">
        <v>9559.6</v>
      </c>
      <c r="FH107" s="9">
        <v>9691.6</v>
      </c>
      <c r="FI107" s="9">
        <v>9718.6</v>
      </c>
      <c r="FJ107" s="9">
        <v>9665.7999999999993</v>
      </c>
      <c r="FK107" s="9">
        <v>9590.7999999999993</v>
      </c>
      <c r="FL107" s="9">
        <v>9631.7999999999993</v>
      </c>
      <c r="FM107" s="9">
        <v>8601.2000000000007</v>
      </c>
      <c r="FN107" s="9">
        <v>9729.9</v>
      </c>
      <c r="FO107" s="9">
        <v>8696.2999999999993</v>
      </c>
      <c r="FP107" s="11">
        <v>32.134137931034459</v>
      </c>
      <c r="FQ107" s="11">
        <v>31.959003831417657</v>
      </c>
      <c r="FR107" s="11">
        <v>32.133128991060033</v>
      </c>
      <c r="FS107" s="11">
        <v>32.151775223499342</v>
      </c>
      <c r="FT107" s="11">
        <v>31.823282247765032</v>
      </c>
      <c r="FU107" s="11">
        <v>32.240600255427843</v>
      </c>
      <c r="FV107" s="11">
        <v>0</v>
      </c>
      <c r="FW107" s="11">
        <v>42.3</v>
      </c>
      <c r="FX107" s="11">
        <v>0</v>
      </c>
      <c r="FY107" s="11">
        <v>0</v>
      </c>
      <c r="FZ107" s="11">
        <v>42.8205840357599</v>
      </c>
      <c r="GA107" s="11">
        <v>43.1</v>
      </c>
      <c r="GB107" s="11">
        <v>0.79042994249042287</v>
      </c>
      <c r="GC107" s="11">
        <v>4.4155489655172468</v>
      </c>
      <c r="GD107" s="11">
        <v>3.8007235427841644</v>
      </c>
      <c r="GE107" s="11">
        <v>5.2328797394508308</v>
      </c>
      <c r="GF107" s="11">
        <v>4.2749466015325659</v>
      </c>
      <c r="GG107" s="11">
        <v>4.2852445862068977</v>
      </c>
      <c r="GH107" s="11">
        <v>5.7683330000000002</v>
      </c>
      <c r="GI107" s="11">
        <v>8.2883329999999997</v>
      </c>
      <c r="GJ107" s="11">
        <v>6.9550000000000001</v>
      </c>
      <c r="GK107" s="11">
        <v>10.463329999999999</v>
      </c>
      <c r="GL107" s="11">
        <v>7.3533330000000001</v>
      </c>
      <c r="GM107" s="11">
        <v>7.69</v>
      </c>
      <c r="GN107" s="11">
        <v>5.1708903333333334</v>
      </c>
      <c r="GO107" s="11">
        <v>4.9445348333333348</v>
      </c>
      <c r="GP107" s="11">
        <v>4.7070838333333276</v>
      </c>
      <c r="GQ107" s="11">
        <v>5.1125871666666676</v>
      </c>
      <c r="GR107" s="11">
        <v>4.6581390000000029</v>
      </c>
      <c r="GS107" s="11">
        <v>5.0968173333333331</v>
      </c>
      <c r="GT107" s="108">
        <v>1.0657056666666669</v>
      </c>
      <c r="GU107" s="108">
        <v>0.99263650000000025</v>
      </c>
      <c r="GV107" s="108">
        <v>0.89305299999999932</v>
      </c>
      <c r="GW107" s="108">
        <v>1.1913428333333329</v>
      </c>
      <c r="GX107" s="108">
        <v>1.0969331666666664</v>
      </c>
      <c r="GY107" s="108">
        <v>0.98076616666666716</v>
      </c>
      <c r="GZ107" s="13">
        <v>5.0687645000000021</v>
      </c>
      <c r="HA107" s="13">
        <v>4.8387830000000074</v>
      </c>
      <c r="HB107" s="13">
        <v>4.4895198333333335</v>
      </c>
      <c r="HC107" s="13">
        <v>0</v>
      </c>
      <c r="HD107" s="13">
        <v>0</v>
      </c>
      <c r="HE107" s="13">
        <v>4.9242998333333361</v>
      </c>
      <c r="HF107" s="13">
        <v>0.35905533333333328</v>
      </c>
      <c r="HG107" s="13">
        <v>0.40525450000000002</v>
      </c>
      <c r="HH107" s="13">
        <v>0.36704199999999959</v>
      </c>
      <c r="HI107" s="13">
        <v>0.37022799999999978</v>
      </c>
      <c r="HJ107" s="13">
        <v>0.37026383333333307</v>
      </c>
      <c r="HK107" s="13">
        <v>0.39588566666666658</v>
      </c>
      <c r="HL107" s="12">
        <v>0</v>
      </c>
      <c r="HM107" s="12">
        <v>0</v>
      </c>
      <c r="HN107" s="12">
        <v>0</v>
      </c>
      <c r="HO107" s="12">
        <v>0</v>
      </c>
      <c r="HP107" s="12">
        <v>0</v>
      </c>
      <c r="HQ107" s="12">
        <v>0</v>
      </c>
      <c r="HR107" s="12">
        <v>0</v>
      </c>
      <c r="HS107" s="12">
        <v>0</v>
      </c>
      <c r="HT107" s="12">
        <v>0</v>
      </c>
      <c r="HU107" s="12">
        <v>0</v>
      </c>
      <c r="HV107" s="12">
        <v>0</v>
      </c>
      <c r="HW107" s="12">
        <v>0</v>
      </c>
      <c r="HX107" s="9">
        <v>986256</v>
      </c>
      <c r="HY107" s="9">
        <v>1838</v>
      </c>
      <c r="HZ107" s="9">
        <v>972768</v>
      </c>
      <c r="IA107" s="9">
        <v>1855</v>
      </c>
      <c r="IB107" s="11">
        <v>263973.48700000002</v>
      </c>
      <c r="IC107" s="11">
        <v>606.33299999999997</v>
      </c>
      <c r="ID107" s="14">
        <f t="shared" ref="ID107:II107" si="1043">GN107-HL107</f>
        <v>5.1708903333333334</v>
      </c>
      <c r="IE107" s="14">
        <f t="shared" si="1043"/>
        <v>4.9445348333333348</v>
      </c>
      <c r="IF107" s="14">
        <f t="shared" si="1043"/>
        <v>4.7070838333333276</v>
      </c>
      <c r="IG107" s="14">
        <f t="shared" si="1043"/>
        <v>5.1125871666666676</v>
      </c>
      <c r="IH107" s="14">
        <f t="shared" si="1043"/>
        <v>4.6581390000000029</v>
      </c>
      <c r="II107" s="14">
        <f t="shared" si="1043"/>
        <v>5.0968173333333331</v>
      </c>
      <c r="IJ107" s="15">
        <f t="shared" ref="IJ107:IO107" si="1044">GZ107-HR107</f>
        <v>5.0687645000000021</v>
      </c>
      <c r="IK107" s="15">
        <f t="shared" si="1044"/>
        <v>4.8387830000000074</v>
      </c>
      <c r="IL107" s="15">
        <f t="shared" si="1044"/>
        <v>4.4895198333333335</v>
      </c>
      <c r="IM107" s="15">
        <f t="shared" si="1044"/>
        <v>0</v>
      </c>
      <c r="IN107" s="15">
        <f t="shared" si="1044"/>
        <v>0</v>
      </c>
      <c r="IO107" s="15">
        <f t="shared" si="1044"/>
        <v>4.9242998333333361</v>
      </c>
      <c r="IP107" s="16">
        <f t="shared" ref="IP107" si="1045">(HX107-HX106)*1000</f>
        <v>710000</v>
      </c>
      <c r="IQ107" s="16">
        <f t="shared" ref="IQ107" si="1046">(HY107-HY106)*1000</f>
        <v>1000</v>
      </c>
      <c r="IR107" s="16">
        <f t="shared" ref="IR107" si="1047">(HZ107-HZ106)*1000</f>
        <v>669000</v>
      </c>
      <c r="IS107" s="16">
        <f t="shared" ref="IS107" si="1048">(IA107-IA106)*1000</f>
        <v>1000</v>
      </c>
      <c r="IT107" s="16">
        <f t="shared" ref="IT107" si="1049">(IB107-IB106)*1000</f>
        <v>1389800.0000000466</v>
      </c>
      <c r="IU107" s="16">
        <f t="shared" ref="IU107" si="1050">(IC107-IC106)*1000</f>
        <v>4199.9999999999318</v>
      </c>
      <c r="IV107" s="17">
        <f t="shared" ref="IV107" si="1051">(IP107+IR107)-(IQ107+IS107)</f>
        <v>1377000</v>
      </c>
      <c r="IW107" s="17">
        <f t="shared" ref="IW107" si="1052">IT107-IU107</f>
        <v>1385600.0000000466</v>
      </c>
      <c r="IX107" s="19">
        <f>(Raw_Data[[#This Row],[Sunset Time (POA&lt;20 W/m2)]]-Raw_Data[[#This Row],[Sunrise Time (POA&gt;20 W/m2)]])*24</f>
        <v>13.116666666666665</v>
      </c>
      <c r="IY107" s="68">
        <f>AVERAGEIF(Raw_Data[[#This Row],[GHI_UP_Net_IS2_W1]:[GHI_UP_Net_IS19_W6]],"&lt;&gt;"&amp;0,Raw_Data[[#This Row],[GHI_UP_Net_IS2_W1]:[GHI_UP_Net_IS19_W6]])</f>
        <v>4.9483420833333334</v>
      </c>
      <c r="IZ107" s="68">
        <f>AVERAGEIF(Raw_Data[[#This Row],[GHI_Down_IS2_W1]:[GHI_Down_IS19_W6]],"&lt;&gt;"&amp;0,Raw_Data[[#This Row],[GHI_Down_IS2_W1]:[GHI_Down_IS19_W6]])</f>
        <v>1.0367395555555554</v>
      </c>
      <c r="JA107" s="68">
        <f>AVERAGEIF(Raw_Data[[#This Row],[POA_Up_IS2_W1]:[POA_Up_IS19_W6]],"&lt;&gt;"&amp;0,Raw_Data[[#This Row],[POA_Up_IS2_W1]:[POA_Up_IS19_W6]])</f>
        <v>4.8303417916666698</v>
      </c>
      <c r="JB107" s="68">
        <f>AVERAGEIF(Raw_Data[[#This Row],[POA_Down_IS2_W1]:[POA_Down_IS19_W6]],"&lt;&gt;"&amp;0,Raw_Data[[#This Row],[POA_Down_IS2_W1]:[POA_Down_IS19_W6]])</f>
        <v>0.37795488888888878</v>
      </c>
      <c r="JC107" s="69">
        <f>Raw_Data[[#This Row],[GHI-Down(KWh/m2)]]/Raw_Data[[#This Row],[GHI-UP (KWh/m2)]]</f>
        <v>0.2095125070369388</v>
      </c>
      <c r="JD107" s="72">
        <f>Raw_Data[[#This Row],[POA-Down(KWh/m2)]]/Raw_Data[[#This Row],[POA-UP(KWh/m2)]]</f>
        <v>7.8245992766172057E-2</v>
      </c>
      <c r="JE107" s="68">
        <f>AVERAGEIF(Raw_Data[[#This Row],[Amb_Temp_IS2_W1]:[Amb_Temp_IS19_W6]],"&lt;&gt;"&amp;0,Raw_Data[[#This Row],[Amb_Temp_IS2_W1]:[Amb_Temp_IS19_W6]])</f>
        <v>32.073654746700726</v>
      </c>
      <c r="JF107" s="68">
        <f>AVERAGEIF(Raw_Data[[#This Row],[MT_Temp_IS2_W1]:[MT_Temp_IS19_W6]],"&lt;&gt;"&amp;0,Raw_Data[[#This Row],[MT_Temp_IS2_W1]:[MT_Temp_IS19_W6]])</f>
        <v>42.740194678586626</v>
      </c>
      <c r="JG107" s="68">
        <f>AVERAGEIF(Raw_Data[[#This Row],[WS_Avg_IS2_W1]:[WS_Avg_IS19_W6]],"&lt;&gt;"&amp;0,Raw_Data[[#This Row],[WS_Avg_IS2_W1]:[WS_Avg_IS19_W6]])</f>
        <v>3.7999622296636879</v>
      </c>
      <c r="JH107" s="68">
        <f>AVERAGEIF(Raw_Data[[#This Row],[WS_Max_IS2_W1]:[WS_Max_IS19_W6]],"&lt;&gt;"&amp;0,Raw_Data[[#This Row],[WS_Max_IS2_W1]:[WS_Max_IS19_W6]])</f>
        <v>7.7530548333333327</v>
      </c>
      <c r="JI107" s="70">
        <f>SUM(Raw_Data[[#This Row],[IS1_INV1_M1]:[IS20_INV4_M2]])</f>
        <v>1396424.3</v>
      </c>
      <c r="JJ107" s="73">
        <v>1366599.9999999767</v>
      </c>
      <c r="JK107" s="71">
        <v>1619094.7068545013</v>
      </c>
      <c r="JL107" s="143">
        <f>IFERROR(Raw_Data[[#This Row],[WPR_Eac]]/Raw_Data[[#This Row],[WPR_Edc]],"")</f>
        <v>0.84405192248138527</v>
      </c>
      <c r="JM107" s="6">
        <v>25</v>
      </c>
      <c r="JN107" s="6" t="s">
        <v>2635</v>
      </c>
    </row>
    <row r="108" spans="2:274">
      <c r="B108" s="250">
        <f t="shared" si="596"/>
        <v>45847</v>
      </c>
      <c r="C108" s="9">
        <f>YEAR(Raw_Data[[#This Row],[Date]])+IF(MONTH(Raw_Data[[#This Row],[Date]])&gt;=4,1,0)</f>
        <v>2026</v>
      </c>
      <c r="D108" s="6">
        <f t="shared" si="1031"/>
        <v>2025</v>
      </c>
      <c r="E108" s="7" t="s">
        <v>361</v>
      </c>
      <c r="F108" s="7" t="s">
        <v>361</v>
      </c>
      <c r="G108" s="8">
        <v>45839</v>
      </c>
      <c r="H108" s="6">
        <f t="shared" si="1032"/>
        <v>31</v>
      </c>
      <c r="I108" s="9">
        <v>335090.89</v>
      </c>
      <c r="J108" s="10">
        <v>0.27569444444444446</v>
      </c>
      <c r="K108" s="10">
        <v>0.81319444444444444</v>
      </c>
      <c r="L108" s="9">
        <v>9088.9</v>
      </c>
      <c r="M108" s="9">
        <v>9724.7000000000007</v>
      </c>
      <c r="N108" s="9">
        <v>9760.7999999999993</v>
      </c>
      <c r="O108" s="9">
        <v>9628.4</v>
      </c>
      <c r="P108" s="9">
        <v>9881.1</v>
      </c>
      <c r="Q108" s="9">
        <v>9941.6</v>
      </c>
      <c r="R108" s="9">
        <v>9942.2999999999993</v>
      </c>
      <c r="S108" s="9">
        <v>10233.5</v>
      </c>
      <c r="T108" s="9">
        <v>9722.9</v>
      </c>
      <c r="U108" s="9">
        <v>9548.7000000000007</v>
      </c>
      <c r="V108" s="9">
        <v>10679.8</v>
      </c>
      <c r="W108" s="9">
        <v>9739.6</v>
      </c>
      <c r="X108" s="9">
        <v>10698.3</v>
      </c>
      <c r="Y108" s="9">
        <v>9786</v>
      </c>
      <c r="Z108" s="9">
        <v>9867.2999999999993</v>
      </c>
      <c r="AA108" s="9">
        <v>9901.7000000000007</v>
      </c>
      <c r="AB108" s="9">
        <v>9695.7000000000007</v>
      </c>
      <c r="AC108" s="9">
        <v>9595.4</v>
      </c>
      <c r="AD108" s="9">
        <v>9626</v>
      </c>
      <c r="AE108" s="9">
        <v>9769</v>
      </c>
      <c r="AF108" s="9">
        <v>9603.4</v>
      </c>
      <c r="AG108" s="9">
        <v>9586.7000000000007</v>
      </c>
      <c r="AH108" s="9">
        <v>9433.7000000000007</v>
      </c>
      <c r="AI108" s="9">
        <v>9500.7999999999993</v>
      </c>
      <c r="AJ108" s="9">
        <v>9351</v>
      </c>
      <c r="AK108" s="9">
        <v>8234.2000000000007</v>
      </c>
      <c r="AL108" s="9">
        <v>9386.9</v>
      </c>
      <c r="AM108" s="9">
        <v>9301</v>
      </c>
      <c r="AN108" s="9">
        <v>9670.5</v>
      </c>
      <c r="AO108" s="9">
        <v>9601.2999999999993</v>
      </c>
      <c r="AP108" s="9">
        <v>9406.2000000000007</v>
      </c>
      <c r="AQ108" s="9">
        <v>9670</v>
      </c>
      <c r="AR108" s="9">
        <v>9612.9</v>
      </c>
      <c r="AS108" s="9">
        <v>9605.1</v>
      </c>
      <c r="AT108" s="9">
        <v>9720.4</v>
      </c>
      <c r="AU108" s="9">
        <v>9618.5</v>
      </c>
      <c r="AV108" s="9">
        <v>9714.5</v>
      </c>
      <c r="AW108" s="9">
        <v>9516.1</v>
      </c>
      <c r="AX108" s="9">
        <v>9509.2000000000007</v>
      </c>
      <c r="AY108" s="9">
        <v>9473.9</v>
      </c>
      <c r="AZ108" s="9">
        <v>10282.4</v>
      </c>
      <c r="BA108" s="9">
        <v>10348.6</v>
      </c>
      <c r="BB108" s="9">
        <v>10222.799999999999</v>
      </c>
      <c r="BC108" s="9">
        <v>10412.299999999999</v>
      </c>
      <c r="BD108" s="9">
        <v>10549.4</v>
      </c>
      <c r="BE108" s="9">
        <v>10813.1</v>
      </c>
      <c r="BF108" s="9">
        <v>10320.9</v>
      </c>
      <c r="BG108" s="9">
        <v>10314.9</v>
      </c>
      <c r="BH108" s="9">
        <v>9895.1</v>
      </c>
      <c r="BI108" s="9">
        <v>10044.1</v>
      </c>
      <c r="BJ108" s="9">
        <v>9853.6</v>
      </c>
      <c r="BK108" s="9">
        <v>9277.1</v>
      </c>
      <c r="BL108" s="9">
        <v>10168.1</v>
      </c>
      <c r="BM108" s="9">
        <v>10078.5</v>
      </c>
      <c r="BN108" s="9">
        <v>10072.4</v>
      </c>
      <c r="BO108" s="9">
        <v>10055.9</v>
      </c>
      <c r="BP108" s="9">
        <v>8966.6</v>
      </c>
      <c r="BQ108" s="9">
        <v>10288.700000000001</v>
      </c>
      <c r="BR108" s="9">
        <v>9013.7000000000007</v>
      </c>
      <c r="BS108" s="9">
        <v>10241.200000000001</v>
      </c>
      <c r="BT108" s="9">
        <v>10101.799999999999</v>
      </c>
      <c r="BU108" s="9">
        <v>8957.7000000000007</v>
      </c>
      <c r="BV108" s="9">
        <v>9818.5</v>
      </c>
      <c r="BW108" s="9">
        <v>9278.7000000000007</v>
      </c>
      <c r="BX108" s="9">
        <v>9505.6</v>
      </c>
      <c r="BY108" s="9">
        <v>8918.7000000000007</v>
      </c>
      <c r="BZ108" s="9">
        <v>9447.9</v>
      </c>
      <c r="CA108" s="9">
        <v>9818.6</v>
      </c>
      <c r="CB108" s="9">
        <v>10150.9</v>
      </c>
      <c r="CC108" s="9">
        <v>9051.7999999999993</v>
      </c>
      <c r="CD108" s="9">
        <v>9966.2999999999993</v>
      </c>
      <c r="CE108" s="9">
        <v>8662.7000000000007</v>
      </c>
      <c r="CF108" s="9">
        <v>9722.2000000000007</v>
      </c>
      <c r="CG108" s="9">
        <v>9449.1</v>
      </c>
      <c r="CH108" s="9">
        <v>8933.5</v>
      </c>
      <c r="CI108" s="9">
        <v>9859.2000000000007</v>
      </c>
      <c r="CJ108" s="9">
        <v>8689</v>
      </c>
      <c r="CK108" s="9">
        <v>10099.1</v>
      </c>
      <c r="CL108" s="9">
        <v>8883.2999999999993</v>
      </c>
      <c r="CM108" s="9">
        <v>9829.1</v>
      </c>
      <c r="CN108" s="9">
        <v>9018.1</v>
      </c>
      <c r="CO108" s="9">
        <v>9704.1</v>
      </c>
      <c r="CP108" s="9">
        <v>9015.2000000000007</v>
      </c>
      <c r="CQ108" s="9">
        <v>10060.799999999999</v>
      </c>
      <c r="CR108" s="9">
        <v>8978.7999999999993</v>
      </c>
      <c r="CS108" s="9">
        <v>9592.2000000000007</v>
      </c>
      <c r="CT108" s="9">
        <v>9073.1</v>
      </c>
      <c r="CU108" s="9">
        <v>7977.3</v>
      </c>
      <c r="CV108" s="9">
        <v>9968.7000000000007</v>
      </c>
      <c r="CW108" s="9">
        <v>9567.7999999999993</v>
      </c>
      <c r="CX108" s="9">
        <v>8800.1</v>
      </c>
      <c r="CY108" s="9">
        <v>10172.299999999999</v>
      </c>
      <c r="CZ108" s="9">
        <v>9825</v>
      </c>
      <c r="DA108" s="9">
        <v>9079.7999999999993</v>
      </c>
      <c r="DB108" s="9">
        <v>9010.2999999999993</v>
      </c>
      <c r="DC108" s="9">
        <v>9918</v>
      </c>
      <c r="DD108" s="9">
        <v>8927.9</v>
      </c>
      <c r="DE108" s="9">
        <v>9234.1</v>
      </c>
      <c r="DF108" s="9">
        <v>10059.1</v>
      </c>
      <c r="DG108" s="9">
        <v>8816.1</v>
      </c>
      <c r="DH108" s="9">
        <v>10000.4</v>
      </c>
      <c r="DI108" s="9">
        <v>8822.6</v>
      </c>
      <c r="DJ108" s="9">
        <v>9815</v>
      </c>
      <c r="DK108" s="9">
        <v>9056.9</v>
      </c>
      <c r="DL108" s="9">
        <v>9766.5</v>
      </c>
      <c r="DM108" s="9">
        <v>8520.9</v>
      </c>
      <c r="DN108" s="9">
        <v>9774.7000000000007</v>
      </c>
      <c r="DO108" s="9">
        <v>8791.2000000000007</v>
      </c>
      <c r="DP108" s="9">
        <v>9569.1</v>
      </c>
      <c r="DQ108" s="9">
        <v>8668.7000000000007</v>
      </c>
      <c r="DR108" s="9">
        <v>9638.6</v>
      </c>
      <c r="DS108" s="9">
        <v>8833.2999999999993</v>
      </c>
      <c r="DT108" s="9">
        <v>8850.7000000000007</v>
      </c>
      <c r="DU108" s="9">
        <v>9780.7999999999993</v>
      </c>
      <c r="DV108" s="9">
        <v>8909.6</v>
      </c>
      <c r="DW108" s="9">
        <v>8759.4</v>
      </c>
      <c r="DX108" s="9">
        <v>9855.1</v>
      </c>
      <c r="DY108" s="9">
        <v>9905.2000000000007</v>
      </c>
      <c r="DZ108" s="9">
        <v>9667.2999999999993</v>
      </c>
      <c r="EA108" s="9">
        <v>8861</v>
      </c>
      <c r="EB108" s="9">
        <v>9758.7000000000007</v>
      </c>
      <c r="EC108" s="9">
        <v>8680.9</v>
      </c>
      <c r="ED108" s="9">
        <v>9438.5</v>
      </c>
      <c r="EE108" s="9">
        <v>8699.6</v>
      </c>
      <c r="EF108" s="9">
        <v>9304.7000000000007</v>
      </c>
      <c r="EG108" s="9">
        <v>8142.1</v>
      </c>
      <c r="EH108" s="9">
        <v>9437.4</v>
      </c>
      <c r="EI108" s="9">
        <v>8690.2999999999993</v>
      </c>
      <c r="EJ108" s="9">
        <v>9004.4</v>
      </c>
      <c r="EK108" s="9">
        <v>9073.6</v>
      </c>
      <c r="EL108" s="9">
        <v>8770.2999999999993</v>
      </c>
      <c r="EM108" s="9">
        <v>7628.7</v>
      </c>
      <c r="EN108" s="9">
        <v>8850.2999999999993</v>
      </c>
      <c r="EO108" s="9">
        <v>7841.9</v>
      </c>
      <c r="EP108" s="9">
        <v>9069.9</v>
      </c>
      <c r="EQ108" s="9">
        <v>9128.9</v>
      </c>
      <c r="ER108" s="9">
        <v>10326</v>
      </c>
      <c r="ES108" s="9">
        <v>9092</v>
      </c>
      <c r="ET108" s="9">
        <v>10364</v>
      </c>
      <c r="EU108" s="9">
        <v>9450</v>
      </c>
      <c r="EV108" s="9">
        <v>10386</v>
      </c>
      <c r="EW108" s="9">
        <v>9177</v>
      </c>
      <c r="EX108" s="9">
        <v>9414</v>
      </c>
      <c r="EY108" s="9">
        <v>9233</v>
      </c>
      <c r="EZ108" s="9">
        <v>9647.1</v>
      </c>
      <c r="FA108" s="9">
        <v>9976.9</v>
      </c>
      <c r="FB108" s="9">
        <v>9861.6</v>
      </c>
      <c r="FC108" s="9">
        <v>9857.2999999999993</v>
      </c>
      <c r="FD108" s="9">
        <v>10035.799999999999</v>
      </c>
      <c r="FE108" s="9">
        <v>10169.200000000001</v>
      </c>
      <c r="FF108" s="9">
        <v>9198.4</v>
      </c>
      <c r="FG108" s="9">
        <v>10002.1</v>
      </c>
      <c r="FH108" s="9">
        <v>9995.1</v>
      </c>
      <c r="FI108" s="9">
        <v>9987.2999999999993</v>
      </c>
      <c r="FJ108" s="9">
        <v>10015.700000000001</v>
      </c>
      <c r="FK108" s="9">
        <v>9971.5</v>
      </c>
      <c r="FL108" s="9">
        <v>9972.9</v>
      </c>
      <c r="FM108" s="9">
        <v>8923.5</v>
      </c>
      <c r="FN108" s="9">
        <v>9954.5</v>
      </c>
      <c r="FO108" s="9">
        <v>8969.2000000000007</v>
      </c>
      <c r="FP108" s="11">
        <v>32.875688311688307</v>
      </c>
      <c r="FQ108" s="11">
        <v>32.699493506493489</v>
      </c>
      <c r="FR108" s="11">
        <v>32.895025974025941</v>
      </c>
      <c r="FS108" s="11">
        <v>32.860558441558389</v>
      </c>
      <c r="FT108" s="11">
        <v>32.641337662337662</v>
      </c>
      <c r="FU108" s="11">
        <v>32.898519480519489</v>
      </c>
      <c r="FV108" s="11">
        <v>0</v>
      </c>
      <c r="FW108" s="11">
        <v>43.2</v>
      </c>
      <c r="FX108" s="11">
        <v>0</v>
      </c>
      <c r="FY108" s="11">
        <v>0</v>
      </c>
      <c r="FZ108" s="11">
        <v>43.2</v>
      </c>
      <c r="GA108" s="11">
        <v>43.569597402597438</v>
      </c>
      <c r="GB108" s="11">
        <v>1.1519415091818197</v>
      </c>
      <c r="GC108" s="11">
        <v>5.5076707584415612</v>
      </c>
      <c r="GD108" s="11">
        <v>4.6141188350649358</v>
      </c>
      <c r="GE108" s="11">
        <v>6.7863287519480515</v>
      </c>
      <c r="GF108" s="11">
        <v>5.3702984493506456</v>
      </c>
      <c r="GG108" s="11">
        <v>5.3334478415584439</v>
      </c>
      <c r="GH108" s="11">
        <v>7.5583330000000002</v>
      </c>
      <c r="GI108" s="11">
        <v>9.2133330000000004</v>
      </c>
      <c r="GJ108" s="11">
        <v>8.4550000000000001</v>
      </c>
      <c r="GK108" s="11">
        <v>11.286670000000001</v>
      </c>
      <c r="GL108" s="11">
        <v>8.6433330000000002</v>
      </c>
      <c r="GM108" s="11">
        <v>9.3000000000000007</v>
      </c>
      <c r="GN108" s="11">
        <v>5.5980298333333227</v>
      </c>
      <c r="GO108" s="11">
        <v>5.5511566666666674</v>
      </c>
      <c r="GP108" s="11">
        <v>5.5614309999999989</v>
      </c>
      <c r="GQ108" s="11">
        <v>5.5355288333333279</v>
      </c>
      <c r="GR108" s="11">
        <v>5.4872403333333333</v>
      </c>
      <c r="GS108" s="11">
        <v>5.331307500000003</v>
      </c>
      <c r="GT108" s="108">
        <v>1.1952501666666664</v>
      </c>
      <c r="GU108" s="108">
        <v>1.1064418333333332</v>
      </c>
      <c r="GV108" s="108">
        <v>1.1001033333333325</v>
      </c>
      <c r="GW108" s="108">
        <v>1.3296030000000005</v>
      </c>
      <c r="GX108" s="108">
        <v>1.3022790000000006</v>
      </c>
      <c r="GY108" s="108">
        <v>1.006376666666666</v>
      </c>
      <c r="GZ108" s="13">
        <v>5.4631683333333294</v>
      </c>
      <c r="HA108" s="13">
        <v>5.4038921666666662</v>
      </c>
      <c r="HB108" s="13">
        <v>5.2846291666666625</v>
      </c>
      <c r="HC108" s="13">
        <v>0</v>
      </c>
      <c r="HD108" s="13">
        <v>0</v>
      </c>
      <c r="HE108" s="13">
        <v>5.1301118333333333</v>
      </c>
      <c r="HF108" s="13">
        <v>0.41099283333333336</v>
      </c>
      <c r="HG108" s="13">
        <v>0.46999599999999997</v>
      </c>
      <c r="HH108" s="13">
        <v>0.44825550000000003</v>
      </c>
      <c r="HI108" s="13">
        <v>0.41965133333333315</v>
      </c>
      <c r="HJ108" s="13">
        <v>0.44123033333333284</v>
      </c>
      <c r="HK108" s="13">
        <v>0.43487416666666673</v>
      </c>
      <c r="HL108" s="12">
        <v>0</v>
      </c>
      <c r="HM108" s="12">
        <v>0</v>
      </c>
      <c r="HN108" s="12">
        <v>0</v>
      </c>
      <c r="HO108" s="12">
        <v>0</v>
      </c>
      <c r="HP108" s="12">
        <v>0</v>
      </c>
      <c r="HQ108" s="12">
        <v>0</v>
      </c>
      <c r="HR108" s="12">
        <v>0</v>
      </c>
      <c r="HS108" s="12">
        <v>0</v>
      </c>
      <c r="HT108" s="12">
        <v>0</v>
      </c>
      <c r="HU108" s="12">
        <v>0</v>
      </c>
      <c r="HV108" s="12">
        <v>0</v>
      </c>
      <c r="HW108" s="12">
        <v>0</v>
      </c>
      <c r="HX108" s="9">
        <v>987025</v>
      </c>
      <c r="HY108" s="9">
        <v>1840</v>
      </c>
      <c r="HZ108" s="9">
        <v>973515</v>
      </c>
      <c r="IA108" s="9">
        <v>1857</v>
      </c>
      <c r="IB108" s="11">
        <v>265491.087</v>
      </c>
      <c r="IC108" s="11">
        <v>610.66700000000003</v>
      </c>
      <c r="ID108" s="14">
        <f t="shared" ref="ID108:II108" si="1053">GN108-HL108</f>
        <v>5.5980298333333227</v>
      </c>
      <c r="IE108" s="14">
        <f t="shared" si="1053"/>
        <v>5.5511566666666674</v>
      </c>
      <c r="IF108" s="14">
        <f t="shared" si="1053"/>
        <v>5.5614309999999989</v>
      </c>
      <c r="IG108" s="14">
        <f t="shared" si="1053"/>
        <v>5.5355288333333279</v>
      </c>
      <c r="IH108" s="14">
        <f t="shared" si="1053"/>
        <v>5.4872403333333333</v>
      </c>
      <c r="II108" s="14">
        <f t="shared" si="1053"/>
        <v>5.331307500000003</v>
      </c>
      <c r="IJ108" s="15">
        <f t="shared" ref="IJ108:IO108" si="1054">GZ108-HR108</f>
        <v>5.4631683333333294</v>
      </c>
      <c r="IK108" s="15">
        <f t="shared" si="1054"/>
        <v>5.4038921666666662</v>
      </c>
      <c r="IL108" s="15">
        <f t="shared" si="1054"/>
        <v>5.2846291666666625</v>
      </c>
      <c r="IM108" s="15">
        <f t="shared" si="1054"/>
        <v>0</v>
      </c>
      <c r="IN108" s="15">
        <f t="shared" si="1054"/>
        <v>0</v>
      </c>
      <c r="IO108" s="15">
        <f t="shared" si="1054"/>
        <v>5.1301118333333333</v>
      </c>
      <c r="IP108" s="16">
        <f t="shared" ref="IP108" si="1055">(HX108-HX107)*1000</f>
        <v>769000</v>
      </c>
      <c r="IQ108" s="16">
        <f t="shared" ref="IQ108" si="1056">(HY108-HY107)*1000</f>
        <v>2000</v>
      </c>
      <c r="IR108" s="16">
        <f t="shared" ref="IR108" si="1057">(HZ108-HZ107)*1000</f>
        <v>747000</v>
      </c>
      <c r="IS108" s="16">
        <f t="shared" ref="IS108" si="1058">(IA108-IA107)*1000</f>
        <v>2000</v>
      </c>
      <c r="IT108" s="16">
        <f t="shared" ref="IT108" si="1059">(IB108-IB107)*1000</f>
        <v>1517599.9999999767</v>
      </c>
      <c r="IU108" s="16">
        <f t="shared" ref="IU108" si="1060">(IC108-IC107)*1000</f>
        <v>4334.00000000006</v>
      </c>
      <c r="IV108" s="17">
        <f t="shared" ref="IV108" si="1061">(IP108+IR108)-(IQ108+IS108)</f>
        <v>1512000</v>
      </c>
      <c r="IW108" s="17">
        <f t="shared" ref="IW108" si="1062">IT108-IU108</f>
        <v>1513265.9999999767</v>
      </c>
      <c r="IX108" s="19">
        <f>(Raw_Data[[#This Row],[Sunset Time (POA&lt;20 W/m2)]]-Raw_Data[[#This Row],[Sunrise Time (POA&gt;20 W/m2)]])*24</f>
        <v>12.899999999999999</v>
      </c>
      <c r="IY108" s="68">
        <f>AVERAGEIF(Raw_Data[[#This Row],[GHI_UP_Net_IS2_W1]:[GHI_UP_Net_IS19_W6]],"&lt;&gt;"&amp;0,Raw_Data[[#This Row],[GHI_UP_Net_IS2_W1]:[GHI_UP_Net_IS19_W6]])</f>
        <v>5.5107823611111089</v>
      </c>
      <c r="IZ108" s="68">
        <f>AVERAGEIF(Raw_Data[[#This Row],[GHI_Down_IS2_W1]:[GHI_Down_IS19_W6]],"&lt;&gt;"&amp;0,Raw_Data[[#This Row],[GHI_Down_IS2_W1]:[GHI_Down_IS19_W6]])</f>
        <v>1.1733423333333333</v>
      </c>
      <c r="JA108" s="68">
        <f>AVERAGEIF(Raw_Data[[#This Row],[POA_Up_IS2_W1]:[POA_Up_IS19_W6]],"&lt;&gt;"&amp;0,Raw_Data[[#This Row],[POA_Up_IS2_W1]:[POA_Up_IS19_W6]])</f>
        <v>5.3204503749999983</v>
      </c>
      <c r="JB108" s="68">
        <f>AVERAGEIF(Raw_Data[[#This Row],[POA_Down_IS2_W1]:[POA_Down_IS19_W6]],"&lt;&gt;"&amp;0,Raw_Data[[#This Row],[POA_Down_IS2_W1]:[POA_Down_IS19_W6]])</f>
        <v>0.43750002777777769</v>
      </c>
      <c r="JC108" s="69">
        <f>Raw_Data[[#This Row],[GHI-Down(KWh/m2)]]/Raw_Data[[#This Row],[GHI-UP (KWh/m2)]]</f>
        <v>0.21291755987561059</v>
      </c>
      <c r="JD108" s="72">
        <f>Raw_Data[[#This Row],[POA-Down(KWh/m2)]]/Raw_Data[[#This Row],[POA-UP(KWh/m2)]]</f>
        <v>8.2229885994900914E-2</v>
      </c>
      <c r="JE108" s="68">
        <f>AVERAGEIF(Raw_Data[[#This Row],[Amb_Temp_IS2_W1]:[Amb_Temp_IS19_W6]],"&lt;&gt;"&amp;0,Raw_Data[[#This Row],[Amb_Temp_IS2_W1]:[Amb_Temp_IS19_W6]])</f>
        <v>32.811770562770548</v>
      </c>
      <c r="JF108" s="68">
        <f>AVERAGEIF(Raw_Data[[#This Row],[MT_Temp_IS2_W1]:[MT_Temp_IS19_W6]],"&lt;&gt;"&amp;0,Raw_Data[[#This Row],[MT_Temp_IS2_W1]:[MT_Temp_IS19_W6]])</f>
        <v>43.32319913419915</v>
      </c>
      <c r="JG108" s="68">
        <f>AVERAGEIF(Raw_Data[[#This Row],[WS_Avg_IS2_W1]:[WS_Avg_IS19_W6]],"&lt;&gt;"&amp;0,Raw_Data[[#This Row],[WS_Avg_IS2_W1]:[WS_Avg_IS19_W6]])</f>
        <v>4.7939676909242435</v>
      </c>
      <c r="JH108" s="68">
        <f>AVERAGEIF(Raw_Data[[#This Row],[WS_Max_IS2_W1]:[WS_Max_IS19_W6]],"&lt;&gt;"&amp;0,Raw_Data[[#This Row],[WS_Max_IS2_W1]:[WS_Max_IS19_W6]])</f>
        <v>9.0761115000000014</v>
      </c>
      <c r="JI108" s="70">
        <f>SUM(Raw_Data[[#This Row],[IS1_INV1_M1]:[IS20_INV4_M2]])</f>
        <v>1524857.1999999997</v>
      </c>
      <c r="JJ108" s="73">
        <v>1485067.0000000391</v>
      </c>
      <c r="JK108" s="71">
        <v>1774523.9157245972</v>
      </c>
      <c r="JL108" s="143">
        <f>IFERROR(Raw_Data[[#This Row],[WPR_Eac]]/Raw_Data[[#This Row],[WPR_Edc]],"")</f>
        <v>0.83688193032531588</v>
      </c>
      <c r="JM108" s="6">
        <v>23</v>
      </c>
      <c r="JN108" s="6" t="s">
        <v>2635</v>
      </c>
    </row>
    <row r="109" spans="2:274">
      <c r="B109" s="250">
        <f t="shared" si="596"/>
        <v>45848</v>
      </c>
      <c r="C109" s="9">
        <f>YEAR(Raw_Data[[#This Row],[Date]])+IF(MONTH(Raw_Data[[#This Row],[Date]])&gt;=4,1,0)</f>
        <v>2026</v>
      </c>
      <c r="D109" s="6">
        <f t="shared" si="1031"/>
        <v>2025</v>
      </c>
      <c r="E109" s="7" t="s">
        <v>361</v>
      </c>
      <c r="F109" s="7" t="s">
        <v>361</v>
      </c>
      <c r="G109" s="8">
        <v>45839</v>
      </c>
      <c r="H109" s="6">
        <f t="shared" si="1032"/>
        <v>31</v>
      </c>
      <c r="I109" s="9">
        <v>337338.84499999956</v>
      </c>
      <c r="J109" s="10">
        <v>0.26805555555555555</v>
      </c>
      <c r="K109" s="10">
        <v>0.80833333333333335</v>
      </c>
      <c r="L109" s="9">
        <v>8152</v>
      </c>
      <c r="M109" s="9">
        <v>8538.1</v>
      </c>
      <c r="N109" s="9">
        <v>9935.2999999999993</v>
      </c>
      <c r="O109" s="9">
        <v>9794</v>
      </c>
      <c r="P109" s="9">
        <v>10171.200000000001</v>
      </c>
      <c r="Q109" s="9">
        <v>10236.299999999999</v>
      </c>
      <c r="R109" s="9">
        <v>10105.1</v>
      </c>
      <c r="S109" s="9">
        <v>10441.200000000001</v>
      </c>
      <c r="T109" s="9">
        <v>9832.2999999999993</v>
      </c>
      <c r="U109" s="9">
        <v>9589.5</v>
      </c>
      <c r="V109" s="9">
        <v>10799.2</v>
      </c>
      <c r="W109" s="9">
        <v>9810.2000000000007</v>
      </c>
      <c r="X109" s="9">
        <v>10989</v>
      </c>
      <c r="Y109" s="9">
        <v>9914.6</v>
      </c>
      <c r="Z109" s="9">
        <v>10222.200000000001</v>
      </c>
      <c r="AA109" s="9">
        <v>10223.9</v>
      </c>
      <c r="AB109" s="9">
        <v>10183.1</v>
      </c>
      <c r="AC109" s="9">
        <v>10110.6</v>
      </c>
      <c r="AD109" s="9">
        <v>10192.200000000001</v>
      </c>
      <c r="AE109" s="9">
        <v>10216.200000000001</v>
      </c>
      <c r="AF109" s="9">
        <v>10132.4</v>
      </c>
      <c r="AG109" s="9">
        <v>10140</v>
      </c>
      <c r="AH109" s="9">
        <v>9845</v>
      </c>
      <c r="AI109" s="9">
        <v>9967.7000000000007</v>
      </c>
      <c r="AJ109" s="9">
        <v>9884.7999999999993</v>
      </c>
      <c r="AK109" s="9">
        <v>8659.7000000000007</v>
      </c>
      <c r="AL109" s="9">
        <v>9798.4</v>
      </c>
      <c r="AM109" s="9">
        <v>9861.9</v>
      </c>
      <c r="AN109" s="9">
        <v>10115.9</v>
      </c>
      <c r="AO109" s="9">
        <v>10001.5</v>
      </c>
      <c r="AP109" s="9">
        <v>9845.7000000000007</v>
      </c>
      <c r="AQ109" s="9">
        <v>10053.1</v>
      </c>
      <c r="AR109" s="9">
        <v>9988.2000000000007</v>
      </c>
      <c r="AS109" s="9">
        <v>10023.1</v>
      </c>
      <c r="AT109" s="9">
        <v>10242.299999999999</v>
      </c>
      <c r="AU109" s="9">
        <v>10044.299999999999</v>
      </c>
      <c r="AV109" s="9">
        <v>10084.799999999999</v>
      </c>
      <c r="AW109" s="9">
        <v>9892.2999999999993</v>
      </c>
      <c r="AX109" s="9">
        <v>9963.2999999999993</v>
      </c>
      <c r="AY109" s="9">
        <v>9889.7999999999993</v>
      </c>
      <c r="AZ109" s="9">
        <v>11002.9</v>
      </c>
      <c r="BA109" s="9">
        <v>11055.1</v>
      </c>
      <c r="BB109" s="9">
        <v>10943.4</v>
      </c>
      <c r="BC109" s="9">
        <v>11076.2</v>
      </c>
      <c r="BD109" s="9">
        <v>11275.3</v>
      </c>
      <c r="BE109" s="9">
        <v>11616.2</v>
      </c>
      <c r="BF109" s="9">
        <v>11110.9</v>
      </c>
      <c r="BG109" s="9">
        <v>11111.4</v>
      </c>
      <c r="BH109" s="9">
        <v>10034.6</v>
      </c>
      <c r="BI109" s="9">
        <v>10112.4</v>
      </c>
      <c r="BJ109" s="9">
        <v>10032.700000000001</v>
      </c>
      <c r="BK109" s="9">
        <v>9379.7000000000007</v>
      </c>
      <c r="BL109" s="9">
        <v>10422.6</v>
      </c>
      <c r="BM109" s="9">
        <v>10341.799999999999</v>
      </c>
      <c r="BN109" s="9">
        <v>10214.6</v>
      </c>
      <c r="BO109" s="9">
        <v>10279.4</v>
      </c>
      <c r="BP109" s="9">
        <v>8885.5</v>
      </c>
      <c r="BQ109" s="9">
        <v>10223.299999999999</v>
      </c>
      <c r="BR109" s="9">
        <v>9013.9</v>
      </c>
      <c r="BS109" s="9">
        <v>10177</v>
      </c>
      <c r="BT109" s="9">
        <v>10022.9</v>
      </c>
      <c r="BU109" s="9">
        <v>8968.2000000000007</v>
      </c>
      <c r="BV109" s="9">
        <v>9644.2999999999993</v>
      </c>
      <c r="BW109" s="9">
        <v>9162.5</v>
      </c>
      <c r="BX109" s="9">
        <v>9361.5</v>
      </c>
      <c r="BY109" s="9">
        <v>8825.5</v>
      </c>
      <c r="BZ109" s="9">
        <v>9276.7000000000007</v>
      </c>
      <c r="CA109" s="9">
        <v>9781.5</v>
      </c>
      <c r="CB109" s="9">
        <v>9954.4</v>
      </c>
      <c r="CC109" s="9">
        <v>8973.9</v>
      </c>
      <c r="CD109" s="9">
        <v>9829.6</v>
      </c>
      <c r="CE109" s="9">
        <v>8577.2999999999993</v>
      </c>
      <c r="CF109" s="9">
        <v>9534.9</v>
      </c>
      <c r="CG109" s="9">
        <v>9332.2000000000007</v>
      </c>
      <c r="CH109" s="9">
        <v>8789.7000000000007</v>
      </c>
      <c r="CI109" s="9">
        <v>9787.5</v>
      </c>
      <c r="CJ109" s="9">
        <v>8579.9</v>
      </c>
      <c r="CK109" s="9">
        <v>9984.7999999999993</v>
      </c>
      <c r="CL109" s="9">
        <v>8733.2000000000007</v>
      </c>
      <c r="CM109" s="9">
        <v>9734.9</v>
      </c>
      <c r="CN109" s="9">
        <v>9040.9</v>
      </c>
      <c r="CO109" s="9">
        <v>9742</v>
      </c>
      <c r="CP109" s="9">
        <v>9035.5</v>
      </c>
      <c r="CQ109" s="9">
        <v>10149.4</v>
      </c>
      <c r="CR109" s="9">
        <v>9041.7999999999993</v>
      </c>
      <c r="CS109" s="9">
        <v>9670.6</v>
      </c>
      <c r="CT109" s="9">
        <v>9041.4</v>
      </c>
      <c r="CU109" s="9">
        <v>7922.9</v>
      </c>
      <c r="CV109" s="9">
        <v>10043.6</v>
      </c>
      <c r="CW109" s="9">
        <v>9523.5</v>
      </c>
      <c r="CX109" s="9">
        <v>8962.5</v>
      </c>
      <c r="CY109" s="9">
        <v>10443.9</v>
      </c>
      <c r="CZ109" s="9">
        <v>10215.799999999999</v>
      </c>
      <c r="DA109" s="9">
        <v>9481</v>
      </c>
      <c r="DB109" s="9">
        <v>9407.2999999999993</v>
      </c>
      <c r="DC109" s="9">
        <v>10331</v>
      </c>
      <c r="DD109" s="9">
        <v>9300.2999999999993</v>
      </c>
      <c r="DE109" s="9">
        <v>9573.2999999999993</v>
      </c>
      <c r="DF109" s="9">
        <v>10595.5</v>
      </c>
      <c r="DG109" s="9">
        <v>9209.9</v>
      </c>
      <c r="DH109" s="9">
        <v>10503.4</v>
      </c>
      <c r="DI109" s="9">
        <v>9242.7999999999993</v>
      </c>
      <c r="DJ109" s="9">
        <v>10344.1</v>
      </c>
      <c r="DK109" s="9">
        <v>9481.4</v>
      </c>
      <c r="DL109" s="9">
        <v>10405.1</v>
      </c>
      <c r="DM109" s="9">
        <v>9002.2999999999993</v>
      </c>
      <c r="DN109" s="9">
        <v>10417.5</v>
      </c>
      <c r="DO109" s="9">
        <v>9367.7000000000007</v>
      </c>
      <c r="DP109" s="9">
        <v>10154.5</v>
      </c>
      <c r="DQ109" s="9">
        <v>9195.5</v>
      </c>
      <c r="DR109" s="9">
        <v>10189.9</v>
      </c>
      <c r="DS109" s="9">
        <v>9399.4</v>
      </c>
      <c r="DT109" s="9">
        <v>9186.1</v>
      </c>
      <c r="DU109" s="9">
        <v>10217.1</v>
      </c>
      <c r="DV109" s="9">
        <v>9328.1</v>
      </c>
      <c r="DW109" s="9">
        <v>9143.4</v>
      </c>
      <c r="DX109" s="9">
        <v>10287.4</v>
      </c>
      <c r="DY109" s="9">
        <v>10301.700000000001</v>
      </c>
      <c r="DZ109" s="9">
        <v>10193.4</v>
      </c>
      <c r="EA109" s="9">
        <v>9142.2999999999993</v>
      </c>
      <c r="EB109" s="9">
        <v>10328.1</v>
      </c>
      <c r="EC109" s="9">
        <v>9229.5</v>
      </c>
      <c r="ED109" s="9">
        <v>10102.299999999999</v>
      </c>
      <c r="EE109" s="9">
        <v>9343.2000000000007</v>
      </c>
      <c r="EF109" s="9">
        <v>9914.2000000000007</v>
      </c>
      <c r="EG109" s="9">
        <v>8661.7000000000007</v>
      </c>
      <c r="EH109" s="9">
        <v>10101</v>
      </c>
      <c r="EI109" s="9">
        <v>9238.5</v>
      </c>
      <c r="EJ109" s="9">
        <v>9283.9</v>
      </c>
      <c r="EK109" s="9">
        <v>9351.1</v>
      </c>
      <c r="EL109" s="9">
        <v>9270.2000000000007</v>
      </c>
      <c r="EM109" s="9">
        <v>7961.6</v>
      </c>
      <c r="EN109" s="9">
        <v>9146.5</v>
      </c>
      <c r="EO109" s="9">
        <v>8079.8</v>
      </c>
      <c r="EP109" s="9">
        <v>9153.2000000000007</v>
      </c>
      <c r="EQ109" s="9">
        <v>9209.2000000000007</v>
      </c>
      <c r="ER109" s="9">
        <v>10678.1</v>
      </c>
      <c r="ES109" s="9">
        <v>9318.9</v>
      </c>
      <c r="ET109" s="9">
        <v>10688</v>
      </c>
      <c r="EU109" s="9">
        <v>10505.4</v>
      </c>
      <c r="EV109" s="9">
        <v>10679.9</v>
      </c>
      <c r="EW109" s="9">
        <v>9353.7999999999993</v>
      </c>
      <c r="EX109" s="9">
        <v>9537.1</v>
      </c>
      <c r="EY109" s="9">
        <v>9460.2000000000007</v>
      </c>
      <c r="EZ109" s="9">
        <v>10225.200000000001</v>
      </c>
      <c r="FA109" s="9">
        <v>10644.5</v>
      </c>
      <c r="FB109" s="9">
        <v>10450.1</v>
      </c>
      <c r="FC109" s="9">
        <v>10414.1</v>
      </c>
      <c r="FD109" s="9">
        <v>10418.299999999999</v>
      </c>
      <c r="FE109" s="9">
        <v>10482.9</v>
      </c>
      <c r="FF109" s="9">
        <v>9515.6</v>
      </c>
      <c r="FG109" s="9">
        <v>10516.4</v>
      </c>
      <c r="FH109" s="9">
        <v>10638.7</v>
      </c>
      <c r="FI109" s="9">
        <v>10645.1</v>
      </c>
      <c r="FJ109" s="9">
        <v>10668.6</v>
      </c>
      <c r="FK109" s="9">
        <v>10635.3</v>
      </c>
      <c r="FL109" s="9">
        <v>10635</v>
      </c>
      <c r="FM109" s="9">
        <v>9500.2000000000007</v>
      </c>
      <c r="FN109" s="9">
        <v>10624.6</v>
      </c>
      <c r="FO109" s="9">
        <v>9521.7999999999993</v>
      </c>
      <c r="FP109" s="11">
        <v>32.414999999999999</v>
      </c>
      <c r="FQ109" s="11">
        <v>32.287219387755101</v>
      </c>
      <c r="FR109" s="11">
        <v>32.577691326530655</v>
      </c>
      <c r="FS109" s="11">
        <v>32.401977040816369</v>
      </c>
      <c r="FT109" s="11">
        <v>32.268380102040801</v>
      </c>
      <c r="FU109" s="11">
        <v>32.509349489795916</v>
      </c>
      <c r="FV109" s="11">
        <v>0</v>
      </c>
      <c r="FW109" s="11">
        <v>44</v>
      </c>
      <c r="FX109" s="11">
        <v>0</v>
      </c>
      <c r="FY109" s="11">
        <v>0</v>
      </c>
      <c r="FZ109" s="11">
        <v>44</v>
      </c>
      <c r="GA109" s="11">
        <v>44.1</v>
      </c>
      <c r="GB109" s="11">
        <v>0.57615219457908173</v>
      </c>
      <c r="GC109" s="11">
        <v>4.3504101160714272</v>
      </c>
      <c r="GD109" s="11">
        <v>3.6034352114795829</v>
      </c>
      <c r="GE109" s="11">
        <v>5.024234468545929</v>
      </c>
      <c r="GF109" s="11">
        <v>4.3255163813775548</v>
      </c>
      <c r="GG109" s="11">
        <v>4.1255227933673524</v>
      </c>
      <c r="GH109" s="11">
        <v>5.57</v>
      </c>
      <c r="GI109" s="11">
        <v>9.0299999999999994</v>
      </c>
      <c r="GJ109" s="11">
        <v>7.2433339999999999</v>
      </c>
      <c r="GK109" s="11">
        <v>10.238329999999999</v>
      </c>
      <c r="GL109" s="11">
        <v>7.386666</v>
      </c>
      <c r="GM109" s="11">
        <v>7.4599989999999998</v>
      </c>
      <c r="GN109" s="11">
        <v>5.7150441666666731</v>
      </c>
      <c r="GO109" s="11">
        <v>5.8145731666666594</v>
      </c>
      <c r="GP109" s="11">
        <v>6.00350916666667</v>
      </c>
      <c r="GQ109" s="11">
        <v>5.4663021666666696</v>
      </c>
      <c r="GR109" s="11">
        <v>5.7490330000000034</v>
      </c>
      <c r="GS109" s="11">
        <v>5.6750893333333314</v>
      </c>
      <c r="GT109" s="108">
        <v>1.2191863333333341</v>
      </c>
      <c r="GU109" s="108">
        <v>1.1682324999999996</v>
      </c>
      <c r="GV109" s="108">
        <v>1.1895744999999986</v>
      </c>
      <c r="GW109" s="108">
        <v>1.3134329999999992</v>
      </c>
      <c r="GX109" s="108">
        <v>1.3800575000000008</v>
      </c>
      <c r="GY109" s="108">
        <v>1.0860261666666673</v>
      </c>
      <c r="GZ109" s="13">
        <v>5.5546010000000017</v>
      </c>
      <c r="HA109" s="13">
        <v>5.6426918333333367</v>
      </c>
      <c r="HB109" s="13">
        <v>5.6875305000000074</v>
      </c>
      <c r="HC109" s="13">
        <v>0</v>
      </c>
      <c r="HD109" s="13">
        <v>0</v>
      </c>
      <c r="HE109" s="13">
        <v>5.4438143333333269</v>
      </c>
      <c r="HF109" s="13">
        <v>0.41495199999999999</v>
      </c>
      <c r="HG109" s="13">
        <v>0.47996916666666717</v>
      </c>
      <c r="HH109" s="13">
        <v>0.45668916666666665</v>
      </c>
      <c r="HI109" s="13">
        <v>0.40812533333333345</v>
      </c>
      <c r="HJ109" s="13">
        <v>0.4502033333333339</v>
      </c>
      <c r="HK109" s="13">
        <v>0.44852516666666664</v>
      </c>
      <c r="HL109" s="12">
        <v>0</v>
      </c>
      <c r="HM109" s="12">
        <v>0</v>
      </c>
      <c r="HN109" s="12">
        <v>0</v>
      </c>
      <c r="HO109" s="12">
        <v>0</v>
      </c>
      <c r="HP109" s="12">
        <v>0</v>
      </c>
      <c r="HQ109" s="12">
        <v>0</v>
      </c>
      <c r="HR109" s="12">
        <v>0</v>
      </c>
      <c r="HS109" s="12">
        <v>0</v>
      </c>
      <c r="HT109" s="12">
        <v>0</v>
      </c>
      <c r="HU109" s="12">
        <v>0</v>
      </c>
      <c r="HV109" s="12">
        <v>0</v>
      </c>
      <c r="HW109" s="12">
        <v>0</v>
      </c>
      <c r="HX109" s="9">
        <v>987810</v>
      </c>
      <c r="HY109" s="9">
        <v>1842</v>
      </c>
      <c r="HZ109" s="9">
        <v>974294</v>
      </c>
      <c r="IA109" s="9">
        <v>1858</v>
      </c>
      <c r="IB109" s="11">
        <v>267056.95400000003</v>
      </c>
      <c r="IC109" s="11">
        <v>614.86699999999996</v>
      </c>
      <c r="ID109" s="14">
        <f t="shared" ref="ID109:II109" si="1063">GN109-HL109</f>
        <v>5.7150441666666731</v>
      </c>
      <c r="IE109" s="14">
        <f t="shared" si="1063"/>
        <v>5.8145731666666594</v>
      </c>
      <c r="IF109" s="14">
        <f t="shared" si="1063"/>
        <v>6.00350916666667</v>
      </c>
      <c r="IG109" s="14">
        <f t="shared" si="1063"/>
        <v>5.4663021666666696</v>
      </c>
      <c r="IH109" s="14">
        <f t="shared" si="1063"/>
        <v>5.7490330000000034</v>
      </c>
      <c r="II109" s="14">
        <f t="shared" si="1063"/>
        <v>5.6750893333333314</v>
      </c>
      <c r="IJ109" s="15">
        <f t="shared" ref="IJ109:IO109" si="1064">GZ109-HR109</f>
        <v>5.5546010000000017</v>
      </c>
      <c r="IK109" s="15">
        <f t="shared" si="1064"/>
        <v>5.6426918333333367</v>
      </c>
      <c r="IL109" s="15">
        <f t="shared" si="1064"/>
        <v>5.6875305000000074</v>
      </c>
      <c r="IM109" s="15">
        <f t="shared" si="1064"/>
        <v>0</v>
      </c>
      <c r="IN109" s="15">
        <f t="shared" si="1064"/>
        <v>0</v>
      </c>
      <c r="IO109" s="15">
        <f t="shared" si="1064"/>
        <v>5.4438143333333269</v>
      </c>
      <c r="IP109" s="16">
        <f t="shared" ref="IP109" si="1065">(HX109-HX108)*1000</f>
        <v>785000</v>
      </c>
      <c r="IQ109" s="16">
        <f t="shared" ref="IQ109" si="1066">(HY109-HY108)*1000</f>
        <v>2000</v>
      </c>
      <c r="IR109" s="16">
        <f t="shared" ref="IR109" si="1067">(HZ109-HZ108)*1000</f>
        <v>779000</v>
      </c>
      <c r="IS109" s="16">
        <f t="shared" ref="IS109" si="1068">(IA109-IA108)*1000</f>
        <v>1000</v>
      </c>
      <c r="IT109" s="16">
        <f t="shared" ref="IT109" si="1069">(IB109-IB108)*1000</f>
        <v>1565867.0000000275</v>
      </c>
      <c r="IU109" s="16">
        <f t="shared" ref="IU109" si="1070">(IC109-IC108)*1000</f>
        <v>4199.9999999999318</v>
      </c>
      <c r="IV109" s="17">
        <f t="shared" ref="IV109" si="1071">(IP109+IR109)-(IQ109+IS109)</f>
        <v>1561000</v>
      </c>
      <c r="IW109" s="17">
        <f t="shared" ref="IW109" si="1072">IT109-IU109</f>
        <v>1561667.0000000275</v>
      </c>
      <c r="IX109" s="19">
        <f>(Raw_Data[[#This Row],[Sunset Time (POA&lt;20 W/m2)]]-Raw_Data[[#This Row],[Sunrise Time (POA&gt;20 W/m2)]])*24</f>
        <v>12.966666666666669</v>
      </c>
      <c r="IY109" s="68">
        <f>AVERAGEIF(Raw_Data[[#This Row],[GHI_UP_Net_IS2_W1]:[GHI_UP_Net_IS19_W6]],"&lt;&gt;"&amp;0,Raw_Data[[#This Row],[GHI_UP_Net_IS2_W1]:[GHI_UP_Net_IS19_W6]])</f>
        <v>5.7372585000000003</v>
      </c>
      <c r="IZ109" s="68">
        <f>AVERAGEIF(Raw_Data[[#This Row],[GHI_Down_IS2_W1]:[GHI_Down_IS19_W6]],"&lt;&gt;"&amp;0,Raw_Data[[#This Row],[GHI_Down_IS2_W1]:[GHI_Down_IS19_W6]])</f>
        <v>1.2260849999999999</v>
      </c>
      <c r="JA109" s="68">
        <f>AVERAGEIF(Raw_Data[[#This Row],[POA_Up_IS2_W1]:[POA_Up_IS19_W6]],"&lt;&gt;"&amp;0,Raw_Data[[#This Row],[POA_Up_IS2_W1]:[POA_Up_IS19_W6]])</f>
        <v>5.5821594166666682</v>
      </c>
      <c r="JB109" s="68">
        <f>AVERAGEIF(Raw_Data[[#This Row],[POA_Down_IS2_W1]:[POA_Down_IS19_W6]],"&lt;&gt;"&amp;0,Raw_Data[[#This Row],[POA_Down_IS2_W1]:[POA_Down_IS19_W6]])</f>
        <v>0.44307736111111135</v>
      </c>
      <c r="JC109" s="69">
        <f>Raw_Data[[#This Row],[GHI-Down(KWh/m2)]]/Raw_Data[[#This Row],[GHI-UP (KWh/m2)]]</f>
        <v>0.21370572722145947</v>
      </c>
      <c r="JD109" s="72">
        <f>Raw_Data[[#This Row],[POA-Down(KWh/m2)]]/Raw_Data[[#This Row],[POA-UP(KWh/m2)]]</f>
        <v>7.9373827946979461E-2</v>
      </c>
      <c r="JE109" s="68">
        <f>AVERAGEIF(Raw_Data[[#This Row],[Amb_Temp_IS2_W1]:[Amb_Temp_IS19_W6]],"&lt;&gt;"&amp;0,Raw_Data[[#This Row],[Amb_Temp_IS2_W1]:[Amb_Temp_IS19_W6]])</f>
        <v>32.409936224489805</v>
      </c>
      <c r="JF109" s="68">
        <f>AVERAGEIF(Raw_Data[[#This Row],[MT_Temp_IS2_W1]:[MT_Temp_IS19_W6]],"&lt;&gt;"&amp;0,Raw_Data[[#This Row],[MT_Temp_IS2_W1]:[MT_Temp_IS19_W6]])</f>
        <v>44.033333333333331</v>
      </c>
      <c r="JG109" s="68">
        <f>AVERAGEIF(Raw_Data[[#This Row],[WS_Avg_IS2_W1]:[WS_Avg_IS19_W6]],"&lt;&gt;"&amp;0,Raw_Data[[#This Row],[WS_Avg_IS2_W1]:[WS_Avg_IS19_W6]])</f>
        <v>3.6675451942368213</v>
      </c>
      <c r="JH109" s="68">
        <f>AVERAGEIF(Raw_Data[[#This Row],[WS_Max_IS2_W1]:[WS_Max_IS19_W6]],"&lt;&gt;"&amp;0,Raw_Data[[#This Row],[WS_Max_IS2_W1]:[WS_Max_IS19_W6]])</f>
        <v>7.8213881666666651</v>
      </c>
      <c r="JI109" s="70">
        <f>SUM(Raw_Data[[#This Row],[IS1_INV1_M1]:[IS20_INV4_M2]])</f>
        <v>1573421.7000000007</v>
      </c>
      <c r="JJ109" s="73">
        <v>1120668.0000000633</v>
      </c>
      <c r="JK109" s="71">
        <v>1331673.6741741684</v>
      </c>
      <c r="JL109" s="143">
        <f>IFERROR(Raw_Data[[#This Row],[WPR_Eac]]/Raw_Data[[#This Row],[WPR_Edc]],"")</f>
        <v>0.84154851277287634</v>
      </c>
      <c r="JM109" s="6">
        <v>24</v>
      </c>
      <c r="JN109" s="6" t="s">
        <v>2635</v>
      </c>
    </row>
    <row r="110" spans="2:274">
      <c r="B110" s="250">
        <f t="shared" si="596"/>
        <v>45849</v>
      </c>
      <c r="C110" s="9">
        <f>YEAR(Raw_Data[[#This Row],[Date]])+IF(MONTH(Raw_Data[[#This Row],[Date]])&gt;=4,1,0)</f>
        <v>2026</v>
      </c>
      <c r="D110" s="6">
        <f t="shared" si="1031"/>
        <v>2025</v>
      </c>
      <c r="E110" s="7" t="s">
        <v>361</v>
      </c>
      <c r="F110" s="7" t="s">
        <v>361</v>
      </c>
      <c r="G110" s="8">
        <v>45839</v>
      </c>
      <c r="H110" s="6">
        <f t="shared" si="1032"/>
        <v>31</v>
      </c>
      <c r="I110" s="9">
        <v>337338.84499999956</v>
      </c>
      <c r="J110" s="10">
        <v>0.26874999999999999</v>
      </c>
      <c r="K110" s="10">
        <v>0.76180555555555551</v>
      </c>
      <c r="L110" s="9">
        <v>10616.5</v>
      </c>
      <c r="M110" s="9">
        <v>11224</v>
      </c>
      <c r="N110" s="9">
        <v>11118.6</v>
      </c>
      <c r="O110" s="9">
        <v>11054.2</v>
      </c>
      <c r="P110" s="9">
        <v>11199.1</v>
      </c>
      <c r="Q110" s="9">
        <v>11322</v>
      </c>
      <c r="R110" s="9">
        <v>11449.1</v>
      </c>
      <c r="S110" s="9">
        <v>11859.8</v>
      </c>
      <c r="T110" s="9">
        <v>11355.4</v>
      </c>
      <c r="U110" s="9">
        <v>11120.4</v>
      </c>
      <c r="V110" s="9">
        <v>12375.1</v>
      </c>
      <c r="W110" s="9">
        <v>11407.7</v>
      </c>
      <c r="X110" s="9">
        <v>12379.7</v>
      </c>
      <c r="Y110" s="9">
        <v>11440.3</v>
      </c>
      <c r="Z110" s="9">
        <v>11338.6</v>
      </c>
      <c r="AA110" s="9">
        <v>11425.5</v>
      </c>
      <c r="AB110" s="9">
        <v>11255.7</v>
      </c>
      <c r="AC110" s="9">
        <v>11143.9</v>
      </c>
      <c r="AD110" s="9">
        <v>11332.4</v>
      </c>
      <c r="AE110" s="9">
        <v>11430.7</v>
      </c>
      <c r="AF110" s="9">
        <v>11231</v>
      </c>
      <c r="AG110" s="9">
        <v>11262.1</v>
      </c>
      <c r="AH110" s="9">
        <v>10893.8</v>
      </c>
      <c r="AI110" s="9">
        <v>11033.8</v>
      </c>
      <c r="AJ110" s="9">
        <v>10945.9</v>
      </c>
      <c r="AK110" s="9">
        <v>9635.2000000000007</v>
      </c>
      <c r="AL110" s="9">
        <v>11011.3</v>
      </c>
      <c r="AM110" s="9">
        <v>10954.2</v>
      </c>
      <c r="AN110" s="9">
        <v>11179.3</v>
      </c>
      <c r="AO110" s="9">
        <v>11060.1</v>
      </c>
      <c r="AP110" s="9">
        <v>10911.9</v>
      </c>
      <c r="AQ110" s="9">
        <v>11124.2</v>
      </c>
      <c r="AR110" s="9">
        <v>11081.2</v>
      </c>
      <c r="AS110" s="9">
        <v>11063.9</v>
      </c>
      <c r="AT110" s="9">
        <v>11331.9</v>
      </c>
      <c r="AU110" s="9">
        <v>11150</v>
      </c>
      <c r="AV110" s="9">
        <v>11224.5</v>
      </c>
      <c r="AW110" s="9">
        <v>11031.7</v>
      </c>
      <c r="AX110" s="9">
        <v>11093.7</v>
      </c>
      <c r="AY110" s="9">
        <v>11080</v>
      </c>
      <c r="AZ110" s="9">
        <v>11648.6</v>
      </c>
      <c r="BA110" s="9">
        <v>11636.3</v>
      </c>
      <c r="BB110" s="9">
        <v>11617.4</v>
      </c>
      <c r="BC110" s="9">
        <v>11630.2</v>
      </c>
      <c r="BD110" s="9">
        <v>11989.6</v>
      </c>
      <c r="BE110" s="9">
        <v>12396.7</v>
      </c>
      <c r="BF110" s="9">
        <v>11891.3</v>
      </c>
      <c r="BG110" s="9">
        <v>11876.2</v>
      </c>
      <c r="BH110" s="9">
        <v>11554.1</v>
      </c>
      <c r="BI110" s="9">
        <v>11655.8</v>
      </c>
      <c r="BJ110" s="9">
        <v>11463.1</v>
      </c>
      <c r="BK110" s="9">
        <v>10763</v>
      </c>
      <c r="BL110" s="9">
        <v>11801.4</v>
      </c>
      <c r="BM110" s="9">
        <v>11691.8</v>
      </c>
      <c r="BN110" s="9">
        <v>11657.7</v>
      </c>
      <c r="BO110" s="9">
        <v>11658.1</v>
      </c>
      <c r="BP110" s="9">
        <v>10305.299999999999</v>
      </c>
      <c r="BQ110" s="9">
        <v>11862.9</v>
      </c>
      <c r="BR110" s="9">
        <v>10429.299999999999</v>
      </c>
      <c r="BS110" s="9">
        <v>11851.8</v>
      </c>
      <c r="BT110" s="9">
        <v>11745</v>
      </c>
      <c r="BU110" s="9">
        <v>10422.1</v>
      </c>
      <c r="BV110" s="9">
        <v>11422.9</v>
      </c>
      <c r="BW110" s="9">
        <v>10831.4</v>
      </c>
      <c r="BX110" s="9">
        <v>10723.5</v>
      </c>
      <c r="BY110" s="9">
        <v>9873.9</v>
      </c>
      <c r="BZ110" s="9">
        <v>10609.8</v>
      </c>
      <c r="CA110" s="9">
        <v>10881.7</v>
      </c>
      <c r="CB110" s="9">
        <v>11503.9</v>
      </c>
      <c r="CC110" s="9">
        <v>10040.1</v>
      </c>
      <c r="CD110" s="9">
        <v>11178.5</v>
      </c>
      <c r="CE110" s="9">
        <v>9629.1</v>
      </c>
      <c r="CF110" s="9">
        <v>11075.9</v>
      </c>
      <c r="CG110" s="9">
        <v>10546.9</v>
      </c>
      <c r="CH110" s="9">
        <v>10180.200000000001</v>
      </c>
      <c r="CI110" s="9">
        <v>11075.5</v>
      </c>
      <c r="CJ110" s="9">
        <v>9793.6</v>
      </c>
      <c r="CK110" s="9">
        <v>11634.8</v>
      </c>
      <c r="CL110" s="9">
        <v>10182.6</v>
      </c>
      <c r="CM110" s="9">
        <v>11280.8</v>
      </c>
      <c r="CN110" s="9">
        <v>9899.4</v>
      </c>
      <c r="CO110" s="9">
        <v>10776.6</v>
      </c>
      <c r="CP110" s="9">
        <v>9765.6</v>
      </c>
      <c r="CQ110" s="9">
        <v>11143</v>
      </c>
      <c r="CR110" s="9">
        <v>9887.5</v>
      </c>
      <c r="CS110" s="9">
        <v>10565.6</v>
      </c>
      <c r="CT110" s="9">
        <v>10073.299999999999</v>
      </c>
      <c r="CU110" s="9">
        <v>8767.6</v>
      </c>
      <c r="CV110" s="9">
        <v>11159</v>
      </c>
      <c r="CW110" s="9">
        <v>10637.8</v>
      </c>
      <c r="CX110" s="9">
        <v>9986.7999999999993</v>
      </c>
      <c r="CY110" s="9">
        <v>11706.2</v>
      </c>
      <c r="CZ110" s="9">
        <v>11403.4</v>
      </c>
      <c r="DA110" s="9">
        <v>10523.8</v>
      </c>
      <c r="DB110" s="9">
        <v>10404.6</v>
      </c>
      <c r="DC110" s="9">
        <v>11523.5</v>
      </c>
      <c r="DD110" s="9">
        <v>10327</v>
      </c>
      <c r="DE110" s="9">
        <v>10635</v>
      </c>
      <c r="DF110" s="9">
        <v>11631.5</v>
      </c>
      <c r="DG110" s="9">
        <v>10138</v>
      </c>
      <c r="DH110" s="9">
        <v>11384.7</v>
      </c>
      <c r="DI110" s="9">
        <v>10101.700000000001</v>
      </c>
      <c r="DJ110" s="9">
        <v>11180.3</v>
      </c>
      <c r="DK110" s="9">
        <v>10333.6</v>
      </c>
      <c r="DL110" s="9">
        <v>11230.3</v>
      </c>
      <c r="DM110" s="9">
        <v>9696.7000000000007</v>
      </c>
      <c r="DN110" s="9">
        <v>11235.8</v>
      </c>
      <c r="DO110" s="9">
        <v>10045.4</v>
      </c>
      <c r="DP110" s="9">
        <v>10908.8</v>
      </c>
      <c r="DQ110" s="9">
        <v>9865.5</v>
      </c>
      <c r="DR110" s="9">
        <v>11079.7</v>
      </c>
      <c r="DS110" s="9">
        <v>10116</v>
      </c>
      <c r="DT110" s="9">
        <v>10094.9</v>
      </c>
      <c r="DU110" s="9">
        <v>11143.5</v>
      </c>
      <c r="DV110" s="9">
        <v>10254.200000000001</v>
      </c>
      <c r="DW110" s="9">
        <v>10030.299999999999</v>
      </c>
      <c r="DX110" s="9">
        <v>11232.9</v>
      </c>
      <c r="DY110" s="9">
        <v>11181.4</v>
      </c>
      <c r="DZ110" s="9">
        <v>11062.8</v>
      </c>
      <c r="EA110" s="9">
        <v>10003.200000000001</v>
      </c>
      <c r="EB110" s="9">
        <v>11114.6</v>
      </c>
      <c r="EC110" s="9">
        <v>9895.2000000000007</v>
      </c>
      <c r="ED110" s="9">
        <v>10876.5</v>
      </c>
      <c r="EE110" s="9">
        <v>10033.6</v>
      </c>
      <c r="EF110" s="9">
        <v>10673</v>
      </c>
      <c r="EG110" s="9">
        <v>9333.2999999999993</v>
      </c>
      <c r="EH110" s="9">
        <v>10814.6</v>
      </c>
      <c r="EI110" s="9">
        <v>9945.1</v>
      </c>
      <c r="EJ110" s="9">
        <v>10083.4</v>
      </c>
      <c r="EK110" s="9">
        <v>10154.700000000001</v>
      </c>
      <c r="EL110" s="9">
        <v>10070.9</v>
      </c>
      <c r="EM110" s="9">
        <v>8603.5</v>
      </c>
      <c r="EN110" s="9">
        <v>9952.4</v>
      </c>
      <c r="EO110" s="9">
        <v>8793.2000000000007</v>
      </c>
      <c r="EP110" s="9">
        <v>9859.9</v>
      </c>
      <c r="EQ110" s="9">
        <v>9902.1</v>
      </c>
      <c r="ER110" s="9">
        <v>11426.4</v>
      </c>
      <c r="ES110" s="9">
        <v>9997</v>
      </c>
      <c r="ET110" s="9">
        <v>11485.5</v>
      </c>
      <c r="EU110" s="9">
        <v>11340.3</v>
      </c>
      <c r="EV110" s="9">
        <v>11508.3</v>
      </c>
      <c r="EW110" s="9">
        <v>10274.1</v>
      </c>
      <c r="EX110" s="9">
        <v>10370.4</v>
      </c>
      <c r="EY110" s="9">
        <v>11179.5</v>
      </c>
      <c r="EZ110" s="9">
        <v>10992.2</v>
      </c>
      <c r="FA110" s="9">
        <v>11389.5</v>
      </c>
      <c r="FB110" s="9">
        <v>11217.5</v>
      </c>
      <c r="FC110" s="9">
        <v>11179.3</v>
      </c>
      <c r="FD110" s="9">
        <v>11207.9</v>
      </c>
      <c r="FE110" s="9">
        <v>11272.6</v>
      </c>
      <c r="FF110" s="9">
        <v>10243.1</v>
      </c>
      <c r="FG110" s="9">
        <v>11235.9</v>
      </c>
      <c r="FH110" s="9">
        <v>11404.5</v>
      </c>
      <c r="FI110" s="9">
        <v>11457.1</v>
      </c>
      <c r="FJ110" s="9">
        <v>11474.2</v>
      </c>
      <c r="FK110" s="9">
        <v>11463</v>
      </c>
      <c r="FL110" s="9">
        <v>11508.2</v>
      </c>
      <c r="FM110" s="9">
        <v>10255.4</v>
      </c>
      <c r="FN110" s="9">
        <v>11445.3</v>
      </c>
      <c r="FO110" s="9">
        <v>10303.6</v>
      </c>
      <c r="FP110" s="11">
        <v>34.133132867132836</v>
      </c>
      <c r="FQ110" s="11">
        <v>34.140559440559457</v>
      </c>
      <c r="FR110" s="11">
        <v>34.293188811188799</v>
      </c>
      <c r="FS110" s="11">
        <v>34.348755244755232</v>
      </c>
      <c r="FT110" s="11">
        <v>34.080517482517479</v>
      </c>
      <c r="FU110" s="11">
        <v>34.477692307692323</v>
      </c>
      <c r="FV110" s="11">
        <v>0</v>
      </c>
      <c r="FW110" s="11">
        <v>48.260447552447552</v>
      </c>
      <c r="FX110" s="11">
        <v>0</v>
      </c>
      <c r="FY110" s="11">
        <v>0</v>
      </c>
      <c r="FZ110" s="11">
        <v>48.1</v>
      </c>
      <c r="GA110" s="11">
        <v>48</v>
      </c>
      <c r="GB110" s="11">
        <v>1.6564777882657353</v>
      </c>
      <c r="GC110" s="11">
        <v>3.9388739283916108</v>
      </c>
      <c r="GD110" s="11">
        <v>3.4795896001398625</v>
      </c>
      <c r="GE110" s="11">
        <v>3.003475389174826</v>
      </c>
      <c r="GF110" s="11">
        <v>3.8461023995804235</v>
      </c>
      <c r="GG110" s="11">
        <v>3.879391426993005</v>
      </c>
      <c r="GH110" s="11">
        <v>6.608333</v>
      </c>
      <c r="GI110" s="11">
        <v>7.926666</v>
      </c>
      <c r="GJ110" s="11">
        <v>7.94</v>
      </c>
      <c r="GK110" s="11">
        <v>10.45833</v>
      </c>
      <c r="GL110" s="11">
        <v>7.4166660000000002</v>
      </c>
      <c r="GM110" s="11">
        <v>8.4066659999999995</v>
      </c>
      <c r="GN110" s="11">
        <v>6.7079441666666639</v>
      </c>
      <c r="GO110" s="11">
        <v>6.5256004999999995</v>
      </c>
      <c r="GP110" s="11">
        <v>6.4808929999999991</v>
      </c>
      <c r="GQ110" s="11">
        <v>6.3873389999999937</v>
      </c>
      <c r="GR110" s="11">
        <v>6.4503709999999979</v>
      </c>
      <c r="GS110" s="11">
        <v>6.1294561666666656</v>
      </c>
      <c r="GT110" s="108">
        <v>1.4663276666666676</v>
      </c>
      <c r="GU110" s="108">
        <v>1.3159884999999998</v>
      </c>
      <c r="GV110" s="108">
        <v>1.3028300000000008</v>
      </c>
      <c r="GW110" s="108">
        <v>1.5763473333333327</v>
      </c>
      <c r="GX110" s="108">
        <v>1.5522528333333327</v>
      </c>
      <c r="GY110" s="108">
        <v>1.1431801666666654</v>
      </c>
      <c r="GZ110" s="13">
        <v>6.5742258333333279</v>
      </c>
      <c r="HA110" s="13">
        <v>6.3667466666666614</v>
      </c>
      <c r="HB110" s="13">
        <v>6.2197511666666667</v>
      </c>
      <c r="HC110" s="13">
        <v>0</v>
      </c>
      <c r="HD110" s="13">
        <v>0</v>
      </c>
      <c r="HE110" s="13">
        <v>5.9119743333333306</v>
      </c>
      <c r="HF110" s="13">
        <v>0.44334116666666645</v>
      </c>
      <c r="HG110" s="13">
        <v>0.503555166666667</v>
      </c>
      <c r="HH110" s="13">
        <v>0.47040316666666682</v>
      </c>
      <c r="HI110" s="13">
        <v>0.43330166666666675</v>
      </c>
      <c r="HJ110" s="13">
        <v>0.46796533333333318</v>
      </c>
      <c r="HK110" s="13">
        <v>0.45842016666666707</v>
      </c>
      <c r="HL110" s="12">
        <v>0</v>
      </c>
      <c r="HM110" s="12">
        <v>0</v>
      </c>
      <c r="HN110" s="12">
        <v>0</v>
      </c>
      <c r="HO110" s="12">
        <v>0</v>
      </c>
      <c r="HP110" s="12">
        <v>0</v>
      </c>
      <c r="HQ110" s="12">
        <v>0</v>
      </c>
      <c r="HR110" s="12">
        <v>0</v>
      </c>
      <c r="HS110" s="12">
        <v>0</v>
      </c>
      <c r="HT110" s="12">
        <v>0</v>
      </c>
      <c r="HU110" s="12">
        <v>0</v>
      </c>
      <c r="HV110" s="12">
        <v>0</v>
      </c>
      <c r="HW110" s="12">
        <v>0</v>
      </c>
      <c r="HX110" s="9">
        <v>988695</v>
      </c>
      <c r="HY110" s="9">
        <v>1843</v>
      </c>
      <c r="HZ110" s="9">
        <v>975141</v>
      </c>
      <c r="IA110" s="9">
        <v>1860</v>
      </c>
      <c r="IB110" s="11">
        <v>268790.35399999999</v>
      </c>
      <c r="IC110" s="11">
        <v>619.79999999999995</v>
      </c>
      <c r="ID110" s="14">
        <f t="shared" ref="ID110:II110" si="1073">GN110-HL110</f>
        <v>6.7079441666666639</v>
      </c>
      <c r="IE110" s="14">
        <f t="shared" si="1073"/>
        <v>6.5256004999999995</v>
      </c>
      <c r="IF110" s="14">
        <f t="shared" si="1073"/>
        <v>6.4808929999999991</v>
      </c>
      <c r="IG110" s="14">
        <f t="shared" si="1073"/>
        <v>6.3873389999999937</v>
      </c>
      <c r="IH110" s="14">
        <f t="shared" si="1073"/>
        <v>6.4503709999999979</v>
      </c>
      <c r="II110" s="14">
        <f t="shared" si="1073"/>
        <v>6.1294561666666656</v>
      </c>
      <c r="IJ110" s="15">
        <f t="shared" ref="IJ110:IO110" si="1074">GZ110-HR110</f>
        <v>6.5742258333333279</v>
      </c>
      <c r="IK110" s="15">
        <f t="shared" si="1074"/>
        <v>6.3667466666666614</v>
      </c>
      <c r="IL110" s="15">
        <f t="shared" si="1074"/>
        <v>6.2197511666666667</v>
      </c>
      <c r="IM110" s="15">
        <f t="shared" si="1074"/>
        <v>0</v>
      </c>
      <c r="IN110" s="15">
        <f t="shared" si="1074"/>
        <v>0</v>
      </c>
      <c r="IO110" s="15">
        <f t="shared" si="1074"/>
        <v>5.9119743333333306</v>
      </c>
      <c r="IP110" s="16">
        <f t="shared" ref="IP110" si="1075">(HX110-HX109)*1000</f>
        <v>885000</v>
      </c>
      <c r="IQ110" s="16">
        <f t="shared" ref="IQ110" si="1076">(HY110-HY109)*1000</f>
        <v>1000</v>
      </c>
      <c r="IR110" s="16">
        <f t="shared" ref="IR110" si="1077">(HZ110-HZ109)*1000</f>
        <v>847000</v>
      </c>
      <c r="IS110" s="16">
        <f t="shared" ref="IS110" si="1078">(IA110-IA109)*1000</f>
        <v>2000</v>
      </c>
      <c r="IT110" s="16">
        <f t="shared" ref="IT110" si="1079">(IB110-IB109)*1000</f>
        <v>1733399.9999999651</v>
      </c>
      <c r="IU110" s="16">
        <f t="shared" ref="IU110" si="1080">(IC110-IC109)*1000</f>
        <v>4932.9999999999927</v>
      </c>
      <c r="IV110" s="17">
        <f t="shared" ref="IV110" si="1081">(IP110+IR110)-(IQ110+IS110)</f>
        <v>1729000</v>
      </c>
      <c r="IW110" s="17">
        <f t="shared" ref="IW110" si="1082">IT110-IU110</f>
        <v>1728466.9999999651</v>
      </c>
      <c r="IX110" s="19">
        <f>(Raw_Data[[#This Row],[Sunset Time (POA&lt;20 W/m2)]]-Raw_Data[[#This Row],[Sunrise Time (POA&gt;20 W/m2)]])*24</f>
        <v>11.833333333333332</v>
      </c>
      <c r="IY110" s="68">
        <f>AVERAGEIF(Raw_Data[[#This Row],[GHI_UP_Net_IS2_W1]:[GHI_UP_Net_IS19_W6]],"&lt;&gt;"&amp;0,Raw_Data[[#This Row],[GHI_UP_Net_IS2_W1]:[GHI_UP_Net_IS19_W6]])</f>
        <v>6.4469339722222196</v>
      </c>
      <c r="IZ110" s="68">
        <f>AVERAGEIF(Raw_Data[[#This Row],[GHI_Down_IS2_W1]:[GHI_Down_IS19_W6]],"&lt;&gt;"&amp;0,Raw_Data[[#This Row],[GHI_Down_IS2_W1]:[GHI_Down_IS19_W6]])</f>
        <v>1.392821083333333</v>
      </c>
      <c r="JA110" s="68">
        <f>AVERAGEIF(Raw_Data[[#This Row],[POA_Up_IS2_W1]:[POA_Up_IS19_W6]],"&lt;&gt;"&amp;0,Raw_Data[[#This Row],[POA_Up_IS2_W1]:[POA_Up_IS19_W6]])</f>
        <v>6.2681744999999962</v>
      </c>
      <c r="JB110" s="68">
        <f>AVERAGEIF(Raw_Data[[#This Row],[POA_Down_IS2_W1]:[POA_Down_IS19_W6]],"&lt;&gt;"&amp;0,Raw_Data[[#This Row],[POA_Down_IS2_W1]:[POA_Down_IS19_W6]])</f>
        <v>0.46283111111111119</v>
      </c>
      <c r="JC110" s="69">
        <f>Raw_Data[[#This Row],[GHI-Down(KWh/m2)]]/Raw_Data[[#This Row],[GHI-UP (KWh/m2)]]</f>
        <v>0.21604395040100524</v>
      </c>
      <c r="JD110" s="72">
        <f>Raw_Data[[#This Row],[POA-Down(KWh/m2)]]/Raw_Data[[#This Row],[POA-UP(KWh/m2)]]</f>
        <v>7.3838262018887865E-2</v>
      </c>
      <c r="JE110" s="68">
        <f>AVERAGEIF(Raw_Data[[#This Row],[Amb_Temp_IS2_W1]:[Amb_Temp_IS19_W6]],"&lt;&gt;"&amp;0,Raw_Data[[#This Row],[Amb_Temp_IS2_W1]:[Amb_Temp_IS19_W6]])</f>
        <v>34.245641025641021</v>
      </c>
      <c r="JF110" s="68">
        <f>AVERAGEIF(Raw_Data[[#This Row],[MT_Temp_IS2_W1]:[MT_Temp_IS19_W6]],"&lt;&gt;"&amp;0,Raw_Data[[#This Row],[MT_Temp_IS2_W1]:[MT_Temp_IS19_W6]])</f>
        <v>48.120149184149192</v>
      </c>
      <c r="JG110" s="68">
        <f>AVERAGEIF(Raw_Data[[#This Row],[WS_Avg_IS2_W1]:[WS_Avg_IS19_W6]],"&lt;&gt;"&amp;0,Raw_Data[[#This Row],[WS_Avg_IS2_W1]:[WS_Avg_IS19_W6]])</f>
        <v>3.3006517554242438</v>
      </c>
      <c r="JH110" s="68">
        <f>AVERAGEIF(Raw_Data[[#This Row],[WS_Max_IS2_W1]:[WS_Max_IS19_W6]],"&lt;&gt;"&amp;0,Raw_Data[[#This Row],[WS_Max_IS2_W1]:[WS_Max_IS19_W6]])</f>
        <v>8.1261101666666669</v>
      </c>
      <c r="JI110" s="70">
        <f>SUM(Raw_Data[[#This Row],[IS1_INV1_M1]:[IS20_INV4_M2]])</f>
        <v>1743034.9000000001</v>
      </c>
      <c r="JJ110" s="73">
        <v>1709467.0000000042</v>
      </c>
      <c r="JK110" s="71">
        <v>2056331.0997878187</v>
      </c>
      <c r="JL110" s="143">
        <f>IFERROR(Raw_Data[[#This Row],[WPR_Eac]]/Raw_Data[[#This Row],[WPR_Edc]],"")</f>
        <v>0.83131894478296542</v>
      </c>
      <c r="JM110" s="6">
        <v>25</v>
      </c>
      <c r="JN110" s="6" t="s">
        <v>2635</v>
      </c>
    </row>
    <row r="111" spans="2:274">
      <c r="B111" s="250">
        <f t="shared" si="596"/>
        <v>45850</v>
      </c>
      <c r="C111" s="9">
        <f>YEAR(Raw_Data[[#This Row],[Date]])+IF(MONTH(Raw_Data[[#This Row],[Date]])&gt;=4,1,0)</f>
        <v>2026</v>
      </c>
      <c r="D111" s="6">
        <f t="shared" si="1031"/>
        <v>2025</v>
      </c>
      <c r="E111" s="7" t="s">
        <v>361</v>
      </c>
      <c r="F111" s="7" t="s">
        <v>361</v>
      </c>
      <c r="G111" s="8">
        <v>45839</v>
      </c>
      <c r="H111" s="6">
        <f t="shared" si="1032"/>
        <v>31</v>
      </c>
      <c r="I111" s="9">
        <v>337338.84499999956</v>
      </c>
      <c r="J111" s="10">
        <v>0.27152777777777776</v>
      </c>
      <c r="K111" s="10">
        <v>0.81388888888888888</v>
      </c>
      <c r="L111" s="9">
        <v>7229.2</v>
      </c>
      <c r="M111" s="9">
        <v>7675</v>
      </c>
      <c r="N111" s="9">
        <v>7612.8</v>
      </c>
      <c r="O111" s="9">
        <v>7495.8</v>
      </c>
      <c r="P111" s="9">
        <v>7709.1</v>
      </c>
      <c r="Q111" s="9">
        <v>7702.6</v>
      </c>
      <c r="R111" s="9">
        <v>7777.4</v>
      </c>
      <c r="S111" s="9">
        <v>8013.5</v>
      </c>
      <c r="T111" s="9">
        <v>7712.5</v>
      </c>
      <c r="U111" s="9">
        <v>7773.3</v>
      </c>
      <c r="V111" s="9">
        <v>8416.2999999999993</v>
      </c>
      <c r="W111" s="9">
        <v>7654.9</v>
      </c>
      <c r="X111" s="9">
        <v>8423.4</v>
      </c>
      <c r="Y111" s="9">
        <v>7633.7</v>
      </c>
      <c r="Z111" s="9">
        <v>7747.3</v>
      </c>
      <c r="AA111" s="9">
        <v>7752.7</v>
      </c>
      <c r="AB111" s="9">
        <v>7754.1</v>
      </c>
      <c r="AC111" s="9">
        <v>7582.9</v>
      </c>
      <c r="AD111" s="9">
        <v>7692.4</v>
      </c>
      <c r="AE111" s="9">
        <v>7753.9</v>
      </c>
      <c r="AF111" s="9">
        <v>7814.6</v>
      </c>
      <c r="AG111" s="9">
        <v>7551.2</v>
      </c>
      <c r="AH111" s="9">
        <v>7595.2</v>
      </c>
      <c r="AI111" s="9">
        <v>7670</v>
      </c>
      <c r="AJ111" s="9">
        <v>7529.1</v>
      </c>
      <c r="AK111" s="9">
        <v>6557.8</v>
      </c>
      <c r="AL111" s="9">
        <v>7473.3</v>
      </c>
      <c r="AM111" s="9">
        <v>7480.2</v>
      </c>
      <c r="AN111" s="9">
        <v>7797.4</v>
      </c>
      <c r="AO111" s="9">
        <v>7810</v>
      </c>
      <c r="AP111" s="9">
        <v>7672.9</v>
      </c>
      <c r="AQ111" s="9">
        <v>7808.9</v>
      </c>
      <c r="AR111" s="9">
        <v>7829.2</v>
      </c>
      <c r="AS111" s="9">
        <v>7787.3</v>
      </c>
      <c r="AT111" s="9">
        <v>7874.3</v>
      </c>
      <c r="AU111" s="9">
        <v>7798.7</v>
      </c>
      <c r="AV111" s="9">
        <v>7883.7</v>
      </c>
      <c r="AW111" s="9">
        <v>7742.8</v>
      </c>
      <c r="AX111" s="9">
        <v>7821.5</v>
      </c>
      <c r="AY111" s="9">
        <v>7704.4</v>
      </c>
      <c r="AZ111" s="9">
        <v>8396.4</v>
      </c>
      <c r="BA111" s="9">
        <v>8298.2999999999993</v>
      </c>
      <c r="BB111" s="9">
        <v>8435.7000000000007</v>
      </c>
      <c r="BC111" s="9">
        <v>7637.5</v>
      </c>
      <c r="BD111" s="9">
        <v>8791.7999999999993</v>
      </c>
      <c r="BE111" s="9">
        <v>9045.7000000000007</v>
      </c>
      <c r="BF111" s="9">
        <v>8480.9</v>
      </c>
      <c r="BG111" s="9">
        <v>8551.2999999999993</v>
      </c>
      <c r="BH111" s="9">
        <v>7709.6</v>
      </c>
      <c r="BI111" s="9">
        <v>7859.1</v>
      </c>
      <c r="BJ111" s="9">
        <v>7680.9</v>
      </c>
      <c r="BK111" s="9">
        <v>7261.7</v>
      </c>
      <c r="BL111" s="9">
        <v>7909.4</v>
      </c>
      <c r="BM111" s="9">
        <v>7994.4</v>
      </c>
      <c r="BN111" s="9">
        <v>7988.6</v>
      </c>
      <c r="BO111" s="9">
        <v>7950.1</v>
      </c>
      <c r="BP111" s="9">
        <v>6979</v>
      </c>
      <c r="BQ111" s="9">
        <v>8172.2</v>
      </c>
      <c r="BR111" s="9">
        <v>7015.2</v>
      </c>
      <c r="BS111" s="9">
        <v>8065.2</v>
      </c>
      <c r="BT111" s="9">
        <v>7882.4</v>
      </c>
      <c r="BU111" s="9">
        <v>7010.7</v>
      </c>
      <c r="BV111" s="9">
        <v>7785.8</v>
      </c>
      <c r="BW111" s="9">
        <v>7428.6</v>
      </c>
      <c r="BX111" s="9">
        <v>7489.1</v>
      </c>
      <c r="BY111" s="9">
        <v>7016.5</v>
      </c>
      <c r="BZ111" s="9">
        <v>7396.2</v>
      </c>
      <c r="CA111" s="9">
        <v>7739</v>
      </c>
      <c r="CB111" s="9">
        <v>8006</v>
      </c>
      <c r="CC111" s="9">
        <v>7137.2</v>
      </c>
      <c r="CD111" s="9">
        <v>7871.4</v>
      </c>
      <c r="CE111" s="9">
        <v>6293.3</v>
      </c>
      <c r="CF111" s="9">
        <v>7769.1</v>
      </c>
      <c r="CG111" s="9">
        <v>7410.5</v>
      </c>
      <c r="CH111" s="9">
        <v>7132.2</v>
      </c>
      <c r="CI111" s="9">
        <v>7886.3</v>
      </c>
      <c r="CJ111" s="9">
        <v>6883.9</v>
      </c>
      <c r="CK111" s="9">
        <v>8203.6</v>
      </c>
      <c r="CL111" s="9">
        <v>6915.4</v>
      </c>
      <c r="CM111" s="9">
        <v>7999.3</v>
      </c>
      <c r="CN111" s="9">
        <v>7092.6</v>
      </c>
      <c r="CO111" s="9">
        <v>7714</v>
      </c>
      <c r="CP111" s="9">
        <v>7094.8</v>
      </c>
      <c r="CQ111" s="9">
        <v>7689.2</v>
      </c>
      <c r="CR111" s="9">
        <v>7095.9</v>
      </c>
      <c r="CS111" s="9">
        <v>7512.9</v>
      </c>
      <c r="CT111" s="9">
        <v>7163.3</v>
      </c>
      <c r="CU111" s="9">
        <v>6179.5</v>
      </c>
      <c r="CV111" s="9">
        <v>7975.4</v>
      </c>
      <c r="CW111" s="9">
        <v>7541.4</v>
      </c>
      <c r="CX111" s="9">
        <v>6999</v>
      </c>
      <c r="CY111" s="9">
        <v>8227.4</v>
      </c>
      <c r="CZ111" s="9">
        <v>7964.2</v>
      </c>
      <c r="DA111" s="9">
        <v>7345.7</v>
      </c>
      <c r="DB111" s="9">
        <v>7232.6</v>
      </c>
      <c r="DC111" s="9">
        <v>8031.4</v>
      </c>
      <c r="DD111" s="9">
        <v>7227.2</v>
      </c>
      <c r="DE111" s="9">
        <v>7437.7</v>
      </c>
      <c r="DF111" s="9">
        <v>8194.2000000000007</v>
      </c>
      <c r="DG111" s="9">
        <v>7105.4</v>
      </c>
      <c r="DH111" s="9">
        <v>7975</v>
      </c>
      <c r="DI111" s="9">
        <v>7108.5</v>
      </c>
      <c r="DJ111" s="9">
        <v>7946.9</v>
      </c>
      <c r="DK111" s="9">
        <v>7268.8</v>
      </c>
      <c r="DL111" s="9">
        <v>8030.6</v>
      </c>
      <c r="DM111" s="9">
        <v>6880.9</v>
      </c>
      <c r="DN111" s="9">
        <v>7807.9</v>
      </c>
      <c r="DO111" s="9">
        <v>7209.5</v>
      </c>
      <c r="DP111" s="9">
        <v>7977.4</v>
      </c>
      <c r="DQ111" s="9">
        <v>7207.8</v>
      </c>
      <c r="DR111" s="9">
        <v>8100.8</v>
      </c>
      <c r="DS111" s="9">
        <v>6393.9</v>
      </c>
      <c r="DT111" s="9">
        <v>7150.9</v>
      </c>
      <c r="DU111" s="9">
        <v>7956.7</v>
      </c>
      <c r="DV111" s="9">
        <v>7178.2</v>
      </c>
      <c r="DW111" s="9">
        <v>7057.7</v>
      </c>
      <c r="DX111" s="9">
        <v>7967.4</v>
      </c>
      <c r="DY111" s="9">
        <v>8034.8</v>
      </c>
      <c r="DZ111" s="9">
        <v>7943.8</v>
      </c>
      <c r="EA111" s="9">
        <v>7093</v>
      </c>
      <c r="EB111" s="9">
        <v>8000.7</v>
      </c>
      <c r="EC111" s="9">
        <v>7108.7</v>
      </c>
      <c r="ED111" s="9">
        <v>7840.9</v>
      </c>
      <c r="EE111" s="9">
        <v>6842</v>
      </c>
      <c r="EF111" s="9">
        <v>7741.9</v>
      </c>
      <c r="EG111" s="9">
        <v>6571.5</v>
      </c>
      <c r="EH111" s="9">
        <v>7749.8</v>
      </c>
      <c r="EI111" s="9">
        <v>7075.8</v>
      </c>
      <c r="EJ111" s="9">
        <v>6994.7</v>
      </c>
      <c r="EK111" s="9">
        <v>7440.5</v>
      </c>
      <c r="EL111" s="9">
        <v>7250.9</v>
      </c>
      <c r="EM111" s="9">
        <v>6208.8</v>
      </c>
      <c r="EN111" s="9">
        <v>7278.7</v>
      </c>
      <c r="EO111" s="9">
        <v>6428.4</v>
      </c>
      <c r="EP111" s="9">
        <v>6471.5</v>
      </c>
      <c r="EQ111" s="9">
        <v>0</v>
      </c>
      <c r="ER111" s="9">
        <v>8461.1</v>
      </c>
      <c r="ES111" s="9">
        <v>7295</v>
      </c>
      <c r="ET111" s="9">
        <v>8521.2000000000007</v>
      </c>
      <c r="EU111" s="9">
        <v>8332.4</v>
      </c>
      <c r="EV111" s="9">
        <v>8428.7000000000007</v>
      </c>
      <c r="EW111" s="9">
        <v>8048.5</v>
      </c>
      <c r="EX111" s="9">
        <v>7502.3</v>
      </c>
      <c r="EY111" s="9">
        <v>8269</v>
      </c>
      <c r="EZ111" s="9">
        <v>8077.8</v>
      </c>
      <c r="FA111" s="9">
        <v>8451</v>
      </c>
      <c r="FB111" s="9">
        <v>8258.1</v>
      </c>
      <c r="FC111" s="9">
        <v>8314.7000000000007</v>
      </c>
      <c r="FD111" s="9">
        <v>8331.2000000000007</v>
      </c>
      <c r="FE111" s="9">
        <v>8343.2000000000007</v>
      </c>
      <c r="FF111" s="9">
        <v>7506.9</v>
      </c>
      <c r="FG111" s="9">
        <v>8386.4</v>
      </c>
      <c r="FH111" s="9">
        <v>8316.7000000000007</v>
      </c>
      <c r="FI111" s="9">
        <v>8492.2999999999993</v>
      </c>
      <c r="FJ111" s="9">
        <v>8513.1</v>
      </c>
      <c r="FK111" s="9">
        <v>8399.5</v>
      </c>
      <c r="FL111" s="9">
        <v>8419.7999999999993</v>
      </c>
      <c r="FM111" s="9">
        <v>7456.9</v>
      </c>
      <c r="FN111" s="9">
        <v>8453.5</v>
      </c>
      <c r="FO111" s="9">
        <v>7518.1</v>
      </c>
      <c r="FP111" s="11">
        <v>29.583820078226864</v>
      </c>
      <c r="FQ111" s="11">
        <v>29.390195567144708</v>
      </c>
      <c r="FR111" s="11">
        <v>29.46889178617991</v>
      </c>
      <c r="FS111" s="11">
        <v>29.754719687092543</v>
      </c>
      <c r="FT111" s="11">
        <v>29.663924380704032</v>
      </c>
      <c r="FU111" s="11">
        <v>29.693898305084723</v>
      </c>
      <c r="FV111" s="11">
        <v>0</v>
      </c>
      <c r="FW111" s="11">
        <v>38.424654498044355</v>
      </c>
      <c r="FX111" s="11">
        <v>0</v>
      </c>
      <c r="FY111" s="11">
        <v>0</v>
      </c>
      <c r="FZ111" s="11">
        <v>38.700000000000003</v>
      </c>
      <c r="GA111" s="11">
        <v>38.9</v>
      </c>
      <c r="GB111" s="11">
        <v>1.3872880854498058</v>
      </c>
      <c r="GC111" s="11">
        <v>2.4162667764015682</v>
      </c>
      <c r="GD111" s="11">
        <v>1.9951259638852703</v>
      </c>
      <c r="GE111" s="11">
        <v>1.4595153650195558</v>
      </c>
      <c r="GF111" s="11">
        <v>2.5060277262059985</v>
      </c>
      <c r="GG111" s="11">
        <v>1.9641655137809662</v>
      </c>
      <c r="GH111" s="11">
        <v>5.0033329999999996</v>
      </c>
      <c r="GI111" s="11">
        <v>6.8766660000000002</v>
      </c>
      <c r="GJ111" s="11">
        <v>5.7850000000000001</v>
      </c>
      <c r="GK111" s="11">
        <v>7.9349990000000004</v>
      </c>
      <c r="GL111" s="11">
        <v>6.4016669999999998</v>
      </c>
      <c r="GM111" s="11">
        <v>6.4</v>
      </c>
      <c r="GN111" s="11">
        <v>4.3131963333333339</v>
      </c>
      <c r="GO111" s="11">
        <v>4.4256733333333305</v>
      </c>
      <c r="GP111" s="11">
        <v>4.5340201666666688</v>
      </c>
      <c r="GQ111" s="11">
        <v>4.2824816666666683</v>
      </c>
      <c r="GR111" s="11">
        <v>4.3471411666666651</v>
      </c>
      <c r="GS111" s="11">
        <v>4.4664185000000005</v>
      </c>
      <c r="GT111" s="108">
        <v>0.71169666666666698</v>
      </c>
      <c r="GU111" s="108">
        <v>0.71552833333333288</v>
      </c>
      <c r="GV111" s="108">
        <v>0.75200216666666653</v>
      </c>
      <c r="GW111" s="108">
        <v>0.78459483333333235</v>
      </c>
      <c r="GX111" s="108">
        <v>0.79210816666666595</v>
      </c>
      <c r="GY111" s="108">
        <v>0.66468116666666743</v>
      </c>
      <c r="GZ111" s="13">
        <v>4.1173226666666638</v>
      </c>
      <c r="HA111" s="13">
        <v>4.1765523333333343</v>
      </c>
      <c r="HB111" s="13">
        <v>4.2211193333333323</v>
      </c>
      <c r="HC111" s="13">
        <v>0</v>
      </c>
      <c r="HD111" s="13">
        <v>0</v>
      </c>
      <c r="HE111" s="13">
        <v>4.1796640000000007</v>
      </c>
      <c r="HF111" s="13">
        <v>0.27931066666666676</v>
      </c>
      <c r="HG111" s="13">
        <v>0.33201633333333264</v>
      </c>
      <c r="HH111" s="13">
        <v>0.29646866666666638</v>
      </c>
      <c r="HI111" s="13">
        <v>0.28576716666666657</v>
      </c>
      <c r="HJ111" s="13">
        <v>0.28897149999999971</v>
      </c>
      <c r="HK111" s="13">
        <v>0.30324466666666655</v>
      </c>
      <c r="HL111" s="12">
        <v>0</v>
      </c>
      <c r="HM111" s="12">
        <v>0</v>
      </c>
      <c r="HN111" s="12">
        <v>0</v>
      </c>
      <c r="HO111" s="12">
        <v>0</v>
      </c>
      <c r="HP111" s="12">
        <v>0</v>
      </c>
      <c r="HQ111" s="12">
        <v>0</v>
      </c>
      <c r="HR111" s="12">
        <v>0</v>
      </c>
      <c r="HS111" s="12">
        <v>0</v>
      </c>
      <c r="HT111" s="12">
        <v>0</v>
      </c>
      <c r="HU111" s="12">
        <v>0</v>
      </c>
      <c r="HV111" s="12">
        <v>0</v>
      </c>
      <c r="HW111" s="12">
        <v>0</v>
      </c>
      <c r="HX111" s="9">
        <v>989309</v>
      </c>
      <c r="HY111" s="9">
        <v>1845</v>
      </c>
      <c r="HZ111" s="9">
        <v>975742</v>
      </c>
      <c r="IA111" s="9">
        <v>1861</v>
      </c>
      <c r="IB111" s="11">
        <v>270005.22100000002</v>
      </c>
      <c r="IC111" s="11">
        <v>624.20000000000005</v>
      </c>
      <c r="ID111" s="14">
        <f t="shared" ref="ID111:II111" si="1083">GN111-HL111</f>
        <v>4.3131963333333339</v>
      </c>
      <c r="IE111" s="14">
        <f t="shared" si="1083"/>
        <v>4.4256733333333305</v>
      </c>
      <c r="IF111" s="14">
        <f t="shared" si="1083"/>
        <v>4.5340201666666688</v>
      </c>
      <c r="IG111" s="14">
        <f t="shared" si="1083"/>
        <v>4.2824816666666683</v>
      </c>
      <c r="IH111" s="14">
        <f t="shared" si="1083"/>
        <v>4.3471411666666651</v>
      </c>
      <c r="II111" s="14">
        <f t="shared" si="1083"/>
        <v>4.4664185000000005</v>
      </c>
      <c r="IJ111" s="15">
        <f t="shared" ref="IJ111:IO111" si="1084">GZ111-HR111</f>
        <v>4.1173226666666638</v>
      </c>
      <c r="IK111" s="15">
        <f t="shared" si="1084"/>
        <v>4.1765523333333343</v>
      </c>
      <c r="IL111" s="15">
        <f t="shared" si="1084"/>
        <v>4.2211193333333323</v>
      </c>
      <c r="IM111" s="15">
        <f t="shared" si="1084"/>
        <v>0</v>
      </c>
      <c r="IN111" s="15">
        <f t="shared" si="1084"/>
        <v>0</v>
      </c>
      <c r="IO111" s="15">
        <f t="shared" si="1084"/>
        <v>4.1796640000000007</v>
      </c>
      <c r="IP111" s="16">
        <f t="shared" ref="IP111" si="1085">(HX111-HX110)*1000</f>
        <v>614000</v>
      </c>
      <c r="IQ111" s="16">
        <f t="shared" ref="IQ111" si="1086">(HY111-HY110)*1000</f>
        <v>2000</v>
      </c>
      <c r="IR111" s="16">
        <f t="shared" ref="IR111" si="1087">(HZ111-HZ110)*1000</f>
        <v>601000</v>
      </c>
      <c r="IS111" s="16">
        <f t="shared" ref="IS111" si="1088">(IA111-IA110)*1000</f>
        <v>1000</v>
      </c>
      <c r="IT111" s="16">
        <f t="shared" ref="IT111" si="1089">(IB111-IB110)*1000</f>
        <v>1214867.0000000275</v>
      </c>
      <c r="IU111" s="16">
        <f t="shared" ref="IU111" si="1090">(IC111-IC110)*1000</f>
        <v>4400.0000000000909</v>
      </c>
      <c r="IV111" s="17">
        <f t="shared" ref="IV111" si="1091">(IP111+IR111)-(IQ111+IS111)</f>
        <v>1212000</v>
      </c>
      <c r="IW111" s="17">
        <f t="shared" ref="IW111" si="1092">IT111-IU111</f>
        <v>1210467.0000000275</v>
      </c>
      <c r="IX111" s="19">
        <f>(Raw_Data[[#This Row],[Sunset Time (POA&lt;20 W/m2)]]-Raw_Data[[#This Row],[Sunrise Time (POA&gt;20 W/m2)]])*24</f>
        <v>13.016666666666666</v>
      </c>
      <c r="IY111" s="68">
        <f>AVERAGEIF(Raw_Data[[#This Row],[GHI_UP_Net_IS2_W1]:[GHI_UP_Net_IS19_W6]],"&lt;&gt;"&amp;0,Raw_Data[[#This Row],[GHI_UP_Net_IS2_W1]:[GHI_UP_Net_IS19_W6]])</f>
        <v>4.3948218611111107</v>
      </c>
      <c r="IZ111" s="68">
        <f>AVERAGEIF(Raw_Data[[#This Row],[GHI_Down_IS2_W1]:[GHI_Down_IS19_W6]],"&lt;&gt;"&amp;0,Raw_Data[[#This Row],[GHI_Down_IS2_W1]:[GHI_Down_IS19_W6]])</f>
        <v>0.73676855555555532</v>
      </c>
      <c r="JA111" s="68">
        <f>AVERAGEIF(Raw_Data[[#This Row],[POA_Up_IS2_W1]:[POA_Up_IS19_W6]],"&lt;&gt;"&amp;0,Raw_Data[[#This Row],[POA_Up_IS2_W1]:[POA_Up_IS19_W6]])</f>
        <v>4.1736645833333323</v>
      </c>
      <c r="JB111" s="68">
        <f>AVERAGEIF(Raw_Data[[#This Row],[POA_Down_IS2_W1]:[POA_Down_IS19_W6]],"&lt;&gt;"&amp;0,Raw_Data[[#This Row],[POA_Down_IS2_W1]:[POA_Down_IS19_W6]])</f>
        <v>0.29762983333333309</v>
      </c>
      <c r="JC111" s="69">
        <f>Raw_Data[[#This Row],[GHI-Down(KWh/m2)]]/Raw_Data[[#This Row],[GHI-UP (KWh/m2)]]</f>
        <v>0.16764469160287729</v>
      </c>
      <c r="JD111" s="72">
        <f>Raw_Data[[#This Row],[POA-Down(KWh/m2)]]/Raw_Data[[#This Row],[POA-UP(KWh/m2)]]</f>
        <v>7.131139251626889E-2</v>
      </c>
      <c r="JE111" s="68">
        <f>AVERAGEIF(Raw_Data[[#This Row],[Amb_Temp_IS2_W1]:[Amb_Temp_IS19_W6]],"&lt;&gt;"&amp;0,Raw_Data[[#This Row],[Amb_Temp_IS2_W1]:[Amb_Temp_IS19_W6]])</f>
        <v>29.592574967405465</v>
      </c>
      <c r="JF111" s="68">
        <f>AVERAGEIF(Raw_Data[[#This Row],[MT_Temp_IS2_W1]:[MT_Temp_IS19_W6]],"&lt;&gt;"&amp;0,Raw_Data[[#This Row],[MT_Temp_IS2_W1]:[MT_Temp_IS19_W6]])</f>
        <v>38.67488483268145</v>
      </c>
      <c r="JG111" s="68">
        <f>AVERAGEIF(Raw_Data[[#This Row],[WS_Avg_IS2_W1]:[WS_Avg_IS19_W6]],"&lt;&gt;"&amp;0,Raw_Data[[#This Row],[WS_Avg_IS2_W1]:[WS_Avg_IS19_W6]])</f>
        <v>1.9547315717905274</v>
      </c>
      <c r="JH111" s="68">
        <f>AVERAGEIF(Raw_Data[[#This Row],[WS_Max_IS2_W1]:[WS_Max_IS19_W6]],"&lt;&gt;"&amp;0,Raw_Data[[#This Row],[WS_Max_IS2_W1]:[WS_Max_IS19_W6]])</f>
        <v>6.4002775000000005</v>
      </c>
      <c r="JI111" s="70">
        <f>SUM(Raw_Data[[#This Row],[IS1_INV1_M1]:[IS20_INV4_M2]])</f>
        <v>1220011.3000000003</v>
      </c>
      <c r="JJ111" s="73">
        <v>919664.00000004796</v>
      </c>
      <c r="JK111" s="71">
        <v>1075972.2310852592</v>
      </c>
      <c r="JL111" s="143">
        <f>IFERROR(Raw_Data[[#This Row],[WPR_Eac]]/Raw_Data[[#This Row],[WPR_Edc]],"")</f>
        <v>0.85472837814080582</v>
      </c>
      <c r="JM111" s="6">
        <v>24</v>
      </c>
      <c r="JN111" s="6" t="s">
        <v>2635</v>
      </c>
    </row>
    <row r="112" spans="2:274">
      <c r="B112" s="250">
        <f t="shared" si="596"/>
        <v>45851</v>
      </c>
      <c r="C112" s="9">
        <f>YEAR(Raw_Data[[#This Row],[Date]])+IF(MONTH(Raw_Data[[#This Row],[Date]])&gt;=4,1,0)</f>
        <v>2026</v>
      </c>
      <c r="D112" s="6">
        <f t="shared" ref="D112:D117" si="1093">YEAR(B112)</f>
        <v>2025</v>
      </c>
      <c r="E112" s="7" t="s">
        <v>361</v>
      </c>
      <c r="F112" s="7" t="s">
        <v>361</v>
      </c>
      <c r="G112" s="8">
        <v>45839</v>
      </c>
      <c r="H112" s="6">
        <f t="shared" ref="H112:H116" si="1094">DAY(EOMONTH(B112,0))</f>
        <v>31</v>
      </c>
      <c r="I112" s="9">
        <v>337338.84499999956</v>
      </c>
      <c r="J112" s="10">
        <v>0.26527777777777778</v>
      </c>
      <c r="K112" s="10">
        <v>0.81527777777777777</v>
      </c>
      <c r="L112" s="9">
        <v>11396.6</v>
      </c>
      <c r="M112" s="9">
        <v>12077.5</v>
      </c>
      <c r="N112" s="9">
        <v>11993.8</v>
      </c>
      <c r="O112" s="9">
        <v>11894.7</v>
      </c>
      <c r="P112" s="9">
        <v>12135.9</v>
      </c>
      <c r="Q112" s="9">
        <v>12213.3</v>
      </c>
      <c r="R112" s="9">
        <v>12294.1</v>
      </c>
      <c r="S112" s="9">
        <v>12629.6</v>
      </c>
      <c r="T112" s="9">
        <v>12153.8</v>
      </c>
      <c r="U112" s="9">
        <v>12091.5</v>
      </c>
      <c r="V112" s="9">
        <v>13120.4</v>
      </c>
      <c r="W112" s="9">
        <v>12139</v>
      </c>
      <c r="X112" s="9">
        <v>13194.7</v>
      </c>
      <c r="Y112" s="9">
        <v>12115</v>
      </c>
      <c r="Z112" s="9">
        <v>12196.8</v>
      </c>
      <c r="AA112" s="9">
        <v>12202</v>
      </c>
      <c r="AB112" s="9">
        <v>12109.2</v>
      </c>
      <c r="AC112" s="9">
        <v>12021.1</v>
      </c>
      <c r="AD112" s="9">
        <v>12062.4</v>
      </c>
      <c r="AE112" s="9">
        <v>12133.9</v>
      </c>
      <c r="AF112" s="9">
        <v>12086</v>
      </c>
      <c r="AG112" s="9">
        <v>12049</v>
      </c>
      <c r="AH112" s="9">
        <v>11681.8</v>
      </c>
      <c r="AI112" s="9">
        <v>11849.2</v>
      </c>
      <c r="AJ112" s="9">
        <v>11670.6</v>
      </c>
      <c r="AK112" s="9">
        <v>10236.299999999999</v>
      </c>
      <c r="AL112" s="9">
        <v>11696</v>
      </c>
      <c r="AM112" s="9">
        <v>11670.2</v>
      </c>
      <c r="AN112" s="9">
        <v>12032.4</v>
      </c>
      <c r="AO112" s="9">
        <v>11925.4</v>
      </c>
      <c r="AP112" s="9">
        <v>11727.5</v>
      </c>
      <c r="AQ112" s="9">
        <v>11975.9</v>
      </c>
      <c r="AR112" s="9">
        <v>11963.5</v>
      </c>
      <c r="AS112" s="9">
        <v>11944.4</v>
      </c>
      <c r="AT112" s="9">
        <v>12092.9</v>
      </c>
      <c r="AU112" s="9">
        <v>11957.6</v>
      </c>
      <c r="AV112" s="9">
        <v>12085.3</v>
      </c>
      <c r="AW112" s="9">
        <v>11877.6</v>
      </c>
      <c r="AX112" s="9">
        <v>11935.6</v>
      </c>
      <c r="AY112" s="9">
        <v>11867</v>
      </c>
      <c r="AZ112" s="9">
        <v>12611.4</v>
      </c>
      <c r="BA112" s="9">
        <v>12527.5</v>
      </c>
      <c r="BB112" s="9">
        <v>11667.4</v>
      </c>
      <c r="BC112" s="9">
        <v>11728.1</v>
      </c>
      <c r="BD112" s="9">
        <v>13024.5</v>
      </c>
      <c r="BE112" s="9">
        <v>13028.2</v>
      </c>
      <c r="BF112" s="9">
        <v>12752.1</v>
      </c>
      <c r="BG112" s="9">
        <v>12826.4</v>
      </c>
      <c r="BH112" s="9">
        <v>6208.7</v>
      </c>
      <c r="BI112" s="9">
        <v>5815.3</v>
      </c>
      <c r="BJ112" s="9">
        <v>0</v>
      </c>
      <c r="BK112" s="9">
        <v>0</v>
      </c>
      <c r="BL112" s="9">
        <v>6171.8</v>
      </c>
      <c r="BM112" s="9">
        <v>6191</v>
      </c>
      <c r="BN112" s="9">
        <v>6049.7</v>
      </c>
      <c r="BO112" s="9">
        <v>6039.6</v>
      </c>
      <c r="BP112" s="9">
        <v>11033.5</v>
      </c>
      <c r="BQ112" s="9">
        <v>12664.3</v>
      </c>
      <c r="BR112" s="9">
        <v>11077.9</v>
      </c>
      <c r="BS112" s="9">
        <v>12728.9</v>
      </c>
      <c r="BT112" s="9">
        <v>12592</v>
      </c>
      <c r="BU112" s="9">
        <v>11069.2</v>
      </c>
      <c r="BV112" s="9">
        <v>12338</v>
      </c>
      <c r="BW112" s="9">
        <v>11721.8</v>
      </c>
      <c r="BX112" s="9">
        <v>11570.5</v>
      </c>
      <c r="BY112" s="9">
        <v>11024.8</v>
      </c>
      <c r="BZ112" s="9">
        <v>11687</v>
      </c>
      <c r="CA112" s="9">
        <v>12205.6</v>
      </c>
      <c r="CB112" s="9">
        <v>12445.8</v>
      </c>
      <c r="CC112" s="9">
        <v>11231.3</v>
      </c>
      <c r="CD112" s="9">
        <v>12292.1</v>
      </c>
      <c r="CE112" s="9">
        <v>10756</v>
      </c>
      <c r="CF112" s="9">
        <v>12023.7</v>
      </c>
      <c r="CG112" s="9">
        <v>11757.3</v>
      </c>
      <c r="CH112" s="9">
        <v>11103.8</v>
      </c>
      <c r="CI112" s="9">
        <v>12395.6</v>
      </c>
      <c r="CJ112" s="9">
        <v>10870.2</v>
      </c>
      <c r="CK112" s="9">
        <v>12783.3</v>
      </c>
      <c r="CL112" s="9">
        <v>11181.9</v>
      </c>
      <c r="CM112" s="9">
        <v>12522.2</v>
      </c>
      <c r="CN112" s="9">
        <v>11061.3</v>
      </c>
      <c r="CO112" s="9">
        <v>12169.3</v>
      </c>
      <c r="CP112" s="9">
        <v>11208.1</v>
      </c>
      <c r="CQ112" s="9">
        <v>12538.4</v>
      </c>
      <c r="CR112" s="9">
        <v>11212</v>
      </c>
      <c r="CS112" s="9">
        <v>11974.6</v>
      </c>
      <c r="CT112" s="9">
        <v>11226.1</v>
      </c>
      <c r="CU112" s="9">
        <v>9757.4</v>
      </c>
      <c r="CV112" s="9">
        <v>12339.7</v>
      </c>
      <c r="CW112" s="9">
        <v>11755.3</v>
      </c>
      <c r="CX112" s="9">
        <v>10820.2</v>
      </c>
      <c r="CY112" s="9">
        <v>12620.7</v>
      </c>
      <c r="CZ112" s="9">
        <v>12199</v>
      </c>
      <c r="DA112" s="9">
        <v>11256</v>
      </c>
      <c r="DB112" s="9">
        <v>11169.4</v>
      </c>
      <c r="DC112" s="9">
        <v>12433.8</v>
      </c>
      <c r="DD112" s="9">
        <v>11245.8</v>
      </c>
      <c r="DE112" s="9">
        <v>11619.4</v>
      </c>
      <c r="DF112" s="9">
        <v>12784.7</v>
      </c>
      <c r="DG112" s="9">
        <v>11161.8</v>
      </c>
      <c r="DH112" s="9">
        <v>12498.5</v>
      </c>
      <c r="DI112" s="9">
        <v>11145</v>
      </c>
      <c r="DJ112" s="9">
        <v>12412.3</v>
      </c>
      <c r="DK112" s="9">
        <v>11405.8</v>
      </c>
      <c r="DL112" s="9">
        <v>12458.6</v>
      </c>
      <c r="DM112" s="9">
        <v>10689.8</v>
      </c>
      <c r="DN112" s="9">
        <v>12340.8</v>
      </c>
      <c r="DO112" s="9">
        <v>11254.5</v>
      </c>
      <c r="DP112" s="9">
        <v>12268.9</v>
      </c>
      <c r="DQ112" s="9">
        <v>11025.9</v>
      </c>
      <c r="DR112" s="9">
        <v>12490</v>
      </c>
      <c r="DS112" s="9">
        <v>11211.9</v>
      </c>
      <c r="DT112" s="9">
        <v>11201.9</v>
      </c>
      <c r="DU112" s="9">
        <v>12462.3</v>
      </c>
      <c r="DV112" s="9">
        <v>11166.1</v>
      </c>
      <c r="DW112" s="9">
        <v>11107.5</v>
      </c>
      <c r="DX112" s="9">
        <v>12591.9</v>
      </c>
      <c r="DY112" s="9">
        <v>12639.4</v>
      </c>
      <c r="DZ112" s="9">
        <v>12420.2</v>
      </c>
      <c r="EA112" s="9">
        <v>11313.5</v>
      </c>
      <c r="EB112" s="9">
        <v>12495.9</v>
      </c>
      <c r="EC112" s="9">
        <v>11116.2</v>
      </c>
      <c r="ED112" s="9">
        <v>12202.8</v>
      </c>
      <c r="EE112" s="9">
        <v>10850.5</v>
      </c>
      <c r="EF112" s="9">
        <v>12008.4</v>
      </c>
      <c r="EG112" s="9">
        <v>10388.6</v>
      </c>
      <c r="EH112" s="9">
        <v>12157.9</v>
      </c>
      <c r="EI112" s="9">
        <v>11169.9</v>
      </c>
      <c r="EJ112" s="9">
        <v>11324.1</v>
      </c>
      <c r="EK112" s="9">
        <v>11568.8</v>
      </c>
      <c r="EL112" s="9">
        <v>11233.4</v>
      </c>
      <c r="EM112" s="9">
        <v>9667.1</v>
      </c>
      <c r="EN112" s="9">
        <v>11358.7</v>
      </c>
      <c r="EO112" s="9">
        <v>10021</v>
      </c>
      <c r="EP112" s="9">
        <v>9219</v>
      </c>
      <c r="EQ112" s="9">
        <v>0</v>
      </c>
      <c r="ER112" s="9">
        <v>13214.9</v>
      </c>
      <c r="ES112" s="9">
        <v>11557.5</v>
      </c>
      <c r="ET112" s="9">
        <v>13246.2</v>
      </c>
      <c r="EU112" s="9">
        <v>13070.8</v>
      </c>
      <c r="EV112" s="9">
        <v>13175</v>
      </c>
      <c r="EW112" s="9">
        <v>12691.2</v>
      </c>
      <c r="EX112" s="9">
        <v>11922.9</v>
      </c>
      <c r="EY112" s="9">
        <v>12848.9</v>
      </c>
      <c r="EZ112" s="9">
        <v>12940.3</v>
      </c>
      <c r="FA112" s="9">
        <v>13518.6</v>
      </c>
      <c r="FB112" s="9">
        <v>13177.4</v>
      </c>
      <c r="FC112" s="9">
        <v>13162.1</v>
      </c>
      <c r="FD112" s="9">
        <v>13131.1</v>
      </c>
      <c r="FE112" s="9">
        <v>13114.4</v>
      </c>
      <c r="FF112" s="9">
        <v>11964.9</v>
      </c>
      <c r="FG112" s="9">
        <v>13224.1</v>
      </c>
      <c r="FH112" s="9">
        <v>13080.8</v>
      </c>
      <c r="FI112" s="9">
        <v>13231</v>
      </c>
      <c r="FJ112" s="9">
        <v>13337.8</v>
      </c>
      <c r="FK112" s="9">
        <v>13208.5</v>
      </c>
      <c r="FL112" s="9">
        <v>13338.3</v>
      </c>
      <c r="FM112" s="9">
        <v>12001.5</v>
      </c>
      <c r="FN112" s="9">
        <v>13250.2</v>
      </c>
      <c r="FO112" s="9">
        <v>12015.9</v>
      </c>
      <c r="FP112" s="11">
        <v>34.076641221374018</v>
      </c>
      <c r="FQ112" s="11">
        <v>33.930292620865131</v>
      </c>
      <c r="FR112" s="11">
        <v>33.827124681933832</v>
      </c>
      <c r="FS112" s="11">
        <v>34.165890585241719</v>
      </c>
      <c r="FT112" s="11">
        <v>34.173295165394393</v>
      </c>
      <c r="FU112" s="11">
        <v>34.389936386768461</v>
      </c>
      <c r="FV112" s="11">
        <v>0</v>
      </c>
      <c r="FW112" s="11">
        <v>45.8</v>
      </c>
      <c r="FX112" s="11">
        <v>0</v>
      </c>
      <c r="FY112" s="11">
        <v>0</v>
      </c>
      <c r="FZ112" s="11">
        <v>46.1</v>
      </c>
      <c r="GA112" s="11">
        <v>46.7</v>
      </c>
      <c r="GB112" s="11">
        <v>3.6507335340203526</v>
      </c>
      <c r="GC112" s="11">
        <v>4.2979960050890611</v>
      </c>
      <c r="GD112" s="11">
        <v>4.1372241958015277</v>
      </c>
      <c r="GE112" s="11">
        <v>4.7766664546055955</v>
      </c>
      <c r="GF112" s="11">
        <v>4.3499913460559787</v>
      </c>
      <c r="GG112" s="11">
        <v>3.9579451300636159</v>
      </c>
      <c r="GH112" s="11">
        <v>6.801666</v>
      </c>
      <c r="GI112" s="11">
        <v>7.0066660000000001</v>
      </c>
      <c r="GJ112" s="11">
        <v>7.2966660000000001</v>
      </c>
      <c r="GK112" s="11">
        <v>9.36</v>
      </c>
      <c r="GL112" s="11">
        <v>6.97</v>
      </c>
      <c r="GM112" s="11">
        <v>7.1916659999999997</v>
      </c>
      <c r="GN112" s="11">
        <v>6.968184333333336</v>
      </c>
      <c r="GO112" s="11">
        <v>6.9581555000000002</v>
      </c>
      <c r="GP112" s="11">
        <v>6.9363631666666681</v>
      </c>
      <c r="GQ112" s="11">
        <v>6.9231043333333355</v>
      </c>
      <c r="GR112" s="11">
        <v>7.1149611666666699</v>
      </c>
      <c r="GS112" s="11">
        <v>7.2485271666666646</v>
      </c>
      <c r="GT112" s="108">
        <v>1.3724535000000002</v>
      </c>
      <c r="GU112" s="108">
        <v>1.2326483333333349</v>
      </c>
      <c r="GV112" s="108">
        <v>1.274766500000003</v>
      </c>
      <c r="GW112" s="108">
        <v>1.5261481666666661</v>
      </c>
      <c r="GX112" s="108">
        <v>1.4983128333333355</v>
      </c>
      <c r="GY112" s="108">
        <v>1.2498241666666661</v>
      </c>
      <c r="GZ112" s="13">
        <v>6.8508533333333341</v>
      </c>
      <c r="HA112" s="13">
        <v>6.7838363333333334</v>
      </c>
      <c r="HB112" s="13">
        <v>6.6709378333333298</v>
      </c>
      <c r="HC112" s="13">
        <v>0</v>
      </c>
      <c r="HD112" s="13">
        <v>0</v>
      </c>
      <c r="HE112" s="13">
        <v>7.0129361666666608</v>
      </c>
      <c r="HF112" s="13">
        <v>0.39659416666666697</v>
      </c>
      <c r="HG112" s="13">
        <v>0.47209416666666637</v>
      </c>
      <c r="HH112" s="13">
        <v>0.42495133333333318</v>
      </c>
      <c r="HI112" s="13">
        <v>0.39822099999999944</v>
      </c>
      <c r="HJ112" s="13">
        <v>0.43980000000000008</v>
      </c>
      <c r="HK112" s="13">
        <v>0.46392816666666664</v>
      </c>
      <c r="HL112" s="12">
        <v>0</v>
      </c>
      <c r="HM112" s="12">
        <v>0</v>
      </c>
      <c r="HN112" s="12">
        <v>0</v>
      </c>
      <c r="HO112" s="12">
        <v>0</v>
      </c>
      <c r="HP112" s="12">
        <v>0</v>
      </c>
      <c r="HQ112" s="12">
        <v>0</v>
      </c>
      <c r="HR112" s="12">
        <v>0</v>
      </c>
      <c r="HS112" s="12">
        <v>0</v>
      </c>
      <c r="HT112" s="12">
        <v>0</v>
      </c>
      <c r="HU112" s="12">
        <v>0</v>
      </c>
      <c r="HV112" s="12">
        <v>0</v>
      </c>
      <c r="HW112" s="12">
        <v>0</v>
      </c>
      <c r="HX112" s="9">
        <v>990199</v>
      </c>
      <c r="HY112" s="9">
        <v>1847</v>
      </c>
      <c r="HZ112" s="9">
        <v>976684</v>
      </c>
      <c r="IA112" s="9">
        <v>1863</v>
      </c>
      <c r="IB112" s="11">
        <v>271838.55499999999</v>
      </c>
      <c r="IC112" s="11">
        <v>628.66700000000003</v>
      </c>
      <c r="ID112" s="14">
        <f t="shared" ref="ID112:II112" si="1095">GN112-HL112</f>
        <v>6.968184333333336</v>
      </c>
      <c r="IE112" s="14">
        <f t="shared" si="1095"/>
        <v>6.9581555000000002</v>
      </c>
      <c r="IF112" s="14">
        <f t="shared" si="1095"/>
        <v>6.9363631666666681</v>
      </c>
      <c r="IG112" s="14">
        <f t="shared" si="1095"/>
        <v>6.9231043333333355</v>
      </c>
      <c r="IH112" s="14">
        <f t="shared" si="1095"/>
        <v>7.1149611666666699</v>
      </c>
      <c r="II112" s="14">
        <f t="shared" si="1095"/>
        <v>7.2485271666666646</v>
      </c>
      <c r="IJ112" s="15">
        <f t="shared" ref="IJ112:IO112" si="1096">GZ112-HR112</f>
        <v>6.8508533333333341</v>
      </c>
      <c r="IK112" s="15">
        <f t="shared" si="1096"/>
        <v>6.7838363333333334</v>
      </c>
      <c r="IL112" s="15">
        <f t="shared" si="1096"/>
        <v>6.6709378333333298</v>
      </c>
      <c r="IM112" s="15">
        <f t="shared" si="1096"/>
        <v>0</v>
      </c>
      <c r="IN112" s="15">
        <f t="shared" si="1096"/>
        <v>0</v>
      </c>
      <c r="IO112" s="15">
        <f t="shared" si="1096"/>
        <v>7.0129361666666608</v>
      </c>
      <c r="IP112" s="16">
        <f t="shared" ref="IP112" si="1097">(HX112-HX111)*1000</f>
        <v>890000</v>
      </c>
      <c r="IQ112" s="16">
        <f t="shared" ref="IQ112" si="1098">(HY112-HY111)*1000</f>
        <v>2000</v>
      </c>
      <c r="IR112" s="16">
        <f t="shared" ref="IR112" si="1099">(HZ112-HZ111)*1000</f>
        <v>942000</v>
      </c>
      <c r="IS112" s="16">
        <f t="shared" ref="IS112" si="1100">(IA112-IA111)*1000</f>
        <v>2000</v>
      </c>
      <c r="IT112" s="16">
        <f t="shared" ref="IT112" si="1101">(IB112-IB111)*1000</f>
        <v>1833333.9999999735</v>
      </c>
      <c r="IU112" s="16">
        <f t="shared" ref="IU112" si="1102">(IC112-IC111)*1000</f>
        <v>4466.9999999999845</v>
      </c>
      <c r="IV112" s="17">
        <f t="shared" ref="IV112" si="1103">(IP112+IR112)-(IQ112+IS112)</f>
        <v>1828000</v>
      </c>
      <c r="IW112" s="17">
        <f t="shared" ref="IW112" si="1104">IT112-IU112</f>
        <v>1828866.9999999735</v>
      </c>
      <c r="IX112" s="19">
        <f>(Raw_Data[[#This Row],[Sunset Time (POA&lt;20 W/m2)]]-Raw_Data[[#This Row],[Sunrise Time (POA&gt;20 W/m2)]])*24</f>
        <v>13.200000000000001</v>
      </c>
      <c r="IY112" s="68">
        <f>AVERAGEIF(Raw_Data[[#This Row],[GHI_UP_Net_IS2_W1]:[GHI_UP_Net_IS19_W6]],"&lt;&gt;"&amp;0,Raw_Data[[#This Row],[GHI_UP_Net_IS2_W1]:[GHI_UP_Net_IS19_W6]])</f>
        <v>7.0248826111111109</v>
      </c>
      <c r="IZ112" s="68">
        <f>AVERAGEIF(Raw_Data[[#This Row],[GHI_Down_IS2_W1]:[GHI_Down_IS19_W6]],"&lt;&gt;"&amp;0,Raw_Data[[#This Row],[GHI_Down_IS2_W1]:[GHI_Down_IS19_W6]])</f>
        <v>1.3590255833333345</v>
      </c>
      <c r="JA112" s="68">
        <f>AVERAGEIF(Raw_Data[[#This Row],[POA_Up_IS2_W1]:[POA_Up_IS19_W6]],"&lt;&gt;"&amp;0,Raw_Data[[#This Row],[POA_Up_IS2_W1]:[POA_Up_IS19_W6]])</f>
        <v>6.8296409166666638</v>
      </c>
      <c r="JB112" s="68">
        <f>AVERAGEIF(Raw_Data[[#This Row],[POA_Down_IS2_W1]:[POA_Down_IS19_W6]],"&lt;&gt;"&amp;0,Raw_Data[[#This Row],[POA_Down_IS2_W1]:[POA_Down_IS19_W6]])</f>
        <v>0.43259813888888882</v>
      </c>
      <c r="JC112" s="69">
        <f>Raw_Data[[#This Row],[GHI-Down(KWh/m2)]]/Raw_Data[[#This Row],[GHI-UP (KWh/m2)]]</f>
        <v>0.19345883177945095</v>
      </c>
      <c r="JD112" s="72">
        <f>Raw_Data[[#This Row],[POA-Down(KWh/m2)]]/Raw_Data[[#This Row],[POA-UP(KWh/m2)]]</f>
        <v>6.3341271403186239E-2</v>
      </c>
      <c r="JE112" s="68">
        <f>AVERAGEIF(Raw_Data[[#This Row],[Amb_Temp_IS2_W1]:[Amb_Temp_IS19_W6]],"&lt;&gt;"&amp;0,Raw_Data[[#This Row],[Amb_Temp_IS2_W1]:[Amb_Temp_IS19_W6]])</f>
        <v>34.093863443596256</v>
      </c>
      <c r="JF112" s="68">
        <f>AVERAGEIF(Raw_Data[[#This Row],[MT_Temp_IS2_W1]:[MT_Temp_IS19_W6]],"&lt;&gt;"&amp;0,Raw_Data[[#This Row],[MT_Temp_IS2_W1]:[MT_Temp_IS19_W6]])</f>
        <v>46.20000000000001</v>
      </c>
      <c r="JG112" s="68">
        <f>AVERAGEIF(Raw_Data[[#This Row],[WS_Avg_IS2_W1]:[WS_Avg_IS19_W6]],"&lt;&gt;"&amp;0,Raw_Data[[#This Row],[WS_Avg_IS2_W1]:[WS_Avg_IS19_W6]])</f>
        <v>4.1950927776060221</v>
      </c>
      <c r="JH112" s="68">
        <f>AVERAGEIF(Raw_Data[[#This Row],[WS_Max_IS2_W1]:[WS_Max_IS19_W6]],"&lt;&gt;"&amp;0,Raw_Data[[#This Row],[WS_Max_IS2_W1]:[WS_Max_IS19_W6]])</f>
        <v>7.437777333333333</v>
      </c>
      <c r="JI112" s="70">
        <f>SUM(Raw_Data[[#This Row],[IS1_INV1_M1]:[IS20_INV4_M2]])</f>
        <v>1845082.2999999996</v>
      </c>
      <c r="JJ112" s="73">
        <v>1813134.00000002</v>
      </c>
      <c r="JK112" s="71">
        <v>2249153.839753354</v>
      </c>
      <c r="JL112" s="143">
        <f>IFERROR(Raw_Data[[#This Row],[WPR_Eac]]/Raw_Data[[#This Row],[WPR_Edc]],"")</f>
        <v>0.80614049957509859</v>
      </c>
      <c r="JM112" s="6">
        <v>22</v>
      </c>
      <c r="JN112" s="6" t="s">
        <v>2635</v>
      </c>
    </row>
    <row r="113" spans="2:274">
      <c r="B113" s="250">
        <f t="shared" si="596"/>
        <v>45852</v>
      </c>
      <c r="C113" s="9">
        <f>YEAR(Raw_Data[[#This Row],[Date]])+IF(MONTH(Raw_Data[[#This Row],[Date]])&gt;=4,1,0)</f>
        <v>2026</v>
      </c>
      <c r="D113" s="6">
        <f t="shared" si="1093"/>
        <v>2025</v>
      </c>
      <c r="E113" s="7" t="s">
        <v>361</v>
      </c>
      <c r="F113" s="7" t="s">
        <v>361</v>
      </c>
      <c r="G113" s="8">
        <v>45839</v>
      </c>
      <c r="H113" s="6">
        <f t="shared" si="1094"/>
        <v>31</v>
      </c>
      <c r="I113" s="9">
        <v>337338.84499999956</v>
      </c>
      <c r="J113" s="10">
        <v>0.26944444444444443</v>
      </c>
      <c r="K113" s="10">
        <v>0.80069444444444449</v>
      </c>
      <c r="L113" s="9">
        <v>9715.2999999999993</v>
      </c>
      <c r="M113" s="9">
        <v>10195.5</v>
      </c>
      <c r="N113" s="9">
        <v>10188.299999999999</v>
      </c>
      <c r="O113" s="9">
        <v>10139.5</v>
      </c>
      <c r="P113" s="9">
        <v>10281.700000000001</v>
      </c>
      <c r="Q113" s="9">
        <v>10272</v>
      </c>
      <c r="R113" s="9">
        <v>10283.6</v>
      </c>
      <c r="S113" s="9">
        <v>10570.8</v>
      </c>
      <c r="T113" s="9">
        <v>10219.9</v>
      </c>
      <c r="U113" s="9">
        <v>10246.200000000001</v>
      </c>
      <c r="V113" s="9">
        <v>11082.6</v>
      </c>
      <c r="W113" s="9">
        <v>10195.799999999999</v>
      </c>
      <c r="X113" s="9">
        <v>11067.6</v>
      </c>
      <c r="Y113" s="9">
        <v>10188.700000000001</v>
      </c>
      <c r="Z113" s="9">
        <v>9319.4</v>
      </c>
      <c r="AA113" s="9">
        <v>0</v>
      </c>
      <c r="AB113" s="9">
        <v>10255.799999999999</v>
      </c>
      <c r="AC113" s="9">
        <v>10266.9</v>
      </c>
      <c r="AD113" s="9">
        <v>10368.200000000001</v>
      </c>
      <c r="AE113" s="9">
        <v>10387.5</v>
      </c>
      <c r="AF113" s="9">
        <v>10526.9</v>
      </c>
      <c r="AG113" s="9">
        <v>10428</v>
      </c>
      <c r="AH113" s="9">
        <v>10378.4</v>
      </c>
      <c r="AI113" s="9">
        <v>10424.200000000001</v>
      </c>
      <c r="AJ113" s="9">
        <v>10288</v>
      </c>
      <c r="AK113" s="9">
        <v>9046.5</v>
      </c>
      <c r="AL113" s="9">
        <v>10124.299999999999</v>
      </c>
      <c r="AM113" s="9">
        <v>10225.299999999999</v>
      </c>
      <c r="AN113" s="9">
        <v>10610.6</v>
      </c>
      <c r="AO113" s="9">
        <v>10552.3</v>
      </c>
      <c r="AP113" s="9">
        <v>10423.299999999999</v>
      </c>
      <c r="AQ113" s="9">
        <v>10585.1</v>
      </c>
      <c r="AR113" s="9">
        <v>10695.5</v>
      </c>
      <c r="AS113" s="9">
        <v>10686.4</v>
      </c>
      <c r="AT113" s="9">
        <v>10705.2</v>
      </c>
      <c r="AU113" s="9">
        <v>10642.4</v>
      </c>
      <c r="AV113" s="9">
        <v>10668.4</v>
      </c>
      <c r="AW113" s="9">
        <v>10526.1</v>
      </c>
      <c r="AX113" s="9">
        <v>10584.7</v>
      </c>
      <c r="AY113" s="9">
        <v>10493.1</v>
      </c>
      <c r="AZ113" s="9">
        <v>11132.1</v>
      </c>
      <c r="BA113" s="9">
        <v>11045.2</v>
      </c>
      <c r="BB113" s="9">
        <v>11137.4</v>
      </c>
      <c r="BC113" s="9">
        <v>11108.2</v>
      </c>
      <c r="BD113" s="9">
        <v>11457.1</v>
      </c>
      <c r="BE113" s="9">
        <v>11802.9</v>
      </c>
      <c r="BF113" s="9">
        <v>11191.1</v>
      </c>
      <c r="BG113" s="9">
        <v>11278.5</v>
      </c>
      <c r="BH113" s="9">
        <v>9688.7999999999993</v>
      </c>
      <c r="BI113" s="9">
        <v>9787.5</v>
      </c>
      <c r="BJ113" s="9">
        <v>2176.1</v>
      </c>
      <c r="BK113" s="9">
        <v>2092.3000000000002</v>
      </c>
      <c r="BL113" s="9">
        <v>9963.7000000000007</v>
      </c>
      <c r="BM113" s="9">
        <v>9837.5</v>
      </c>
      <c r="BN113" s="9">
        <v>9981.1</v>
      </c>
      <c r="BO113" s="9">
        <v>9942.5</v>
      </c>
      <c r="BP113" s="9">
        <v>9542.4</v>
      </c>
      <c r="BQ113" s="9">
        <v>10955.8</v>
      </c>
      <c r="BR113" s="9">
        <v>9425.7000000000007</v>
      </c>
      <c r="BS113" s="9">
        <v>10787.4</v>
      </c>
      <c r="BT113" s="9">
        <v>10643.5</v>
      </c>
      <c r="BU113" s="9">
        <v>9425.1</v>
      </c>
      <c r="BV113" s="9">
        <v>10459.1</v>
      </c>
      <c r="BW113" s="9">
        <v>9945.4</v>
      </c>
      <c r="BX113" s="9">
        <v>9864.4</v>
      </c>
      <c r="BY113" s="9">
        <v>9667.6</v>
      </c>
      <c r="BZ113" s="9">
        <v>10252.299999999999</v>
      </c>
      <c r="CA113" s="9">
        <v>10652.5</v>
      </c>
      <c r="CB113" s="9">
        <v>10897.4</v>
      </c>
      <c r="CC113" s="9">
        <v>9915.2000000000007</v>
      </c>
      <c r="CD113" s="9">
        <v>10538.4</v>
      </c>
      <c r="CE113" s="9">
        <v>9530.2999999999993</v>
      </c>
      <c r="CF113" s="9">
        <v>10456.299999999999</v>
      </c>
      <c r="CG113" s="9">
        <v>10355.9</v>
      </c>
      <c r="CH113" s="9">
        <v>9658.2999999999993</v>
      </c>
      <c r="CI113" s="9">
        <v>10806</v>
      </c>
      <c r="CJ113" s="9">
        <v>9496.1</v>
      </c>
      <c r="CK113" s="9">
        <v>10880.5</v>
      </c>
      <c r="CL113" s="9">
        <v>9585.6</v>
      </c>
      <c r="CM113" s="9">
        <v>10678.6</v>
      </c>
      <c r="CN113" s="9">
        <v>9915.1</v>
      </c>
      <c r="CO113" s="9">
        <v>10663.7</v>
      </c>
      <c r="CP113" s="9">
        <v>9804.4</v>
      </c>
      <c r="CQ113" s="9">
        <v>10896.7</v>
      </c>
      <c r="CR113" s="9">
        <v>9784.7000000000007</v>
      </c>
      <c r="CS113" s="9">
        <v>10375.1</v>
      </c>
      <c r="CT113" s="9">
        <v>9806.1</v>
      </c>
      <c r="CU113" s="9">
        <v>8541.7000000000007</v>
      </c>
      <c r="CV113" s="9">
        <v>10661.9</v>
      </c>
      <c r="CW113" s="9">
        <v>10229.799999999999</v>
      </c>
      <c r="CX113" s="9">
        <v>9493.2000000000007</v>
      </c>
      <c r="CY113" s="9">
        <v>10971.3</v>
      </c>
      <c r="CZ113" s="9">
        <v>10690.2</v>
      </c>
      <c r="DA113" s="9">
        <v>9974.1</v>
      </c>
      <c r="DB113" s="9">
        <v>9885.4</v>
      </c>
      <c r="DC113" s="9">
        <v>10786.8</v>
      </c>
      <c r="DD113" s="9">
        <v>9690</v>
      </c>
      <c r="DE113" s="9">
        <v>9971</v>
      </c>
      <c r="DF113" s="9">
        <v>10867.2</v>
      </c>
      <c r="DG113" s="9">
        <v>9617.4</v>
      </c>
      <c r="DH113" s="9">
        <v>10676.1</v>
      </c>
      <c r="DI113" s="9">
        <v>9615.5</v>
      </c>
      <c r="DJ113" s="9">
        <v>10646</v>
      </c>
      <c r="DK113" s="9">
        <v>9837.2000000000007</v>
      </c>
      <c r="DL113" s="9">
        <v>10641.1</v>
      </c>
      <c r="DM113" s="9">
        <v>9316.4</v>
      </c>
      <c r="DN113" s="9">
        <v>10686.2</v>
      </c>
      <c r="DO113" s="9">
        <v>9722.5</v>
      </c>
      <c r="DP113" s="9">
        <v>10579</v>
      </c>
      <c r="DQ113" s="9">
        <v>9439.4</v>
      </c>
      <c r="DR113" s="9">
        <v>10764.6</v>
      </c>
      <c r="DS113" s="9">
        <v>9835.7999999999993</v>
      </c>
      <c r="DT113" s="9">
        <v>9668.7999999999993</v>
      </c>
      <c r="DU113" s="9">
        <v>10659.4</v>
      </c>
      <c r="DV113" s="9">
        <v>9619</v>
      </c>
      <c r="DW113" s="9">
        <v>9549</v>
      </c>
      <c r="DX113" s="9">
        <v>10578.8</v>
      </c>
      <c r="DY113" s="9">
        <v>10818.1</v>
      </c>
      <c r="DZ113" s="9">
        <v>10468.4</v>
      </c>
      <c r="EA113" s="9">
        <v>9692.4</v>
      </c>
      <c r="EB113" s="9">
        <v>10835.3</v>
      </c>
      <c r="EC113" s="9">
        <v>9766.4</v>
      </c>
      <c r="ED113" s="9">
        <v>10530.5</v>
      </c>
      <c r="EE113" s="9">
        <v>9742.5</v>
      </c>
      <c r="EF113" s="9">
        <v>10486.7</v>
      </c>
      <c r="EG113" s="9">
        <v>9140.5</v>
      </c>
      <c r="EH113" s="9">
        <v>10616.6</v>
      </c>
      <c r="EI113" s="9">
        <v>9824.9</v>
      </c>
      <c r="EJ113" s="9">
        <v>9891.4</v>
      </c>
      <c r="EK113" s="9">
        <v>10079</v>
      </c>
      <c r="EL113" s="9">
        <v>9931.6</v>
      </c>
      <c r="EM113" s="9">
        <v>8576.9</v>
      </c>
      <c r="EN113" s="9">
        <v>9895.9</v>
      </c>
      <c r="EO113" s="9">
        <v>8797.9</v>
      </c>
      <c r="EP113" s="9">
        <v>9746.1</v>
      </c>
      <c r="EQ113" s="9">
        <v>9686</v>
      </c>
      <c r="ER113" s="9">
        <v>11244.9</v>
      </c>
      <c r="ES113" s="9">
        <v>10003.6</v>
      </c>
      <c r="ET113" s="9">
        <v>11417</v>
      </c>
      <c r="EU113" s="9">
        <v>11324</v>
      </c>
      <c r="EV113" s="9">
        <v>11419.2</v>
      </c>
      <c r="EW113" s="9">
        <v>10951.3</v>
      </c>
      <c r="EX113" s="9">
        <v>10323.1</v>
      </c>
      <c r="EY113" s="9">
        <v>11191.4</v>
      </c>
      <c r="EZ113" s="9">
        <v>10720.9</v>
      </c>
      <c r="FA113" s="9">
        <v>11203.3</v>
      </c>
      <c r="FB113" s="9">
        <v>10761.6</v>
      </c>
      <c r="FC113" s="9">
        <v>10883.8</v>
      </c>
      <c r="FD113" s="9">
        <v>10940.2</v>
      </c>
      <c r="FE113" s="9">
        <v>11078.7</v>
      </c>
      <c r="FF113" s="9">
        <v>10215.6</v>
      </c>
      <c r="FG113" s="9">
        <v>11148.4</v>
      </c>
      <c r="FH113" s="9">
        <v>10948.9</v>
      </c>
      <c r="FI113" s="9">
        <v>11018.3</v>
      </c>
      <c r="FJ113" s="9">
        <v>11123.4</v>
      </c>
      <c r="FK113" s="9">
        <v>11036.6</v>
      </c>
      <c r="FL113" s="9">
        <v>11076.5</v>
      </c>
      <c r="FM113" s="9">
        <v>9980.6</v>
      </c>
      <c r="FN113" s="9">
        <v>10753.1</v>
      </c>
      <c r="FO113" s="9">
        <v>9864.2999999999993</v>
      </c>
      <c r="FP113" s="11">
        <v>33.300247395833303</v>
      </c>
      <c r="FQ113" s="11">
        <v>33.028541666666634</v>
      </c>
      <c r="FR113" s="11">
        <v>33.154036458333394</v>
      </c>
      <c r="FS113" s="11">
        <v>33.369895833333381</v>
      </c>
      <c r="FT113" s="11">
        <v>33.488984374999966</v>
      </c>
      <c r="FU113" s="11">
        <v>33.282955729166638</v>
      </c>
      <c r="FV113" s="11">
        <v>0</v>
      </c>
      <c r="FW113" s="11">
        <v>43.562760416666691</v>
      </c>
      <c r="FX113" s="11">
        <v>0</v>
      </c>
      <c r="FY113" s="11">
        <v>0</v>
      </c>
      <c r="FZ113" s="11">
        <v>43.6</v>
      </c>
      <c r="GA113" s="11">
        <v>43.395585937500009</v>
      </c>
      <c r="GB113" s="11">
        <v>3.1922828345963521</v>
      </c>
      <c r="GC113" s="11">
        <v>4.5086391015625011</v>
      </c>
      <c r="GD113" s="11">
        <v>4.34473068489583</v>
      </c>
      <c r="GE113" s="11">
        <v>4.2870722888151036</v>
      </c>
      <c r="GF113" s="11">
        <v>4.6197372369791649</v>
      </c>
      <c r="GG113" s="11">
        <v>4.362564894531249</v>
      </c>
      <c r="GH113" s="11">
        <v>6.2783329999999999</v>
      </c>
      <c r="GI113" s="11">
        <v>7.6666660000000002</v>
      </c>
      <c r="GJ113" s="11">
        <v>7.3433330000000003</v>
      </c>
      <c r="GK113" s="11">
        <v>9.41</v>
      </c>
      <c r="GL113" s="11">
        <v>7.5083339999999996</v>
      </c>
      <c r="GM113" s="11">
        <v>7.9749999999999996</v>
      </c>
      <c r="GN113" s="11">
        <v>5.8291040000000027</v>
      </c>
      <c r="GO113" s="11">
        <v>6.1008574999999947</v>
      </c>
      <c r="GP113" s="11">
        <v>6.1229168333333304</v>
      </c>
      <c r="GQ113" s="11">
        <v>5.9809629999999983</v>
      </c>
      <c r="GR113" s="11">
        <v>6.0591063333333395</v>
      </c>
      <c r="GS113" s="11">
        <v>5.9714689999999973</v>
      </c>
      <c r="GT113" s="108">
        <v>1.2287844999999991</v>
      </c>
      <c r="GU113" s="108">
        <v>1.1327556666666667</v>
      </c>
      <c r="GV113" s="108">
        <v>1.1901781666666666</v>
      </c>
      <c r="GW113" s="108">
        <v>1.4189408333333322</v>
      </c>
      <c r="GX113" s="108">
        <v>1.3638501666666658</v>
      </c>
      <c r="GY113" s="108">
        <v>1.0633474999999992</v>
      </c>
      <c r="GZ113" s="13">
        <v>5.6911866666666748</v>
      </c>
      <c r="HA113" s="13">
        <v>5.9380753333333329</v>
      </c>
      <c r="HB113" s="13">
        <v>5.8989966666666644</v>
      </c>
      <c r="HC113" s="13">
        <v>0</v>
      </c>
      <c r="HD113" s="13">
        <v>0</v>
      </c>
      <c r="HE113" s="13">
        <v>5.7496011666666638</v>
      </c>
      <c r="HF113" s="13">
        <v>0.37374099999999977</v>
      </c>
      <c r="HG113" s="13">
        <v>0.46603866666666643</v>
      </c>
      <c r="HH113" s="13">
        <v>0.43007383333333332</v>
      </c>
      <c r="HI113" s="13">
        <v>0.39848399999999989</v>
      </c>
      <c r="HJ113" s="13">
        <v>0.42864399999999975</v>
      </c>
      <c r="HK113" s="13">
        <v>0.42684283333333356</v>
      </c>
      <c r="HL113" s="12">
        <v>0</v>
      </c>
      <c r="HM113" s="12">
        <v>0</v>
      </c>
      <c r="HN113" s="12">
        <v>0</v>
      </c>
      <c r="HO113" s="12">
        <v>0</v>
      </c>
      <c r="HP113" s="12">
        <v>0</v>
      </c>
      <c r="HQ113" s="12">
        <v>0</v>
      </c>
      <c r="HR113" s="12">
        <v>0</v>
      </c>
      <c r="HS113" s="12">
        <v>0</v>
      </c>
      <c r="HT113" s="12">
        <v>0</v>
      </c>
      <c r="HU113" s="12">
        <v>0</v>
      </c>
      <c r="HV113" s="12">
        <v>0</v>
      </c>
      <c r="HW113" s="12">
        <v>0</v>
      </c>
      <c r="HX113" s="9">
        <v>990993</v>
      </c>
      <c r="HY113" s="9">
        <v>1848</v>
      </c>
      <c r="HZ113" s="9">
        <v>977506</v>
      </c>
      <c r="IA113" s="9">
        <v>1864</v>
      </c>
      <c r="IB113" s="11">
        <v>273455.02100000001</v>
      </c>
      <c r="IC113" s="11">
        <v>632.79999999999995</v>
      </c>
      <c r="ID113" s="14">
        <f t="shared" ref="ID113:II113" si="1105">GN113-HL113</f>
        <v>5.8291040000000027</v>
      </c>
      <c r="IE113" s="14">
        <f t="shared" si="1105"/>
        <v>6.1008574999999947</v>
      </c>
      <c r="IF113" s="14">
        <f t="shared" si="1105"/>
        <v>6.1229168333333304</v>
      </c>
      <c r="IG113" s="14">
        <f t="shared" si="1105"/>
        <v>5.9809629999999983</v>
      </c>
      <c r="IH113" s="14">
        <f t="shared" si="1105"/>
        <v>6.0591063333333395</v>
      </c>
      <c r="II113" s="14">
        <f t="shared" si="1105"/>
        <v>5.9714689999999973</v>
      </c>
      <c r="IJ113" s="15">
        <f t="shared" ref="IJ113:IO113" si="1106">GZ113-HR113</f>
        <v>5.6911866666666748</v>
      </c>
      <c r="IK113" s="15">
        <f t="shared" si="1106"/>
        <v>5.9380753333333329</v>
      </c>
      <c r="IL113" s="15">
        <f t="shared" si="1106"/>
        <v>5.8989966666666644</v>
      </c>
      <c r="IM113" s="15">
        <f t="shared" si="1106"/>
        <v>0</v>
      </c>
      <c r="IN113" s="15">
        <f t="shared" si="1106"/>
        <v>0</v>
      </c>
      <c r="IO113" s="15">
        <f t="shared" si="1106"/>
        <v>5.7496011666666638</v>
      </c>
      <c r="IP113" s="16">
        <f t="shared" ref="IP113" si="1107">(HX113-HX112)*1000</f>
        <v>794000</v>
      </c>
      <c r="IQ113" s="16">
        <f t="shared" ref="IQ113" si="1108">(HY113-HY112)*1000</f>
        <v>1000</v>
      </c>
      <c r="IR113" s="16">
        <f t="shared" ref="IR113" si="1109">(HZ113-HZ112)*1000</f>
        <v>822000</v>
      </c>
      <c r="IS113" s="16">
        <f t="shared" ref="IS113" si="1110">(IA113-IA112)*1000</f>
        <v>1000</v>
      </c>
      <c r="IT113" s="16">
        <f t="shared" ref="IT113" si="1111">(IB113-IB112)*1000</f>
        <v>1616466.0000000149</v>
      </c>
      <c r="IU113" s="16">
        <f t="shared" ref="IU113" si="1112">(IC113-IC112)*1000</f>
        <v>4132.9999999999245</v>
      </c>
      <c r="IV113" s="17">
        <f t="shared" ref="IV113" si="1113">(IP113+IR113)-(IQ113+IS113)</f>
        <v>1614000</v>
      </c>
      <c r="IW113" s="17">
        <f t="shared" ref="IW113" si="1114">IT113-IU113</f>
        <v>1612333.0000000149</v>
      </c>
      <c r="IX113" s="19">
        <f>(Raw_Data[[#This Row],[Sunset Time (POA&lt;20 W/m2)]]-Raw_Data[[#This Row],[Sunrise Time (POA&gt;20 W/m2)]])*24</f>
        <v>12.75</v>
      </c>
      <c r="IY113" s="68">
        <f>AVERAGEIF(Raw_Data[[#This Row],[GHI_UP_Net_IS2_W1]:[GHI_UP_Net_IS19_W6]],"&lt;&gt;"&amp;0,Raw_Data[[#This Row],[GHI_UP_Net_IS2_W1]:[GHI_UP_Net_IS19_W6]])</f>
        <v>6.0107361111111111</v>
      </c>
      <c r="IZ113" s="68">
        <f>AVERAGEIF(Raw_Data[[#This Row],[GHI_Down_IS2_W1]:[GHI_Down_IS19_W6]],"&lt;&gt;"&amp;0,Raw_Data[[#This Row],[GHI_Down_IS2_W1]:[GHI_Down_IS19_W6]])</f>
        <v>1.2329761388888882</v>
      </c>
      <c r="JA113" s="68">
        <f>AVERAGEIF(Raw_Data[[#This Row],[POA_Up_IS2_W1]:[POA_Up_IS19_W6]],"&lt;&gt;"&amp;0,Raw_Data[[#This Row],[POA_Up_IS2_W1]:[POA_Up_IS19_W6]])</f>
        <v>5.8194649583333344</v>
      </c>
      <c r="JB113" s="68">
        <f>AVERAGEIF(Raw_Data[[#This Row],[POA_Down_IS2_W1]:[POA_Down_IS19_W6]],"&lt;&gt;"&amp;0,Raw_Data[[#This Row],[POA_Down_IS2_W1]:[POA_Down_IS19_W6]])</f>
        <v>0.4206373888888888</v>
      </c>
      <c r="JC113" s="69">
        <f>Raw_Data[[#This Row],[GHI-Down(KWh/m2)]]/Raw_Data[[#This Row],[GHI-UP (KWh/m2)]]</f>
        <v>0.20512897523644025</v>
      </c>
      <c r="JD113" s="72">
        <f>Raw_Data[[#This Row],[POA-Down(KWh/m2)]]/Raw_Data[[#This Row],[POA-UP(KWh/m2)]]</f>
        <v>7.2281110359904505E-2</v>
      </c>
      <c r="JE113" s="68">
        <f>AVERAGEIF(Raw_Data[[#This Row],[Amb_Temp_IS2_W1]:[Amb_Temp_IS19_W6]],"&lt;&gt;"&amp;0,Raw_Data[[#This Row],[Amb_Temp_IS2_W1]:[Amb_Temp_IS19_W6]])</f>
        <v>33.270776909722223</v>
      </c>
      <c r="JF113" s="68">
        <f>AVERAGEIF(Raw_Data[[#This Row],[MT_Temp_IS2_W1]:[MT_Temp_IS19_W6]],"&lt;&gt;"&amp;0,Raw_Data[[#This Row],[MT_Temp_IS2_W1]:[MT_Temp_IS19_W6]])</f>
        <v>43.519448784722236</v>
      </c>
      <c r="JG113" s="68">
        <f>AVERAGEIF(Raw_Data[[#This Row],[WS_Avg_IS2_W1]:[WS_Avg_IS19_W6]],"&lt;&gt;"&amp;0,Raw_Data[[#This Row],[WS_Avg_IS2_W1]:[WS_Avg_IS19_W6]])</f>
        <v>4.2191711735633666</v>
      </c>
      <c r="JH113" s="68">
        <f>AVERAGEIF(Raw_Data[[#This Row],[WS_Max_IS2_W1]:[WS_Max_IS19_W6]],"&lt;&gt;"&amp;0,Raw_Data[[#This Row],[WS_Max_IS2_W1]:[WS_Max_IS19_W6]])</f>
        <v>7.6969443333333336</v>
      </c>
      <c r="JI113" s="70">
        <f>SUM(Raw_Data[[#This Row],[IS1_INV1_M1]:[IS20_INV4_M2]])</f>
        <v>1625518.1999999995</v>
      </c>
      <c r="JJ113" s="73">
        <v>1600448.2799999842</v>
      </c>
      <c r="JK113" s="71">
        <v>1929122.0920078019</v>
      </c>
      <c r="JL113" s="143">
        <f>IFERROR(Raw_Data[[#This Row],[WPR_Eac]]/Raw_Data[[#This Row],[WPR_Edc]],"")</f>
        <v>0.82962518890354997</v>
      </c>
      <c r="JM113" s="6">
        <v>24</v>
      </c>
      <c r="JN113" s="6" t="s">
        <v>2635</v>
      </c>
    </row>
    <row r="114" spans="2:274">
      <c r="B114" s="250">
        <f t="shared" si="596"/>
        <v>45853</v>
      </c>
      <c r="C114" s="9">
        <f>YEAR(Raw_Data[[#This Row],[Date]])+IF(MONTH(Raw_Data[[#This Row],[Date]])&gt;=4,1,0)</f>
        <v>2026</v>
      </c>
      <c r="D114" s="6">
        <f t="shared" si="1093"/>
        <v>2025</v>
      </c>
      <c r="E114" s="7" t="s">
        <v>361</v>
      </c>
      <c r="F114" s="7" t="s">
        <v>361</v>
      </c>
      <c r="G114" s="8">
        <v>45839</v>
      </c>
      <c r="H114" s="6">
        <f t="shared" si="1094"/>
        <v>31</v>
      </c>
      <c r="I114" s="9">
        <v>337338.84499999956</v>
      </c>
      <c r="J114" s="10">
        <v>0.2673611111111111</v>
      </c>
      <c r="K114" s="10">
        <v>0.81319444444444444</v>
      </c>
      <c r="L114" s="9">
        <v>11145.5</v>
      </c>
      <c r="M114" s="9">
        <v>11768.5</v>
      </c>
      <c r="N114" s="9">
        <v>11643.6</v>
      </c>
      <c r="O114" s="9">
        <v>11544.6</v>
      </c>
      <c r="P114" s="9">
        <v>11761.5</v>
      </c>
      <c r="Q114" s="9">
        <v>11813.5</v>
      </c>
      <c r="R114" s="9">
        <v>11929.9</v>
      </c>
      <c r="S114" s="9">
        <v>12220.6</v>
      </c>
      <c r="T114" s="9">
        <v>11809.9</v>
      </c>
      <c r="U114" s="9">
        <v>11826.4</v>
      </c>
      <c r="V114" s="9">
        <v>12693.7</v>
      </c>
      <c r="W114" s="9">
        <v>11743.4</v>
      </c>
      <c r="X114" s="9">
        <v>12711.5</v>
      </c>
      <c r="Y114" s="9">
        <v>11722.7</v>
      </c>
      <c r="Z114" s="9">
        <v>11774</v>
      </c>
      <c r="AA114" s="9">
        <v>11783.6</v>
      </c>
      <c r="AB114" s="9">
        <v>11693.4</v>
      </c>
      <c r="AC114" s="9">
        <v>11654.7</v>
      </c>
      <c r="AD114" s="9">
        <v>11707.8</v>
      </c>
      <c r="AE114" s="9">
        <v>11767.6</v>
      </c>
      <c r="AF114" s="9">
        <v>11755.5</v>
      </c>
      <c r="AG114" s="9">
        <v>11719.2</v>
      </c>
      <c r="AH114" s="9">
        <v>11555.7</v>
      </c>
      <c r="AI114" s="9">
        <v>11631.4</v>
      </c>
      <c r="AJ114" s="9">
        <v>11517.4</v>
      </c>
      <c r="AK114" s="9">
        <v>10089.299999999999</v>
      </c>
      <c r="AL114" s="9">
        <v>11431</v>
      </c>
      <c r="AM114" s="9">
        <v>11499.3</v>
      </c>
      <c r="AN114" s="9">
        <v>11906.5</v>
      </c>
      <c r="AO114" s="9">
        <v>11759.4</v>
      </c>
      <c r="AP114" s="9">
        <v>11447</v>
      </c>
      <c r="AQ114" s="9">
        <v>11784.8</v>
      </c>
      <c r="AR114" s="9">
        <v>11672.8</v>
      </c>
      <c r="AS114" s="9">
        <v>11670.8</v>
      </c>
      <c r="AT114" s="9">
        <v>11844.2</v>
      </c>
      <c r="AU114" s="9">
        <v>11681.3</v>
      </c>
      <c r="AV114" s="9">
        <v>11793.6</v>
      </c>
      <c r="AW114" s="9">
        <v>11580.9</v>
      </c>
      <c r="AX114" s="9">
        <v>11650.8</v>
      </c>
      <c r="AY114" s="9">
        <v>11558.7</v>
      </c>
      <c r="AZ114" s="9">
        <v>12280.4</v>
      </c>
      <c r="BA114" s="9">
        <v>12176.8</v>
      </c>
      <c r="BB114" s="9">
        <v>12250.5</v>
      </c>
      <c r="BC114" s="9">
        <v>12377.4</v>
      </c>
      <c r="BD114" s="9">
        <v>12655.1</v>
      </c>
      <c r="BE114" s="9">
        <v>12956.9</v>
      </c>
      <c r="BF114" s="9">
        <v>12379.3</v>
      </c>
      <c r="BG114" s="9">
        <v>12493.4</v>
      </c>
      <c r="BH114" s="9">
        <v>11892.9</v>
      </c>
      <c r="BI114" s="9">
        <v>12030.4</v>
      </c>
      <c r="BJ114" s="9">
        <v>11822.2</v>
      </c>
      <c r="BK114" s="9">
        <v>11180.2</v>
      </c>
      <c r="BL114" s="9">
        <v>12209.6</v>
      </c>
      <c r="BM114" s="9">
        <v>12045.1</v>
      </c>
      <c r="BN114" s="9">
        <v>12224.5</v>
      </c>
      <c r="BO114" s="9">
        <v>12178.4</v>
      </c>
      <c r="BP114" s="9">
        <v>10795.8</v>
      </c>
      <c r="BQ114" s="9">
        <v>12477.5</v>
      </c>
      <c r="BR114" s="9">
        <v>10743.7</v>
      </c>
      <c r="BS114" s="9">
        <v>12336.3</v>
      </c>
      <c r="BT114" s="9">
        <v>12194.3</v>
      </c>
      <c r="BU114" s="9">
        <v>10718.7</v>
      </c>
      <c r="BV114" s="9">
        <v>11983</v>
      </c>
      <c r="BW114" s="9">
        <v>11390.9</v>
      </c>
      <c r="BX114" s="9">
        <v>11345.2</v>
      </c>
      <c r="BY114" s="9">
        <v>10772.6</v>
      </c>
      <c r="BZ114" s="9">
        <v>11494.4</v>
      </c>
      <c r="CA114" s="9">
        <v>11903.2</v>
      </c>
      <c r="CB114" s="9">
        <v>12342.6</v>
      </c>
      <c r="CC114" s="9">
        <v>11019.7</v>
      </c>
      <c r="CD114" s="9">
        <v>12165.9</v>
      </c>
      <c r="CE114" s="9">
        <v>10589.7</v>
      </c>
      <c r="CF114" s="9">
        <v>11807.4</v>
      </c>
      <c r="CG114" s="9">
        <v>11606.8</v>
      </c>
      <c r="CH114" s="9">
        <v>10884</v>
      </c>
      <c r="CI114" s="9">
        <v>12206</v>
      </c>
      <c r="CJ114" s="9">
        <v>10714.5</v>
      </c>
      <c r="CK114" s="9">
        <v>12388.2</v>
      </c>
      <c r="CL114" s="9">
        <v>10894.6</v>
      </c>
      <c r="CM114" s="9">
        <v>12165.3</v>
      </c>
      <c r="CN114" s="9">
        <v>10912.8</v>
      </c>
      <c r="CO114" s="9">
        <v>11893</v>
      </c>
      <c r="CP114" s="9">
        <v>10833.5</v>
      </c>
      <c r="CQ114" s="9">
        <v>12187.9</v>
      </c>
      <c r="CR114" s="9">
        <v>10865.8</v>
      </c>
      <c r="CS114" s="9">
        <v>11592.7</v>
      </c>
      <c r="CT114" s="9">
        <v>10900</v>
      </c>
      <c r="CU114" s="9">
        <v>9519.7999999999993</v>
      </c>
      <c r="CV114" s="9">
        <v>11978.5</v>
      </c>
      <c r="CW114" s="9">
        <v>11411.6</v>
      </c>
      <c r="CX114" s="9">
        <v>10584</v>
      </c>
      <c r="CY114" s="9">
        <v>12328.9</v>
      </c>
      <c r="CZ114" s="9">
        <v>11978.5</v>
      </c>
      <c r="DA114" s="9">
        <v>11070.6</v>
      </c>
      <c r="DB114" s="9">
        <v>10963.2</v>
      </c>
      <c r="DC114" s="9">
        <v>12048.2</v>
      </c>
      <c r="DD114" s="9">
        <v>10673</v>
      </c>
      <c r="DE114" s="9">
        <v>10910.5</v>
      </c>
      <c r="DF114" s="9">
        <v>11914.7</v>
      </c>
      <c r="DG114" s="9">
        <v>10340</v>
      </c>
      <c r="DH114" s="9">
        <v>11809</v>
      </c>
      <c r="DI114" s="9">
        <v>10385</v>
      </c>
      <c r="DJ114" s="9">
        <v>11680.7</v>
      </c>
      <c r="DK114" s="9">
        <v>10614.1</v>
      </c>
      <c r="DL114" s="9">
        <v>11684</v>
      </c>
      <c r="DM114" s="9">
        <v>10066.299999999999</v>
      </c>
      <c r="DN114" s="9">
        <v>11689</v>
      </c>
      <c r="DO114" s="9">
        <v>10433</v>
      </c>
      <c r="DP114" s="9">
        <v>11585.3</v>
      </c>
      <c r="DQ114" s="9">
        <v>10387.799999999999</v>
      </c>
      <c r="DR114" s="9">
        <v>11645</v>
      </c>
      <c r="DS114" s="9">
        <v>10514.8</v>
      </c>
      <c r="DT114" s="9">
        <v>10290.6</v>
      </c>
      <c r="DU114" s="9">
        <v>11308.6</v>
      </c>
      <c r="DV114" s="9">
        <v>10386.299999999999</v>
      </c>
      <c r="DW114" s="9">
        <v>10127.200000000001</v>
      </c>
      <c r="DX114" s="9">
        <v>11447.1</v>
      </c>
      <c r="DY114" s="9">
        <v>11314</v>
      </c>
      <c r="DZ114" s="9">
        <v>11241.5</v>
      </c>
      <c r="EA114" s="9">
        <v>10039.4</v>
      </c>
      <c r="EB114" s="9">
        <v>11173.8</v>
      </c>
      <c r="EC114" s="9">
        <v>9920.7999999999993</v>
      </c>
      <c r="ED114" s="9">
        <v>11136.2</v>
      </c>
      <c r="EE114" s="9">
        <v>10254.200000000001</v>
      </c>
      <c r="EF114" s="9">
        <v>10942.2</v>
      </c>
      <c r="EG114" s="9">
        <v>9287.7999999999993</v>
      </c>
      <c r="EH114" s="9">
        <v>10826.7</v>
      </c>
      <c r="EI114" s="9">
        <v>9800.9</v>
      </c>
      <c r="EJ114" s="9">
        <v>9937.2999999999993</v>
      </c>
      <c r="EK114" s="9">
        <v>10009.200000000001</v>
      </c>
      <c r="EL114" s="9">
        <v>9800.2999999999993</v>
      </c>
      <c r="EM114" s="9">
        <v>8473</v>
      </c>
      <c r="EN114" s="9">
        <v>9657.1</v>
      </c>
      <c r="EO114" s="9">
        <v>8539.4</v>
      </c>
      <c r="EP114" s="9">
        <v>9545.2000000000007</v>
      </c>
      <c r="EQ114" s="9">
        <v>9497.5</v>
      </c>
      <c r="ER114" s="9">
        <v>11185.5</v>
      </c>
      <c r="ES114" s="9">
        <v>9976.4</v>
      </c>
      <c r="ET114" s="9">
        <v>11188.1</v>
      </c>
      <c r="EU114" s="9">
        <v>11017.1</v>
      </c>
      <c r="EV114" s="9">
        <v>11074.9</v>
      </c>
      <c r="EW114" s="9">
        <v>10748</v>
      </c>
      <c r="EX114" s="9">
        <v>9959</v>
      </c>
      <c r="EY114" s="9">
        <v>10853.2</v>
      </c>
      <c r="EZ114" s="9">
        <v>10857.8</v>
      </c>
      <c r="FA114" s="9">
        <v>11218.2</v>
      </c>
      <c r="FB114" s="9">
        <v>11240.6</v>
      </c>
      <c r="FC114" s="9">
        <v>11144.3</v>
      </c>
      <c r="FD114" s="9">
        <v>11130.4</v>
      </c>
      <c r="FE114" s="9">
        <v>11129.9</v>
      </c>
      <c r="FF114" s="9">
        <v>10046.799999999999</v>
      </c>
      <c r="FG114" s="9">
        <v>11115.9</v>
      </c>
      <c r="FH114" s="9">
        <v>11480.2</v>
      </c>
      <c r="FI114" s="9">
        <v>11461.6</v>
      </c>
      <c r="FJ114" s="9">
        <v>11330.1</v>
      </c>
      <c r="FK114" s="9">
        <v>11237</v>
      </c>
      <c r="FL114" s="9">
        <v>11272.9</v>
      </c>
      <c r="FM114" s="9">
        <v>10039.5</v>
      </c>
      <c r="FN114" s="9">
        <v>11592.8</v>
      </c>
      <c r="FO114" s="9">
        <v>10225</v>
      </c>
      <c r="FP114" s="11">
        <v>32.260139771283399</v>
      </c>
      <c r="FQ114" s="11">
        <v>32.014612452350747</v>
      </c>
      <c r="FR114" s="11">
        <v>32.101219822109279</v>
      </c>
      <c r="FS114" s="11">
        <v>32.306353240152447</v>
      </c>
      <c r="FT114" s="11">
        <v>32.452820838627702</v>
      </c>
      <c r="FU114" s="11">
        <v>32.097420584498074</v>
      </c>
      <c r="FV114" s="11">
        <v>0</v>
      </c>
      <c r="FW114" s="11">
        <v>43.76681067344343</v>
      </c>
      <c r="FX114" s="11">
        <v>0</v>
      </c>
      <c r="FY114" s="11">
        <v>0</v>
      </c>
      <c r="FZ114" s="11">
        <v>43</v>
      </c>
      <c r="GA114" s="11">
        <v>42.703379923761183</v>
      </c>
      <c r="GB114" s="11">
        <v>3.6831489337229955</v>
      </c>
      <c r="GC114" s="11">
        <v>4.6627147573062286</v>
      </c>
      <c r="GD114" s="11">
        <v>4.4084898386277027</v>
      </c>
      <c r="GE114" s="11">
        <v>4.8999214565057221</v>
      </c>
      <c r="GF114" s="11">
        <v>4.7212450419313869</v>
      </c>
      <c r="GG114" s="11">
        <v>4.4916538041423175</v>
      </c>
      <c r="GH114" s="11">
        <v>8.2666660000000007</v>
      </c>
      <c r="GI114" s="11">
        <v>9.9333340000000003</v>
      </c>
      <c r="GJ114" s="11">
        <v>9.2866660000000003</v>
      </c>
      <c r="GK114" s="11">
        <v>12.85833</v>
      </c>
      <c r="GL114" s="11">
        <v>9.6066660000000006</v>
      </c>
      <c r="GM114" s="11">
        <v>10.311669999999999</v>
      </c>
      <c r="GN114" s="11">
        <v>6.6781451666666634</v>
      </c>
      <c r="GO114" s="11">
        <v>6.7870959999999991</v>
      </c>
      <c r="GP114" s="11">
        <v>6.6565775000000009</v>
      </c>
      <c r="GQ114" s="11">
        <v>6.718707833333327</v>
      </c>
      <c r="GR114" s="11">
        <v>6.3361918333333307</v>
      </c>
      <c r="GS114" s="11">
        <v>5.9847289999999962</v>
      </c>
      <c r="GT114" s="108">
        <v>1.3106901666666677</v>
      </c>
      <c r="GU114" s="108">
        <v>1.1857935000000011</v>
      </c>
      <c r="GV114" s="108">
        <v>1.2262578333333345</v>
      </c>
      <c r="GW114" s="108">
        <v>1.4857319999999978</v>
      </c>
      <c r="GX114" s="108">
        <v>1.3481936666666663</v>
      </c>
      <c r="GY114" s="108">
        <v>1.003562000000001</v>
      </c>
      <c r="GZ114" s="13">
        <v>6.5453166666666629</v>
      </c>
      <c r="HA114" s="13">
        <v>6.6355773333333374</v>
      </c>
      <c r="HB114" s="13">
        <v>6.4105186666666718</v>
      </c>
      <c r="HC114" s="13">
        <v>0</v>
      </c>
      <c r="HD114" s="13">
        <v>0</v>
      </c>
      <c r="HE114" s="13">
        <v>5.7645520000000037</v>
      </c>
      <c r="HF114" s="13">
        <v>0.39797233333333321</v>
      </c>
      <c r="HG114" s="13">
        <v>0.48166099999999984</v>
      </c>
      <c r="HH114" s="13">
        <v>0.42695000000000016</v>
      </c>
      <c r="HI114" s="13">
        <v>0.40745950000000042</v>
      </c>
      <c r="HJ114" s="13">
        <v>0.42041566666666647</v>
      </c>
      <c r="HK114" s="13">
        <v>0.40806749999999975</v>
      </c>
      <c r="HL114" s="12">
        <v>0</v>
      </c>
      <c r="HM114" s="12">
        <v>0</v>
      </c>
      <c r="HN114" s="12">
        <v>0</v>
      </c>
      <c r="HO114" s="12">
        <v>0</v>
      </c>
      <c r="HP114" s="12">
        <v>0</v>
      </c>
      <c r="HQ114" s="12">
        <v>0</v>
      </c>
      <c r="HR114" s="12">
        <v>0</v>
      </c>
      <c r="HS114" s="12">
        <v>0</v>
      </c>
      <c r="HT114" s="12">
        <v>0</v>
      </c>
      <c r="HU114" s="12">
        <v>0</v>
      </c>
      <c r="HV114" s="12">
        <v>0</v>
      </c>
      <c r="HW114" s="12">
        <v>0</v>
      </c>
      <c r="HX114" s="9">
        <v>991923</v>
      </c>
      <c r="HY114" s="9">
        <v>1850</v>
      </c>
      <c r="HZ114" s="9">
        <v>978369</v>
      </c>
      <c r="IA114" s="9">
        <v>1865</v>
      </c>
      <c r="IB114" s="11">
        <v>275249.48800000001</v>
      </c>
      <c r="IC114" s="11">
        <v>637</v>
      </c>
      <c r="ID114" s="14">
        <f t="shared" ref="ID114:II114" si="1115">GN114-HL114</f>
        <v>6.6781451666666634</v>
      </c>
      <c r="IE114" s="14">
        <f t="shared" si="1115"/>
        <v>6.7870959999999991</v>
      </c>
      <c r="IF114" s="14">
        <f t="shared" si="1115"/>
        <v>6.6565775000000009</v>
      </c>
      <c r="IG114" s="14">
        <f t="shared" si="1115"/>
        <v>6.718707833333327</v>
      </c>
      <c r="IH114" s="14">
        <f t="shared" si="1115"/>
        <v>6.3361918333333307</v>
      </c>
      <c r="II114" s="14">
        <f t="shared" si="1115"/>
        <v>5.9847289999999962</v>
      </c>
      <c r="IJ114" s="15">
        <f t="shared" ref="IJ114:IO114" si="1116">GZ114-HR114</f>
        <v>6.5453166666666629</v>
      </c>
      <c r="IK114" s="15">
        <f t="shared" si="1116"/>
        <v>6.6355773333333374</v>
      </c>
      <c r="IL114" s="15">
        <f t="shared" si="1116"/>
        <v>6.4105186666666718</v>
      </c>
      <c r="IM114" s="15">
        <f t="shared" si="1116"/>
        <v>0</v>
      </c>
      <c r="IN114" s="15">
        <f t="shared" si="1116"/>
        <v>0</v>
      </c>
      <c r="IO114" s="15">
        <f t="shared" si="1116"/>
        <v>5.7645520000000037</v>
      </c>
      <c r="IP114" s="16">
        <f t="shared" ref="IP114" si="1117">(HX114-HX113)*1000</f>
        <v>930000</v>
      </c>
      <c r="IQ114" s="16">
        <f t="shared" ref="IQ114" si="1118">(HY114-HY113)*1000</f>
        <v>2000</v>
      </c>
      <c r="IR114" s="16">
        <f t="shared" ref="IR114" si="1119">(HZ114-HZ113)*1000</f>
        <v>863000</v>
      </c>
      <c r="IS114" s="16">
        <f t="shared" ref="IS114" si="1120">(IA114-IA113)*1000</f>
        <v>1000</v>
      </c>
      <c r="IT114" s="16">
        <f t="shared" ref="IT114" si="1121">(IB114-IB113)*1000</f>
        <v>1794467.0000000042</v>
      </c>
      <c r="IU114" s="16">
        <f t="shared" ref="IU114" si="1122">(IC114-IC113)*1000</f>
        <v>4200.0000000000455</v>
      </c>
      <c r="IV114" s="17">
        <f t="shared" ref="IV114" si="1123">(IP114+IR114)-(IQ114+IS114)</f>
        <v>1790000</v>
      </c>
      <c r="IW114" s="17">
        <f t="shared" ref="IW114" si="1124">IT114-IU114</f>
        <v>1790267.0000000042</v>
      </c>
      <c r="IX114" s="19">
        <f>(Raw_Data[[#This Row],[Sunset Time (POA&lt;20 W/m2)]]-Raw_Data[[#This Row],[Sunrise Time (POA&gt;20 W/m2)]])*24</f>
        <v>13.100000000000001</v>
      </c>
      <c r="IY114" s="68">
        <f>AVERAGEIF(Raw_Data[[#This Row],[GHI_UP_Net_IS2_W1]:[GHI_UP_Net_IS19_W6]],"&lt;&gt;"&amp;0,Raw_Data[[#This Row],[GHI_UP_Net_IS2_W1]:[GHI_UP_Net_IS19_W6]])</f>
        <v>6.5269078888888856</v>
      </c>
      <c r="IZ114" s="68">
        <f>AVERAGEIF(Raw_Data[[#This Row],[GHI_Down_IS2_W1]:[GHI_Down_IS19_W6]],"&lt;&gt;"&amp;0,Raw_Data[[#This Row],[GHI_Down_IS2_W1]:[GHI_Down_IS19_W6]])</f>
        <v>1.2600381944444445</v>
      </c>
      <c r="JA114" s="68">
        <f>AVERAGEIF(Raw_Data[[#This Row],[POA_Up_IS2_W1]:[POA_Up_IS19_W6]],"&lt;&gt;"&amp;0,Raw_Data[[#This Row],[POA_Up_IS2_W1]:[POA_Up_IS19_W6]])</f>
        <v>6.3389911666666681</v>
      </c>
      <c r="JB114" s="68">
        <f>AVERAGEIF(Raw_Data[[#This Row],[POA_Down_IS2_W1]:[POA_Down_IS19_W6]],"&lt;&gt;"&amp;0,Raw_Data[[#This Row],[POA_Down_IS2_W1]:[POA_Down_IS19_W6]])</f>
        <v>0.42375433333333329</v>
      </c>
      <c r="JC114" s="69">
        <f>Raw_Data[[#This Row],[GHI-Down(KWh/m2)]]/Raw_Data[[#This Row],[GHI-UP (KWh/m2)]]</f>
        <v>0.1930528538007219</v>
      </c>
      <c r="JD114" s="72">
        <f>Raw_Data[[#This Row],[POA-Down(KWh/m2)]]/Raw_Data[[#This Row],[POA-UP(KWh/m2)]]</f>
        <v>6.6848860046000463E-2</v>
      </c>
      <c r="JE114" s="68">
        <f>AVERAGEIF(Raw_Data[[#This Row],[Amb_Temp_IS2_W1]:[Amb_Temp_IS19_W6]],"&lt;&gt;"&amp;0,Raw_Data[[#This Row],[Amb_Temp_IS2_W1]:[Amb_Temp_IS19_W6]])</f>
        <v>32.205427784836942</v>
      </c>
      <c r="JF114" s="68">
        <f>AVERAGEIF(Raw_Data[[#This Row],[MT_Temp_IS2_W1]:[MT_Temp_IS19_W6]],"&lt;&gt;"&amp;0,Raw_Data[[#This Row],[MT_Temp_IS2_W1]:[MT_Temp_IS19_W6]])</f>
        <v>43.1567301990682</v>
      </c>
      <c r="JG114" s="68">
        <f>AVERAGEIF(Raw_Data[[#This Row],[WS_Avg_IS2_W1]:[WS_Avg_IS19_W6]],"&lt;&gt;"&amp;0,Raw_Data[[#This Row],[WS_Avg_IS2_W1]:[WS_Avg_IS19_W6]])</f>
        <v>4.4778623053727253</v>
      </c>
      <c r="JH114" s="68">
        <f>AVERAGEIF(Raw_Data[[#This Row],[WS_Max_IS2_W1]:[WS_Max_IS19_W6]],"&lt;&gt;"&amp;0,Raw_Data[[#This Row],[WS_Max_IS2_W1]:[WS_Max_IS19_W6]])</f>
        <v>10.043888666666666</v>
      </c>
      <c r="JI114" s="70">
        <f>SUM(Raw_Data[[#This Row],[IS1_INV1_M1]:[IS20_INV4_M2]])</f>
        <v>1805242.1000000003</v>
      </c>
      <c r="JJ114" s="73">
        <v>1758799.9999999884</v>
      </c>
      <c r="JK114" s="71">
        <v>2083038.0537048941</v>
      </c>
      <c r="JL114" s="143">
        <f>IFERROR(Raw_Data[[#This Row],[WPR_Eac]]/Raw_Data[[#This Row],[WPR_Edc]],"")</f>
        <v>0.84434367239320685</v>
      </c>
      <c r="JM114" s="6">
        <v>26</v>
      </c>
      <c r="JN114" s="6" t="s">
        <v>2635</v>
      </c>
    </row>
    <row r="115" spans="2:274">
      <c r="B115" s="250">
        <f t="shared" si="596"/>
        <v>45854</v>
      </c>
      <c r="C115" s="9">
        <f>YEAR(Raw_Data[[#This Row],[Date]])+IF(MONTH(Raw_Data[[#This Row],[Date]])&gt;=4,1,0)</f>
        <v>2026</v>
      </c>
      <c r="D115" s="6">
        <f t="shared" si="1093"/>
        <v>2025</v>
      </c>
      <c r="E115" s="7" t="s">
        <v>361</v>
      </c>
      <c r="F115" s="7" t="s">
        <v>361</v>
      </c>
      <c r="G115" s="8">
        <v>45839</v>
      </c>
      <c r="H115" s="6">
        <f t="shared" si="1094"/>
        <v>31</v>
      </c>
      <c r="I115" s="9">
        <v>337338.84499999956</v>
      </c>
      <c r="J115" s="10">
        <v>0.27013888888888887</v>
      </c>
      <c r="K115" s="10">
        <v>0.79513888888888884</v>
      </c>
      <c r="L115" s="9">
        <v>9881</v>
      </c>
      <c r="M115" s="9">
        <v>9837</v>
      </c>
      <c r="N115" s="9">
        <v>9595</v>
      </c>
      <c r="O115" s="9">
        <v>9550</v>
      </c>
      <c r="P115" s="9">
        <v>9646</v>
      </c>
      <c r="Q115" s="9">
        <v>9736</v>
      </c>
      <c r="R115" s="9">
        <v>9881</v>
      </c>
      <c r="S115" s="9">
        <v>10150</v>
      </c>
      <c r="T115" s="9">
        <v>9944.9</v>
      </c>
      <c r="U115" s="9">
        <v>9946.6</v>
      </c>
      <c r="V115" s="9">
        <v>10736.8</v>
      </c>
      <c r="W115" s="9">
        <v>9918.4</v>
      </c>
      <c r="X115" s="9">
        <v>10638.6</v>
      </c>
      <c r="Y115" s="9">
        <v>9845.7000000000007</v>
      </c>
      <c r="Z115" s="9">
        <v>9704.1</v>
      </c>
      <c r="AA115" s="9">
        <v>9764.6</v>
      </c>
      <c r="AB115" s="9">
        <v>9660.7000000000007</v>
      </c>
      <c r="AC115" s="9">
        <v>9681.9</v>
      </c>
      <c r="AD115" s="9">
        <v>9839.1</v>
      </c>
      <c r="AE115" s="9">
        <v>9901.5</v>
      </c>
      <c r="AF115" s="9">
        <v>9907.7999999999993</v>
      </c>
      <c r="AG115" s="9">
        <v>9838.6</v>
      </c>
      <c r="AH115" s="9">
        <v>9750.2000000000007</v>
      </c>
      <c r="AI115" s="9">
        <v>9803.5</v>
      </c>
      <c r="AJ115" s="9">
        <v>9865</v>
      </c>
      <c r="AK115" s="9">
        <v>8633</v>
      </c>
      <c r="AL115" s="9">
        <v>9730</v>
      </c>
      <c r="AM115" s="9">
        <v>9745</v>
      </c>
      <c r="AN115" s="9">
        <v>10103</v>
      </c>
      <c r="AO115" s="9">
        <v>10091</v>
      </c>
      <c r="AP115" s="9">
        <v>10047</v>
      </c>
      <c r="AQ115" s="9">
        <v>10179</v>
      </c>
      <c r="AR115" s="9">
        <v>10636.2</v>
      </c>
      <c r="AS115" s="9">
        <v>10485.200000000001</v>
      </c>
      <c r="AT115" s="9">
        <v>10285.799999999999</v>
      </c>
      <c r="AU115" s="9">
        <v>10246.700000000001</v>
      </c>
      <c r="AV115" s="9">
        <v>10386.6</v>
      </c>
      <c r="AW115" s="9">
        <v>10258.299999999999</v>
      </c>
      <c r="AX115" s="9">
        <v>10400.5</v>
      </c>
      <c r="AY115" s="9">
        <v>10533.8</v>
      </c>
      <c r="AZ115" s="9">
        <v>10774.2</v>
      </c>
      <c r="BA115" s="9">
        <v>10679.6</v>
      </c>
      <c r="BB115" s="9">
        <v>10881.5</v>
      </c>
      <c r="BC115" s="9">
        <v>10870.4</v>
      </c>
      <c r="BD115" s="9">
        <v>11271</v>
      </c>
      <c r="BE115" s="9">
        <v>11593.5</v>
      </c>
      <c r="BF115" s="9">
        <v>10896.5</v>
      </c>
      <c r="BG115" s="9">
        <v>10958.8</v>
      </c>
      <c r="BH115" s="9">
        <v>10137</v>
      </c>
      <c r="BI115" s="9">
        <v>10271</v>
      </c>
      <c r="BJ115" s="9">
        <v>10064</v>
      </c>
      <c r="BK115" s="9">
        <v>9644</v>
      </c>
      <c r="BL115" s="9">
        <v>10370</v>
      </c>
      <c r="BM115" s="9">
        <v>10102</v>
      </c>
      <c r="BN115" s="9">
        <v>10558</v>
      </c>
      <c r="BO115" s="9">
        <v>10470</v>
      </c>
      <c r="BP115" s="9">
        <v>9668</v>
      </c>
      <c r="BQ115" s="9">
        <v>10828</v>
      </c>
      <c r="BR115" s="9">
        <v>9200</v>
      </c>
      <c r="BS115" s="9">
        <v>10670</v>
      </c>
      <c r="BT115" s="9">
        <v>10503</v>
      </c>
      <c r="BU115" s="9">
        <v>9198</v>
      </c>
      <c r="BV115" s="9">
        <v>10385</v>
      </c>
      <c r="BW115" s="9">
        <v>9867</v>
      </c>
      <c r="BX115" s="9">
        <v>9911</v>
      </c>
      <c r="BY115" s="9">
        <v>9522</v>
      </c>
      <c r="BZ115" s="9">
        <v>9992</v>
      </c>
      <c r="CA115" s="9">
        <v>10580</v>
      </c>
      <c r="CB115" s="9">
        <v>10734</v>
      </c>
      <c r="CC115" s="9">
        <v>9716</v>
      </c>
      <c r="CD115" s="9">
        <v>10621</v>
      </c>
      <c r="CE115" s="9">
        <v>9321</v>
      </c>
      <c r="CF115" s="9">
        <v>10393</v>
      </c>
      <c r="CG115" s="9">
        <v>10193</v>
      </c>
      <c r="CH115" s="9">
        <v>9470</v>
      </c>
      <c r="CI115" s="9">
        <v>10657</v>
      </c>
      <c r="CJ115" s="9">
        <v>9330</v>
      </c>
      <c r="CK115" s="9">
        <v>10797</v>
      </c>
      <c r="CL115" s="9">
        <v>9467</v>
      </c>
      <c r="CM115" s="9">
        <v>10591</v>
      </c>
      <c r="CN115" s="9">
        <v>9863</v>
      </c>
      <c r="CO115" s="9">
        <v>10640.5</v>
      </c>
      <c r="CP115" s="9">
        <v>9991.2999999999993</v>
      </c>
      <c r="CQ115" s="9">
        <v>11044.4</v>
      </c>
      <c r="CR115" s="9">
        <v>9981.5</v>
      </c>
      <c r="CS115" s="9">
        <v>10744</v>
      </c>
      <c r="CT115" s="9">
        <v>9910.6</v>
      </c>
      <c r="CU115" s="9">
        <v>8822.2999999999993</v>
      </c>
      <c r="CV115" s="9">
        <v>11236.1</v>
      </c>
      <c r="CW115" s="9">
        <v>10621.9</v>
      </c>
      <c r="CX115" s="9">
        <v>9906.7000000000007</v>
      </c>
      <c r="CY115" s="9">
        <v>11539</v>
      </c>
      <c r="CZ115" s="9">
        <v>11145.8</v>
      </c>
      <c r="DA115" s="9">
        <v>10290.4</v>
      </c>
      <c r="DB115" s="9">
        <v>10191.9</v>
      </c>
      <c r="DC115" s="9">
        <v>11395.2</v>
      </c>
      <c r="DD115" s="9">
        <v>10341.299999999999</v>
      </c>
      <c r="DE115" s="9">
        <v>10754.4</v>
      </c>
      <c r="DF115" s="9">
        <v>11734.4</v>
      </c>
      <c r="DG115" s="9">
        <v>10304.5</v>
      </c>
      <c r="DH115" s="9">
        <v>11436.8</v>
      </c>
      <c r="DI115" s="9">
        <v>10244</v>
      </c>
      <c r="DJ115" s="9">
        <v>11374.3</v>
      </c>
      <c r="DK115" s="9">
        <v>10510.7</v>
      </c>
      <c r="DL115" s="9">
        <v>11412.7</v>
      </c>
      <c r="DM115" s="9">
        <v>9935.2999999999993</v>
      </c>
      <c r="DN115" s="9">
        <v>11472.7</v>
      </c>
      <c r="DO115" s="9">
        <v>10378.799999999999</v>
      </c>
      <c r="DP115" s="9">
        <v>11331.2</v>
      </c>
      <c r="DQ115" s="9">
        <v>10349.700000000001</v>
      </c>
      <c r="DR115" s="9">
        <v>11473.9</v>
      </c>
      <c r="DS115" s="9">
        <v>10410.799999999999</v>
      </c>
      <c r="DT115" s="9">
        <v>10400</v>
      </c>
      <c r="DU115" s="9">
        <v>11560.4</v>
      </c>
      <c r="DV115" s="9">
        <v>10497.7</v>
      </c>
      <c r="DW115" s="9">
        <v>10308.700000000001</v>
      </c>
      <c r="DX115" s="9">
        <v>11569.6</v>
      </c>
      <c r="DY115" s="9">
        <v>11687.5</v>
      </c>
      <c r="DZ115" s="9">
        <v>11437</v>
      </c>
      <c r="EA115" s="9">
        <v>10560.2</v>
      </c>
      <c r="EB115" s="9">
        <v>11637.9</v>
      </c>
      <c r="EC115" s="9">
        <v>10423.799999999999</v>
      </c>
      <c r="ED115" s="9">
        <v>11235.5</v>
      </c>
      <c r="EE115" s="9">
        <v>10401.9</v>
      </c>
      <c r="EF115" s="9">
        <v>11081.9</v>
      </c>
      <c r="EG115" s="9">
        <v>9738.1</v>
      </c>
      <c r="EH115" s="9">
        <v>11369.6</v>
      </c>
      <c r="EI115" s="9">
        <v>10458.6</v>
      </c>
      <c r="EJ115" s="9">
        <v>10753.2</v>
      </c>
      <c r="EK115" s="9">
        <v>10902.9</v>
      </c>
      <c r="EL115" s="9">
        <v>10547.3</v>
      </c>
      <c r="EM115" s="9">
        <v>9133.4</v>
      </c>
      <c r="EN115" s="9">
        <v>10703.5</v>
      </c>
      <c r="EO115" s="9">
        <v>9538.4</v>
      </c>
      <c r="EP115" s="9">
        <v>10777.4</v>
      </c>
      <c r="EQ115" s="9">
        <v>10795.1</v>
      </c>
      <c r="ER115" s="9">
        <v>12552.7</v>
      </c>
      <c r="ES115" s="9">
        <v>12385</v>
      </c>
      <c r="ET115" s="9">
        <v>12661.7</v>
      </c>
      <c r="EU115" s="9">
        <v>12531.5</v>
      </c>
      <c r="EV115" s="9">
        <v>12615.9</v>
      </c>
      <c r="EW115" s="9">
        <v>12366.2</v>
      </c>
      <c r="EX115" s="9">
        <v>11408.9</v>
      </c>
      <c r="EY115" s="9">
        <v>12281.1</v>
      </c>
      <c r="EZ115" s="9">
        <v>12113.1</v>
      </c>
      <c r="FA115" s="9">
        <v>12635</v>
      </c>
      <c r="FB115" s="9">
        <v>12374.6</v>
      </c>
      <c r="FC115" s="9">
        <v>12360.8</v>
      </c>
      <c r="FD115" s="9">
        <v>12354.5</v>
      </c>
      <c r="FE115" s="9">
        <v>12419.5</v>
      </c>
      <c r="FF115" s="9">
        <v>11403.7</v>
      </c>
      <c r="FG115" s="9">
        <v>12519</v>
      </c>
      <c r="FH115" s="9">
        <v>12218.9</v>
      </c>
      <c r="FI115" s="9">
        <v>12367.9</v>
      </c>
      <c r="FJ115" s="9">
        <v>12345.5</v>
      </c>
      <c r="FK115" s="9">
        <v>12307.6</v>
      </c>
      <c r="FL115" s="9">
        <v>12397</v>
      </c>
      <c r="FM115" s="9">
        <v>11174.7</v>
      </c>
      <c r="FN115" s="9">
        <v>12406</v>
      </c>
      <c r="FO115" s="9">
        <v>11275.7</v>
      </c>
      <c r="FP115" s="11">
        <v>32.110265363128491</v>
      </c>
      <c r="FQ115" s="11">
        <v>32.110265363128491</v>
      </c>
      <c r="FR115" s="11">
        <v>31.984287709497192</v>
      </c>
      <c r="FS115" s="11">
        <v>32.296508379888287</v>
      </c>
      <c r="FT115" s="11">
        <v>32.200865921787681</v>
      </c>
      <c r="FU115" s="11">
        <v>32.823812849161989</v>
      </c>
      <c r="FV115" s="11">
        <v>0</v>
      </c>
      <c r="FW115" s="11">
        <v>43.5</v>
      </c>
      <c r="FX115" s="11">
        <v>0</v>
      </c>
      <c r="FY115" s="11">
        <v>0</v>
      </c>
      <c r="FZ115" s="11">
        <v>45.965748044692774</v>
      </c>
      <c r="GA115" s="11">
        <v>46.5</v>
      </c>
      <c r="GB115" s="11">
        <v>2.3969621872765372</v>
      </c>
      <c r="GC115" s="11">
        <v>5.1668736047486039</v>
      </c>
      <c r="GD115" s="11">
        <v>4.8847157918994473</v>
      </c>
      <c r="GE115" s="11">
        <v>5.9013242864106168</v>
      </c>
      <c r="GF115" s="11">
        <v>5.1634821061452572</v>
      </c>
      <c r="GG115" s="11">
        <v>5.0379909399441365</v>
      </c>
      <c r="GH115" s="11">
        <v>6.273333</v>
      </c>
      <c r="GI115" s="11">
        <v>10.77</v>
      </c>
      <c r="GJ115" s="11">
        <v>11.23</v>
      </c>
      <c r="GK115" s="11">
        <v>16.45167</v>
      </c>
      <c r="GL115" s="11">
        <v>10.225</v>
      </c>
      <c r="GM115" s="11">
        <v>9.2083329999999997</v>
      </c>
      <c r="GN115" s="11">
        <v>5.5155743333333289</v>
      </c>
      <c r="GO115" s="11">
        <v>5.7018593333333358</v>
      </c>
      <c r="GP115" s="11">
        <v>5.8001361666666646</v>
      </c>
      <c r="GQ115" s="11">
        <v>5.7393706666666633</v>
      </c>
      <c r="GR115" s="11">
        <v>6.5037340000000006</v>
      </c>
      <c r="GS115" s="11">
        <v>6.7240216666666663</v>
      </c>
      <c r="GT115" s="108">
        <v>1.1546181666666664</v>
      </c>
      <c r="GU115" s="108">
        <v>1.0564030000000006</v>
      </c>
      <c r="GV115" s="108">
        <v>1.1367280000000002</v>
      </c>
      <c r="GW115" s="108">
        <v>1.3572931666666657</v>
      </c>
      <c r="GX115" s="108">
        <v>1.5005471666666668</v>
      </c>
      <c r="GY115" s="108">
        <v>1.2326963333333323</v>
      </c>
      <c r="GZ115" s="13">
        <v>5.4654566666666611</v>
      </c>
      <c r="HA115" s="13">
        <v>5.619827499999996</v>
      </c>
      <c r="HB115" s="13">
        <v>5.6572893333333329</v>
      </c>
      <c r="HC115" s="13">
        <v>0</v>
      </c>
      <c r="HD115" s="13">
        <v>0</v>
      </c>
      <c r="HE115" s="13">
        <v>6.5678156666666725</v>
      </c>
      <c r="HF115" s="13">
        <v>0.31886966666666677</v>
      </c>
      <c r="HG115" s="13">
        <v>0.39935566666666644</v>
      </c>
      <c r="HH115" s="13">
        <v>0.37333083333333322</v>
      </c>
      <c r="HI115" s="13">
        <v>0.3426648333333332</v>
      </c>
      <c r="HJ115" s="13">
        <v>0.42840466666666649</v>
      </c>
      <c r="HK115" s="13">
        <v>0.44624316666666652</v>
      </c>
      <c r="HL115" s="12">
        <v>0</v>
      </c>
      <c r="HM115" s="12">
        <v>0</v>
      </c>
      <c r="HN115" s="12">
        <v>0</v>
      </c>
      <c r="HO115" s="12">
        <v>0</v>
      </c>
      <c r="HP115" s="12">
        <v>0</v>
      </c>
      <c r="HQ115" s="12">
        <v>0</v>
      </c>
      <c r="HR115" s="12">
        <v>0</v>
      </c>
      <c r="HS115" s="12">
        <v>0</v>
      </c>
      <c r="HT115" s="12">
        <v>0</v>
      </c>
      <c r="HU115" s="12">
        <v>0</v>
      </c>
      <c r="HV115" s="12">
        <v>0</v>
      </c>
      <c r="HW115" s="12">
        <v>0</v>
      </c>
      <c r="HX115" s="9">
        <v>992724</v>
      </c>
      <c r="HY115" s="9">
        <v>1852</v>
      </c>
      <c r="HZ115" s="9">
        <v>979257</v>
      </c>
      <c r="IA115" s="9">
        <v>1867</v>
      </c>
      <c r="IB115" s="11">
        <v>276938.95500000002</v>
      </c>
      <c r="IC115" s="11">
        <v>641.79999999999995</v>
      </c>
      <c r="ID115" s="14">
        <f t="shared" ref="ID115:II115" si="1125">GN115-HL115</f>
        <v>5.5155743333333289</v>
      </c>
      <c r="IE115" s="14">
        <f t="shared" si="1125"/>
        <v>5.7018593333333358</v>
      </c>
      <c r="IF115" s="14">
        <f t="shared" si="1125"/>
        <v>5.8001361666666646</v>
      </c>
      <c r="IG115" s="14">
        <f t="shared" si="1125"/>
        <v>5.7393706666666633</v>
      </c>
      <c r="IH115" s="14">
        <f t="shared" si="1125"/>
        <v>6.5037340000000006</v>
      </c>
      <c r="II115" s="14">
        <f t="shared" si="1125"/>
        <v>6.7240216666666663</v>
      </c>
      <c r="IJ115" s="15">
        <f t="shared" ref="IJ115:IO115" si="1126">GZ115-HR115</f>
        <v>5.4654566666666611</v>
      </c>
      <c r="IK115" s="15">
        <f t="shared" si="1126"/>
        <v>5.619827499999996</v>
      </c>
      <c r="IL115" s="15">
        <f t="shared" si="1126"/>
        <v>5.6572893333333329</v>
      </c>
      <c r="IM115" s="15">
        <f t="shared" si="1126"/>
        <v>0</v>
      </c>
      <c r="IN115" s="15">
        <f t="shared" si="1126"/>
        <v>0</v>
      </c>
      <c r="IO115" s="15">
        <f t="shared" si="1126"/>
        <v>6.5678156666666725</v>
      </c>
      <c r="IP115" s="16">
        <f t="shared" ref="IP115" si="1127">(HX115-HX114)*1000</f>
        <v>801000</v>
      </c>
      <c r="IQ115" s="16">
        <f t="shared" ref="IQ115" si="1128">(HY115-HY114)*1000</f>
        <v>2000</v>
      </c>
      <c r="IR115" s="16">
        <f t="shared" ref="IR115" si="1129">(HZ115-HZ114)*1000</f>
        <v>888000</v>
      </c>
      <c r="IS115" s="16">
        <f t="shared" ref="IS115" si="1130">(IA115-IA114)*1000</f>
        <v>2000</v>
      </c>
      <c r="IT115" s="16">
        <f t="shared" ref="IT115" si="1131">(IB115-IB114)*1000</f>
        <v>1689467.0000000042</v>
      </c>
      <c r="IU115" s="16">
        <f t="shared" ref="IU115" si="1132">(IC115-IC114)*1000</f>
        <v>4799.9999999999545</v>
      </c>
      <c r="IV115" s="17">
        <f t="shared" ref="IV115" si="1133">(IP115+IR115)-(IQ115+IS115)</f>
        <v>1685000</v>
      </c>
      <c r="IW115" s="17">
        <f t="shared" ref="IW115" si="1134">IT115-IU115</f>
        <v>1684667.0000000042</v>
      </c>
      <c r="IX115" s="19">
        <f>(Raw_Data[[#This Row],[Sunset Time (POA&lt;20 W/m2)]]-Raw_Data[[#This Row],[Sunrise Time (POA&gt;20 W/m2)]])*24</f>
        <v>12.599999999999998</v>
      </c>
      <c r="IY115" s="68">
        <f>AVERAGEIF(Raw_Data[[#This Row],[GHI_UP_Net_IS2_W1]:[GHI_UP_Net_IS19_W6]],"&lt;&gt;"&amp;0,Raw_Data[[#This Row],[GHI_UP_Net_IS2_W1]:[GHI_UP_Net_IS19_W6]])</f>
        <v>5.9974493611111095</v>
      </c>
      <c r="IZ115" s="68">
        <f>AVERAGEIF(Raw_Data[[#This Row],[GHI_Down_IS2_W1]:[GHI_Down_IS19_W6]],"&lt;&gt;"&amp;0,Raw_Data[[#This Row],[GHI_Down_IS2_W1]:[GHI_Down_IS19_W6]])</f>
        <v>1.2397143055555555</v>
      </c>
      <c r="JA115" s="68">
        <f>AVERAGEIF(Raw_Data[[#This Row],[POA_Up_IS2_W1]:[POA_Up_IS19_W6]],"&lt;&gt;"&amp;0,Raw_Data[[#This Row],[POA_Up_IS2_W1]:[POA_Up_IS19_W6]])</f>
        <v>5.8275972916666658</v>
      </c>
      <c r="JB115" s="68">
        <f>AVERAGEIF(Raw_Data[[#This Row],[POA_Down_IS2_W1]:[POA_Down_IS19_W6]],"&lt;&gt;"&amp;0,Raw_Data[[#This Row],[POA_Down_IS2_W1]:[POA_Down_IS19_W6]])</f>
        <v>0.38481147222222206</v>
      </c>
      <c r="JC115" s="69">
        <f>Raw_Data[[#This Row],[GHI-Down(KWh/m2)]]/Raw_Data[[#This Row],[GHI-UP (KWh/m2)]]</f>
        <v>0.20670692337882141</v>
      </c>
      <c r="JD115" s="72">
        <f>Raw_Data[[#This Row],[POA-Down(KWh/m2)]]/Raw_Data[[#This Row],[POA-UP(KWh/m2)]]</f>
        <v>6.603261223497614E-2</v>
      </c>
      <c r="JE115" s="68">
        <f>AVERAGEIF(Raw_Data[[#This Row],[Amb_Temp_IS2_W1]:[Amb_Temp_IS19_W6]],"&lt;&gt;"&amp;0,Raw_Data[[#This Row],[Amb_Temp_IS2_W1]:[Amb_Temp_IS19_W6]])</f>
        <v>32.254334264432025</v>
      </c>
      <c r="JF115" s="68">
        <f>AVERAGEIF(Raw_Data[[#This Row],[MT_Temp_IS2_W1]:[MT_Temp_IS19_W6]],"&lt;&gt;"&amp;0,Raw_Data[[#This Row],[MT_Temp_IS2_W1]:[MT_Temp_IS19_W6]])</f>
        <v>45.321916014897589</v>
      </c>
      <c r="JG115" s="68">
        <f>AVERAGEIF(Raw_Data[[#This Row],[WS_Avg_IS2_W1]:[WS_Avg_IS19_W6]],"&lt;&gt;"&amp;0,Raw_Data[[#This Row],[WS_Avg_IS2_W1]:[WS_Avg_IS19_W6]])</f>
        <v>4.7585581527374332</v>
      </c>
      <c r="JH115" s="68">
        <f>AVERAGEIF(Raw_Data[[#This Row],[WS_Max_IS2_W1]:[WS_Max_IS19_W6]],"&lt;&gt;"&amp;0,Raw_Data[[#This Row],[WS_Max_IS2_W1]:[WS_Max_IS19_W6]])</f>
        <v>10.693056</v>
      </c>
      <c r="JI115" s="70">
        <f>SUM(Raw_Data[[#This Row],[IS1_INV1_M1]:[IS20_INV4_M2]])</f>
        <v>1701726.7999999993</v>
      </c>
      <c r="JJ115" s="73">
        <v>1662066.9999999809</v>
      </c>
      <c r="JK115" s="71">
        <v>1935316.9740508501</v>
      </c>
      <c r="JL115" s="143">
        <f>IFERROR(Raw_Data[[#This Row],[WPR_Eac]]/Raw_Data[[#This Row],[WPR_Edc]],"")</f>
        <v>0.85880867180174403</v>
      </c>
      <c r="JM115" s="6">
        <v>25</v>
      </c>
      <c r="JN115" s="6" t="s">
        <v>2635</v>
      </c>
    </row>
    <row r="116" spans="2:274">
      <c r="B116" s="250">
        <f t="shared" si="596"/>
        <v>45855</v>
      </c>
      <c r="C116" s="9">
        <f>YEAR(Raw_Data[[#This Row],[Date]])+IF(MONTH(Raw_Data[[#This Row],[Date]])&gt;=4,1,0)</f>
        <v>2026</v>
      </c>
      <c r="D116" s="6">
        <f t="shared" si="1093"/>
        <v>2025</v>
      </c>
      <c r="E116" s="7" t="s">
        <v>361</v>
      </c>
      <c r="F116" s="7" t="s">
        <v>361</v>
      </c>
      <c r="G116" s="8">
        <v>45839</v>
      </c>
      <c r="H116" s="6">
        <f t="shared" si="1094"/>
        <v>31</v>
      </c>
      <c r="I116" s="9">
        <v>337338.84499999956</v>
      </c>
      <c r="J116" s="10">
        <v>0.28402777777777777</v>
      </c>
      <c r="K116" s="10">
        <v>0.81388888888888888</v>
      </c>
      <c r="L116" s="9">
        <v>8889</v>
      </c>
      <c r="M116" s="9">
        <v>9488</v>
      </c>
      <c r="N116" s="9">
        <v>9449</v>
      </c>
      <c r="O116" s="9">
        <v>9343</v>
      </c>
      <c r="P116" s="9">
        <v>9591</v>
      </c>
      <c r="Q116" s="9">
        <v>9692</v>
      </c>
      <c r="R116" s="9">
        <v>9694</v>
      </c>
      <c r="S116" s="9">
        <v>9978</v>
      </c>
      <c r="T116" s="9">
        <v>9416</v>
      </c>
      <c r="U116" s="9">
        <v>9236</v>
      </c>
      <c r="V116" s="9">
        <v>10206</v>
      </c>
      <c r="W116" s="9">
        <v>9404</v>
      </c>
      <c r="X116" s="9">
        <v>10292</v>
      </c>
      <c r="Y116" s="9">
        <v>9525</v>
      </c>
      <c r="Z116" s="9">
        <v>9674</v>
      </c>
      <c r="AA116" s="9">
        <v>9656</v>
      </c>
      <c r="AB116" s="9">
        <v>9602.7000000000007</v>
      </c>
      <c r="AC116" s="9">
        <v>9553.1</v>
      </c>
      <c r="AD116" s="9">
        <v>9568.9</v>
      </c>
      <c r="AE116" s="9">
        <v>9612.7000000000007</v>
      </c>
      <c r="AF116" s="9">
        <v>9546.4</v>
      </c>
      <c r="AG116" s="9">
        <v>9531.5</v>
      </c>
      <c r="AH116" s="9">
        <v>9348.1</v>
      </c>
      <c r="AI116" s="9">
        <v>9422.1</v>
      </c>
      <c r="AJ116" s="9">
        <v>9309</v>
      </c>
      <c r="AK116" s="9">
        <v>8102</v>
      </c>
      <c r="AL116" s="9">
        <v>9234</v>
      </c>
      <c r="AM116" s="9">
        <v>9272</v>
      </c>
      <c r="AN116" s="9">
        <v>9647</v>
      </c>
      <c r="AO116" s="9">
        <v>9597</v>
      </c>
      <c r="AP116" s="9">
        <v>9414</v>
      </c>
      <c r="AQ116" s="9">
        <v>9611</v>
      </c>
      <c r="AR116" s="9">
        <v>9507.7000000000007</v>
      </c>
      <c r="AS116" s="9">
        <v>9492.5</v>
      </c>
      <c r="AT116" s="9">
        <v>9584.4</v>
      </c>
      <c r="AU116" s="9">
        <v>9526.6</v>
      </c>
      <c r="AV116" s="9">
        <v>9623.5</v>
      </c>
      <c r="AW116" s="9">
        <v>9476.9</v>
      </c>
      <c r="AX116" s="9">
        <v>9490.7000000000007</v>
      </c>
      <c r="AY116" s="9">
        <v>9404.7000000000007</v>
      </c>
      <c r="AZ116" s="9">
        <v>9952.1</v>
      </c>
      <c r="BA116" s="9">
        <v>9878.7000000000007</v>
      </c>
      <c r="BB116" s="9">
        <v>9559.1</v>
      </c>
      <c r="BC116" s="9">
        <v>9608.2000000000007</v>
      </c>
      <c r="BD116" s="9">
        <v>9891.9</v>
      </c>
      <c r="BE116" s="9">
        <v>10579.4</v>
      </c>
      <c r="BF116" s="9">
        <v>10139.4</v>
      </c>
      <c r="BG116" s="9">
        <v>10201.299999999999</v>
      </c>
      <c r="BH116" s="9">
        <v>9661</v>
      </c>
      <c r="BI116" s="9">
        <v>9733</v>
      </c>
      <c r="BJ116" s="9">
        <v>9604</v>
      </c>
      <c r="BK116" s="9">
        <v>9786</v>
      </c>
      <c r="BL116" s="9">
        <v>9910</v>
      </c>
      <c r="BM116" s="9">
        <v>9824</v>
      </c>
      <c r="BN116" s="9">
        <v>9679</v>
      </c>
      <c r="BO116" s="9">
        <v>9772</v>
      </c>
      <c r="BP116" s="9">
        <v>8488</v>
      </c>
      <c r="BQ116" s="9">
        <v>9734</v>
      </c>
      <c r="BR116" s="9">
        <v>8671</v>
      </c>
      <c r="BS116" s="9">
        <v>9783</v>
      </c>
      <c r="BT116" s="9">
        <v>9626</v>
      </c>
      <c r="BU116" s="9">
        <v>8584</v>
      </c>
      <c r="BV116" s="9">
        <v>9318</v>
      </c>
      <c r="BW116" s="9">
        <v>8869</v>
      </c>
      <c r="BX116" s="9">
        <v>8784</v>
      </c>
      <c r="BY116" s="9">
        <v>8339</v>
      </c>
      <c r="BZ116" s="9">
        <v>8837</v>
      </c>
      <c r="CA116" s="9">
        <v>9163</v>
      </c>
      <c r="CB116" s="9">
        <v>9493</v>
      </c>
      <c r="CC116" s="9">
        <v>8445</v>
      </c>
      <c r="CD116" s="9">
        <v>9308</v>
      </c>
      <c r="CE116" s="9">
        <v>8143</v>
      </c>
      <c r="CF116" s="9">
        <v>9328</v>
      </c>
      <c r="CG116" s="9">
        <v>9065</v>
      </c>
      <c r="CH116" s="9">
        <v>8405</v>
      </c>
      <c r="CI116" s="9">
        <v>9329</v>
      </c>
      <c r="CJ116" s="9">
        <v>8196</v>
      </c>
      <c r="CK116" s="9">
        <v>9579</v>
      </c>
      <c r="CL116" s="9">
        <v>8436</v>
      </c>
      <c r="CM116" s="9">
        <v>9369</v>
      </c>
      <c r="CN116" s="9">
        <v>8394.1</v>
      </c>
      <c r="CO116" s="9">
        <v>9100.4</v>
      </c>
      <c r="CP116" s="9">
        <v>8387.2999999999993</v>
      </c>
      <c r="CQ116" s="9">
        <v>9302.1</v>
      </c>
      <c r="CR116" s="9">
        <v>8406.2999999999993</v>
      </c>
      <c r="CS116" s="9">
        <v>8977.7000000000007</v>
      </c>
      <c r="CT116" s="9">
        <v>8483.5</v>
      </c>
      <c r="CU116" s="9">
        <v>7388.2</v>
      </c>
      <c r="CV116" s="9">
        <v>9395.7000000000007</v>
      </c>
      <c r="CW116" s="9">
        <v>8907.4</v>
      </c>
      <c r="CX116" s="9">
        <v>8283.2000000000007</v>
      </c>
      <c r="CY116" s="9">
        <v>9628</v>
      </c>
      <c r="CZ116" s="9">
        <v>9407.2000000000007</v>
      </c>
      <c r="DA116" s="9">
        <v>8772.5</v>
      </c>
      <c r="DB116" s="9">
        <v>8723.5</v>
      </c>
      <c r="DC116" s="9">
        <v>9467.5</v>
      </c>
      <c r="DD116" s="9">
        <v>8559.2999999999993</v>
      </c>
      <c r="DE116" s="9">
        <v>8838.7999999999993</v>
      </c>
      <c r="DF116" s="9">
        <v>9740.2000000000007</v>
      </c>
      <c r="DG116" s="9">
        <v>8555.6</v>
      </c>
      <c r="DH116" s="9">
        <v>9570.7999999999993</v>
      </c>
      <c r="DI116" s="9">
        <v>8574.9</v>
      </c>
      <c r="DJ116" s="9">
        <v>9555.5</v>
      </c>
      <c r="DK116" s="9">
        <v>8808</v>
      </c>
      <c r="DL116" s="9">
        <v>9610.7999999999993</v>
      </c>
      <c r="DM116" s="9">
        <v>8338.1</v>
      </c>
      <c r="DN116" s="9">
        <v>9654.5</v>
      </c>
      <c r="DO116" s="9">
        <v>8724</v>
      </c>
      <c r="DP116" s="9">
        <v>9407.9</v>
      </c>
      <c r="DQ116" s="9">
        <v>8538.1</v>
      </c>
      <c r="DR116" s="9">
        <v>9662.4</v>
      </c>
      <c r="DS116" s="9">
        <v>8819.6</v>
      </c>
      <c r="DT116" s="9">
        <v>6645</v>
      </c>
      <c r="DU116" s="9">
        <v>7457.6</v>
      </c>
      <c r="DV116" s="9">
        <v>6726.8</v>
      </c>
      <c r="DW116" s="9">
        <v>6631.2</v>
      </c>
      <c r="DX116" s="9">
        <v>7586.4</v>
      </c>
      <c r="DY116" s="9">
        <v>7608.2</v>
      </c>
      <c r="DZ116" s="9">
        <v>7481.4</v>
      </c>
      <c r="EA116" s="9">
        <v>6798.6</v>
      </c>
      <c r="EB116" s="9">
        <v>9669.4</v>
      </c>
      <c r="EC116" s="9">
        <v>8654.4</v>
      </c>
      <c r="ED116" s="9">
        <v>9469</v>
      </c>
      <c r="EE116" s="9">
        <v>8725.5</v>
      </c>
      <c r="EF116" s="9">
        <v>9392.1</v>
      </c>
      <c r="EG116" s="9">
        <v>8142.2</v>
      </c>
      <c r="EH116" s="9">
        <v>9458.2999999999993</v>
      </c>
      <c r="EI116" s="9">
        <v>8661.6</v>
      </c>
      <c r="EJ116" s="9">
        <v>8848</v>
      </c>
      <c r="EK116" s="9">
        <v>9015.2999999999993</v>
      </c>
      <c r="EL116" s="9">
        <v>8793.7000000000007</v>
      </c>
      <c r="EM116" s="9">
        <v>7549.2</v>
      </c>
      <c r="EN116" s="9">
        <v>8854.4</v>
      </c>
      <c r="EO116" s="9">
        <v>7813.6</v>
      </c>
      <c r="EP116" s="9">
        <v>8731.1</v>
      </c>
      <c r="EQ116" s="9">
        <v>8745.1</v>
      </c>
      <c r="ER116" s="9">
        <v>9868.7000000000007</v>
      </c>
      <c r="ES116" s="9">
        <v>9817.7000000000007</v>
      </c>
      <c r="ET116" s="9">
        <v>10034.6</v>
      </c>
      <c r="EU116" s="9">
        <v>9965.2999999999993</v>
      </c>
      <c r="EV116" s="9">
        <v>10067</v>
      </c>
      <c r="EW116" s="9">
        <v>9946.7999999999993</v>
      </c>
      <c r="EX116" s="9">
        <v>9168.4</v>
      </c>
      <c r="EY116" s="9">
        <v>9936.5</v>
      </c>
      <c r="EZ116" s="9">
        <v>9483.2000000000007</v>
      </c>
      <c r="FA116" s="9">
        <v>9855.2000000000007</v>
      </c>
      <c r="FB116" s="9">
        <v>9720.7999999999993</v>
      </c>
      <c r="FC116" s="9">
        <v>9726.6</v>
      </c>
      <c r="FD116" s="9">
        <v>9751.6</v>
      </c>
      <c r="FE116" s="9">
        <v>9775.2999999999993</v>
      </c>
      <c r="FF116" s="9">
        <v>9037.7999999999993</v>
      </c>
      <c r="FG116" s="9">
        <v>9870</v>
      </c>
      <c r="FH116" s="9">
        <v>9756.2999999999993</v>
      </c>
      <c r="FI116" s="9">
        <v>9847.6</v>
      </c>
      <c r="FJ116" s="9">
        <v>9846.7000000000007</v>
      </c>
      <c r="FK116" s="9">
        <v>9762.5</v>
      </c>
      <c r="FL116" s="9">
        <v>9813.4</v>
      </c>
      <c r="FM116" s="9">
        <v>8788.5</v>
      </c>
      <c r="FN116" s="9">
        <v>9808.7999999999993</v>
      </c>
      <c r="FO116" s="9">
        <v>8891</v>
      </c>
      <c r="FP116" s="11">
        <v>32.168538873994635</v>
      </c>
      <c r="FQ116" s="11">
        <v>32.168538873994635</v>
      </c>
      <c r="FR116" s="11">
        <v>31.985991957104538</v>
      </c>
      <c r="FS116" s="11">
        <v>32.317801608579103</v>
      </c>
      <c r="FT116" s="11">
        <v>32.08538873994641</v>
      </c>
      <c r="FU116" s="11">
        <v>32.628069705093843</v>
      </c>
      <c r="FV116" s="11">
        <v>0</v>
      </c>
      <c r="FW116" s="11">
        <v>43.1</v>
      </c>
      <c r="FX116" s="11">
        <v>0</v>
      </c>
      <c r="FY116" s="11">
        <v>0</v>
      </c>
      <c r="FZ116" s="11">
        <v>43.6</v>
      </c>
      <c r="GA116" s="11">
        <v>43.623941018766729</v>
      </c>
      <c r="GB116" s="11">
        <v>1.9232282623726513</v>
      </c>
      <c r="GC116" s="11">
        <v>3.8219301514745339</v>
      </c>
      <c r="GD116" s="11">
        <v>3.4430472210455769</v>
      </c>
      <c r="GE116" s="11">
        <v>2.8695173086729193</v>
      </c>
      <c r="GF116" s="11">
        <v>3.8522831045576411</v>
      </c>
      <c r="GG116" s="11">
        <v>3.818701786193031</v>
      </c>
      <c r="GH116" s="11">
        <v>5.773333</v>
      </c>
      <c r="GI116" s="11">
        <v>6.6033330000000001</v>
      </c>
      <c r="GJ116" s="11">
        <v>6.0933330000000003</v>
      </c>
      <c r="GK116" s="11">
        <v>9.1216670000000004</v>
      </c>
      <c r="GL116" s="11">
        <v>6.733333</v>
      </c>
      <c r="GM116" s="11">
        <v>6.7050000000000001</v>
      </c>
      <c r="GN116" s="11">
        <v>5.3512283333333306</v>
      </c>
      <c r="GO116" s="11">
        <v>5.3974173333333297</v>
      </c>
      <c r="GP116" s="11">
        <v>5.3554670000000097</v>
      </c>
      <c r="GQ116" s="11">
        <v>5.0947688333333323</v>
      </c>
      <c r="GR116" s="11">
        <v>5.3595224999999997</v>
      </c>
      <c r="GS116" s="11">
        <v>5.1956666666666695</v>
      </c>
      <c r="GT116" s="108">
        <v>1.0261029999999995</v>
      </c>
      <c r="GU116" s="108">
        <v>0.92298949999999957</v>
      </c>
      <c r="GV116" s="108">
        <v>0.93148633333333275</v>
      </c>
      <c r="GW116" s="108">
        <v>1.0813953333333328</v>
      </c>
      <c r="GX116" s="108">
        <v>1.0819368333333339</v>
      </c>
      <c r="GY116" s="108">
        <v>0.92451699999999859</v>
      </c>
      <c r="GZ116" s="13">
        <v>5.3307971666666711</v>
      </c>
      <c r="HA116" s="13">
        <v>5.3600688333333384</v>
      </c>
      <c r="HB116" s="13">
        <v>5.2401753333333279</v>
      </c>
      <c r="HC116" s="13">
        <v>0</v>
      </c>
      <c r="HD116" s="13">
        <v>0</v>
      </c>
      <c r="HE116" s="13">
        <v>5.1460821666666599</v>
      </c>
      <c r="HF116" s="13">
        <v>0.26928266666666678</v>
      </c>
      <c r="HG116" s="13">
        <v>0.31727266666666659</v>
      </c>
      <c r="HH116" s="13">
        <v>0.27689583333333345</v>
      </c>
      <c r="HI116" s="13">
        <v>0.26099299999999986</v>
      </c>
      <c r="HJ116" s="13">
        <v>0.28423650000000006</v>
      </c>
      <c r="HK116" s="13">
        <v>0.31648883333333361</v>
      </c>
      <c r="HL116" s="12">
        <v>0</v>
      </c>
      <c r="HM116" s="12">
        <v>0</v>
      </c>
      <c r="HN116" s="12">
        <v>0</v>
      </c>
      <c r="HO116" s="12">
        <v>0</v>
      </c>
      <c r="HP116" s="12">
        <v>0</v>
      </c>
      <c r="HQ116" s="12">
        <v>0</v>
      </c>
      <c r="HR116" s="12">
        <v>0</v>
      </c>
      <c r="HS116" s="12">
        <v>0</v>
      </c>
      <c r="HT116" s="12">
        <v>0</v>
      </c>
      <c r="HU116" s="12">
        <v>0</v>
      </c>
      <c r="HV116" s="12">
        <v>0</v>
      </c>
      <c r="HW116" s="12">
        <v>0</v>
      </c>
      <c r="HX116" s="9">
        <v>993467</v>
      </c>
      <c r="HY116" s="9">
        <v>1853</v>
      </c>
      <c r="HZ116" s="9">
        <v>979971</v>
      </c>
      <c r="IA116" s="9">
        <v>1868</v>
      </c>
      <c r="IB116" s="11">
        <v>278397.88799999998</v>
      </c>
      <c r="IC116" s="11">
        <v>646.46699999999998</v>
      </c>
      <c r="ID116" s="14">
        <f t="shared" ref="ID116:II116" si="1135">GN116-HL116</f>
        <v>5.3512283333333306</v>
      </c>
      <c r="IE116" s="14">
        <f t="shared" si="1135"/>
        <v>5.3974173333333297</v>
      </c>
      <c r="IF116" s="14">
        <f t="shared" si="1135"/>
        <v>5.3554670000000097</v>
      </c>
      <c r="IG116" s="14">
        <f t="shared" si="1135"/>
        <v>5.0947688333333323</v>
      </c>
      <c r="IH116" s="14">
        <f t="shared" si="1135"/>
        <v>5.3595224999999997</v>
      </c>
      <c r="II116" s="14">
        <f t="shared" si="1135"/>
        <v>5.1956666666666695</v>
      </c>
      <c r="IJ116" s="15">
        <f t="shared" ref="IJ116:IO116" si="1136">GZ116-HR116</f>
        <v>5.3307971666666711</v>
      </c>
      <c r="IK116" s="15">
        <f t="shared" si="1136"/>
        <v>5.3600688333333384</v>
      </c>
      <c r="IL116" s="15">
        <f t="shared" si="1136"/>
        <v>5.2401753333333279</v>
      </c>
      <c r="IM116" s="15">
        <f t="shared" si="1136"/>
        <v>0</v>
      </c>
      <c r="IN116" s="15">
        <f t="shared" si="1136"/>
        <v>0</v>
      </c>
      <c r="IO116" s="15">
        <f t="shared" si="1136"/>
        <v>5.1460821666666599</v>
      </c>
      <c r="IP116" s="16">
        <f t="shared" ref="IP116" si="1137">(HX116-HX115)*1000</f>
        <v>743000</v>
      </c>
      <c r="IQ116" s="16">
        <f t="shared" ref="IQ116" si="1138">(HY116-HY115)*1000</f>
        <v>1000</v>
      </c>
      <c r="IR116" s="16">
        <f t="shared" ref="IR116" si="1139">(HZ116-HZ115)*1000</f>
        <v>714000</v>
      </c>
      <c r="IS116" s="16">
        <f t="shared" ref="IS116" si="1140">(IA116-IA115)*1000</f>
        <v>1000</v>
      </c>
      <c r="IT116" s="16">
        <f t="shared" ref="IT116" si="1141">(IB116-IB115)*1000</f>
        <v>1458932.9999999609</v>
      </c>
      <c r="IU116" s="16">
        <f t="shared" ref="IU116" si="1142">(IC116-IC115)*1000</f>
        <v>4667.00000000003</v>
      </c>
      <c r="IV116" s="17">
        <f t="shared" ref="IV116" si="1143">(IP116+IR116)-(IQ116+IS116)</f>
        <v>1455000</v>
      </c>
      <c r="IW116" s="17">
        <f t="shared" ref="IW116" si="1144">IT116-IU116</f>
        <v>1454265.9999999609</v>
      </c>
      <c r="IX116" s="19">
        <f>(Raw_Data[[#This Row],[Sunset Time (POA&lt;20 W/m2)]]-Raw_Data[[#This Row],[Sunrise Time (POA&gt;20 W/m2)]])*24</f>
        <v>12.716666666666667</v>
      </c>
      <c r="IY116" s="68">
        <f>AVERAGEIF(Raw_Data[[#This Row],[GHI_UP_Net_IS2_W1]:[GHI_UP_Net_IS19_W6]],"&lt;&gt;"&amp;0,Raw_Data[[#This Row],[GHI_UP_Net_IS2_W1]:[GHI_UP_Net_IS19_W6]])</f>
        <v>5.2923451111111133</v>
      </c>
      <c r="IZ116" s="68">
        <f>AVERAGEIF(Raw_Data[[#This Row],[GHI_Down_IS2_W1]:[GHI_Down_IS19_W6]],"&lt;&gt;"&amp;0,Raw_Data[[#This Row],[GHI_Down_IS2_W1]:[GHI_Down_IS19_W6]])</f>
        <v>0.99473799999999957</v>
      </c>
      <c r="JA116" s="68">
        <f>AVERAGEIF(Raw_Data[[#This Row],[POA_Up_IS2_W1]:[POA_Up_IS19_W6]],"&lt;&gt;"&amp;0,Raw_Data[[#This Row],[POA_Up_IS2_W1]:[POA_Up_IS19_W6]])</f>
        <v>5.2692808749999998</v>
      </c>
      <c r="JB116" s="68">
        <f>AVERAGEIF(Raw_Data[[#This Row],[POA_Down_IS2_W1]:[POA_Down_IS19_W6]],"&lt;&gt;"&amp;0,Raw_Data[[#This Row],[POA_Down_IS2_W1]:[POA_Down_IS19_W6]])</f>
        <v>0.28752825000000004</v>
      </c>
      <c r="JC116" s="69">
        <f>Raw_Data[[#This Row],[GHI-Down(KWh/m2)]]/Raw_Data[[#This Row],[GHI-UP (KWh/m2)]]</f>
        <v>0.18795788617631495</v>
      </c>
      <c r="JD116" s="72">
        <f>Raw_Data[[#This Row],[POA-Down(KWh/m2)]]/Raw_Data[[#This Row],[POA-UP(KWh/m2)]]</f>
        <v>5.4566886226196862E-2</v>
      </c>
      <c r="JE116" s="68">
        <f>AVERAGEIF(Raw_Data[[#This Row],[Amb_Temp_IS2_W1]:[Amb_Temp_IS19_W6]],"&lt;&gt;"&amp;0,Raw_Data[[#This Row],[Amb_Temp_IS2_W1]:[Amb_Temp_IS19_W6]])</f>
        <v>32.225721626452192</v>
      </c>
      <c r="JF116" s="68">
        <f>AVERAGEIF(Raw_Data[[#This Row],[MT_Temp_IS2_W1]:[MT_Temp_IS19_W6]],"&lt;&gt;"&amp;0,Raw_Data[[#This Row],[MT_Temp_IS2_W1]:[MT_Temp_IS19_W6]])</f>
        <v>43.441313672922242</v>
      </c>
      <c r="JG116" s="68">
        <f>AVERAGEIF(Raw_Data[[#This Row],[WS_Avg_IS2_W1]:[WS_Avg_IS19_W6]],"&lt;&gt;"&amp;0,Raw_Data[[#This Row],[WS_Avg_IS2_W1]:[WS_Avg_IS19_W6]])</f>
        <v>3.288117972386059</v>
      </c>
      <c r="JH116" s="68">
        <f>AVERAGEIF(Raw_Data[[#This Row],[WS_Max_IS2_W1]:[WS_Max_IS19_W6]],"&lt;&gt;"&amp;0,Raw_Data[[#This Row],[WS_Max_IS2_W1]:[WS_Max_IS19_W6]])</f>
        <v>6.8383331666666676</v>
      </c>
      <c r="JI116" s="70">
        <f>SUM(Raw_Data[[#This Row],[IS1_INV1_M1]:[IS20_INV4_M2]])</f>
        <v>1469064.1000000003</v>
      </c>
      <c r="JJ116" s="73">
        <v>964134.00000002002</v>
      </c>
      <c r="JK116" s="71">
        <v>1158985.5495338731</v>
      </c>
      <c r="JL116" s="143">
        <f>IFERROR(Raw_Data[[#This Row],[WPR_Eac]]/Raw_Data[[#This Row],[WPR_Edc]],"")</f>
        <v>0.83187749872099825</v>
      </c>
      <c r="JM116" s="6">
        <v>24</v>
      </c>
      <c r="JN116" s="6" t="s">
        <v>2635</v>
      </c>
    </row>
    <row r="117" spans="2:274">
      <c r="B117" s="250">
        <f t="shared" si="596"/>
        <v>45856</v>
      </c>
      <c r="C117" s="9">
        <f>YEAR(Raw_Data[[#This Row],[Date]])+IF(MONTH(Raw_Data[[#This Row],[Date]])&gt;=4,1,0)</f>
        <v>2026</v>
      </c>
      <c r="D117" s="6">
        <f t="shared" si="1093"/>
        <v>2025</v>
      </c>
      <c r="E117" s="7" t="s">
        <v>361</v>
      </c>
      <c r="F117" s="7" t="s">
        <v>361</v>
      </c>
      <c r="G117" s="8">
        <v>45839</v>
      </c>
      <c r="H117" s="6">
        <f>DAY(EOMONTH(B117,0))</f>
        <v>31</v>
      </c>
      <c r="I117" s="9">
        <v>337338.84499999956</v>
      </c>
      <c r="J117" s="10">
        <v>0.26597222222222222</v>
      </c>
      <c r="K117" s="10">
        <v>0.73472222222222228</v>
      </c>
      <c r="L117" s="9">
        <v>4694</v>
      </c>
      <c r="M117" s="9">
        <v>4952</v>
      </c>
      <c r="N117" s="9">
        <v>4935</v>
      </c>
      <c r="O117" s="9">
        <v>4898</v>
      </c>
      <c r="P117" s="9">
        <v>4988</v>
      </c>
      <c r="Q117" s="9">
        <v>4990</v>
      </c>
      <c r="R117" s="9">
        <v>5030</v>
      </c>
      <c r="S117" s="9">
        <v>5170</v>
      </c>
      <c r="T117" s="9">
        <v>4942</v>
      </c>
      <c r="U117" s="9">
        <v>4930</v>
      </c>
      <c r="V117" s="9">
        <v>5405</v>
      </c>
      <c r="W117" s="9">
        <v>4927</v>
      </c>
      <c r="X117" s="9">
        <v>5388</v>
      </c>
      <c r="Y117" s="9">
        <v>4906</v>
      </c>
      <c r="Z117" s="9">
        <v>4972</v>
      </c>
      <c r="AA117" s="9">
        <v>4971</v>
      </c>
      <c r="AB117" s="9">
        <v>4941.6000000000004</v>
      </c>
      <c r="AC117" s="9">
        <v>4932.5</v>
      </c>
      <c r="AD117" s="9">
        <v>4929.6000000000004</v>
      </c>
      <c r="AE117" s="9">
        <v>4949.5</v>
      </c>
      <c r="AF117" s="9">
        <v>4945.5</v>
      </c>
      <c r="AG117" s="9">
        <v>4924.8999999999996</v>
      </c>
      <c r="AH117" s="9">
        <v>4808.3999999999996</v>
      </c>
      <c r="AI117" s="9">
        <v>4865.6000000000004</v>
      </c>
      <c r="AJ117" s="9">
        <v>4794</v>
      </c>
      <c r="AK117" s="9">
        <v>4198</v>
      </c>
      <c r="AL117" s="9">
        <v>4780</v>
      </c>
      <c r="AM117" s="9">
        <v>4781</v>
      </c>
      <c r="AN117" s="9">
        <v>4963</v>
      </c>
      <c r="AO117" s="9">
        <v>4925</v>
      </c>
      <c r="AP117" s="9">
        <v>4836</v>
      </c>
      <c r="AQ117" s="9">
        <v>4946</v>
      </c>
      <c r="AR117" s="9">
        <v>4951.3</v>
      </c>
      <c r="AS117" s="9">
        <v>4949</v>
      </c>
      <c r="AT117" s="9">
        <v>4989.3999999999996</v>
      </c>
      <c r="AU117" s="9">
        <v>4934.5</v>
      </c>
      <c r="AV117" s="9">
        <v>4976.3999999999996</v>
      </c>
      <c r="AW117" s="9">
        <v>4892.7</v>
      </c>
      <c r="AX117" s="9">
        <v>4916.6000000000004</v>
      </c>
      <c r="AY117" s="9">
        <v>4903.2</v>
      </c>
      <c r="AZ117" s="9">
        <v>5331.9</v>
      </c>
      <c r="BA117" s="9">
        <v>5215.8</v>
      </c>
      <c r="BB117" s="9">
        <v>5269.2</v>
      </c>
      <c r="BC117" s="9">
        <v>5316.7</v>
      </c>
      <c r="BD117" s="9">
        <v>5002.6000000000004</v>
      </c>
      <c r="BE117" s="9">
        <v>5665.2</v>
      </c>
      <c r="BF117" s="9">
        <v>5304.7</v>
      </c>
      <c r="BG117" s="9">
        <v>5362.8</v>
      </c>
      <c r="BH117" s="9">
        <v>5014</v>
      </c>
      <c r="BI117" s="9">
        <v>5087</v>
      </c>
      <c r="BJ117" s="9">
        <v>4989</v>
      </c>
      <c r="BK117" s="9">
        <v>4691</v>
      </c>
      <c r="BL117" s="9">
        <v>5169</v>
      </c>
      <c r="BM117" s="9">
        <v>5091</v>
      </c>
      <c r="BN117" s="9">
        <v>5125</v>
      </c>
      <c r="BO117" s="9">
        <v>5111</v>
      </c>
      <c r="BP117" s="9">
        <v>4526</v>
      </c>
      <c r="BQ117" s="9">
        <v>5245</v>
      </c>
      <c r="BR117" s="9">
        <v>4545</v>
      </c>
      <c r="BS117" s="9">
        <v>5214</v>
      </c>
      <c r="BT117" s="9">
        <v>5157</v>
      </c>
      <c r="BU117" s="9">
        <v>4538</v>
      </c>
      <c r="BV117" s="9">
        <v>5016</v>
      </c>
      <c r="BW117" s="9">
        <v>4786</v>
      </c>
      <c r="BX117" s="9">
        <v>4682</v>
      </c>
      <c r="BY117" s="9">
        <v>4524</v>
      </c>
      <c r="BZ117" s="9">
        <v>4785</v>
      </c>
      <c r="CA117" s="9">
        <v>5034</v>
      </c>
      <c r="CB117" s="9">
        <v>5164</v>
      </c>
      <c r="CC117" s="9">
        <v>4622</v>
      </c>
      <c r="CD117" s="9">
        <v>5024</v>
      </c>
      <c r="CE117" s="9">
        <v>4435</v>
      </c>
      <c r="CF117" s="9">
        <v>5121</v>
      </c>
      <c r="CG117" s="9">
        <v>5016</v>
      </c>
      <c r="CH117" s="9">
        <v>4541</v>
      </c>
      <c r="CI117" s="9">
        <v>5098</v>
      </c>
      <c r="CJ117" s="9">
        <v>4454</v>
      </c>
      <c r="CK117" s="9">
        <v>5221</v>
      </c>
      <c r="CL117" s="9">
        <v>4567</v>
      </c>
      <c r="CM117" s="9">
        <v>5119</v>
      </c>
      <c r="CN117" s="9">
        <v>4596.3999999999996</v>
      </c>
      <c r="CO117" s="9">
        <v>5010.3</v>
      </c>
      <c r="CP117" s="9">
        <v>4638</v>
      </c>
      <c r="CQ117" s="9">
        <v>4954.8</v>
      </c>
      <c r="CR117" s="9">
        <v>4589.3999999999996</v>
      </c>
      <c r="CS117" s="9">
        <v>4906.3999999999996</v>
      </c>
      <c r="CT117" s="9">
        <v>4610.7</v>
      </c>
      <c r="CU117" s="9">
        <v>4027.6</v>
      </c>
      <c r="CV117" s="9">
        <v>5082.2</v>
      </c>
      <c r="CW117" s="9">
        <v>4867.8999999999996</v>
      </c>
      <c r="CX117" s="9">
        <v>4464.3999999999996</v>
      </c>
      <c r="CY117" s="9">
        <v>5225.3</v>
      </c>
      <c r="CZ117" s="9">
        <v>5056.3</v>
      </c>
      <c r="DA117" s="9">
        <v>4659.1000000000004</v>
      </c>
      <c r="DB117" s="9">
        <v>4598.8</v>
      </c>
      <c r="DC117" s="9">
        <v>5124.2</v>
      </c>
      <c r="DD117" s="9">
        <v>4570.5</v>
      </c>
      <c r="DE117" s="9">
        <v>4722.3999999999996</v>
      </c>
      <c r="DF117" s="9">
        <v>5188.2</v>
      </c>
      <c r="DG117" s="9">
        <v>4508.3999999999996</v>
      </c>
      <c r="DH117" s="9">
        <v>5071.1000000000004</v>
      </c>
      <c r="DI117" s="9">
        <v>4505.1000000000004</v>
      </c>
      <c r="DJ117" s="9">
        <v>5029.3</v>
      </c>
      <c r="DK117" s="9">
        <v>4600</v>
      </c>
      <c r="DL117" s="9">
        <v>5076.2</v>
      </c>
      <c r="DM117" s="9">
        <v>4366.7</v>
      </c>
      <c r="DN117" s="9">
        <v>5082.1000000000004</v>
      </c>
      <c r="DO117" s="9">
        <v>4566.3</v>
      </c>
      <c r="DP117" s="9">
        <v>4997.3</v>
      </c>
      <c r="DQ117" s="9">
        <v>4469.7</v>
      </c>
      <c r="DR117" s="9">
        <v>5091.8999999999996</v>
      </c>
      <c r="DS117" s="9">
        <v>4299.5</v>
      </c>
      <c r="DT117" s="9">
        <v>4537.3999999999996</v>
      </c>
      <c r="DU117" s="9">
        <v>5046.5</v>
      </c>
      <c r="DV117" s="9">
        <v>4565.3999999999996</v>
      </c>
      <c r="DW117" s="9">
        <v>4474.3</v>
      </c>
      <c r="DX117" s="9">
        <v>5050.3999999999996</v>
      </c>
      <c r="DY117" s="9">
        <v>5092.3</v>
      </c>
      <c r="DZ117" s="9">
        <v>5010.2</v>
      </c>
      <c r="EA117" s="9">
        <v>4579.3</v>
      </c>
      <c r="EB117" s="9">
        <v>5084.3999999999996</v>
      </c>
      <c r="EC117" s="9">
        <v>4525</v>
      </c>
      <c r="ED117" s="9">
        <v>4949.3999999999996</v>
      </c>
      <c r="EE117" s="9">
        <v>4412.5</v>
      </c>
      <c r="EF117" s="9">
        <v>4885.5</v>
      </c>
      <c r="EG117" s="9">
        <v>4207.7</v>
      </c>
      <c r="EH117" s="9">
        <v>4929.8999999999996</v>
      </c>
      <c r="EI117" s="9">
        <v>4516.7</v>
      </c>
      <c r="EJ117" s="9">
        <v>4567.8999999999996</v>
      </c>
      <c r="EK117" s="9">
        <v>4684.8999999999996</v>
      </c>
      <c r="EL117" s="9">
        <v>4581.6000000000004</v>
      </c>
      <c r="EM117" s="9">
        <v>3938.2</v>
      </c>
      <c r="EN117" s="9">
        <v>4564.3999999999996</v>
      </c>
      <c r="EO117" s="9">
        <v>4029.1</v>
      </c>
      <c r="EP117" s="9">
        <v>4524.8999999999996</v>
      </c>
      <c r="EQ117" s="9">
        <v>4533.7</v>
      </c>
      <c r="ER117" s="9">
        <v>5358.9</v>
      </c>
      <c r="ES117" s="9">
        <v>5231.8</v>
      </c>
      <c r="ET117" s="9">
        <v>5403.9</v>
      </c>
      <c r="EU117" s="9">
        <v>5328.9</v>
      </c>
      <c r="EV117" s="9">
        <v>5320.7</v>
      </c>
      <c r="EW117" s="9">
        <v>5218.8</v>
      </c>
      <c r="EX117" s="9">
        <v>4739.8999999999996</v>
      </c>
      <c r="EY117" s="9">
        <v>5223</v>
      </c>
      <c r="EZ117" s="9">
        <v>5140.8</v>
      </c>
      <c r="FA117" s="9">
        <v>5375.1</v>
      </c>
      <c r="FB117" s="9">
        <v>5233.2</v>
      </c>
      <c r="FC117" s="9">
        <v>5266</v>
      </c>
      <c r="FD117" s="9">
        <v>5281.7</v>
      </c>
      <c r="FE117" s="9">
        <v>5304.2</v>
      </c>
      <c r="FF117" s="9">
        <v>4746.8999999999996</v>
      </c>
      <c r="FG117" s="9">
        <v>5324.7</v>
      </c>
      <c r="FH117" s="9">
        <v>5290.7</v>
      </c>
      <c r="FI117" s="9">
        <v>5372.2</v>
      </c>
      <c r="FJ117" s="9">
        <v>5398</v>
      </c>
      <c r="FK117" s="9">
        <v>5331.1</v>
      </c>
      <c r="FL117" s="9">
        <v>5358</v>
      </c>
      <c r="FM117" s="9">
        <v>4750.6000000000004</v>
      </c>
      <c r="FN117" s="9">
        <v>5335.8</v>
      </c>
      <c r="FO117" s="9">
        <v>4768.7</v>
      </c>
      <c r="FP117" s="11">
        <v>30.580489864864873</v>
      </c>
      <c r="FQ117" s="11">
        <v>30.580489864864873</v>
      </c>
      <c r="FR117" s="11">
        <v>30.559324324324287</v>
      </c>
      <c r="FS117" s="11">
        <v>30.84087837837841</v>
      </c>
      <c r="FT117" s="11">
        <v>30.951520270270283</v>
      </c>
      <c r="FU117" s="11">
        <v>30.995337837837866</v>
      </c>
      <c r="FV117" s="11">
        <v>0</v>
      </c>
      <c r="FW117" s="11">
        <v>36.526233108108116</v>
      </c>
      <c r="FX117" s="11">
        <v>0</v>
      </c>
      <c r="FY117" s="11">
        <v>0</v>
      </c>
      <c r="FZ117" s="11">
        <v>36.593115793918969</v>
      </c>
      <c r="GA117" s="11">
        <v>36.945152027027014</v>
      </c>
      <c r="GB117" s="11">
        <v>3.6970043828885122</v>
      </c>
      <c r="GC117" s="11">
        <v>4.42706906925675</v>
      </c>
      <c r="GD117" s="11">
        <v>4.1720043277027008</v>
      </c>
      <c r="GE117" s="11">
        <v>5.1648336837331073</v>
      </c>
      <c r="GF117" s="11">
        <v>4.6923984527027027</v>
      </c>
      <c r="GG117" s="11">
        <v>4.4814102996621621</v>
      </c>
      <c r="GH117" s="11">
        <v>6.5149999999999997</v>
      </c>
      <c r="GI117" s="11">
        <v>7.051666</v>
      </c>
      <c r="GJ117" s="11">
        <v>6.824999</v>
      </c>
      <c r="GK117" s="11">
        <v>9.2466670000000004</v>
      </c>
      <c r="GL117" s="11">
        <v>7.5849989999999998</v>
      </c>
      <c r="GM117" s="11">
        <v>7.13</v>
      </c>
      <c r="GN117" s="11">
        <v>2.6107600666666664</v>
      </c>
      <c r="GO117" s="11">
        <v>2.6219918666666699</v>
      </c>
      <c r="GP117" s="11">
        <v>2.6323889333333343</v>
      </c>
      <c r="GQ117" s="11">
        <v>2.6124533333333315</v>
      </c>
      <c r="GR117" s="11">
        <v>2.6210008666666678</v>
      </c>
      <c r="GS117" s="11">
        <v>2.6335981500000023</v>
      </c>
      <c r="GT117" s="108">
        <v>0.51510950000000022</v>
      </c>
      <c r="GU117" s="108">
        <v>0.45482716666666684</v>
      </c>
      <c r="GV117" s="108">
        <v>0.47698983333333395</v>
      </c>
      <c r="GW117" s="108">
        <v>0.57880583333333291</v>
      </c>
      <c r="GX117" s="108">
        <v>0.55479683333333341</v>
      </c>
      <c r="GY117" s="108">
        <v>0.45882750000000011</v>
      </c>
      <c r="GZ117" s="13">
        <v>2.5642993333333295</v>
      </c>
      <c r="HA117" s="13">
        <v>2.566517499999998</v>
      </c>
      <c r="HB117" s="13">
        <v>2.5329946666666676</v>
      </c>
      <c r="HC117" s="13">
        <v>0</v>
      </c>
      <c r="HD117" s="13">
        <v>0</v>
      </c>
      <c r="HE117" s="13">
        <v>2.5483280000000015</v>
      </c>
      <c r="HF117" s="13">
        <v>0.14969149999999995</v>
      </c>
      <c r="HG117" s="13">
        <v>0.17557483333333354</v>
      </c>
      <c r="HH117" s="13">
        <v>0.1612326666666668</v>
      </c>
      <c r="HI117" s="13">
        <v>0.15353150000000004</v>
      </c>
      <c r="HJ117" s="13">
        <v>0.1651976666666666</v>
      </c>
      <c r="HK117" s="13">
        <v>0.1764318333333334</v>
      </c>
      <c r="HL117" s="12">
        <v>0</v>
      </c>
      <c r="HM117" s="12">
        <v>0</v>
      </c>
      <c r="HN117" s="12">
        <v>0</v>
      </c>
      <c r="HO117" s="12">
        <v>0</v>
      </c>
      <c r="HP117" s="12">
        <v>0</v>
      </c>
      <c r="HQ117" s="12">
        <v>0</v>
      </c>
      <c r="HR117" s="12">
        <v>0</v>
      </c>
      <c r="HS117" s="12">
        <v>0</v>
      </c>
      <c r="HT117" s="12">
        <v>0</v>
      </c>
      <c r="HU117" s="12">
        <v>0</v>
      </c>
      <c r="HV117" s="12">
        <v>0</v>
      </c>
      <c r="HW117" s="12">
        <v>0</v>
      </c>
      <c r="HX117" s="9">
        <v>993860</v>
      </c>
      <c r="HY117" s="9">
        <v>1856</v>
      </c>
      <c r="HZ117" s="9">
        <v>980359</v>
      </c>
      <c r="IA117" s="9">
        <v>1870</v>
      </c>
      <c r="IB117" s="11">
        <v>279178.35499999998</v>
      </c>
      <c r="IC117" s="11">
        <v>651</v>
      </c>
      <c r="ID117" s="14">
        <f t="shared" ref="ID117:II117" si="1145">GN117-HL117</f>
        <v>2.6107600666666664</v>
      </c>
      <c r="IE117" s="14">
        <f t="shared" si="1145"/>
        <v>2.6219918666666699</v>
      </c>
      <c r="IF117" s="14">
        <f t="shared" si="1145"/>
        <v>2.6323889333333343</v>
      </c>
      <c r="IG117" s="14">
        <f t="shared" si="1145"/>
        <v>2.6124533333333315</v>
      </c>
      <c r="IH117" s="14">
        <f t="shared" si="1145"/>
        <v>2.6210008666666678</v>
      </c>
      <c r="II117" s="14">
        <f t="shared" si="1145"/>
        <v>2.6335981500000023</v>
      </c>
      <c r="IJ117" s="15">
        <f t="shared" ref="IJ117:IO117" si="1146">GZ117-HR117</f>
        <v>2.5642993333333295</v>
      </c>
      <c r="IK117" s="15">
        <f t="shared" si="1146"/>
        <v>2.566517499999998</v>
      </c>
      <c r="IL117" s="15">
        <f t="shared" si="1146"/>
        <v>2.5329946666666676</v>
      </c>
      <c r="IM117" s="15">
        <f t="shared" si="1146"/>
        <v>0</v>
      </c>
      <c r="IN117" s="15">
        <f t="shared" si="1146"/>
        <v>0</v>
      </c>
      <c r="IO117" s="15">
        <f t="shared" si="1146"/>
        <v>2.5483280000000015</v>
      </c>
      <c r="IP117" s="16">
        <f t="shared" ref="IP117" si="1147">(HX117-HX116)*1000</f>
        <v>393000</v>
      </c>
      <c r="IQ117" s="16">
        <f t="shared" ref="IQ117" si="1148">(HY117-HY116)*1000</f>
        <v>3000</v>
      </c>
      <c r="IR117" s="16">
        <f t="shared" ref="IR117" si="1149">(HZ117-HZ116)*1000</f>
        <v>388000</v>
      </c>
      <c r="IS117" s="16">
        <f t="shared" ref="IS117" si="1150">(IA117-IA116)*1000</f>
        <v>2000</v>
      </c>
      <c r="IT117" s="16">
        <f t="shared" ref="IT117" si="1151">(IB117-IB116)*1000</f>
        <v>780467.00000000419</v>
      </c>
      <c r="IU117" s="16">
        <f t="shared" ref="IU117" si="1152">(IC117-IC116)*1000</f>
        <v>4533.0000000000155</v>
      </c>
      <c r="IV117" s="17">
        <f t="shared" ref="IV117" si="1153">(IP117+IR117)-(IQ117+IS117)</f>
        <v>776000</v>
      </c>
      <c r="IW117" s="17">
        <f t="shared" ref="IW117" si="1154">IT117-IU117</f>
        <v>775934.00000000419</v>
      </c>
      <c r="IX117" s="19">
        <f>(Raw_Data[[#This Row],[Sunset Time (POA&lt;20 W/m2)]]-Raw_Data[[#This Row],[Sunrise Time (POA&gt;20 W/m2)]])*24</f>
        <v>11.250000000000002</v>
      </c>
      <c r="IY117" s="68">
        <f>AVERAGEIF(Raw_Data[[#This Row],[GHI_UP_Net_IS2_W1]:[GHI_UP_Net_IS19_W6]],"&lt;&gt;"&amp;0,Raw_Data[[#This Row],[GHI_UP_Net_IS2_W1]:[GHI_UP_Net_IS19_W6]])</f>
        <v>2.6220322027777789</v>
      </c>
      <c r="IZ117" s="68">
        <f>AVERAGEIF(Raw_Data[[#This Row],[GHI_Down_IS2_W1]:[GHI_Down_IS19_W6]],"&lt;&gt;"&amp;0,Raw_Data[[#This Row],[GHI_Down_IS2_W1]:[GHI_Down_IS19_W6]])</f>
        <v>0.50655944444444456</v>
      </c>
      <c r="JA117" s="68">
        <f>AVERAGEIF(Raw_Data[[#This Row],[POA_Up_IS2_W1]:[POA_Up_IS19_W6]],"&lt;&gt;"&amp;0,Raw_Data[[#This Row],[POA_Up_IS2_W1]:[POA_Up_IS19_W6]])</f>
        <v>2.5530348749999989</v>
      </c>
      <c r="JB117" s="68">
        <f>AVERAGEIF(Raw_Data[[#This Row],[POA_Down_IS2_W1]:[POA_Down_IS19_W6]],"&lt;&gt;"&amp;0,Raw_Data[[#This Row],[POA_Down_IS2_W1]:[POA_Down_IS19_W6]])</f>
        <v>0.16361000000000006</v>
      </c>
      <c r="JC117" s="69">
        <f>Raw_Data[[#This Row],[GHI-Down(KWh/m2)]]/Raw_Data[[#This Row],[GHI-UP (KWh/m2)]]</f>
        <v>0.19319344892400478</v>
      </c>
      <c r="JD117" s="72">
        <f>Raw_Data[[#This Row],[POA-Down(KWh/m2)]]/Raw_Data[[#This Row],[POA-UP(KWh/m2)]]</f>
        <v>6.4084514317494443E-2</v>
      </c>
      <c r="JE117" s="68">
        <f>AVERAGEIF(Raw_Data[[#This Row],[Amb_Temp_IS2_W1]:[Amb_Temp_IS19_W6]],"&lt;&gt;"&amp;0,Raw_Data[[#This Row],[Amb_Temp_IS2_W1]:[Amb_Temp_IS19_W6]])</f>
        <v>30.751340090090096</v>
      </c>
      <c r="JF117" s="68">
        <f>AVERAGEIF(Raw_Data[[#This Row],[MT_Temp_IS2_W1]:[MT_Temp_IS19_W6]],"&lt;&gt;"&amp;0,Raw_Data[[#This Row],[MT_Temp_IS2_W1]:[MT_Temp_IS19_W6]])</f>
        <v>36.688166976351368</v>
      </c>
      <c r="JG117" s="68">
        <f>AVERAGEIF(Raw_Data[[#This Row],[WS_Avg_IS2_W1]:[WS_Avg_IS19_W6]],"&lt;&gt;"&amp;0,Raw_Data[[#This Row],[WS_Avg_IS2_W1]:[WS_Avg_IS19_W6]])</f>
        <v>4.4391200359909897</v>
      </c>
      <c r="JH117" s="68">
        <f>AVERAGEIF(Raw_Data[[#This Row],[WS_Max_IS2_W1]:[WS_Max_IS19_W6]],"&lt;&gt;"&amp;0,Raw_Data[[#This Row],[WS_Max_IS2_W1]:[WS_Max_IS19_W6]])</f>
        <v>7.392221833333334</v>
      </c>
      <c r="JI117" s="70">
        <f>SUM(Raw_Data[[#This Row],[IS1_INV1_M1]:[IS20_INV4_M2]])</f>
        <v>785263.30000000016</v>
      </c>
      <c r="JJ117" s="73">
        <v>737200.00000001164</v>
      </c>
      <c r="JK117" s="71">
        <v>839123.19166105206</v>
      </c>
      <c r="JL117" s="143">
        <f>IFERROR(Raw_Data[[#This Row],[WPR_Eac]]/Raw_Data[[#This Row],[WPR_Edc]],"")</f>
        <v>0.87853608066858158</v>
      </c>
      <c r="JM117" s="6">
        <v>19</v>
      </c>
      <c r="JN117" s="6" t="s">
        <v>2635</v>
      </c>
    </row>
    <row r="118" spans="2:274">
      <c r="B118" s="250">
        <f t="shared" si="596"/>
        <v>45857</v>
      </c>
      <c r="C118" s="9">
        <f>YEAR(Raw_Data[[#This Row],[Date]])+IF(MONTH(Raw_Data[[#This Row],[Date]])&gt;=4,1,0)</f>
        <v>2026</v>
      </c>
      <c r="D118" s="6">
        <f>YEAR(B118)</f>
        <v>2025</v>
      </c>
      <c r="E118" s="7" t="s">
        <v>361</v>
      </c>
      <c r="F118" s="7" t="s">
        <v>361</v>
      </c>
      <c r="G118" s="8">
        <v>45839</v>
      </c>
      <c r="H118" s="6">
        <f>DAY(EOMONTH(B118,0))</f>
        <v>31</v>
      </c>
      <c r="I118" s="9">
        <v>337338.84499999956</v>
      </c>
      <c r="J118" s="10">
        <v>0.27847222222222223</v>
      </c>
      <c r="K118" s="10">
        <v>0.69097222222222221</v>
      </c>
      <c r="L118" s="9">
        <v>4078</v>
      </c>
      <c r="M118" s="9">
        <v>4311</v>
      </c>
      <c r="N118" s="9">
        <v>4306</v>
      </c>
      <c r="O118" s="9">
        <v>4271</v>
      </c>
      <c r="P118" s="9">
        <v>4353</v>
      </c>
      <c r="Q118" s="9">
        <v>4359</v>
      </c>
      <c r="R118" s="9">
        <v>4350</v>
      </c>
      <c r="S118" s="9">
        <v>4507</v>
      </c>
      <c r="T118" s="9">
        <v>4294.2</v>
      </c>
      <c r="U118" s="9">
        <v>4243.2</v>
      </c>
      <c r="V118" s="9">
        <v>4709</v>
      </c>
      <c r="W118" s="9">
        <v>4287.2</v>
      </c>
      <c r="X118" s="9">
        <v>4694.5</v>
      </c>
      <c r="Y118" s="9">
        <v>4283</v>
      </c>
      <c r="Z118" s="9">
        <v>4325</v>
      </c>
      <c r="AA118" s="9">
        <v>4314.7</v>
      </c>
      <c r="AB118" s="9">
        <v>4310.5</v>
      </c>
      <c r="AC118" s="9">
        <v>4286.1000000000004</v>
      </c>
      <c r="AD118" s="9">
        <v>4304.1000000000004</v>
      </c>
      <c r="AE118" s="9">
        <v>4320.6000000000004</v>
      </c>
      <c r="AF118" s="9">
        <v>4333.6000000000004</v>
      </c>
      <c r="AG118" s="9">
        <v>4295</v>
      </c>
      <c r="AH118" s="9">
        <v>4231.8999999999996</v>
      </c>
      <c r="AI118" s="9">
        <v>4266.2</v>
      </c>
      <c r="AJ118" s="9">
        <v>4223</v>
      </c>
      <c r="AK118" s="9">
        <v>3683</v>
      </c>
      <c r="AL118" s="9">
        <v>4200</v>
      </c>
      <c r="AM118" s="9">
        <v>4205</v>
      </c>
      <c r="AN118" s="9">
        <v>4378</v>
      </c>
      <c r="AO118" s="9">
        <v>4356</v>
      </c>
      <c r="AP118" s="9">
        <v>4283</v>
      </c>
      <c r="AQ118" s="9">
        <v>4367</v>
      </c>
      <c r="AR118" s="9">
        <v>4347</v>
      </c>
      <c r="AS118" s="9">
        <v>4330.2</v>
      </c>
      <c r="AT118" s="9">
        <v>4368.6000000000004</v>
      </c>
      <c r="AU118" s="9">
        <v>4327.3999999999996</v>
      </c>
      <c r="AV118" s="9">
        <v>4359.8999999999996</v>
      </c>
      <c r="AW118" s="9">
        <v>4296.8</v>
      </c>
      <c r="AX118" s="9">
        <v>4319.2</v>
      </c>
      <c r="AY118" s="9">
        <v>4293.6000000000004</v>
      </c>
      <c r="AZ118" s="9">
        <v>4719.3</v>
      </c>
      <c r="BA118" s="9">
        <v>4621.3</v>
      </c>
      <c r="BB118" s="9">
        <v>4663.1000000000004</v>
      </c>
      <c r="BC118" s="9">
        <v>4708.3</v>
      </c>
      <c r="BD118" s="9">
        <v>4432.7</v>
      </c>
      <c r="BE118" s="9">
        <v>4978.8</v>
      </c>
      <c r="BF118" s="9">
        <v>4703.8</v>
      </c>
      <c r="BG118" s="9">
        <v>4744.8999999999996</v>
      </c>
      <c r="BH118" s="9">
        <v>4340</v>
      </c>
      <c r="BI118" s="9">
        <v>4435</v>
      </c>
      <c r="BJ118" s="9">
        <v>4360</v>
      </c>
      <c r="BK118" s="9">
        <v>4102</v>
      </c>
      <c r="BL118" s="9">
        <v>4472</v>
      </c>
      <c r="BM118" s="9">
        <v>4443</v>
      </c>
      <c r="BN118" s="9">
        <v>4487</v>
      </c>
      <c r="BO118" s="9">
        <v>4464</v>
      </c>
      <c r="BP118" s="9">
        <v>3948</v>
      </c>
      <c r="BQ118" s="9">
        <v>4556</v>
      </c>
      <c r="BR118" s="9">
        <v>3963</v>
      </c>
      <c r="BS118" s="9">
        <v>4550</v>
      </c>
      <c r="BT118" s="9">
        <v>4495</v>
      </c>
      <c r="BU118" s="9">
        <v>3954</v>
      </c>
      <c r="BV118" s="9">
        <v>4347</v>
      </c>
      <c r="BW118" s="9">
        <v>4129</v>
      </c>
      <c r="BX118" s="9">
        <v>4124</v>
      </c>
      <c r="BY118" s="9">
        <v>3977</v>
      </c>
      <c r="BZ118" s="9">
        <v>4199</v>
      </c>
      <c r="CA118" s="9">
        <v>4399</v>
      </c>
      <c r="CB118" s="9">
        <v>4502</v>
      </c>
      <c r="CC118" s="9">
        <v>4041</v>
      </c>
      <c r="CD118" s="9">
        <v>4445</v>
      </c>
      <c r="CE118" s="9">
        <v>3879</v>
      </c>
      <c r="CF118" s="9">
        <v>4549</v>
      </c>
      <c r="CG118" s="9">
        <v>4443</v>
      </c>
      <c r="CH118" s="9">
        <v>3969</v>
      </c>
      <c r="CI118" s="9">
        <v>4457</v>
      </c>
      <c r="CJ118" s="9">
        <v>3891</v>
      </c>
      <c r="CK118" s="9">
        <v>4557</v>
      </c>
      <c r="CL118" s="9">
        <v>3985</v>
      </c>
      <c r="CM118" s="9">
        <v>4471</v>
      </c>
      <c r="CN118" s="9">
        <v>3967.3</v>
      </c>
      <c r="CO118" s="9">
        <v>4325.3999999999996</v>
      </c>
      <c r="CP118" s="9">
        <v>4071.4</v>
      </c>
      <c r="CQ118" s="9">
        <v>4378.3999999999996</v>
      </c>
      <c r="CR118" s="9">
        <v>3996.7</v>
      </c>
      <c r="CS118" s="9">
        <v>4268.7</v>
      </c>
      <c r="CT118" s="9">
        <v>4034.9</v>
      </c>
      <c r="CU118" s="9">
        <v>3484.1</v>
      </c>
      <c r="CV118" s="9">
        <v>4477.6000000000004</v>
      </c>
      <c r="CW118" s="9">
        <v>4250.8</v>
      </c>
      <c r="CX118" s="9">
        <v>3913.2</v>
      </c>
      <c r="CY118" s="9">
        <v>4580.8999999999996</v>
      </c>
      <c r="CZ118" s="9">
        <v>4436.7</v>
      </c>
      <c r="DA118" s="9">
        <v>4091.5</v>
      </c>
      <c r="DB118" s="9">
        <v>4020.4</v>
      </c>
      <c r="DC118" s="9">
        <v>4505.3999999999996</v>
      </c>
      <c r="DD118" s="9">
        <v>4029</v>
      </c>
      <c r="DE118" s="9">
        <v>4136.6000000000004</v>
      </c>
      <c r="DF118" s="9">
        <v>4559.8</v>
      </c>
      <c r="DG118" s="9">
        <v>3964.9</v>
      </c>
      <c r="DH118" s="9">
        <v>4442.3999999999996</v>
      </c>
      <c r="DI118" s="9">
        <v>3953.1</v>
      </c>
      <c r="DJ118" s="9">
        <v>4398.3999999999996</v>
      </c>
      <c r="DK118" s="9">
        <v>4031.2</v>
      </c>
      <c r="DL118" s="9">
        <v>4462</v>
      </c>
      <c r="DM118" s="9">
        <v>3819.7</v>
      </c>
      <c r="DN118" s="9">
        <v>4465.3</v>
      </c>
      <c r="DO118" s="9">
        <v>4002.4</v>
      </c>
      <c r="DP118" s="9">
        <v>4393.1000000000004</v>
      </c>
      <c r="DQ118" s="9">
        <v>3948.7</v>
      </c>
      <c r="DR118" s="9">
        <v>4477.3999999999996</v>
      </c>
      <c r="DS118" s="9">
        <v>3752.9</v>
      </c>
      <c r="DT118" s="9">
        <v>3986.9</v>
      </c>
      <c r="DU118" s="9">
        <v>4436.8</v>
      </c>
      <c r="DV118" s="9">
        <v>3926.9</v>
      </c>
      <c r="DW118" s="9">
        <v>3921</v>
      </c>
      <c r="DX118" s="9">
        <v>4364.7</v>
      </c>
      <c r="DY118" s="9">
        <v>4473.7</v>
      </c>
      <c r="DZ118" s="9">
        <v>4310.6000000000004</v>
      </c>
      <c r="EA118" s="9">
        <v>4010.1</v>
      </c>
      <c r="EB118" s="9">
        <v>4380.3999999999996</v>
      </c>
      <c r="EC118" s="9">
        <v>3955.3</v>
      </c>
      <c r="ED118" s="9">
        <v>4362.3999999999996</v>
      </c>
      <c r="EE118" s="9">
        <v>3700.9</v>
      </c>
      <c r="EF118" s="9">
        <v>4314.5</v>
      </c>
      <c r="EG118" s="9">
        <v>3691</v>
      </c>
      <c r="EH118" s="9">
        <v>4316.8999999999996</v>
      </c>
      <c r="EI118" s="9">
        <v>3881.7</v>
      </c>
      <c r="EJ118" s="9">
        <v>3851.5</v>
      </c>
      <c r="EK118" s="9">
        <v>4142</v>
      </c>
      <c r="EL118" s="9">
        <v>4039.3</v>
      </c>
      <c r="EM118" s="9">
        <v>3460.6</v>
      </c>
      <c r="EN118" s="9">
        <v>4034.7</v>
      </c>
      <c r="EO118" s="9">
        <v>3562.7</v>
      </c>
      <c r="EP118" s="9">
        <v>4006.7</v>
      </c>
      <c r="EQ118" s="9">
        <v>4010.4</v>
      </c>
      <c r="ER118" s="9">
        <v>4661.8999999999996</v>
      </c>
      <c r="ES118" s="9">
        <v>4560.7</v>
      </c>
      <c r="ET118" s="9">
        <v>4708.2</v>
      </c>
      <c r="EU118" s="9">
        <v>4641.3</v>
      </c>
      <c r="EV118" s="9">
        <v>4656.8</v>
      </c>
      <c r="EW118" s="9">
        <v>4581.7</v>
      </c>
      <c r="EX118" s="9">
        <v>4153.7</v>
      </c>
      <c r="EY118" s="9">
        <v>4597.8</v>
      </c>
      <c r="EZ118" s="9">
        <v>4446.7</v>
      </c>
      <c r="FA118" s="9">
        <v>4659.1000000000004</v>
      </c>
      <c r="FB118" s="9">
        <v>4496.1000000000004</v>
      </c>
      <c r="FC118" s="9">
        <v>4561.6000000000004</v>
      </c>
      <c r="FD118" s="9">
        <v>4573.5</v>
      </c>
      <c r="FE118" s="9">
        <v>4516.7</v>
      </c>
      <c r="FF118" s="9">
        <v>4114.7</v>
      </c>
      <c r="FG118" s="9">
        <v>4616.8</v>
      </c>
      <c r="FH118" s="9">
        <v>4519.3999999999996</v>
      </c>
      <c r="FI118" s="9">
        <v>4634.8</v>
      </c>
      <c r="FJ118" s="9">
        <v>4662</v>
      </c>
      <c r="FK118" s="9">
        <v>4592.2</v>
      </c>
      <c r="FL118" s="9">
        <v>4618.6000000000004</v>
      </c>
      <c r="FM118" s="9">
        <v>4100.7</v>
      </c>
      <c r="FN118" s="9">
        <v>4629.6000000000004</v>
      </c>
      <c r="FO118" s="9">
        <v>4091.5</v>
      </c>
      <c r="FP118" s="11">
        <v>29.021942959001784</v>
      </c>
      <c r="FQ118" s="11">
        <v>29.021942959001784</v>
      </c>
      <c r="FR118" s="11">
        <v>29.030142602495555</v>
      </c>
      <c r="FS118" s="11">
        <v>29.158627450980408</v>
      </c>
      <c r="FT118" s="11">
        <v>29.33828877005346</v>
      </c>
      <c r="FU118" s="11">
        <v>29.351550802139066</v>
      </c>
      <c r="FV118" s="11">
        <v>0</v>
      </c>
      <c r="FW118" s="11">
        <v>33.828360071301226</v>
      </c>
      <c r="FX118" s="11">
        <v>0</v>
      </c>
      <c r="FY118" s="11">
        <v>0</v>
      </c>
      <c r="FZ118" s="11">
        <v>34</v>
      </c>
      <c r="GA118" s="11">
        <v>34.290089126559721</v>
      </c>
      <c r="GB118" s="11">
        <v>4.4177954420677388</v>
      </c>
      <c r="GC118" s="11">
        <v>5.1376795436720215</v>
      </c>
      <c r="GD118" s="11">
        <v>4.8879083048128384</v>
      </c>
      <c r="GE118" s="11">
        <v>5.7807306245989318</v>
      </c>
      <c r="GF118" s="11">
        <v>5.1797383404634569</v>
      </c>
      <c r="GG118" s="11">
        <v>5.1221150730837799</v>
      </c>
      <c r="GH118" s="11">
        <v>7.5133330000000003</v>
      </c>
      <c r="GI118" s="11">
        <v>7.7249999999999996</v>
      </c>
      <c r="GJ118" s="11">
        <v>7.4183329999999996</v>
      </c>
      <c r="GK118" s="11">
        <v>9.4</v>
      </c>
      <c r="GL118" s="11">
        <v>7.6416659999999998</v>
      </c>
      <c r="GM118" s="11">
        <v>7.6566660000000004</v>
      </c>
      <c r="GN118" s="11">
        <v>2.2574256666666659</v>
      </c>
      <c r="GO118" s="11">
        <v>2.2926225000000029</v>
      </c>
      <c r="GP118" s="11">
        <v>2.3278700000000012</v>
      </c>
      <c r="GQ118" s="11">
        <v>2.2993756666666654</v>
      </c>
      <c r="GR118" s="11">
        <v>2.2993756666666654</v>
      </c>
      <c r="GS118" s="11">
        <v>2.2886841666666671</v>
      </c>
      <c r="GT118" s="108">
        <v>0.33401400000000009</v>
      </c>
      <c r="GU118" s="108">
        <v>0.32742833333333299</v>
      </c>
      <c r="GV118" s="108">
        <v>0.35796616666666697</v>
      </c>
      <c r="GW118" s="108">
        <v>0.36294649999999973</v>
      </c>
      <c r="GX118" s="108">
        <v>0.36760983333333302</v>
      </c>
      <c r="GY118" s="108">
        <v>0.30422616666666641</v>
      </c>
      <c r="GZ118" s="13">
        <v>2.215086666666668</v>
      </c>
      <c r="HA118" s="13">
        <v>2.2345600000000005</v>
      </c>
      <c r="HB118" s="13">
        <v>2.239121666666668</v>
      </c>
      <c r="HC118" s="13">
        <v>0</v>
      </c>
      <c r="HD118" s="13">
        <v>0</v>
      </c>
      <c r="HE118" s="13">
        <v>2.2115654999999994</v>
      </c>
      <c r="HF118" s="13">
        <v>0.11078149999999996</v>
      </c>
      <c r="HG118" s="13">
        <v>0.12451216666666667</v>
      </c>
      <c r="HH118" s="13">
        <v>0.11619566666666663</v>
      </c>
      <c r="HI118" s="13">
        <v>0.10830183333333333</v>
      </c>
      <c r="HJ118" s="13">
        <v>0.11384416666666675</v>
      </c>
      <c r="HK118" s="13">
        <v>0.11637683333333337</v>
      </c>
      <c r="HL118" s="12">
        <v>0</v>
      </c>
      <c r="HM118" s="12">
        <v>0</v>
      </c>
      <c r="HN118" s="12">
        <v>0</v>
      </c>
      <c r="HO118" s="12">
        <v>0</v>
      </c>
      <c r="HP118" s="12">
        <v>0</v>
      </c>
      <c r="HQ118" s="12">
        <v>0</v>
      </c>
      <c r="HR118" s="12">
        <v>0</v>
      </c>
      <c r="HS118" s="12">
        <v>0</v>
      </c>
      <c r="HT118" s="12">
        <v>0</v>
      </c>
      <c r="HU118" s="12">
        <v>0</v>
      </c>
      <c r="HV118" s="12">
        <v>0</v>
      </c>
      <c r="HW118" s="12">
        <v>0</v>
      </c>
      <c r="HX118" s="9">
        <v>994204</v>
      </c>
      <c r="HY118" s="9">
        <v>1858</v>
      </c>
      <c r="HZ118" s="9">
        <v>980698</v>
      </c>
      <c r="IA118" s="9">
        <v>1872</v>
      </c>
      <c r="IB118" s="11">
        <v>279860.22200000001</v>
      </c>
      <c r="IC118" s="11">
        <v>656.53300000000002</v>
      </c>
      <c r="ID118" s="14">
        <f t="shared" ref="ID118:II118" si="1155">GN118-HL118</f>
        <v>2.2574256666666659</v>
      </c>
      <c r="IE118" s="14">
        <f t="shared" si="1155"/>
        <v>2.2926225000000029</v>
      </c>
      <c r="IF118" s="14">
        <f t="shared" si="1155"/>
        <v>2.3278700000000012</v>
      </c>
      <c r="IG118" s="14">
        <f t="shared" si="1155"/>
        <v>2.2993756666666654</v>
      </c>
      <c r="IH118" s="14">
        <f t="shared" si="1155"/>
        <v>2.2993756666666654</v>
      </c>
      <c r="II118" s="14">
        <f t="shared" si="1155"/>
        <v>2.2886841666666671</v>
      </c>
      <c r="IJ118" s="15">
        <f t="shared" ref="IJ118:IO118" si="1156">GZ118-HR118</f>
        <v>2.215086666666668</v>
      </c>
      <c r="IK118" s="15">
        <f t="shared" si="1156"/>
        <v>2.2345600000000005</v>
      </c>
      <c r="IL118" s="15">
        <f t="shared" si="1156"/>
        <v>2.239121666666668</v>
      </c>
      <c r="IM118" s="15">
        <f t="shared" si="1156"/>
        <v>0</v>
      </c>
      <c r="IN118" s="15">
        <f t="shared" si="1156"/>
        <v>0</v>
      </c>
      <c r="IO118" s="15">
        <f t="shared" si="1156"/>
        <v>2.2115654999999994</v>
      </c>
      <c r="IP118" s="16">
        <f t="shared" ref="IP118" si="1157">(HX118-HX117)*1000</f>
        <v>344000</v>
      </c>
      <c r="IQ118" s="16">
        <f t="shared" ref="IQ118" si="1158">(HY118-HY117)*1000</f>
        <v>2000</v>
      </c>
      <c r="IR118" s="16">
        <f t="shared" ref="IR118" si="1159">(HZ118-HZ117)*1000</f>
        <v>339000</v>
      </c>
      <c r="IS118" s="16">
        <f t="shared" ref="IS118" si="1160">(IA118-IA117)*1000</f>
        <v>2000</v>
      </c>
      <c r="IT118" s="16">
        <f t="shared" ref="IT118" si="1161">(IB118-IB117)*1000</f>
        <v>681867.00000002747</v>
      </c>
      <c r="IU118" s="16">
        <f t="shared" ref="IU118" si="1162">(IC118-IC117)*1000</f>
        <v>5533.0000000000155</v>
      </c>
      <c r="IV118" s="17">
        <f t="shared" ref="IV118" si="1163">(IP118+IR118)-(IQ118+IS118)</f>
        <v>679000</v>
      </c>
      <c r="IW118" s="17">
        <f t="shared" ref="IW118" si="1164">IT118-IU118</f>
        <v>676334.00000002747</v>
      </c>
      <c r="IX118" s="19">
        <f>(Raw_Data[[#This Row],[Sunset Time (POA&lt;20 W/m2)]]-Raw_Data[[#This Row],[Sunrise Time (POA&gt;20 W/m2)]])*24</f>
        <v>9.8999999999999986</v>
      </c>
      <c r="IY118" s="68">
        <f>AVERAGEIF(Raw_Data[[#This Row],[GHI_UP_Net_IS2_W1]:[GHI_UP_Net_IS19_W6]],"&lt;&gt;"&amp;0,Raw_Data[[#This Row],[GHI_UP_Net_IS2_W1]:[GHI_UP_Net_IS19_W6]])</f>
        <v>2.294225611111111</v>
      </c>
      <c r="IZ118" s="68">
        <f>AVERAGEIF(Raw_Data[[#This Row],[GHI_Down_IS2_W1]:[GHI_Down_IS19_W6]],"&lt;&gt;"&amp;0,Raw_Data[[#This Row],[GHI_Down_IS2_W1]:[GHI_Down_IS19_W6]])</f>
        <v>0.3423651666666665</v>
      </c>
      <c r="JA118" s="68">
        <f>AVERAGEIF(Raw_Data[[#This Row],[POA_Up_IS2_W1]:[POA_Up_IS19_W6]],"&lt;&gt;"&amp;0,Raw_Data[[#This Row],[POA_Up_IS2_W1]:[POA_Up_IS19_W6]])</f>
        <v>2.2250834583333337</v>
      </c>
      <c r="JB118" s="68">
        <f>AVERAGEIF(Raw_Data[[#This Row],[POA_Down_IS2_W1]:[POA_Down_IS19_W6]],"&lt;&gt;"&amp;0,Raw_Data[[#This Row],[POA_Down_IS2_W1]:[POA_Down_IS19_W6]])</f>
        <v>0.11500202777777778</v>
      </c>
      <c r="JC118" s="69">
        <f>Raw_Data[[#This Row],[GHI-Down(KWh/m2)]]/Raw_Data[[#This Row],[GHI-UP (KWh/m2)]]</f>
        <v>0.1492290753832429</v>
      </c>
      <c r="JD118" s="72">
        <f>Raw_Data[[#This Row],[POA-Down(KWh/m2)]]/Raw_Data[[#This Row],[POA-UP(KWh/m2)]]</f>
        <v>5.1684365971566018E-2</v>
      </c>
      <c r="JE118" s="68">
        <f>AVERAGEIF(Raw_Data[[#This Row],[Amb_Temp_IS2_W1]:[Amb_Temp_IS19_W6]],"&lt;&gt;"&amp;0,Raw_Data[[#This Row],[Amb_Temp_IS2_W1]:[Amb_Temp_IS19_W6]])</f>
        <v>29.153749257278676</v>
      </c>
      <c r="JF118" s="68">
        <f>AVERAGEIF(Raw_Data[[#This Row],[MT_Temp_IS2_W1]:[MT_Temp_IS19_W6]],"&lt;&gt;"&amp;0,Raw_Data[[#This Row],[MT_Temp_IS2_W1]:[MT_Temp_IS19_W6]])</f>
        <v>34.039483065953654</v>
      </c>
      <c r="JG118" s="68">
        <f>AVERAGEIF(Raw_Data[[#This Row],[WS_Avg_IS2_W1]:[WS_Avg_IS19_W6]],"&lt;&gt;"&amp;0,Raw_Data[[#This Row],[WS_Avg_IS2_W1]:[WS_Avg_IS19_W6]])</f>
        <v>5.0876612214497943</v>
      </c>
      <c r="JH118" s="68">
        <f>AVERAGEIF(Raw_Data[[#This Row],[WS_Max_IS2_W1]:[WS_Max_IS19_W6]],"&lt;&gt;"&amp;0,Raw_Data[[#This Row],[WS_Max_IS2_W1]:[WS_Max_IS19_W6]])</f>
        <v>7.8924996666666667</v>
      </c>
      <c r="JI118" s="70">
        <f>SUM(Raw_Data[[#This Row],[IS1_INV1_M1]:[IS20_INV4_M2]])</f>
        <v>686054.79999999981</v>
      </c>
      <c r="JJ118" s="73">
        <v>649533.9999999851</v>
      </c>
      <c r="JK118" s="71">
        <v>745055.4314615503</v>
      </c>
      <c r="JL118" s="143">
        <f>IFERROR(Raw_Data[[#This Row],[WPR_Eac]]/Raw_Data[[#This Row],[WPR_Edc]],"")</f>
        <v>0.87179285268186824</v>
      </c>
      <c r="JM118" s="6">
        <v>21</v>
      </c>
      <c r="JN118" s="6" t="s">
        <v>2635</v>
      </c>
    </row>
    <row r="119" spans="2:274">
      <c r="B119" s="250">
        <f t="shared" si="596"/>
        <v>45858</v>
      </c>
      <c r="C119" s="9">
        <f>YEAR(Raw_Data[[#This Row],[Date]])+IF(MONTH(Raw_Data[[#This Row],[Date]])&gt;=4,1,0)</f>
        <v>2026</v>
      </c>
      <c r="D119" s="6">
        <f>YEAR(B119)</f>
        <v>2025</v>
      </c>
      <c r="E119" s="7" t="s">
        <v>361</v>
      </c>
      <c r="F119" s="7" t="s">
        <v>361</v>
      </c>
      <c r="G119" s="8">
        <v>45839</v>
      </c>
      <c r="H119" s="6">
        <f>DAY(EOMONTH(B119,0))</f>
        <v>31</v>
      </c>
      <c r="I119" s="9">
        <v>337338.84499999956</v>
      </c>
      <c r="J119" s="10">
        <v>0.29722222222222222</v>
      </c>
      <c r="K119" s="10">
        <v>0.8041666666666667</v>
      </c>
      <c r="L119" s="9">
        <v>4260</v>
      </c>
      <c r="M119" s="9">
        <v>4545</v>
      </c>
      <c r="N119" s="9">
        <v>4571</v>
      </c>
      <c r="O119" s="9">
        <v>4523</v>
      </c>
      <c r="P119" s="9">
        <v>4630</v>
      </c>
      <c r="Q119" s="9">
        <v>4633</v>
      </c>
      <c r="R119" s="9">
        <v>4644</v>
      </c>
      <c r="S119" s="9">
        <v>4781</v>
      </c>
      <c r="T119" s="9">
        <v>4507.3</v>
      </c>
      <c r="U119" s="9">
        <v>4454.3999999999996</v>
      </c>
      <c r="V119" s="9">
        <v>4972.8</v>
      </c>
      <c r="W119" s="9">
        <v>4507.3999999999996</v>
      </c>
      <c r="X119" s="9">
        <v>4987.5</v>
      </c>
      <c r="Y119" s="9">
        <v>4526.3999999999996</v>
      </c>
      <c r="Z119" s="9">
        <v>4632.8999999999996</v>
      </c>
      <c r="AA119" s="9">
        <v>4614.6000000000004</v>
      </c>
      <c r="AB119" s="9">
        <v>4632.7</v>
      </c>
      <c r="AC119" s="9">
        <v>4633.6000000000004</v>
      </c>
      <c r="AD119" s="9">
        <v>4618</v>
      </c>
      <c r="AE119" s="9">
        <v>4620.3</v>
      </c>
      <c r="AF119" s="9">
        <v>4692.8</v>
      </c>
      <c r="AG119" s="9">
        <v>4617.8</v>
      </c>
      <c r="AH119" s="9">
        <v>4619.3999999999996</v>
      </c>
      <c r="AI119" s="9">
        <v>4598.5</v>
      </c>
      <c r="AJ119" s="9">
        <v>4553</v>
      </c>
      <c r="AK119" s="9">
        <v>3941</v>
      </c>
      <c r="AL119" s="9">
        <v>4477</v>
      </c>
      <c r="AM119" s="9">
        <v>4512</v>
      </c>
      <c r="AN119" s="9">
        <v>4754</v>
      </c>
      <c r="AO119" s="9">
        <v>4766</v>
      </c>
      <c r="AP119" s="9">
        <v>4693</v>
      </c>
      <c r="AQ119" s="9">
        <v>4742</v>
      </c>
      <c r="AR119" s="9">
        <v>4714.8999999999996</v>
      </c>
      <c r="AS119" s="9">
        <v>4691.2</v>
      </c>
      <c r="AT119" s="9">
        <v>4701.8</v>
      </c>
      <c r="AU119" s="9">
        <v>4672.3</v>
      </c>
      <c r="AV119" s="9">
        <v>4721.3</v>
      </c>
      <c r="AW119" s="9">
        <v>4683.7</v>
      </c>
      <c r="AX119" s="9">
        <v>4714.8999999999996</v>
      </c>
      <c r="AY119" s="9">
        <v>4673.5</v>
      </c>
      <c r="AZ119" s="9">
        <v>5216.6000000000004</v>
      </c>
      <c r="BA119" s="9">
        <v>5088.8999999999996</v>
      </c>
      <c r="BB119" s="9">
        <v>5166</v>
      </c>
      <c r="BC119" s="9">
        <v>5169.5</v>
      </c>
      <c r="BD119" s="9">
        <v>4912.1000000000004</v>
      </c>
      <c r="BE119" s="9">
        <v>5585</v>
      </c>
      <c r="BF119" s="9">
        <v>5214.2</v>
      </c>
      <c r="BG119" s="9">
        <v>5257.8</v>
      </c>
      <c r="BH119" s="9">
        <v>4652</v>
      </c>
      <c r="BI119" s="9">
        <v>4715</v>
      </c>
      <c r="BJ119" s="9">
        <v>4638</v>
      </c>
      <c r="BK119" s="9">
        <v>4360</v>
      </c>
      <c r="BL119" s="9">
        <v>4838</v>
      </c>
      <c r="BM119" s="9">
        <v>4758</v>
      </c>
      <c r="BN119" s="9">
        <v>4778</v>
      </c>
      <c r="BO119" s="9">
        <v>4789</v>
      </c>
      <c r="BP119" s="9">
        <v>4183</v>
      </c>
      <c r="BQ119" s="9">
        <v>4860</v>
      </c>
      <c r="BR119" s="9">
        <v>4170</v>
      </c>
      <c r="BS119" s="9">
        <v>4814</v>
      </c>
      <c r="BT119" s="9">
        <v>4735</v>
      </c>
      <c r="BU119" s="9">
        <v>4170</v>
      </c>
      <c r="BV119" s="9">
        <v>4566</v>
      </c>
      <c r="BW119" s="9">
        <v>4316</v>
      </c>
      <c r="BX119" s="9">
        <v>4394</v>
      </c>
      <c r="BY119" s="9">
        <v>4182</v>
      </c>
      <c r="BZ119" s="9">
        <v>4427</v>
      </c>
      <c r="CA119" s="9">
        <v>4616</v>
      </c>
      <c r="CB119" s="9">
        <v>4773</v>
      </c>
      <c r="CC119" s="9">
        <v>4234</v>
      </c>
      <c r="CD119" s="9">
        <v>4675</v>
      </c>
      <c r="CE119" s="9">
        <v>4057</v>
      </c>
      <c r="CF119" s="9">
        <v>4735</v>
      </c>
      <c r="CG119" s="9">
        <v>4629</v>
      </c>
      <c r="CH119" s="9">
        <v>4155</v>
      </c>
      <c r="CI119" s="9">
        <v>4651</v>
      </c>
      <c r="CJ119" s="9">
        <v>4059</v>
      </c>
      <c r="CK119" s="9">
        <v>4756</v>
      </c>
      <c r="CL119" s="9">
        <v>4141</v>
      </c>
      <c r="CM119" s="9">
        <v>4642</v>
      </c>
      <c r="CN119" s="9">
        <v>4123.8999999999996</v>
      </c>
      <c r="CO119" s="9">
        <v>4498.3</v>
      </c>
      <c r="CP119" s="9">
        <v>4199.3999999999996</v>
      </c>
      <c r="CQ119" s="9">
        <v>4279.8999999999996</v>
      </c>
      <c r="CR119" s="9">
        <v>4126.2</v>
      </c>
      <c r="CS119" s="9">
        <v>4282.1000000000004</v>
      </c>
      <c r="CT119" s="9">
        <v>4213.6000000000004</v>
      </c>
      <c r="CU119" s="9">
        <v>3602</v>
      </c>
      <c r="CV119" s="9">
        <v>4653.3</v>
      </c>
      <c r="CW119" s="9">
        <v>4422.6000000000004</v>
      </c>
      <c r="CX119" s="9">
        <v>4094.5</v>
      </c>
      <c r="CY119" s="9">
        <v>4808.1000000000004</v>
      </c>
      <c r="CZ119" s="9">
        <v>4671.3999999999996</v>
      </c>
      <c r="DA119" s="9">
        <v>4317.2</v>
      </c>
      <c r="DB119" s="9">
        <v>4247.8999999999996</v>
      </c>
      <c r="DC119" s="9">
        <v>4738.8</v>
      </c>
      <c r="DD119" s="9">
        <v>4178.7</v>
      </c>
      <c r="DE119" s="9">
        <v>4241</v>
      </c>
      <c r="DF119" s="9">
        <v>4683.1000000000004</v>
      </c>
      <c r="DG119" s="9">
        <v>4058.5</v>
      </c>
      <c r="DH119" s="9">
        <v>4661.8</v>
      </c>
      <c r="DI119" s="9">
        <v>4093.7</v>
      </c>
      <c r="DJ119" s="9">
        <v>4616.8</v>
      </c>
      <c r="DK119" s="9">
        <v>4147.5</v>
      </c>
      <c r="DL119" s="9">
        <v>4738.5</v>
      </c>
      <c r="DM119" s="9">
        <v>3978.3</v>
      </c>
      <c r="DN119" s="9">
        <v>4738.2</v>
      </c>
      <c r="DO119" s="9">
        <v>4158.8</v>
      </c>
      <c r="DP119" s="9">
        <v>4633.2</v>
      </c>
      <c r="DQ119" s="9">
        <v>4247.1000000000004</v>
      </c>
      <c r="DR119" s="9">
        <v>4809.2</v>
      </c>
      <c r="DS119" s="9">
        <v>3466.6</v>
      </c>
      <c r="DT119" s="9">
        <v>4040.7</v>
      </c>
      <c r="DU119" s="9">
        <v>4482.1000000000004</v>
      </c>
      <c r="DV119" s="9">
        <v>4120</v>
      </c>
      <c r="DW119" s="9">
        <v>3967</v>
      </c>
      <c r="DX119" s="9">
        <v>4596.3</v>
      </c>
      <c r="DY119" s="9">
        <v>4484.8999999999996</v>
      </c>
      <c r="DZ119" s="9">
        <v>4494.5</v>
      </c>
      <c r="EA119" s="9">
        <v>3984.7</v>
      </c>
      <c r="EB119" s="9">
        <v>4506</v>
      </c>
      <c r="EC119" s="9">
        <v>4014.2</v>
      </c>
      <c r="ED119" s="9">
        <v>4517.3999999999996</v>
      </c>
      <c r="EE119" s="9">
        <v>3501.8</v>
      </c>
      <c r="EF119" s="9">
        <v>4514.2</v>
      </c>
      <c r="EG119" s="9">
        <v>3716.5</v>
      </c>
      <c r="EH119" s="9">
        <v>4389.3</v>
      </c>
      <c r="EI119" s="9">
        <v>3995.1</v>
      </c>
      <c r="EJ119" s="9">
        <v>3755.5</v>
      </c>
      <c r="EK119" s="9">
        <v>4071</v>
      </c>
      <c r="EL119" s="9">
        <v>4024.3</v>
      </c>
      <c r="EM119" s="9">
        <v>3398.7</v>
      </c>
      <c r="EN119" s="9">
        <v>3916.5</v>
      </c>
      <c r="EO119" s="9">
        <v>3424.7</v>
      </c>
      <c r="EP119" s="9">
        <v>3855</v>
      </c>
      <c r="EQ119" s="9">
        <v>3854.2</v>
      </c>
      <c r="ER119" s="9">
        <v>4595.3999999999996</v>
      </c>
      <c r="ES119" s="9">
        <v>4476.3</v>
      </c>
      <c r="ET119" s="9">
        <v>4637.2</v>
      </c>
      <c r="EU119" s="9">
        <v>4497.3</v>
      </c>
      <c r="EV119" s="9">
        <v>4527.6000000000004</v>
      </c>
      <c r="EW119" s="9">
        <v>4462.2</v>
      </c>
      <c r="EX119" s="9">
        <v>4000.6</v>
      </c>
      <c r="EY119" s="9">
        <v>4448.3</v>
      </c>
      <c r="EZ119" s="9">
        <v>4371.3999999999996</v>
      </c>
      <c r="FA119" s="9">
        <v>4577</v>
      </c>
      <c r="FB119" s="9">
        <v>4456.7</v>
      </c>
      <c r="FC119" s="9">
        <v>4523.5</v>
      </c>
      <c r="FD119" s="9">
        <v>4519.3999999999996</v>
      </c>
      <c r="FE119" s="9">
        <v>4536.8999999999996</v>
      </c>
      <c r="FF119" s="9">
        <v>4027.7</v>
      </c>
      <c r="FG119" s="9">
        <v>4528.3999999999996</v>
      </c>
      <c r="FH119" s="9">
        <v>4531.6000000000004</v>
      </c>
      <c r="FI119" s="9">
        <v>4631.7</v>
      </c>
      <c r="FJ119" s="9">
        <v>4617.3</v>
      </c>
      <c r="FK119" s="9">
        <v>4442.3999999999996</v>
      </c>
      <c r="FL119" s="9">
        <v>4546</v>
      </c>
      <c r="FM119" s="9">
        <v>4025.7</v>
      </c>
      <c r="FN119" s="9">
        <v>4631.5</v>
      </c>
      <c r="FO119" s="9">
        <v>4054.7</v>
      </c>
      <c r="FP119" s="11">
        <v>27.099613848202363</v>
      </c>
      <c r="FQ119" s="11">
        <v>26.937190412782925</v>
      </c>
      <c r="FR119" s="11">
        <v>26.877443408788267</v>
      </c>
      <c r="FS119" s="11">
        <v>27.085512649800268</v>
      </c>
      <c r="FT119" s="11">
        <v>26.874673768308917</v>
      </c>
      <c r="FU119" s="11">
        <v>27.097310252996017</v>
      </c>
      <c r="FV119" s="11">
        <v>0</v>
      </c>
      <c r="FW119" s="11">
        <v>31.344540612516692</v>
      </c>
      <c r="FX119" s="11">
        <v>0</v>
      </c>
      <c r="FY119" s="11">
        <v>0</v>
      </c>
      <c r="FZ119" s="11">
        <v>31.038542822902794</v>
      </c>
      <c r="GA119" s="11">
        <v>31.221078561917441</v>
      </c>
      <c r="GB119" s="11">
        <v>2.1010118823834874</v>
      </c>
      <c r="GC119" s="11">
        <v>4.0169417203728344</v>
      </c>
      <c r="GD119" s="11">
        <v>3.6842785877496613</v>
      </c>
      <c r="GE119" s="11">
        <v>3.8347157727962755</v>
      </c>
      <c r="GF119" s="11">
        <v>3.895554645805591</v>
      </c>
      <c r="GG119" s="11">
        <v>3.9063912929427413</v>
      </c>
      <c r="GH119" s="11">
        <v>5.8733329999999997</v>
      </c>
      <c r="GI119" s="11">
        <v>6.4133329999999997</v>
      </c>
      <c r="GJ119" s="11">
        <v>6.3633329999999999</v>
      </c>
      <c r="GK119" s="11">
        <v>7.67</v>
      </c>
      <c r="GL119" s="11">
        <v>6.2350000000000003</v>
      </c>
      <c r="GM119" s="11">
        <v>6.3633329999999999</v>
      </c>
      <c r="GN119" s="11">
        <v>2.3697794999999995</v>
      </c>
      <c r="GO119" s="11">
        <v>2.4602083333333313</v>
      </c>
      <c r="GP119" s="11">
        <v>2.558316</v>
      </c>
      <c r="GQ119" s="11">
        <v>2.3400946666666687</v>
      </c>
      <c r="GR119" s="11">
        <v>2.3400946666666687</v>
      </c>
      <c r="GS119" s="11">
        <v>2.2781051666666627</v>
      </c>
      <c r="GT119" s="108">
        <v>0.32175240000000016</v>
      </c>
      <c r="GU119" s="108">
        <v>0.33210950000000011</v>
      </c>
      <c r="GV119" s="108">
        <v>0.35804933333333339</v>
      </c>
      <c r="GW119" s="108">
        <v>0.34268699999999996</v>
      </c>
      <c r="GX119" s="108">
        <v>0.33938499999999999</v>
      </c>
      <c r="GY119" s="108">
        <v>0.27548516666666673</v>
      </c>
      <c r="GZ119" s="13">
        <v>2.3364808333333316</v>
      </c>
      <c r="HA119" s="13">
        <v>2.4081884999999996</v>
      </c>
      <c r="HB119" s="13">
        <v>2.4618941666666641</v>
      </c>
      <c r="HC119" s="13">
        <v>0</v>
      </c>
      <c r="HD119" s="13">
        <v>0</v>
      </c>
      <c r="HE119" s="13">
        <v>2.1986360000000009</v>
      </c>
      <c r="HF119" s="13">
        <v>7.4530666666666717E-2</v>
      </c>
      <c r="HG119" s="13">
        <v>8.1442666666666677E-2</v>
      </c>
      <c r="HH119" s="13">
        <v>7.2483999999999993E-2</v>
      </c>
      <c r="HI119" s="13">
        <v>7.3728166666666678E-2</v>
      </c>
      <c r="HJ119" s="13">
        <v>7.3420666666666634E-2</v>
      </c>
      <c r="HK119" s="13">
        <v>7.3196000000000025E-2</v>
      </c>
      <c r="HL119" s="12">
        <v>0</v>
      </c>
      <c r="HM119" s="12">
        <v>0</v>
      </c>
      <c r="HN119" s="12">
        <v>0</v>
      </c>
      <c r="HO119" s="12">
        <v>0</v>
      </c>
      <c r="HP119" s="12">
        <v>0</v>
      </c>
      <c r="HQ119" s="12">
        <v>0</v>
      </c>
      <c r="HR119" s="12">
        <v>0</v>
      </c>
      <c r="HS119" s="12">
        <v>0</v>
      </c>
      <c r="HT119" s="12">
        <v>0</v>
      </c>
      <c r="HU119" s="12">
        <v>0</v>
      </c>
      <c r="HV119" s="12">
        <v>0</v>
      </c>
      <c r="HW119" s="12">
        <v>0</v>
      </c>
      <c r="HX119" s="9">
        <v>994572</v>
      </c>
      <c r="HY119" s="9">
        <v>1859</v>
      </c>
      <c r="HZ119" s="9">
        <v>981040</v>
      </c>
      <c r="IA119" s="9">
        <v>1873</v>
      </c>
      <c r="IB119" s="11">
        <v>280569.62199999997</v>
      </c>
      <c r="IC119" s="11">
        <v>660.93299999999999</v>
      </c>
      <c r="ID119" s="14">
        <f t="shared" ref="ID119:II119" si="1165">GN119-HL119</f>
        <v>2.3697794999999995</v>
      </c>
      <c r="IE119" s="14">
        <f t="shared" si="1165"/>
        <v>2.4602083333333313</v>
      </c>
      <c r="IF119" s="14">
        <f t="shared" si="1165"/>
        <v>2.558316</v>
      </c>
      <c r="IG119" s="14">
        <f t="shared" si="1165"/>
        <v>2.3400946666666687</v>
      </c>
      <c r="IH119" s="14">
        <f t="shared" si="1165"/>
        <v>2.3400946666666687</v>
      </c>
      <c r="II119" s="14">
        <f t="shared" si="1165"/>
        <v>2.2781051666666627</v>
      </c>
      <c r="IJ119" s="15">
        <f t="shared" ref="IJ119:IO119" si="1166">GZ119-HR119</f>
        <v>2.3364808333333316</v>
      </c>
      <c r="IK119" s="15">
        <f t="shared" si="1166"/>
        <v>2.4081884999999996</v>
      </c>
      <c r="IL119" s="15">
        <f t="shared" si="1166"/>
        <v>2.4618941666666641</v>
      </c>
      <c r="IM119" s="15">
        <f t="shared" si="1166"/>
        <v>0</v>
      </c>
      <c r="IN119" s="15">
        <f t="shared" si="1166"/>
        <v>0</v>
      </c>
      <c r="IO119" s="15">
        <f t="shared" si="1166"/>
        <v>2.1986360000000009</v>
      </c>
      <c r="IP119" s="16">
        <f t="shared" ref="IP119" si="1167">(HX119-HX118)*1000</f>
        <v>368000</v>
      </c>
      <c r="IQ119" s="16">
        <f t="shared" ref="IQ119" si="1168">(HY119-HY118)*1000</f>
        <v>1000</v>
      </c>
      <c r="IR119" s="16">
        <f t="shared" ref="IR119" si="1169">(HZ119-HZ118)*1000</f>
        <v>342000</v>
      </c>
      <c r="IS119" s="16">
        <f t="shared" ref="IS119" si="1170">(IA119-IA118)*1000</f>
        <v>1000</v>
      </c>
      <c r="IT119" s="16">
        <f t="shared" ref="IT119" si="1171">(IB119-IB118)*1000</f>
        <v>709399.99999996508</v>
      </c>
      <c r="IU119" s="16">
        <f t="shared" ref="IU119" si="1172">(IC119-IC118)*1000</f>
        <v>4399.9999999999773</v>
      </c>
      <c r="IV119" s="17">
        <f t="shared" ref="IV119" si="1173">(IP119+IR119)-(IQ119+IS119)</f>
        <v>708000</v>
      </c>
      <c r="IW119" s="17">
        <f t="shared" ref="IW119" si="1174">IT119-IU119</f>
        <v>704999.99999996508</v>
      </c>
      <c r="IX119" s="19">
        <f>(Raw_Data[[#This Row],[Sunset Time (POA&lt;20 W/m2)]]-Raw_Data[[#This Row],[Sunrise Time (POA&gt;20 W/m2)]])*24</f>
        <v>12.166666666666666</v>
      </c>
      <c r="IY119" s="68">
        <f>AVERAGEIF(Raw_Data[[#This Row],[GHI_UP_Net_IS2_W1]:[GHI_UP_Net_IS19_W6]],"&lt;&gt;"&amp;0,Raw_Data[[#This Row],[GHI_UP_Net_IS2_W1]:[GHI_UP_Net_IS19_W6]])</f>
        <v>2.3910997222222217</v>
      </c>
      <c r="IZ119" s="68">
        <f>AVERAGEIF(Raw_Data[[#This Row],[GHI_Down_IS2_W1]:[GHI_Down_IS19_W6]],"&lt;&gt;"&amp;0,Raw_Data[[#This Row],[GHI_Down_IS2_W1]:[GHI_Down_IS19_W6]])</f>
        <v>0.32824473333333343</v>
      </c>
      <c r="JA119" s="68">
        <f>AVERAGEIF(Raw_Data[[#This Row],[POA_Up_IS2_W1]:[POA_Up_IS19_W6]],"&lt;&gt;"&amp;0,Raw_Data[[#This Row],[POA_Up_IS2_W1]:[POA_Up_IS19_W6]])</f>
        <v>2.3512998749999987</v>
      </c>
      <c r="JB119" s="68">
        <f>AVERAGEIF(Raw_Data[[#This Row],[POA_Down_IS2_W1]:[POA_Down_IS19_W6]],"&lt;&gt;"&amp;0,Raw_Data[[#This Row],[POA_Down_IS2_W1]:[POA_Down_IS19_W6]])</f>
        <v>7.480036111111113E-2</v>
      </c>
      <c r="JC119" s="69">
        <f>Raw_Data[[#This Row],[GHI-Down(KWh/m2)]]/Raw_Data[[#This Row],[GHI-UP (KWh/m2)]]</f>
        <v>0.13727772634604796</v>
      </c>
      <c r="JD119" s="72">
        <f>Raw_Data[[#This Row],[POA-Down(KWh/m2)]]/Raw_Data[[#This Row],[POA-UP(KWh/m2)]]</f>
        <v>3.1812344272383025E-2</v>
      </c>
      <c r="JE119" s="68">
        <f>AVERAGEIF(Raw_Data[[#This Row],[Amb_Temp_IS2_W1]:[Amb_Temp_IS19_W6]],"&lt;&gt;"&amp;0,Raw_Data[[#This Row],[Amb_Temp_IS2_W1]:[Amb_Temp_IS19_W6]])</f>
        <v>26.995290723479794</v>
      </c>
      <c r="JF119" s="68">
        <f>AVERAGEIF(Raw_Data[[#This Row],[MT_Temp_IS2_W1]:[MT_Temp_IS19_W6]],"&lt;&gt;"&amp;0,Raw_Data[[#This Row],[MT_Temp_IS2_W1]:[MT_Temp_IS19_W6]])</f>
        <v>31.201387332445645</v>
      </c>
      <c r="JG119" s="68">
        <f>AVERAGEIF(Raw_Data[[#This Row],[WS_Avg_IS2_W1]:[WS_Avg_IS19_W6]],"&lt;&gt;"&amp;0,Raw_Data[[#This Row],[WS_Avg_IS2_W1]:[WS_Avg_IS19_W6]])</f>
        <v>3.5731489836750989</v>
      </c>
      <c r="JH119" s="68">
        <f>AVERAGEIF(Raw_Data[[#This Row],[WS_Max_IS2_W1]:[WS_Max_IS19_W6]],"&lt;&gt;"&amp;0,Raw_Data[[#This Row],[WS_Max_IS2_W1]:[WS_Max_IS19_W6]])</f>
        <v>6.4863886666666666</v>
      </c>
      <c r="JI119" s="70">
        <f>SUM(Raw_Data[[#This Row],[IS1_INV1_M1]:[IS20_INV4_M2]])</f>
        <v>713934.69999999972</v>
      </c>
      <c r="JJ119" s="73">
        <v>322799.99999993015</v>
      </c>
      <c r="JK119" s="71">
        <v>367708.97865889425</v>
      </c>
      <c r="JL119" s="143">
        <f>IFERROR(Raw_Data[[#This Row],[WPR_Eac]]/Raw_Data[[#This Row],[WPR_Edc]],"")</f>
        <v>0.87786814773260136</v>
      </c>
      <c r="JM119" s="6">
        <v>24</v>
      </c>
      <c r="JN119" s="6" t="s">
        <v>2635</v>
      </c>
    </row>
    <row r="120" spans="2:274">
      <c r="IC120" s="170"/>
    </row>
    <row r="121" spans="2:274">
      <c r="JJ121" s="70">
        <v>12768.347987532292</v>
      </c>
    </row>
  </sheetData>
  <phoneticPr fontId="5" type="noConversion"/>
  <dataValidations count="1">
    <dataValidation type="whole" allowBlank="1" showInputMessage="1" showErrorMessage="1" sqref="JM6:JM119" xr:uid="{2951961D-46FD-44A8-879D-D0ACE0CD5058}">
      <formula1>0</formula1>
      <formula2>96</formula2>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4A5A3-A991-4CAC-BD5F-B76E32396078}">
  <dimension ref="A1:AS369"/>
  <sheetViews>
    <sheetView workbookViewId="0">
      <pane xSplit="1" ySplit="1" topLeftCell="B2" activePane="bottomRight" state="frozen"/>
      <selection pane="topRight" activeCell="AB39" sqref="AB39"/>
      <selection pane="bottomLeft" activeCell="AB39" sqref="AB39"/>
      <selection pane="bottomRight" activeCell="E8" sqref="E8"/>
    </sheetView>
  </sheetViews>
  <sheetFormatPr defaultColWidth="8.453125" defaultRowHeight="14.5"/>
  <cols>
    <col min="1" max="1" width="10.1796875" bestFit="1" customWidth="1"/>
    <col min="2" max="5" width="9" customWidth="1"/>
    <col min="6" max="9" width="10.453125" customWidth="1"/>
    <col min="10" max="12" width="11.453125" customWidth="1"/>
    <col min="13" max="13" width="15.1796875" bestFit="1" customWidth="1"/>
    <col min="14" max="36" width="11.453125" customWidth="1"/>
    <col min="37" max="39" width="11.453125" style="221" customWidth="1"/>
    <col min="40" max="40" width="11.453125" style="187" customWidth="1"/>
    <col min="41" max="43" width="11.453125" customWidth="1"/>
  </cols>
  <sheetData>
    <row r="1" spans="1:45" ht="58">
      <c r="A1" s="229" t="s">
        <v>55</v>
      </c>
      <c r="B1" s="230" t="s">
        <v>56</v>
      </c>
      <c r="C1" s="230" t="s">
        <v>57</v>
      </c>
      <c r="D1" s="230" t="s">
        <v>58</v>
      </c>
      <c r="E1" s="230" t="s">
        <v>36</v>
      </c>
      <c r="F1" s="222" t="s">
        <v>59</v>
      </c>
      <c r="G1" s="222" t="s">
        <v>60</v>
      </c>
      <c r="H1" s="222" t="s">
        <v>61</v>
      </c>
      <c r="I1" s="222" t="s">
        <v>62</v>
      </c>
      <c r="J1" s="222" t="s">
        <v>63</v>
      </c>
      <c r="K1" s="222" t="s">
        <v>64</v>
      </c>
      <c r="L1" s="222" t="s">
        <v>65</v>
      </c>
      <c r="M1" s="222" t="s">
        <v>66</v>
      </c>
      <c r="N1" s="222" t="s">
        <v>67</v>
      </c>
      <c r="O1" s="222" t="s">
        <v>68</v>
      </c>
      <c r="P1" s="222" t="s">
        <v>69</v>
      </c>
      <c r="Q1" s="222" t="s">
        <v>70</v>
      </c>
      <c r="R1" s="222" t="s">
        <v>71</v>
      </c>
      <c r="S1" s="222" t="s">
        <v>72</v>
      </c>
      <c r="T1" s="222" t="s">
        <v>73</v>
      </c>
      <c r="U1" s="222" t="s">
        <v>74</v>
      </c>
      <c r="V1" s="222" t="s">
        <v>75</v>
      </c>
      <c r="W1" s="222" t="s">
        <v>76</v>
      </c>
      <c r="X1" s="222" t="s">
        <v>77</v>
      </c>
      <c r="Y1" s="222" t="s">
        <v>78</v>
      </c>
      <c r="Z1" s="222" t="s">
        <v>79</v>
      </c>
      <c r="AA1" s="222" t="s">
        <v>80</v>
      </c>
      <c r="AB1" s="222" t="s">
        <v>81</v>
      </c>
      <c r="AC1" s="222" t="s">
        <v>82</v>
      </c>
      <c r="AD1" s="222" t="s">
        <v>83</v>
      </c>
      <c r="AE1" s="222" t="s">
        <v>84</v>
      </c>
      <c r="AF1" s="222" t="s">
        <v>85</v>
      </c>
      <c r="AG1" s="222" t="s">
        <v>86</v>
      </c>
      <c r="AH1" s="222" t="s">
        <v>87</v>
      </c>
      <c r="AI1" s="222" t="s">
        <v>88</v>
      </c>
      <c r="AJ1" s="222" t="s">
        <v>89</v>
      </c>
      <c r="AK1" s="223" t="s">
        <v>90</v>
      </c>
      <c r="AL1" s="223" t="s">
        <v>91</v>
      </c>
      <c r="AM1" s="223" t="s">
        <v>92</v>
      </c>
      <c r="AN1" s="231" t="s">
        <v>93</v>
      </c>
      <c r="AO1" s="222" t="s">
        <v>94</v>
      </c>
      <c r="AP1" s="222" t="s">
        <v>95</v>
      </c>
      <c r="AQ1" s="222" t="s">
        <v>96</v>
      </c>
      <c r="AR1" s="222" t="s">
        <v>97</v>
      </c>
      <c r="AS1" s="232" t="s">
        <v>98</v>
      </c>
    </row>
    <row r="2" spans="1:45">
      <c r="A2" s="233">
        <v>45745</v>
      </c>
      <c r="B2" s="228">
        <f>YEAR(Table13[[#This Row],[Date]])+IF(MONTH(Table13[[#This Row],[Date]])&gt;=4,1,0)</f>
        <v>2025</v>
      </c>
      <c r="C2" s="186">
        <f>YEAR(Table13[[#This Row],[Date]])</f>
        <v>2025</v>
      </c>
      <c r="D2" s="234">
        <f>Table13[[#This Row],[Date]]-DAY(Table13[[#This Row],[Date]])+1</f>
        <v>45717</v>
      </c>
      <c r="E2" s="186">
        <f t="shared" ref="E2:E48" si="0">DAY(EOMONTH(A2,0))</f>
        <v>31</v>
      </c>
      <c r="F2" s="235">
        <f>IFERROR(_xlfn.XLOOKUP($A2,'Raw_Data'!$B:$B,'Raw_Data'!$IX:$IX),"")</f>
        <v>12.2</v>
      </c>
      <c r="G2" s="236">
        <f>IFERROR(_xlfn.XLOOKUP($A2,'Raw_Data'!$B:$B,'Raw_Data'!IY:IY),"")</f>
        <v>6.2680895277777777</v>
      </c>
      <c r="H2" s="236">
        <f>IFERROR(_xlfn.XLOOKUP($A2,'Raw_Data'!$B:$B,'Raw_Data'!IZ:IZ),"")</f>
        <v>1.7422948055555558</v>
      </c>
      <c r="I2" s="236">
        <f>IFERROR(_xlfn.XLOOKUP($A2,'Raw_Data'!$B:$B,'Raw_Data'!JA:JA),"")</f>
        <v>6.6469050000000012</v>
      </c>
      <c r="J2" s="236">
        <f>IFERROR(_xlfn.XLOOKUP($A2,'Raw_Data'!$B:$B,'Raw_Data'!JB:JB),"")</f>
        <v>0.4540724166666667</v>
      </c>
      <c r="K2" s="236">
        <f>IFERROR(_xlfn.XLOOKUP($A2,'Raw_Data'!$B:$B,'Raw_Data'!JE:JE),"")</f>
        <v>27.422570897257092</v>
      </c>
      <c r="L2" s="236">
        <f>IFERROR(_xlfn.XLOOKUP($A2,'Raw_Data'!$B:$B,'Raw_Data'!JF:JF),"")</f>
        <v>37.8394049279405</v>
      </c>
      <c r="M2" s="236">
        <f>IFERROR(_xlfn.XLOOKUP($A2,'Raw_Data'!$B:$B,'Raw_Data'!JG:JG),"")</f>
        <v>3.1540386953091581</v>
      </c>
      <c r="N2" s="236">
        <f>IFERROR(_xlfn.XLOOKUP($A2,'Raw_Data'!$B:$B,'Raw_Data'!JH:JH),"")</f>
        <v>7.7830555000000006</v>
      </c>
      <c r="O2" s="237" t="str">
        <f>IFERROR(1-SUMIF(PA!$B:$B,$A2,PA!$AL:$AL)/($AA2+SUMIF(PA!$B:$B,$A2,PA!$AL:$AL)),"")</f>
        <v/>
      </c>
      <c r="P2" s="238"/>
      <c r="Q2" s="239"/>
      <c r="R2" s="240" t="str">
        <f>IFERROR(1-SUMIF(GA!$C:$C,$A2,GA!$X:$X)/($AA2+SUMIF(GA!$C:$C,$A2,GA!$X:$X)),"")</f>
        <v/>
      </c>
      <c r="S2" s="186"/>
      <c r="T2" s="239"/>
      <c r="U2" s="237" t="str">
        <f t="shared" ref="U2:U63" si="1">IFERROR(AA2/I2/AR2/1000,"")</f>
        <v/>
      </c>
      <c r="V2" s="237">
        <f>IFERROR(_xlfn.XLOOKUP($A2,'Raw_Data'!$B:$B,'Raw_Data'!$JL:$JL),"")</f>
        <v>0.84215865496582087</v>
      </c>
      <c r="W2" s="240" t="str">
        <f t="shared" ref="W2:W63" si="2">IFERROR(AA2/(24*AR2*1000),"")</f>
        <v/>
      </c>
      <c r="X2" s="228">
        <f>IFERROR(_xlfn.XLOOKUP($A2,'Raw_Data'!$B:$B,'Raw_Data'!$JI:$JI),"")</f>
        <v>1874005.5000000002</v>
      </c>
      <c r="Y2" s="228" t="str">
        <f>IFERROR(_xlfn.XLOOKUP($A2,'Raw_Data'!$B:$B,'Raw_Data'!IT:IT),"")</f>
        <v/>
      </c>
      <c r="Z2" s="228" t="str">
        <f>IFERROR(_xlfn.XLOOKUP($A2,'Raw_Data'!$B:$B,'Raw_Data'!IU:IU),"")</f>
        <v/>
      </c>
      <c r="AA2" s="228" t="str">
        <f>IFERROR(_xlfn.XLOOKUP($A2,'Raw_Data'!$B:$B,'Raw_Data'!IW:IW),"")</f>
        <v/>
      </c>
      <c r="AB2" s="228">
        <f>IFERROR(_xlfn.XLOOKUP($A2,'Raw_Data'!$B:$B,'Raw_Data'!I:I)/1000,"")</f>
        <v>335.09089</v>
      </c>
      <c r="AC2" s="241">
        <f>IFERROR(_xlfn.XLOOKUP($D2,'Modelling New'!$D:$D,'Modelling New'!$P:$P),"")</f>
        <v>6.9595408709677447</v>
      </c>
      <c r="AD2" s="228">
        <f>IFERROR(_xlfn.XLOOKUP($D2,'Modelling New'!$D:$D,'Modelling New'!$T:$T)*1000,"")</f>
        <v>1909332.2580645164</v>
      </c>
      <c r="AE2" s="240">
        <f>IFERROR(_xlfn.XLOOKUP($D2,'Modelling New'!$D:$D,'Modelling New'!$O:$O),"")</f>
        <v>0.81872519778276209</v>
      </c>
      <c r="AF2" s="240">
        <f>IFERROR(_xlfn.XLOOKUP($D2,'Modelling New'!$D:$D,'Modelling New'!$W:$W),"")</f>
        <v>0.23741464483584512</v>
      </c>
      <c r="AG2" s="240">
        <f>IFERROR(_xlfn.XLOOKUP($D2,'Modelling New'!$D:$D,'Modelling New'!AE:AE),"")</f>
        <v>0.99750000000000005</v>
      </c>
      <c r="AH2" s="240">
        <f>IFERROR(_xlfn.XLOOKUP($D2,'Modelling New'!$D:$D,'Modelling New'!AF:AF),"")</f>
        <v>0.99750000000000005</v>
      </c>
      <c r="AI2" s="186"/>
      <c r="AJ2" s="186"/>
      <c r="AK2" s="225"/>
      <c r="AL2" s="224">
        <f>IFERROR(Table13[[#This Row],[RA (%)]]*9270*58,"")</f>
        <v>0</v>
      </c>
      <c r="AM2" s="225"/>
      <c r="AN2" s="238"/>
      <c r="AO2" s="240"/>
      <c r="AP2" s="240"/>
      <c r="AQ2" s="240"/>
      <c r="AR2" s="242">
        <f>IFERROR(_xlfn.XLOOKUP($D2,'Modelling New'!$D:$D,'Modelling New'!$N:$N),"")</f>
        <v>335.09100000000001</v>
      </c>
    </row>
    <row r="3" spans="1:45">
      <c r="A3" s="233">
        <f t="shared" ref="A3:A65" si="3">A2+1</f>
        <v>45746</v>
      </c>
      <c r="B3" s="228">
        <f>YEAR(Table13[[#This Row],[Date]])+IF(MONTH(Table13[[#This Row],[Date]])&gt;=4,1,0)</f>
        <v>2025</v>
      </c>
      <c r="C3" s="186">
        <f>YEAR(Table13[[#This Row],[Date]])</f>
        <v>2025</v>
      </c>
      <c r="D3" s="234">
        <f>Table13[[#This Row],[Date]]-DAY(Table13[[#This Row],[Date]])+1</f>
        <v>45717</v>
      </c>
      <c r="E3" s="186">
        <f t="shared" si="0"/>
        <v>31</v>
      </c>
      <c r="F3" s="235">
        <f>IFERROR(_xlfn.XLOOKUP($A3,'Raw_Data'!$B:$B,'Raw_Data'!$IX:$IX),"")</f>
        <v>12.283333333333331</v>
      </c>
      <c r="G3" s="236">
        <f>IFERROR(_xlfn.XLOOKUP($A3,'Raw_Data'!$B:$B,'Raw_Data'!IY:IY),"")</f>
        <v>7.5049999999999999</v>
      </c>
      <c r="H3" s="236">
        <f>IFERROR(_xlfn.XLOOKUP($A3,'Raw_Data'!$B:$B,'Raw_Data'!IZ:IZ),"")</f>
        <v>2.08</v>
      </c>
      <c r="I3" s="236">
        <f>IFERROR(_xlfn.XLOOKUP($A3,'Raw_Data'!$B:$B,'Raw_Data'!JA:JA),"")</f>
        <v>8.0549999999999997</v>
      </c>
      <c r="J3" s="236">
        <f>IFERROR(_xlfn.XLOOKUP($A3,'Raw_Data'!$B:$B,'Raw_Data'!JB:JB),"")</f>
        <v>0.45666666666666661</v>
      </c>
      <c r="K3" s="236">
        <f>IFERROR(_xlfn.XLOOKUP($A3,'Raw_Data'!$B:$B,'Raw_Data'!JE:JE),"")</f>
        <v>30.546666666666663</v>
      </c>
      <c r="L3" s="236">
        <f>IFERROR(_xlfn.XLOOKUP($A3,'Raw_Data'!$B:$B,'Raw_Data'!JF:JF),"")</f>
        <v>46.51</v>
      </c>
      <c r="M3" s="236">
        <f>IFERROR(_xlfn.XLOOKUP($A3,'Raw_Data'!$B:$B,'Raw_Data'!JG:JG),"")</f>
        <v>1.2</v>
      </c>
      <c r="N3" s="236">
        <f>IFERROR(_xlfn.XLOOKUP($A3,'Raw_Data'!$B:$B,'Raw_Data'!JH:JH),"")</f>
        <v>4.5049999999999999</v>
      </c>
      <c r="O3" s="237">
        <f>IFERROR(1-SUMIF(PA!$B:$B,$A3,PA!$AL:$AL)/($AA3+SUMIF(PA!$B:$B,$A3,PA!$AL:$AL)),"")</f>
        <v>1</v>
      </c>
      <c r="P3" s="238"/>
      <c r="Q3" s="239"/>
      <c r="R3" s="240">
        <f>IFERROR(1-SUMIF(GA!$C:$C,$A3,GA!$X:$X)/($AA3+SUMIF(GA!$C:$C,$A3,GA!$X:$X)),"")</f>
        <v>1</v>
      </c>
      <c r="S3" s="186"/>
      <c r="T3" s="239"/>
      <c r="U3" s="237">
        <f t="shared" si="1"/>
        <v>0.77604460210175852</v>
      </c>
      <c r="V3" s="237">
        <f>IFERROR(_xlfn.XLOOKUP($A3,'Raw_Data'!$B:$B,'Raw_Data'!$JL:$JL),"")</f>
        <v>0.8085490398272992</v>
      </c>
      <c r="W3" s="240">
        <f t="shared" si="2"/>
        <v>0.26045996958040268</v>
      </c>
      <c r="X3" s="228">
        <f>IFERROR(_xlfn.XLOOKUP($A3,'Raw_Data'!$B:$B,'Raw_Data'!$JI:$JI),"")</f>
        <v>2110656.7999999984</v>
      </c>
      <c r="Y3" s="228">
        <f>IFERROR(_xlfn.XLOOKUP($A3,'Raw_Data'!$B:$B,'Raw_Data'!IT:IT),"")</f>
        <v>2095667.0000000014</v>
      </c>
      <c r="Z3" s="228">
        <f>IFERROR(_xlfn.XLOOKUP($A3,'Raw_Data'!$B:$B,'Raw_Data'!IU:IU),"")</f>
        <v>1000</v>
      </c>
      <c r="AA3" s="228">
        <f>IFERROR(_xlfn.XLOOKUP($A3,'Raw_Data'!$B:$B,'Raw_Data'!IW:IW),"")</f>
        <v>2094667.0000000014</v>
      </c>
      <c r="AB3" s="228">
        <f>IFERROR(_xlfn.XLOOKUP($A3,'Raw_Data'!$B:$B,'Raw_Data'!I:I)/1000,"")</f>
        <v>335.09089</v>
      </c>
      <c r="AC3" s="241">
        <f>IFERROR(_xlfn.XLOOKUP($D3,'Modelling New'!$D:$D,'Modelling New'!$P:$P),"")</f>
        <v>6.9595408709677447</v>
      </c>
      <c r="AD3" s="228">
        <f>IFERROR(_xlfn.XLOOKUP($D3,'Modelling New'!$D:$D,'Modelling New'!$T:$T)*1000,"")</f>
        <v>1909332.2580645164</v>
      </c>
      <c r="AE3" s="240">
        <f>IFERROR(_xlfn.XLOOKUP($D3,'Modelling New'!$D:$D,'Modelling New'!$O:$O),"")</f>
        <v>0.81872519778276209</v>
      </c>
      <c r="AF3" s="240">
        <f>IFERROR(_xlfn.XLOOKUP($D3,'Modelling New'!$D:$D,'Modelling New'!$W:$W),"")</f>
        <v>0.23741464483584512</v>
      </c>
      <c r="AG3" s="240">
        <f>IFERROR(_xlfn.XLOOKUP($D3,'Modelling New'!$D:$D,'Modelling New'!AE:AE),"")</f>
        <v>0.99750000000000005</v>
      </c>
      <c r="AH3" s="240">
        <f>IFERROR(_xlfn.XLOOKUP($D3,'Modelling New'!$D:$D,'Modelling New'!AF:AF),"")</f>
        <v>0.99750000000000005</v>
      </c>
      <c r="AI3" s="186"/>
      <c r="AJ3" s="186"/>
      <c r="AK3" s="225"/>
      <c r="AL3" s="224">
        <f>IFERROR(Table13[[#This Row],[RA (%)]]*9270*58,"")</f>
        <v>0</v>
      </c>
      <c r="AM3" s="225"/>
      <c r="AN3" s="238"/>
      <c r="AO3" s="240"/>
      <c r="AP3" s="240"/>
      <c r="AQ3" s="240"/>
      <c r="AR3" s="242">
        <f>IFERROR(_xlfn.XLOOKUP($D3,'Modelling New'!$D:$D,'Modelling New'!$N:$N),"")</f>
        <v>335.09100000000001</v>
      </c>
    </row>
    <row r="4" spans="1:45">
      <c r="A4" s="233">
        <f t="shared" si="3"/>
        <v>45747</v>
      </c>
      <c r="B4" s="228">
        <f>YEAR(Table13[[#This Row],[Date]])+IF(MONTH(Table13[[#This Row],[Date]])&gt;=4,1,0)</f>
        <v>2025</v>
      </c>
      <c r="C4" s="186">
        <f>YEAR(Table13[[#This Row],[Date]])</f>
        <v>2025</v>
      </c>
      <c r="D4" s="234">
        <f>Table13[[#This Row],[Date]]-DAY(Table13[[#This Row],[Date]])+1</f>
        <v>45717</v>
      </c>
      <c r="E4" s="186">
        <f t="shared" si="0"/>
        <v>31</v>
      </c>
      <c r="F4" s="235">
        <f>IFERROR(_xlfn.XLOOKUP($A4,'Raw_Data'!$B:$B,'Raw_Data'!$IX:$IX),"")</f>
        <v>12.283333333333331</v>
      </c>
      <c r="G4" s="236">
        <f>IFERROR(_xlfn.XLOOKUP($A4,'Raw_Data'!$B:$B,'Raw_Data'!IY:IY),"")</f>
        <v>7.4566666666666661</v>
      </c>
      <c r="H4" s="236">
        <f>IFERROR(_xlfn.XLOOKUP($A4,'Raw_Data'!$B:$B,'Raw_Data'!IZ:IZ),"")</f>
        <v>2.0649999999999999</v>
      </c>
      <c r="I4" s="236">
        <f>IFERROR(_xlfn.XLOOKUP($A4,'Raw_Data'!$B:$B,'Raw_Data'!JA:JA),"")</f>
        <v>7.9783333333333326</v>
      </c>
      <c r="J4" s="236">
        <f>IFERROR(_xlfn.XLOOKUP($A4,'Raw_Data'!$B:$B,'Raw_Data'!JB:JB),"")</f>
        <v>0.44833333333333325</v>
      </c>
      <c r="K4" s="236">
        <f>IFERROR(_xlfn.XLOOKUP($A4,'Raw_Data'!$B:$B,'Raw_Data'!JE:JE),"")</f>
        <v>32.11333333333333</v>
      </c>
      <c r="L4" s="236">
        <f>IFERROR(_xlfn.XLOOKUP($A4,'Raw_Data'!$B:$B,'Raw_Data'!JF:JF),"")</f>
        <v>48.116666666666674</v>
      </c>
      <c r="M4" s="236">
        <f>IFERROR(_xlfn.XLOOKUP($A4,'Raw_Data'!$B:$B,'Raw_Data'!JG:JG),"")</f>
        <v>1.36</v>
      </c>
      <c r="N4" s="236">
        <f>IFERROR(_xlfn.XLOOKUP($A4,'Raw_Data'!$B:$B,'Raw_Data'!JH:JH),"")</f>
        <v>5.1916666666666664</v>
      </c>
      <c r="O4" s="237">
        <f>IFERROR(1-SUMIF(PA!$B:$B,$A4,PA!$AL:$AL)/($AA4+SUMIF(PA!$B:$B,$A4,PA!$AL:$AL)),"")</f>
        <v>1</v>
      </c>
      <c r="P4" s="238"/>
      <c r="Q4" s="239"/>
      <c r="R4" s="240">
        <f>IFERROR(1-SUMIF(GA!$C:$C,$A4,GA!$X:$X)/($AA4+SUMIF(GA!$C:$C,$A4,GA!$X:$X)),"")</f>
        <v>0.9966694782680362</v>
      </c>
      <c r="S4" s="186"/>
      <c r="T4" s="239"/>
      <c r="U4" s="237">
        <f t="shared" si="1"/>
        <v>0.77689362167512555</v>
      </c>
      <c r="V4" s="237">
        <f>IFERROR(_xlfn.XLOOKUP($A4,'Raw_Data'!$B:$B,'Raw_Data'!$JL:$JL),"")</f>
        <v>0.82053453051258363</v>
      </c>
      <c r="W4" s="240">
        <f t="shared" si="2"/>
        <v>0.25826317826102957</v>
      </c>
      <c r="X4" s="228">
        <f>IFERROR(_xlfn.XLOOKUP($A4,'Raw_Data'!$B:$B,'Raw_Data'!$JI:$JI),"")</f>
        <v>2092910.7000000002</v>
      </c>
      <c r="Y4" s="228">
        <f>IFERROR(_xlfn.XLOOKUP($A4,'Raw_Data'!$B:$B,'Raw_Data'!IT:IT),"")</f>
        <v>2079000</v>
      </c>
      <c r="Z4" s="228">
        <f>IFERROR(_xlfn.XLOOKUP($A4,'Raw_Data'!$B:$B,'Raw_Data'!IU:IU),"")</f>
        <v>2000</v>
      </c>
      <c r="AA4" s="228">
        <f>IFERROR(_xlfn.XLOOKUP($A4,'Raw_Data'!$B:$B,'Raw_Data'!IW:IW),"")</f>
        <v>2077000</v>
      </c>
      <c r="AB4" s="228">
        <f>IFERROR(_xlfn.XLOOKUP($A4,'Raw_Data'!$B:$B,'Raw_Data'!I:I)/1000,"")</f>
        <v>335.09089</v>
      </c>
      <c r="AC4" s="241">
        <f>IFERROR(_xlfn.XLOOKUP($D4,'Modelling New'!$D:$D,'Modelling New'!$P:$P),"")</f>
        <v>6.9595408709677447</v>
      </c>
      <c r="AD4" s="228">
        <f>IFERROR(_xlfn.XLOOKUP($D4,'Modelling New'!$D:$D,'Modelling New'!$T:$T)*1000,"")</f>
        <v>1909332.2580645164</v>
      </c>
      <c r="AE4" s="240">
        <f>IFERROR(_xlfn.XLOOKUP($D4,'Modelling New'!$D:$D,'Modelling New'!$O:$O),"")</f>
        <v>0.81872519778276209</v>
      </c>
      <c r="AF4" s="240">
        <f>IFERROR(_xlfn.XLOOKUP($D4,'Modelling New'!$D:$D,'Modelling New'!$W:$W),"")</f>
        <v>0.23741464483584512</v>
      </c>
      <c r="AG4" s="240">
        <f>IFERROR(_xlfn.XLOOKUP($D4,'Modelling New'!$D:$D,'Modelling New'!AE:AE),"")</f>
        <v>0.99750000000000005</v>
      </c>
      <c r="AH4" s="240">
        <f>IFERROR(_xlfn.XLOOKUP($D4,'Modelling New'!$D:$D,'Modelling New'!AF:AF),"")</f>
        <v>0.99750000000000005</v>
      </c>
      <c r="AI4" s="186"/>
      <c r="AJ4" s="186"/>
      <c r="AK4" s="225"/>
      <c r="AL4" s="224">
        <f>IFERROR(Table13[[#This Row],[RA (%)]]*9270*58,"")</f>
        <v>0</v>
      </c>
      <c r="AM4" s="225"/>
      <c r="AN4" s="238"/>
      <c r="AO4" s="240"/>
      <c r="AP4" s="240"/>
      <c r="AQ4" s="240"/>
      <c r="AR4" s="242">
        <f>IFERROR(_xlfn.XLOOKUP($D4,'Modelling New'!$D:$D,'Modelling New'!$N:$N),"")</f>
        <v>335.09100000000001</v>
      </c>
    </row>
    <row r="5" spans="1:45">
      <c r="A5" s="233">
        <f t="shared" si="3"/>
        <v>45748</v>
      </c>
      <c r="B5" s="228">
        <f>YEAR(Table13[[#This Row],[Date]])+IF(MONTH(Table13[[#This Row],[Date]])&gt;=4,1,0)</f>
        <v>2026</v>
      </c>
      <c r="C5" s="186">
        <f>YEAR(Table13[[#This Row],[Date]])</f>
        <v>2025</v>
      </c>
      <c r="D5" s="234">
        <f>Table13[[#This Row],[Date]]-DAY(Table13[[#This Row],[Date]])+1</f>
        <v>45748</v>
      </c>
      <c r="E5" s="186">
        <f t="shared" si="0"/>
        <v>30</v>
      </c>
      <c r="F5" s="235">
        <f>IFERROR(_xlfn.XLOOKUP($A5,'Raw_Data'!$B:$B,'Raw_Data'!$IX:$IX),"")</f>
        <v>12.316666666666666</v>
      </c>
      <c r="G5" s="236">
        <f>IFERROR(_xlfn.XLOOKUP($A5,'Raw_Data'!$B:$B,'Raw_Data'!IY:IY),"")</f>
        <v>7.3681993888888897</v>
      </c>
      <c r="H5" s="236">
        <f>IFERROR(_xlfn.XLOOKUP($A5,'Raw_Data'!$B:$B,'Raw_Data'!IZ:IZ),"")</f>
        <v>2.0415208333333337</v>
      </c>
      <c r="I5" s="236">
        <f>IFERROR(_xlfn.XLOOKUP($A5,'Raw_Data'!$B:$B,'Raw_Data'!JA:JA),"")</f>
        <v>7.8599873055555554</v>
      </c>
      <c r="J5" s="236">
        <f>IFERROR(_xlfn.XLOOKUP($A5,'Raw_Data'!$B:$B,'Raw_Data'!JB:JB),"")</f>
        <v>0.44914052777777808</v>
      </c>
      <c r="K5" s="236">
        <f>IFERROR(_xlfn.XLOOKUP($A5,'Raw_Data'!$B:$B,'Raw_Data'!JE:JE),"")</f>
        <v>32.929470973782784</v>
      </c>
      <c r="L5" s="236">
        <f>IFERROR(_xlfn.XLOOKUP($A5,'Raw_Data'!$B:$B,'Raw_Data'!JF:JF),"")</f>
        <v>48.299597378277177</v>
      </c>
      <c r="M5" s="236">
        <f>IFERROR(_xlfn.XLOOKUP($A5,'Raw_Data'!$B:$B,'Raw_Data'!JG:JG),"")</f>
        <v>1.6887760789396069</v>
      </c>
      <c r="N5" s="236">
        <f>IFERROR(_xlfn.XLOOKUP($A5,'Raw_Data'!$B:$B,'Raw_Data'!JH:JH),"")</f>
        <v>5.8066661666666661</v>
      </c>
      <c r="O5" s="237">
        <f>IFERROR(1-SUMIF(PA!$B:$B,$A5,PA!$AL:$AL)/($AA5+SUMIF(PA!$B:$B,$A5,PA!$AL:$AL)),"")</f>
        <v>1</v>
      </c>
      <c r="P5" s="238"/>
      <c r="Q5" s="239"/>
      <c r="R5" s="240">
        <f>IFERROR(1-SUMIF(GA!$C:$C,$A5,GA!$X:$X)/($AA5+SUMIF(GA!$C:$C,$A5,GA!$X:$X)),"")</f>
        <v>1</v>
      </c>
      <c r="S5" s="186"/>
      <c r="T5" s="239"/>
      <c r="U5" s="237">
        <f t="shared" si="1"/>
        <v>0.7832247625738411</v>
      </c>
      <c r="V5" s="237">
        <f>IFERROR(_xlfn.XLOOKUP($A5,'Raw_Data'!$B:$B,'Raw_Data'!$JL:$JL),"")</f>
        <v>0.80778353097359512</v>
      </c>
      <c r="W5" s="240">
        <f t="shared" si="2"/>
        <v>0.25650569546779811</v>
      </c>
      <c r="X5" s="228">
        <f>IFERROR(_xlfn.XLOOKUP($A5,'Raw_Data'!$B:$B,'Raw_Data'!$JI:$JI),"")</f>
        <v>2110276.7999999989</v>
      </c>
      <c r="Y5" s="228">
        <f>IFERROR(_xlfn.XLOOKUP($A5,'Raw_Data'!$B:$B,'Raw_Data'!IT:IT),"")</f>
        <v>2067332.9999999986</v>
      </c>
      <c r="Z5" s="228">
        <f>IFERROR(_xlfn.XLOOKUP($A5,'Raw_Data'!$B:$B,'Raw_Data'!IU:IU),"")</f>
        <v>4467.0000000000127</v>
      </c>
      <c r="AA5" s="228">
        <f>IFERROR(_xlfn.XLOOKUP($A5,'Raw_Data'!$B:$B,'Raw_Data'!IW:IW),"")</f>
        <v>2062865.9999999986</v>
      </c>
      <c r="AB5" s="228">
        <f>IFERROR(_xlfn.XLOOKUP($A5,'Raw_Data'!$B:$B,'Raw_Data'!I:I)/1000,"")</f>
        <v>335.09089</v>
      </c>
      <c r="AC5" s="241">
        <f>IFERROR(_xlfn.XLOOKUP($D5,'Modelling New'!$D:$D,'Modelling New'!$P:$P),"")</f>
        <v>7.1966666666666672</v>
      </c>
      <c r="AD5" s="228">
        <f>IFERROR(_xlfn.XLOOKUP($D5,'Modelling New'!$D:$D,'Modelling New'!$T:$T)*1000,"")</f>
        <v>1944729.7154761388</v>
      </c>
      <c r="AE5" s="240">
        <f>IFERROR(_xlfn.XLOOKUP($D5,'Modelling New'!$D:$D,'Modelling New'!$O:$O),"")</f>
        <v>0.80642707268055158</v>
      </c>
      <c r="AF5" s="240">
        <f>IFERROR(_xlfn.XLOOKUP($D5,'Modelling New'!$D:$D,'Modelling New'!$W:$W),"")</f>
        <v>0.24181611804407097</v>
      </c>
      <c r="AG5" s="240">
        <f>IFERROR(_xlfn.XLOOKUP($D5,'Modelling New'!$D:$D,'Modelling New'!AE:AE),"")</f>
        <v>0.99750000000000005</v>
      </c>
      <c r="AH5" s="240">
        <f>IFERROR(_xlfn.XLOOKUP($D5,'Modelling New'!$D:$D,'Modelling New'!AF:AF),"")</f>
        <v>0.99750000000000005</v>
      </c>
      <c r="AI5" s="186"/>
      <c r="AJ5" s="186"/>
      <c r="AK5" s="226">
        <v>0.96699999999999997</v>
      </c>
      <c r="AL5" s="224">
        <f>IFERROR(Table13[[#This Row],[RA (%)]]*9270*58,"")</f>
        <v>519917.22000000003</v>
      </c>
      <c r="AM5" s="225"/>
      <c r="AN5" s="238"/>
      <c r="AO5" s="240"/>
      <c r="AP5" s="240"/>
      <c r="AQ5" s="240"/>
      <c r="AR5" s="242">
        <f>IFERROR(_xlfn.XLOOKUP($D5,'Modelling New'!$D:$D,'Modelling New'!$N:$N),"")</f>
        <v>335.09100000000001</v>
      </c>
    </row>
    <row r="6" spans="1:45">
      <c r="A6" s="233">
        <f t="shared" si="3"/>
        <v>45749</v>
      </c>
      <c r="B6" s="228">
        <f>YEAR(Table13[[#This Row],[Date]])+IF(MONTH(Table13[[#This Row],[Date]])&gt;=4,1,0)</f>
        <v>2026</v>
      </c>
      <c r="C6" s="186">
        <f>YEAR(Table13[[#This Row],[Date]])</f>
        <v>2025</v>
      </c>
      <c r="D6" s="234">
        <f>Table13[[#This Row],[Date]]-DAY(Table13[[#This Row],[Date]])+1</f>
        <v>45748</v>
      </c>
      <c r="E6" s="186">
        <f t="shared" si="0"/>
        <v>30</v>
      </c>
      <c r="F6" s="235">
        <f>IFERROR(_xlfn.XLOOKUP($A6,'Raw_Data'!$B:$B,'Raw_Data'!$IX:$IX),"")</f>
        <v>12.299999999999999</v>
      </c>
      <c r="G6" s="236">
        <f>IFERROR(_xlfn.XLOOKUP($A6,'Raw_Data'!$B:$B,'Raw_Data'!IY:IY),"")</f>
        <v>7.3549999999999995</v>
      </c>
      <c r="H6" s="236">
        <f>IFERROR(_xlfn.XLOOKUP($A6,'Raw_Data'!$B:$B,'Raw_Data'!IZ:IZ),"")</f>
        <v>2.0499999999999998</v>
      </c>
      <c r="I6" s="236">
        <f>IFERROR(_xlfn.XLOOKUP($A6,'Raw_Data'!$B:$B,'Raw_Data'!JA:JA),"")</f>
        <v>7.8216666666666663</v>
      </c>
      <c r="J6" s="236">
        <f>IFERROR(_xlfn.XLOOKUP($A6,'Raw_Data'!$B:$B,'Raw_Data'!JB:JB),"")</f>
        <v>0.46166666666666667</v>
      </c>
      <c r="K6" s="236">
        <f>IFERROR(_xlfn.XLOOKUP($A6,'Raw_Data'!$B:$B,'Raw_Data'!JE:JE),"")</f>
        <v>33.868333333333332</v>
      </c>
      <c r="L6" s="236">
        <f>IFERROR(_xlfn.XLOOKUP($A6,'Raw_Data'!$B:$B,'Raw_Data'!JF:JF),"")</f>
        <v>48.02</v>
      </c>
      <c r="M6" s="236">
        <f>IFERROR(_xlfn.XLOOKUP($A6,'Raw_Data'!$B:$B,'Raw_Data'!JG:JG),"")</f>
        <v>2.2883333333333336</v>
      </c>
      <c r="N6" s="236">
        <f>IFERROR(_xlfn.XLOOKUP($A6,'Raw_Data'!$B:$B,'Raw_Data'!JH:JH),"")</f>
        <v>7.3550000000000004</v>
      </c>
      <c r="O6" s="237">
        <f>IFERROR(1-SUMIF(PA!$B:$B,$A6,PA!$AL:$AL)/($AA6+SUMIF(PA!$B:$B,$A6,PA!$AL:$AL)),"")</f>
        <v>1</v>
      </c>
      <c r="P6" s="238"/>
      <c r="Q6" s="239"/>
      <c r="R6" s="240">
        <f>IFERROR(1-SUMIF(GA!$C:$C,$A6,GA!$X:$X)/($AA6+SUMIF(GA!$C:$C,$A6,GA!$X:$X)),"")</f>
        <v>1</v>
      </c>
      <c r="S6" s="186"/>
      <c r="T6" s="239"/>
      <c r="U6" s="237">
        <f t="shared" si="1"/>
        <v>0.78304403246904131</v>
      </c>
      <c r="V6" s="237">
        <f>IFERROR(_xlfn.XLOOKUP($A6,'Raw_Data'!$B:$B,'Raw_Data'!$JL:$JL),"")</f>
        <v>0.80487345296707991</v>
      </c>
      <c r="W6" s="240">
        <f t="shared" si="2"/>
        <v>0.25519622530397301</v>
      </c>
      <c r="X6" s="228">
        <f>IFERROR(_xlfn.XLOOKUP($A6,'Raw_Data'!$B:$B,'Raw_Data'!$JI:$JI),"")</f>
        <v>2070371.7999999998</v>
      </c>
      <c r="Y6" s="228">
        <f>IFERROR(_xlfn.XLOOKUP($A6,'Raw_Data'!$B:$B,'Raw_Data'!IT:IT),"")</f>
        <v>2056801.0000000068</v>
      </c>
      <c r="Z6" s="228">
        <f>IFERROR(_xlfn.XLOOKUP($A6,'Raw_Data'!$B:$B,'Raw_Data'!IU:IU),"")</f>
        <v>4466.0000000000082</v>
      </c>
      <c r="AA6" s="228">
        <f>IFERROR(_xlfn.XLOOKUP($A6,'Raw_Data'!$B:$B,'Raw_Data'!IW:IW),"")</f>
        <v>2052335.0000000068</v>
      </c>
      <c r="AB6" s="228">
        <f>IFERROR(_xlfn.XLOOKUP($A6,'Raw_Data'!$B:$B,'Raw_Data'!I:I)/1000,"")</f>
        <v>335.09089</v>
      </c>
      <c r="AC6" s="241">
        <f>IFERROR(_xlfn.XLOOKUP($D6,'Modelling New'!$D:$D,'Modelling New'!$P:$P),"")</f>
        <v>7.1966666666666672</v>
      </c>
      <c r="AD6" s="228">
        <f>IFERROR(_xlfn.XLOOKUP($D6,'Modelling New'!$D:$D,'Modelling New'!$T:$T)*1000,"")</f>
        <v>1944729.7154761388</v>
      </c>
      <c r="AE6" s="240">
        <f>IFERROR(_xlfn.XLOOKUP($D6,'Modelling New'!$D:$D,'Modelling New'!$O:$O),"")</f>
        <v>0.80642707268055158</v>
      </c>
      <c r="AF6" s="240">
        <f>IFERROR(_xlfn.XLOOKUP($D6,'Modelling New'!$D:$D,'Modelling New'!$W:$W),"")</f>
        <v>0.24181611804407097</v>
      </c>
      <c r="AG6" s="240">
        <f>IFERROR(_xlfn.XLOOKUP($D6,'Modelling New'!$D:$D,'Modelling New'!AE:AE),"")</f>
        <v>0.99750000000000005</v>
      </c>
      <c r="AH6" s="240">
        <f>IFERROR(_xlfn.XLOOKUP($D6,'Modelling New'!$D:$D,'Modelling New'!AF:AF),"")</f>
        <v>0.99750000000000005</v>
      </c>
      <c r="AI6" s="186"/>
      <c r="AJ6" s="186"/>
      <c r="AK6" s="226">
        <v>0.97499999999999998</v>
      </c>
      <c r="AL6" s="224">
        <f>IFERROR(Table13[[#This Row],[RA (%)]]*9270*58,"")</f>
        <v>524218.5</v>
      </c>
      <c r="AM6" s="225"/>
      <c r="AN6" s="238"/>
      <c r="AO6" s="240"/>
      <c r="AP6" s="240"/>
      <c r="AQ6" s="240"/>
      <c r="AR6" s="242">
        <f>IFERROR(_xlfn.XLOOKUP($D6,'Modelling New'!$D:$D,'Modelling New'!$N:$N),"")</f>
        <v>335.09100000000001</v>
      </c>
    </row>
    <row r="7" spans="1:45">
      <c r="A7" s="233">
        <f t="shared" si="3"/>
        <v>45750</v>
      </c>
      <c r="B7" s="228">
        <f>YEAR(Table13[[#This Row],[Date]])+IF(MONTH(Table13[[#This Row],[Date]])&gt;=4,1,0)</f>
        <v>2026</v>
      </c>
      <c r="C7" s="186">
        <f>YEAR(Table13[[#This Row],[Date]])</f>
        <v>2025</v>
      </c>
      <c r="D7" s="234">
        <f>Table13[[#This Row],[Date]]-DAY(Table13[[#This Row],[Date]])+1</f>
        <v>45748</v>
      </c>
      <c r="E7" s="186">
        <f t="shared" si="0"/>
        <v>30</v>
      </c>
      <c r="F7" s="235">
        <f>IFERROR(_xlfn.XLOOKUP($A7,'Raw_Data'!$B:$B,'Raw_Data'!$IX:$IX),"")</f>
        <v>12.299999999999999</v>
      </c>
      <c r="G7" s="236">
        <f>IFERROR(_xlfn.XLOOKUP($A7,'Raw_Data'!$B:$B,'Raw_Data'!IY:IY),"")</f>
        <v>7.3207679166666653</v>
      </c>
      <c r="H7" s="236">
        <f>IFERROR(_xlfn.XLOOKUP($A7,'Raw_Data'!$B:$B,'Raw_Data'!IZ:IZ),"")</f>
        <v>2.0404592222222218</v>
      </c>
      <c r="I7" s="236">
        <f>IFERROR(_xlfn.XLOOKUP($A7,'Raw_Data'!$B:$B,'Raw_Data'!JA:JA),"")</f>
        <v>7.7725389722222262</v>
      </c>
      <c r="J7" s="236">
        <f>IFERROR(_xlfn.XLOOKUP($A7,'Raw_Data'!$B:$B,'Raw_Data'!JB:JB),"")</f>
        <v>0.46544144444444457</v>
      </c>
      <c r="K7" s="236">
        <f>IFERROR(_xlfn.XLOOKUP($A7,'Raw_Data'!$B:$B,'Raw_Data'!JE:JE),"")</f>
        <v>35.097151515151516</v>
      </c>
      <c r="L7" s="236">
        <f>IFERROR(_xlfn.XLOOKUP($A7,'Raw_Data'!$B:$B,'Raw_Data'!JF:JF),"")</f>
        <v>49.27227972027972</v>
      </c>
      <c r="M7" s="236">
        <f>IFERROR(_xlfn.XLOOKUP($A7,'Raw_Data'!$B:$B,'Raw_Data'!JG:JG),"")</f>
        <v>2.3305065141701635</v>
      </c>
      <c r="N7" s="236">
        <f>IFERROR(_xlfn.XLOOKUP($A7,'Raw_Data'!$B:$B,'Raw_Data'!JH:JH),"")</f>
        <v>7.7774991666666677</v>
      </c>
      <c r="O7" s="237">
        <f>IFERROR(1-SUMIF(PA!$B:$B,$A7,PA!$AL:$AL)/($AA7+SUMIF(PA!$B:$B,$A7,PA!$AL:$AL)),"")</f>
        <v>1</v>
      </c>
      <c r="P7" s="238"/>
      <c r="Q7" s="239"/>
      <c r="R7" s="240">
        <f>IFERROR(1-SUMIF(GA!$C:$C,$A7,GA!$X:$X)/($AA7+SUMIF(GA!$C:$C,$A7,GA!$X:$X)),"")</f>
        <v>1</v>
      </c>
      <c r="S7" s="186"/>
      <c r="T7" s="239"/>
      <c r="U7" s="237">
        <f t="shared" si="1"/>
        <v>0.78231017607664843</v>
      </c>
      <c r="V7" s="237">
        <f>IFERROR(_xlfn.XLOOKUP($A7,'Raw_Data'!$B:$B,'Raw_Data'!$JL:$JL),"")</f>
        <v>0.8088762673384402</v>
      </c>
      <c r="W7" s="240">
        <f t="shared" si="2"/>
        <v>0.2533556804967409</v>
      </c>
      <c r="X7" s="228">
        <f>IFERROR(_xlfn.XLOOKUP($A7,'Raw_Data'!$B:$B,'Raw_Data'!$JI:$JI),"")</f>
        <v>2055280</v>
      </c>
      <c r="Y7" s="228">
        <f>IFERROR(_xlfn.XLOOKUP($A7,'Raw_Data'!$B:$B,'Raw_Data'!IT:IT),"")</f>
        <v>2041133.0000000016</v>
      </c>
      <c r="Z7" s="228">
        <f>IFERROR(_xlfn.XLOOKUP($A7,'Raw_Data'!$B:$B,'Raw_Data'!IU:IU),"")</f>
        <v>3599.9999999999945</v>
      </c>
      <c r="AA7" s="228">
        <f>IFERROR(_xlfn.XLOOKUP($A7,'Raw_Data'!$B:$B,'Raw_Data'!IW:IW),"")</f>
        <v>2037533.0000000016</v>
      </c>
      <c r="AB7" s="228">
        <f>IFERROR(_xlfn.XLOOKUP($A7,'Raw_Data'!$B:$B,'Raw_Data'!I:I)/1000,"")</f>
        <v>335.09089</v>
      </c>
      <c r="AC7" s="241">
        <f>IFERROR(_xlfn.XLOOKUP($D7,'Modelling New'!$D:$D,'Modelling New'!$P:$P),"")</f>
        <v>7.1966666666666672</v>
      </c>
      <c r="AD7" s="228">
        <f>IFERROR(_xlfn.XLOOKUP($D7,'Modelling New'!$D:$D,'Modelling New'!$T:$T)*1000,"")</f>
        <v>1944729.7154761388</v>
      </c>
      <c r="AE7" s="240">
        <f>IFERROR(_xlfn.XLOOKUP($D7,'Modelling New'!$D:$D,'Modelling New'!$O:$O),"")</f>
        <v>0.80642707268055158</v>
      </c>
      <c r="AF7" s="240">
        <f>IFERROR(_xlfn.XLOOKUP($D7,'Modelling New'!$D:$D,'Modelling New'!$W:$W),"")</f>
        <v>0.24181611804407097</v>
      </c>
      <c r="AG7" s="240">
        <f>IFERROR(_xlfn.XLOOKUP($D7,'Modelling New'!$D:$D,'Modelling New'!AE:AE),"")</f>
        <v>0.99750000000000005</v>
      </c>
      <c r="AH7" s="240">
        <f>IFERROR(_xlfn.XLOOKUP($D7,'Modelling New'!$D:$D,'Modelling New'!AF:AF),"")</f>
        <v>0.99750000000000005</v>
      </c>
      <c r="AI7" s="186"/>
      <c r="AJ7" s="186"/>
      <c r="AK7" s="226">
        <v>0.97499999999999998</v>
      </c>
      <c r="AL7" s="224">
        <f>IFERROR(Table13[[#This Row],[RA (%)]]*9270*58,"")</f>
        <v>524218.5</v>
      </c>
      <c r="AM7" s="225"/>
      <c r="AN7" s="238"/>
      <c r="AO7" s="240"/>
      <c r="AP7" s="240"/>
      <c r="AQ7" s="240"/>
      <c r="AR7" s="242">
        <f>IFERROR(_xlfn.XLOOKUP($D7,'Modelling New'!$D:$D,'Modelling New'!$N:$N),"")</f>
        <v>335.09100000000001</v>
      </c>
    </row>
    <row r="8" spans="1:45">
      <c r="A8" s="233">
        <f t="shared" si="3"/>
        <v>45751</v>
      </c>
      <c r="B8" s="228">
        <f>YEAR(Table13[[#This Row],[Date]])+IF(MONTH(Table13[[#This Row],[Date]])&gt;=4,1,0)</f>
        <v>2026</v>
      </c>
      <c r="C8" s="186">
        <f>YEAR(Table13[[#This Row],[Date]])</f>
        <v>2025</v>
      </c>
      <c r="D8" s="234">
        <f>Table13[[#This Row],[Date]]-DAY(Table13[[#This Row],[Date]])+1</f>
        <v>45748</v>
      </c>
      <c r="E8" s="186">
        <f t="shared" si="0"/>
        <v>30</v>
      </c>
      <c r="F8" s="235">
        <f>IFERROR(_xlfn.XLOOKUP($A8,'Raw_Data'!$B:$B,'Raw_Data'!$IX:$IX),"")</f>
        <v>12.333333333333332</v>
      </c>
      <c r="G8" s="236">
        <f>IFERROR(_xlfn.XLOOKUP($A8,'Raw_Data'!$B:$B,'Raw_Data'!IY:IY),"")</f>
        <v>7.088333333333332</v>
      </c>
      <c r="H8" s="236">
        <f>IFERROR(_xlfn.XLOOKUP($A8,'Raw_Data'!$B:$B,'Raw_Data'!IZ:IZ),"")</f>
        <v>1.9749999999999996</v>
      </c>
      <c r="I8" s="236">
        <f>IFERROR(_xlfn.XLOOKUP($A8,'Raw_Data'!$B:$B,'Raw_Data'!JA:JA),"")</f>
        <v>7.5166666666666666</v>
      </c>
      <c r="J8" s="236">
        <f>IFERROR(_xlfn.XLOOKUP($A8,'Raw_Data'!$B:$B,'Raw_Data'!JB:JB),"")</f>
        <v>0.47000000000000003</v>
      </c>
      <c r="K8" s="236">
        <f>IFERROR(_xlfn.XLOOKUP($A8,'Raw_Data'!$B:$B,'Raw_Data'!JE:JE),"")</f>
        <v>32.895000000000003</v>
      </c>
      <c r="L8" s="236">
        <f>IFERROR(_xlfn.XLOOKUP($A8,'Raw_Data'!$B:$B,'Raw_Data'!JF:JF),"")</f>
        <v>44.97</v>
      </c>
      <c r="M8" s="236">
        <f>IFERROR(_xlfn.XLOOKUP($A8,'Raw_Data'!$B:$B,'Raw_Data'!JG:JG),"")</f>
        <v>3.1266666666666665</v>
      </c>
      <c r="N8" s="236">
        <f>IFERROR(_xlfn.XLOOKUP($A8,'Raw_Data'!$B:$B,'Raw_Data'!JH:JH),"")</f>
        <v>6.543333333333333</v>
      </c>
      <c r="O8" s="237">
        <f>IFERROR(1-SUMIF(PA!$B:$B,$A8,PA!$AL:$AL)/($AA8+SUMIF(PA!$B:$B,$A8,PA!$AL:$AL)),"")</f>
        <v>1</v>
      </c>
      <c r="P8" s="238"/>
      <c r="Q8" s="239"/>
      <c r="R8" s="240">
        <f>IFERROR(1-SUMIF(GA!$C:$C,$A8,GA!$X:$X)/($AA8+SUMIF(GA!$C:$C,$A8,GA!$X:$X)),"")</f>
        <v>1</v>
      </c>
      <c r="S8" s="186"/>
      <c r="T8" s="239"/>
      <c r="U8" s="237">
        <f t="shared" si="1"/>
        <v>0.80142375991970893</v>
      </c>
      <c r="V8" s="237">
        <f>IFERROR(_xlfn.XLOOKUP($A8,'Raw_Data'!$B:$B,'Raw_Data'!$JL:$JL),"")</f>
        <v>0.81580940585214301</v>
      </c>
      <c r="W8" s="240">
        <f t="shared" si="2"/>
        <v>0.25100146925263106</v>
      </c>
      <c r="X8" s="228">
        <f>IFERROR(_xlfn.XLOOKUP($A8,'Raw_Data'!$B:$B,'Raw_Data'!$JI:$JI),"")</f>
        <v>2035769.2999999996</v>
      </c>
      <c r="Y8" s="228">
        <f>IFERROR(_xlfn.XLOOKUP($A8,'Raw_Data'!$B:$B,'Raw_Data'!IT:IT),"")</f>
        <v>2021667.0000000014</v>
      </c>
      <c r="Z8" s="228">
        <f>IFERROR(_xlfn.XLOOKUP($A8,'Raw_Data'!$B:$B,'Raw_Data'!IU:IU),"")</f>
        <v>3067.0000000000073</v>
      </c>
      <c r="AA8" s="228">
        <f>IFERROR(_xlfn.XLOOKUP($A8,'Raw_Data'!$B:$B,'Raw_Data'!IW:IW),"")</f>
        <v>2018600.0000000014</v>
      </c>
      <c r="AB8" s="228">
        <f>IFERROR(_xlfn.XLOOKUP($A8,'Raw_Data'!$B:$B,'Raw_Data'!I:I)/1000,"")</f>
        <v>335.09089</v>
      </c>
      <c r="AC8" s="241">
        <f>IFERROR(_xlfn.XLOOKUP($D8,'Modelling New'!$D:$D,'Modelling New'!$P:$P),"")</f>
        <v>7.1966666666666672</v>
      </c>
      <c r="AD8" s="228">
        <f>IFERROR(_xlfn.XLOOKUP($D8,'Modelling New'!$D:$D,'Modelling New'!$T:$T)*1000,"")</f>
        <v>1944729.7154761388</v>
      </c>
      <c r="AE8" s="240">
        <f>IFERROR(_xlfn.XLOOKUP($D8,'Modelling New'!$D:$D,'Modelling New'!$O:$O),"")</f>
        <v>0.80642707268055158</v>
      </c>
      <c r="AF8" s="240">
        <f>IFERROR(_xlfn.XLOOKUP($D8,'Modelling New'!$D:$D,'Modelling New'!$W:$W),"")</f>
        <v>0.24181611804407097</v>
      </c>
      <c r="AG8" s="240">
        <f>IFERROR(_xlfn.XLOOKUP($D8,'Modelling New'!$D:$D,'Modelling New'!AE:AE),"")</f>
        <v>0.99750000000000005</v>
      </c>
      <c r="AH8" s="240">
        <f>IFERROR(_xlfn.XLOOKUP($D8,'Modelling New'!$D:$D,'Modelling New'!AF:AF),"")</f>
        <v>0.99750000000000005</v>
      </c>
      <c r="AI8" s="186"/>
      <c r="AJ8" s="186"/>
      <c r="AK8" s="226">
        <v>0.97799999999999998</v>
      </c>
      <c r="AL8" s="224">
        <f>IFERROR(Table13[[#This Row],[RA (%)]]*9270*58,"")</f>
        <v>525831.48</v>
      </c>
      <c r="AM8" s="225"/>
      <c r="AN8" s="238"/>
      <c r="AO8" s="240"/>
      <c r="AP8" s="240"/>
      <c r="AQ8" s="240"/>
      <c r="AR8" s="242">
        <f>IFERROR(_xlfn.XLOOKUP($D8,'Modelling New'!$D:$D,'Modelling New'!$N:$N),"")</f>
        <v>335.09100000000001</v>
      </c>
    </row>
    <row r="9" spans="1:45">
      <c r="A9" s="233">
        <f t="shared" si="3"/>
        <v>45752</v>
      </c>
      <c r="B9" s="228">
        <f>YEAR(Table13[[#This Row],[Date]])+IF(MONTH(Table13[[#This Row],[Date]])&gt;=4,1,0)</f>
        <v>2026</v>
      </c>
      <c r="C9" s="186">
        <f>YEAR(Table13[[#This Row],[Date]])</f>
        <v>2025</v>
      </c>
      <c r="D9" s="234">
        <f>Table13[[#This Row],[Date]]-DAY(Table13[[#This Row],[Date]])+1</f>
        <v>45748</v>
      </c>
      <c r="E9" s="186">
        <f t="shared" si="0"/>
        <v>30</v>
      </c>
      <c r="F9" s="235">
        <f>IFERROR(_xlfn.XLOOKUP($A9,'Raw_Data'!$B:$B,'Raw_Data'!$IX:$IX),"")</f>
        <v>12.349999999999998</v>
      </c>
      <c r="G9" s="236">
        <f>IFERROR(_xlfn.XLOOKUP($A9,'Raw_Data'!$B:$B,'Raw_Data'!IY:IY),"")</f>
        <v>6.9852885000000038</v>
      </c>
      <c r="H9" s="236">
        <f>IFERROR(_xlfn.XLOOKUP($A9,'Raw_Data'!$B:$B,'Raw_Data'!IZ:IZ),"")</f>
        <v>1.9424356666666664</v>
      </c>
      <c r="I9" s="236">
        <f>IFERROR(_xlfn.XLOOKUP($A9,'Raw_Data'!$B:$B,'Raw_Data'!JA:JA),"")</f>
        <v>7.3667022222222203</v>
      </c>
      <c r="J9" s="236">
        <f>IFERROR(_xlfn.XLOOKUP($A9,'Raw_Data'!$B:$B,'Raw_Data'!JB:JB),"")</f>
        <v>0.45992702777777755</v>
      </c>
      <c r="K9" s="236">
        <f>IFERROR(_xlfn.XLOOKUP($A9,'Raw_Data'!$B:$B,'Raw_Data'!JE:JE),"")</f>
        <v>35.197512820512806</v>
      </c>
      <c r="L9" s="236">
        <f>IFERROR(_xlfn.XLOOKUP($A9,'Raw_Data'!$B:$B,'Raw_Data'!JF:JF),"")</f>
        <v>49.011776223776224</v>
      </c>
      <c r="M9" s="236">
        <f>IFERROR(_xlfn.XLOOKUP($A9,'Raw_Data'!$B:$B,'Raw_Data'!JG:JG),"")</f>
        <v>2.9068673988135196</v>
      </c>
      <c r="N9" s="236">
        <f>IFERROR(_xlfn.XLOOKUP($A9,'Raw_Data'!$B:$B,'Raw_Data'!JH:JH),"")</f>
        <v>7.6480550000000003</v>
      </c>
      <c r="O9" s="237">
        <f>IFERROR(1-SUMIF(PA!$B:$B,$A9,PA!$AL:$AL)/($AA9+SUMIF(PA!$B:$B,$A9,PA!$AL:$AL)),"")</f>
        <v>1</v>
      </c>
      <c r="P9" s="238"/>
      <c r="Q9" s="239"/>
      <c r="R9" s="240">
        <f>IFERROR(1-SUMIF(GA!$C:$C,$A9,GA!$X:$X)/($AA9+SUMIF(GA!$C:$C,$A9,GA!$X:$X)),"")</f>
        <v>1</v>
      </c>
      <c r="S9" s="186"/>
      <c r="T9" s="239"/>
      <c r="U9" s="237">
        <f t="shared" si="1"/>
        <v>0.79842841120599306</v>
      </c>
      <c r="V9" s="237">
        <f>IFERROR(_xlfn.XLOOKUP($A9,'Raw_Data'!$B:$B,'Raw_Data'!$JL:$JL),"")</f>
        <v>0.81854328279395261</v>
      </c>
      <c r="W9" s="240">
        <f t="shared" si="2"/>
        <v>0.24507434796318939</v>
      </c>
      <c r="X9" s="228">
        <f>IFERROR(_xlfn.XLOOKUP($A9,'Raw_Data'!$B:$B,'Raw_Data'!$JI:$JI),"")</f>
        <v>1987718.6999999995</v>
      </c>
      <c r="Y9" s="228">
        <f>IFERROR(_xlfn.XLOOKUP($A9,'Raw_Data'!$B:$B,'Raw_Data'!IT:IT),"")</f>
        <v>1974399.9999999942</v>
      </c>
      <c r="Z9" s="228">
        <f>IFERROR(_xlfn.XLOOKUP($A9,'Raw_Data'!$B:$B,'Raw_Data'!IU:IU),"")</f>
        <v>3466.9999999999845</v>
      </c>
      <c r="AA9" s="228">
        <f>IFERROR(_xlfn.XLOOKUP($A9,'Raw_Data'!$B:$B,'Raw_Data'!IW:IW),"")</f>
        <v>1970932.9999999942</v>
      </c>
      <c r="AB9" s="228">
        <f>IFERROR(_xlfn.XLOOKUP($A9,'Raw_Data'!$B:$B,'Raw_Data'!I:I)/1000,"")</f>
        <v>335.09089</v>
      </c>
      <c r="AC9" s="241">
        <f>IFERROR(_xlfn.XLOOKUP($D9,'Modelling New'!$D:$D,'Modelling New'!$P:$P),"")</f>
        <v>7.1966666666666672</v>
      </c>
      <c r="AD9" s="228">
        <f>IFERROR(_xlfn.XLOOKUP($D9,'Modelling New'!$D:$D,'Modelling New'!$T:$T)*1000,"")</f>
        <v>1944729.7154761388</v>
      </c>
      <c r="AE9" s="240">
        <f>IFERROR(_xlfn.XLOOKUP($D9,'Modelling New'!$D:$D,'Modelling New'!$O:$O),"")</f>
        <v>0.80642707268055158</v>
      </c>
      <c r="AF9" s="240">
        <f>IFERROR(_xlfn.XLOOKUP($D9,'Modelling New'!$D:$D,'Modelling New'!$W:$W),"")</f>
        <v>0.24181611804407097</v>
      </c>
      <c r="AG9" s="240">
        <f>IFERROR(_xlfn.XLOOKUP($D9,'Modelling New'!$D:$D,'Modelling New'!AE:AE),"")</f>
        <v>0.99750000000000005</v>
      </c>
      <c r="AH9" s="240">
        <f>IFERROR(_xlfn.XLOOKUP($D9,'Modelling New'!$D:$D,'Modelling New'!AF:AF),"")</f>
        <v>0.99750000000000005</v>
      </c>
      <c r="AI9" s="186"/>
      <c r="AJ9" s="186"/>
      <c r="AK9" s="226">
        <v>0.97499999999999998</v>
      </c>
      <c r="AL9" s="224">
        <f>IFERROR(Table13[[#This Row],[RA (%)]]*9270*58,"")</f>
        <v>524218.5</v>
      </c>
      <c r="AM9" s="225"/>
      <c r="AN9" s="238"/>
      <c r="AO9" s="240"/>
      <c r="AP9" s="240"/>
      <c r="AQ9" s="240"/>
      <c r="AR9" s="242">
        <f>IFERROR(_xlfn.XLOOKUP($D9,'Modelling New'!$D:$D,'Modelling New'!$N:$N),"")</f>
        <v>335.09100000000001</v>
      </c>
    </row>
    <row r="10" spans="1:45">
      <c r="A10" s="233">
        <f t="shared" si="3"/>
        <v>45753</v>
      </c>
      <c r="B10" s="228">
        <f>YEAR(Table13[[#This Row],[Date]])+IF(MONTH(Table13[[#This Row],[Date]])&gt;=4,1,0)</f>
        <v>2026</v>
      </c>
      <c r="C10" s="186">
        <f>YEAR(Table13[[#This Row],[Date]])</f>
        <v>2025</v>
      </c>
      <c r="D10" s="234">
        <f>Table13[[#This Row],[Date]]-DAY(Table13[[#This Row],[Date]])+1</f>
        <v>45748</v>
      </c>
      <c r="E10" s="186">
        <f t="shared" si="0"/>
        <v>30</v>
      </c>
      <c r="F10" s="235">
        <f>IFERROR(_xlfn.XLOOKUP($A10,'Raw_Data'!$B:$B,'Raw_Data'!$IX:$IX),"")</f>
        <v>12.349999999999998</v>
      </c>
      <c r="G10" s="236">
        <f>IFERROR(_xlfn.XLOOKUP($A10,'Raw_Data'!$B:$B,'Raw_Data'!IY:IY),"")</f>
        <v>7.3183333333333325</v>
      </c>
      <c r="H10" s="236">
        <f>IFERROR(_xlfn.XLOOKUP($A10,'Raw_Data'!$B:$B,'Raw_Data'!IZ:IZ),"")</f>
        <v>2.0333333333333332</v>
      </c>
      <c r="I10" s="236">
        <f>IFERROR(_xlfn.XLOOKUP($A10,'Raw_Data'!$B:$B,'Raw_Data'!JA:JA),"")</f>
        <v>7.708333333333333</v>
      </c>
      <c r="J10" s="236">
        <f>IFERROR(_xlfn.XLOOKUP($A10,'Raw_Data'!$B:$B,'Raw_Data'!JB:JB),"")</f>
        <v>0.47500000000000003</v>
      </c>
      <c r="K10" s="236">
        <f>IFERROR(_xlfn.XLOOKUP($A10,'Raw_Data'!$B:$B,'Raw_Data'!JE:JE),"")</f>
        <v>38.44</v>
      </c>
      <c r="L10" s="236">
        <f>IFERROR(_xlfn.XLOOKUP($A10,'Raw_Data'!$B:$B,'Raw_Data'!JF:JF),"")</f>
        <v>50.793333333333329</v>
      </c>
      <c r="M10" s="236">
        <f>IFERROR(_xlfn.XLOOKUP($A10,'Raw_Data'!$B:$B,'Raw_Data'!JG:JG),"")</f>
        <v>3.5783333333333331</v>
      </c>
      <c r="N10" s="236">
        <f>IFERROR(_xlfn.XLOOKUP($A10,'Raw_Data'!$B:$B,'Raw_Data'!JH:JH),"")</f>
        <v>8.5550000000000015</v>
      </c>
      <c r="O10" s="237">
        <f>IFERROR(1-SUMIF(PA!$B:$B,$A10,PA!$AL:$AL)/($AA10+SUMIF(PA!$B:$B,$A10,PA!$AL:$AL)),"")</f>
        <v>0.9999647087025676</v>
      </c>
      <c r="P10" s="238"/>
      <c r="Q10" s="239"/>
      <c r="R10" s="240">
        <f>IFERROR(1-SUMIF(GA!$C:$C,$A10,GA!$X:$X)/($AA10+SUMIF(GA!$C:$C,$A10,GA!$X:$X)),"")</f>
        <v>1</v>
      </c>
      <c r="S10" s="186"/>
      <c r="T10" s="239"/>
      <c r="U10" s="237">
        <f t="shared" si="1"/>
        <v>0.76350725865753355</v>
      </c>
      <c r="V10" s="237">
        <f>IFERROR(_xlfn.XLOOKUP($A10,'Raw_Data'!$B:$B,'Raw_Data'!$JL:$JL),"")</f>
        <v>0.81340563698626922</v>
      </c>
      <c r="W10" s="240">
        <f t="shared" si="2"/>
        <v>0.24522368550632587</v>
      </c>
      <c r="X10" s="228">
        <f>IFERROR(_xlfn.XLOOKUP($A10,'Raw_Data'!$B:$B,'Raw_Data'!$JI:$JI),"")</f>
        <v>1989573.0999999994</v>
      </c>
      <c r="Y10" s="228">
        <f>IFERROR(_xlfn.XLOOKUP($A10,'Raw_Data'!$B:$B,'Raw_Data'!IT:IT),"")</f>
        <v>1976600.0000000058</v>
      </c>
      <c r="Z10" s="228">
        <f>IFERROR(_xlfn.XLOOKUP($A10,'Raw_Data'!$B:$B,'Raw_Data'!IU:IU),"")</f>
        <v>4466.0000000000082</v>
      </c>
      <c r="AA10" s="228">
        <f>IFERROR(_xlfn.XLOOKUP($A10,'Raw_Data'!$B:$B,'Raw_Data'!IW:IW),"")</f>
        <v>1972134.0000000058</v>
      </c>
      <c r="AB10" s="228">
        <f>IFERROR(_xlfn.XLOOKUP($A10,'Raw_Data'!$B:$B,'Raw_Data'!I:I)/1000,"")</f>
        <v>335.09089</v>
      </c>
      <c r="AC10" s="241">
        <f>IFERROR(_xlfn.XLOOKUP($D10,'Modelling New'!$D:$D,'Modelling New'!$P:$P),"")</f>
        <v>7.1966666666666672</v>
      </c>
      <c r="AD10" s="228">
        <f>IFERROR(_xlfn.XLOOKUP($D10,'Modelling New'!$D:$D,'Modelling New'!$T:$T)*1000,"")</f>
        <v>1944729.7154761388</v>
      </c>
      <c r="AE10" s="240">
        <f>IFERROR(_xlfn.XLOOKUP($D10,'Modelling New'!$D:$D,'Modelling New'!$O:$O),"")</f>
        <v>0.80642707268055158</v>
      </c>
      <c r="AF10" s="240">
        <f>IFERROR(_xlfn.XLOOKUP($D10,'Modelling New'!$D:$D,'Modelling New'!$W:$W),"")</f>
        <v>0.24181611804407097</v>
      </c>
      <c r="AG10" s="240">
        <f>IFERROR(_xlfn.XLOOKUP($D10,'Modelling New'!$D:$D,'Modelling New'!AE:AE),"")</f>
        <v>0.99750000000000005</v>
      </c>
      <c r="AH10" s="240">
        <f>IFERROR(_xlfn.XLOOKUP($D10,'Modelling New'!$D:$D,'Modelling New'!AF:AF),"")</f>
        <v>0.99750000000000005</v>
      </c>
      <c r="AI10" s="186"/>
      <c r="AJ10" s="186"/>
      <c r="AK10" s="226">
        <v>0.98</v>
      </c>
      <c r="AL10" s="224">
        <f>IFERROR(Table13[[#This Row],[RA (%)]]*9270*58,"")</f>
        <v>526906.80000000005</v>
      </c>
      <c r="AM10" s="225"/>
      <c r="AN10" s="238"/>
      <c r="AO10" s="240"/>
      <c r="AP10" s="240"/>
      <c r="AQ10" s="240"/>
      <c r="AR10" s="242">
        <f>IFERROR(_xlfn.XLOOKUP($D10,'Modelling New'!$D:$D,'Modelling New'!$N:$N),"")</f>
        <v>335.09100000000001</v>
      </c>
    </row>
    <row r="11" spans="1:45">
      <c r="A11" s="233">
        <f t="shared" si="3"/>
        <v>45754</v>
      </c>
      <c r="B11" s="228">
        <f>YEAR(Table13[[#This Row],[Date]])+IF(MONTH(Table13[[#This Row],[Date]])&gt;=4,1,0)</f>
        <v>2026</v>
      </c>
      <c r="C11" s="186">
        <f>YEAR(Table13[[#This Row],[Date]])</f>
        <v>2025</v>
      </c>
      <c r="D11" s="234">
        <f>Table13[[#This Row],[Date]]-DAY(Table13[[#This Row],[Date]])+1</f>
        <v>45748</v>
      </c>
      <c r="E11" s="186">
        <f t="shared" si="0"/>
        <v>30</v>
      </c>
      <c r="F11" s="235">
        <f>IFERROR(_xlfn.XLOOKUP($A11,'Raw_Data'!$B:$B,'Raw_Data'!$IX:$IX),"")</f>
        <v>12.316666666666666</v>
      </c>
      <c r="G11" s="236">
        <f>IFERROR(_xlfn.XLOOKUP($A11,'Raw_Data'!$B:$B,'Raw_Data'!IY:IY),"")</f>
        <v>7.1678154166666657</v>
      </c>
      <c r="H11" s="236">
        <f>IFERROR(_xlfn.XLOOKUP($A11,'Raw_Data'!$B:$B,'Raw_Data'!IZ:IZ),"")</f>
        <v>1.9799602500000002</v>
      </c>
      <c r="I11" s="236">
        <f>IFERROR(_xlfn.XLOOKUP($A11,'Raw_Data'!$B:$B,'Raw_Data'!JA:JA),"")</f>
        <v>7.5301948888888859</v>
      </c>
      <c r="J11" s="236">
        <f>IFERROR(_xlfn.XLOOKUP($A11,'Raw_Data'!$B:$B,'Raw_Data'!JB:JB),"")</f>
        <v>0.45340672222222206</v>
      </c>
      <c r="K11" s="236">
        <f>IFERROR(_xlfn.XLOOKUP($A11,'Raw_Data'!$B:$B,'Raw_Data'!JE:JE),"")</f>
        <v>37.747549837737601</v>
      </c>
      <c r="L11" s="236">
        <f>IFERROR(_xlfn.XLOOKUP($A11,'Raw_Data'!$B:$B,'Raw_Data'!JF:JF),"")</f>
        <v>53.282733328697304</v>
      </c>
      <c r="M11" s="236">
        <f>IFERROR(_xlfn.XLOOKUP($A11,'Raw_Data'!$B:$B,'Raw_Data'!JG:JG),"")</f>
        <v>1.9381771689568854</v>
      </c>
      <c r="N11" s="236">
        <f>IFERROR(_xlfn.XLOOKUP($A11,'Raw_Data'!$B:$B,'Raw_Data'!JH:JH),"")</f>
        <v>6.556388666666666</v>
      </c>
      <c r="O11" s="237">
        <f>IFERROR(1-SUMIF(PA!$B:$B,$A11,PA!$AL:$AL)/($AA11+SUMIF(PA!$B:$B,$A11,PA!$AL:$AL)),"")</f>
        <v>1</v>
      </c>
      <c r="P11" s="238"/>
      <c r="Q11" s="239"/>
      <c r="R11" s="240">
        <f>IFERROR(1-SUMIF(GA!$C:$C,$A11,GA!$X:$X)/($AA11+SUMIF(GA!$C:$C,$A11,GA!$X:$X)),"")</f>
        <v>1</v>
      </c>
      <c r="S11" s="186"/>
      <c r="T11" s="239"/>
      <c r="U11" s="237">
        <f t="shared" si="1"/>
        <v>0.72635025998899205</v>
      </c>
      <c r="V11" s="237">
        <f>IFERROR(_xlfn.XLOOKUP($A11,'Raw_Data'!$B:$B,'Raw_Data'!$JL:$JL),"")</f>
        <v>0.81929950378969441</v>
      </c>
      <c r="W11" s="240">
        <f t="shared" si="2"/>
        <v>0.22789829230467593</v>
      </c>
      <c r="X11" s="228">
        <f>IFERROR(_xlfn.XLOOKUP($A11,'Raw_Data'!$B:$B,'Raw_Data'!$JI:$JI),"")</f>
        <v>1847572.8000000003</v>
      </c>
      <c r="Y11" s="228">
        <f>IFERROR(_xlfn.XLOOKUP($A11,'Raw_Data'!$B:$B,'Raw_Data'!IT:IT),"")</f>
        <v>1837333.9999999879</v>
      </c>
      <c r="Z11" s="228">
        <f>IFERROR(_xlfn.XLOOKUP($A11,'Raw_Data'!$B:$B,'Raw_Data'!IU:IU),"")</f>
        <v>4533.9999999999918</v>
      </c>
      <c r="AA11" s="228">
        <f>IFERROR(_xlfn.XLOOKUP($A11,'Raw_Data'!$B:$B,'Raw_Data'!IW:IW),"")</f>
        <v>1832799.9999999879</v>
      </c>
      <c r="AB11" s="228">
        <f>IFERROR(_xlfn.XLOOKUP($A11,'Raw_Data'!$B:$B,'Raw_Data'!I:I)/1000,"")</f>
        <v>335.09089</v>
      </c>
      <c r="AC11" s="241">
        <f>IFERROR(_xlfn.XLOOKUP($D11,'Modelling New'!$D:$D,'Modelling New'!$P:$P),"")</f>
        <v>7.1966666666666672</v>
      </c>
      <c r="AD11" s="228">
        <f>IFERROR(_xlfn.XLOOKUP($D11,'Modelling New'!$D:$D,'Modelling New'!$T:$T)*1000,"")</f>
        <v>1944729.7154761388</v>
      </c>
      <c r="AE11" s="240">
        <f>IFERROR(_xlfn.XLOOKUP($D11,'Modelling New'!$D:$D,'Modelling New'!$O:$O),"")</f>
        <v>0.80642707268055158</v>
      </c>
      <c r="AF11" s="240">
        <f>IFERROR(_xlfn.XLOOKUP($D11,'Modelling New'!$D:$D,'Modelling New'!$W:$W),"")</f>
        <v>0.24181611804407097</v>
      </c>
      <c r="AG11" s="240">
        <f>IFERROR(_xlfn.XLOOKUP($D11,'Modelling New'!$D:$D,'Modelling New'!AE:AE),"")</f>
        <v>0.99750000000000005</v>
      </c>
      <c r="AH11" s="240">
        <f>IFERROR(_xlfn.XLOOKUP($D11,'Modelling New'!$D:$D,'Modelling New'!AF:AF),"")</f>
        <v>0.99750000000000005</v>
      </c>
      <c r="AI11" s="186"/>
      <c r="AJ11" s="186"/>
      <c r="AK11" s="226">
        <v>0.97499999999999998</v>
      </c>
      <c r="AL11" s="224">
        <f>IFERROR(Table13[[#This Row],[RA (%)]]*9270*58,"")</f>
        <v>524218.5</v>
      </c>
      <c r="AM11" s="225"/>
      <c r="AN11" s="238"/>
      <c r="AO11" s="240"/>
      <c r="AP11" s="240"/>
      <c r="AQ11" s="240"/>
      <c r="AR11" s="242">
        <f>IFERROR(_xlfn.XLOOKUP($D11,'Modelling New'!$D:$D,'Modelling New'!$N:$N),"")</f>
        <v>335.09100000000001</v>
      </c>
    </row>
    <row r="12" spans="1:45">
      <c r="A12" s="233">
        <f t="shared" si="3"/>
        <v>45755</v>
      </c>
      <c r="B12" s="228">
        <f>YEAR(Table13[[#This Row],[Date]])+IF(MONTH(Table13[[#This Row],[Date]])&gt;=4,1,0)</f>
        <v>2026</v>
      </c>
      <c r="C12" s="186">
        <f>YEAR(Table13[[#This Row],[Date]])</f>
        <v>2025</v>
      </c>
      <c r="D12" s="234">
        <f>Table13[[#This Row],[Date]]-DAY(Table13[[#This Row],[Date]])+1</f>
        <v>45748</v>
      </c>
      <c r="E12" s="186">
        <f t="shared" si="0"/>
        <v>30</v>
      </c>
      <c r="F12" s="235">
        <f>IFERROR(_xlfn.XLOOKUP($A12,'Raw_Data'!$B:$B,'Raw_Data'!$IX:$IX),"")</f>
        <v>12.283333333333331</v>
      </c>
      <c r="G12" s="236">
        <f>IFERROR(_xlfn.XLOOKUP($A12,'Raw_Data'!$B:$B,'Raw_Data'!IY:IY),"")</f>
        <v>7.1616666666666662</v>
      </c>
      <c r="H12" s="236">
        <f>IFERROR(_xlfn.XLOOKUP($A12,'Raw_Data'!$B:$B,'Raw_Data'!IZ:IZ),"")</f>
        <v>1.9950000000000001</v>
      </c>
      <c r="I12" s="236">
        <f>IFERROR(_xlfn.XLOOKUP($A12,'Raw_Data'!$B:$B,'Raw_Data'!JA:JA),"")</f>
        <v>7.503333333333333</v>
      </c>
      <c r="J12" s="236">
        <f>IFERROR(_xlfn.XLOOKUP($A12,'Raw_Data'!$B:$B,'Raw_Data'!JB:JB),"")</f>
        <v>0.47500000000000003</v>
      </c>
      <c r="K12" s="236">
        <f>IFERROR(_xlfn.XLOOKUP($A12,'Raw_Data'!$B:$B,'Raw_Data'!JE:JE),"")</f>
        <v>39.253333333333337</v>
      </c>
      <c r="L12" s="236">
        <f>IFERROR(_xlfn.XLOOKUP($A12,'Raw_Data'!$B:$B,'Raw_Data'!JF:JF),"")</f>
        <v>51.390000000000008</v>
      </c>
      <c r="M12" s="236">
        <f>IFERROR(_xlfn.XLOOKUP($A12,'Raw_Data'!$B:$B,'Raw_Data'!JG:JG),"")</f>
        <v>5.085</v>
      </c>
      <c r="N12" s="236">
        <f>IFERROR(_xlfn.XLOOKUP($A12,'Raw_Data'!$B:$B,'Raw_Data'!JH:JH),"")</f>
        <v>9.6033333333333335</v>
      </c>
      <c r="O12" s="237">
        <f>IFERROR(1-SUMIF(PA!$B:$B,$A12,PA!$AL:$AL)/($AA12+SUMIF(PA!$B:$B,$A12,PA!$AL:$AL)),"")</f>
        <v>1</v>
      </c>
      <c r="P12" s="238"/>
      <c r="Q12" s="239"/>
      <c r="R12" s="240">
        <f>IFERROR(1-SUMIF(GA!$C:$C,$A12,GA!$X:$X)/($AA12+SUMIF(GA!$C:$C,$A12,GA!$X:$X)),"")</f>
        <v>1</v>
      </c>
      <c r="S12" s="186"/>
      <c r="T12" s="239"/>
      <c r="U12" s="237">
        <f t="shared" si="1"/>
        <v>0.78940477205764326</v>
      </c>
      <c r="V12" s="237">
        <f>IFERROR(_xlfn.XLOOKUP($A12,'Raw_Data'!$B:$B,'Raw_Data'!$JL:$JL),"")</f>
        <v>0.81589814261638771</v>
      </c>
      <c r="W12" s="240">
        <f t="shared" si="2"/>
        <v>0.2467986308196882</v>
      </c>
      <c r="X12" s="228">
        <f>IFERROR(_xlfn.XLOOKUP($A12,'Raw_Data'!$B:$B,'Raw_Data'!$JI:$JI),"")</f>
        <v>2002346.7</v>
      </c>
      <c r="Y12" s="228">
        <f>IFERROR(_xlfn.XLOOKUP($A12,'Raw_Data'!$B:$B,'Raw_Data'!IT:IT),"")</f>
        <v>1989266.0000000033</v>
      </c>
      <c r="Z12" s="228">
        <f>IFERROR(_xlfn.XLOOKUP($A12,'Raw_Data'!$B:$B,'Raw_Data'!IU:IU),"")</f>
        <v>4466.0000000000082</v>
      </c>
      <c r="AA12" s="228">
        <f>IFERROR(_xlfn.XLOOKUP($A12,'Raw_Data'!$B:$B,'Raw_Data'!IW:IW),"")</f>
        <v>1984800.0000000033</v>
      </c>
      <c r="AB12" s="228">
        <f>IFERROR(_xlfn.XLOOKUP($A12,'Raw_Data'!$B:$B,'Raw_Data'!I:I)/1000,"")</f>
        <v>335.09089</v>
      </c>
      <c r="AC12" s="241">
        <f>IFERROR(_xlfn.XLOOKUP($D12,'Modelling New'!$D:$D,'Modelling New'!$P:$P),"")</f>
        <v>7.1966666666666672</v>
      </c>
      <c r="AD12" s="228">
        <f>IFERROR(_xlfn.XLOOKUP($D12,'Modelling New'!$D:$D,'Modelling New'!$T:$T)*1000,"")</f>
        <v>1944729.7154761388</v>
      </c>
      <c r="AE12" s="240">
        <f>IFERROR(_xlfn.XLOOKUP($D12,'Modelling New'!$D:$D,'Modelling New'!$O:$O),"")</f>
        <v>0.80642707268055158</v>
      </c>
      <c r="AF12" s="240">
        <f>IFERROR(_xlfn.XLOOKUP($D12,'Modelling New'!$D:$D,'Modelling New'!$W:$W),"")</f>
        <v>0.24181611804407097</v>
      </c>
      <c r="AG12" s="240">
        <f>IFERROR(_xlfn.XLOOKUP($D12,'Modelling New'!$D:$D,'Modelling New'!AE:AE),"")</f>
        <v>0.99750000000000005</v>
      </c>
      <c r="AH12" s="240">
        <f>IFERROR(_xlfn.XLOOKUP($D12,'Modelling New'!$D:$D,'Modelling New'!AF:AF),"")</f>
        <v>0.99750000000000005</v>
      </c>
      <c r="AI12" s="186"/>
      <c r="AJ12" s="186"/>
      <c r="AK12" s="227">
        <v>0.97799999999999998</v>
      </c>
      <c r="AL12" s="224">
        <f>IFERROR(Table13[[#This Row],[RA (%)]]*9270*58,"")</f>
        <v>525831.48</v>
      </c>
      <c r="AM12" s="225"/>
      <c r="AN12" s="238"/>
      <c r="AO12" s="240"/>
      <c r="AP12" s="240"/>
      <c r="AQ12" s="240"/>
      <c r="AR12" s="242">
        <f>IFERROR(_xlfn.XLOOKUP($D12,'Modelling New'!$D:$D,'Modelling New'!$N:$N),"")</f>
        <v>335.09100000000001</v>
      </c>
    </row>
    <row r="13" spans="1:45">
      <c r="A13" s="233">
        <f t="shared" si="3"/>
        <v>45756</v>
      </c>
      <c r="B13" s="228">
        <f>YEAR(Table13[[#This Row],[Date]])+IF(MONTH(Table13[[#This Row],[Date]])&gt;=4,1,0)</f>
        <v>2026</v>
      </c>
      <c r="C13" s="186">
        <f>YEAR(Table13[[#This Row],[Date]])</f>
        <v>2025</v>
      </c>
      <c r="D13" s="234">
        <f>Table13[[#This Row],[Date]]-DAY(Table13[[#This Row],[Date]])+1</f>
        <v>45748</v>
      </c>
      <c r="E13" s="186">
        <f t="shared" si="0"/>
        <v>30</v>
      </c>
      <c r="F13" s="235">
        <f>IFERROR(_xlfn.XLOOKUP($A13,'Raw_Data'!$B:$B,'Raw_Data'!$IX:$IX),"")</f>
        <v>12.349999999999998</v>
      </c>
      <c r="G13" s="236">
        <f>IFERROR(_xlfn.XLOOKUP($A13,'Raw_Data'!$B:$B,'Raw_Data'!IY:IY),"")</f>
        <v>7.166666666666667</v>
      </c>
      <c r="H13" s="236">
        <f>IFERROR(_xlfn.XLOOKUP($A13,'Raw_Data'!$B:$B,'Raw_Data'!IZ:IZ),"")</f>
        <v>2.0033333333333334</v>
      </c>
      <c r="I13" s="236">
        <f>IFERROR(_xlfn.XLOOKUP($A13,'Raw_Data'!$B:$B,'Raw_Data'!JA:JA),"")</f>
        <v>7.4966666666666661</v>
      </c>
      <c r="J13" s="236">
        <f>IFERROR(_xlfn.XLOOKUP($A13,'Raw_Data'!$B:$B,'Raw_Data'!JB:JB),"")</f>
        <v>0.46833333333333332</v>
      </c>
      <c r="K13" s="236">
        <f>IFERROR(_xlfn.XLOOKUP($A13,'Raw_Data'!$B:$B,'Raw_Data'!JE:JE),"")</f>
        <v>37.934999999999995</v>
      </c>
      <c r="L13" s="236">
        <f>IFERROR(_xlfn.XLOOKUP($A13,'Raw_Data'!$B:$B,'Raw_Data'!JF:JF),"")</f>
        <v>50.656666666666666</v>
      </c>
      <c r="M13" s="236">
        <f>IFERROR(_xlfn.XLOOKUP($A13,'Raw_Data'!$B:$B,'Raw_Data'!JG:JG),"")</f>
        <v>3.6633333333333336</v>
      </c>
      <c r="N13" s="236">
        <f>IFERROR(_xlfn.XLOOKUP($A13,'Raw_Data'!$B:$B,'Raw_Data'!JH:JH),"")</f>
        <v>9.081666666666667</v>
      </c>
      <c r="O13" s="237">
        <f>IFERROR(1-SUMIF(PA!$B:$B,$A13,PA!$AL:$AL)/($AA13+SUMIF(PA!$B:$B,$A13,PA!$AL:$AL)),"")</f>
        <v>1</v>
      </c>
      <c r="P13" s="238"/>
      <c r="Q13" s="239"/>
      <c r="R13" s="240">
        <f>IFERROR(1-SUMIF(GA!$C:$C,$A13,GA!$X:$X)/($AA13+SUMIF(GA!$C:$C,$A13,GA!$X:$X)),"")</f>
        <v>1</v>
      </c>
      <c r="S13" s="186"/>
      <c r="T13" s="239"/>
      <c r="U13" s="237">
        <f t="shared" si="1"/>
        <v>0.7889654853072251</v>
      </c>
      <c r="V13" s="237">
        <f>IFERROR(_xlfn.XLOOKUP($A13,'Raw_Data'!$B:$B,'Raw_Data'!$JL:$JL),"")</f>
        <v>0.81589675598347255</v>
      </c>
      <c r="W13" s="240">
        <f t="shared" si="2"/>
        <v>0.24644213561888181</v>
      </c>
      <c r="X13" s="228">
        <f>IFERROR(_xlfn.XLOOKUP($A13,'Raw_Data'!$B:$B,'Raw_Data'!$JI:$JI),"")</f>
        <v>1998756.4999999991</v>
      </c>
      <c r="Y13" s="228">
        <f>IFERROR(_xlfn.XLOOKUP($A13,'Raw_Data'!$B:$B,'Raw_Data'!IT:IT),"")</f>
        <v>1985667.0000000014</v>
      </c>
      <c r="Z13" s="228">
        <f>IFERROR(_xlfn.XLOOKUP($A13,'Raw_Data'!$B:$B,'Raw_Data'!IU:IU),"")</f>
        <v>3734.0000000000091</v>
      </c>
      <c r="AA13" s="228">
        <f>IFERROR(_xlfn.XLOOKUP($A13,'Raw_Data'!$B:$B,'Raw_Data'!IW:IW),"")</f>
        <v>1981933.0000000014</v>
      </c>
      <c r="AB13" s="228">
        <f>IFERROR(_xlfn.XLOOKUP($A13,'Raw_Data'!$B:$B,'Raw_Data'!I:I)/1000,"")</f>
        <v>335.09089</v>
      </c>
      <c r="AC13" s="241">
        <f>IFERROR(_xlfn.XLOOKUP($D13,'Modelling New'!$D:$D,'Modelling New'!$P:$P),"")</f>
        <v>7.1966666666666672</v>
      </c>
      <c r="AD13" s="228">
        <f>IFERROR(_xlfn.XLOOKUP($D13,'Modelling New'!$D:$D,'Modelling New'!$T:$T)*1000,"")</f>
        <v>1944729.7154761388</v>
      </c>
      <c r="AE13" s="240">
        <f>IFERROR(_xlfn.XLOOKUP($D13,'Modelling New'!$D:$D,'Modelling New'!$O:$O),"")</f>
        <v>0.80642707268055158</v>
      </c>
      <c r="AF13" s="240">
        <f>IFERROR(_xlfn.XLOOKUP($D13,'Modelling New'!$D:$D,'Modelling New'!$W:$W),"")</f>
        <v>0.24181611804407097</v>
      </c>
      <c r="AG13" s="240">
        <f>IFERROR(_xlfn.XLOOKUP($D13,'Modelling New'!$D:$D,'Modelling New'!AE:AE),"")</f>
        <v>0.99750000000000005</v>
      </c>
      <c r="AH13" s="240">
        <f>IFERROR(_xlfn.XLOOKUP($D13,'Modelling New'!$D:$D,'Modelling New'!AF:AF),"")</f>
        <v>0.99750000000000005</v>
      </c>
      <c r="AI13" s="186"/>
      <c r="AJ13" s="186"/>
      <c r="AK13" s="227">
        <v>0.97699999999999998</v>
      </c>
      <c r="AL13" s="224">
        <f>IFERROR(Table13[[#This Row],[RA (%)]]*9270*58,"")</f>
        <v>525293.81999999995</v>
      </c>
      <c r="AM13" s="225"/>
      <c r="AN13" s="238"/>
      <c r="AO13" s="240"/>
      <c r="AP13" s="240"/>
      <c r="AQ13" s="240"/>
      <c r="AR13" s="242">
        <f>IFERROR(_xlfn.XLOOKUP($D13,'Modelling New'!$D:$D,'Modelling New'!$N:$N),"")</f>
        <v>335.09100000000001</v>
      </c>
    </row>
    <row r="14" spans="1:45">
      <c r="A14" s="233">
        <f t="shared" si="3"/>
        <v>45757</v>
      </c>
      <c r="B14" s="228">
        <f>YEAR(Table13[[#This Row],[Date]])+IF(MONTH(Table13[[#This Row],[Date]])&gt;=4,1,0)</f>
        <v>2026</v>
      </c>
      <c r="C14" s="186">
        <f>YEAR(Table13[[#This Row],[Date]])</f>
        <v>2025</v>
      </c>
      <c r="D14" s="234">
        <f>Table13[[#This Row],[Date]]-DAY(Table13[[#This Row],[Date]])+1</f>
        <v>45748</v>
      </c>
      <c r="E14" s="186">
        <f t="shared" si="0"/>
        <v>30</v>
      </c>
      <c r="F14" s="235">
        <f>IFERROR(_xlfn.XLOOKUP($A14,'Raw_Data'!$B:$B,'Raw_Data'!$IX:$IX),"")</f>
        <v>12.466666666666665</v>
      </c>
      <c r="G14" s="236">
        <f>IFERROR(_xlfn.XLOOKUP($A14,'Raw_Data'!$B:$B,'Raw_Data'!IY:IY),"")</f>
        <v>7.1040620833333348</v>
      </c>
      <c r="H14" s="236">
        <f>IFERROR(_xlfn.XLOOKUP($A14,'Raw_Data'!$B:$B,'Raw_Data'!IZ:IZ),"")</f>
        <v>1.967896166666667</v>
      </c>
      <c r="I14" s="236">
        <f>IFERROR(_xlfn.XLOOKUP($A14,'Raw_Data'!$B:$B,'Raw_Data'!JA:JA),"")</f>
        <v>7.4039530833333318</v>
      </c>
      <c r="J14" s="236">
        <f>IFERROR(_xlfn.XLOOKUP($A14,'Raw_Data'!$B:$B,'Raw_Data'!JB:JB),"")</f>
        <v>0.48304038888888901</v>
      </c>
      <c r="K14" s="236">
        <f>IFERROR(_xlfn.XLOOKUP($A14,'Raw_Data'!$B:$B,'Raw_Data'!JE:JE),"")</f>
        <v>34.798763812154696</v>
      </c>
      <c r="L14" s="236">
        <f>IFERROR(_xlfn.XLOOKUP($A14,'Raw_Data'!$B:$B,'Raw_Data'!JF:JF),"")</f>
        <v>47.90010589318598</v>
      </c>
      <c r="M14" s="236">
        <f>IFERROR(_xlfn.XLOOKUP($A14,'Raw_Data'!$B:$B,'Raw_Data'!JG:JG),"")</f>
        <v>4.9061915001381244</v>
      </c>
      <c r="N14" s="236">
        <f>IFERROR(_xlfn.XLOOKUP($A14,'Raw_Data'!$B:$B,'Raw_Data'!JH:JH),"")</f>
        <v>11.266666666666666</v>
      </c>
      <c r="O14" s="237">
        <f>IFERROR(1-SUMIF(PA!$B:$B,$A14,PA!$AL:$AL)/($AA14+SUMIF(PA!$B:$B,$A14,PA!$AL:$AL)),"")</f>
        <v>1</v>
      </c>
      <c r="P14" s="238"/>
      <c r="Q14" s="239"/>
      <c r="R14" s="240">
        <f>IFERROR(1-SUMIF(GA!$C:$C,$A14,GA!$X:$X)/($AA14+SUMIF(GA!$C:$C,$A14,GA!$X:$X)),"")</f>
        <v>1</v>
      </c>
      <c r="S14" s="186"/>
      <c r="T14" s="239"/>
      <c r="U14" s="237">
        <f t="shared" si="1"/>
        <v>0.8023388030874925</v>
      </c>
      <c r="V14" s="237">
        <f>IFERROR(_xlfn.XLOOKUP($A14,'Raw_Data'!$B:$B,'Raw_Data'!$JL:$JL),"")</f>
        <v>0.81575036025915837</v>
      </c>
      <c r="W14" s="240">
        <f t="shared" si="2"/>
        <v>0.24751995229156726</v>
      </c>
      <c r="X14" s="228">
        <f>IFERROR(_xlfn.XLOOKUP($A14,'Raw_Data'!$B:$B,'Raw_Data'!$JI:$JI),"")</f>
        <v>2008891.8999999997</v>
      </c>
      <c r="Y14" s="228">
        <f>IFERROR(_xlfn.XLOOKUP($A14,'Raw_Data'!$B:$B,'Raw_Data'!IT:IT),"")</f>
        <v>1995134.0000000056</v>
      </c>
      <c r="Z14" s="228">
        <f>IFERROR(_xlfn.XLOOKUP($A14,'Raw_Data'!$B:$B,'Raw_Data'!IU:IU),"")</f>
        <v>4532.9999999999873</v>
      </c>
      <c r="AA14" s="228">
        <f>IFERROR(_xlfn.XLOOKUP($A14,'Raw_Data'!$B:$B,'Raw_Data'!IW:IW),"")</f>
        <v>1990601.0000000056</v>
      </c>
      <c r="AB14" s="228">
        <f>IFERROR(_xlfn.XLOOKUP($A14,'Raw_Data'!$B:$B,'Raw_Data'!I:I)/1000,"")</f>
        <v>335.09089</v>
      </c>
      <c r="AC14" s="241">
        <f>IFERROR(_xlfn.XLOOKUP($D14,'Modelling New'!$D:$D,'Modelling New'!$P:$P),"")</f>
        <v>7.1966666666666672</v>
      </c>
      <c r="AD14" s="228">
        <f>IFERROR(_xlfn.XLOOKUP($D14,'Modelling New'!$D:$D,'Modelling New'!$T:$T)*1000,"")</f>
        <v>1944729.7154761388</v>
      </c>
      <c r="AE14" s="240">
        <f>IFERROR(_xlfn.XLOOKUP($D14,'Modelling New'!$D:$D,'Modelling New'!$O:$O),"")</f>
        <v>0.80642707268055158</v>
      </c>
      <c r="AF14" s="240">
        <f>IFERROR(_xlfn.XLOOKUP($D14,'Modelling New'!$D:$D,'Modelling New'!$W:$W),"")</f>
        <v>0.24181611804407097</v>
      </c>
      <c r="AG14" s="240">
        <f>IFERROR(_xlfn.XLOOKUP($D14,'Modelling New'!$D:$D,'Modelling New'!AE:AE),"")</f>
        <v>0.99750000000000005</v>
      </c>
      <c r="AH14" s="240">
        <f>IFERROR(_xlfn.XLOOKUP($D14,'Modelling New'!$D:$D,'Modelling New'!AF:AF),"")</f>
        <v>0.99750000000000005</v>
      </c>
      <c r="AI14" s="186"/>
      <c r="AJ14" s="186"/>
      <c r="AK14" s="227">
        <v>0.44900000000000001</v>
      </c>
      <c r="AL14" s="224">
        <f>IFERROR(Table13[[#This Row],[RA (%)]]*9270*58,"")</f>
        <v>241409.34000000003</v>
      </c>
      <c r="AM14" s="225"/>
      <c r="AN14" s="238"/>
      <c r="AO14" s="240"/>
      <c r="AP14" s="240"/>
      <c r="AQ14" s="240"/>
      <c r="AR14" s="242">
        <f>IFERROR(_xlfn.XLOOKUP($D14,'Modelling New'!$D:$D,'Modelling New'!$N:$N),"")</f>
        <v>335.09100000000001</v>
      </c>
    </row>
    <row r="15" spans="1:45">
      <c r="A15" s="233">
        <f t="shared" si="3"/>
        <v>45758</v>
      </c>
      <c r="B15" s="228">
        <f>YEAR(Table13[[#This Row],[Date]])+IF(MONTH(Table13[[#This Row],[Date]])&gt;=4,1,0)</f>
        <v>2026</v>
      </c>
      <c r="C15" s="186">
        <f>YEAR(Table13[[#This Row],[Date]])</f>
        <v>2025</v>
      </c>
      <c r="D15" s="234">
        <f>Table13[[#This Row],[Date]]-DAY(Table13[[#This Row],[Date]])+1</f>
        <v>45748</v>
      </c>
      <c r="E15" s="186">
        <f t="shared" si="0"/>
        <v>30</v>
      </c>
      <c r="F15" s="235">
        <f>IFERROR(_xlfn.XLOOKUP($A15,'Raw_Data'!$B:$B,'Raw_Data'!$IX:$IX),"")</f>
        <v>12.333333333333332</v>
      </c>
      <c r="G15" s="236">
        <f>IFERROR(_xlfn.XLOOKUP($A15,'Raw_Data'!$B:$B,'Raw_Data'!IY:IY),"")</f>
        <v>6.1038245833333287</v>
      </c>
      <c r="H15" s="236">
        <f>IFERROR(_xlfn.XLOOKUP($A15,'Raw_Data'!$B:$B,'Raw_Data'!IZ:IZ),"")</f>
        <v>1.6960727500000006</v>
      </c>
      <c r="I15" s="236">
        <f>IFERROR(_xlfn.XLOOKUP($A15,'Raw_Data'!$B:$B,'Raw_Data'!JA:JA),"")</f>
        <v>6.30487422222222</v>
      </c>
      <c r="J15" s="236">
        <f>IFERROR(_xlfn.XLOOKUP($A15,'Raw_Data'!$B:$B,'Raw_Data'!JB:JB),"")</f>
        <v>0.43846672222222205</v>
      </c>
      <c r="K15" s="236">
        <f>IFERROR(_xlfn.XLOOKUP($A15,'Raw_Data'!$B:$B,'Raw_Data'!JE:JE),"")</f>
        <v>33.908968692449371</v>
      </c>
      <c r="L15" s="236">
        <f>IFERROR(_xlfn.XLOOKUP($A15,'Raw_Data'!$B:$B,'Raw_Data'!JF:JF),"")</f>
        <v>45.200267034990809</v>
      </c>
      <c r="M15" s="236">
        <f>IFERROR(_xlfn.XLOOKUP($A15,'Raw_Data'!$B:$B,'Raw_Data'!JG:JG),"")</f>
        <v>6.0411994955732062</v>
      </c>
      <c r="N15" s="236">
        <f>IFERROR(_xlfn.XLOOKUP($A15,'Raw_Data'!$B:$B,'Raw_Data'!JH:JH),"")</f>
        <v>11.342500000000001</v>
      </c>
      <c r="O15" s="237">
        <f>IFERROR(1-SUMIF(PA!$B:$B,$A15,PA!$AL:$AL)/($AA15+SUMIF(PA!$B:$B,$A15,PA!$AL:$AL)),"")</f>
        <v>1</v>
      </c>
      <c r="P15" s="238"/>
      <c r="Q15" s="239"/>
      <c r="R15" s="240">
        <f>IFERROR(1-SUMIF(GA!$C:$C,$A15,GA!$X:$X)/($AA15+SUMIF(GA!$C:$C,$A15,GA!$X:$X)),"")</f>
        <v>1</v>
      </c>
      <c r="S15" s="186"/>
      <c r="T15" s="239"/>
      <c r="U15" s="237">
        <f t="shared" si="1"/>
        <v>0.81169197535878235</v>
      </c>
      <c r="V15" s="237">
        <f>IFERROR(_xlfn.XLOOKUP($A15,'Raw_Data'!$B:$B,'Raw_Data'!$JL:$JL),"")</f>
        <v>0.81338855000794141</v>
      </c>
      <c r="W15" s="240">
        <f t="shared" si="2"/>
        <v>0.21323399215934249</v>
      </c>
      <c r="X15" s="228">
        <f>IFERROR(_xlfn.XLOOKUP($A15,'Raw_Data'!$B:$B,'Raw_Data'!$JI:$JI),"")</f>
        <v>1730096.5999999999</v>
      </c>
      <c r="Y15" s="228">
        <f>IFERROR(_xlfn.XLOOKUP($A15,'Raw_Data'!$B:$B,'Raw_Data'!IT:IT),"")</f>
        <v>1719466.9999999898</v>
      </c>
      <c r="Z15" s="228">
        <f>IFERROR(_xlfn.XLOOKUP($A15,'Raw_Data'!$B:$B,'Raw_Data'!IU:IU),"")</f>
        <v>4599.9999999999945</v>
      </c>
      <c r="AA15" s="228">
        <f>IFERROR(_xlfn.XLOOKUP($A15,'Raw_Data'!$B:$B,'Raw_Data'!IW:IW),"")</f>
        <v>1714866.9999999898</v>
      </c>
      <c r="AB15" s="228">
        <f>IFERROR(_xlfn.XLOOKUP($A15,'Raw_Data'!$B:$B,'Raw_Data'!I:I)/1000,"")</f>
        <v>335.09089</v>
      </c>
      <c r="AC15" s="241">
        <f>IFERROR(_xlfn.XLOOKUP($D15,'Modelling New'!$D:$D,'Modelling New'!$P:$P),"")</f>
        <v>7.1966666666666672</v>
      </c>
      <c r="AD15" s="228">
        <f>IFERROR(_xlfn.XLOOKUP($D15,'Modelling New'!$D:$D,'Modelling New'!$T:$T)*1000,"")</f>
        <v>1944729.7154761388</v>
      </c>
      <c r="AE15" s="240">
        <f>IFERROR(_xlfn.XLOOKUP($D15,'Modelling New'!$D:$D,'Modelling New'!$O:$O),"")</f>
        <v>0.80642707268055158</v>
      </c>
      <c r="AF15" s="240">
        <f>IFERROR(_xlfn.XLOOKUP($D15,'Modelling New'!$D:$D,'Modelling New'!$W:$W),"")</f>
        <v>0.24181611804407097</v>
      </c>
      <c r="AG15" s="240">
        <f>IFERROR(_xlfn.XLOOKUP($D15,'Modelling New'!$D:$D,'Modelling New'!AE:AE),"")</f>
        <v>0.99750000000000005</v>
      </c>
      <c r="AH15" s="240">
        <f>IFERROR(_xlfn.XLOOKUP($D15,'Modelling New'!$D:$D,'Modelling New'!AF:AF),"")</f>
        <v>0.99750000000000005</v>
      </c>
      <c r="AI15" s="186"/>
      <c r="AJ15" s="186"/>
      <c r="AK15" s="227">
        <v>0.98799999999999999</v>
      </c>
      <c r="AL15" s="224">
        <f>IFERROR(Table13[[#This Row],[RA (%)]]*9270*58,"")</f>
        <v>531208.07999999996</v>
      </c>
      <c r="AM15" s="225"/>
      <c r="AN15" s="238"/>
      <c r="AO15" s="240"/>
      <c r="AP15" s="240"/>
      <c r="AQ15" s="240"/>
      <c r="AR15" s="242">
        <f>IFERROR(_xlfn.XLOOKUP($D15,'Modelling New'!$D:$D,'Modelling New'!$N:$N),"")</f>
        <v>335.09100000000001</v>
      </c>
    </row>
    <row r="16" spans="1:45">
      <c r="A16" s="233">
        <f t="shared" si="3"/>
        <v>45759</v>
      </c>
      <c r="B16" s="228">
        <f>YEAR(Table13[[#This Row],[Date]])+IF(MONTH(Table13[[#This Row],[Date]])&gt;=4,1,0)</f>
        <v>2026</v>
      </c>
      <c r="C16" s="186">
        <f>YEAR(Table13[[#This Row],[Date]])</f>
        <v>2025</v>
      </c>
      <c r="D16" s="234">
        <f>Table13[[#This Row],[Date]]-DAY(Table13[[#This Row],[Date]])+1</f>
        <v>45748</v>
      </c>
      <c r="E16" s="186">
        <f t="shared" si="0"/>
        <v>30</v>
      </c>
      <c r="F16" s="235">
        <f>IFERROR(_xlfn.XLOOKUP($A16,'Raw_Data'!$B:$B,'Raw_Data'!$IX:$IX),"")</f>
        <v>12.366666666666665</v>
      </c>
      <c r="G16" s="236">
        <f>IFERROR(_xlfn.XLOOKUP($A16,'Raw_Data'!$B:$B,'Raw_Data'!IY:IY),"")</f>
        <v>7.1405297222222224</v>
      </c>
      <c r="H16" s="236">
        <f>IFERROR(_xlfn.XLOOKUP($A16,'Raw_Data'!$B:$B,'Raw_Data'!IZ:IZ),"")</f>
        <v>1.9711212500000002</v>
      </c>
      <c r="I16" s="236">
        <f>IFERROR(_xlfn.XLOOKUP($A16,'Raw_Data'!$B:$B,'Raw_Data'!JA:JA),"")</f>
        <v>7.4054061111111089</v>
      </c>
      <c r="J16" s="236">
        <f>IFERROR(_xlfn.XLOOKUP($A16,'Raw_Data'!$B:$B,'Raw_Data'!JB:JB),"")</f>
        <v>0.49010866666666658</v>
      </c>
      <c r="K16" s="236">
        <f>IFERROR(_xlfn.XLOOKUP($A16,'Raw_Data'!$B:$B,'Raw_Data'!JE:JE),"")</f>
        <v>34.092614784205701</v>
      </c>
      <c r="L16" s="236">
        <f>IFERROR(_xlfn.XLOOKUP($A16,'Raw_Data'!$B:$B,'Raw_Data'!JF:JF),"")</f>
        <v>47.966666666666669</v>
      </c>
      <c r="M16" s="236">
        <f>IFERROR(_xlfn.XLOOKUP($A16,'Raw_Data'!$B:$B,'Raw_Data'!JG:JG),"")</f>
        <v>4.9074779869811751</v>
      </c>
      <c r="N16" s="236">
        <f>IFERROR(_xlfn.XLOOKUP($A16,'Raw_Data'!$B:$B,'Raw_Data'!JH:JH),"")</f>
        <v>9.0358328333333322</v>
      </c>
      <c r="O16" s="237">
        <f>IFERROR(1-SUMIF(PA!$B:$B,$A16,PA!$AL:$AL)/($AA16+SUMIF(PA!$B:$B,$A16,PA!$AL:$AL)),"")</f>
        <v>1</v>
      </c>
      <c r="P16" s="238"/>
      <c r="Q16" s="239"/>
      <c r="R16" s="240">
        <f>IFERROR(1-SUMIF(GA!$C:$C,$A16,GA!$X:$X)/($AA16+SUMIF(GA!$C:$C,$A16,GA!$X:$X)),"")</f>
        <v>1</v>
      </c>
      <c r="S16" s="186"/>
      <c r="T16" s="239"/>
      <c r="U16" s="237">
        <f t="shared" si="1"/>
        <v>0.77131235808901288</v>
      </c>
      <c r="V16" s="237">
        <f>IFERROR(_xlfn.XLOOKUP($A16,'Raw_Data'!$B:$B,'Raw_Data'!$JL:$JL),"")</f>
        <v>0.79942029639313228</v>
      </c>
      <c r="W16" s="240">
        <f t="shared" si="2"/>
        <v>0.23799505209032898</v>
      </c>
      <c r="X16" s="228">
        <f>IFERROR(_xlfn.XLOOKUP($A16,'Raw_Data'!$B:$B,'Raw_Data'!$JI:$JI),"")</f>
        <v>1931231.100000001</v>
      </c>
      <c r="Y16" s="228">
        <f>IFERROR(_xlfn.XLOOKUP($A16,'Raw_Data'!$B:$B,'Raw_Data'!IT:IT),"")</f>
        <v>1918533.0000000102</v>
      </c>
      <c r="Z16" s="228">
        <f>IFERROR(_xlfn.XLOOKUP($A16,'Raw_Data'!$B:$B,'Raw_Data'!IU:IU),"")</f>
        <v>4533.0000000000155</v>
      </c>
      <c r="AA16" s="228">
        <f>IFERROR(_xlfn.XLOOKUP($A16,'Raw_Data'!$B:$B,'Raw_Data'!IW:IW),"")</f>
        <v>1914000.0000000102</v>
      </c>
      <c r="AB16" s="228">
        <f>IFERROR(_xlfn.XLOOKUP($A16,'Raw_Data'!$B:$B,'Raw_Data'!I:I)/1000,"")</f>
        <v>335.09089</v>
      </c>
      <c r="AC16" s="241">
        <f>IFERROR(_xlfn.XLOOKUP($D16,'Modelling New'!$D:$D,'Modelling New'!$P:$P),"")</f>
        <v>7.1966666666666672</v>
      </c>
      <c r="AD16" s="228">
        <f>IFERROR(_xlfn.XLOOKUP($D16,'Modelling New'!$D:$D,'Modelling New'!$T:$T)*1000,"")</f>
        <v>1944729.7154761388</v>
      </c>
      <c r="AE16" s="240">
        <f>IFERROR(_xlfn.XLOOKUP($D16,'Modelling New'!$D:$D,'Modelling New'!$O:$O),"")</f>
        <v>0.80642707268055158</v>
      </c>
      <c r="AF16" s="240">
        <f>IFERROR(_xlfn.XLOOKUP($D16,'Modelling New'!$D:$D,'Modelling New'!$W:$W),"")</f>
        <v>0.24181611804407097</v>
      </c>
      <c r="AG16" s="240">
        <f>IFERROR(_xlfn.XLOOKUP($D16,'Modelling New'!$D:$D,'Modelling New'!AE:AE),"")</f>
        <v>0.99750000000000005</v>
      </c>
      <c r="AH16" s="240">
        <f>IFERROR(_xlfn.XLOOKUP($D16,'Modelling New'!$D:$D,'Modelling New'!AF:AF),"")</f>
        <v>0.99750000000000005</v>
      </c>
      <c r="AI16" s="186"/>
      <c r="AJ16" s="186"/>
      <c r="AK16" s="227">
        <v>0.98199999999999998</v>
      </c>
      <c r="AL16" s="224">
        <f>IFERROR(Table13[[#This Row],[RA (%)]]*9270*58,"")</f>
        <v>527982.12</v>
      </c>
      <c r="AM16" s="225"/>
      <c r="AN16" s="238"/>
      <c r="AO16" s="240"/>
      <c r="AP16" s="240"/>
      <c r="AQ16" s="240"/>
      <c r="AR16" s="242">
        <f>IFERROR(_xlfn.XLOOKUP($D16,'Modelling New'!$D:$D,'Modelling New'!$N:$N),"")</f>
        <v>335.09100000000001</v>
      </c>
    </row>
    <row r="17" spans="1:44">
      <c r="A17" s="233">
        <f t="shared" si="3"/>
        <v>45760</v>
      </c>
      <c r="B17" s="228">
        <f>YEAR(Table13[[#This Row],[Date]])+IF(MONTH(Table13[[#This Row],[Date]])&gt;=4,1,0)</f>
        <v>2026</v>
      </c>
      <c r="C17" s="186">
        <f>YEAR(Table13[[#This Row],[Date]])</f>
        <v>2025</v>
      </c>
      <c r="D17" s="234">
        <f>Table13[[#This Row],[Date]]-DAY(Table13[[#This Row],[Date]])+1</f>
        <v>45748</v>
      </c>
      <c r="E17" s="186">
        <f t="shared" si="0"/>
        <v>30</v>
      </c>
      <c r="F17" s="235">
        <f>IFERROR(_xlfn.XLOOKUP($A17,'Raw_Data'!$B:$B,'Raw_Data'!$IX:$IX),"")</f>
        <v>12.433333333333332</v>
      </c>
      <c r="G17" s="236">
        <f>IFERROR(_xlfn.XLOOKUP($A17,'Raw_Data'!$B:$B,'Raw_Data'!IY:IY),"")</f>
        <v>7.3449999999999989</v>
      </c>
      <c r="H17" s="236">
        <f>IFERROR(_xlfn.XLOOKUP($A17,'Raw_Data'!$B:$B,'Raw_Data'!IZ:IZ),"")</f>
        <v>2.0216666666666669</v>
      </c>
      <c r="I17" s="236">
        <f>IFERROR(_xlfn.XLOOKUP($A17,'Raw_Data'!$B:$B,'Raw_Data'!JA:JA),"")</f>
        <v>7.6083333333333334</v>
      </c>
      <c r="J17" s="236">
        <f>IFERROR(_xlfn.XLOOKUP($A17,'Raw_Data'!$B:$B,'Raw_Data'!JB:JB),"")</f>
        <v>0.48500000000000004</v>
      </c>
      <c r="K17" s="236">
        <f>IFERROR(_xlfn.XLOOKUP($A17,'Raw_Data'!$B:$B,'Raw_Data'!JE:JE),"")</f>
        <v>36.43</v>
      </c>
      <c r="L17" s="236">
        <f>IFERROR(_xlfn.XLOOKUP($A17,'Raw_Data'!$B:$B,'Raw_Data'!JF:JF),"")</f>
        <v>51.176666666666669</v>
      </c>
      <c r="M17" s="236">
        <f>IFERROR(_xlfn.XLOOKUP($A17,'Raw_Data'!$B:$B,'Raw_Data'!JG:JG),"")</f>
        <v>3.3533333333333331</v>
      </c>
      <c r="N17" s="236">
        <f>IFERROR(_xlfn.XLOOKUP($A17,'Raw_Data'!$B:$B,'Raw_Data'!JH:JH),"")</f>
        <v>7.9483333333333333</v>
      </c>
      <c r="O17" s="237">
        <f>IFERROR(1-SUMIF(PA!$B:$B,$A17,PA!$AL:$AL)/($AA17+SUMIF(PA!$B:$B,$A17,PA!$AL:$AL)),"")</f>
        <v>1</v>
      </c>
      <c r="P17" s="238"/>
      <c r="Q17" s="239"/>
      <c r="R17" s="240">
        <f>IFERROR(1-SUMIF(GA!$C:$C,$A17,GA!$X:$X)/($AA17+SUMIF(GA!$C:$C,$A17,GA!$X:$X)),"")</f>
        <v>1</v>
      </c>
      <c r="S17" s="186"/>
      <c r="T17" s="239"/>
      <c r="U17" s="237">
        <f t="shared" si="1"/>
        <v>0.78577978145989857</v>
      </c>
      <c r="V17" s="237">
        <f>IFERROR(_xlfn.XLOOKUP($A17,'Raw_Data'!$B:$B,'Raw_Data'!$JL:$JL),"")</f>
        <v>0.81278078790611508</v>
      </c>
      <c r="W17" s="240">
        <f t="shared" si="2"/>
        <v>0.24910310433086372</v>
      </c>
      <c r="X17" s="228">
        <f>IFERROR(_xlfn.XLOOKUP($A17,'Raw_Data'!$B:$B,'Raw_Data'!$JI:$JI),"")</f>
        <v>2021702.5000000002</v>
      </c>
      <c r="Y17" s="228">
        <f>IFERROR(_xlfn.XLOOKUP($A17,'Raw_Data'!$B:$B,'Raw_Data'!IT:IT),"")</f>
        <v>2007800.0000000028</v>
      </c>
      <c r="Z17" s="228">
        <f>IFERROR(_xlfn.XLOOKUP($A17,'Raw_Data'!$B:$B,'Raw_Data'!IU:IU),"")</f>
        <v>4467.0000000000127</v>
      </c>
      <c r="AA17" s="228">
        <f>IFERROR(_xlfn.XLOOKUP($A17,'Raw_Data'!$B:$B,'Raw_Data'!IW:IW),"")</f>
        <v>2003333.0000000028</v>
      </c>
      <c r="AB17" s="228">
        <f>IFERROR(_xlfn.XLOOKUP($A17,'Raw_Data'!$B:$B,'Raw_Data'!I:I)/1000,"")</f>
        <v>335.09089</v>
      </c>
      <c r="AC17" s="241">
        <f>IFERROR(_xlfn.XLOOKUP($D17,'Modelling New'!$D:$D,'Modelling New'!$P:$P),"")</f>
        <v>7.1966666666666672</v>
      </c>
      <c r="AD17" s="228">
        <f>IFERROR(_xlfn.XLOOKUP($D17,'Modelling New'!$D:$D,'Modelling New'!$T:$T)*1000,"")</f>
        <v>1944729.7154761388</v>
      </c>
      <c r="AE17" s="240">
        <f>IFERROR(_xlfn.XLOOKUP($D17,'Modelling New'!$D:$D,'Modelling New'!$O:$O),"")</f>
        <v>0.80642707268055158</v>
      </c>
      <c r="AF17" s="240">
        <f>IFERROR(_xlfn.XLOOKUP($D17,'Modelling New'!$D:$D,'Modelling New'!$W:$W),"")</f>
        <v>0.24181611804407097</v>
      </c>
      <c r="AG17" s="240">
        <f>IFERROR(_xlfn.XLOOKUP($D17,'Modelling New'!$D:$D,'Modelling New'!AE:AE),"")</f>
        <v>0.99750000000000005</v>
      </c>
      <c r="AH17" s="240">
        <f>IFERROR(_xlfn.XLOOKUP($D17,'Modelling New'!$D:$D,'Modelling New'!AF:AF),"")</f>
        <v>0.99750000000000005</v>
      </c>
      <c r="AI17" s="186"/>
      <c r="AJ17" s="186"/>
      <c r="AK17" s="227">
        <v>0.97799999999999998</v>
      </c>
      <c r="AL17" s="224">
        <f>IFERROR(Table13[[#This Row],[RA (%)]]*9270*58,"")</f>
        <v>525831.48</v>
      </c>
      <c r="AM17" s="225"/>
      <c r="AN17" s="238"/>
      <c r="AO17" s="240"/>
      <c r="AP17" s="240"/>
      <c r="AQ17" s="240"/>
      <c r="AR17" s="242">
        <f>IFERROR(_xlfn.XLOOKUP($D17,'Modelling New'!$D:$D,'Modelling New'!$N:$N),"")</f>
        <v>335.09100000000001</v>
      </c>
    </row>
    <row r="18" spans="1:44">
      <c r="A18" s="233">
        <f t="shared" si="3"/>
        <v>45761</v>
      </c>
      <c r="B18" s="228">
        <f>YEAR(Table13[[#This Row],[Date]])+IF(MONTH(Table13[[#This Row],[Date]])&gt;=4,1,0)</f>
        <v>2026</v>
      </c>
      <c r="C18" s="186">
        <f>YEAR(Table13[[#This Row],[Date]])</f>
        <v>2025</v>
      </c>
      <c r="D18" s="234">
        <f>Table13[[#This Row],[Date]]-DAY(Table13[[#This Row],[Date]])+1</f>
        <v>45748</v>
      </c>
      <c r="E18" s="186">
        <f t="shared" si="0"/>
        <v>30</v>
      </c>
      <c r="F18" s="235">
        <f>IFERROR(_xlfn.XLOOKUP($A18,'Raw_Data'!$B:$B,'Raw_Data'!$IX:$IX),"")</f>
        <v>12.466666666666665</v>
      </c>
      <c r="G18" s="236">
        <f>IFERROR(_xlfn.XLOOKUP($A18,'Raw_Data'!$B:$B,'Raw_Data'!IY:IY),"")</f>
        <v>7.083333333333333</v>
      </c>
      <c r="H18" s="236">
        <f>IFERROR(_xlfn.XLOOKUP($A18,'Raw_Data'!$B:$B,'Raw_Data'!IZ:IZ),"")</f>
        <v>1.9599999999999997</v>
      </c>
      <c r="I18" s="236">
        <f>IFERROR(_xlfn.XLOOKUP($A18,'Raw_Data'!$B:$B,'Raw_Data'!JA:JA),"")</f>
        <v>7.3183333333333342</v>
      </c>
      <c r="J18" s="236">
        <f>IFERROR(_xlfn.XLOOKUP($A18,'Raw_Data'!$B:$B,'Raw_Data'!JB:JB),"")</f>
        <v>0.48500000000000004</v>
      </c>
      <c r="K18" s="236">
        <f>IFERROR(_xlfn.XLOOKUP($A18,'Raw_Data'!$B:$B,'Raw_Data'!JE:JE),"")</f>
        <v>37.79666666666666</v>
      </c>
      <c r="L18" s="236">
        <f>IFERROR(_xlfn.XLOOKUP($A18,'Raw_Data'!$B:$B,'Raw_Data'!JF:JF),"")</f>
        <v>54.623333333333335</v>
      </c>
      <c r="M18" s="236">
        <f>IFERROR(_xlfn.XLOOKUP($A18,'Raw_Data'!$B:$B,'Raw_Data'!JG:JG),"")</f>
        <v>2.1966666666666668</v>
      </c>
      <c r="N18" s="236">
        <f>IFERROR(_xlfn.XLOOKUP($A18,'Raw_Data'!$B:$B,'Raw_Data'!JH:JH),"")</f>
        <v>6.8166666666666655</v>
      </c>
      <c r="O18" s="237">
        <f>IFERROR(1-SUMIF(PA!$B:$B,$A18,PA!$AL:$AL)/($AA18+SUMIF(PA!$B:$B,$A18,PA!$AL:$AL)),"")</f>
        <v>1</v>
      </c>
      <c r="P18" s="238"/>
      <c r="Q18" s="239"/>
      <c r="R18" s="240">
        <f>IFERROR(1-SUMIF(GA!$C:$C,$A18,GA!$X:$X)/($AA18+SUMIF(GA!$C:$C,$A18,GA!$X:$X)),"")</f>
        <v>0.34299133613705246</v>
      </c>
      <c r="S18" s="186"/>
      <c r="T18" s="239"/>
      <c r="U18" s="237">
        <f t="shared" si="1"/>
        <v>0.2804978421885474</v>
      </c>
      <c r="V18" s="237">
        <f>IFERROR(_xlfn.XLOOKUP($A18,'Raw_Data'!$B:$B,'Raw_Data'!$JL:$JL),"")</f>
        <v>0.82048867533500092</v>
      </c>
      <c r="W18" s="240">
        <f t="shared" si="2"/>
        <v>8.5532362850688326E-2</v>
      </c>
      <c r="X18" s="228">
        <f>IFERROR(_xlfn.XLOOKUP($A18,'Raw_Data'!$B:$B,'Raw_Data'!$JI:$JI),"")</f>
        <v>695046.99999999988</v>
      </c>
      <c r="Y18" s="228">
        <f>IFERROR(_xlfn.XLOOKUP($A18,'Raw_Data'!$B:$B,'Raw_Data'!IT:IT),"")</f>
        <v>692000</v>
      </c>
      <c r="Z18" s="228">
        <f>IFERROR(_xlfn.XLOOKUP($A18,'Raw_Data'!$B:$B,'Raw_Data'!IU:IU),"")</f>
        <v>4132.9999999999818</v>
      </c>
      <c r="AA18" s="228">
        <f>IFERROR(_xlfn.XLOOKUP($A18,'Raw_Data'!$B:$B,'Raw_Data'!IW:IW),"")</f>
        <v>687867</v>
      </c>
      <c r="AB18" s="228">
        <f>IFERROR(_xlfn.XLOOKUP($A18,'Raw_Data'!$B:$B,'Raw_Data'!I:I)/1000,"")</f>
        <v>335.09089</v>
      </c>
      <c r="AC18" s="241">
        <f>IFERROR(_xlfn.XLOOKUP($D18,'Modelling New'!$D:$D,'Modelling New'!$P:$P),"")</f>
        <v>7.1966666666666672</v>
      </c>
      <c r="AD18" s="228">
        <f>IFERROR(_xlfn.XLOOKUP($D18,'Modelling New'!$D:$D,'Modelling New'!$T:$T)*1000,"")</f>
        <v>1944729.7154761388</v>
      </c>
      <c r="AE18" s="240">
        <f>IFERROR(_xlfn.XLOOKUP($D18,'Modelling New'!$D:$D,'Modelling New'!$O:$O),"")</f>
        <v>0.80642707268055158</v>
      </c>
      <c r="AF18" s="240">
        <f>IFERROR(_xlfn.XLOOKUP($D18,'Modelling New'!$D:$D,'Modelling New'!$W:$W),"")</f>
        <v>0.24181611804407097</v>
      </c>
      <c r="AG18" s="240">
        <f>IFERROR(_xlfn.XLOOKUP($D18,'Modelling New'!$D:$D,'Modelling New'!AE:AE),"")</f>
        <v>0.99750000000000005</v>
      </c>
      <c r="AH18" s="240">
        <f>IFERROR(_xlfn.XLOOKUP($D18,'Modelling New'!$D:$D,'Modelling New'!AF:AF),"")</f>
        <v>0.99750000000000005</v>
      </c>
      <c r="AI18" s="186"/>
      <c r="AJ18" s="186"/>
      <c r="AK18" s="227">
        <v>0.98499999999999999</v>
      </c>
      <c r="AL18" s="224">
        <f>IFERROR(Table13[[#This Row],[RA (%)]]*9270*58,"")</f>
        <v>529595.10000000009</v>
      </c>
      <c r="AM18" s="225"/>
      <c r="AN18" s="238"/>
      <c r="AO18" s="240"/>
      <c r="AP18" s="240"/>
      <c r="AQ18" s="240"/>
      <c r="AR18" s="242">
        <f>IFERROR(_xlfn.XLOOKUP($D18,'Modelling New'!$D:$D,'Modelling New'!$N:$N),"")</f>
        <v>335.09100000000001</v>
      </c>
    </row>
    <row r="19" spans="1:44">
      <c r="A19" s="233">
        <f t="shared" si="3"/>
        <v>45762</v>
      </c>
      <c r="B19" s="228">
        <f>YEAR(Table13[[#This Row],[Date]])+IF(MONTH(Table13[[#This Row],[Date]])&gt;=4,1,0)</f>
        <v>2026</v>
      </c>
      <c r="C19" s="186">
        <f>YEAR(Table13[[#This Row],[Date]])</f>
        <v>2025</v>
      </c>
      <c r="D19" s="234">
        <f>Table13[[#This Row],[Date]]-DAY(Table13[[#This Row],[Date]])+1</f>
        <v>45748</v>
      </c>
      <c r="E19" s="186">
        <f t="shared" si="0"/>
        <v>30</v>
      </c>
      <c r="F19" s="235">
        <f>IFERROR(_xlfn.XLOOKUP($A19,'Raw_Data'!$B:$B,'Raw_Data'!$IX:$IX),"")</f>
        <v>12.499999999999998</v>
      </c>
      <c r="G19" s="236">
        <f>IFERROR(_xlfn.XLOOKUP($A19,'Raw_Data'!$B:$B,'Raw_Data'!IY:IY),"")</f>
        <v>7.0471932777777795</v>
      </c>
      <c r="H19" s="236">
        <f>IFERROR(_xlfn.XLOOKUP($A19,'Raw_Data'!$B:$B,'Raw_Data'!IZ:IZ),"")</f>
        <v>1.9566395555555551</v>
      </c>
      <c r="I19" s="236">
        <f>IFERROR(_xlfn.XLOOKUP($A19,'Raw_Data'!$B:$B,'Raw_Data'!JA:JA),"")</f>
        <v>7.2748741388888893</v>
      </c>
      <c r="J19" s="236">
        <f>IFERROR(_xlfn.XLOOKUP($A19,'Raw_Data'!$B:$B,'Raw_Data'!JB:JB),"")</f>
        <v>0.48993894444444441</v>
      </c>
      <c r="K19" s="236">
        <f>IFERROR(_xlfn.XLOOKUP($A19,'Raw_Data'!$B:$B,'Raw_Data'!JE:JE),"")</f>
        <v>38.979926739926753</v>
      </c>
      <c r="L19" s="236">
        <f>IFERROR(_xlfn.XLOOKUP($A19,'Raw_Data'!$B:$B,'Raw_Data'!JF:JF),"")</f>
        <v>52.063264844322326</v>
      </c>
      <c r="M19" s="236">
        <f>IFERROR(_xlfn.XLOOKUP($A19,'Raw_Data'!$B:$B,'Raw_Data'!JG:JG),"")</f>
        <v>2.4263372791643789</v>
      </c>
      <c r="N19" s="236">
        <f>IFERROR(_xlfn.XLOOKUP($A19,'Raw_Data'!$B:$B,'Raw_Data'!JH:JH),"")</f>
        <v>6.7927773333333326</v>
      </c>
      <c r="O19" s="237">
        <f>IFERROR(1-SUMIF(PA!$B:$B,$A19,PA!$AL:$AL)/($AA19+SUMIF(PA!$B:$B,$A19,PA!$AL:$AL)),"")</f>
        <v>0.93174178241853733</v>
      </c>
      <c r="P19" s="238"/>
      <c r="Q19" s="239"/>
      <c r="R19" s="240">
        <f>IFERROR(1-SUMIF(GA!$C:$C,$A19,GA!$X:$X)/($AA19+SUMIF(GA!$C:$C,$A19,GA!$X:$X)),"")</f>
        <v>1</v>
      </c>
      <c r="S19" s="186"/>
      <c r="T19" s="239"/>
      <c r="U19" s="237">
        <f t="shared" si="1"/>
        <v>0.74574375572755391</v>
      </c>
      <c r="V19" s="237">
        <f>IFERROR(_xlfn.XLOOKUP($A19,'Raw_Data'!$B:$B,'Raw_Data'!$JL:$JL),"")</f>
        <v>0.77643902120195418</v>
      </c>
      <c r="W19" s="240">
        <f t="shared" si="2"/>
        <v>0.22604966511584396</v>
      </c>
      <c r="X19" s="228">
        <f>IFERROR(_xlfn.XLOOKUP($A19,'Raw_Data'!$B:$B,'Raw_Data'!$JI:$JI),"")</f>
        <v>1831071.4000000001</v>
      </c>
      <c r="Y19" s="228">
        <f>IFERROR(_xlfn.XLOOKUP($A19,'Raw_Data'!$B:$B,'Raw_Data'!IT:IT),"")</f>
        <v>1819866.9999999984</v>
      </c>
      <c r="Z19" s="228">
        <f>IFERROR(_xlfn.XLOOKUP($A19,'Raw_Data'!$B:$B,'Raw_Data'!IU:IU),"")</f>
        <v>1933.9999999999691</v>
      </c>
      <c r="AA19" s="228">
        <f>IFERROR(_xlfn.XLOOKUP($A19,'Raw_Data'!$B:$B,'Raw_Data'!IW:IW),"")</f>
        <v>1817932.9999999984</v>
      </c>
      <c r="AB19" s="228">
        <f>IFERROR(_xlfn.XLOOKUP($A19,'Raw_Data'!$B:$B,'Raw_Data'!I:I)/1000,"")</f>
        <v>335.09089</v>
      </c>
      <c r="AC19" s="241">
        <f>IFERROR(_xlfn.XLOOKUP($D19,'Modelling New'!$D:$D,'Modelling New'!$P:$P),"")</f>
        <v>7.1966666666666672</v>
      </c>
      <c r="AD19" s="228">
        <f>IFERROR(_xlfn.XLOOKUP($D19,'Modelling New'!$D:$D,'Modelling New'!$T:$T)*1000,"")</f>
        <v>1944729.7154761388</v>
      </c>
      <c r="AE19" s="240">
        <f>IFERROR(_xlfn.XLOOKUP($D19,'Modelling New'!$D:$D,'Modelling New'!$O:$O),"")</f>
        <v>0.80642707268055158</v>
      </c>
      <c r="AF19" s="240">
        <f>IFERROR(_xlfn.XLOOKUP($D19,'Modelling New'!$D:$D,'Modelling New'!$W:$W),"")</f>
        <v>0.24181611804407097</v>
      </c>
      <c r="AG19" s="240">
        <f>IFERROR(_xlfn.XLOOKUP($D19,'Modelling New'!$D:$D,'Modelling New'!AE:AE),"")</f>
        <v>0.99750000000000005</v>
      </c>
      <c r="AH19" s="240">
        <f>IFERROR(_xlfn.XLOOKUP($D19,'Modelling New'!$D:$D,'Modelling New'!AF:AF),"")</f>
        <v>0.99750000000000005</v>
      </c>
      <c r="AI19" s="186"/>
      <c r="AJ19" s="186"/>
      <c r="AK19" s="227">
        <v>0.98699999999999999</v>
      </c>
      <c r="AL19" s="224">
        <f>IFERROR(Table13[[#This Row],[RA (%)]]*9270*58,"")</f>
        <v>530670.42000000004</v>
      </c>
      <c r="AM19" s="225"/>
      <c r="AN19" s="238"/>
      <c r="AO19" s="240"/>
      <c r="AP19" s="240"/>
      <c r="AQ19" s="240"/>
      <c r="AR19" s="242">
        <f>IFERROR(_xlfn.XLOOKUP($D19,'Modelling New'!$D:$D,'Modelling New'!$N:$N),"")</f>
        <v>335.09100000000001</v>
      </c>
    </row>
    <row r="20" spans="1:44">
      <c r="A20" s="233">
        <f t="shared" si="3"/>
        <v>45763</v>
      </c>
      <c r="B20" s="228">
        <f>YEAR(Table13[[#This Row],[Date]])+IF(MONTH(Table13[[#This Row],[Date]])&gt;=4,1,0)</f>
        <v>2026</v>
      </c>
      <c r="C20" s="186">
        <f>YEAR(Table13[[#This Row],[Date]])</f>
        <v>2025</v>
      </c>
      <c r="D20" s="234">
        <f>Table13[[#This Row],[Date]]-DAY(Table13[[#This Row],[Date]])+1</f>
        <v>45748</v>
      </c>
      <c r="E20" s="186">
        <f t="shared" si="0"/>
        <v>30</v>
      </c>
      <c r="F20" s="235">
        <f>IFERROR(_xlfn.XLOOKUP($A20,'Raw_Data'!$B:$B,'Raw_Data'!$IX:$IX),"")</f>
        <v>12.55</v>
      </c>
      <c r="G20" s="236">
        <f>IFERROR(_xlfn.XLOOKUP($A20,'Raw_Data'!$B:$B,'Raw_Data'!IY:IY),"")</f>
        <v>6.8865914444444458</v>
      </c>
      <c r="H20" s="236">
        <f>IFERROR(_xlfn.XLOOKUP($A20,'Raw_Data'!$B:$B,'Raw_Data'!IZ:IZ),"")</f>
        <v>1.8898947222222222</v>
      </c>
      <c r="I20" s="236">
        <f>IFERROR(_xlfn.XLOOKUP($A20,'Raw_Data'!$B:$B,'Raw_Data'!JA:JA),"")</f>
        <v>7.0808621388888895</v>
      </c>
      <c r="J20" s="236">
        <f>IFERROR(_xlfn.XLOOKUP($A20,'Raw_Data'!$B:$B,'Raw_Data'!JB:JB),"")</f>
        <v>0.47330702777777772</v>
      </c>
      <c r="K20" s="236">
        <f>IFERROR(_xlfn.XLOOKUP($A20,'Raw_Data'!$B:$B,'Raw_Data'!JE:JE),"")</f>
        <v>38.062746703046848</v>
      </c>
      <c r="L20" s="236">
        <f>IFERROR(_xlfn.XLOOKUP($A20,'Raw_Data'!$B:$B,'Raw_Data'!JF:JF),"")</f>
        <v>53.076479158708501</v>
      </c>
      <c r="M20" s="236">
        <f>IFERROR(_xlfn.XLOOKUP($A20,'Raw_Data'!$B:$B,'Raw_Data'!JG:JG),"")</f>
        <v>2.298718273130969</v>
      </c>
      <c r="N20" s="236">
        <f>IFERROR(_xlfn.XLOOKUP($A20,'Raw_Data'!$B:$B,'Raw_Data'!JH:JH),"")</f>
        <v>7.2505553333333337</v>
      </c>
      <c r="O20" s="237">
        <f>IFERROR(1-SUMIF(PA!$B:$B,$A20,PA!$AL:$AL)/($AA20+SUMIF(PA!$B:$B,$A20,PA!$AL:$AL)),"")</f>
        <v>0.99967295507475362</v>
      </c>
      <c r="P20" s="238"/>
      <c r="Q20" s="239"/>
      <c r="R20" s="240">
        <f>IFERROR(1-SUMIF(GA!$C:$C,$A20,GA!$X:$X)/($AA20+SUMIF(GA!$C:$C,$A20,GA!$X:$X)),"")</f>
        <v>1</v>
      </c>
      <c r="S20" s="186"/>
      <c r="T20" s="239"/>
      <c r="U20" s="237">
        <f t="shared" si="1"/>
        <v>0.79961245537609094</v>
      </c>
      <c r="V20" s="237">
        <f>IFERROR(_xlfn.XLOOKUP($A20,'Raw_Data'!$B:$B,'Raw_Data'!$JL:$JL),"")</f>
        <v>0.82965972045786773</v>
      </c>
      <c r="W20" s="240">
        <f t="shared" si="2"/>
        <v>0.235914398377356</v>
      </c>
      <c r="X20" s="228">
        <f>IFERROR(_xlfn.XLOOKUP($A20,'Raw_Data'!$B:$B,'Raw_Data'!$JI:$JI),"")</f>
        <v>1912076.8000000005</v>
      </c>
      <c r="Y20" s="228">
        <f>IFERROR(_xlfn.XLOOKUP($A20,'Raw_Data'!$B:$B,'Raw_Data'!IT:IT),"")</f>
        <v>1899866.9999999984</v>
      </c>
      <c r="Z20" s="228">
        <f>IFERROR(_xlfn.XLOOKUP($A20,'Raw_Data'!$B:$B,'Raw_Data'!IU:IU),"")</f>
        <v>2600.0000000000227</v>
      </c>
      <c r="AA20" s="228">
        <f>IFERROR(_xlfn.XLOOKUP($A20,'Raw_Data'!$B:$B,'Raw_Data'!IW:IW),"")</f>
        <v>1897266.9999999984</v>
      </c>
      <c r="AB20" s="228">
        <f>IFERROR(_xlfn.XLOOKUP($A20,'Raw_Data'!$B:$B,'Raw_Data'!I:I)/1000,"")</f>
        <v>335.09089</v>
      </c>
      <c r="AC20" s="241">
        <f>IFERROR(_xlfn.XLOOKUP($D20,'Modelling New'!$D:$D,'Modelling New'!$P:$P),"")</f>
        <v>7.1966666666666672</v>
      </c>
      <c r="AD20" s="228">
        <f>IFERROR(_xlfn.XLOOKUP($D20,'Modelling New'!$D:$D,'Modelling New'!$T:$T)*1000,"")</f>
        <v>1944729.7154761388</v>
      </c>
      <c r="AE20" s="240">
        <f>IFERROR(_xlfn.XLOOKUP($D20,'Modelling New'!$D:$D,'Modelling New'!$O:$O),"")</f>
        <v>0.80642707268055158</v>
      </c>
      <c r="AF20" s="240">
        <f>IFERROR(_xlfn.XLOOKUP($D20,'Modelling New'!$D:$D,'Modelling New'!$W:$W),"")</f>
        <v>0.24181611804407097</v>
      </c>
      <c r="AG20" s="240">
        <f>IFERROR(_xlfn.XLOOKUP($D20,'Modelling New'!$D:$D,'Modelling New'!AE:AE),"")</f>
        <v>0.99750000000000005</v>
      </c>
      <c r="AH20" s="240">
        <f>IFERROR(_xlfn.XLOOKUP($D20,'Modelling New'!$D:$D,'Modelling New'!AF:AF),"")</f>
        <v>0.99750000000000005</v>
      </c>
      <c r="AI20" s="186"/>
      <c r="AJ20" s="186"/>
      <c r="AK20" s="227">
        <v>0.98199999999999998</v>
      </c>
      <c r="AL20" s="224">
        <f>IFERROR(Table13[[#This Row],[RA (%)]]*9270*58,"")</f>
        <v>527982.12</v>
      </c>
      <c r="AM20" s="225"/>
      <c r="AN20" s="238"/>
      <c r="AO20" s="240"/>
      <c r="AP20" s="240"/>
      <c r="AQ20" s="240"/>
      <c r="AR20" s="242">
        <f>IFERROR(_xlfn.XLOOKUP($D20,'Modelling New'!$D:$D,'Modelling New'!$N:$N),"")</f>
        <v>335.09100000000001</v>
      </c>
    </row>
    <row r="21" spans="1:44">
      <c r="A21" s="233">
        <f t="shared" si="3"/>
        <v>45764</v>
      </c>
      <c r="B21" s="228">
        <f>YEAR(Table13[[#This Row],[Date]])+IF(MONTH(Table13[[#This Row],[Date]])&gt;=4,1,0)</f>
        <v>2026</v>
      </c>
      <c r="C21" s="186">
        <f>YEAR(Table13[[#This Row],[Date]])</f>
        <v>2025</v>
      </c>
      <c r="D21" s="234">
        <f>Table13[[#This Row],[Date]]-DAY(Table13[[#This Row],[Date]])+1</f>
        <v>45748</v>
      </c>
      <c r="E21" s="186">
        <f t="shared" si="0"/>
        <v>30</v>
      </c>
      <c r="F21" s="235">
        <f>IFERROR(_xlfn.XLOOKUP($A21,'Raw_Data'!$B:$B,'Raw_Data'!$IX:$IX),"")</f>
        <v>12.499999999999998</v>
      </c>
      <c r="G21" s="236">
        <f>IFERROR(_xlfn.XLOOKUP($A21,'Raw_Data'!$B:$B,'Raw_Data'!IY:IY),"")</f>
        <v>7.2383333333333324</v>
      </c>
      <c r="H21" s="236">
        <f>IFERROR(_xlfn.XLOOKUP($A21,'Raw_Data'!$B:$B,'Raw_Data'!IZ:IZ),"")</f>
        <v>1.9883333333333333</v>
      </c>
      <c r="I21" s="236">
        <f>IFERROR(_xlfn.XLOOKUP($A21,'Raw_Data'!$B:$B,'Raw_Data'!JA:JA),"")</f>
        <v>7.4266666666666667</v>
      </c>
      <c r="J21" s="236">
        <f>IFERROR(_xlfn.XLOOKUP($A21,'Raw_Data'!$B:$B,'Raw_Data'!JB:JB),"")</f>
        <v>0.505</v>
      </c>
      <c r="K21" s="236">
        <f>IFERROR(_xlfn.XLOOKUP($A21,'Raw_Data'!$B:$B,'Raw_Data'!JE:JE),"")</f>
        <v>36.288333333333334</v>
      </c>
      <c r="L21" s="236">
        <f>IFERROR(_xlfn.XLOOKUP($A21,'Raw_Data'!$B:$B,'Raw_Data'!JF:JF),"")</f>
        <v>50.693333333333335</v>
      </c>
      <c r="M21" s="236">
        <f>IFERROR(_xlfn.XLOOKUP($A21,'Raw_Data'!$B:$B,'Raw_Data'!JG:JG),"")</f>
        <v>4.41</v>
      </c>
      <c r="N21" s="236">
        <f>IFERROR(_xlfn.XLOOKUP($A21,'Raw_Data'!$B:$B,'Raw_Data'!JH:JH),"")</f>
        <v>8.201666666666668</v>
      </c>
      <c r="O21" s="237">
        <f>IFERROR(1-SUMIF(PA!$B:$B,$A21,PA!$AL:$AL)/($AA21+SUMIF(PA!$B:$B,$A21,PA!$AL:$AL)),"")</f>
        <v>1</v>
      </c>
      <c r="P21" s="238"/>
      <c r="Q21" s="239"/>
      <c r="R21" s="240">
        <f>IFERROR(1-SUMIF(GA!$C:$C,$A21,GA!$X:$X)/($AA21+SUMIF(GA!$C:$C,$A21,GA!$X:$X)),"")</f>
        <v>1</v>
      </c>
      <c r="S21" s="186"/>
      <c r="T21" s="239"/>
      <c r="U21" s="237">
        <f t="shared" si="1"/>
        <v>0.79940234568613533</v>
      </c>
      <c r="V21" s="237">
        <f>IFERROR(_xlfn.XLOOKUP($A21,'Raw_Data'!$B:$B,'Raw_Data'!$JL:$JL),"")</f>
        <v>0.8153848123853854</v>
      </c>
      <c r="W21" s="240">
        <f t="shared" si="2"/>
        <v>0.24737061474843186</v>
      </c>
      <c r="X21" s="228">
        <f>IFERROR(_xlfn.XLOOKUP($A21,'Raw_Data'!$B:$B,'Raw_Data'!$JI:$JI),"")</f>
        <v>2006708.9999999995</v>
      </c>
      <c r="Y21" s="228">
        <f>IFERROR(_xlfn.XLOOKUP($A21,'Raw_Data'!$B:$B,'Raw_Data'!IT:IT),"")</f>
        <v>1993800.0000000028</v>
      </c>
      <c r="Z21" s="228">
        <f>IFERROR(_xlfn.XLOOKUP($A21,'Raw_Data'!$B:$B,'Raw_Data'!IU:IU),"")</f>
        <v>4399.9999999999773</v>
      </c>
      <c r="AA21" s="228">
        <f>IFERROR(_xlfn.XLOOKUP($A21,'Raw_Data'!$B:$B,'Raw_Data'!IW:IW),"")</f>
        <v>1989400.0000000028</v>
      </c>
      <c r="AB21" s="228">
        <f>IFERROR(_xlfn.XLOOKUP($A21,'Raw_Data'!$B:$B,'Raw_Data'!I:I)/1000,"")</f>
        <v>335.09089</v>
      </c>
      <c r="AC21" s="241">
        <f>IFERROR(_xlfn.XLOOKUP($D21,'Modelling New'!$D:$D,'Modelling New'!$P:$P),"")</f>
        <v>7.1966666666666672</v>
      </c>
      <c r="AD21" s="228">
        <f>IFERROR(_xlfn.XLOOKUP($D21,'Modelling New'!$D:$D,'Modelling New'!$T:$T)*1000,"")</f>
        <v>1944729.7154761388</v>
      </c>
      <c r="AE21" s="240">
        <f>IFERROR(_xlfn.XLOOKUP($D21,'Modelling New'!$D:$D,'Modelling New'!$O:$O),"")</f>
        <v>0.80642707268055158</v>
      </c>
      <c r="AF21" s="240">
        <f>IFERROR(_xlfn.XLOOKUP($D21,'Modelling New'!$D:$D,'Modelling New'!$W:$W),"")</f>
        <v>0.24181611804407097</v>
      </c>
      <c r="AG21" s="240">
        <f>IFERROR(_xlfn.XLOOKUP($D21,'Modelling New'!$D:$D,'Modelling New'!AE:AE),"")</f>
        <v>0.99750000000000005</v>
      </c>
      <c r="AH21" s="240">
        <f>IFERROR(_xlfn.XLOOKUP($D21,'Modelling New'!$D:$D,'Modelling New'!AF:AF),"")</f>
        <v>0.99750000000000005</v>
      </c>
      <c r="AI21" s="186"/>
      <c r="AJ21" s="186"/>
      <c r="AK21" s="227">
        <v>0.97199999999999998</v>
      </c>
      <c r="AL21" s="224">
        <f>IFERROR(Table13[[#This Row],[RA (%)]]*9270*58,"")</f>
        <v>522605.52</v>
      </c>
      <c r="AM21" s="225"/>
      <c r="AN21" s="238"/>
      <c r="AO21" s="240"/>
      <c r="AP21" s="240"/>
      <c r="AQ21" s="240"/>
      <c r="AR21" s="242">
        <f>IFERROR(_xlfn.XLOOKUP($D21,'Modelling New'!$D:$D,'Modelling New'!$N:$N),"")</f>
        <v>335.09100000000001</v>
      </c>
    </row>
    <row r="22" spans="1:44">
      <c r="A22" s="233">
        <f t="shared" si="3"/>
        <v>45765</v>
      </c>
      <c r="B22" s="228">
        <f>YEAR(Table13[[#This Row],[Date]])+IF(MONTH(Table13[[#This Row],[Date]])&gt;=4,1,0)</f>
        <v>2026</v>
      </c>
      <c r="C22" s="186">
        <f>YEAR(Table13[[#This Row],[Date]])</f>
        <v>2025</v>
      </c>
      <c r="D22" s="234">
        <f>Table13[[#This Row],[Date]]-DAY(Table13[[#This Row],[Date]])+1</f>
        <v>45748</v>
      </c>
      <c r="E22" s="186">
        <f t="shared" si="0"/>
        <v>30</v>
      </c>
      <c r="F22" s="235">
        <f>IFERROR(_xlfn.XLOOKUP($A22,'Raw_Data'!$B:$B,'Raw_Data'!$IX:$IX),"")</f>
        <v>12.483333333333331</v>
      </c>
      <c r="G22" s="236">
        <f>IFERROR(_xlfn.XLOOKUP($A22,'Raw_Data'!$B:$B,'Raw_Data'!IY:IY),"")</f>
        <v>6.59</v>
      </c>
      <c r="H22" s="236">
        <f>IFERROR(_xlfn.XLOOKUP($A22,'Raw_Data'!$B:$B,'Raw_Data'!IZ:IZ),"")</f>
        <v>1.8583333333333332</v>
      </c>
      <c r="I22" s="236">
        <f>IFERROR(_xlfn.XLOOKUP($A22,'Raw_Data'!$B:$B,'Raw_Data'!JA:JA),"")</f>
        <v>6.708333333333333</v>
      </c>
      <c r="J22" s="236">
        <f>IFERROR(_xlfn.XLOOKUP($A22,'Raw_Data'!$B:$B,'Raw_Data'!JB:JB),"")</f>
        <v>0.53166666666666662</v>
      </c>
      <c r="K22" s="236">
        <f>IFERROR(_xlfn.XLOOKUP($A22,'Raw_Data'!$B:$B,'Raw_Data'!JE:JE),"")</f>
        <v>37.551666666666669</v>
      </c>
      <c r="L22" s="236">
        <f>IFERROR(_xlfn.XLOOKUP($A22,'Raw_Data'!$B:$B,'Raw_Data'!JF:JF),"")</f>
        <v>46.839999999999996</v>
      </c>
      <c r="M22" s="236">
        <f>IFERROR(_xlfn.XLOOKUP($A22,'Raw_Data'!$B:$B,'Raw_Data'!JG:JG),"")</f>
        <v>8.5433333333333348</v>
      </c>
      <c r="N22" s="236">
        <f>IFERROR(_xlfn.XLOOKUP($A22,'Raw_Data'!$B:$B,'Raw_Data'!JH:JH),"")</f>
        <v>15.231666666666667</v>
      </c>
      <c r="O22" s="237">
        <f>IFERROR(1-SUMIF(PA!$B:$B,$A22,PA!$AL:$AL)/($AA22+SUMIF(PA!$B:$B,$A22,PA!$AL:$AL)),"")</f>
        <v>1</v>
      </c>
      <c r="P22" s="238"/>
      <c r="Q22" s="239"/>
      <c r="R22" s="240">
        <f>IFERROR(1-SUMIF(GA!$C:$C,$A22,GA!$X:$X)/($AA22+SUMIF(GA!$C:$C,$A22,GA!$X:$X)),"")</f>
        <v>1</v>
      </c>
      <c r="S22" s="186"/>
      <c r="T22" s="239"/>
      <c r="U22" s="237">
        <f t="shared" si="1"/>
        <v>0.80928834924251403</v>
      </c>
      <c r="V22" s="237">
        <f>IFERROR(_xlfn.XLOOKUP($A22,'Raw_Data'!$B:$B,'Raw_Data'!$JL:$JL),"")</f>
        <v>0.82155068176862878</v>
      </c>
      <c r="W22" s="240">
        <f t="shared" si="2"/>
        <v>0.22620733372924443</v>
      </c>
      <c r="X22" s="228">
        <f>IFERROR(_xlfn.XLOOKUP($A22,'Raw_Data'!$B:$B,'Raw_Data'!$JI:$JI),"")</f>
        <v>1833798.2000000004</v>
      </c>
      <c r="Y22" s="228">
        <f>IFERROR(_xlfn.XLOOKUP($A22,'Raw_Data'!$B:$B,'Raw_Data'!IT:IT),"")</f>
        <v>1823466.9999999898</v>
      </c>
      <c r="Z22" s="228">
        <f>IFERROR(_xlfn.XLOOKUP($A22,'Raw_Data'!$B:$B,'Raw_Data'!IU:IU),"")</f>
        <v>4266.00000000002</v>
      </c>
      <c r="AA22" s="228">
        <f>IFERROR(_xlfn.XLOOKUP($A22,'Raw_Data'!$B:$B,'Raw_Data'!IW:IW),"")</f>
        <v>1819200.9999999898</v>
      </c>
      <c r="AB22" s="228">
        <f>IFERROR(_xlfn.XLOOKUP($A22,'Raw_Data'!$B:$B,'Raw_Data'!I:I)/1000,"")</f>
        <v>335.09089</v>
      </c>
      <c r="AC22" s="241">
        <f>IFERROR(_xlfn.XLOOKUP($D22,'Modelling New'!$D:$D,'Modelling New'!$P:$P),"")</f>
        <v>7.1966666666666672</v>
      </c>
      <c r="AD22" s="228">
        <f>IFERROR(_xlfn.XLOOKUP($D22,'Modelling New'!$D:$D,'Modelling New'!$T:$T)*1000,"")</f>
        <v>1944729.7154761388</v>
      </c>
      <c r="AE22" s="240">
        <f>IFERROR(_xlfn.XLOOKUP($D22,'Modelling New'!$D:$D,'Modelling New'!$O:$O),"")</f>
        <v>0.80642707268055158</v>
      </c>
      <c r="AF22" s="240">
        <f>IFERROR(_xlfn.XLOOKUP($D22,'Modelling New'!$D:$D,'Modelling New'!$W:$W),"")</f>
        <v>0.24181611804407097</v>
      </c>
      <c r="AG22" s="240">
        <f>IFERROR(_xlfn.XLOOKUP($D22,'Modelling New'!$D:$D,'Modelling New'!AE:AE),"")</f>
        <v>0.99750000000000005</v>
      </c>
      <c r="AH22" s="240">
        <f>IFERROR(_xlfn.XLOOKUP($D22,'Modelling New'!$D:$D,'Modelling New'!AF:AF),"")</f>
        <v>0.99750000000000005</v>
      </c>
      <c r="AI22" s="186"/>
      <c r="AJ22" s="186"/>
      <c r="AK22" s="227">
        <v>0.97299999999999998</v>
      </c>
      <c r="AL22" s="224">
        <f>IFERROR(Table13[[#This Row],[RA (%)]]*9270*58,"")</f>
        <v>523143.17999999993</v>
      </c>
      <c r="AM22" s="225"/>
      <c r="AN22" s="238"/>
      <c r="AO22" s="240"/>
      <c r="AP22" s="240"/>
      <c r="AQ22" s="240"/>
      <c r="AR22" s="242">
        <f>IFERROR(_xlfn.XLOOKUP($D22,'Modelling New'!$D:$D,'Modelling New'!$N:$N),"")</f>
        <v>335.09100000000001</v>
      </c>
    </row>
    <row r="23" spans="1:44">
      <c r="A23" s="233">
        <f t="shared" si="3"/>
        <v>45766</v>
      </c>
      <c r="B23" s="228">
        <f>YEAR(Table13[[#This Row],[Date]])+IF(MONTH(Table13[[#This Row],[Date]])&gt;=4,1,0)</f>
        <v>2026</v>
      </c>
      <c r="C23" s="186">
        <f>YEAR(Table13[[#This Row],[Date]])</f>
        <v>2025</v>
      </c>
      <c r="D23" s="234">
        <f>Table13[[#This Row],[Date]]-DAY(Table13[[#This Row],[Date]])+1</f>
        <v>45748</v>
      </c>
      <c r="E23" s="186">
        <f t="shared" si="0"/>
        <v>30</v>
      </c>
      <c r="F23" s="235">
        <f>IFERROR(_xlfn.XLOOKUP($A23,'Raw_Data'!$B:$B,'Raw_Data'!$IX:$IX),"")</f>
        <v>12.566666666666665</v>
      </c>
      <c r="G23" s="236">
        <f>IFERROR(_xlfn.XLOOKUP($A23,'Raw_Data'!$B:$B,'Raw_Data'!IY:IY),"")</f>
        <v>6.9733333333333336</v>
      </c>
      <c r="H23" s="236">
        <f>IFERROR(_xlfn.XLOOKUP($A23,'Raw_Data'!$B:$B,'Raw_Data'!IZ:IZ),"")</f>
        <v>1.9350000000000003</v>
      </c>
      <c r="I23" s="236">
        <f>IFERROR(_xlfn.XLOOKUP($A23,'Raw_Data'!$B:$B,'Raw_Data'!JA:JA),"")</f>
        <v>7.083333333333333</v>
      </c>
      <c r="J23" s="236">
        <f>IFERROR(_xlfn.XLOOKUP($A23,'Raw_Data'!$B:$B,'Raw_Data'!JB:JB),"")</f>
        <v>0.55999999999999994</v>
      </c>
      <c r="K23" s="236">
        <f>IFERROR(_xlfn.XLOOKUP($A23,'Raw_Data'!$B:$B,'Raw_Data'!JE:JE),"")</f>
        <v>34.07833333333334</v>
      </c>
      <c r="L23" s="236">
        <f>IFERROR(_xlfn.XLOOKUP($A23,'Raw_Data'!$B:$B,'Raw_Data'!JF:JF),"")</f>
        <v>46.033333333333339</v>
      </c>
      <c r="M23" s="236">
        <f>IFERROR(_xlfn.XLOOKUP($A23,'Raw_Data'!$B:$B,'Raw_Data'!JG:JG),"")</f>
        <v>6.3416666666666659</v>
      </c>
      <c r="N23" s="236">
        <f>IFERROR(_xlfn.XLOOKUP($A23,'Raw_Data'!$B:$B,'Raw_Data'!JH:JH),"")</f>
        <v>10.615</v>
      </c>
      <c r="O23" s="237">
        <f>IFERROR(1-SUMIF(PA!$B:$B,$A23,PA!$AL:$AL)/($AA23+SUMIF(PA!$B:$B,$A23,PA!$AL:$AL)),"")</f>
        <v>1</v>
      </c>
      <c r="P23" s="238"/>
      <c r="Q23" s="239"/>
      <c r="R23" s="240">
        <f>IFERROR(1-SUMIF(GA!$C:$C,$A23,GA!$X:$X)/($AA23+SUMIF(GA!$C:$C,$A23,GA!$X:$X)),"")</f>
        <v>1</v>
      </c>
      <c r="S23" s="186"/>
      <c r="T23" s="239"/>
      <c r="U23" s="237">
        <f t="shared" si="1"/>
        <v>0.77172350197409489</v>
      </c>
      <c r="V23" s="237">
        <f>IFERROR(_xlfn.XLOOKUP($A23,'Raw_Data'!$B:$B,'Raw_Data'!$JL:$JL),"")</f>
        <v>0.80741438951710987</v>
      </c>
      <c r="W23" s="240">
        <f t="shared" si="2"/>
        <v>0.22776561690207661</v>
      </c>
      <c r="X23" s="228">
        <f>IFERROR(_xlfn.XLOOKUP($A23,'Raw_Data'!$B:$B,'Raw_Data'!$JI:$JI),"")</f>
        <v>1847122.8999999997</v>
      </c>
      <c r="Y23" s="228">
        <f>IFERROR(_xlfn.XLOOKUP($A23,'Raw_Data'!$B:$B,'Raw_Data'!IT:IT),"")</f>
        <v>1836067.00000001</v>
      </c>
      <c r="Z23" s="228">
        <f>IFERROR(_xlfn.XLOOKUP($A23,'Raw_Data'!$B:$B,'Raw_Data'!IU:IU),"")</f>
        <v>4334.0000000000036</v>
      </c>
      <c r="AA23" s="228">
        <f>IFERROR(_xlfn.XLOOKUP($A23,'Raw_Data'!$B:$B,'Raw_Data'!IW:IW),"")</f>
        <v>1831733.00000001</v>
      </c>
      <c r="AB23" s="228">
        <f>IFERROR(_xlfn.XLOOKUP($A23,'Raw_Data'!$B:$B,'Raw_Data'!I:I)/1000,"")</f>
        <v>335.09089</v>
      </c>
      <c r="AC23" s="241">
        <f>IFERROR(_xlfn.XLOOKUP($D23,'Modelling New'!$D:$D,'Modelling New'!$P:$P),"")</f>
        <v>7.1966666666666672</v>
      </c>
      <c r="AD23" s="228">
        <f>IFERROR(_xlfn.XLOOKUP($D23,'Modelling New'!$D:$D,'Modelling New'!$T:$T)*1000,"")</f>
        <v>1944729.7154761388</v>
      </c>
      <c r="AE23" s="240">
        <f>IFERROR(_xlfn.XLOOKUP($D23,'Modelling New'!$D:$D,'Modelling New'!$O:$O),"")</f>
        <v>0.80642707268055158</v>
      </c>
      <c r="AF23" s="240">
        <f>IFERROR(_xlfn.XLOOKUP($D23,'Modelling New'!$D:$D,'Modelling New'!$W:$W),"")</f>
        <v>0.24181611804407097</v>
      </c>
      <c r="AG23" s="240">
        <f>IFERROR(_xlfn.XLOOKUP($D23,'Modelling New'!$D:$D,'Modelling New'!AE:AE),"")</f>
        <v>0.99750000000000005</v>
      </c>
      <c r="AH23" s="240">
        <f>IFERROR(_xlfn.XLOOKUP($D23,'Modelling New'!$D:$D,'Modelling New'!AF:AF),"")</f>
        <v>0.99750000000000005</v>
      </c>
      <c r="AI23" s="186"/>
      <c r="AJ23" s="186"/>
      <c r="AK23" s="227">
        <v>0.96799999999999997</v>
      </c>
      <c r="AL23" s="224">
        <f>IFERROR(Table13[[#This Row],[RA (%)]]*9270*58,"")</f>
        <v>520454.88</v>
      </c>
      <c r="AM23" s="225"/>
      <c r="AN23" s="238"/>
      <c r="AO23" s="240"/>
      <c r="AP23" s="240"/>
      <c r="AQ23" s="240"/>
      <c r="AR23" s="242">
        <f>IFERROR(_xlfn.XLOOKUP($D23,'Modelling New'!$D:$D,'Modelling New'!$N:$N),"")</f>
        <v>335.09100000000001</v>
      </c>
    </row>
    <row r="24" spans="1:44">
      <c r="A24" s="233">
        <f t="shared" si="3"/>
        <v>45767</v>
      </c>
      <c r="B24" s="228">
        <f>YEAR(Table13[[#This Row],[Date]])+IF(MONTH(Table13[[#This Row],[Date]])&gt;=4,1,0)</f>
        <v>2026</v>
      </c>
      <c r="C24" s="186">
        <f>YEAR(Table13[[#This Row],[Date]])</f>
        <v>2025</v>
      </c>
      <c r="D24" s="234">
        <f>Table13[[#This Row],[Date]]-DAY(Table13[[#This Row],[Date]])+1</f>
        <v>45748</v>
      </c>
      <c r="E24" s="186">
        <f t="shared" si="0"/>
        <v>30</v>
      </c>
      <c r="F24" s="235">
        <f>IFERROR(_xlfn.XLOOKUP($A24,'Raw_Data'!$B:$B,'Raw_Data'!$IX:$IX),"")</f>
        <v>12.499999999999998</v>
      </c>
      <c r="G24" s="236">
        <f>IFERROR(_xlfn.XLOOKUP($A24,'Raw_Data'!$B:$B,'Raw_Data'!IY:IY),"")</f>
        <v>7.581666666666667</v>
      </c>
      <c r="H24" s="236">
        <f>IFERROR(_xlfn.XLOOKUP($A24,'Raw_Data'!$B:$B,'Raw_Data'!IZ:IZ),"")</f>
        <v>2.1150000000000002</v>
      </c>
      <c r="I24" s="236">
        <f>IFERROR(_xlfn.XLOOKUP($A24,'Raw_Data'!$B:$B,'Raw_Data'!JA:JA),"")</f>
        <v>7.754999999999999</v>
      </c>
      <c r="J24" s="236">
        <f>IFERROR(_xlfn.XLOOKUP($A24,'Raw_Data'!$B:$B,'Raw_Data'!JB:JB),"")</f>
        <v>0.57000000000000006</v>
      </c>
      <c r="K24" s="236">
        <f>IFERROR(_xlfn.XLOOKUP($A24,'Raw_Data'!$B:$B,'Raw_Data'!JE:JE),"")</f>
        <v>35.056666666666665</v>
      </c>
      <c r="L24" s="236">
        <f>IFERROR(_xlfn.XLOOKUP($A24,'Raw_Data'!$B:$B,'Raw_Data'!JF:JF),"")</f>
        <v>47.839999999999996</v>
      </c>
      <c r="M24" s="236">
        <f>IFERROR(_xlfn.XLOOKUP($A24,'Raw_Data'!$B:$B,'Raw_Data'!JG:JG),"")</f>
        <v>4.9349999999999996</v>
      </c>
      <c r="N24" s="236">
        <f>IFERROR(_xlfn.XLOOKUP($A24,'Raw_Data'!$B:$B,'Raw_Data'!JH:JH),"")</f>
        <v>10.18</v>
      </c>
      <c r="O24" s="237">
        <f>IFERROR(1-SUMIF(PA!$B:$B,$A24,PA!$AL:$AL)/($AA24+SUMIF(PA!$B:$B,$A24,PA!$AL:$AL)),"")</f>
        <v>1</v>
      </c>
      <c r="P24" s="238"/>
      <c r="Q24" s="239"/>
      <c r="R24" s="240">
        <f>IFERROR(1-SUMIF(GA!$C:$C,$A24,GA!$X:$X)/($AA24+SUMIF(GA!$C:$C,$A24,GA!$X:$X)),"")</f>
        <v>1</v>
      </c>
      <c r="S24" s="186"/>
      <c r="T24" s="239"/>
      <c r="U24" s="237">
        <f t="shared" si="1"/>
        <v>0.78277109405585821</v>
      </c>
      <c r="V24" s="237">
        <f>IFERROR(_xlfn.XLOOKUP($A24,'Raw_Data'!$B:$B,'Raw_Data'!$JL:$JL),"")</f>
        <v>0.79919195026091328</v>
      </c>
      <c r="W24" s="240">
        <f t="shared" si="2"/>
        <v>0.25293290976679916</v>
      </c>
      <c r="X24" s="228">
        <f>IFERROR(_xlfn.XLOOKUP($A24,'Raw_Data'!$B:$B,'Raw_Data'!$JI:$JI),"")</f>
        <v>2052833.9000000006</v>
      </c>
      <c r="Y24" s="228">
        <f>IFERROR(_xlfn.XLOOKUP($A24,'Raw_Data'!$B:$B,'Raw_Data'!IT:IT),"")</f>
        <v>2038532.9999999958</v>
      </c>
      <c r="Z24" s="228">
        <f>IFERROR(_xlfn.XLOOKUP($A24,'Raw_Data'!$B:$B,'Raw_Data'!IU:IU),"")</f>
        <v>4399.9999999999773</v>
      </c>
      <c r="AA24" s="228">
        <f>IFERROR(_xlfn.XLOOKUP($A24,'Raw_Data'!$B:$B,'Raw_Data'!IW:IW),"")</f>
        <v>2034132.9999999958</v>
      </c>
      <c r="AB24" s="228">
        <f>IFERROR(_xlfn.XLOOKUP($A24,'Raw_Data'!$B:$B,'Raw_Data'!I:I)/1000,"")</f>
        <v>335.09089</v>
      </c>
      <c r="AC24" s="241">
        <f>IFERROR(_xlfn.XLOOKUP($D24,'Modelling New'!$D:$D,'Modelling New'!$P:$P),"")</f>
        <v>7.1966666666666672</v>
      </c>
      <c r="AD24" s="228">
        <f>IFERROR(_xlfn.XLOOKUP($D24,'Modelling New'!$D:$D,'Modelling New'!$T:$T)*1000,"")</f>
        <v>1944729.7154761388</v>
      </c>
      <c r="AE24" s="240">
        <f>IFERROR(_xlfn.XLOOKUP($D24,'Modelling New'!$D:$D,'Modelling New'!$O:$O),"")</f>
        <v>0.80642707268055158</v>
      </c>
      <c r="AF24" s="240">
        <f>IFERROR(_xlfn.XLOOKUP($D24,'Modelling New'!$D:$D,'Modelling New'!$W:$W),"")</f>
        <v>0.24181611804407097</v>
      </c>
      <c r="AG24" s="240">
        <f>IFERROR(_xlfn.XLOOKUP($D24,'Modelling New'!$D:$D,'Modelling New'!AE:AE),"")</f>
        <v>0.99750000000000005</v>
      </c>
      <c r="AH24" s="240">
        <f>IFERROR(_xlfn.XLOOKUP($D24,'Modelling New'!$D:$D,'Modelling New'!AF:AF),"")</f>
        <v>0.99750000000000005</v>
      </c>
      <c r="AI24" s="186"/>
      <c r="AJ24" s="186"/>
      <c r="AK24" s="227">
        <v>0.96499999999999997</v>
      </c>
      <c r="AL24" s="224">
        <f>IFERROR(Table13[[#This Row],[RA (%)]]*9270*58,"")</f>
        <v>518841.89999999997</v>
      </c>
      <c r="AM24" s="225"/>
      <c r="AN24" s="238"/>
      <c r="AO24" s="240"/>
      <c r="AP24" s="240"/>
      <c r="AQ24" s="240"/>
      <c r="AR24" s="242">
        <f>IFERROR(_xlfn.XLOOKUP($D24,'Modelling New'!$D:$D,'Modelling New'!$N:$N),"")</f>
        <v>335.09100000000001</v>
      </c>
    </row>
    <row r="25" spans="1:44">
      <c r="A25" s="233">
        <f t="shared" si="3"/>
        <v>45768</v>
      </c>
      <c r="B25" s="228">
        <f>YEAR(Table13[[#This Row],[Date]])+IF(MONTH(Table13[[#This Row],[Date]])&gt;=4,1,0)</f>
        <v>2026</v>
      </c>
      <c r="C25" s="186">
        <f>YEAR(Table13[[#This Row],[Date]])</f>
        <v>2025</v>
      </c>
      <c r="D25" s="234">
        <f>Table13[[#This Row],[Date]]-DAY(Table13[[#This Row],[Date]])+1</f>
        <v>45748</v>
      </c>
      <c r="E25" s="186">
        <f t="shared" si="0"/>
        <v>30</v>
      </c>
      <c r="F25" s="235">
        <f>IFERROR(_xlfn.XLOOKUP($A25,'Raw_Data'!$B:$B,'Raw_Data'!$IX:$IX),"")</f>
        <v>12.66666666666667</v>
      </c>
      <c r="G25" s="236">
        <f>IFERROR(_xlfn.XLOOKUP($A25,'Raw_Data'!$B:$B,'Raw_Data'!IY:IY),"")</f>
        <v>7.7682210000000014</v>
      </c>
      <c r="H25" s="236">
        <f>IFERROR(_xlfn.XLOOKUP($A25,'Raw_Data'!$B:$B,'Raw_Data'!IZ:IZ),"")</f>
        <v>2.1558183611111108</v>
      </c>
      <c r="I25" s="236">
        <f>IFERROR(_xlfn.XLOOKUP($A25,'Raw_Data'!$B:$B,'Raw_Data'!JA:JA),"")</f>
        <v>7.9111818888888896</v>
      </c>
      <c r="J25" s="236">
        <f>IFERROR(_xlfn.XLOOKUP($A25,'Raw_Data'!$B:$B,'Raw_Data'!JB:JB),"")</f>
        <v>0.57440688888888902</v>
      </c>
      <c r="K25" s="236">
        <f>IFERROR(_xlfn.XLOOKUP($A25,'Raw_Data'!$B:$B,'Raw_Data'!JE:JE),"")</f>
        <v>35.273650472334673</v>
      </c>
      <c r="L25" s="236">
        <f>IFERROR(_xlfn.XLOOKUP($A25,'Raw_Data'!$B:$B,'Raw_Data'!JF:JF),"")</f>
        <v>49.469181286549691</v>
      </c>
      <c r="M25" s="236">
        <f>IFERROR(_xlfn.XLOOKUP($A25,'Raw_Data'!$B:$B,'Raw_Data'!JG:JG),"")</f>
        <v>3.0515207288888893</v>
      </c>
      <c r="N25" s="236">
        <f>IFERROR(_xlfn.XLOOKUP($A25,'Raw_Data'!$B:$B,'Raw_Data'!JH:JH),"")</f>
        <v>8.8894439999999992</v>
      </c>
      <c r="O25" s="237">
        <f>IFERROR(1-SUMIF(PA!$B:$B,$A25,PA!$AL:$AL)/($AA25+SUMIF(PA!$B:$B,$A25,PA!$AL:$AL)),"")</f>
        <v>1</v>
      </c>
      <c r="P25" s="238"/>
      <c r="Q25" s="239"/>
      <c r="R25" s="240">
        <f>IFERROR(1-SUMIF(GA!$C:$C,$A25,GA!$X:$X)/($AA25+SUMIF(GA!$C:$C,$A25,GA!$X:$X)),"")</f>
        <v>1</v>
      </c>
      <c r="S25" s="186"/>
      <c r="T25" s="239"/>
      <c r="U25" s="237">
        <f t="shared" si="1"/>
        <v>0.78192897118694171</v>
      </c>
      <c r="V25" s="237">
        <f>IFERROR(_xlfn.XLOOKUP($A25,'Raw_Data'!$B:$B,'Raw_Data'!$JL:$JL),"")</f>
        <v>0.80701104080454977</v>
      </c>
      <c r="W25" s="240">
        <f t="shared" si="2"/>
        <v>0.25774926313548563</v>
      </c>
      <c r="X25" s="228">
        <f>IFERROR(_xlfn.XLOOKUP($A25,'Raw_Data'!$B:$B,'Raw_Data'!$JI:$JI),"")</f>
        <v>2091974.4999999995</v>
      </c>
      <c r="Y25" s="228">
        <f>IFERROR(_xlfn.XLOOKUP($A25,'Raw_Data'!$B:$B,'Raw_Data'!IT:IT),"")</f>
        <v>2077266.9999999925</v>
      </c>
      <c r="Z25" s="228">
        <f>IFERROR(_xlfn.XLOOKUP($A25,'Raw_Data'!$B:$B,'Raw_Data'!IU:IU),"")</f>
        <v>4400.0000000000346</v>
      </c>
      <c r="AA25" s="228">
        <f>IFERROR(_xlfn.XLOOKUP($A25,'Raw_Data'!$B:$B,'Raw_Data'!IW:IW),"")</f>
        <v>2072866.9999999925</v>
      </c>
      <c r="AB25" s="228">
        <f>IFERROR(_xlfn.XLOOKUP($A25,'Raw_Data'!$B:$B,'Raw_Data'!I:I)/1000,"")</f>
        <v>335.09089</v>
      </c>
      <c r="AC25" s="241">
        <f>IFERROR(_xlfn.XLOOKUP($D25,'Modelling New'!$D:$D,'Modelling New'!$P:$P),"")</f>
        <v>7.1966666666666672</v>
      </c>
      <c r="AD25" s="228">
        <f>IFERROR(_xlfn.XLOOKUP($D25,'Modelling New'!$D:$D,'Modelling New'!$T:$T)*1000,"")</f>
        <v>1944729.7154761388</v>
      </c>
      <c r="AE25" s="240">
        <f>IFERROR(_xlfn.XLOOKUP($D25,'Modelling New'!$D:$D,'Modelling New'!$O:$O),"")</f>
        <v>0.80642707268055158</v>
      </c>
      <c r="AF25" s="240">
        <f>IFERROR(_xlfn.XLOOKUP($D25,'Modelling New'!$D:$D,'Modelling New'!$W:$W),"")</f>
        <v>0.24181611804407097</v>
      </c>
      <c r="AG25" s="240">
        <f>IFERROR(_xlfn.XLOOKUP($D25,'Modelling New'!$D:$D,'Modelling New'!AE:AE),"")</f>
        <v>0.99750000000000005</v>
      </c>
      <c r="AH25" s="240">
        <f>IFERROR(_xlfn.XLOOKUP($D25,'Modelling New'!$D:$D,'Modelling New'!AF:AF),"")</f>
        <v>0.99750000000000005</v>
      </c>
      <c r="AI25" s="186"/>
      <c r="AJ25" s="186"/>
      <c r="AK25" s="227">
        <v>0.97199999999999998</v>
      </c>
      <c r="AL25" s="224">
        <f>IFERROR(Table13[[#This Row],[RA (%)]]*9270*58,"")</f>
        <v>522605.52</v>
      </c>
      <c r="AM25" s="225"/>
      <c r="AN25" s="238"/>
      <c r="AO25" s="240"/>
      <c r="AP25" s="240"/>
      <c r="AQ25" s="240"/>
      <c r="AR25" s="242">
        <f>IFERROR(_xlfn.XLOOKUP($D25,'Modelling New'!$D:$D,'Modelling New'!$N:$N),"")</f>
        <v>335.09100000000001</v>
      </c>
    </row>
    <row r="26" spans="1:44">
      <c r="A26" s="233">
        <f t="shared" si="3"/>
        <v>45769</v>
      </c>
      <c r="B26" s="228">
        <f>YEAR(Table13[[#This Row],[Date]])+IF(MONTH(Table13[[#This Row],[Date]])&gt;=4,1,0)</f>
        <v>2026</v>
      </c>
      <c r="C26" s="186">
        <f>YEAR(Table13[[#This Row],[Date]])</f>
        <v>2025</v>
      </c>
      <c r="D26" s="234">
        <f>Table13[[#This Row],[Date]]-DAY(Table13[[#This Row],[Date]])+1</f>
        <v>45748</v>
      </c>
      <c r="E26" s="186">
        <f t="shared" si="0"/>
        <v>30</v>
      </c>
      <c r="F26" s="235">
        <f>IFERROR(_xlfn.XLOOKUP($A26,'Raw_Data'!$B:$B,'Raw_Data'!$IX:$IX),"")</f>
        <v>12.800000000000002</v>
      </c>
      <c r="G26" s="236">
        <f>IFERROR(_xlfn.XLOOKUP($A26,'Raw_Data'!$B:$B,'Raw_Data'!IY:IY),"")</f>
        <v>8.1966369444444407</v>
      </c>
      <c r="H26" s="236">
        <f>IFERROR(_xlfn.XLOOKUP($A26,'Raw_Data'!$B:$B,'Raw_Data'!IZ:IZ),"")</f>
        <v>2.2812316111111119</v>
      </c>
      <c r="I26" s="236">
        <f>IFERROR(_xlfn.XLOOKUP($A26,'Raw_Data'!$B:$B,'Raw_Data'!JA:JA),"")</f>
        <v>8.3180476666666632</v>
      </c>
      <c r="J26" s="236">
        <f>IFERROR(_xlfn.XLOOKUP($A26,'Raw_Data'!$B:$B,'Raw_Data'!JB:JB),"")</f>
        <v>0.59696922222222226</v>
      </c>
      <c r="K26" s="236">
        <f>IFERROR(_xlfn.XLOOKUP($A26,'Raw_Data'!$B:$B,'Raw_Data'!JE:JE),"")</f>
        <v>35.82277552856501</v>
      </c>
      <c r="L26" s="236">
        <f>IFERROR(_xlfn.XLOOKUP($A26,'Raw_Data'!$B:$B,'Raw_Data'!JF:JF),"")</f>
        <v>47.613085919928004</v>
      </c>
      <c r="M26" s="236">
        <f>IFERROR(_xlfn.XLOOKUP($A26,'Raw_Data'!$B:$B,'Raw_Data'!JG:JG),"")</f>
        <v>3.9242785869433217</v>
      </c>
      <c r="N26" s="236">
        <f>IFERROR(_xlfn.XLOOKUP($A26,'Raw_Data'!$B:$B,'Raw_Data'!JH:JH),"")</f>
        <v>8.2602778333333333</v>
      </c>
      <c r="O26" s="237">
        <f>IFERROR(1-SUMIF(PA!$B:$B,$A26,PA!$AL:$AL)/($AA26+SUMIF(PA!$B:$B,$A26,PA!$AL:$AL)),"")</f>
        <v>1</v>
      </c>
      <c r="P26" s="238"/>
      <c r="Q26" s="239"/>
      <c r="R26" s="240">
        <f>IFERROR(1-SUMIF(GA!$C:$C,$A26,GA!$X:$X)/($AA26+SUMIF(GA!$C:$C,$A26,GA!$X:$X)),"")</f>
        <v>1</v>
      </c>
      <c r="S26" s="186"/>
      <c r="T26" s="239"/>
      <c r="U26" s="237">
        <f t="shared" si="1"/>
        <v>0.77111604618623475</v>
      </c>
      <c r="V26" s="237">
        <f>IFERROR(_xlfn.XLOOKUP($A26,'Raw_Data'!$B:$B,'Raw_Data'!$JL:$JL),"")</f>
        <v>0.79569433419698354</v>
      </c>
      <c r="W26" s="240">
        <f t="shared" si="2"/>
        <v>0.26725750119619301</v>
      </c>
      <c r="X26" s="228">
        <f>IFERROR(_xlfn.XLOOKUP($A26,'Raw_Data'!$B:$B,'Raw_Data'!$JI:$JI),"")</f>
        <v>2169534.100000001</v>
      </c>
      <c r="Y26" s="228">
        <f>IFERROR(_xlfn.XLOOKUP($A26,'Raw_Data'!$B:$B,'Raw_Data'!IT:IT),"")</f>
        <v>2153467.0000000042</v>
      </c>
      <c r="Z26" s="228">
        <f>IFERROR(_xlfn.XLOOKUP($A26,'Raw_Data'!$B:$B,'Raw_Data'!IU:IU),"")</f>
        <v>4132.9999999999818</v>
      </c>
      <c r="AA26" s="228">
        <f>IFERROR(_xlfn.XLOOKUP($A26,'Raw_Data'!$B:$B,'Raw_Data'!IW:IW),"")</f>
        <v>2149334.0000000042</v>
      </c>
      <c r="AB26" s="228">
        <f>IFERROR(_xlfn.XLOOKUP($A26,'Raw_Data'!$B:$B,'Raw_Data'!I:I)/1000,"")</f>
        <v>335.09089</v>
      </c>
      <c r="AC26" s="241">
        <f>IFERROR(_xlfn.XLOOKUP($D26,'Modelling New'!$D:$D,'Modelling New'!$P:$P),"")</f>
        <v>7.1966666666666672</v>
      </c>
      <c r="AD26" s="228">
        <f>IFERROR(_xlfn.XLOOKUP($D26,'Modelling New'!$D:$D,'Modelling New'!$T:$T)*1000,"")</f>
        <v>1944729.7154761388</v>
      </c>
      <c r="AE26" s="240">
        <f>IFERROR(_xlfn.XLOOKUP($D26,'Modelling New'!$D:$D,'Modelling New'!$O:$O),"")</f>
        <v>0.80642707268055158</v>
      </c>
      <c r="AF26" s="240">
        <f>IFERROR(_xlfn.XLOOKUP($D26,'Modelling New'!$D:$D,'Modelling New'!$W:$W),"")</f>
        <v>0.24181611804407097</v>
      </c>
      <c r="AG26" s="240">
        <f>IFERROR(_xlfn.XLOOKUP($D26,'Modelling New'!$D:$D,'Modelling New'!AE:AE),"")</f>
        <v>0.99750000000000005</v>
      </c>
      <c r="AH26" s="240">
        <f>IFERROR(_xlfn.XLOOKUP($D26,'Modelling New'!$D:$D,'Modelling New'!AF:AF),"")</f>
        <v>0.99750000000000005</v>
      </c>
      <c r="AI26" s="186"/>
      <c r="AJ26" s="186"/>
      <c r="AK26" s="227">
        <v>0.96</v>
      </c>
      <c r="AL26" s="224">
        <f>IFERROR(Table13[[#This Row],[RA (%)]]*9270*58,"")</f>
        <v>516153.59999999992</v>
      </c>
      <c r="AM26" s="225"/>
      <c r="AN26" s="238"/>
      <c r="AO26" s="240"/>
      <c r="AP26" s="240"/>
      <c r="AQ26" s="240"/>
      <c r="AR26" s="242">
        <f>IFERROR(_xlfn.XLOOKUP($D26,'Modelling New'!$D:$D,'Modelling New'!$N:$N),"")</f>
        <v>335.09100000000001</v>
      </c>
    </row>
    <row r="27" spans="1:44">
      <c r="A27" s="233">
        <f t="shared" si="3"/>
        <v>45770</v>
      </c>
      <c r="B27" s="228">
        <f>YEAR(Table13[[#This Row],[Date]])+IF(MONTH(Table13[[#This Row],[Date]])&gt;=4,1,0)</f>
        <v>2026</v>
      </c>
      <c r="C27" s="186">
        <f>YEAR(Table13[[#This Row],[Date]])</f>
        <v>2025</v>
      </c>
      <c r="D27" s="234">
        <f>Table13[[#This Row],[Date]]-DAY(Table13[[#This Row],[Date]])+1</f>
        <v>45748</v>
      </c>
      <c r="E27" s="186">
        <f t="shared" si="0"/>
        <v>30</v>
      </c>
      <c r="F27" s="235">
        <f>IFERROR(_xlfn.XLOOKUP($A27,'Raw_Data'!$B:$B,'Raw_Data'!$IX:$IX),"")</f>
        <v>12.866666666666669</v>
      </c>
      <c r="G27" s="236">
        <f>IFERROR(_xlfn.XLOOKUP($A27,'Raw_Data'!$B:$B,'Raw_Data'!IY:IY),"")</f>
        <v>7.9358374999999981</v>
      </c>
      <c r="H27" s="236">
        <f>IFERROR(_xlfn.XLOOKUP($A27,'Raw_Data'!$B:$B,'Raw_Data'!IZ:IZ),"")</f>
        <v>2.2098069166666665</v>
      </c>
      <c r="I27" s="236">
        <f>IFERROR(_xlfn.XLOOKUP($A27,'Raw_Data'!$B:$B,'Raw_Data'!JA:JA),"")</f>
        <v>8.044512499999998</v>
      </c>
      <c r="J27" s="236">
        <f>IFERROR(_xlfn.XLOOKUP($A27,'Raw_Data'!$B:$B,'Raw_Data'!JB:JB),"")</f>
        <v>0.57709969444444442</v>
      </c>
      <c r="K27" s="236">
        <f>IFERROR(_xlfn.XLOOKUP($A27,'Raw_Data'!$B:$B,'Raw_Data'!JE:JE),"")</f>
        <v>37.132578616352184</v>
      </c>
      <c r="L27" s="236">
        <f>IFERROR(_xlfn.XLOOKUP($A27,'Raw_Data'!$B:$B,'Raw_Data'!JF:JF),"")</f>
        <v>50.596563342318063</v>
      </c>
      <c r="M27" s="236">
        <f>IFERROR(_xlfn.XLOOKUP($A27,'Raw_Data'!$B:$B,'Raw_Data'!JG:JG),"")</f>
        <v>3.0920805823607385</v>
      </c>
      <c r="N27" s="236">
        <f>IFERROR(_xlfn.XLOOKUP($A27,'Raw_Data'!$B:$B,'Raw_Data'!JH:JH),"")</f>
        <v>7.6716661666666672</v>
      </c>
      <c r="O27" s="237">
        <f>IFERROR(1-SUMIF(PA!$B:$B,$A27,PA!$AL:$AL)/($AA27+SUMIF(PA!$B:$B,$A27,PA!$AL:$AL)),"")</f>
        <v>1</v>
      </c>
      <c r="P27" s="238"/>
      <c r="Q27" s="239"/>
      <c r="R27" s="240">
        <f>IFERROR(1-SUMIF(GA!$C:$C,$A27,GA!$X:$X)/($AA27+SUMIF(GA!$C:$C,$A27,GA!$X:$X)),"")</f>
        <v>1</v>
      </c>
      <c r="S27" s="186"/>
      <c r="T27" s="239"/>
      <c r="U27" s="237">
        <f t="shared" si="1"/>
        <v>0.77950434260717172</v>
      </c>
      <c r="V27" s="237">
        <f>IFERROR(_xlfn.XLOOKUP($A27,'Raw_Data'!$B:$B,'Raw_Data'!$JL:$JL),"")</f>
        <v>0.8083935884374196</v>
      </c>
      <c r="W27" s="240">
        <f t="shared" si="2"/>
        <v>0.26128051782948641</v>
      </c>
      <c r="X27" s="228">
        <f>IFERROR(_xlfn.XLOOKUP($A27,'Raw_Data'!$B:$B,'Raw_Data'!$JI:$JI),"")</f>
        <v>2119554.2000000002</v>
      </c>
      <c r="Y27" s="228">
        <f>IFERROR(_xlfn.XLOOKUP($A27,'Raw_Data'!$B:$B,'Raw_Data'!IT:IT),"")</f>
        <v>2104533.0000000102</v>
      </c>
      <c r="Z27" s="228">
        <f>IFERROR(_xlfn.XLOOKUP($A27,'Raw_Data'!$B:$B,'Raw_Data'!IU:IU),"")</f>
        <v>3266.9999999999959</v>
      </c>
      <c r="AA27" s="228">
        <f>IFERROR(_xlfn.XLOOKUP($A27,'Raw_Data'!$B:$B,'Raw_Data'!IW:IW),"")</f>
        <v>2101266.0000000102</v>
      </c>
      <c r="AB27" s="228">
        <f>IFERROR(_xlfn.XLOOKUP($A27,'Raw_Data'!$B:$B,'Raw_Data'!I:I)/1000,"")</f>
        <v>335.09089</v>
      </c>
      <c r="AC27" s="241">
        <f>IFERROR(_xlfn.XLOOKUP($D27,'Modelling New'!$D:$D,'Modelling New'!$P:$P),"")</f>
        <v>7.1966666666666672</v>
      </c>
      <c r="AD27" s="228">
        <f>IFERROR(_xlfn.XLOOKUP($D27,'Modelling New'!$D:$D,'Modelling New'!$T:$T)*1000,"")</f>
        <v>1944729.7154761388</v>
      </c>
      <c r="AE27" s="240">
        <f>IFERROR(_xlfn.XLOOKUP($D27,'Modelling New'!$D:$D,'Modelling New'!$O:$O),"")</f>
        <v>0.80642707268055158</v>
      </c>
      <c r="AF27" s="240">
        <f>IFERROR(_xlfn.XLOOKUP($D27,'Modelling New'!$D:$D,'Modelling New'!$W:$W),"")</f>
        <v>0.24181611804407097</v>
      </c>
      <c r="AG27" s="240">
        <f>IFERROR(_xlfn.XLOOKUP($D27,'Modelling New'!$D:$D,'Modelling New'!AE:AE),"")</f>
        <v>0.99750000000000005</v>
      </c>
      <c r="AH27" s="240">
        <f>IFERROR(_xlfn.XLOOKUP($D27,'Modelling New'!$D:$D,'Modelling New'!AF:AF),"")</f>
        <v>0.99750000000000005</v>
      </c>
      <c r="AI27" s="186"/>
      <c r="AJ27" s="186"/>
      <c r="AK27" s="227">
        <v>0.96799999999999997</v>
      </c>
      <c r="AL27" s="224">
        <f>IFERROR(Table13[[#This Row],[RA (%)]]*9270*58,"")</f>
        <v>520454.88</v>
      </c>
      <c r="AM27" s="225"/>
      <c r="AN27" s="238"/>
      <c r="AO27" s="240"/>
      <c r="AP27" s="240"/>
      <c r="AQ27" s="240"/>
      <c r="AR27" s="242">
        <f>IFERROR(_xlfn.XLOOKUP($D27,'Modelling New'!$D:$D,'Modelling New'!$N:$N),"")</f>
        <v>335.09100000000001</v>
      </c>
    </row>
    <row r="28" spans="1:44">
      <c r="A28" s="233">
        <f t="shared" si="3"/>
        <v>45771</v>
      </c>
      <c r="B28" s="228">
        <f>YEAR(Table13[[#This Row],[Date]])+IF(MONTH(Table13[[#This Row],[Date]])&gt;=4,1,0)</f>
        <v>2026</v>
      </c>
      <c r="C28" s="186">
        <f>YEAR(Table13[[#This Row],[Date]])</f>
        <v>2025</v>
      </c>
      <c r="D28" s="234">
        <f>Table13[[#This Row],[Date]]-DAY(Table13[[#This Row],[Date]])+1</f>
        <v>45748</v>
      </c>
      <c r="E28" s="186">
        <f t="shared" si="0"/>
        <v>30</v>
      </c>
      <c r="F28" s="235">
        <f>IFERROR(_xlfn.XLOOKUP($A28,'Raw_Data'!$B:$B,'Raw_Data'!$IX:$IX),"")</f>
        <v>12.766666666666669</v>
      </c>
      <c r="G28" s="236">
        <f>IFERROR(_xlfn.XLOOKUP($A28,'Raw_Data'!$B:$B,'Raw_Data'!IY:IY),"")</f>
        <v>7.7887546388888893</v>
      </c>
      <c r="H28" s="236">
        <f>IFERROR(_xlfn.XLOOKUP($A28,'Raw_Data'!$B:$B,'Raw_Data'!IZ:IZ),"")</f>
        <v>2.1642559166666659</v>
      </c>
      <c r="I28" s="236">
        <f>IFERROR(_xlfn.XLOOKUP($A28,'Raw_Data'!$B:$B,'Raw_Data'!JA:JA),"")</f>
        <v>7.8860106944444475</v>
      </c>
      <c r="J28" s="236">
        <f>IFERROR(_xlfn.XLOOKUP($A28,'Raw_Data'!$B:$B,'Raw_Data'!JB:JB),"")</f>
        <v>0.56618183333333316</v>
      </c>
      <c r="K28" s="236">
        <f>IFERROR(_xlfn.XLOOKUP($A28,'Raw_Data'!$B:$B,'Raw_Data'!JE:JE),"")</f>
        <v>37.954997756841635</v>
      </c>
      <c r="L28" s="236">
        <f>IFERROR(_xlfn.XLOOKUP($A28,'Raw_Data'!$B:$B,'Raw_Data'!JF:JF),"")</f>
        <v>50.959775684163326</v>
      </c>
      <c r="M28" s="236">
        <f>IFERROR(_xlfn.XLOOKUP($A28,'Raw_Data'!$B:$B,'Raw_Data'!JG:JG),"")</f>
        <v>4.0029514511305546</v>
      </c>
      <c r="N28" s="236">
        <f>IFERROR(_xlfn.XLOOKUP($A28,'Raw_Data'!$B:$B,'Raw_Data'!JH:JH),"")</f>
        <v>9.0505551666666673</v>
      </c>
      <c r="O28" s="237">
        <f>IFERROR(1-SUMIF(PA!$B:$B,$A28,PA!$AL:$AL)/($AA28+SUMIF(PA!$B:$B,$A28,PA!$AL:$AL)),"")</f>
        <v>0.99996988721209379</v>
      </c>
      <c r="P28" s="238"/>
      <c r="Q28" s="239"/>
      <c r="R28" s="240">
        <f>IFERROR(1-SUMIF(GA!$C:$C,$A28,GA!$X:$X)/($AA28+SUMIF(GA!$C:$C,$A28,GA!$X:$X)),"")</f>
        <v>1</v>
      </c>
      <c r="S28" s="186"/>
      <c r="T28" s="239"/>
      <c r="U28" s="237">
        <f t="shared" si="1"/>
        <v>0.7867460533437497</v>
      </c>
      <c r="V28" s="237">
        <f>IFERROR(_xlfn.XLOOKUP($A28,'Raw_Data'!$B:$B,'Raw_Data'!$JL:$JL),"")</f>
        <v>0.81537091272323747</v>
      </c>
      <c r="W28" s="240">
        <f t="shared" si="2"/>
        <v>0.25851199127003222</v>
      </c>
      <c r="X28" s="228">
        <f>IFERROR(_xlfn.XLOOKUP($A28,'Raw_Data'!$B:$B,'Raw_Data'!$JI:$JI),"")</f>
        <v>2097488.7999999993</v>
      </c>
      <c r="Y28" s="228">
        <f>IFERROR(_xlfn.XLOOKUP($A28,'Raw_Data'!$B:$B,'Raw_Data'!IT:IT),"")</f>
        <v>2083266.9999999925</v>
      </c>
      <c r="Z28" s="228">
        <f>IFERROR(_xlfn.XLOOKUP($A28,'Raw_Data'!$B:$B,'Raw_Data'!IU:IU),"")</f>
        <v>4266.00000000002</v>
      </c>
      <c r="AA28" s="228">
        <f>IFERROR(_xlfn.XLOOKUP($A28,'Raw_Data'!$B:$B,'Raw_Data'!IW:IW),"")</f>
        <v>2079000.9999999925</v>
      </c>
      <c r="AB28" s="228">
        <f>IFERROR(_xlfn.XLOOKUP($A28,'Raw_Data'!$B:$B,'Raw_Data'!I:I)/1000,"")</f>
        <v>335.09089</v>
      </c>
      <c r="AC28" s="241">
        <f>IFERROR(_xlfn.XLOOKUP($D28,'Modelling New'!$D:$D,'Modelling New'!$P:$P),"")</f>
        <v>7.1966666666666672</v>
      </c>
      <c r="AD28" s="228">
        <f>IFERROR(_xlfn.XLOOKUP($D28,'Modelling New'!$D:$D,'Modelling New'!$T:$T)*1000,"")</f>
        <v>1944729.7154761388</v>
      </c>
      <c r="AE28" s="240">
        <f>IFERROR(_xlfn.XLOOKUP($D28,'Modelling New'!$D:$D,'Modelling New'!$O:$O),"")</f>
        <v>0.80642707268055158</v>
      </c>
      <c r="AF28" s="240">
        <f>IFERROR(_xlfn.XLOOKUP($D28,'Modelling New'!$D:$D,'Modelling New'!$W:$W),"")</f>
        <v>0.24181611804407097</v>
      </c>
      <c r="AG28" s="240">
        <f>IFERROR(_xlfn.XLOOKUP($D28,'Modelling New'!$D:$D,'Modelling New'!AE:AE),"")</f>
        <v>0.99750000000000005</v>
      </c>
      <c r="AH28" s="240">
        <f>IFERROR(_xlfn.XLOOKUP($D28,'Modelling New'!$D:$D,'Modelling New'!AF:AF),"")</f>
        <v>0.99750000000000005</v>
      </c>
      <c r="AI28" s="186"/>
      <c r="AJ28" s="186"/>
      <c r="AK28" s="227">
        <v>0.97</v>
      </c>
      <c r="AL28" s="224">
        <f>IFERROR(Table13[[#This Row],[RA (%)]]*9270*58,"")</f>
        <v>521530.19999999995</v>
      </c>
      <c r="AM28" s="225"/>
      <c r="AN28" s="238"/>
      <c r="AO28" s="240"/>
      <c r="AP28" s="240"/>
      <c r="AQ28" s="240"/>
      <c r="AR28" s="242">
        <f>IFERROR(_xlfn.XLOOKUP($D28,'Modelling New'!$D:$D,'Modelling New'!$N:$N),"")</f>
        <v>335.09100000000001</v>
      </c>
    </row>
    <row r="29" spans="1:44">
      <c r="A29" s="233">
        <f t="shared" si="3"/>
        <v>45772</v>
      </c>
      <c r="B29" s="228">
        <f>YEAR(Table13[[#This Row],[Date]])+IF(MONTH(Table13[[#This Row],[Date]])&gt;=4,1,0)</f>
        <v>2026</v>
      </c>
      <c r="C29" s="186">
        <f>YEAR(Table13[[#This Row],[Date]])</f>
        <v>2025</v>
      </c>
      <c r="D29" s="234">
        <f>Table13[[#This Row],[Date]]-DAY(Table13[[#This Row],[Date]])+1</f>
        <v>45748</v>
      </c>
      <c r="E29" s="186">
        <f t="shared" si="0"/>
        <v>30</v>
      </c>
      <c r="F29" s="235">
        <f>IFERROR(_xlfn.XLOOKUP($A29,'Raw_Data'!$B:$B,'Raw_Data'!$IX:$IX),"")</f>
        <v>12.716666666666667</v>
      </c>
      <c r="G29" s="236">
        <f>IFERROR(_xlfn.XLOOKUP($A29,'Raw_Data'!$B:$B,'Raw_Data'!IY:IY),"")</f>
        <v>7.4628059166666683</v>
      </c>
      <c r="H29" s="236">
        <f>IFERROR(_xlfn.XLOOKUP($A29,'Raw_Data'!$B:$B,'Raw_Data'!IZ:IZ),"")</f>
        <v>2.0919120833333338</v>
      </c>
      <c r="I29" s="236">
        <f>IFERROR(_xlfn.XLOOKUP($A29,'Raw_Data'!$B:$B,'Raw_Data'!JA:JA),"")</f>
        <v>7.5451208055555563</v>
      </c>
      <c r="J29" s="236">
        <f>IFERROR(_xlfn.XLOOKUP($A29,'Raw_Data'!$B:$B,'Raw_Data'!JB:JB),"")</f>
        <v>0.56116319444444462</v>
      </c>
      <c r="K29" s="236">
        <f>IFERROR(_xlfn.XLOOKUP($A29,'Raw_Data'!$B:$B,'Raw_Data'!JE:JE),"")</f>
        <v>37.919562695225352</v>
      </c>
      <c r="L29" s="236">
        <f>IFERROR(_xlfn.XLOOKUP($A29,'Raw_Data'!$B:$B,'Raw_Data'!JF:JF),"")</f>
        <v>50.299821508255235</v>
      </c>
      <c r="M29" s="236">
        <f>IFERROR(_xlfn.XLOOKUP($A29,'Raw_Data'!$B:$B,'Raw_Data'!JG:JG),"")</f>
        <v>5.6082103872021447</v>
      </c>
      <c r="N29" s="236">
        <f>IFERROR(_xlfn.XLOOKUP($A29,'Raw_Data'!$B:$B,'Raw_Data'!JH:JH),"")</f>
        <v>10.511665666666667</v>
      </c>
      <c r="O29" s="237">
        <f>IFERROR(1-SUMIF(PA!$B:$B,$A29,PA!$AL:$AL)/($AA29+SUMIF(PA!$B:$B,$A29,PA!$AL:$AL)),"")</f>
        <v>0.99997100904219938</v>
      </c>
      <c r="P29" s="238"/>
      <c r="Q29" s="239"/>
      <c r="R29" s="240">
        <f>IFERROR(1-SUMIF(GA!$C:$C,$A29,GA!$X:$X)/($AA29+SUMIF(GA!$C:$C,$A29,GA!$X:$X)),"")</f>
        <v>1</v>
      </c>
      <c r="S29" s="186"/>
      <c r="T29" s="239"/>
      <c r="U29" s="237">
        <f t="shared" si="1"/>
        <v>0.78922531411744978</v>
      </c>
      <c r="V29" s="237">
        <f>IFERROR(_xlfn.XLOOKUP($A29,'Raw_Data'!$B:$B,'Raw_Data'!$JL:$JL),"")</f>
        <v>0.80920735944290689</v>
      </c>
      <c r="W29" s="240">
        <f t="shared" si="2"/>
        <v>0.24811668074244542</v>
      </c>
      <c r="X29" s="228">
        <f>IFERROR(_xlfn.XLOOKUP($A29,'Raw_Data'!$B:$B,'Raw_Data'!$JI:$JI),"")</f>
        <v>2012458.2000000004</v>
      </c>
      <c r="Y29" s="228">
        <f>IFERROR(_xlfn.XLOOKUP($A29,'Raw_Data'!$B:$B,'Raw_Data'!IT:IT),"")</f>
        <v>1998334.0000000026</v>
      </c>
      <c r="Z29" s="228">
        <f>IFERROR(_xlfn.XLOOKUP($A29,'Raw_Data'!$B:$B,'Raw_Data'!IU:IU),"")</f>
        <v>2933.9999999999691</v>
      </c>
      <c r="AA29" s="228">
        <f>IFERROR(_xlfn.XLOOKUP($A29,'Raw_Data'!$B:$B,'Raw_Data'!IW:IW),"")</f>
        <v>1995400.0000000026</v>
      </c>
      <c r="AB29" s="228">
        <f>IFERROR(_xlfn.XLOOKUP($A29,'Raw_Data'!$B:$B,'Raw_Data'!I:I)/1000,"")</f>
        <v>335.09089</v>
      </c>
      <c r="AC29" s="241">
        <f>IFERROR(_xlfn.XLOOKUP($D29,'Modelling New'!$D:$D,'Modelling New'!$P:$P),"")</f>
        <v>7.1966666666666672</v>
      </c>
      <c r="AD29" s="228">
        <f>IFERROR(_xlfn.XLOOKUP($D29,'Modelling New'!$D:$D,'Modelling New'!$T:$T)*1000,"")</f>
        <v>1944729.7154761388</v>
      </c>
      <c r="AE29" s="240">
        <f>IFERROR(_xlfn.XLOOKUP($D29,'Modelling New'!$D:$D,'Modelling New'!$O:$O),"")</f>
        <v>0.80642707268055158</v>
      </c>
      <c r="AF29" s="240">
        <f>IFERROR(_xlfn.XLOOKUP($D29,'Modelling New'!$D:$D,'Modelling New'!$W:$W),"")</f>
        <v>0.24181611804407097</v>
      </c>
      <c r="AG29" s="240">
        <f>IFERROR(_xlfn.XLOOKUP($D29,'Modelling New'!$D:$D,'Modelling New'!AE:AE),"")</f>
        <v>0.99750000000000005</v>
      </c>
      <c r="AH29" s="240">
        <f>IFERROR(_xlfn.XLOOKUP($D29,'Modelling New'!$D:$D,'Modelling New'!AF:AF),"")</f>
        <v>0.99750000000000005</v>
      </c>
      <c r="AI29" s="186"/>
      <c r="AJ29" s="186"/>
      <c r="AK29" s="227">
        <v>0.97799999999999998</v>
      </c>
      <c r="AL29" s="224">
        <f>IFERROR(Table13[[#This Row],[RA (%)]]*9270*58,"")</f>
        <v>525831.48</v>
      </c>
      <c r="AM29" s="225"/>
      <c r="AN29" s="238"/>
      <c r="AO29" s="240"/>
      <c r="AP29" s="240"/>
      <c r="AQ29" s="240"/>
      <c r="AR29" s="242">
        <f>IFERROR(_xlfn.XLOOKUP($D29,'Modelling New'!$D:$D,'Modelling New'!$N:$N),"")</f>
        <v>335.09100000000001</v>
      </c>
    </row>
    <row r="30" spans="1:44">
      <c r="A30" s="233">
        <f t="shared" si="3"/>
        <v>45773</v>
      </c>
      <c r="B30" s="228">
        <f>YEAR(Table13[[#This Row],[Date]])+IF(MONTH(Table13[[#This Row],[Date]])&gt;=4,1,0)</f>
        <v>2026</v>
      </c>
      <c r="C30" s="186">
        <f>YEAR(Table13[[#This Row],[Date]])</f>
        <v>2025</v>
      </c>
      <c r="D30" s="234">
        <f>Table13[[#This Row],[Date]]-DAY(Table13[[#This Row],[Date]])+1</f>
        <v>45748</v>
      </c>
      <c r="E30" s="186">
        <f t="shared" si="0"/>
        <v>30</v>
      </c>
      <c r="F30" s="235">
        <f>IFERROR(_xlfn.XLOOKUP($A30,'Raw_Data'!$B:$B,'Raw_Data'!$IX:$IX),"")</f>
        <v>12.85</v>
      </c>
      <c r="G30" s="236">
        <f>IFERROR(_xlfn.XLOOKUP($A30,'Raw_Data'!$B:$B,'Raw_Data'!IY:IY),"")</f>
        <v>7.328251916666666</v>
      </c>
      <c r="H30" s="236">
        <f>IFERROR(_xlfn.XLOOKUP($A30,'Raw_Data'!$B:$B,'Raw_Data'!IZ:IZ),"")</f>
        <v>2.0752877222222219</v>
      </c>
      <c r="I30" s="236">
        <f>IFERROR(_xlfn.XLOOKUP($A30,'Raw_Data'!$B:$B,'Raw_Data'!JA:JA),"")</f>
        <v>7.4105214166666658</v>
      </c>
      <c r="J30" s="236">
        <f>IFERROR(_xlfn.XLOOKUP($A30,'Raw_Data'!$B:$B,'Raw_Data'!JB:JB),"")</f>
        <v>0.57387350000000048</v>
      </c>
      <c r="K30" s="236">
        <f>IFERROR(_xlfn.XLOOKUP($A30,'Raw_Data'!$B:$B,'Raw_Data'!JE:JE),"")</f>
        <v>37.881408355795145</v>
      </c>
      <c r="L30" s="236">
        <f>IFERROR(_xlfn.XLOOKUP($A30,'Raw_Data'!$B:$B,'Raw_Data'!JF:JF),"")</f>
        <v>51.39486634770892</v>
      </c>
      <c r="M30" s="236">
        <f>IFERROR(_xlfn.XLOOKUP($A30,'Raw_Data'!$B:$B,'Raw_Data'!JG:JG),"")</f>
        <v>3.3847460367879623</v>
      </c>
      <c r="N30" s="236">
        <f>IFERROR(_xlfn.XLOOKUP($A30,'Raw_Data'!$B:$B,'Raw_Data'!JH:JH),"")</f>
        <v>7.0266661666666677</v>
      </c>
      <c r="O30" s="237">
        <f>IFERROR(1-SUMIF(PA!$B:$B,$A30,PA!$AL:$AL)/($AA30+SUMIF(PA!$B:$B,$A30,PA!$AL:$AL)),"")</f>
        <v>0.97235590272978345</v>
      </c>
      <c r="P30" s="238"/>
      <c r="Q30" s="239"/>
      <c r="R30" s="240">
        <f>IFERROR(1-SUMIF(GA!$C:$C,$A30,GA!$X:$X)/($AA30+SUMIF(GA!$C:$C,$A30,GA!$X:$X)),"")</f>
        <v>1</v>
      </c>
      <c r="S30" s="186"/>
      <c r="T30" s="239"/>
      <c r="U30" s="237">
        <f t="shared" si="1"/>
        <v>0.78525078934335624</v>
      </c>
      <c r="V30" s="237">
        <f>IFERROR(_xlfn.XLOOKUP($A30,'Raw_Data'!$B:$B,'Raw_Data'!$JL:$JL),"")</f>
        <v>0.81098414012311337</v>
      </c>
      <c r="W30" s="240">
        <f t="shared" si="2"/>
        <v>0.24246324132847277</v>
      </c>
      <c r="X30" s="228">
        <f>IFERROR(_xlfn.XLOOKUP($A30,'Raw_Data'!$B:$B,'Raw_Data'!$JI:$JI),"")</f>
        <v>1966464.5000000002</v>
      </c>
      <c r="Y30" s="228">
        <f>IFERROR(_xlfn.XLOOKUP($A30,'Raw_Data'!$B:$B,'Raw_Data'!IT:IT),"")</f>
        <v>1953199.9999999825</v>
      </c>
      <c r="Z30" s="228">
        <f>IFERROR(_xlfn.XLOOKUP($A30,'Raw_Data'!$B:$B,'Raw_Data'!IU:IU),"")</f>
        <v>3266.0000000000196</v>
      </c>
      <c r="AA30" s="228">
        <f>IFERROR(_xlfn.XLOOKUP($A30,'Raw_Data'!$B:$B,'Raw_Data'!IW:IW),"")</f>
        <v>1949933.9999999825</v>
      </c>
      <c r="AB30" s="228">
        <f>IFERROR(_xlfn.XLOOKUP($A30,'Raw_Data'!$B:$B,'Raw_Data'!I:I)/1000,"")</f>
        <v>335.09089</v>
      </c>
      <c r="AC30" s="241">
        <f>IFERROR(_xlfn.XLOOKUP($D30,'Modelling New'!$D:$D,'Modelling New'!$P:$P),"")</f>
        <v>7.1966666666666672</v>
      </c>
      <c r="AD30" s="228">
        <f>IFERROR(_xlfn.XLOOKUP($D30,'Modelling New'!$D:$D,'Modelling New'!$T:$T)*1000,"")</f>
        <v>1944729.7154761388</v>
      </c>
      <c r="AE30" s="240">
        <f>IFERROR(_xlfn.XLOOKUP($D30,'Modelling New'!$D:$D,'Modelling New'!$O:$O),"")</f>
        <v>0.80642707268055158</v>
      </c>
      <c r="AF30" s="240">
        <f>IFERROR(_xlfn.XLOOKUP($D30,'Modelling New'!$D:$D,'Modelling New'!$W:$W),"")</f>
        <v>0.24181611804407097</v>
      </c>
      <c r="AG30" s="240">
        <f>IFERROR(_xlfn.XLOOKUP($D30,'Modelling New'!$D:$D,'Modelling New'!AE:AE),"")</f>
        <v>0.99750000000000005</v>
      </c>
      <c r="AH30" s="240">
        <f>IFERROR(_xlfn.XLOOKUP($D30,'Modelling New'!$D:$D,'Modelling New'!AF:AF),"")</f>
        <v>0.99750000000000005</v>
      </c>
      <c r="AI30" s="186"/>
      <c r="AJ30" s="186"/>
      <c r="AK30" s="227">
        <v>0.98299999999999998</v>
      </c>
      <c r="AL30" s="224">
        <f>IFERROR(Table13[[#This Row],[RA (%)]]*9270*58,"")</f>
        <v>528519.78</v>
      </c>
      <c r="AM30" s="225"/>
      <c r="AN30" s="238"/>
      <c r="AO30" s="240"/>
      <c r="AP30" s="240"/>
      <c r="AQ30" s="240"/>
      <c r="AR30" s="242">
        <f>IFERROR(_xlfn.XLOOKUP($D30,'Modelling New'!$D:$D,'Modelling New'!$N:$N),"")</f>
        <v>335.09100000000001</v>
      </c>
    </row>
    <row r="31" spans="1:44">
      <c r="A31" s="233">
        <f t="shared" si="3"/>
        <v>45774</v>
      </c>
      <c r="B31" s="228">
        <f>YEAR(Table13[[#This Row],[Date]])+IF(MONTH(Table13[[#This Row],[Date]])&gt;=4,1,0)</f>
        <v>2026</v>
      </c>
      <c r="C31" s="186">
        <f>YEAR(Table13[[#This Row],[Date]])</f>
        <v>2025</v>
      </c>
      <c r="D31" s="234">
        <f>Table13[[#This Row],[Date]]-DAY(Table13[[#This Row],[Date]])+1</f>
        <v>45748</v>
      </c>
      <c r="E31" s="186">
        <f t="shared" si="0"/>
        <v>30</v>
      </c>
      <c r="F31" s="235">
        <f>IFERROR(_xlfn.XLOOKUP($A31,'Raw_Data'!$B:$B,'Raw_Data'!$IX:$IX),"")</f>
        <v>12.800000000000002</v>
      </c>
      <c r="G31" s="236">
        <f>IFERROR(_xlfn.XLOOKUP($A31,'Raw_Data'!$B:$B,'Raw_Data'!IY:IY),"")</f>
        <v>7.480219805555552</v>
      </c>
      <c r="H31" s="236">
        <f>IFERROR(_xlfn.XLOOKUP($A31,'Raw_Data'!$B:$B,'Raw_Data'!IZ:IZ),"")</f>
        <v>2.1075091111111099</v>
      </c>
      <c r="I31" s="236">
        <f>IFERROR(_xlfn.XLOOKUP($A31,'Raw_Data'!$B:$B,'Raw_Data'!JA:JA),"")</f>
        <v>7.5411033333333322</v>
      </c>
      <c r="J31" s="236">
        <f>IFERROR(_xlfn.XLOOKUP($A31,'Raw_Data'!$B:$B,'Raw_Data'!JB:JB),"")</f>
        <v>0.56503630555555551</v>
      </c>
      <c r="K31" s="236">
        <f>IFERROR(_xlfn.XLOOKUP($A31,'Raw_Data'!$B:$B,'Raw_Data'!JE:JE),"")</f>
        <v>39.715336473755009</v>
      </c>
      <c r="L31" s="236">
        <f>IFERROR(_xlfn.XLOOKUP($A31,'Raw_Data'!$B:$B,'Raw_Data'!JF:JF),"")</f>
        <v>53.089174517720956</v>
      </c>
      <c r="M31" s="236">
        <f>IFERROR(_xlfn.XLOOKUP($A31,'Raw_Data'!$B:$B,'Raw_Data'!JG:JG),"")</f>
        <v>2.1719697884970848</v>
      </c>
      <c r="N31" s="236">
        <f>IFERROR(_xlfn.XLOOKUP($A31,'Raw_Data'!$B:$B,'Raw_Data'!JH:JH),"")</f>
        <v>7.0488886666666666</v>
      </c>
      <c r="O31" s="237">
        <f>IFERROR(1-SUMIF(PA!$B:$B,$A31,PA!$AL:$AL)/($AA31+SUMIF(PA!$B:$B,$A31,PA!$AL:$AL)),"")</f>
        <v>1</v>
      </c>
      <c r="P31" s="238"/>
      <c r="Q31" s="239"/>
      <c r="R31" s="240">
        <f>IFERROR(1-SUMIF(GA!$C:$C,$A31,GA!$X:$X)/($AA31+SUMIF(GA!$C:$C,$A31,GA!$X:$X)),"")</f>
        <v>1</v>
      </c>
      <c r="S31" s="186"/>
      <c r="T31" s="239"/>
      <c r="U31" s="237">
        <f t="shared" si="1"/>
        <v>0.79473727029350894</v>
      </c>
      <c r="V31" s="237">
        <f>IFERROR(_xlfn.XLOOKUP($A31,'Raw_Data'!$B:$B,'Raw_Data'!$JL:$JL),"")</f>
        <v>0.83331706223792801</v>
      </c>
      <c r="W31" s="240">
        <f t="shared" si="2"/>
        <v>0.24971649492227557</v>
      </c>
      <c r="X31" s="228">
        <f>IFERROR(_xlfn.XLOOKUP($A31,'Raw_Data'!$B:$B,'Raw_Data'!$JI:$JI),"")</f>
        <v>2025932.0999999996</v>
      </c>
      <c r="Y31" s="228">
        <f>IFERROR(_xlfn.XLOOKUP($A31,'Raw_Data'!$B:$B,'Raw_Data'!IT:IT),"")</f>
        <v>2012600.0000000058</v>
      </c>
      <c r="Z31" s="228">
        <f>IFERROR(_xlfn.XLOOKUP($A31,'Raw_Data'!$B:$B,'Raw_Data'!IU:IU),"")</f>
        <v>4334.0000000000036</v>
      </c>
      <c r="AA31" s="228">
        <f>IFERROR(_xlfn.XLOOKUP($A31,'Raw_Data'!$B:$B,'Raw_Data'!IW:IW),"")</f>
        <v>2008266.0000000058</v>
      </c>
      <c r="AB31" s="228">
        <f>IFERROR(_xlfn.XLOOKUP($A31,'Raw_Data'!$B:$B,'Raw_Data'!I:I)/1000,"")</f>
        <v>335.09089</v>
      </c>
      <c r="AC31" s="241">
        <f>IFERROR(_xlfn.XLOOKUP($D31,'Modelling New'!$D:$D,'Modelling New'!$P:$P),"")</f>
        <v>7.1966666666666672</v>
      </c>
      <c r="AD31" s="228">
        <f>IFERROR(_xlfn.XLOOKUP($D31,'Modelling New'!$D:$D,'Modelling New'!$T:$T)*1000,"")</f>
        <v>1944729.7154761388</v>
      </c>
      <c r="AE31" s="240">
        <f>IFERROR(_xlfn.XLOOKUP($D31,'Modelling New'!$D:$D,'Modelling New'!$O:$O),"")</f>
        <v>0.80642707268055158</v>
      </c>
      <c r="AF31" s="240">
        <f>IFERROR(_xlfn.XLOOKUP($D31,'Modelling New'!$D:$D,'Modelling New'!$W:$W),"")</f>
        <v>0.24181611804407097</v>
      </c>
      <c r="AG31" s="240">
        <f>IFERROR(_xlfn.XLOOKUP($D31,'Modelling New'!$D:$D,'Modelling New'!AE:AE),"")</f>
        <v>0.99750000000000005</v>
      </c>
      <c r="AH31" s="240">
        <f>IFERROR(_xlfn.XLOOKUP($D31,'Modelling New'!$D:$D,'Modelling New'!AF:AF),"")</f>
        <v>0.99750000000000005</v>
      </c>
      <c r="AI31" s="186"/>
      <c r="AJ31" s="186"/>
      <c r="AK31" s="227">
        <v>0.97799999999999998</v>
      </c>
      <c r="AL31" s="224">
        <f>IFERROR(Table13[[#This Row],[RA (%)]]*9270*58,"")</f>
        <v>525831.48</v>
      </c>
      <c r="AM31" s="225"/>
      <c r="AN31" s="238"/>
      <c r="AO31" s="240"/>
      <c r="AP31" s="240"/>
      <c r="AQ31" s="240"/>
      <c r="AR31" s="242">
        <f>IFERROR(_xlfn.XLOOKUP($D31,'Modelling New'!$D:$D,'Modelling New'!$N:$N),"")</f>
        <v>335.09100000000001</v>
      </c>
    </row>
    <row r="32" spans="1:44">
      <c r="A32" s="233">
        <f t="shared" si="3"/>
        <v>45775</v>
      </c>
      <c r="B32" s="228">
        <f>YEAR(Table13[[#This Row],[Date]])+IF(MONTH(Table13[[#This Row],[Date]])&gt;=4,1,0)</f>
        <v>2026</v>
      </c>
      <c r="C32" s="186">
        <f>YEAR(Table13[[#This Row],[Date]])</f>
        <v>2025</v>
      </c>
      <c r="D32" s="234">
        <f>Table13[[#This Row],[Date]]-DAY(Table13[[#This Row],[Date]])+1</f>
        <v>45748</v>
      </c>
      <c r="E32" s="186">
        <f t="shared" si="0"/>
        <v>30</v>
      </c>
      <c r="F32" s="235">
        <f>IFERROR(_xlfn.XLOOKUP($A32,'Raw_Data'!$B:$B,'Raw_Data'!$IX:$IX),"")</f>
        <v>12.85</v>
      </c>
      <c r="G32" s="236">
        <f>IFERROR(_xlfn.XLOOKUP($A32,'Raw_Data'!$B:$B,'Raw_Data'!IY:IY),"")</f>
        <v>7.4685893611111132</v>
      </c>
      <c r="H32" s="236">
        <f>IFERROR(_xlfn.XLOOKUP($A32,'Raw_Data'!$B:$B,'Raw_Data'!IZ:IZ),"")</f>
        <v>2.0593802499999998</v>
      </c>
      <c r="I32" s="236">
        <f>IFERROR(_xlfn.XLOOKUP($A32,'Raw_Data'!$B:$B,'Raw_Data'!JA:JA),"")</f>
        <v>7.5059218888888912</v>
      </c>
      <c r="J32" s="236">
        <f>IFERROR(_xlfn.XLOOKUP($A32,'Raw_Data'!$B:$B,'Raw_Data'!JB:JB),"")</f>
        <v>0.54854058333333333</v>
      </c>
      <c r="K32" s="236">
        <f>IFERROR(_xlfn.XLOOKUP($A32,'Raw_Data'!$B:$B,'Raw_Data'!JE:JE),"")</f>
        <v>39.393090138331104</v>
      </c>
      <c r="L32" s="236">
        <f>IFERROR(_xlfn.XLOOKUP($A32,'Raw_Data'!$B:$B,'Raw_Data'!JF:JF),"")</f>
        <v>53.748612226684521</v>
      </c>
      <c r="M32" s="236">
        <f>IFERROR(_xlfn.XLOOKUP($A32,'Raw_Data'!$B:$B,'Raw_Data'!JG:JG),"")</f>
        <v>2.6148686343752807</v>
      </c>
      <c r="N32" s="236">
        <f>IFERROR(_xlfn.XLOOKUP($A32,'Raw_Data'!$B:$B,'Raw_Data'!JH:JH),"")</f>
        <v>8.3669445000000007</v>
      </c>
      <c r="O32" s="237">
        <f>IFERROR(1-SUMIF(PA!$B:$B,$A32,PA!$AL:$AL)/($AA32+SUMIF(PA!$B:$B,$A32,PA!$AL:$AL)),"")</f>
        <v>0.99998071402997635</v>
      </c>
      <c r="P32" s="238"/>
      <c r="Q32" s="239"/>
      <c r="R32" s="240">
        <f>IFERROR(1-SUMIF(GA!$C:$C,$A32,GA!$X:$X)/($AA32+SUMIF(GA!$C:$C,$A32,GA!$X:$X)),"")</f>
        <v>1</v>
      </c>
      <c r="S32" s="186"/>
      <c r="T32" s="239"/>
      <c r="U32" s="237">
        <f t="shared" si="1"/>
        <v>0.79204844117461715</v>
      </c>
      <c r="V32" s="237">
        <f>IFERROR(_xlfn.XLOOKUP($A32,'Raw_Data'!$B:$B,'Raw_Data'!$JL:$JL),"")</f>
        <v>0.82663197254318455</v>
      </c>
      <c r="W32" s="240">
        <f t="shared" si="2"/>
        <v>0.24771057215303682</v>
      </c>
      <c r="X32" s="228">
        <f>IFERROR(_xlfn.XLOOKUP($A32,'Raw_Data'!$B:$B,'Raw_Data'!$JI:$JI),"")</f>
        <v>2009060.1999999997</v>
      </c>
      <c r="Y32" s="228">
        <f>IFERROR(_xlfn.XLOOKUP($A32,'Raw_Data'!$B:$B,'Raw_Data'!IT:IT),"")</f>
        <v>1995866.9999999984</v>
      </c>
      <c r="Z32" s="228">
        <f>IFERROR(_xlfn.XLOOKUP($A32,'Raw_Data'!$B:$B,'Raw_Data'!IU:IU),"")</f>
        <v>3733.0000000000041</v>
      </c>
      <c r="AA32" s="228">
        <f>IFERROR(_xlfn.XLOOKUP($A32,'Raw_Data'!$B:$B,'Raw_Data'!IW:IW),"")</f>
        <v>1992133.9999999984</v>
      </c>
      <c r="AB32" s="228">
        <f>IFERROR(_xlfn.XLOOKUP($A32,'Raw_Data'!$B:$B,'Raw_Data'!I:I)/1000,"")</f>
        <v>335.09089</v>
      </c>
      <c r="AC32" s="241">
        <f>IFERROR(_xlfn.XLOOKUP($D32,'Modelling New'!$D:$D,'Modelling New'!$P:$P),"")</f>
        <v>7.1966666666666672</v>
      </c>
      <c r="AD32" s="228">
        <f>IFERROR(_xlfn.XLOOKUP($D32,'Modelling New'!$D:$D,'Modelling New'!$T:$T)*1000,"")</f>
        <v>1944729.7154761388</v>
      </c>
      <c r="AE32" s="240">
        <f>IFERROR(_xlfn.XLOOKUP($D32,'Modelling New'!$D:$D,'Modelling New'!$O:$O),"")</f>
        <v>0.80642707268055158</v>
      </c>
      <c r="AF32" s="240">
        <f>IFERROR(_xlfn.XLOOKUP($D32,'Modelling New'!$D:$D,'Modelling New'!$W:$W),"")</f>
        <v>0.24181611804407097</v>
      </c>
      <c r="AG32" s="240">
        <f>IFERROR(_xlfn.XLOOKUP($D32,'Modelling New'!$D:$D,'Modelling New'!AE:AE),"")</f>
        <v>0.99750000000000005</v>
      </c>
      <c r="AH32" s="240">
        <f>IFERROR(_xlfn.XLOOKUP($D32,'Modelling New'!$D:$D,'Modelling New'!AF:AF),"")</f>
        <v>0.99750000000000005</v>
      </c>
      <c r="AI32" s="186"/>
      <c r="AJ32" s="186"/>
      <c r="AK32" s="227">
        <v>0.97299999999999998</v>
      </c>
      <c r="AL32" s="224">
        <f>IFERROR(Table13[[#This Row],[RA (%)]]*9270*58,"")</f>
        <v>523143.17999999993</v>
      </c>
      <c r="AM32" s="225"/>
      <c r="AN32" s="238"/>
      <c r="AO32" s="240"/>
      <c r="AP32" s="240"/>
      <c r="AQ32" s="240"/>
      <c r="AR32" s="242">
        <f>IFERROR(_xlfn.XLOOKUP($D32,'Modelling New'!$D:$D,'Modelling New'!$N:$N),"")</f>
        <v>335.09100000000001</v>
      </c>
    </row>
    <row r="33" spans="1:44">
      <c r="A33" s="233">
        <f t="shared" si="3"/>
        <v>45776</v>
      </c>
      <c r="B33" s="228">
        <f>YEAR(Table13[[#This Row],[Date]])+IF(MONTH(Table13[[#This Row],[Date]])&gt;=4,1,0)</f>
        <v>2026</v>
      </c>
      <c r="C33" s="186">
        <f>YEAR(Table13[[#This Row],[Date]])</f>
        <v>2025</v>
      </c>
      <c r="D33" s="234">
        <f>Table13[[#This Row],[Date]]-DAY(Table13[[#This Row],[Date]])+1</f>
        <v>45748</v>
      </c>
      <c r="E33" s="186">
        <f t="shared" si="0"/>
        <v>30</v>
      </c>
      <c r="F33" s="235">
        <f>IFERROR(_xlfn.XLOOKUP($A33,'Raw_Data'!$B:$B,'Raw_Data'!$IX:$IX),"")</f>
        <v>12.866666666666669</v>
      </c>
      <c r="G33" s="236">
        <f>IFERROR(_xlfn.XLOOKUP($A33,'Raw_Data'!$B:$B,'Raw_Data'!IY:IY),"")</f>
        <v>7.013768999999999</v>
      </c>
      <c r="H33" s="236">
        <f>IFERROR(_xlfn.XLOOKUP($A33,'Raw_Data'!$B:$B,'Raw_Data'!IZ:IZ),"")</f>
        <v>1.9402577222222217</v>
      </c>
      <c r="I33" s="236">
        <f>IFERROR(_xlfn.XLOOKUP($A33,'Raw_Data'!$B:$B,'Raw_Data'!JA:JA),"")</f>
        <v>7.0087553611111124</v>
      </c>
      <c r="J33" s="236">
        <f>IFERROR(_xlfn.XLOOKUP($A33,'Raw_Data'!$B:$B,'Raw_Data'!JB:JB),"")</f>
        <v>0.53399216666666682</v>
      </c>
      <c r="K33" s="236">
        <f>IFERROR(_xlfn.XLOOKUP($A33,'Raw_Data'!$B:$B,'Raw_Data'!JE:JE),"")</f>
        <v>39.839999999999989</v>
      </c>
      <c r="L33" s="236">
        <f>IFERROR(_xlfn.XLOOKUP($A33,'Raw_Data'!$B:$B,'Raw_Data'!JF:JF),"")</f>
        <v>53.366666666666667</v>
      </c>
      <c r="M33" s="236">
        <f>IFERROR(_xlfn.XLOOKUP($A33,'Raw_Data'!$B:$B,'Raw_Data'!JG:JG),"")</f>
        <v>2.1895725131933337</v>
      </c>
      <c r="N33" s="236">
        <f>IFERROR(_xlfn.XLOOKUP($A33,'Raw_Data'!$B:$B,'Raw_Data'!JH:JH),"")</f>
        <v>7.4591664999999994</v>
      </c>
      <c r="O33" s="237">
        <f>IFERROR(1-SUMIF(PA!$B:$B,$A33,PA!$AL:$AL)/($AA33+SUMIF(PA!$B:$B,$A33,PA!$AL:$AL)),"")</f>
        <v>0.99983720679418531</v>
      </c>
      <c r="P33" s="238"/>
      <c r="Q33" s="239"/>
      <c r="R33" s="240">
        <f>IFERROR(1-SUMIF(GA!$C:$C,$A33,GA!$X:$X)/($AA33+SUMIF(GA!$C:$C,$A33,GA!$X:$X)),"")</f>
        <v>1</v>
      </c>
      <c r="S33" s="186"/>
      <c r="T33" s="239"/>
      <c r="U33" s="237">
        <f t="shared" si="1"/>
        <v>0.79691017446180457</v>
      </c>
      <c r="V33" s="237">
        <f>IFERROR(_xlfn.XLOOKUP($A33,'Raw_Data'!$B:$B,'Raw_Data'!$JL:$JL),"")</f>
        <v>0.83071551742296967</v>
      </c>
      <c r="W33" s="240">
        <f t="shared" si="2"/>
        <v>0.23272285239929849</v>
      </c>
      <c r="X33" s="228">
        <f>IFERROR(_xlfn.XLOOKUP($A33,'Raw_Data'!$B:$B,'Raw_Data'!$JI:$JI),"")</f>
        <v>1887754.9000000004</v>
      </c>
      <c r="Y33" s="228">
        <f>IFERROR(_xlfn.XLOOKUP($A33,'Raw_Data'!$B:$B,'Raw_Data'!IT:IT),"")</f>
        <v>1876000</v>
      </c>
      <c r="Z33" s="228">
        <f>IFERROR(_xlfn.XLOOKUP($A33,'Raw_Data'!$B:$B,'Raw_Data'!IU:IU),"")</f>
        <v>4399.9999999999773</v>
      </c>
      <c r="AA33" s="228">
        <f>IFERROR(_xlfn.XLOOKUP($A33,'Raw_Data'!$B:$B,'Raw_Data'!IW:IW),"")</f>
        <v>1871600</v>
      </c>
      <c r="AB33" s="228">
        <f>IFERROR(_xlfn.XLOOKUP($A33,'Raw_Data'!$B:$B,'Raw_Data'!I:I)/1000,"")</f>
        <v>335.09089</v>
      </c>
      <c r="AC33" s="241">
        <f>IFERROR(_xlfn.XLOOKUP($D33,'Modelling New'!$D:$D,'Modelling New'!$P:$P),"")</f>
        <v>7.1966666666666672</v>
      </c>
      <c r="AD33" s="228">
        <f>IFERROR(_xlfn.XLOOKUP($D33,'Modelling New'!$D:$D,'Modelling New'!$T:$T)*1000,"")</f>
        <v>1944729.7154761388</v>
      </c>
      <c r="AE33" s="240">
        <f>IFERROR(_xlfn.XLOOKUP($D33,'Modelling New'!$D:$D,'Modelling New'!$O:$O),"")</f>
        <v>0.80642707268055158</v>
      </c>
      <c r="AF33" s="240">
        <f>IFERROR(_xlfn.XLOOKUP($D33,'Modelling New'!$D:$D,'Modelling New'!$W:$W),"")</f>
        <v>0.24181611804407097</v>
      </c>
      <c r="AG33" s="240">
        <f>IFERROR(_xlfn.XLOOKUP($D33,'Modelling New'!$D:$D,'Modelling New'!AE:AE),"")</f>
        <v>0.99750000000000005</v>
      </c>
      <c r="AH33" s="240">
        <f>IFERROR(_xlfn.XLOOKUP($D33,'Modelling New'!$D:$D,'Modelling New'!AF:AF),"")</f>
        <v>0.99750000000000005</v>
      </c>
      <c r="AI33" s="186"/>
      <c r="AJ33" s="186"/>
      <c r="AK33" s="227">
        <v>0.99</v>
      </c>
      <c r="AL33" s="224">
        <f>IFERROR(Table13[[#This Row],[RA (%)]]*9270*58,"")</f>
        <v>532283.39999999991</v>
      </c>
      <c r="AM33" s="225"/>
      <c r="AN33" s="238"/>
      <c r="AO33" s="240"/>
      <c r="AP33" s="240"/>
      <c r="AQ33" s="240"/>
      <c r="AR33" s="242">
        <f>IFERROR(_xlfn.XLOOKUP($D33,'Modelling New'!$D:$D,'Modelling New'!$N:$N),"")</f>
        <v>335.09100000000001</v>
      </c>
    </row>
    <row r="34" spans="1:44">
      <c r="A34" s="233">
        <f t="shared" si="3"/>
        <v>45777</v>
      </c>
      <c r="B34" s="228">
        <f>YEAR(Table13[[#This Row],[Date]])+IF(MONTH(Table13[[#This Row],[Date]])&gt;=4,1,0)</f>
        <v>2026</v>
      </c>
      <c r="C34" s="186">
        <f>YEAR(Table13[[#This Row],[Date]])</f>
        <v>2025</v>
      </c>
      <c r="D34" s="234">
        <f>Table13[[#This Row],[Date]]-DAY(Table13[[#This Row],[Date]])+1</f>
        <v>45748</v>
      </c>
      <c r="E34" s="186">
        <f t="shared" si="0"/>
        <v>30</v>
      </c>
      <c r="F34" s="235">
        <f>IFERROR(_xlfn.XLOOKUP($A34,'Raw_Data'!$B:$B,'Raw_Data'!$IX:$IX),"")</f>
        <v>12.716666666666667</v>
      </c>
      <c r="G34" s="236">
        <f>IFERROR(_xlfn.XLOOKUP($A34,'Raw_Data'!$B:$B,'Raw_Data'!IY:IY),"")</f>
        <v>7.40985338888889</v>
      </c>
      <c r="H34" s="236">
        <f>IFERROR(_xlfn.XLOOKUP($A34,'Raw_Data'!$B:$B,'Raw_Data'!IZ:IZ),"")</f>
        <v>2.00730313888889</v>
      </c>
      <c r="I34" s="236">
        <f>IFERROR(_xlfn.XLOOKUP($A34,'Raw_Data'!$B:$B,'Raw_Data'!JA:JA),"")</f>
        <v>7.422150277777777</v>
      </c>
      <c r="J34" s="236">
        <f>IFERROR(_xlfn.XLOOKUP($A34,'Raw_Data'!$B:$B,'Raw_Data'!JB:JB),"")</f>
        <v>0.5505168611111112</v>
      </c>
      <c r="K34" s="236">
        <f>IFERROR(_xlfn.XLOOKUP($A34,'Raw_Data'!$B:$B,'Raw_Data'!JE:JE),"")</f>
        <v>37.818143939393948</v>
      </c>
      <c r="L34" s="236">
        <f>IFERROR(_xlfn.XLOOKUP($A34,'Raw_Data'!$B:$B,'Raw_Data'!JF:JF),"")</f>
        <v>52.736282731729041</v>
      </c>
      <c r="M34" s="236">
        <f>IFERROR(_xlfn.XLOOKUP($A34,'Raw_Data'!$B:$B,'Raw_Data'!JG:JG),"")</f>
        <v>3.1875206568827985</v>
      </c>
      <c r="N34" s="236">
        <f>IFERROR(_xlfn.XLOOKUP($A34,'Raw_Data'!$B:$B,'Raw_Data'!JH:JH),"")</f>
        <v>7.1863889999999992</v>
      </c>
      <c r="O34" s="237">
        <f>IFERROR(1-SUMIF(PA!$B:$B,$A34,PA!$AL:$AL)/($AA34+SUMIF(PA!$B:$B,$A34,PA!$AL:$AL)),"")</f>
        <v>1</v>
      </c>
      <c r="P34" s="238"/>
      <c r="Q34" s="239"/>
      <c r="R34" s="240">
        <f>IFERROR(1-SUMIF(GA!$C:$C,$A34,GA!$X:$X)/($AA34+SUMIF(GA!$C:$C,$A34,GA!$X:$X)),"")</f>
        <v>1</v>
      </c>
      <c r="S34" s="186"/>
      <c r="T34" s="239"/>
      <c r="U34" s="237">
        <f t="shared" si="1"/>
        <v>0.79155215197850415</v>
      </c>
      <c r="V34" s="237">
        <f>IFERROR(_xlfn.XLOOKUP($A34,'Raw_Data'!$B:$B,'Raw_Data'!$JL:$JL),"")</f>
        <v>0.81988077840107076</v>
      </c>
      <c r="W34" s="240">
        <f t="shared" si="2"/>
        <v>0.24479245936178551</v>
      </c>
      <c r="X34" s="228">
        <f>IFERROR(_xlfn.XLOOKUP($A34,'Raw_Data'!$B:$B,'Raw_Data'!$JI:$JI),"")</f>
        <v>1986574.7000000004</v>
      </c>
      <c r="Y34" s="228">
        <f>IFERROR(_xlfn.XLOOKUP($A34,'Raw_Data'!$B:$B,'Raw_Data'!IT:IT),"")</f>
        <v>1973133.0000000016</v>
      </c>
      <c r="Z34" s="228">
        <f>IFERROR(_xlfn.XLOOKUP($A34,'Raw_Data'!$B:$B,'Raw_Data'!IU:IU),"")</f>
        <v>4467.0000000000418</v>
      </c>
      <c r="AA34" s="228">
        <f>IFERROR(_xlfn.XLOOKUP($A34,'Raw_Data'!$B:$B,'Raw_Data'!IW:IW),"")</f>
        <v>1968666.0000000016</v>
      </c>
      <c r="AB34" s="228">
        <f>IFERROR(_xlfn.XLOOKUP($A34,'Raw_Data'!$B:$B,'Raw_Data'!I:I)/1000,"")</f>
        <v>335.09089</v>
      </c>
      <c r="AC34" s="241">
        <f>IFERROR(_xlfn.XLOOKUP($D34,'Modelling New'!$D:$D,'Modelling New'!$P:$P),"")</f>
        <v>7.1966666666666672</v>
      </c>
      <c r="AD34" s="228">
        <f>IFERROR(_xlfn.XLOOKUP($D34,'Modelling New'!$D:$D,'Modelling New'!$T:$T)*1000,"")</f>
        <v>1944729.7154761388</v>
      </c>
      <c r="AE34" s="240">
        <f>IFERROR(_xlfn.XLOOKUP($D34,'Modelling New'!$D:$D,'Modelling New'!$O:$O),"")</f>
        <v>0.80642707268055158</v>
      </c>
      <c r="AF34" s="240">
        <f>IFERROR(_xlfn.XLOOKUP($D34,'Modelling New'!$D:$D,'Modelling New'!$W:$W),"")</f>
        <v>0.24181611804407097</v>
      </c>
      <c r="AG34" s="240">
        <f>IFERROR(_xlfn.XLOOKUP($D34,'Modelling New'!$D:$D,'Modelling New'!AE:AE),"")</f>
        <v>0.99750000000000005</v>
      </c>
      <c r="AH34" s="240">
        <f>IFERROR(_xlfn.XLOOKUP($D34,'Modelling New'!$D:$D,'Modelling New'!AF:AF),"")</f>
        <v>0.99750000000000005</v>
      </c>
      <c r="AI34" s="186"/>
      <c r="AJ34" s="186"/>
      <c r="AK34" s="227">
        <v>0.99299999999999999</v>
      </c>
      <c r="AL34" s="224">
        <f>IFERROR(Table13[[#This Row],[RA (%)]]*9270*58,"")</f>
        <v>533896.38</v>
      </c>
      <c r="AM34" s="225"/>
      <c r="AN34" s="238"/>
      <c r="AO34" s="240"/>
      <c r="AP34" s="240"/>
      <c r="AQ34" s="240"/>
      <c r="AR34" s="242">
        <f>IFERROR(_xlfn.XLOOKUP($D34,'Modelling New'!$D:$D,'Modelling New'!$N:$N),"")</f>
        <v>335.09100000000001</v>
      </c>
    </row>
    <row r="35" spans="1:44">
      <c r="A35" s="233">
        <f t="shared" si="3"/>
        <v>45778</v>
      </c>
      <c r="B35" s="228">
        <f>YEAR(Table13[[#This Row],[Date]])+IF(MONTH(Table13[[#This Row],[Date]])&gt;=4,1,0)</f>
        <v>2026</v>
      </c>
      <c r="C35" s="186">
        <f>YEAR(Table13[[#This Row],[Date]])</f>
        <v>2025</v>
      </c>
      <c r="D35" s="234">
        <f>Table13[[#This Row],[Date]]-DAY(Table13[[#This Row],[Date]])+1</f>
        <v>45778</v>
      </c>
      <c r="E35" s="186">
        <f t="shared" si="0"/>
        <v>31</v>
      </c>
      <c r="F35" s="235">
        <f>IFERROR(_xlfn.XLOOKUP($A35,'Raw_Data'!$B:$B,'Raw_Data'!$IX:$IX),"")</f>
        <v>10.783333333333333</v>
      </c>
      <c r="G35" s="236">
        <f>IFERROR(_xlfn.XLOOKUP($A35,'Raw_Data'!$B:$B,'Raw_Data'!IY:IY),"")</f>
        <v>6.4268203888888893</v>
      </c>
      <c r="H35" s="236">
        <f>IFERROR(_xlfn.XLOOKUP($A35,'Raw_Data'!$B:$B,'Raw_Data'!IZ:IZ),"")</f>
        <v>1.797288777777778</v>
      </c>
      <c r="I35" s="236">
        <f>IFERROR(_xlfn.XLOOKUP($A35,'Raw_Data'!$B:$B,'Raw_Data'!JA:JA),"")</f>
        <v>6.4609800277777767</v>
      </c>
      <c r="J35" s="236">
        <f>IFERROR(_xlfn.XLOOKUP($A35,'Raw_Data'!$B:$B,'Raw_Data'!JB:JB),"")</f>
        <v>0.48859677777777782</v>
      </c>
      <c r="K35" s="236">
        <f>IFERROR(_xlfn.XLOOKUP($A35,'Raw_Data'!$B:$B,'Raw_Data'!JE:JE),"")</f>
        <v>37.369905609493003</v>
      </c>
      <c r="L35" s="236">
        <f>IFERROR(_xlfn.XLOOKUP($A35,'Raw_Data'!$B:$B,'Raw_Data'!JF:JF),"")</f>
        <v>52.637645409924481</v>
      </c>
      <c r="M35" s="236">
        <f>IFERROR(_xlfn.XLOOKUP($A35,'Raw_Data'!$B:$B,'Raw_Data'!JG:JG),"")</f>
        <v>3.9695831664455259</v>
      </c>
      <c r="N35" s="236">
        <f>IFERROR(_xlfn.XLOOKUP($A35,'Raw_Data'!$B:$B,'Raw_Data'!JH:JH),"")</f>
        <v>8.5041661666666659</v>
      </c>
      <c r="O35" s="237">
        <f>IFERROR(1-SUMIF(PA!$B:$B,$A35,PA!$AL:$AL)/($AA35+SUMIF(PA!$B:$B,$A35,PA!$AL:$AL)),"")</f>
        <v>0.99998008660326498</v>
      </c>
      <c r="P35" s="238"/>
      <c r="Q35" s="239"/>
      <c r="R35" s="240">
        <f>IFERROR(1-SUMIF(GA!$C:$C,$A35,GA!$X:$X)/($AA35+SUMIF(GA!$C:$C,$A35,GA!$X:$X)),"")</f>
        <v>1</v>
      </c>
      <c r="S35" s="186"/>
      <c r="T35" s="239"/>
      <c r="U35" s="237">
        <f t="shared" si="1"/>
        <v>0.80282722736402445</v>
      </c>
      <c r="V35" s="237">
        <f>IFERROR(_xlfn.XLOOKUP($A35,'Raw_Data'!$B:$B,'Raw_Data'!$JL:$JL),"")</f>
        <v>0.81764926952193462</v>
      </c>
      <c r="W35" s="240">
        <f t="shared" si="2"/>
        <v>0.21612711173979876</v>
      </c>
      <c r="X35" s="228">
        <f>IFERROR(_xlfn.XLOOKUP($A35,'Raw_Data'!$B:$B,'Raw_Data'!$JI:$JI),"")</f>
        <v>1755655.6000000003</v>
      </c>
      <c r="Y35" s="228">
        <f>IFERROR(_xlfn.XLOOKUP($A35,'Raw_Data'!$B:$B,'Raw_Data'!IT:IT),"")</f>
        <v>1743267.0000000217</v>
      </c>
      <c r="Z35" s="228">
        <f>IFERROR(_xlfn.XLOOKUP($A35,'Raw_Data'!$B:$B,'Raw_Data'!IU:IU),"")</f>
        <v>5132.9999999999818</v>
      </c>
      <c r="AA35" s="228">
        <f>IFERROR(_xlfn.XLOOKUP($A35,'Raw_Data'!$B:$B,'Raw_Data'!IW:IW),"")</f>
        <v>1738134.0000000217</v>
      </c>
      <c r="AB35" s="228">
        <f>IFERROR(_xlfn.XLOOKUP($A35,'Raw_Data'!$B:$B,'Raw_Data'!I:I)/1000,"")</f>
        <v>335.09089</v>
      </c>
      <c r="AC35" s="241">
        <f>IFERROR(_xlfn.XLOOKUP($D35,'Modelling New'!$D:$D,'Modelling New'!$P:$P),"")</f>
        <v>7.0290322580645164</v>
      </c>
      <c r="AD35" s="228">
        <f>IFERROR(_xlfn.XLOOKUP($D35,'Modelling New'!$D:$D,'Modelling New'!$T:$T)*1000,"")</f>
        <v>1925422.3808764045</v>
      </c>
      <c r="AE35" s="240">
        <f>IFERROR(_xlfn.XLOOKUP($D35,'Modelling New'!$D:$D,'Modelling New'!$O:$O),"")</f>
        <v>0.81746226777457909</v>
      </c>
      <c r="AF35" s="240">
        <f>IFERROR(_xlfn.XLOOKUP($D35,'Modelling New'!$D:$D,'Modelling New'!$W:$W),"")</f>
        <v>0.23941536041408709</v>
      </c>
      <c r="AG35" s="240">
        <f>IFERROR(_xlfn.XLOOKUP($D35,'Modelling New'!$D:$D,'Modelling New'!AE:AE),"")</f>
        <v>0.99750000000000005</v>
      </c>
      <c r="AH35" s="240">
        <f>IFERROR(_xlfn.XLOOKUP($D35,'Modelling New'!$D:$D,'Modelling New'!AF:AF),"")</f>
        <v>0.99750000000000005</v>
      </c>
      <c r="AI35" s="186"/>
      <c r="AJ35" s="186"/>
      <c r="AK35" s="227">
        <v>0.97199999999999998</v>
      </c>
      <c r="AL35" s="224">
        <f>IFERROR(Table13[[#This Row],[RA (%)]]*9270*58,"")</f>
        <v>522605.52</v>
      </c>
      <c r="AM35" s="225"/>
      <c r="AN35" s="238"/>
      <c r="AO35" s="240"/>
      <c r="AP35" s="240"/>
      <c r="AQ35" s="240"/>
      <c r="AR35" s="242">
        <f>IFERROR(_xlfn.XLOOKUP($D35,'Modelling New'!$D:$D,'Modelling New'!$N:$N),"")</f>
        <v>335.09100000000001</v>
      </c>
    </row>
    <row r="36" spans="1:44">
      <c r="A36" s="233">
        <f t="shared" si="3"/>
        <v>45779</v>
      </c>
      <c r="B36" s="228">
        <f>YEAR(Table13[[#This Row],[Date]])+IF(MONTH(Table13[[#This Row],[Date]])&gt;=4,1,0)</f>
        <v>2026</v>
      </c>
      <c r="C36" s="186">
        <f>YEAR(Table13[[#This Row],[Date]])</f>
        <v>2025</v>
      </c>
      <c r="D36" s="234">
        <f>Table13[[#This Row],[Date]]-DAY(Table13[[#This Row],[Date]])+1</f>
        <v>45778</v>
      </c>
      <c r="E36" s="186">
        <f t="shared" si="0"/>
        <v>31</v>
      </c>
      <c r="F36" s="235">
        <f>IFERROR(_xlfn.XLOOKUP($A36,'Raw_Data'!$B:$B,'Raw_Data'!$IX:$IX),"")</f>
        <v>12.733333333333336</v>
      </c>
      <c r="G36" s="236">
        <f>IFERROR(_xlfn.XLOOKUP($A36,'Raw_Data'!$B:$B,'Raw_Data'!IY:IY),"")</f>
        <v>6.4695686388888847</v>
      </c>
      <c r="H36" s="236">
        <f>IFERROR(_xlfn.XLOOKUP($A36,'Raw_Data'!$B:$B,'Raw_Data'!IZ:IZ),"")</f>
        <v>1.6139406111111108</v>
      </c>
      <c r="I36" s="236">
        <f>IFERROR(_xlfn.XLOOKUP($A36,'Raw_Data'!$B:$B,'Raw_Data'!JA:JA),"")</f>
        <v>6.4664896944444479</v>
      </c>
      <c r="J36" s="236">
        <f>IFERROR(_xlfn.XLOOKUP($A36,'Raw_Data'!$B:$B,'Raw_Data'!JB:JB),"")</f>
        <v>0.49321230555555567</v>
      </c>
      <c r="K36" s="236">
        <f>IFERROR(_xlfn.XLOOKUP($A36,'Raw_Data'!$B:$B,'Raw_Data'!JE:JE),"")</f>
        <v>36.757075055187642</v>
      </c>
      <c r="L36" s="236">
        <f>IFERROR(_xlfn.XLOOKUP($A36,'Raw_Data'!$B:$B,'Raw_Data'!JF:JF),"")</f>
        <v>49.633333333333333</v>
      </c>
      <c r="M36" s="236">
        <f>IFERROR(_xlfn.XLOOKUP($A36,'Raw_Data'!$B:$B,'Raw_Data'!JG:JG),"")</f>
        <v>2.7712574351633568</v>
      </c>
      <c r="N36" s="236">
        <f>IFERROR(_xlfn.XLOOKUP($A36,'Raw_Data'!$B:$B,'Raw_Data'!JH:JH),"")</f>
        <v>7.1905555000000012</v>
      </c>
      <c r="O36" s="237">
        <f>IFERROR(1-SUMIF(PA!$B:$B,$A36,PA!$AL:$AL)/($AA36+SUMIF(PA!$B:$B,$A36,PA!$AL:$AL)),"")</f>
        <v>0.99906540185797621</v>
      </c>
      <c r="P36" s="238"/>
      <c r="Q36" s="239"/>
      <c r="R36" s="240">
        <f>IFERROR(1-SUMIF(GA!$C:$C,$A36,GA!$X:$X)/($AA36+SUMIF(GA!$C:$C,$A36,GA!$X:$X)),"")</f>
        <v>1</v>
      </c>
      <c r="S36" s="186"/>
      <c r="T36" s="239"/>
      <c r="U36" s="237">
        <f t="shared" si="1"/>
        <v>0.76823840985848213</v>
      </c>
      <c r="V36" s="237">
        <f>IFERROR(_xlfn.XLOOKUP($A36,'Raw_Data'!$B:$B,'Raw_Data'!$JL:$JL),"")</f>
        <v>0.77717980261022424</v>
      </c>
      <c r="W36" s="240">
        <f t="shared" si="2"/>
        <v>0.20699190667609435</v>
      </c>
      <c r="X36" s="228">
        <f>IFERROR(_xlfn.XLOOKUP($A36,'Raw_Data'!$B:$B,'Raw_Data'!$JI:$JI),"")</f>
        <v>1677908.7999999998</v>
      </c>
      <c r="Y36" s="228">
        <f>IFERROR(_xlfn.XLOOKUP($A36,'Raw_Data'!$B:$B,'Raw_Data'!IT:IT),"")</f>
        <v>1668933.9999999793</v>
      </c>
      <c r="Z36" s="228">
        <f>IFERROR(_xlfn.XLOOKUP($A36,'Raw_Data'!$B:$B,'Raw_Data'!IU:IU),"")</f>
        <v>4266.9999999999964</v>
      </c>
      <c r="AA36" s="228">
        <f>IFERROR(_xlfn.XLOOKUP($A36,'Raw_Data'!$B:$B,'Raw_Data'!IW:IW),"")</f>
        <v>1664666.9999999793</v>
      </c>
      <c r="AB36" s="228">
        <f>IFERROR(_xlfn.XLOOKUP($A36,'Raw_Data'!$B:$B,'Raw_Data'!I:I)/1000,"")</f>
        <v>335.09089</v>
      </c>
      <c r="AC36" s="241">
        <f>IFERROR(_xlfn.XLOOKUP($D36,'Modelling New'!$D:$D,'Modelling New'!$P:$P),"")</f>
        <v>7.0290322580645164</v>
      </c>
      <c r="AD36" s="228">
        <f>IFERROR(_xlfn.XLOOKUP($D36,'Modelling New'!$D:$D,'Modelling New'!$T:$T)*1000,"")</f>
        <v>1925422.3808764045</v>
      </c>
      <c r="AE36" s="240">
        <f>IFERROR(_xlfn.XLOOKUP($D36,'Modelling New'!$D:$D,'Modelling New'!$O:$O),"")</f>
        <v>0.81746226777457909</v>
      </c>
      <c r="AF36" s="240">
        <f>IFERROR(_xlfn.XLOOKUP($D36,'Modelling New'!$D:$D,'Modelling New'!$W:$W),"")</f>
        <v>0.23941536041408709</v>
      </c>
      <c r="AG36" s="240">
        <f>IFERROR(_xlfn.XLOOKUP($D36,'Modelling New'!$D:$D,'Modelling New'!AE:AE),"")</f>
        <v>0.99750000000000005</v>
      </c>
      <c r="AH36" s="240">
        <f>IFERROR(_xlfn.XLOOKUP($D36,'Modelling New'!$D:$D,'Modelling New'!AF:AF),"")</f>
        <v>0.99750000000000005</v>
      </c>
      <c r="AI36" s="186"/>
      <c r="AJ36" s="186"/>
      <c r="AK36" s="227">
        <v>0.98799999999999999</v>
      </c>
      <c r="AL36" s="224">
        <f>IFERROR(Table13[[#This Row],[RA (%)]]*9270*58,"")</f>
        <v>531208.07999999996</v>
      </c>
      <c r="AM36" s="225"/>
      <c r="AN36" s="238"/>
      <c r="AO36" s="240"/>
      <c r="AP36" s="240"/>
      <c r="AQ36" s="240"/>
      <c r="AR36" s="242">
        <f>IFERROR(_xlfn.XLOOKUP($D36,'Modelling New'!$D:$D,'Modelling New'!$N:$N),"")</f>
        <v>335.09100000000001</v>
      </c>
    </row>
    <row r="37" spans="1:44">
      <c r="A37" s="233">
        <f t="shared" si="3"/>
        <v>45780</v>
      </c>
      <c r="B37" s="228">
        <f>YEAR(Table13[[#This Row],[Date]])+IF(MONTH(Table13[[#This Row],[Date]])&gt;=4,1,0)</f>
        <v>2026</v>
      </c>
      <c r="C37" s="186">
        <f>YEAR(Table13[[#This Row],[Date]])</f>
        <v>2025</v>
      </c>
      <c r="D37" s="234">
        <f>Table13[[#This Row],[Date]]-DAY(Table13[[#This Row],[Date]])+1</f>
        <v>45778</v>
      </c>
      <c r="E37" s="186">
        <f t="shared" si="0"/>
        <v>31</v>
      </c>
      <c r="F37" s="235">
        <f>IFERROR(_xlfn.XLOOKUP($A37,'Raw_Data'!$B:$B,'Raw_Data'!$IX:$IX),"")</f>
        <v>12.75</v>
      </c>
      <c r="G37" s="236">
        <f>IFERROR(_xlfn.XLOOKUP($A37,'Raw_Data'!$B:$B,'Raw_Data'!IY:IY),"")</f>
        <v>6.9499486111111111</v>
      </c>
      <c r="H37" s="236">
        <f>IFERROR(_xlfn.XLOOKUP($A37,'Raw_Data'!$B:$B,'Raw_Data'!IZ:IZ),"")</f>
        <v>1.7395356388888894</v>
      </c>
      <c r="I37" s="236">
        <f>IFERROR(_xlfn.XLOOKUP($A37,'Raw_Data'!$B:$B,'Raw_Data'!JA:JA),"")</f>
        <v>6.9391564666666685</v>
      </c>
      <c r="J37" s="236">
        <f>IFERROR(_xlfn.XLOOKUP($A37,'Raw_Data'!$B:$B,'Raw_Data'!JB:JB),"")</f>
        <v>0.54523600000000016</v>
      </c>
      <c r="K37" s="236">
        <f>IFERROR(_xlfn.XLOOKUP($A37,'Raw_Data'!$B:$B,'Raw_Data'!JE:JE),"")</f>
        <v>37.665903324584427</v>
      </c>
      <c r="L37" s="236">
        <f>IFERROR(_xlfn.XLOOKUP($A37,'Raw_Data'!$B:$B,'Raw_Data'!JF:JF),"")</f>
        <v>51.152122287839028</v>
      </c>
      <c r="M37" s="236">
        <f>IFERROR(_xlfn.XLOOKUP($A37,'Raw_Data'!$B:$B,'Raw_Data'!JG:JG),"")</f>
        <v>4.0705495403521459</v>
      </c>
      <c r="N37" s="236">
        <f>IFERROR(_xlfn.XLOOKUP($A37,'Raw_Data'!$B:$B,'Raw_Data'!JH:JH),"")</f>
        <v>9.8011114999999993</v>
      </c>
      <c r="O37" s="237">
        <f>IFERROR(1-SUMIF(PA!$B:$B,$A37,PA!$AL:$AL)/($AA37+SUMIF(PA!$B:$B,$A37,PA!$AL:$AL)),"")</f>
        <v>0.99475583740135376</v>
      </c>
      <c r="P37" s="238"/>
      <c r="Q37" s="239"/>
      <c r="R37" s="240">
        <f>IFERROR(1-SUMIF(GA!$C:$C,$A37,GA!$X:$X)/($AA37+SUMIF(GA!$C:$C,$A37,GA!$X:$X)),"")</f>
        <v>1</v>
      </c>
      <c r="S37" s="186"/>
      <c r="T37" s="239"/>
      <c r="U37" s="237">
        <f t="shared" si="1"/>
        <v>0.76863471076228829</v>
      </c>
      <c r="V37" s="237">
        <f>IFERROR(_xlfn.XLOOKUP($A37,'Raw_Data'!$B:$B,'Raw_Data'!$JL:$JL),"")</f>
        <v>0.77791171876031673</v>
      </c>
      <c r="W37" s="240">
        <f t="shared" si="2"/>
        <v>0.22223652182044154</v>
      </c>
      <c r="X37" s="228">
        <f>IFERROR(_xlfn.XLOOKUP($A37,'Raw_Data'!$B:$B,'Raw_Data'!$JI:$JI),"")</f>
        <v>1800994.4000000008</v>
      </c>
      <c r="Y37" s="228">
        <f>IFERROR(_xlfn.XLOOKUP($A37,'Raw_Data'!$B:$B,'Raw_Data'!IT:IT),"")</f>
        <v>1791600.0000000058</v>
      </c>
      <c r="Z37" s="228">
        <f>IFERROR(_xlfn.XLOOKUP($A37,'Raw_Data'!$B:$B,'Raw_Data'!IU:IU),"")</f>
        <v>4333.0000000000273</v>
      </c>
      <c r="AA37" s="228">
        <f>IFERROR(_xlfn.XLOOKUP($A37,'Raw_Data'!$B:$B,'Raw_Data'!IW:IW),"")</f>
        <v>1787267.0000000058</v>
      </c>
      <c r="AB37" s="228">
        <f>IFERROR(_xlfn.XLOOKUP($A37,'Raw_Data'!$B:$B,'Raw_Data'!I:I)/1000,"")</f>
        <v>335.09089</v>
      </c>
      <c r="AC37" s="241">
        <f>IFERROR(_xlfn.XLOOKUP($D37,'Modelling New'!$D:$D,'Modelling New'!$P:$P),"")</f>
        <v>7.0290322580645164</v>
      </c>
      <c r="AD37" s="228">
        <f>IFERROR(_xlfn.XLOOKUP($D37,'Modelling New'!$D:$D,'Modelling New'!$T:$T)*1000,"")</f>
        <v>1925422.3808764045</v>
      </c>
      <c r="AE37" s="240">
        <f>IFERROR(_xlfn.XLOOKUP($D37,'Modelling New'!$D:$D,'Modelling New'!$O:$O),"")</f>
        <v>0.81746226777457909</v>
      </c>
      <c r="AF37" s="240">
        <f>IFERROR(_xlfn.XLOOKUP($D37,'Modelling New'!$D:$D,'Modelling New'!$W:$W),"")</f>
        <v>0.23941536041408709</v>
      </c>
      <c r="AG37" s="240">
        <f>IFERROR(_xlfn.XLOOKUP($D37,'Modelling New'!$D:$D,'Modelling New'!AE:AE),"")</f>
        <v>0.99750000000000005</v>
      </c>
      <c r="AH37" s="240">
        <f>IFERROR(_xlfn.XLOOKUP($D37,'Modelling New'!$D:$D,'Modelling New'!AF:AF),"")</f>
        <v>0.99750000000000005</v>
      </c>
      <c r="AI37" s="186"/>
      <c r="AJ37" s="186"/>
      <c r="AK37" s="227">
        <v>0.98199999999999998</v>
      </c>
      <c r="AL37" s="224">
        <f>IFERROR(Table13[[#This Row],[RA (%)]]*9270*58,"")</f>
        <v>527982.12</v>
      </c>
      <c r="AM37" s="225"/>
      <c r="AN37" s="238"/>
      <c r="AO37" s="240"/>
      <c r="AP37" s="240"/>
      <c r="AQ37" s="240"/>
      <c r="AR37" s="242">
        <f>IFERROR(_xlfn.XLOOKUP($D37,'Modelling New'!$D:$D,'Modelling New'!$N:$N),"")</f>
        <v>335.09100000000001</v>
      </c>
    </row>
    <row r="38" spans="1:44">
      <c r="A38" s="233">
        <f t="shared" si="3"/>
        <v>45781</v>
      </c>
      <c r="B38" s="228">
        <f>YEAR(Table13[[#This Row],[Date]])+IF(MONTH(Table13[[#This Row],[Date]])&gt;=4,1,0)</f>
        <v>2026</v>
      </c>
      <c r="C38" s="186">
        <f>YEAR(Table13[[#This Row],[Date]])</f>
        <v>2025</v>
      </c>
      <c r="D38" s="234">
        <f>Table13[[#This Row],[Date]]-DAY(Table13[[#This Row],[Date]])+1</f>
        <v>45778</v>
      </c>
      <c r="E38" s="186">
        <f t="shared" si="0"/>
        <v>31</v>
      </c>
      <c r="F38" s="235">
        <f>IFERROR(_xlfn.XLOOKUP($A38,'Raw_Data'!$B:$B,'Raw_Data'!$IX:$IX),"")</f>
        <v>12.766666666666669</v>
      </c>
      <c r="G38" s="236">
        <f>IFERROR(_xlfn.XLOOKUP($A38,'Raw_Data'!$B:$B,'Raw_Data'!IY:IY),"")</f>
        <v>6.8953006944444439</v>
      </c>
      <c r="H38" s="236">
        <f>IFERROR(_xlfn.XLOOKUP($A38,'Raw_Data'!$B:$B,'Raw_Data'!IZ:IZ),"")</f>
        <v>1.5198519444444438</v>
      </c>
      <c r="I38" s="236">
        <f>IFERROR(_xlfn.XLOOKUP($A38,'Raw_Data'!$B:$B,'Raw_Data'!JA:JA),"")</f>
        <v>6.8662441666666663</v>
      </c>
      <c r="J38" s="236">
        <f>IFERROR(_xlfn.XLOOKUP($A38,'Raw_Data'!$B:$B,'Raw_Data'!JB:JB),"")</f>
        <v>0.42236822222222209</v>
      </c>
      <c r="K38" s="236">
        <f>IFERROR(_xlfn.XLOOKUP($A38,'Raw_Data'!$B:$B,'Raw_Data'!JE:JE),"")</f>
        <v>30.588216490299803</v>
      </c>
      <c r="L38" s="236">
        <f>IFERROR(_xlfn.XLOOKUP($A38,'Raw_Data'!$B:$B,'Raw_Data'!JF:JF),"")</f>
        <v>43.530707094356295</v>
      </c>
      <c r="M38" s="236">
        <f>IFERROR(_xlfn.XLOOKUP($A38,'Raw_Data'!$B:$B,'Raw_Data'!JG:JG),"")</f>
        <v>4.0959239178196665</v>
      </c>
      <c r="N38" s="236">
        <f>IFERROR(_xlfn.XLOOKUP($A38,'Raw_Data'!$B:$B,'Raw_Data'!JH:JH),"")</f>
        <v>7.8349996666666675</v>
      </c>
      <c r="O38" s="237">
        <f>IFERROR(1-SUMIF(PA!$B:$B,$A38,PA!$AL:$AL)/($AA38+SUMIF(PA!$B:$B,$A38,PA!$AL:$AL)),"")</f>
        <v>0.99981408015206408</v>
      </c>
      <c r="P38" s="238"/>
      <c r="Q38" s="239"/>
      <c r="R38" s="240">
        <f>IFERROR(1-SUMIF(GA!$C:$C,$A38,GA!$X:$X)/($AA38+SUMIF(GA!$C:$C,$A38,GA!$X:$X)),"")</f>
        <v>1</v>
      </c>
      <c r="S38" s="186"/>
      <c r="T38" s="239"/>
      <c r="U38" s="237">
        <f t="shared" si="1"/>
        <v>0.82843064504757846</v>
      </c>
      <c r="V38" s="237">
        <f>IFERROR(_xlfn.XLOOKUP($A38,'Raw_Data'!$B:$B,'Raw_Data'!$JL:$JL),"")</f>
        <v>0.81945179740253338</v>
      </c>
      <c r="W38" s="240">
        <f t="shared" si="2"/>
        <v>0.23700862850190996</v>
      </c>
      <c r="X38" s="228">
        <f>IFERROR(_xlfn.XLOOKUP($A38,'Raw_Data'!$B:$B,'Raw_Data'!$JI:$JI),"")</f>
        <v>1923381.7000000002</v>
      </c>
      <c r="Y38" s="228">
        <f>IFERROR(_xlfn.XLOOKUP($A38,'Raw_Data'!$B:$B,'Raw_Data'!IT:IT),"")</f>
        <v>1910467.0000000042</v>
      </c>
      <c r="Z38" s="228">
        <f>IFERROR(_xlfn.XLOOKUP($A38,'Raw_Data'!$B:$B,'Raw_Data'!IU:IU),"")</f>
        <v>4399.9999999999773</v>
      </c>
      <c r="AA38" s="228">
        <f>IFERROR(_xlfn.XLOOKUP($A38,'Raw_Data'!$B:$B,'Raw_Data'!IW:IW),"")</f>
        <v>1906067.0000000042</v>
      </c>
      <c r="AB38" s="228">
        <f>IFERROR(_xlfn.XLOOKUP($A38,'Raw_Data'!$B:$B,'Raw_Data'!I:I)/1000,"")</f>
        <v>335.09089</v>
      </c>
      <c r="AC38" s="241">
        <f>IFERROR(_xlfn.XLOOKUP($D38,'Modelling New'!$D:$D,'Modelling New'!$P:$P),"")</f>
        <v>7.0290322580645164</v>
      </c>
      <c r="AD38" s="228">
        <f>IFERROR(_xlfn.XLOOKUP($D38,'Modelling New'!$D:$D,'Modelling New'!$T:$T)*1000,"")</f>
        <v>1925422.3808764045</v>
      </c>
      <c r="AE38" s="240">
        <f>IFERROR(_xlfn.XLOOKUP($D38,'Modelling New'!$D:$D,'Modelling New'!$O:$O),"")</f>
        <v>0.81746226777457909</v>
      </c>
      <c r="AF38" s="240">
        <f>IFERROR(_xlfn.XLOOKUP($D38,'Modelling New'!$D:$D,'Modelling New'!$W:$W),"")</f>
        <v>0.23941536041408709</v>
      </c>
      <c r="AG38" s="240">
        <f>IFERROR(_xlfn.XLOOKUP($D38,'Modelling New'!$D:$D,'Modelling New'!AE:AE),"")</f>
        <v>0.99750000000000005</v>
      </c>
      <c r="AH38" s="240">
        <f>IFERROR(_xlfn.XLOOKUP($D38,'Modelling New'!$D:$D,'Modelling New'!AF:AF),"")</f>
        <v>0.99750000000000005</v>
      </c>
      <c r="AI38" s="186"/>
      <c r="AJ38" s="186"/>
      <c r="AK38" s="227">
        <v>0.97799999999999998</v>
      </c>
      <c r="AL38" s="224">
        <f>IFERROR(Table13[[#This Row],[RA (%)]]*9270*58,"")</f>
        <v>525831.48</v>
      </c>
      <c r="AM38" s="225"/>
      <c r="AN38" s="238"/>
      <c r="AO38" s="240"/>
      <c r="AP38" s="240"/>
      <c r="AQ38" s="240"/>
      <c r="AR38" s="242">
        <f>IFERROR(_xlfn.XLOOKUP($D38,'Modelling New'!$D:$D,'Modelling New'!$N:$N),"")</f>
        <v>335.09100000000001</v>
      </c>
    </row>
    <row r="39" spans="1:44">
      <c r="A39" s="233">
        <f t="shared" si="3"/>
        <v>45782</v>
      </c>
      <c r="B39" s="228">
        <f>YEAR(Table13[[#This Row],[Date]])+IF(MONTH(Table13[[#This Row],[Date]])&gt;=4,1,0)</f>
        <v>2026</v>
      </c>
      <c r="C39" s="186">
        <f>YEAR(Table13[[#This Row],[Date]])</f>
        <v>2025</v>
      </c>
      <c r="D39" s="234">
        <f>Table13[[#This Row],[Date]]-DAY(Table13[[#This Row],[Date]])+1</f>
        <v>45778</v>
      </c>
      <c r="E39" s="186">
        <f t="shared" si="0"/>
        <v>31</v>
      </c>
      <c r="F39" s="235">
        <f>IFERROR(_xlfn.XLOOKUP($A39,'Raw_Data'!$B:$B,'Raw_Data'!$IX:$IX),"")</f>
        <v>11.75</v>
      </c>
      <c r="G39" s="236">
        <f>IFERROR(_xlfn.XLOOKUP($A39,'Raw_Data'!$B:$B,'Raw_Data'!IY:IY),"")</f>
        <v>5.3611675555555536</v>
      </c>
      <c r="H39" s="236">
        <f>IFERROR(_xlfn.XLOOKUP($A39,'Raw_Data'!$B:$B,'Raw_Data'!IZ:IZ),"")</f>
        <v>1.0657431666666672</v>
      </c>
      <c r="I39" s="236">
        <f>IFERROR(_xlfn.XLOOKUP($A39,'Raw_Data'!$B:$B,'Raw_Data'!JA:JA),"")</f>
        <v>5.3147942333333296</v>
      </c>
      <c r="J39" s="236">
        <f>IFERROR(_xlfn.XLOOKUP($A39,'Raw_Data'!$B:$B,'Raw_Data'!JB:JB),"")</f>
        <v>0.3569856666666667</v>
      </c>
      <c r="K39" s="236">
        <f>IFERROR(_xlfn.XLOOKUP($A39,'Raw_Data'!$B:$B,'Raw_Data'!JE:JE),"")</f>
        <v>28.014698067632839</v>
      </c>
      <c r="L39" s="236">
        <f>IFERROR(_xlfn.XLOOKUP($A39,'Raw_Data'!$B:$B,'Raw_Data'!JF:JF),"")</f>
        <v>41.839924881470715</v>
      </c>
      <c r="M39" s="236">
        <f>IFERROR(_xlfn.XLOOKUP($A39,'Raw_Data'!$B:$B,'Raw_Data'!JG:JG),"")</f>
        <v>3.4095646789782603</v>
      </c>
      <c r="N39" s="236">
        <f>IFERROR(_xlfn.XLOOKUP($A39,'Raw_Data'!$B:$B,'Raw_Data'!JH:JH),"")</f>
        <v>7.7888883333333334</v>
      </c>
      <c r="O39" s="237">
        <f>IFERROR(1-SUMIF(PA!$B:$B,$A39,PA!$AL:$AL)/($AA39+SUMIF(PA!$B:$B,$A39,PA!$AL:$AL)),"")</f>
        <v>0.90057998436048892</v>
      </c>
      <c r="P39" s="238"/>
      <c r="Q39" s="239"/>
      <c r="R39" s="240">
        <f>IFERROR(1-SUMIF(GA!$C:$C,$A39,GA!$X:$X)/($AA39+SUMIF(GA!$C:$C,$A39,GA!$X:$X)),"")</f>
        <v>0.63624920376603611</v>
      </c>
      <c r="S39" s="186"/>
      <c r="T39" s="239"/>
      <c r="U39" s="237">
        <f t="shared" si="1"/>
        <v>0.51654359355351309</v>
      </c>
      <c r="V39" s="237">
        <f>IFERROR(_xlfn.XLOOKUP($A39,'Raw_Data'!$B:$B,'Raw_Data'!$JL:$JL),"")</f>
        <v>0.7675515925052725</v>
      </c>
      <c r="W39" s="240">
        <f t="shared" si="2"/>
        <v>0.11438845467847861</v>
      </c>
      <c r="X39" s="228">
        <f>IFERROR(_xlfn.XLOOKUP($A39,'Raw_Data'!$B:$B,'Raw_Data'!$JI:$JI),"")</f>
        <v>929392.89999999991</v>
      </c>
      <c r="Y39" s="228">
        <f>IFERROR(_xlfn.XLOOKUP($A39,'Raw_Data'!$B:$B,'Raw_Data'!IT:IT),"")</f>
        <v>924465.9999999858</v>
      </c>
      <c r="Z39" s="228">
        <f>IFERROR(_xlfn.XLOOKUP($A39,'Raw_Data'!$B:$B,'Raw_Data'!IU:IU),"")</f>
        <v>4533.0000000000155</v>
      </c>
      <c r="AA39" s="228">
        <f>IFERROR(_xlfn.XLOOKUP($A39,'Raw_Data'!$B:$B,'Raw_Data'!IW:IW),"")</f>
        <v>919932.9999999858</v>
      </c>
      <c r="AB39" s="228">
        <f>IFERROR(_xlfn.XLOOKUP($A39,'Raw_Data'!$B:$B,'Raw_Data'!I:I)/1000,"")</f>
        <v>335.09089</v>
      </c>
      <c r="AC39" s="241">
        <f>IFERROR(_xlfn.XLOOKUP($D39,'Modelling New'!$D:$D,'Modelling New'!$P:$P),"")</f>
        <v>7.0290322580645164</v>
      </c>
      <c r="AD39" s="228">
        <f>IFERROR(_xlfn.XLOOKUP($D39,'Modelling New'!$D:$D,'Modelling New'!$T:$T)*1000,"")</f>
        <v>1925422.3808764045</v>
      </c>
      <c r="AE39" s="240">
        <f>IFERROR(_xlfn.XLOOKUP($D39,'Modelling New'!$D:$D,'Modelling New'!$O:$O),"")</f>
        <v>0.81746226777457909</v>
      </c>
      <c r="AF39" s="240">
        <f>IFERROR(_xlfn.XLOOKUP($D39,'Modelling New'!$D:$D,'Modelling New'!$W:$W),"")</f>
        <v>0.23941536041408709</v>
      </c>
      <c r="AG39" s="240">
        <f>IFERROR(_xlfn.XLOOKUP($D39,'Modelling New'!$D:$D,'Modelling New'!AE:AE),"")</f>
        <v>0.99750000000000005</v>
      </c>
      <c r="AH39" s="240">
        <f>IFERROR(_xlfn.XLOOKUP($D39,'Modelling New'!$D:$D,'Modelling New'!AF:AF),"")</f>
        <v>0.99750000000000005</v>
      </c>
      <c r="AI39" s="186"/>
      <c r="AJ39" s="186"/>
      <c r="AK39" s="227">
        <v>0</v>
      </c>
      <c r="AL39" s="224">
        <f>IFERROR(Table13[[#This Row],[RA (%)]]*9270*58,"")</f>
        <v>0</v>
      </c>
      <c r="AM39" s="225"/>
      <c r="AN39" s="238"/>
      <c r="AO39" s="240"/>
      <c r="AP39" s="240"/>
      <c r="AQ39" s="240"/>
      <c r="AR39" s="242">
        <f>IFERROR(_xlfn.XLOOKUP($D39,'Modelling New'!$D:$D,'Modelling New'!$N:$N),"")</f>
        <v>335.09100000000001</v>
      </c>
    </row>
    <row r="40" spans="1:44">
      <c r="A40" s="233">
        <f t="shared" si="3"/>
        <v>45783</v>
      </c>
      <c r="B40" s="228">
        <f>YEAR(Table13[[#This Row],[Date]])+IF(MONTH(Table13[[#This Row],[Date]])&gt;=4,1,0)</f>
        <v>2026</v>
      </c>
      <c r="C40" s="186">
        <f>YEAR(Table13[[#This Row],[Date]])</f>
        <v>2025</v>
      </c>
      <c r="D40" s="234">
        <f>Table13[[#This Row],[Date]]-DAY(Table13[[#This Row],[Date]])+1</f>
        <v>45778</v>
      </c>
      <c r="E40" s="186">
        <f t="shared" si="0"/>
        <v>31</v>
      </c>
      <c r="F40" s="235">
        <f>IFERROR(_xlfn.XLOOKUP($A40,'Raw_Data'!$B:$B,'Raw_Data'!$IX:$IX),"")</f>
        <v>12.866666666666669</v>
      </c>
      <c r="G40" s="236">
        <f>IFERROR(_xlfn.XLOOKUP($A40,'Raw_Data'!$B:$B,'Raw_Data'!IY:IY),"")</f>
        <v>5.0157230833333308</v>
      </c>
      <c r="H40" s="236">
        <f>IFERROR(_xlfn.XLOOKUP($A40,'Raw_Data'!$B:$B,'Raw_Data'!IZ:IZ),"")</f>
        <v>1.1328707222222223</v>
      </c>
      <c r="I40" s="236">
        <f>IFERROR(_xlfn.XLOOKUP($A40,'Raw_Data'!$B:$B,'Raw_Data'!JA:JA),"")</f>
        <v>4.9428287666666666</v>
      </c>
      <c r="J40" s="236">
        <f>IFERROR(_xlfn.XLOOKUP($A40,'Raw_Data'!$B:$B,'Raw_Data'!JB:JB),"")</f>
        <v>0.33103650000000001</v>
      </c>
      <c r="K40" s="236">
        <f>IFERROR(_xlfn.XLOOKUP($A40,'Raw_Data'!$B:$B,'Raw_Data'!JE:JE),"")</f>
        <v>28.637557624113473</v>
      </c>
      <c r="L40" s="236">
        <f>IFERROR(_xlfn.XLOOKUP($A40,'Raw_Data'!$B:$B,'Raw_Data'!JF:JF),"")</f>
        <v>37.130683533067007</v>
      </c>
      <c r="M40" s="236">
        <f>IFERROR(_xlfn.XLOOKUP($A40,'Raw_Data'!$B:$B,'Raw_Data'!JG:JG),"")</f>
        <v>3.9347663795345746</v>
      </c>
      <c r="N40" s="236">
        <f>IFERROR(_xlfn.XLOOKUP($A40,'Raw_Data'!$B:$B,'Raw_Data'!JH:JH),"")</f>
        <v>9.4236103333333325</v>
      </c>
      <c r="O40" s="237">
        <f>IFERROR(1-SUMIF(PA!$B:$B,$A40,PA!$AL:$AL)/($AA40+SUMIF(PA!$B:$B,$A40,PA!$AL:$AL)),"")</f>
        <v>1</v>
      </c>
      <c r="P40" s="238"/>
      <c r="Q40" s="239"/>
      <c r="R40" s="240">
        <f>IFERROR(1-SUMIF(GA!$C:$C,$A40,GA!$X:$X)/($AA40+SUMIF(GA!$C:$C,$A40,GA!$X:$X)),"")</f>
        <v>1</v>
      </c>
      <c r="S40" s="186"/>
      <c r="T40" s="239"/>
      <c r="U40" s="237">
        <f t="shared" si="1"/>
        <v>0.85330929745661999</v>
      </c>
      <c r="V40" s="237">
        <f>IFERROR(_xlfn.XLOOKUP($A40,'Raw_Data'!$B:$B,'Raw_Data'!$JL:$JL),"")</f>
        <v>0.82816935238958189</v>
      </c>
      <c r="W40" s="240">
        <f t="shared" si="2"/>
        <v>0.17574007259719604</v>
      </c>
      <c r="X40" s="228">
        <f>IFERROR(_xlfn.XLOOKUP($A40,'Raw_Data'!$B:$B,'Raw_Data'!$JI:$JI),"")</f>
        <v>1427314.3</v>
      </c>
      <c r="Y40" s="228">
        <f>IFERROR(_xlfn.XLOOKUP($A40,'Raw_Data'!$B:$B,'Raw_Data'!IT:IT),"")</f>
        <v>1417934.0000000084</v>
      </c>
      <c r="Z40" s="228">
        <f>IFERROR(_xlfn.XLOOKUP($A40,'Raw_Data'!$B:$B,'Raw_Data'!IU:IU),"")</f>
        <v>4599.9999999999654</v>
      </c>
      <c r="AA40" s="228">
        <f>IFERROR(_xlfn.XLOOKUP($A40,'Raw_Data'!$B:$B,'Raw_Data'!IW:IW),"")</f>
        <v>1413334.0000000084</v>
      </c>
      <c r="AB40" s="228">
        <f>IFERROR(_xlfn.XLOOKUP($A40,'Raw_Data'!$B:$B,'Raw_Data'!I:I)/1000,"")</f>
        <v>335.09089</v>
      </c>
      <c r="AC40" s="241">
        <f>IFERROR(_xlfn.XLOOKUP($D40,'Modelling New'!$D:$D,'Modelling New'!$P:$P),"")</f>
        <v>7.0290322580645164</v>
      </c>
      <c r="AD40" s="228">
        <f>IFERROR(_xlfn.XLOOKUP($D40,'Modelling New'!$D:$D,'Modelling New'!$T:$T)*1000,"")</f>
        <v>1925422.3808764045</v>
      </c>
      <c r="AE40" s="240">
        <f>IFERROR(_xlfn.XLOOKUP($D40,'Modelling New'!$D:$D,'Modelling New'!$O:$O),"")</f>
        <v>0.81746226777457909</v>
      </c>
      <c r="AF40" s="240">
        <f>IFERROR(_xlfn.XLOOKUP($D40,'Modelling New'!$D:$D,'Modelling New'!$W:$W),"")</f>
        <v>0.23941536041408709</v>
      </c>
      <c r="AG40" s="240">
        <f>IFERROR(_xlfn.XLOOKUP($D40,'Modelling New'!$D:$D,'Modelling New'!AE:AE),"")</f>
        <v>0.99750000000000005</v>
      </c>
      <c r="AH40" s="240">
        <f>IFERROR(_xlfn.XLOOKUP($D40,'Modelling New'!$D:$D,'Modelling New'!AF:AF),"")</f>
        <v>0.99750000000000005</v>
      </c>
      <c r="AI40" s="186"/>
      <c r="AJ40" s="186"/>
      <c r="AK40" s="227">
        <v>0.97199999999999998</v>
      </c>
      <c r="AL40" s="224">
        <f>IFERROR(Table13[[#This Row],[RA (%)]]*9270*58,"")</f>
        <v>522605.52</v>
      </c>
      <c r="AM40" s="225"/>
      <c r="AN40" s="238"/>
      <c r="AO40" s="240"/>
      <c r="AP40" s="240"/>
      <c r="AQ40" s="240"/>
      <c r="AR40" s="242">
        <f>IFERROR(_xlfn.XLOOKUP($D40,'Modelling New'!$D:$D,'Modelling New'!$N:$N),"")</f>
        <v>335.09100000000001</v>
      </c>
    </row>
    <row r="41" spans="1:44">
      <c r="A41" s="233">
        <f t="shared" si="3"/>
        <v>45784</v>
      </c>
      <c r="B41" s="228">
        <f>YEAR(Table13[[#This Row],[Date]])+IF(MONTH(Table13[[#This Row],[Date]])&gt;=4,1,0)</f>
        <v>2026</v>
      </c>
      <c r="C41" s="186">
        <f>YEAR(Table13[[#This Row],[Date]])</f>
        <v>2025</v>
      </c>
      <c r="D41" s="234">
        <f>Table13[[#This Row],[Date]]-DAY(Table13[[#This Row],[Date]])+1</f>
        <v>45778</v>
      </c>
      <c r="E41" s="186">
        <f t="shared" si="0"/>
        <v>31</v>
      </c>
      <c r="F41" s="235">
        <f>IFERROR(_xlfn.XLOOKUP($A41,'Raw_Data'!$B:$B,'Raw_Data'!$IX:$IX),"")</f>
        <v>12.933333333333335</v>
      </c>
      <c r="G41" s="236">
        <f>IFERROR(_xlfn.XLOOKUP($A41,'Raw_Data'!$B:$B,'Raw_Data'!IY:IY),"")</f>
        <v>7.2198101388888878</v>
      </c>
      <c r="H41" s="236">
        <f>IFERROR(_xlfn.XLOOKUP($A41,'Raw_Data'!$B:$B,'Raw_Data'!IZ:IZ),"")</f>
        <v>1.6789989444444438</v>
      </c>
      <c r="I41" s="236">
        <f>IFERROR(_xlfn.XLOOKUP($A41,'Raw_Data'!$B:$B,'Raw_Data'!JA:JA),"")</f>
        <v>7.1770051666666665</v>
      </c>
      <c r="J41" s="236">
        <f>IFERROR(_xlfn.XLOOKUP($A41,'Raw_Data'!$B:$B,'Raw_Data'!JB:JB),"")</f>
        <v>0.48924811111111094</v>
      </c>
      <c r="K41" s="236">
        <f>IFERROR(_xlfn.XLOOKUP($A41,'Raw_Data'!$B:$B,'Raw_Data'!JE:JE),"")</f>
        <v>30.475255057167995</v>
      </c>
      <c r="L41" s="236">
        <f>IFERROR(_xlfn.XLOOKUP($A41,'Raw_Data'!$B:$B,'Raw_Data'!JF:JF),"")</f>
        <v>46.102788038698314</v>
      </c>
      <c r="M41" s="236">
        <f>IFERROR(_xlfn.XLOOKUP($A41,'Raw_Data'!$B:$B,'Raw_Data'!JG:JG),"")</f>
        <v>1.7831258662906784</v>
      </c>
      <c r="N41" s="236">
        <f>IFERROR(_xlfn.XLOOKUP($A41,'Raw_Data'!$B:$B,'Raw_Data'!JH:JH),"")</f>
        <v>5.3122220000000002</v>
      </c>
      <c r="O41" s="237">
        <f>IFERROR(1-SUMIF(PA!$B:$B,$A41,PA!$AL:$AL)/($AA41+SUMIF(PA!$B:$B,$A41,PA!$AL:$AL)),"")</f>
        <v>0.99883989375434479</v>
      </c>
      <c r="P41" s="238"/>
      <c r="Q41" s="239"/>
      <c r="R41" s="240">
        <f>IFERROR(1-SUMIF(GA!$C:$C,$A41,GA!$X:$X)/($AA41+SUMIF(GA!$C:$C,$A41,GA!$X:$X)),"")</f>
        <v>1</v>
      </c>
      <c r="S41" s="186"/>
      <c r="T41" s="239"/>
      <c r="U41" s="237">
        <f t="shared" si="1"/>
        <v>0.82579643382539714</v>
      </c>
      <c r="V41" s="237">
        <f>IFERROR(_xlfn.XLOOKUP($A41,'Raw_Data'!$B:$B,'Raw_Data'!$JL:$JL),"")</f>
        <v>0.82394470825267252</v>
      </c>
      <c r="W41" s="240">
        <f t="shared" si="2"/>
        <v>0.24694771967415766</v>
      </c>
      <c r="X41" s="228">
        <f>IFERROR(_xlfn.XLOOKUP($A41,'Raw_Data'!$B:$B,'Raw_Data'!$JI:$JI),"")</f>
        <v>2004778.5000000002</v>
      </c>
      <c r="Y41" s="228">
        <f>IFERROR(_xlfn.XLOOKUP($A41,'Raw_Data'!$B:$B,'Raw_Data'!IT:IT),"")</f>
        <v>1990532.9999999958</v>
      </c>
      <c r="Z41" s="228">
        <f>IFERROR(_xlfn.XLOOKUP($A41,'Raw_Data'!$B:$B,'Raw_Data'!IU:IU),"")</f>
        <v>4533.9999999999918</v>
      </c>
      <c r="AA41" s="228">
        <f>IFERROR(_xlfn.XLOOKUP($A41,'Raw_Data'!$B:$B,'Raw_Data'!IW:IW),"")</f>
        <v>1985998.9999999958</v>
      </c>
      <c r="AB41" s="228">
        <f>IFERROR(_xlfn.XLOOKUP($A41,'Raw_Data'!$B:$B,'Raw_Data'!I:I)/1000,"")</f>
        <v>335.09089</v>
      </c>
      <c r="AC41" s="241">
        <f>IFERROR(_xlfn.XLOOKUP($D41,'Modelling New'!$D:$D,'Modelling New'!$P:$P),"")</f>
        <v>7.0290322580645164</v>
      </c>
      <c r="AD41" s="228">
        <f>IFERROR(_xlfn.XLOOKUP($D41,'Modelling New'!$D:$D,'Modelling New'!$T:$T)*1000,"")</f>
        <v>1925422.3808764045</v>
      </c>
      <c r="AE41" s="240">
        <f>IFERROR(_xlfn.XLOOKUP($D41,'Modelling New'!$D:$D,'Modelling New'!$O:$O),"")</f>
        <v>0.81746226777457909</v>
      </c>
      <c r="AF41" s="240">
        <f>IFERROR(_xlfn.XLOOKUP($D41,'Modelling New'!$D:$D,'Modelling New'!$W:$W),"")</f>
        <v>0.23941536041408709</v>
      </c>
      <c r="AG41" s="240">
        <f>IFERROR(_xlfn.XLOOKUP($D41,'Modelling New'!$D:$D,'Modelling New'!AE:AE),"")</f>
        <v>0.99750000000000005</v>
      </c>
      <c r="AH41" s="240">
        <f>IFERROR(_xlfn.XLOOKUP($D41,'Modelling New'!$D:$D,'Modelling New'!AF:AF),"")</f>
        <v>0.99750000000000005</v>
      </c>
      <c r="AI41" s="186"/>
      <c r="AJ41" s="186"/>
      <c r="AK41" s="227">
        <v>0.97299999999999998</v>
      </c>
      <c r="AL41" s="224">
        <f>IFERROR(Table13[[#This Row],[RA (%)]]*9270*58,"")</f>
        <v>523143.17999999993</v>
      </c>
      <c r="AM41" s="225"/>
      <c r="AN41" s="238"/>
      <c r="AO41" s="240"/>
      <c r="AP41" s="240"/>
      <c r="AQ41" s="240"/>
      <c r="AR41" s="242">
        <f>IFERROR(_xlfn.XLOOKUP($D41,'Modelling New'!$D:$D,'Modelling New'!$N:$N),"")</f>
        <v>335.09100000000001</v>
      </c>
    </row>
    <row r="42" spans="1:44">
      <c r="A42" s="233">
        <f t="shared" si="3"/>
        <v>45785</v>
      </c>
      <c r="B42" s="228">
        <f>YEAR(Table13[[#This Row],[Date]])+IF(MONTH(Table13[[#This Row],[Date]])&gt;=4,1,0)</f>
        <v>2026</v>
      </c>
      <c r="C42" s="186">
        <f>YEAR(Table13[[#This Row],[Date]])</f>
        <v>2025</v>
      </c>
      <c r="D42" s="234">
        <f>Table13[[#This Row],[Date]]-DAY(Table13[[#This Row],[Date]])+1</f>
        <v>45778</v>
      </c>
      <c r="E42" s="186">
        <f t="shared" si="0"/>
        <v>31</v>
      </c>
      <c r="F42" s="235">
        <f>IFERROR(_xlfn.XLOOKUP($A42,'Raw_Data'!$B:$B,'Raw_Data'!$IX:$IX),"")</f>
        <v>12.816666666666666</v>
      </c>
      <c r="G42" s="236">
        <f>IFERROR(_xlfn.XLOOKUP($A42,'Raw_Data'!$B:$B,'Raw_Data'!IY:IY),"")</f>
        <v>6.8692028611111127</v>
      </c>
      <c r="H42" s="236">
        <f>IFERROR(_xlfn.XLOOKUP($A42,'Raw_Data'!$B:$B,'Raw_Data'!IZ:IZ),"")</f>
        <v>1.6572699166666665</v>
      </c>
      <c r="I42" s="236">
        <f>IFERROR(_xlfn.XLOOKUP($A42,'Raw_Data'!$B:$B,'Raw_Data'!JA:JA),"")</f>
        <v>6.7822918055555563</v>
      </c>
      <c r="J42" s="236">
        <f>IFERROR(_xlfn.XLOOKUP($A42,'Raw_Data'!$B:$B,'Raw_Data'!JB:JB),"")</f>
        <v>0.489437333333333</v>
      </c>
      <c r="K42" s="236">
        <f>IFERROR(_xlfn.XLOOKUP($A42,'Raw_Data'!$B:$B,'Raw_Data'!JE:JE),"")</f>
        <v>33.444367816091955</v>
      </c>
      <c r="L42" s="236">
        <f>IFERROR(_xlfn.XLOOKUP($A42,'Raw_Data'!$B:$B,'Raw_Data'!JF:JF),"")</f>
        <v>48.980593103448257</v>
      </c>
      <c r="M42" s="236">
        <f>IFERROR(_xlfn.XLOOKUP($A42,'Raw_Data'!$B:$B,'Raw_Data'!JG:JG),"")</f>
        <v>2.5851542984000013</v>
      </c>
      <c r="N42" s="236">
        <f>IFERROR(_xlfn.XLOOKUP($A42,'Raw_Data'!$B:$B,'Raw_Data'!JH:JH),"")</f>
        <v>6.1244441666666667</v>
      </c>
      <c r="O42" s="237">
        <f>IFERROR(1-SUMIF(PA!$B:$B,$A42,PA!$AL:$AL)/($AA42+SUMIF(PA!$B:$B,$A42,PA!$AL:$AL)),"")</f>
        <v>0.99959089606087148</v>
      </c>
      <c r="P42" s="238"/>
      <c r="Q42" s="239"/>
      <c r="R42" s="240">
        <f>IFERROR(1-SUMIF(GA!$C:$C,$A42,GA!$X:$X)/($AA42+SUMIF(GA!$C:$C,$A42,GA!$X:$X)),"")</f>
        <v>1</v>
      </c>
      <c r="S42" s="186"/>
      <c r="T42" s="239"/>
      <c r="U42" s="237">
        <f t="shared" si="1"/>
        <v>0.82126077589753843</v>
      </c>
      <c r="V42" s="237">
        <f>IFERROR(_xlfn.XLOOKUP($A42,'Raw_Data'!$B:$B,'Raw_Data'!$JL:$JL),"")</f>
        <v>0.82502242567783834</v>
      </c>
      <c r="W42" s="240">
        <f t="shared" si="2"/>
        <v>0.2320845929414197</v>
      </c>
      <c r="X42" s="228">
        <f>IFERROR(_xlfn.XLOOKUP($A42,'Raw_Data'!$B:$B,'Raw_Data'!$JI:$JI),"")</f>
        <v>1883342.0999999994</v>
      </c>
      <c r="Y42" s="228">
        <f>IFERROR(_xlfn.XLOOKUP($A42,'Raw_Data'!$B:$B,'Raw_Data'!IT:IT),"")</f>
        <v>1870866.9999999984</v>
      </c>
      <c r="Z42" s="228">
        <f>IFERROR(_xlfn.XLOOKUP($A42,'Raw_Data'!$B:$B,'Raw_Data'!IU:IU),"")</f>
        <v>4400.0000000000346</v>
      </c>
      <c r="AA42" s="228">
        <f>IFERROR(_xlfn.XLOOKUP($A42,'Raw_Data'!$B:$B,'Raw_Data'!IW:IW),"")</f>
        <v>1866466.9999999984</v>
      </c>
      <c r="AB42" s="228">
        <f>IFERROR(_xlfn.XLOOKUP($A42,'Raw_Data'!$B:$B,'Raw_Data'!I:I)/1000,"")</f>
        <v>335.09089</v>
      </c>
      <c r="AC42" s="241">
        <f>IFERROR(_xlfn.XLOOKUP($D42,'Modelling New'!$D:$D,'Modelling New'!$P:$P),"")</f>
        <v>7.0290322580645164</v>
      </c>
      <c r="AD42" s="228">
        <f>IFERROR(_xlfn.XLOOKUP($D42,'Modelling New'!$D:$D,'Modelling New'!$T:$T)*1000,"")</f>
        <v>1925422.3808764045</v>
      </c>
      <c r="AE42" s="240">
        <f>IFERROR(_xlfn.XLOOKUP($D42,'Modelling New'!$D:$D,'Modelling New'!$O:$O),"")</f>
        <v>0.81746226777457909</v>
      </c>
      <c r="AF42" s="240">
        <f>IFERROR(_xlfn.XLOOKUP($D42,'Modelling New'!$D:$D,'Modelling New'!$W:$W),"")</f>
        <v>0.23941536041408709</v>
      </c>
      <c r="AG42" s="240">
        <f>IFERROR(_xlfn.XLOOKUP($D42,'Modelling New'!$D:$D,'Modelling New'!AE:AE),"")</f>
        <v>0.99750000000000005</v>
      </c>
      <c r="AH42" s="240">
        <f>IFERROR(_xlfn.XLOOKUP($D42,'Modelling New'!$D:$D,'Modelling New'!AF:AF),"")</f>
        <v>0.99750000000000005</v>
      </c>
      <c r="AI42" s="186"/>
      <c r="AJ42" s="186"/>
      <c r="AK42" s="227">
        <v>0.96699999999999997</v>
      </c>
      <c r="AL42" s="224">
        <f>IFERROR(Table13[[#This Row],[RA (%)]]*9270*58,"")</f>
        <v>519917.22000000003</v>
      </c>
      <c r="AM42" s="225"/>
      <c r="AN42" s="238"/>
      <c r="AO42" s="240"/>
      <c r="AP42" s="240"/>
      <c r="AQ42" s="240"/>
      <c r="AR42" s="242">
        <f>IFERROR(_xlfn.XLOOKUP($D42,'Modelling New'!$D:$D,'Modelling New'!$N:$N),"")</f>
        <v>335.09100000000001</v>
      </c>
    </row>
    <row r="43" spans="1:44">
      <c r="A43" s="233">
        <f t="shared" si="3"/>
        <v>45786</v>
      </c>
      <c r="B43" s="228">
        <f>YEAR(Table13[[#This Row],[Date]])+IF(MONTH(Table13[[#This Row],[Date]])&gt;=4,1,0)</f>
        <v>2026</v>
      </c>
      <c r="C43" s="186">
        <f>YEAR(Table13[[#This Row],[Date]])</f>
        <v>2025</v>
      </c>
      <c r="D43" s="234">
        <f>Table13[[#This Row],[Date]]-DAY(Table13[[#This Row],[Date]])+1</f>
        <v>45778</v>
      </c>
      <c r="E43" s="186">
        <f t="shared" si="0"/>
        <v>31</v>
      </c>
      <c r="F43" s="235">
        <f>IFERROR(_xlfn.XLOOKUP($A43,'Raw_Data'!$B:$B,'Raw_Data'!$IX:$IX),"")</f>
        <v>12.55</v>
      </c>
      <c r="G43" s="236">
        <f>IFERROR(_xlfn.XLOOKUP($A43,'Raw_Data'!$B:$B,'Raw_Data'!IY:IY),"")</f>
        <v>6.5407779999999995</v>
      </c>
      <c r="H43" s="236">
        <f>IFERROR(_xlfn.XLOOKUP($A43,'Raw_Data'!$B:$B,'Raw_Data'!IZ:IZ),"")</f>
        <v>1.4164615555555564</v>
      </c>
      <c r="I43" s="236">
        <f>IFERROR(_xlfn.XLOOKUP($A43,'Raw_Data'!$B:$B,'Raw_Data'!JA:JA),"")</f>
        <v>6.4909551111111128</v>
      </c>
      <c r="J43" s="236">
        <f>IFERROR(_xlfn.XLOOKUP($A43,'Raw_Data'!$B:$B,'Raw_Data'!JB:JB),"")</f>
        <v>0.43747430555555544</v>
      </c>
      <c r="K43" s="236">
        <f>IFERROR(_xlfn.XLOOKUP($A43,'Raw_Data'!$B:$B,'Raw_Data'!JE:JE),"")</f>
        <v>30.217687443541113</v>
      </c>
      <c r="L43" s="236">
        <f>IFERROR(_xlfn.XLOOKUP($A43,'Raw_Data'!$B:$B,'Raw_Data'!JF:JF),"")</f>
        <v>41.297362240289068</v>
      </c>
      <c r="M43" s="236">
        <f>IFERROR(_xlfn.XLOOKUP($A43,'Raw_Data'!$B:$B,'Raw_Data'!JG:JG),"")</f>
        <v>3.5893833131616995</v>
      </c>
      <c r="N43" s="236">
        <f>IFERROR(_xlfn.XLOOKUP($A43,'Raw_Data'!$B:$B,'Raw_Data'!JH:JH),"")</f>
        <v>6.869166166666667</v>
      </c>
      <c r="O43" s="237">
        <f>IFERROR(1-SUMIF(PA!$B:$B,$A43,PA!$AL:$AL)/($AA43+SUMIF(PA!$B:$B,$A43,PA!$AL:$AL)),"")</f>
        <v>0.99983560085502599</v>
      </c>
      <c r="P43" s="238"/>
      <c r="Q43" s="239"/>
      <c r="R43" s="240">
        <f>IFERROR(1-SUMIF(GA!$C:$C,$A43,GA!$X:$X)/($AA43+SUMIF(GA!$C:$C,$A43,GA!$X:$X)),"")</f>
        <v>1</v>
      </c>
      <c r="S43" s="186"/>
      <c r="T43" s="239"/>
      <c r="U43" s="237">
        <f t="shared" si="1"/>
        <v>0.85094960880451898</v>
      </c>
      <c r="V43" s="237">
        <f>IFERROR(_xlfn.XLOOKUP($A43,'Raw_Data'!$B:$B,'Raw_Data'!$JL:$JL),"")</f>
        <v>0.83853055932973652</v>
      </c>
      <c r="W43" s="240">
        <f t="shared" si="2"/>
        <v>0.2301448213569873</v>
      </c>
      <c r="X43" s="228">
        <f>IFERROR(_xlfn.XLOOKUP($A43,'Raw_Data'!$B:$B,'Raw_Data'!$JI:$JI),"")</f>
        <v>1867148.5000000002</v>
      </c>
      <c r="Y43" s="228">
        <f>IFERROR(_xlfn.XLOOKUP($A43,'Raw_Data'!$B:$B,'Raw_Data'!IT:IT),"")</f>
        <v>1855267.0000000217</v>
      </c>
      <c r="Z43" s="228">
        <f>IFERROR(_xlfn.XLOOKUP($A43,'Raw_Data'!$B:$B,'Raw_Data'!IU:IU),"")</f>
        <v>4399.9999999999773</v>
      </c>
      <c r="AA43" s="228">
        <f>IFERROR(_xlfn.XLOOKUP($A43,'Raw_Data'!$B:$B,'Raw_Data'!IW:IW),"")</f>
        <v>1850867.0000000217</v>
      </c>
      <c r="AB43" s="228">
        <f>IFERROR(_xlfn.XLOOKUP($A43,'Raw_Data'!$B:$B,'Raw_Data'!I:I)/1000,"")</f>
        <v>335.09089</v>
      </c>
      <c r="AC43" s="241">
        <f>IFERROR(_xlfn.XLOOKUP($D43,'Modelling New'!$D:$D,'Modelling New'!$P:$P),"")</f>
        <v>7.0290322580645164</v>
      </c>
      <c r="AD43" s="228">
        <f>IFERROR(_xlfn.XLOOKUP($D43,'Modelling New'!$D:$D,'Modelling New'!$T:$T)*1000,"")</f>
        <v>1925422.3808764045</v>
      </c>
      <c r="AE43" s="240">
        <f>IFERROR(_xlfn.XLOOKUP($D43,'Modelling New'!$D:$D,'Modelling New'!$O:$O),"")</f>
        <v>0.81746226777457909</v>
      </c>
      <c r="AF43" s="240">
        <f>IFERROR(_xlfn.XLOOKUP($D43,'Modelling New'!$D:$D,'Modelling New'!$W:$W),"")</f>
        <v>0.23941536041408709</v>
      </c>
      <c r="AG43" s="240">
        <f>IFERROR(_xlfn.XLOOKUP($D43,'Modelling New'!$D:$D,'Modelling New'!AE:AE),"")</f>
        <v>0.99750000000000005</v>
      </c>
      <c r="AH43" s="240">
        <f>IFERROR(_xlfn.XLOOKUP($D43,'Modelling New'!$D:$D,'Modelling New'!AF:AF),"")</f>
        <v>0.99750000000000005</v>
      </c>
      <c r="AI43" s="186"/>
      <c r="AJ43" s="186"/>
      <c r="AK43" s="227">
        <v>0</v>
      </c>
      <c r="AL43" s="224">
        <f>IFERROR(Table13[[#This Row],[RA (%)]]*9270*58,"")</f>
        <v>0</v>
      </c>
      <c r="AM43" s="225"/>
      <c r="AN43" s="238"/>
      <c r="AO43" s="240"/>
      <c r="AP43" s="240"/>
      <c r="AQ43" s="240"/>
      <c r="AR43" s="242">
        <f>IFERROR(_xlfn.XLOOKUP($D43,'Modelling New'!$D:$D,'Modelling New'!$N:$N),"")</f>
        <v>335.09100000000001</v>
      </c>
    </row>
    <row r="44" spans="1:44">
      <c r="A44" s="233">
        <f t="shared" si="3"/>
        <v>45787</v>
      </c>
      <c r="B44" s="228">
        <f>YEAR(Table13[[#This Row],[Date]])+IF(MONTH(Table13[[#This Row],[Date]])&gt;=4,1,0)</f>
        <v>2026</v>
      </c>
      <c r="C44" s="186">
        <f>YEAR(Table13[[#This Row],[Date]])</f>
        <v>2025</v>
      </c>
      <c r="D44" s="234">
        <f>Table13[[#This Row],[Date]]-DAY(Table13[[#This Row],[Date]])+1</f>
        <v>45778</v>
      </c>
      <c r="E44" s="186">
        <f t="shared" si="0"/>
        <v>31</v>
      </c>
      <c r="F44" s="235">
        <f>IFERROR(_xlfn.XLOOKUP($A44,'Raw_Data'!$B:$B,'Raw_Data'!$IX:$IX),"")</f>
        <v>12.933333333333335</v>
      </c>
      <c r="G44" s="236">
        <f>IFERROR(_xlfn.XLOOKUP($A44,'Raw_Data'!$B:$B,'Raw_Data'!IY:IY),"")</f>
        <v>7.3742410555555544</v>
      </c>
      <c r="H44" s="236">
        <f>IFERROR(_xlfn.XLOOKUP($A44,'Raw_Data'!$B:$B,'Raw_Data'!IZ:IZ),"")</f>
        <v>1.706975166666667</v>
      </c>
      <c r="I44" s="236">
        <f>IFERROR(_xlfn.XLOOKUP($A44,'Raw_Data'!$B:$B,'Raw_Data'!JA:JA),"")</f>
        <v>7.258915194444441</v>
      </c>
      <c r="J44" s="236">
        <f>IFERROR(_xlfn.XLOOKUP($A44,'Raw_Data'!$B:$B,'Raw_Data'!JB:JB),"")</f>
        <v>0.50724216666666688</v>
      </c>
      <c r="K44" s="236">
        <f>IFERROR(_xlfn.XLOOKUP($A44,'Raw_Data'!$B:$B,'Raw_Data'!JE:JE),"")</f>
        <v>33.90577953447518</v>
      </c>
      <c r="L44" s="236">
        <f>IFERROR(_xlfn.XLOOKUP($A44,'Raw_Data'!$B:$B,'Raw_Data'!JF:JF),"")</f>
        <v>48.37243741765483</v>
      </c>
      <c r="M44" s="236">
        <f>IFERROR(_xlfn.XLOOKUP($A44,'Raw_Data'!$B:$B,'Raw_Data'!JG:JG),"")</f>
        <v>1.6492145682059733</v>
      </c>
      <c r="N44" s="236">
        <f>IFERROR(_xlfn.XLOOKUP($A44,'Raw_Data'!$B:$B,'Raw_Data'!JH:JH),"")</f>
        <v>4.6049996666666662</v>
      </c>
      <c r="O44" s="237">
        <f>IFERROR(1-SUMIF(PA!$B:$B,$A44,PA!$AL:$AL)/($AA44+SUMIF(PA!$B:$B,$A44,PA!$AL:$AL)),"")</f>
        <v>1</v>
      </c>
      <c r="P44" s="238"/>
      <c r="Q44" s="239"/>
      <c r="R44" s="240">
        <f>IFERROR(1-SUMIF(GA!$C:$C,$A44,GA!$X:$X)/($AA44+SUMIF(GA!$C:$C,$A44,GA!$X:$X)),"")</f>
        <v>1</v>
      </c>
      <c r="S44" s="186"/>
      <c r="T44" s="239"/>
      <c r="U44" s="237">
        <f t="shared" si="1"/>
        <v>0.82133010180199917</v>
      </c>
      <c r="V44" s="237">
        <f>IFERROR(_xlfn.XLOOKUP($A44,'Raw_Data'!$B:$B,'Raw_Data'!$JL:$JL),"")</f>
        <v>0.82890972449074407</v>
      </c>
      <c r="W44" s="240">
        <f t="shared" si="2"/>
        <v>0.24841523148438047</v>
      </c>
      <c r="X44" s="228">
        <f>IFERROR(_xlfn.XLOOKUP($A44,'Raw_Data'!$B:$B,'Raw_Data'!$JI:$JI),"")</f>
        <v>2015493.1000000013</v>
      </c>
      <c r="Y44" s="228">
        <f>IFERROR(_xlfn.XLOOKUP($A44,'Raw_Data'!$B:$B,'Raw_Data'!IT:IT),"")</f>
        <v>2002066.9999999809</v>
      </c>
      <c r="Z44" s="228">
        <f>IFERROR(_xlfn.XLOOKUP($A44,'Raw_Data'!$B:$B,'Raw_Data'!IU:IU),"")</f>
        <v>4266.00000000002</v>
      </c>
      <c r="AA44" s="228">
        <f>IFERROR(_xlfn.XLOOKUP($A44,'Raw_Data'!$B:$B,'Raw_Data'!IW:IW),"")</f>
        <v>1997800.9999999809</v>
      </c>
      <c r="AB44" s="228">
        <f>IFERROR(_xlfn.XLOOKUP($A44,'Raw_Data'!$B:$B,'Raw_Data'!I:I)/1000,"")</f>
        <v>335.09089</v>
      </c>
      <c r="AC44" s="241">
        <f>IFERROR(_xlfn.XLOOKUP($D44,'Modelling New'!$D:$D,'Modelling New'!$P:$P),"")</f>
        <v>7.0290322580645164</v>
      </c>
      <c r="AD44" s="228">
        <f>IFERROR(_xlfn.XLOOKUP($D44,'Modelling New'!$D:$D,'Modelling New'!$T:$T)*1000,"")</f>
        <v>1925422.3808764045</v>
      </c>
      <c r="AE44" s="240">
        <f>IFERROR(_xlfn.XLOOKUP($D44,'Modelling New'!$D:$D,'Modelling New'!$O:$O),"")</f>
        <v>0.81746226777457909</v>
      </c>
      <c r="AF44" s="240">
        <f>IFERROR(_xlfn.XLOOKUP($D44,'Modelling New'!$D:$D,'Modelling New'!$W:$W),"")</f>
        <v>0.23941536041408709</v>
      </c>
      <c r="AG44" s="240">
        <f>IFERROR(_xlfn.XLOOKUP($D44,'Modelling New'!$D:$D,'Modelling New'!AE:AE),"")</f>
        <v>0.99750000000000005</v>
      </c>
      <c r="AH44" s="240">
        <f>IFERROR(_xlfn.XLOOKUP($D44,'Modelling New'!$D:$D,'Modelling New'!AF:AF),"")</f>
        <v>0.99750000000000005</v>
      </c>
      <c r="AI44" s="186"/>
      <c r="AJ44" s="186"/>
      <c r="AK44" s="227">
        <v>0.97499999999999998</v>
      </c>
      <c r="AL44" s="224">
        <f>IFERROR(Table13[[#This Row],[RA (%)]]*9270*58,"")</f>
        <v>524218.5</v>
      </c>
      <c r="AM44" s="225"/>
      <c r="AN44" s="238"/>
      <c r="AO44" s="240"/>
      <c r="AP44" s="240"/>
      <c r="AQ44" s="240"/>
      <c r="AR44" s="242">
        <f>IFERROR(_xlfn.XLOOKUP($D44,'Modelling New'!$D:$D,'Modelling New'!$N:$N),"")</f>
        <v>335.09100000000001</v>
      </c>
    </row>
    <row r="45" spans="1:44">
      <c r="A45" s="233">
        <f t="shared" si="3"/>
        <v>45788</v>
      </c>
      <c r="B45" s="228">
        <f>YEAR(Table13[[#This Row],[Date]])+IF(MONTH(Table13[[#This Row],[Date]])&gt;=4,1,0)</f>
        <v>2026</v>
      </c>
      <c r="C45" s="186">
        <f>YEAR(Table13[[#This Row],[Date]])</f>
        <v>2025</v>
      </c>
      <c r="D45" s="234">
        <f>Table13[[#This Row],[Date]]-DAY(Table13[[#This Row],[Date]])+1</f>
        <v>45778</v>
      </c>
      <c r="E45" s="186">
        <f t="shared" si="0"/>
        <v>31</v>
      </c>
      <c r="F45" s="235">
        <f>IFERROR(_xlfn.XLOOKUP($A45,'Raw_Data'!$B:$B,'Raw_Data'!$IX:$IX),"")</f>
        <v>12.983333333333333</v>
      </c>
      <c r="G45" s="236">
        <f>IFERROR(_xlfn.XLOOKUP($A45,'Raw_Data'!$B:$B,'Raw_Data'!IY:IY),"")</f>
        <v>7.3226790277777773</v>
      </c>
      <c r="H45" s="236">
        <f>IFERROR(_xlfn.XLOOKUP($A45,'Raw_Data'!$B:$B,'Raw_Data'!IZ:IZ),"")</f>
        <v>1.725135777777778</v>
      </c>
      <c r="I45" s="236">
        <f>IFERROR(_xlfn.XLOOKUP($A45,'Raw_Data'!$B:$B,'Raw_Data'!JA:JA),"")</f>
        <v>7.1936891388888862</v>
      </c>
      <c r="J45" s="236">
        <f>IFERROR(_xlfn.XLOOKUP($A45,'Raw_Data'!$B:$B,'Raw_Data'!JB:JB),"")</f>
        <v>0.51802583333333341</v>
      </c>
      <c r="K45" s="236">
        <f>IFERROR(_xlfn.XLOOKUP($A45,'Raw_Data'!$B:$B,'Raw_Data'!JE:JE),"")</f>
        <v>36.363125273762599</v>
      </c>
      <c r="L45" s="236">
        <f>IFERROR(_xlfn.XLOOKUP($A45,'Raw_Data'!$B:$B,'Raw_Data'!JF:JF),"")</f>
        <v>50.9</v>
      </c>
      <c r="M45" s="236">
        <f>IFERROR(_xlfn.XLOOKUP($A45,'Raw_Data'!$B:$B,'Raw_Data'!JG:JG),"")</f>
        <v>2.5086942341217702</v>
      </c>
      <c r="N45" s="236">
        <f>IFERROR(_xlfn.XLOOKUP($A45,'Raw_Data'!$B:$B,'Raw_Data'!JH:JH),"")</f>
        <v>6.611666333333333</v>
      </c>
      <c r="O45" s="237">
        <f>IFERROR(1-SUMIF(PA!$B:$B,$A45,PA!$AL:$AL)/($AA45+SUMIF(PA!$B:$B,$A45,PA!$AL:$AL)),"")</f>
        <v>1</v>
      </c>
      <c r="P45" s="238"/>
      <c r="Q45" s="239"/>
      <c r="R45" s="240">
        <f>IFERROR(1-SUMIF(GA!$C:$C,$A45,GA!$X:$X)/($AA45+SUMIF(GA!$C:$C,$A45,GA!$X:$X)),"")</f>
        <v>1</v>
      </c>
      <c r="S45" s="186"/>
      <c r="T45" s="239"/>
      <c r="U45" s="237">
        <f t="shared" si="1"/>
        <v>0.81749301056409895</v>
      </c>
      <c r="V45" s="237">
        <f>IFERROR(_xlfn.XLOOKUP($A45,'Raw_Data'!$B:$B,'Raw_Data'!$JL:$JL),"")</f>
        <v>0.83090210198194658</v>
      </c>
      <c r="W45" s="240">
        <f t="shared" si="2"/>
        <v>0.24503294130052233</v>
      </c>
      <c r="X45" s="228">
        <f>IFERROR(_xlfn.XLOOKUP($A45,'Raw_Data'!$B:$B,'Raw_Data'!$JI:$JI),"")</f>
        <v>1987766.3999999997</v>
      </c>
      <c r="Y45" s="228">
        <f>IFERROR(_xlfn.XLOOKUP($A45,'Raw_Data'!$B:$B,'Raw_Data'!IT:IT),"")</f>
        <v>1975000</v>
      </c>
      <c r="Z45" s="228">
        <f>IFERROR(_xlfn.XLOOKUP($A45,'Raw_Data'!$B:$B,'Raw_Data'!IU:IU),"")</f>
        <v>4399.9999999999773</v>
      </c>
      <c r="AA45" s="228">
        <f>IFERROR(_xlfn.XLOOKUP($A45,'Raw_Data'!$B:$B,'Raw_Data'!IW:IW),"")</f>
        <v>1970600</v>
      </c>
      <c r="AB45" s="228">
        <f>IFERROR(_xlfn.XLOOKUP($A45,'Raw_Data'!$B:$B,'Raw_Data'!I:I)/1000,"")</f>
        <v>335.09089</v>
      </c>
      <c r="AC45" s="241">
        <f>IFERROR(_xlfn.XLOOKUP($D45,'Modelling New'!$D:$D,'Modelling New'!$P:$P),"")</f>
        <v>7.0290322580645164</v>
      </c>
      <c r="AD45" s="228">
        <f>IFERROR(_xlfn.XLOOKUP($D45,'Modelling New'!$D:$D,'Modelling New'!$T:$T)*1000,"")</f>
        <v>1925422.3808764045</v>
      </c>
      <c r="AE45" s="240">
        <f>IFERROR(_xlfn.XLOOKUP($D45,'Modelling New'!$D:$D,'Modelling New'!$O:$O),"")</f>
        <v>0.81746226777457909</v>
      </c>
      <c r="AF45" s="240">
        <f>IFERROR(_xlfn.XLOOKUP($D45,'Modelling New'!$D:$D,'Modelling New'!$W:$W),"")</f>
        <v>0.23941536041408709</v>
      </c>
      <c r="AG45" s="240">
        <f>IFERROR(_xlfn.XLOOKUP($D45,'Modelling New'!$D:$D,'Modelling New'!AE:AE),"")</f>
        <v>0.99750000000000005</v>
      </c>
      <c r="AH45" s="240">
        <f>IFERROR(_xlfn.XLOOKUP($D45,'Modelling New'!$D:$D,'Modelling New'!AF:AF),"")</f>
        <v>0.99750000000000005</v>
      </c>
      <c r="AI45" s="186"/>
      <c r="AJ45" s="186"/>
      <c r="AK45" s="227">
        <v>0.92200000000000004</v>
      </c>
      <c r="AL45" s="224">
        <f>IFERROR(Table13[[#This Row],[RA (%)]]*9270*58,"")</f>
        <v>495722.52</v>
      </c>
      <c r="AM45" s="225"/>
      <c r="AN45" s="238"/>
      <c r="AO45" s="240"/>
      <c r="AP45" s="240"/>
      <c r="AQ45" s="240"/>
      <c r="AR45" s="242">
        <f>IFERROR(_xlfn.XLOOKUP($D45,'Modelling New'!$D:$D,'Modelling New'!$N:$N),"")</f>
        <v>335.09100000000001</v>
      </c>
    </row>
    <row r="46" spans="1:44">
      <c r="A46" s="233">
        <f t="shared" si="3"/>
        <v>45789</v>
      </c>
      <c r="B46" s="228">
        <f>YEAR(Table13[[#This Row],[Date]])+IF(MONTH(Table13[[#This Row],[Date]])&gt;=4,1,0)</f>
        <v>2026</v>
      </c>
      <c r="C46" s="186">
        <f>YEAR(Table13[[#This Row],[Date]])</f>
        <v>2025</v>
      </c>
      <c r="D46" s="234">
        <f>Table13[[#This Row],[Date]]-DAY(Table13[[#This Row],[Date]])+1</f>
        <v>45778</v>
      </c>
      <c r="E46" s="186">
        <f t="shared" si="0"/>
        <v>31</v>
      </c>
      <c r="F46" s="235">
        <f>IFERROR(_xlfn.XLOOKUP($A46,'Raw_Data'!$B:$B,'Raw_Data'!$IX:$IX),"")</f>
        <v>12.933333333333335</v>
      </c>
      <c r="G46" s="236">
        <f>IFERROR(_xlfn.XLOOKUP($A46,'Raw_Data'!$B:$B,'Raw_Data'!IY:IY),"")</f>
        <v>7.5711026388888856</v>
      </c>
      <c r="H46" s="236">
        <f>IFERROR(_xlfn.XLOOKUP($A46,'Raw_Data'!$B:$B,'Raw_Data'!IZ:IZ),"")</f>
        <v>1.8065496944444452</v>
      </c>
      <c r="I46" s="236">
        <f>IFERROR(_xlfn.XLOOKUP($A46,'Raw_Data'!$B:$B,'Raw_Data'!JA:JA),"")</f>
        <v>7.4236403611111106</v>
      </c>
      <c r="J46" s="236">
        <f>IFERROR(_xlfn.XLOOKUP($A46,'Raw_Data'!$B:$B,'Raw_Data'!JB:JB),"")</f>
        <v>0.56016238888888903</v>
      </c>
      <c r="K46" s="236">
        <f>IFERROR(_xlfn.XLOOKUP($A46,'Raw_Data'!$B:$B,'Raw_Data'!JE:JE),"")</f>
        <v>35.943239282589673</v>
      </c>
      <c r="L46" s="236">
        <f>IFERROR(_xlfn.XLOOKUP($A46,'Raw_Data'!$B:$B,'Raw_Data'!JF:JF),"")</f>
        <v>49.033333333333331</v>
      </c>
      <c r="M46" s="236">
        <f>IFERROR(_xlfn.XLOOKUP($A46,'Raw_Data'!$B:$B,'Raw_Data'!JG:JG),"")</f>
        <v>5.1807208397025404</v>
      </c>
      <c r="N46" s="236">
        <f>IFERROR(_xlfn.XLOOKUP($A46,'Raw_Data'!$B:$B,'Raw_Data'!JH:JH),"")</f>
        <v>9.6958329999999986</v>
      </c>
      <c r="O46" s="237">
        <f>IFERROR(1-SUMIF(PA!$B:$B,$A46,PA!$AL:$AL)/($AA46+SUMIF(PA!$B:$B,$A46,PA!$AL:$AL)),"")</f>
        <v>1</v>
      </c>
      <c r="P46" s="238"/>
      <c r="Q46" s="239"/>
      <c r="R46" s="240">
        <f>IFERROR(1-SUMIF(GA!$C:$C,$A46,GA!$X:$X)/($AA46+SUMIF(GA!$C:$C,$A46,GA!$X:$X)),"")</f>
        <v>0.95888690375616992</v>
      </c>
      <c r="S46" s="186"/>
      <c r="T46" s="239"/>
      <c r="U46" s="237">
        <f t="shared" si="1"/>
        <v>0.77651986915082871</v>
      </c>
      <c r="V46" s="237">
        <f>IFERROR(_xlfn.XLOOKUP($A46,'Raw_Data'!$B:$B,'Raw_Data'!$JL:$JL),"")</f>
        <v>0.81315059069992401</v>
      </c>
      <c r="W46" s="240">
        <f t="shared" si="2"/>
        <v>0.24019184340970046</v>
      </c>
      <c r="X46" s="228">
        <f>IFERROR(_xlfn.XLOOKUP($A46,'Raw_Data'!$B:$B,'Raw_Data'!$JI:$JI),"")</f>
        <v>1947041.0000000002</v>
      </c>
      <c r="Y46" s="228">
        <f>IFERROR(_xlfn.XLOOKUP($A46,'Raw_Data'!$B:$B,'Raw_Data'!IT:IT),"")</f>
        <v>1935866.9999999984</v>
      </c>
      <c r="Z46" s="228">
        <f>IFERROR(_xlfn.XLOOKUP($A46,'Raw_Data'!$B:$B,'Raw_Data'!IU:IU),"")</f>
        <v>4200.0000000000455</v>
      </c>
      <c r="AA46" s="228">
        <f>IFERROR(_xlfn.XLOOKUP($A46,'Raw_Data'!$B:$B,'Raw_Data'!IW:IW),"")</f>
        <v>1931666.9999999984</v>
      </c>
      <c r="AB46" s="228">
        <f>IFERROR(_xlfn.XLOOKUP($A46,'Raw_Data'!$B:$B,'Raw_Data'!I:I)/1000,"")</f>
        <v>335.09089</v>
      </c>
      <c r="AC46" s="241">
        <f>IFERROR(_xlfn.XLOOKUP($D46,'Modelling New'!$D:$D,'Modelling New'!$P:$P),"")</f>
        <v>7.0290322580645164</v>
      </c>
      <c r="AD46" s="228">
        <f>IFERROR(_xlfn.XLOOKUP($D46,'Modelling New'!$D:$D,'Modelling New'!$T:$T)*1000,"")</f>
        <v>1925422.3808764045</v>
      </c>
      <c r="AE46" s="240">
        <f>IFERROR(_xlfn.XLOOKUP($D46,'Modelling New'!$D:$D,'Modelling New'!$O:$O),"")</f>
        <v>0.81746226777457909</v>
      </c>
      <c r="AF46" s="240">
        <f>IFERROR(_xlfn.XLOOKUP($D46,'Modelling New'!$D:$D,'Modelling New'!$W:$W),"")</f>
        <v>0.23941536041408709</v>
      </c>
      <c r="AG46" s="240">
        <f>IFERROR(_xlfn.XLOOKUP($D46,'Modelling New'!$D:$D,'Modelling New'!AE:AE),"")</f>
        <v>0.99750000000000005</v>
      </c>
      <c r="AH46" s="240">
        <f>IFERROR(_xlfn.XLOOKUP($D46,'Modelling New'!$D:$D,'Modelling New'!AF:AF),"")</f>
        <v>0.99750000000000005</v>
      </c>
      <c r="AI46" s="186"/>
      <c r="AJ46" s="186"/>
      <c r="AK46" s="227">
        <v>0.97</v>
      </c>
      <c r="AL46" s="224">
        <f>IFERROR(Table13[[#This Row],[RA (%)]]*9270*58,"")</f>
        <v>521530.19999999995</v>
      </c>
      <c r="AM46" s="225"/>
      <c r="AN46" s="238"/>
      <c r="AO46" s="240"/>
      <c r="AP46" s="240"/>
      <c r="AQ46" s="240"/>
      <c r="AR46" s="242">
        <f>IFERROR(_xlfn.XLOOKUP($D46,'Modelling New'!$D:$D,'Modelling New'!$N:$N),"")</f>
        <v>335.09100000000001</v>
      </c>
    </row>
    <row r="47" spans="1:44">
      <c r="A47" s="233">
        <f t="shared" si="3"/>
        <v>45790</v>
      </c>
      <c r="B47" s="228">
        <f>YEAR(Table13[[#This Row],[Date]])+IF(MONTH(Table13[[#This Row],[Date]])&gt;=4,1,0)</f>
        <v>2026</v>
      </c>
      <c r="C47" s="186">
        <f>YEAR(Table13[[#This Row],[Date]])</f>
        <v>2025</v>
      </c>
      <c r="D47" s="234">
        <f>Table13[[#This Row],[Date]]-DAY(Table13[[#This Row],[Date]])+1</f>
        <v>45778</v>
      </c>
      <c r="E47" s="186">
        <f t="shared" si="0"/>
        <v>31</v>
      </c>
      <c r="F47" s="235">
        <f>IFERROR(_xlfn.XLOOKUP($A47,'Raw_Data'!$B:$B,'Raw_Data'!$IX:$IX),"")</f>
        <v>13.033333333333335</v>
      </c>
      <c r="G47" s="236">
        <f>IFERROR(_xlfn.XLOOKUP($A47,'Raw_Data'!$B:$B,'Raw_Data'!IY:IY),"")</f>
        <v>7.5500000000000007</v>
      </c>
      <c r="H47" s="236">
        <f>IFERROR(_xlfn.XLOOKUP($A47,'Raw_Data'!$B:$B,'Raw_Data'!IZ:IZ),"")</f>
        <v>1.825</v>
      </c>
      <c r="I47" s="236">
        <f>IFERROR(_xlfn.XLOOKUP($A47,'Raw_Data'!$B:$B,'Raw_Data'!JA:JA),"")</f>
        <v>7.3766666666666678</v>
      </c>
      <c r="J47" s="236">
        <f>IFERROR(_xlfn.XLOOKUP($A47,'Raw_Data'!$B:$B,'Raw_Data'!JB:JB),"")</f>
        <v>0.57500000000000007</v>
      </c>
      <c r="K47" s="236">
        <f>IFERROR(_xlfn.XLOOKUP($A47,'Raw_Data'!$B:$B,'Raw_Data'!JE:JE),"")</f>
        <v>36.56</v>
      </c>
      <c r="L47" s="236">
        <f>IFERROR(_xlfn.XLOOKUP($A47,'Raw_Data'!$B:$B,'Raw_Data'!JF:JF),"")</f>
        <v>49</v>
      </c>
      <c r="M47" s="236">
        <f>IFERROR(_xlfn.XLOOKUP($A47,'Raw_Data'!$B:$B,'Raw_Data'!JG:JG),"")</f>
        <v>5.416666666666667</v>
      </c>
      <c r="N47" s="236">
        <f>IFERROR(_xlfn.XLOOKUP($A47,'Raw_Data'!$B:$B,'Raw_Data'!JH:JH),"")</f>
        <v>9.9483333333333341</v>
      </c>
      <c r="O47" s="237">
        <f>IFERROR(1-SUMIF(PA!$B:$B,$A47,PA!$AL:$AL)/($AA47+SUMIF(PA!$B:$B,$A47,PA!$AL:$AL)),"")</f>
        <v>1</v>
      </c>
      <c r="P47" s="238"/>
      <c r="Q47" s="239"/>
      <c r="R47" s="240">
        <f>IFERROR(1-SUMIF(GA!$C:$C,$A47,GA!$X:$X)/($AA47+SUMIF(GA!$C:$C,$A47,GA!$X:$X)),"")</f>
        <v>0.98214703907533729</v>
      </c>
      <c r="S47" s="186"/>
      <c r="T47" s="239"/>
      <c r="U47" s="237">
        <f t="shared" si="1"/>
        <v>0.80293274206770582</v>
      </c>
      <c r="V47" s="237">
        <f>IFERROR(_xlfn.XLOOKUP($A47,'Raw_Data'!$B:$B,'Raw_Data'!$JL:$JL),"")</f>
        <v>0.82098532216324172</v>
      </c>
      <c r="W47" s="240">
        <f t="shared" si="2"/>
        <v>0.24679029974942129</v>
      </c>
      <c r="X47" s="228">
        <f>IFERROR(_xlfn.XLOOKUP($A47,'Raw_Data'!$B:$B,'Raw_Data'!$JI:$JI),"")</f>
        <v>2002101.2000000002</v>
      </c>
      <c r="Y47" s="228">
        <f>IFERROR(_xlfn.XLOOKUP($A47,'Raw_Data'!$B:$B,'Raw_Data'!IT:IT),"")</f>
        <v>1989000</v>
      </c>
      <c r="Z47" s="228">
        <f>IFERROR(_xlfn.XLOOKUP($A47,'Raw_Data'!$B:$B,'Raw_Data'!IU:IU),"")</f>
        <v>4266.9999999999964</v>
      </c>
      <c r="AA47" s="228">
        <f>IFERROR(_xlfn.XLOOKUP($A47,'Raw_Data'!$B:$B,'Raw_Data'!IW:IW),"")</f>
        <v>1984733</v>
      </c>
      <c r="AB47" s="228">
        <f>IFERROR(_xlfn.XLOOKUP($A47,'Raw_Data'!$B:$B,'Raw_Data'!I:I)/1000,"")</f>
        <v>335.09089</v>
      </c>
      <c r="AC47" s="241">
        <f>IFERROR(_xlfn.XLOOKUP($D47,'Modelling New'!$D:$D,'Modelling New'!$P:$P),"")</f>
        <v>7.0290322580645164</v>
      </c>
      <c r="AD47" s="228">
        <f>IFERROR(_xlfn.XLOOKUP($D47,'Modelling New'!$D:$D,'Modelling New'!$T:$T)*1000,"")</f>
        <v>1925422.3808764045</v>
      </c>
      <c r="AE47" s="240">
        <f>IFERROR(_xlfn.XLOOKUP($D47,'Modelling New'!$D:$D,'Modelling New'!$O:$O),"")</f>
        <v>0.81746226777457909</v>
      </c>
      <c r="AF47" s="240">
        <f>IFERROR(_xlfn.XLOOKUP($D47,'Modelling New'!$D:$D,'Modelling New'!$W:$W),"")</f>
        <v>0.23941536041408709</v>
      </c>
      <c r="AG47" s="240">
        <f>IFERROR(_xlfn.XLOOKUP($D47,'Modelling New'!$D:$D,'Modelling New'!AE:AE),"")</f>
        <v>0.99750000000000005</v>
      </c>
      <c r="AH47" s="240">
        <f>IFERROR(_xlfn.XLOOKUP($D47,'Modelling New'!$D:$D,'Modelling New'!AF:AF),"")</f>
        <v>0.99750000000000005</v>
      </c>
      <c r="AI47" s="186"/>
      <c r="AJ47" s="186"/>
      <c r="AK47" s="227">
        <v>0.98199999999999998</v>
      </c>
      <c r="AL47" s="224">
        <f>IFERROR(Table13[[#This Row],[RA (%)]]*9270*58,"")</f>
        <v>527982.12</v>
      </c>
      <c r="AM47" s="225"/>
      <c r="AN47" s="238"/>
      <c r="AO47" s="240"/>
      <c r="AP47" s="240"/>
      <c r="AQ47" s="240"/>
      <c r="AR47" s="242">
        <f>IFERROR(_xlfn.XLOOKUP($D47,'Modelling New'!$D:$D,'Modelling New'!$N:$N),"")</f>
        <v>335.09100000000001</v>
      </c>
    </row>
    <row r="48" spans="1:44">
      <c r="A48" s="233">
        <f t="shared" si="3"/>
        <v>45791</v>
      </c>
      <c r="B48" s="228">
        <f>YEAR(Table13[[#This Row],[Date]])+IF(MONTH(Table13[[#This Row],[Date]])&gt;=4,1,0)</f>
        <v>2026</v>
      </c>
      <c r="C48" s="186">
        <f>YEAR(Table13[[#This Row],[Date]])</f>
        <v>2025</v>
      </c>
      <c r="D48" s="234">
        <f>Table13[[#This Row],[Date]]-DAY(Table13[[#This Row],[Date]])+1</f>
        <v>45778</v>
      </c>
      <c r="E48" s="186">
        <f t="shared" si="0"/>
        <v>31</v>
      </c>
      <c r="F48" s="235">
        <f>IFERROR(_xlfn.XLOOKUP($A48,'Raw_Data'!$B:$B,'Raw_Data'!$IX:$IX),"")</f>
        <v>13.016666666666666</v>
      </c>
      <c r="G48" s="236">
        <f>IFERROR(_xlfn.XLOOKUP($A48,'Raw_Data'!$B:$B,'Raw_Data'!IY:IY),"")</f>
        <v>7.7464558888888924</v>
      </c>
      <c r="H48" s="236">
        <f>IFERROR(_xlfn.XLOOKUP($A48,'Raw_Data'!$B:$B,'Raw_Data'!IZ:IZ),"")</f>
        <v>1.8771534444444453</v>
      </c>
      <c r="I48" s="236">
        <f>IFERROR(_xlfn.XLOOKUP($A48,'Raw_Data'!$B:$B,'Raw_Data'!JA:JA),"")</f>
        <v>7.5533837777777793</v>
      </c>
      <c r="J48" s="236">
        <f>IFERROR(_xlfn.XLOOKUP($A48,'Raw_Data'!$B:$B,'Raw_Data'!JB:JB),"")</f>
        <v>0.57923594444444437</v>
      </c>
      <c r="K48" s="236">
        <f>IFERROR(_xlfn.XLOOKUP($A48,'Raw_Data'!$B:$B,'Raw_Data'!JE:JE),"")</f>
        <v>36.454096858638742</v>
      </c>
      <c r="L48" s="236">
        <f>IFERROR(_xlfn.XLOOKUP($A48,'Raw_Data'!$B:$B,'Raw_Data'!JF:JF),"")</f>
        <v>49.717176243455505</v>
      </c>
      <c r="M48" s="236">
        <f>IFERROR(_xlfn.XLOOKUP($A48,'Raw_Data'!$B:$B,'Raw_Data'!JG:JG),"")</f>
        <v>4.7974419802901425</v>
      </c>
      <c r="N48" s="236">
        <f>IFERROR(_xlfn.XLOOKUP($A48,'Raw_Data'!$B:$B,'Raw_Data'!JH:JH),"")</f>
        <v>8.574999666666665</v>
      </c>
      <c r="O48" s="237">
        <f>IFERROR(1-SUMIF(PA!$B:$B,$A48,PA!$AL:$AL)/($AA48+SUMIF(PA!$B:$B,$A48,PA!$AL:$AL)),"")</f>
        <v>0.99667179159138009</v>
      </c>
      <c r="P48" s="238"/>
      <c r="Q48" s="239"/>
      <c r="R48" s="240">
        <f>IFERROR(1-SUMIF(GA!$C:$C,$A48,GA!$X:$X)/($AA48+SUMIF(GA!$C:$C,$A48,GA!$X:$X)),"")</f>
        <v>1</v>
      </c>
      <c r="S48" s="186"/>
      <c r="T48" s="239"/>
      <c r="U48" s="237">
        <f t="shared" si="1"/>
        <v>0.81106617003763437</v>
      </c>
      <c r="V48" s="237">
        <f>IFERROR(_xlfn.XLOOKUP($A48,'Raw_Data'!$B:$B,'Raw_Data'!$JL:$JL),"")</f>
        <v>0.8182590913338984</v>
      </c>
      <c r="W48" s="240">
        <f t="shared" si="2"/>
        <v>0.25526225214444254</v>
      </c>
      <c r="X48" s="228">
        <f>IFERROR(_xlfn.XLOOKUP($A48,'Raw_Data'!$B:$B,'Raw_Data'!$JI:$JI),"")</f>
        <v>2071281.2000000009</v>
      </c>
      <c r="Y48" s="228">
        <f>IFERROR(_xlfn.XLOOKUP($A48,'Raw_Data'!$B:$B,'Raw_Data'!IT:IT),"")</f>
        <v>2057133.0000000016</v>
      </c>
      <c r="Z48" s="228">
        <f>IFERROR(_xlfn.XLOOKUP($A48,'Raw_Data'!$B:$B,'Raw_Data'!IU:IU),"")</f>
        <v>4266.9999999999964</v>
      </c>
      <c r="AA48" s="228">
        <f>IFERROR(_xlfn.XLOOKUP($A48,'Raw_Data'!$B:$B,'Raw_Data'!IW:IW),"")</f>
        <v>2052866.0000000016</v>
      </c>
      <c r="AB48" s="228">
        <f>IFERROR(_xlfn.XLOOKUP($A48,'Raw_Data'!$B:$B,'Raw_Data'!I:I)/1000,"")</f>
        <v>335.09089</v>
      </c>
      <c r="AC48" s="241">
        <f>IFERROR(_xlfn.XLOOKUP($D48,'Modelling New'!$D:$D,'Modelling New'!$P:$P),"")</f>
        <v>7.0290322580645164</v>
      </c>
      <c r="AD48" s="228">
        <f>IFERROR(_xlfn.XLOOKUP($D48,'Modelling New'!$D:$D,'Modelling New'!$T:$T)*1000,"")</f>
        <v>1925422.3808764045</v>
      </c>
      <c r="AE48" s="240">
        <f>IFERROR(_xlfn.XLOOKUP($D48,'Modelling New'!$D:$D,'Modelling New'!$O:$O),"")</f>
        <v>0.81746226777457909</v>
      </c>
      <c r="AF48" s="240">
        <f>IFERROR(_xlfn.XLOOKUP($D48,'Modelling New'!$D:$D,'Modelling New'!$W:$W),"")</f>
        <v>0.23941536041408709</v>
      </c>
      <c r="AG48" s="240">
        <f>IFERROR(_xlfn.XLOOKUP($D48,'Modelling New'!$D:$D,'Modelling New'!AE:AE),"")</f>
        <v>0.99750000000000005</v>
      </c>
      <c r="AH48" s="240">
        <f>IFERROR(_xlfn.XLOOKUP($D48,'Modelling New'!$D:$D,'Modelling New'!AF:AF),"")</f>
        <v>0.99750000000000005</v>
      </c>
      <c r="AI48" s="186"/>
      <c r="AJ48" s="186"/>
      <c r="AK48" s="227">
        <v>0.98299999999999998</v>
      </c>
      <c r="AL48" s="224">
        <f>IFERROR(Table13[[#This Row],[RA (%)]]*9270*58,"")</f>
        <v>528519.78</v>
      </c>
      <c r="AM48" s="225"/>
      <c r="AN48" s="238"/>
      <c r="AO48" s="240"/>
      <c r="AP48" s="240"/>
      <c r="AQ48" s="240"/>
      <c r="AR48" s="242">
        <f>IFERROR(_xlfn.XLOOKUP($D48,'Modelling New'!$D:$D,'Modelling New'!$N:$N),"")</f>
        <v>335.09100000000001</v>
      </c>
    </row>
    <row r="49" spans="1:44">
      <c r="A49" s="233">
        <f t="shared" si="3"/>
        <v>45792</v>
      </c>
      <c r="B49" s="228">
        <f>YEAR(Table13[[#This Row],[Date]])+IF(MONTH(Table13[[#This Row],[Date]])&gt;=4,1,0)</f>
        <v>2026</v>
      </c>
      <c r="C49" s="186">
        <f>YEAR(Table13[[#This Row],[Date]])</f>
        <v>2025</v>
      </c>
      <c r="D49" s="234">
        <f>Table13[[#This Row],[Date]]-DAY(Table13[[#This Row],[Date]])+1</f>
        <v>45778</v>
      </c>
      <c r="E49" s="186">
        <f t="shared" ref="E49:E98" si="4">DAY(EOMONTH(A49,0))</f>
        <v>31</v>
      </c>
      <c r="F49" s="235">
        <f>IFERROR(_xlfn.XLOOKUP($A49,'Raw_Data'!$B:$B,'Raw_Data'!$IX:$IX),"")</f>
        <v>13.016666666666666</v>
      </c>
      <c r="G49" s="236">
        <f>IFERROR(_xlfn.XLOOKUP($A49,'Raw_Data'!$B:$B,'Raw_Data'!IY:IY),"")</f>
        <v>7.7403532500000019</v>
      </c>
      <c r="H49" s="236">
        <f>IFERROR(_xlfn.XLOOKUP($A49,'Raw_Data'!$B:$B,'Raw_Data'!IZ:IZ),"")</f>
        <v>1.8814020000000007</v>
      </c>
      <c r="I49" s="236">
        <f>IFERROR(_xlfn.XLOOKUP($A49,'Raw_Data'!$B:$B,'Raw_Data'!JA:JA),"")</f>
        <v>7.531564222222225</v>
      </c>
      <c r="J49" s="236">
        <f>IFERROR(_xlfn.XLOOKUP($A49,'Raw_Data'!$B:$B,'Raw_Data'!JB:JB),"")</f>
        <v>0.58079116666666664</v>
      </c>
      <c r="K49" s="236">
        <f>IFERROR(_xlfn.XLOOKUP($A49,'Raw_Data'!$B:$B,'Raw_Data'!JE:JE),"")</f>
        <v>37.942043572984758</v>
      </c>
      <c r="L49" s="236">
        <f>IFERROR(_xlfn.XLOOKUP($A49,'Raw_Data'!$B:$B,'Raw_Data'!JF:JF),"")</f>
        <v>51.833333333333336</v>
      </c>
      <c r="M49" s="236">
        <f>IFERROR(_xlfn.XLOOKUP($A49,'Raw_Data'!$B:$B,'Raw_Data'!JG:JG),"")</f>
        <v>3.462626951777775</v>
      </c>
      <c r="N49" s="236">
        <f>IFERROR(_xlfn.XLOOKUP($A49,'Raw_Data'!$B:$B,'Raw_Data'!JH:JH),"")</f>
        <v>7.7441666666666658</v>
      </c>
      <c r="O49" s="237">
        <f>IFERROR(1-SUMIF(PA!$B:$B,$A49,PA!$AL:$AL)/($AA49+SUMIF(PA!$B:$B,$A49,PA!$AL:$AL)),"")</f>
        <v>0.99998146678755628</v>
      </c>
      <c r="P49" s="238"/>
      <c r="Q49" s="239"/>
      <c r="R49" s="240">
        <f>IFERROR(1-SUMIF(GA!$C:$C,$A49,GA!$X:$X)/($AA49+SUMIF(GA!$C:$C,$A49,GA!$X:$X)),"")</f>
        <v>1</v>
      </c>
      <c r="S49" s="186"/>
      <c r="T49" s="239"/>
      <c r="U49" s="237">
        <f t="shared" si="1"/>
        <v>0.80971863272603573</v>
      </c>
      <c r="V49" s="237">
        <f>IFERROR(_xlfn.XLOOKUP($A49,'Raw_Data'!$B:$B,'Raw_Data'!$JL:$JL),"")</f>
        <v>0.82474477771561527</v>
      </c>
      <c r="W49" s="240">
        <f t="shared" si="2"/>
        <v>0.25410199517942123</v>
      </c>
      <c r="X49" s="228">
        <f>IFERROR(_xlfn.XLOOKUP($A49,'Raw_Data'!$B:$B,'Raw_Data'!$JI:$JI),"")</f>
        <v>2061967.5999999999</v>
      </c>
      <c r="Y49" s="228">
        <f>IFERROR(_xlfn.XLOOKUP($A49,'Raw_Data'!$B:$B,'Raw_Data'!IT:IT),"")</f>
        <v>2048001.0000000184</v>
      </c>
      <c r="Z49" s="228">
        <f>IFERROR(_xlfn.XLOOKUP($A49,'Raw_Data'!$B:$B,'Raw_Data'!IU:IU),"")</f>
        <v>4466.0000000000082</v>
      </c>
      <c r="AA49" s="228">
        <f>IFERROR(_xlfn.XLOOKUP($A49,'Raw_Data'!$B:$B,'Raw_Data'!IW:IW),"")</f>
        <v>2043535.0000000184</v>
      </c>
      <c r="AB49" s="228">
        <f>IFERROR(_xlfn.XLOOKUP($A49,'Raw_Data'!$B:$B,'Raw_Data'!I:I)/1000,"")</f>
        <v>335.09089</v>
      </c>
      <c r="AC49" s="241">
        <f>IFERROR(_xlfn.XLOOKUP($D49,'Modelling New'!$D:$D,'Modelling New'!$P:$P),"")</f>
        <v>7.0290322580645164</v>
      </c>
      <c r="AD49" s="228">
        <f>IFERROR(_xlfn.XLOOKUP($D49,'Modelling New'!$D:$D,'Modelling New'!$T:$T)*1000,"")</f>
        <v>1925422.3808764045</v>
      </c>
      <c r="AE49" s="240">
        <f>IFERROR(_xlfn.XLOOKUP($D49,'Modelling New'!$D:$D,'Modelling New'!$O:$O),"")</f>
        <v>0.81746226777457909</v>
      </c>
      <c r="AF49" s="240">
        <f>IFERROR(_xlfn.XLOOKUP($D49,'Modelling New'!$D:$D,'Modelling New'!$W:$W),"")</f>
        <v>0.23941536041408709</v>
      </c>
      <c r="AG49" s="240">
        <f>IFERROR(_xlfn.XLOOKUP($D49,'Modelling New'!$D:$D,'Modelling New'!AE:AE),"")</f>
        <v>0.99750000000000005</v>
      </c>
      <c r="AH49" s="240">
        <f>IFERROR(_xlfn.XLOOKUP($D49,'Modelling New'!$D:$D,'Modelling New'!AF:AF),"")</f>
        <v>0.99750000000000005</v>
      </c>
      <c r="AI49" s="186"/>
      <c r="AJ49" s="186"/>
      <c r="AK49" s="227">
        <v>0.97699999999999998</v>
      </c>
      <c r="AL49" s="224">
        <f>IFERROR(Table13[[#This Row],[RA (%)]]*9270*58,"")</f>
        <v>525293.81999999995</v>
      </c>
      <c r="AM49" s="225"/>
      <c r="AN49" s="238"/>
      <c r="AO49" s="240"/>
      <c r="AP49" s="240"/>
      <c r="AQ49" s="240"/>
      <c r="AR49" s="242">
        <f>IFERROR(_xlfn.XLOOKUP($D49,'Modelling New'!$D:$D,'Modelling New'!$N:$N),"")</f>
        <v>335.09100000000001</v>
      </c>
    </row>
    <row r="50" spans="1:44">
      <c r="A50" s="233">
        <f t="shared" si="3"/>
        <v>45793</v>
      </c>
      <c r="B50" s="228">
        <f>YEAR(Table13[[#This Row],[Date]])+IF(MONTH(Table13[[#This Row],[Date]])&gt;=4,1,0)</f>
        <v>2026</v>
      </c>
      <c r="C50" s="186">
        <f>YEAR(Table13[[#This Row],[Date]])</f>
        <v>2025</v>
      </c>
      <c r="D50" s="234">
        <f>Table13[[#This Row],[Date]]-DAY(Table13[[#This Row],[Date]])+1</f>
        <v>45778</v>
      </c>
      <c r="E50" s="186">
        <f t="shared" si="4"/>
        <v>31</v>
      </c>
      <c r="F50" s="235">
        <f>IFERROR(_xlfn.XLOOKUP($A50,'Raw_Data'!$B:$B,'Raw_Data'!$IX:$IX),"")</f>
        <v>12.983333333333333</v>
      </c>
      <c r="G50" s="236">
        <f>IFERROR(_xlfn.XLOOKUP($A50,'Raw_Data'!$B:$B,'Raw_Data'!IY:IY),"")</f>
        <v>7.680135694444445</v>
      </c>
      <c r="H50" s="236">
        <f>IFERROR(_xlfn.XLOOKUP($A50,'Raw_Data'!$B:$B,'Raw_Data'!IZ:IZ),"")</f>
        <v>1.8775484166666658</v>
      </c>
      <c r="I50" s="236">
        <f>IFERROR(_xlfn.XLOOKUP($A50,'Raw_Data'!$B:$B,'Raw_Data'!JA:JA),"")</f>
        <v>7.4746215416666644</v>
      </c>
      <c r="J50" s="236">
        <f>IFERROR(_xlfn.XLOOKUP($A50,'Raw_Data'!$B:$B,'Raw_Data'!JB:JB),"")</f>
        <v>0.5875828888888891</v>
      </c>
      <c r="K50" s="236">
        <f>IFERROR(_xlfn.XLOOKUP($A50,'Raw_Data'!$B:$B,'Raw_Data'!JE:JE),"")</f>
        <v>38.525521512385922</v>
      </c>
      <c r="L50" s="236">
        <f>IFERROR(_xlfn.XLOOKUP($A50,'Raw_Data'!$B:$B,'Raw_Data'!JF:JF),"")</f>
        <v>50.866666666666667</v>
      </c>
      <c r="M50" s="236">
        <f>IFERROR(_xlfn.XLOOKUP($A50,'Raw_Data'!$B:$B,'Raw_Data'!JG:JG),"")</f>
        <v>5.6426044181725343</v>
      </c>
      <c r="N50" s="236">
        <f>IFERROR(_xlfn.XLOOKUP($A50,'Raw_Data'!$B:$B,'Raw_Data'!JH:JH),"")</f>
        <v>9.721387833333333</v>
      </c>
      <c r="O50" s="237">
        <f>IFERROR(1-SUMIF(PA!$B:$B,$A50,PA!$AL:$AL)/($AA50+SUMIF(PA!$B:$B,$A50,PA!$AL:$AL)),"")</f>
        <v>1</v>
      </c>
      <c r="P50" s="238"/>
      <c r="Q50" s="239"/>
      <c r="R50" s="240">
        <f>IFERROR(1-SUMIF(GA!$C:$C,$A50,GA!$X:$X)/($AA50+SUMIF(GA!$C:$C,$A50,GA!$X:$X)),"")</f>
        <v>1</v>
      </c>
      <c r="S50" s="186"/>
      <c r="T50" s="239"/>
      <c r="U50" s="237">
        <f t="shared" si="1"/>
        <v>0.81247915672427229</v>
      </c>
      <c r="V50" s="237">
        <f>IFERROR(_xlfn.XLOOKUP($A50,'Raw_Data'!$B:$B,'Raw_Data'!$JL:$JL),"")</f>
        <v>0.82171500395666575</v>
      </c>
      <c r="W50" s="240">
        <f t="shared" si="2"/>
        <v>0.25304059195860051</v>
      </c>
      <c r="X50" s="228">
        <f>IFERROR(_xlfn.XLOOKUP($A50,'Raw_Data'!$B:$B,'Raw_Data'!$JI:$JI),"")</f>
        <v>2054238.1999999995</v>
      </c>
      <c r="Y50" s="228">
        <f>IFERROR(_xlfn.XLOOKUP($A50,'Raw_Data'!$B:$B,'Raw_Data'!IT:IT),"")</f>
        <v>2039465.9999999858</v>
      </c>
      <c r="Z50" s="228">
        <f>IFERROR(_xlfn.XLOOKUP($A50,'Raw_Data'!$B:$B,'Raw_Data'!IU:IU),"")</f>
        <v>4466.9999999999845</v>
      </c>
      <c r="AA50" s="228">
        <f>IFERROR(_xlfn.XLOOKUP($A50,'Raw_Data'!$B:$B,'Raw_Data'!IW:IW),"")</f>
        <v>2034998.9999999858</v>
      </c>
      <c r="AB50" s="228">
        <f>IFERROR(_xlfn.XLOOKUP($A50,'Raw_Data'!$B:$B,'Raw_Data'!I:I)/1000,"")</f>
        <v>335.09089</v>
      </c>
      <c r="AC50" s="241">
        <f>IFERROR(_xlfn.XLOOKUP($D50,'Modelling New'!$D:$D,'Modelling New'!$P:$P),"")</f>
        <v>7.0290322580645164</v>
      </c>
      <c r="AD50" s="228">
        <f>IFERROR(_xlfn.XLOOKUP($D50,'Modelling New'!$D:$D,'Modelling New'!$T:$T)*1000,"")</f>
        <v>1925422.3808764045</v>
      </c>
      <c r="AE50" s="240">
        <f>IFERROR(_xlfn.XLOOKUP($D50,'Modelling New'!$D:$D,'Modelling New'!$O:$O),"")</f>
        <v>0.81746226777457909</v>
      </c>
      <c r="AF50" s="240">
        <f>IFERROR(_xlfn.XLOOKUP($D50,'Modelling New'!$D:$D,'Modelling New'!$W:$W),"")</f>
        <v>0.23941536041408709</v>
      </c>
      <c r="AG50" s="240">
        <f>IFERROR(_xlfn.XLOOKUP($D50,'Modelling New'!$D:$D,'Modelling New'!AE:AE),"")</f>
        <v>0.99750000000000005</v>
      </c>
      <c r="AH50" s="240">
        <f>IFERROR(_xlfn.XLOOKUP($D50,'Modelling New'!$D:$D,'Modelling New'!AF:AF),"")</f>
        <v>0.99750000000000005</v>
      </c>
      <c r="AI50" s="186"/>
      <c r="AJ50" s="186"/>
      <c r="AK50" s="227">
        <v>0.97299999999999998</v>
      </c>
      <c r="AL50" s="224">
        <f>IFERROR(Table13[[#This Row],[RA (%)]]*9270*58,"")</f>
        <v>523143.17999999993</v>
      </c>
      <c r="AM50" s="225"/>
      <c r="AN50" s="238"/>
      <c r="AO50" s="240"/>
      <c r="AP50" s="240"/>
      <c r="AQ50" s="240"/>
      <c r="AR50" s="242">
        <f>IFERROR(_xlfn.XLOOKUP($D50,'Modelling New'!$D:$D,'Modelling New'!$N:$N),"")</f>
        <v>335.09100000000001</v>
      </c>
    </row>
    <row r="51" spans="1:44">
      <c r="A51" s="233">
        <f t="shared" si="3"/>
        <v>45794</v>
      </c>
      <c r="B51" s="228">
        <f>YEAR(Table13[[#This Row],[Date]])+IF(MONTH(Table13[[#This Row],[Date]])&gt;=4,1,0)</f>
        <v>2026</v>
      </c>
      <c r="C51" s="186">
        <f>YEAR(Table13[[#This Row],[Date]])</f>
        <v>2025</v>
      </c>
      <c r="D51" s="234">
        <f>Table13[[#This Row],[Date]]-DAY(Table13[[#This Row],[Date]])+1</f>
        <v>45778</v>
      </c>
      <c r="E51" s="186">
        <f t="shared" si="4"/>
        <v>31</v>
      </c>
      <c r="F51" s="235">
        <f>IFERROR(_xlfn.XLOOKUP($A51,'Raw_Data'!$B:$B,'Raw_Data'!$IX:$IX),"")</f>
        <v>13.066666666666668</v>
      </c>
      <c r="G51" s="236">
        <f>IFERROR(_xlfn.XLOOKUP($A51,'Raw_Data'!$B:$B,'Raw_Data'!IY:IY),"")</f>
        <v>7.7788413055555559</v>
      </c>
      <c r="H51" s="236">
        <f>IFERROR(_xlfn.XLOOKUP($A51,'Raw_Data'!$B:$B,'Raw_Data'!IZ:IZ),"")</f>
        <v>1.908601472222222</v>
      </c>
      <c r="I51" s="236">
        <f>IFERROR(_xlfn.XLOOKUP($A51,'Raw_Data'!$B:$B,'Raw_Data'!JA:JA),"")</f>
        <v>7.5421244999999981</v>
      </c>
      <c r="J51" s="236">
        <f>IFERROR(_xlfn.XLOOKUP($A51,'Raw_Data'!$B:$B,'Raw_Data'!JB:JB),"")</f>
        <v>0.60484724999999984</v>
      </c>
      <c r="K51" s="236">
        <f>IFERROR(_xlfn.XLOOKUP($A51,'Raw_Data'!$B:$B,'Raw_Data'!JE:JE),"")</f>
        <v>36.546751302083329</v>
      </c>
      <c r="L51" s="236">
        <f>IFERROR(_xlfn.XLOOKUP($A51,'Raw_Data'!$B:$B,'Raw_Data'!JF:JF),"")</f>
        <v>49.353888888888918</v>
      </c>
      <c r="M51" s="236">
        <f>IFERROR(_xlfn.XLOOKUP($A51,'Raw_Data'!$B:$B,'Raw_Data'!JG:JG),"")</f>
        <v>5.5106074110828978</v>
      </c>
      <c r="N51" s="236">
        <f>IFERROR(_xlfn.XLOOKUP($A51,'Raw_Data'!$B:$B,'Raw_Data'!JH:JH),"")</f>
        <v>10.239722166666667</v>
      </c>
      <c r="O51" s="237">
        <f>IFERROR(1-SUMIF(PA!$B:$B,$A51,PA!$AL:$AL)/($AA51+SUMIF(PA!$B:$B,$A51,PA!$AL:$AL)),"")</f>
        <v>1</v>
      </c>
      <c r="P51" s="238"/>
      <c r="Q51" s="239"/>
      <c r="R51" s="240">
        <f>IFERROR(1-SUMIF(GA!$C:$C,$A51,GA!$X:$X)/($AA51+SUMIF(GA!$C:$C,$A51,GA!$X:$X)),"")</f>
        <v>1</v>
      </c>
      <c r="S51" s="186"/>
      <c r="T51" s="239"/>
      <c r="U51" s="237">
        <f t="shared" si="1"/>
        <v>0.81699940673490512</v>
      </c>
      <c r="V51" s="237">
        <f>IFERROR(_xlfn.XLOOKUP($A51,'Raw_Data'!$B:$B,'Raw_Data'!$JL:$JL),"")</f>
        <v>0.81919279974863157</v>
      </c>
      <c r="W51" s="240">
        <f t="shared" si="2"/>
        <v>0.25674630175086632</v>
      </c>
      <c r="X51" s="228">
        <f>IFERROR(_xlfn.XLOOKUP($A51,'Raw_Data'!$B:$B,'Raw_Data'!$JI:$JI),"")</f>
        <v>2083076.1000000008</v>
      </c>
      <c r="Y51" s="228">
        <f>IFERROR(_xlfn.XLOOKUP($A51,'Raw_Data'!$B:$B,'Raw_Data'!IT:IT),"")</f>
        <v>2069000.9999999893</v>
      </c>
      <c r="Z51" s="228">
        <f>IFERROR(_xlfn.XLOOKUP($A51,'Raw_Data'!$B:$B,'Raw_Data'!IU:IU),"")</f>
        <v>4199.9999999999891</v>
      </c>
      <c r="AA51" s="228">
        <f>IFERROR(_xlfn.XLOOKUP($A51,'Raw_Data'!$B:$B,'Raw_Data'!IW:IW),"")</f>
        <v>2064800.9999999893</v>
      </c>
      <c r="AB51" s="228">
        <f>IFERROR(_xlfn.XLOOKUP($A51,'Raw_Data'!$B:$B,'Raw_Data'!I:I)/1000,"")</f>
        <v>335.09089</v>
      </c>
      <c r="AC51" s="241">
        <f>IFERROR(_xlfn.XLOOKUP($D51,'Modelling New'!$D:$D,'Modelling New'!$P:$P),"")</f>
        <v>7.0290322580645164</v>
      </c>
      <c r="AD51" s="228">
        <f>IFERROR(_xlfn.XLOOKUP($D51,'Modelling New'!$D:$D,'Modelling New'!$T:$T)*1000,"")</f>
        <v>1925422.3808764045</v>
      </c>
      <c r="AE51" s="240">
        <f>IFERROR(_xlfn.XLOOKUP($D51,'Modelling New'!$D:$D,'Modelling New'!$O:$O),"")</f>
        <v>0.81746226777457909</v>
      </c>
      <c r="AF51" s="240">
        <f>IFERROR(_xlfn.XLOOKUP($D51,'Modelling New'!$D:$D,'Modelling New'!$W:$W),"")</f>
        <v>0.23941536041408709</v>
      </c>
      <c r="AG51" s="240">
        <f>IFERROR(_xlfn.XLOOKUP($D51,'Modelling New'!$D:$D,'Modelling New'!AE:AE),"")</f>
        <v>0.99750000000000005</v>
      </c>
      <c r="AH51" s="240">
        <f>IFERROR(_xlfn.XLOOKUP($D51,'Modelling New'!$D:$D,'Modelling New'!AF:AF),"")</f>
        <v>0.99750000000000005</v>
      </c>
      <c r="AI51" s="186"/>
      <c r="AJ51" s="186"/>
      <c r="AK51" s="227">
        <v>0.97299999999999998</v>
      </c>
      <c r="AL51" s="224">
        <f>IFERROR(Table13[[#This Row],[RA (%)]]*9270*58,"")</f>
        <v>523143.17999999993</v>
      </c>
      <c r="AM51" s="225"/>
      <c r="AN51" s="238"/>
      <c r="AO51" s="240"/>
      <c r="AP51" s="240"/>
      <c r="AQ51" s="240"/>
      <c r="AR51" s="242">
        <f>IFERROR(_xlfn.XLOOKUP($D51,'Modelling New'!$D:$D,'Modelling New'!$N:$N),"")</f>
        <v>335.09100000000001</v>
      </c>
    </row>
    <row r="52" spans="1:44">
      <c r="A52" s="233">
        <f t="shared" si="3"/>
        <v>45795</v>
      </c>
      <c r="B52" s="228">
        <f>YEAR(Table13[[#This Row],[Date]])+IF(MONTH(Table13[[#This Row],[Date]])&gt;=4,1,0)</f>
        <v>2026</v>
      </c>
      <c r="C52" s="186">
        <f>YEAR(Table13[[#This Row],[Date]])</f>
        <v>2025</v>
      </c>
      <c r="D52" s="234">
        <f>Table13[[#This Row],[Date]]-DAY(Table13[[#This Row],[Date]])+1</f>
        <v>45778</v>
      </c>
      <c r="E52" s="186">
        <f t="shared" si="4"/>
        <v>31</v>
      </c>
      <c r="F52" s="235">
        <f>IFERROR(_xlfn.XLOOKUP($A52,'Raw_Data'!$B:$B,'Raw_Data'!$IX:$IX),"")</f>
        <v>13.049999999999999</v>
      </c>
      <c r="G52" s="236">
        <f>IFERROR(_xlfn.XLOOKUP($A52,'Raw_Data'!$B:$B,'Raw_Data'!IY:IY),"")</f>
        <v>7.6474721111111101</v>
      </c>
      <c r="H52" s="236">
        <f>IFERROR(_xlfn.XLOOKUP($A52,'Raw_Data'!$B:$B,'Raw_Data'!IZ:IZ),"")</f>
        <v>1.8809792499999995</v>
      </c>
      <c r="I52" s="236">
        <f>IFERROR(_xlfn.XLOOKUP($A52,'Raw_Data'!$B:$B,'Raw_Data'!JA:JA),"")</f>
        <v>7.4242635833333308</v>
      </c>
      <c r="J52" s="236">
        <f>IFERROR(_xlfn.XLOOKUP($A52,'Raw_Data'!$B:$B,'Raw_Data'!JB:JB),"")</f>
        <v>0.60221177777777768</v>
      </c>
      <c r="K52" s="236">
        <f>IFERROR(_xlfn.XLOOKUP($A52,'Raw_Data'!$B:$B,'Raw_Data'!JE:JE),"")</f>
        <v>36.962698309492836</v>
      </c>
      <c r="L52" s="236">
        <f>IFERROR(_xlfn.XLOOKUP($A52,'Raw_Data'!$B:$B,'Raw_Data'!JF:JF),"")</f>
        <v>48.966666666666669</v>
      </c>
      <c r="M52" s="236">
        <f>IFERROR(_xlfn.XLOOKUP($A52,'Raw_Data'!$B:$B,'Raw_Data'!JG:JG),"")</f>
        <v>6.9162354542414377</v>
      </c>
      <c r="N52" s="236">
        <f>IFERROR(_xlfn.XLOOKUP($A52,'Raw_Data'!$B:$B,'Raw_Data'!JH:JH),"")</f>
        <v>11.354165</v>
      </c>
      <c r="O52" s="237">
        <f>IFERROR(1-SUMIF(PA!$B:$B,$A52,PA!$AL:$AL)/($AA52+SUMIF(PA!$B:$B,$A52,PA!$AL:$AL)),"")</f>
        <v>0.99937618498663539</v>
      </c>
      <c r="P52" s="238"/>
      <c r="Q52" s="239"/>
      <c r="R52" s="240">
        <f>IFERROR(1-SUMIF(GA!$C:$C,$A52,GA!$X:$X)/($AA52+SUMIF(GA!$C:$C,$A52,GA!$X:$X)),"")</f>
        <v>0.9795301128038566</v>
      </c>
      <c r="S52" s="186"/>
      <c r="T52" s="239"/>
      <c r="U52" s="237">
        <f t="shared" si="1"/>
        <v>0.80046501787134394</v>
      </c>
      <c r="V52" s="237">
        <f>IFERROR(_xlfn.XLOOKUP($A52,'Raw_Data'!$B:$B,'Raw_Data'!$JL:$JL),"")</f>
        <v>0.81735040448904117</v>
      </c>
      <c r="W52" s="240">
        <f t="shared" si="2"/>
        <v>0.24761930341310343</v>
      </c>
      <c r="X52" s="228">
        <f>IFERROR(_xlfn.XLOOKUP($A52,'Raw_Data'!$B:$B,'Raw_Data'!$JI:$JI),"")</f>
        <v>2008375.2</v>
      </c>
      <c r="Y52" s="228">
        <f>IFERROR(_xlfn.XLOOKUP($A52,'Raw_Data'!$B:$B,'Raw_Data'!IT:IT),"")</f>
        <v>1995600.0000000058</v>
      </c>
      <c r="Z52" s="228">
        <f>IFERROR(_xlfn.XLOOKUP($A52,'Raw_Data'!$B:$B,'Raw_Data'!IU:IU),"")</f>
        <v>4199.9999999999891</v>
      </c>
      <c r="AA52" s="228">
        <f>IFERROR(_xlfn.XLOOKUP($A52,'Raw_Data'!$B:$B,'Raw_Data'!IW:IW),"")</f>
        <v>1991400.0000000058</v>
      </c>
      <c r="AB52" s="228">
        <f>IFERROR(_xlfn.XLOOKUP($A52,'Raw_Data'!$B:$B,'Raw_Data'!I:I)/1000,"")</f>
        <v>335.09089</v>
      </c>
      <c r="AC52" s="241">
        <f>IFERROR(_xlfn.XLOOKUP($D52,'Modelling New'!$D:$D,'Modelling New'!$P:$P),"")</f>
        <v>7.0290322580645164</v>
      </c>
      <c r="AD52" s="228">
        <f>IFERROR(_xlfn.XLOOKUP($D52,'Modelling New'!$D:$D,'Modelling New'!$T:$T)*1000,"")</f>
        <v>1925422.3808764045</v>
      </c>
      <c r="AE52" s="240">
        <f>IFERROR(_xlfn.XLOOKUP($D52,'Modelling New'!$D:$D,'Modelling New'!$O:$O),"")</f>
        <v>0.81746226777457909</v>
      </c>
      <c r="AF52" s="240">
        <f>IFERROR(_xlfn.XLOOKUP($D52,'Modelling New'!$D:$D,'Modelling New'!$W:$W),"")</f>
        <v>0.23941536041408709</v>
      </c>
      <c r="AG52" s="240">
        <f>IFERROR(_xlfn.XLOOKUP($D52,'Modelling New'!$D:$D,'Modelling New'!AE:AE),"")</f>
        <v>0.99750000000000005</v>
      </c>
      <c r="AH52" s="240">
        <f>IFERROR(_xlfn.XLOOKUP($D52,'Modelling New'!$D:$D,'Modelling New'!AF:AF),"")</f>
        <v>0.99750000000000005</v>
      </c>
      <c r="AI52" s="186"/>
      <c r="AJ52" s="186"/>
      <c r="AK52" s="227">
        <v>0.97</v>
      </c>
      <c r="AL52" s="224">
        <f>IFERROR(Table13[[#This Row],[RA (%)]]*9270*58,"")</f>
        <v>521530.19999999995</v>
      </c>
      <c r="AM52" s="225"/>
      <c r="AN52" s="238"/>
      <c r="AO52" s="240"/>
      <c r="AP52" s="240"/>
      <c r="AQ52" s="240"/>
      <c r="AR52" s="242">
        <f>IFERROR(_xlfn.XLOOKUP($D52,'Modelling New'!$D:$D,'Modelling New'!$N:$N),"")</f>
        <v>335.09100000000001</v>
      </c>
    </row>
    <row r="53" spans="1:44">
      <c r="A53" s="233">
        <f t="shared" si="3"/>
        <v>45796</v>
      </c>
      <c r="B53" s="228">
        <f>YEAR(Table13[[#This Row],[Date]])+IF(MONTH(Table13[[#This Row],[Date]])&gt;=4,1,0)</f>
        <v>2026</v>
      </c>
      <c r="C53" s="186">
        <f>YEAR(Table13[[#This Row],[Date]])</f>
        <v>2025</v>
      </c>
      <c r="D53" s="234">
        <f>Table13[[#This Row],[Date]]-DAY(Table13[[#This Row],[Date]])+1</f>
        <v>45778</v>
      </c>
      <c r="E53" s="186">
        <f t="shared" si="4"/>
        <v>31</v>
      </c>
      <c r="F53" s="235">
        <f>IFERROR(_xlfn.XLOOKUP($A53,'Raw_Data'!$B:$B,'Raw_Data'!$IX:$IX),"")</f>
        <v>13.100000000000001</v>
      </c>
      <c r="G53" s="236">
        <f>IFERROR(_xlfn.XLOOKUP($A53,'Raw_Data'!$B:$B,'Raw_Data'!IY:IY),"")</f>
        <v>7.7156353305555534</v>
      </c>
      <c r="H53" s="236">
        <f>IFERROR(_xlfn.XLOOKUP($A53,'Raw_Data'!$B:$B,'Raw_Data'!IZ:IZ),"")</f>
        <v>1.9198126944444445</v>
      </c>
      <c r="I53" s="236">
        <f>IFERROR(_xlfn.XLOOKUP($A53,'Raw_Data'!$B:$B,'Raw_Data'!JA:JA),"")</f>
        <v>7.4860484166666641</v>
      </c>
      <c r="J53" s="236">
        <f>IFERROR(_xlfn.XLOOKUP($A53,'Raw_Data'!$B:$B,'Raw_Data'!JB:JB),"")</f>
        <v>0.61424972222222218</v>
      </c>
      <c r="K53" s="236">
        <f>IFERROR(_xlfn.XLOOKUP($A53,'Raw_Data'!$B:$B,'Raw_Data'!JE:JE),"")</f>
        <v>38.383281452658899</v>
      </c>
      <c r="L53" s="236">
        <f>IFERROR(_xlfn.XLOOKUP($A53,'Raw_Data'!$B:$B,'Raw_Data'!JF:JF),"")</f>
        <v>49.93333333333333</v>
      </c>
      <c r="M53" s="236">
        <f>IFERROR(_xlfn.XLOOKUP($A53,'Raw_Data'!$B:$B,'Raw_Data'!JG:JG),"")</f>
        <v>7.101264685689582</v>
      </c>
      <c r="N53" s="236">
        <f>IFERROR(_xlfn.XLOOKUP($A53,'Raw_Data'!$B:$B,'Raw_Data'!JH:JH),"")</f>
        <v>11.17</v>
      </c>
      <c r="O53" s="237">
        <f>IFERROR(1-SUMIF(PA!$B:$B,$A53,PA!$AL:$AL)/($AA53+SUMIF(PA!$B:$B,$A53,PA!$AL:$AL)),"")</f>
        <v>0.99926176845090764</v>
      </c>
      <c r="P53" s="238"/>
      <c r="Q53" s="239"/>
      <c r="R53" s="240">
        <f>IFERROR(1-SUMIF(GA!$C:$C,$A53,GA!$X:$X)/($AA53+SUMIF(GA!$C:$C,$A53,GA!$X:$X)),"")</f>
        <v>0.95738212049511762</v>
      </c>
      <c r="S53" s="186"/>
      <c r="T53" s="239"/>
      <c r="U53" s="237">
        <f t="shared" si="1"/>
        <v>0.7813941314020828</v>
      </c>
      <c r="V53" s="237">
        <f>IFERROR(_xlfn.XLOOKUP($A53,'Raw_Data'!$B:$B,'Raw_Data'!$JL:$JL),"")</f>
        <v>0.82088215131824049</v>
      </c>
      <c r="W53" s="240">
        <f t="shared" si="2"/>
        <v>0.24373142917396609</v>
      </c>
      <c r="X53" s="228">
        <f>IFERROR(_xlfn.XLOOKUP($A53,'Raw_Data'!$B:$B,'Raw_Data'!$JI:$JI),"")</f>
        <v>1976817.1000000008</v>
      </c>
      <c r="Y53" s="228">
        <f>IFERROR(_xlfn.XLOOKUP($A53,'Raw_Data'!$B:$B,'Raw_Data'!IT:IT),"")</f>
        <v>1964266.0000000033</v>
      </c>
      <c r="Z53" s="228">
        <f>IFERROR(_xlfn.XLOOKUP($A53,'Raw_Data'!$B:$B,'Raw_Data'!IU:IU),"")</f>
        <v>4133.0000000000382</v>
      </c>
      <c r="AA53" s="228">
        <f>IFERROR(_xlfn.XLOOKUP($A53,'Raw_Data'!$B:$B,'Raw_Data'!IW:IW),"")</f>
        <v>1960133.0000000033</v>
      </c>
      <c r="AB53" s="228">
        <f>IFERROR(_xlfn.XLOOKUP($A53,'Raw_Data'!$B:$B,'Raw_Data'!I:I)/1000,"")</f>
        <v>335.09089</v>
      </c>
      <c r="AC53" s="241">
        <f>IFERROR(_xlfn.XLOOKUP($D53,'Modelling New'!$D:$D,'Modelling New'!$P:$P),"")</f>
        <v>7.0290322580645164</v>
      </c>
      <c r="AD53" s="228">
        <f>IFERROR(_xlfn.XLOOKUP($D53,'Modelling New'!$D:$D,'Modelling New'!$T:$T)*1000,"")</f>
        <v>1925422.3808764045</v>
      </c>
      <c r="AE53" s="240">
        <f>IFERROR(_xlfn.XLOOKUP($D53,'Modelling New'!$D:$D,'Modelling New'!$O:$O),"")</f>
        <v>0.81746226777457909</v>
      </c>
      <c r="AF53" s="240">
        <f>IFERROR(_xlfn.XLOOKUP($D53,'Modelling New'!$D:$D,'Modelling New'!$W:$W),"")</f>
        <v>0.23941536041408709</v>
      </c>
      <c r="AG53" s="240">
        <f>IFERROR(_xlfn.XLOOKUP($D53,'Modelling New'!$D:$D,'Modelling New'!AE:AE),"")</f>
        <v>0.99750000000000005</v>
      </c>
      <c r="AH53" s="240">
        <f>IFERROR(_xlfn.XLOOKUP($D53,'Modelling New'!$D:$D,'Modelling New'!AF:AF),"")</f>
        <v>0.99750000000000005</v>
      </c>
      <c r="AI53" s="186"/>
      <c r="AJ53" s="186"/>
      <c r="AK53" s="227">
        <v>0.96499999999999997</v>
      </c>
      <c r="AL53" s="224">
        <f>IFERROR(Table13[[#This Row],[RA (%)]]*9270*58,"")</f>
        <v>518841.89999999997</v>
      </c>
      <c r="AM53" s="225"/>
      <c r="AN53" s="238"/>
      <c r="AO53" s="240"/>
      <c r="AP53" s="240"/>
      <c r="AQ53" s="240"/>
      <c r="AR53" s="242">
        <f>IFERROR(_xlfn.XLOOKUP($D53,'Modelling New'!$D:$D,'Modelling New'!$N:$N),"")</f>
        <v>335.09100000000001</v>
      </c>
    </row>
    <row r="54" spans="1:44">
      <c r="A54" s="233">
        <f t="shared" si="3"/>
        <v>45797</v>
      </c>
      <c r="B54" s="228">
        <f>YEAR(Table13[[#This Row],[Date]])+IF(MONTH(Table13[[#This Row],[Date]])&gt;=4,1,0)</f>
        <v>2026</v>
      </c>
      <c r="C54" s="186">
        <f>YEAR(Table13[[#This Row],[Date]])</f>
        <v>2025</v>
      </c>
      <c r="D54" s="234">
        <f>Table13[[#This Row],[Date]]-DAY(Table13[[#This Row],[Date]])+1</f>
        <v>45778</v>
      </c>
      <c r="E54" s="186">
        <f t="shared" si="4"/>
        <v>31</v>
      </c>
      <c r="F54" s="235">
        <f>IFERROR(_xlfn.XLOOKUP($A54,'Raw_Data'!$B:$B,'Raw_Data'!$IX:$IX),"")</f>
        <v>13.100000000000001</v>
      </c>
      <c r="G54" s="236">
        <f>IFERROR(_xlfn.XLOOKUP($A54,'Raw_Data'!$B:$B,'Raw_Data'!IY:IY),"")</f>
        <v>7.6206423611111092</v>
      </c>
      <c r="H54" s="236">
        <f>IFERROR(_xlfn.XLOOKUP($A54,'Raw_Data'!$B:$B,'Raw_Data'!IZ:IZ),"")</f>
        <v>1.9094548333333334</v>
      </c>
      <c r="I54" s="236">
        <f>IFERROR(_xlfn.XLOOKUP($A54,'Raw_Data'!$B:$B,'Raw_Data'!JA:JA),"")</f>
        <v>7.4144256250000025</v>
      </c>
      <c r="J54" s="236">
        <f>IFERROR(_xlfn.XLOOKUP($A54,'Raw_Data'!$B:$B,'Raw_Data'!JB:JB),"")</f>
        <v>0.61975399999999992</v>
      </c>
      <c r="K54" s="236">
        <f>IFERROR(_xlfn.XLOOKUP($A54,'Raw_Data'!$B:$B,'Raw_Data'!JE:JE),"")</f>
        <v>38.428547341115433</v>
      </c>
      <c r="L54" s="236">
        <f>IFERROR(_xlfn.XLOOKUP($A54,'Raw_Data'!$B:$B,'Raw_Data'!JF:JF),"")</f>
        <v>50.266666666666673</v>
      </c>
      <c r="M54" s="236">
        <f>IFERROR(_xlfn.XLOOKUP($A54,'Raw_Data'!$B:$B,'Raw_Data'!JG:JG),"")</f>
        <v>5.3514902583268471</v>
      </c>
      <c r="N54" s="236">
        <f>IFERROR(_xlfn.XLOOKUP($A54,'Raw_Data'!$B:$B,'Raw_Data'!JH:JH),"")</f>
        <v>9.1191665000000004</v>
      </c>
      <c r="O54" s="237">
        <f>IFERROR(1-SUMIF(PA!$B:$B,$A54,PA!$AL:$AL)/($AA54+SUMIF(PA!$B:$B,$A54,PA!$AL:$AL)),"")</f>
        <v>0.9986785664989376</v>
      </c>
      <c r="P54" s="238"/>
      <c r="Q54" s="239"/>
      <c r="R54" s="240">
        <f>IFERROR(1-SUMIF(GA!$C:$C,$A54,GA!$X:$X)/($AA54+SUMIF(GA!$C:$C,$A54,GA!$X:$X)),"")</f>
        <v>1</v>
      </c>
      <c r="S54" s="186"/>
      <c r="T54" s="239"/>
      <c r="U54" s="237">
        <f t="shared" si="1"/>
        <v>0.81612438907349805</v>
      </c>
      <c r="V54" s="237">
        <f>IFERROR(_xlfn.XLOOKUP($A54,'Raw_Data'!$B:$B,'Raw_Data'!$JL:$JL),"")</f>
        <v>0.82652249376077513</v>
      </c>
      <c r="W54" s="240">
        <f t="shared" si="2"/>
        <v>0.2521288993139173</v>
      </c>
      <c r="X54" s="228">
        <f>IFERROR(_xlfn.XLOOKUP($A54,'Raw_Data'!$B:$B,'Raw_Data'!$JI:$JI),"")</f>
        <v>2045266.7</v>
      </c>
      <c r="Y54" s="228">
        <f>IFERROR(_xlfn.XLOOKUP($A54,'Raw_Data'!$B:$B,'Raw_Data'!IT:IT),"")</f>
        <v>2031733.9999999967</v>
      </c>
      <c r="Z54" s="228">
        <f>IFERROR(_xlfn.XLOOKUP($A54,'Raw_Data'!$B:$B,'Raw_Data'!IU:IU),"")</f>
        <v>4066.9999999999504</v>
      </c>
      <c r="AA54" s="228">
        <f>IFERROR(_xlfn.XLOOKUP($A54,'Raw_Data'!$B:$B,'Raw_Data'!IW:IW),"")</f>
        <v>2027666.9999999967</v>
      </c>
      <c r="AB54" s="228">
        <f>IFERROR(_xlfn.XLOOKUP($A54,'Raw_Data'!$B:$B,'Raw_Data'!I:I)/1000,"")</f>
        <v>335.09089</v>
      </c>
      <c r="AC54" s="241">
        <f>IFERROR(_xlfn.XLOOKUP($D54,'Modelling New'!$D:$D,'Modelling New'!$P:$P),"")</f>
        <v>7.0290322580645164</v>
      </c>
      <c r="AD54" s="228">
        <f>IFERROR(_xlfn.XLOOKUP($D54,'Modelling New'!$D:$D,'Modelling New'!$T:$T)*1000,"")</f>
        <v>1925422.3808764045</v>
      </c>
      <c r="AE54" s="240">
        <f>IFERROR(_xlfn.XLOOKUP($D54,'Modelling New'!$D:$D,'Modelling New'!$O:$O),"")</f>
        <v>0.81746226777457909</v>
      </c>
      <c r="AF54" s="240">
        <f>IFERROR(_xlfn.XLOOKUP($D54,'Modelling New'!$D:$D,'Modelling New'!$W:$W),"")</f>
        <v>0.23941536041408709</v>
      </c>
      <c r="AG54" s="240">
        <f>IFERROR(_xlfn.XLOOKUP($D54,'Modelling New'!$D:$D,'Modelling New'!AE:AE),"")</f>
        <v>0.99750000000000005</v>
      </c>
      <c r="AH54" s="240">
        <f>IFERROR(_xlfn.XLOOKUP($D54,'Modelling New'!$D:$D,'Modelling New'!AF:AF),"")</f>
        <v>0.99750000000000005</v>
      </c>
      <c r="AI54" s="186"/>
      <c r="AJ54" s="186"/>
      <c r="AK54" s="227">
        <v>0.98299999999999998</v>
      </c>
      <c r="AL54" s="224">
        <f>IFERROR(Table13[[#This Row],[RA (%)]]*9270*58,"")</f>
        <v>528519.78</v>
      </c>
      <c r="AM54" s="225"/>
      <c r="AN54" s="238"/>
      <c r="AO54" s="240"/>
      <c r="AP54" s="240"/>
      <c r="AQ54" s="240"/>
      <c r="AR54" s="242">
        <f>IFERROR(_xlfn.XLOOKUP($D54,'Modelling New'!$D:$D,'Modelling New'!$N:$N),"")</f>
        <v>335.09100000000001</v>
      </c>
    </row>
    <row r="55" spans="1:44">
      <c r="A55" s="233">
        <f t="shared" si="3"/>
        <v>45798</v>
      </c>
      <c r="B55" s="228">
        <f>YEAR(Table13[[#This Row],[Date]])+IF(MONTH(Table13[[#This Row],[Date]])&gt;=4,1,0)</f>
        <v>2026</v>
      </c>
      <c r="C55" s="186">
        <f>YEAR(Table13[[#This Row],[Date]])</f>
        <v>2025</v>
      </c>
      <c r="D55" s="234">
        <f>Table13[[#This Row],[Date]]-DAY(Table13[[#This Row],[Date]])+1</f>
        <v>45778</v>
      </c>
      <c r="E55" s="186">
        <f t="shared" si="4"/>
        <v>31</v>
      </c>
      <c r="F55" s="235">
        <f>IFERROR(_xlfn.XLOOKUP($A55,'Raw_Data'!$B:$B,'Raw_Data'!$IX:$IX),"")</f>
        <v>13.100000000000001</v>
      </c>
      <c r="G55" s="236">
        <f>IFERROR(_xlfn.XLOOKUP($A55,'Raw_Data'!$B:$B,'Raw_Data'!IY:IY),"")</f>
        <v>7.8859950000000012</v>
      </c>
      <c r="H55" s="236">
        <f>IFERROR(_xlfn.XLOOKUP($A55,'Raw_Data'!$B:$B,'Raw_Data'!IZ:IZ),"")</f>
        <v>1.9615816666666672</v>
      </c>
      <c r="I55" s="236">
        <f>IFERROR(_xlfn.XLOOKUP($A55,'Raw_Data'!$B:$B,'Raw_Data'!JA:JA),"")</f>
        <v>7.6852573749999991</v>
      </c>
      <c r="J55" s="236">
        <f>IFERROR(_xlfn.XLOOKUP($A55,'Raw_Data'!$B:$B,'Raw_Data'!JB:JB),"")</f>
        <v>0.62505999999999995</v>
      </c>
      <c r="K55" s="236">
        <f>IFERROR(_xlfn.XLOOKUP($A55,'Raw_Data'!$B:$B,'Raw_Data'!JE:JE),"")</f>
        <v>38.384680069174244</v>
      </c>
      <c r="L55" s="236">
        <f>IFERROR(_xlfn.XLOOKUP($A55,'Raw_Data'!$B:$B,'Raw_Data'!JF:JF),"")</f>
        <v>50.79929088494729</v>
      </c>
      <c r="M55" s="236">
        <f>IFERROR(_xlfn.XLOOKUP($A55,'Raw_Data'!$B:$B,'Raw_Data'!JG:JG),"")</f>
        <v>5.8697850328923442</v>
      </c>
      <c r="N55" s="236">
        <f>IFERROR(_xlfn.XLOOKUP($A55,'Raw_Data'!$B:$B,'Raw_Data'!JH:JH),"")</f>
        <v>9.788334166666667</v>
      </c>
      <c r="O55" s="237">
        <f>IFERROR(1-SUMIF(PA!$B:$B,$A55,PA!$AL:$AL)/($AA55+SUMIF(PA!$B:$B,$A55,PA!$AL:$AL)),"")</f>
        <v>0.99865624177519641</v>
      </c>
      <c r="P55" s="238"/>
      <c r="Q55" s="239"/>
      <c r="R55" s="240">
        <f>IFERROR(1-SUMIF(GA!$C:$C,$A55,GA!$X:$X)/($AA55+SUMIF(GA!$C:$C,$A55,GA!$X:$X)),"")</f>
        <v>1</v>
      </c>
      <c r="S55" s="186"/>
      <c r="T55" s="239"/>
      <c r="U55" s="237">
        <f t="shared" si="1"/>
        <v>0.80007437568247342</v>
      </c>
      <c r="V55" s="237">
        <f>IFERROR(_xlfn.XLOOKUP($A55,'Raw_Data'!$B:$B,'Raw_Data'!$JL:$JL),"")</f>
        <v>0.80869097831769798</v>
      </c>
      <c r="W55" s="240">
        <f t="shared" si="2"/>
        <v>0.25619906234426038</v>
      </c>
      <c r="X55" s="228">
        <f>IFERROR(_xlfn.XLOOKUP($A55,'Raw_Data'!$B:$B,'Raw_Data'!$JI:$JI),"")</f>
        <v>2078809.9999999993</v>
      </c>
      <c r="Y55" s="228">
        <f>IFERROR(_xlfn.XLOOKUP($A55,'Raw_Data'!$B:$B,'Raw_Data'!IT:IT),"")</f>
        <v>2064333.0000000133</v>
      </c>
      <c r="Z55" s="228">
        <f>IFERROR(_xlfn.XLOOKUP($A55,'Raw_Data'!$B:$B,'Raw_Data'!IU:IU),"")</f>
        <v>3933.0000000000496</v>
      </c>
      <c r="AA55" s="228">
        <f>IFERROR(_xlfn.XLOOKUP($A55,'Raw_Data'!$B:$B,'Raw_Data'!IW:IW),"")</f>
        <v>2060400.0000000133</v>
      </c>
      <c r="AB55" s="228">
        <f>IFERROR(_xlfn.XLOOKUP($A55,'Raw_Data'!$B:$B,'Raw_Data'!I:I)/1000,"")</f>
        <v>335.09089</v>
      </c>
      <c r="AC55" s="241">
        <f>IFERROR(_xlfn.XLOOKUP($D55,'Modelling New'!$D:$D,'Modelling New'!$P:$P),"")</f>
        <v>7.0290322580645164</v>
      </c>
      <c r="AD55" s="228">
        <f>IFERROR(_xlfn.XLOOKUP($D55,'Modelling New'!$D:$D,'Modelling New'!$T:$T)*1000,"")</f>
        <v>1925422.3808764045</v>
      </c>
      <c r="AE55" s="240">
        <f>IFERROR(_xlfn.XLOOKUP($D55,'Modelling New'!$D:$D,'Modelling New'!$O:$O),"")</f>
        <v>0.81746226777457909</v>
      </c>
      <c r="AF55" s="240">
        <f>IFERROR(_xlfn.XLOOKUP($D55,'Modelling New'!$D:$D,'Modelling New'!$W:$W),"")</f>
        <v>0.23941536041408709</v>
      </c>
      <c r="AG55" s="240">
        <f>IFERROR(_xlfn.XLOOKUP($D55,'Modelling New'!$D:$D,'Modelling New'!AE:AE),"")</f>
        <v>0.99750000000000005</v>
      </c>
      <c r="AH55" s="240">
        <f>IFERROR(_xlfn.XLOOKUP($D55,'Modelling New'!$D:$D,'Modelling New'!AF:AF),"")</f>
        <v>0.99750000000000005</v>
      </c>
      <c r="AI55" s="186"/>
      <c r="AJ55" s="186"/>
      <c r="AK55" s="227">
        <v>0.96299999999999997</v>
      </c>
      <c r="AL55" s="224">
        <f>IFERROR(Table13[[#This Row],[RA (%)]]*9270*58,"")</f>
        <v>517766.58</v>
      </c>
      <c r="AM55" s="225"/>
      <c r="AN55" s="238"/>
      <c r="AO55" s="240"/>
      <c r="AP55" s="240"/>
      <c r="AQ55" s="240"/>
      <c r="AR55" s="242">
        <f>IFERROR(_xlfn.XLOOKUP($D55,'Modelling New'!$D:$D,'Modelling New'!$N:$N),"")</f>
        <v>335.09100000000001</v>
      </c>
    </row>
    <row r="56" spans="1:44">
      <c r="A56" s="233">
        <f t="shared" si="3"/>
        <v>45799</v>
      </c>
      <c r="B56" s="228">
        <f>YEAR(Table13[[#This Row],[Date]])+IF(MONTH(Table13[[#This Row],[Date]])&gt;=4,1,0)</f>
        <v>2026</v>
      </c>
      <c r="C56" s="186">
        <f>YEAR(Table13[[#This Row],[Date]])</f>
        <v>2025</v>
      </c>
      <c r="D56" s="234">
        <f>Table13[[#This Row],[Date]]-DAY(Table13[[#This Row],[Date]])+1</f>
        <v>45778</v>
      </c>
      <c r="E56" s="186">
        <f t="shared" si="4"/>
        <v>31</v>
      </c>
      <c r="F56" s="235">
        <f>IFERROR(_xlfn.XLOOKUP($A56,'Raw_Data'!$B:$B,'Raw_Data'!$IX:$IX),"")</f>
        <v>13.100000000000001</v>
      </c>
      <c r="G56" s="236">
        <f>IFERROR(_xlfn.XLOOKUP($A56,'Raw_Data'!$B:$B,'Raw_Data'!IY:IY),"")</f>
        <v>7.7806001388888868</v>
      </c>
      <c r="H56" s="236">
        <f>IFERROR(_xlfn.XLOOKUP($A56,'Raw_Data'!$B:$B,'Raw_Data'!IZ:IZ),"")</f>
        <v>1.9501594166666674</v>
      </c>
      <c r="I56" s="236">
        <f>IFERROR(_xlfn.XLOOKUP($A56,'Raw_Data'!$B:$B,'Raw_Data'!JA:JA),"")</f>
        <v>7.5802104583333323</v>
      </c>
      <c r="J56" s="236">
        <f>IFERROR(_xlfn.XLOOKUP($A56,'Raw_Data'!$B:$B,'Raw_Data'!JB:JB),"")</f>
        <v>0.62713269444444453</v>
      </c>
      <c r="K56" s="236">
        <f>IFERROR(_xlfn.XLOOKUP($A56,'Raw_Data'!$B:$B,'Raw_Data'!JE:JE),"")</f>
        <v>39.072280587980956</v>
      </c>
      <c r="L56" s="236">
        <f>IFERROR(_xlfn.XLOOKUP($A56,'Raw_Data'!$B:$B,'Raw_Data'!JF:JF),"")</f>
        <v>51.476065715520996</v>
      </c>
      <c r="M56" s="236">
        <f>IFERROR(_xlfn.XLOOKUP($A56,'Raw_Data'!$B:$B,'Raw_Data'!JG:JG),"")</f>
        <v>5.390560369172074</v>
      </c>
      <c r="N56" s="236">
        <f>IFERROR(_xlfn.XLOOKUP($A56,'Raw_Data'!$B:$B,'Raw_Data'!JH:JH),"")</f>
        <v>9.2802773333333324</v>
      </c>
      <c r="O56" s="237">
        <f>IFERROR(1-SUMIF(PA!$B:$B,$A56,PA!$AL:$AL)/($AA56+SUMIF(PA!$B:$B,$A56,PA!$AL:$AL)),"")</f>
        <v>0.99032463402708415</v>
      </c>
      <c r="P56" s="238"/>
      <c r="Q56" s="239"/>
      <c r="R56" s="240">
        <f>IFERROR(1-SUMIF(GA!$C:$C,$A56,GA!$X:$X)/($AA56+SUMIF(GA!$C:$C,$A56,GA!$X:$X)),"")</f>
        <v>1</v>
      </c>
      <c r="S56" s="186"/>
      <c r="T56" s="239"/>
      <c r="U56" s="237">
        <f t="shared" si="1"/>
        <v>0.79688423060416835</v>
      </c>
      <c r="V56" s="237">
        <f>IFERROR(_xlfn.XLOOKUP($A56,'Raw_Data'!$B:$B,'Raw_Data'!$JL:$JL),"")</f>
        <v>0.80812530625656054</v>
      </c>
      <c r="W56" s="240">
        <f t="shared" si="2"/>
        <v>0.2516895907877762</v>
      </c>
      <c r="X56" s="228">
        <f>IFERROR(_xlfn.XLOOKUP($A56,'Raw_Data'!$B:$B,'Raw_Data'!$JI:$JI),"")</f>
        <v>2042430.2999999998</v>
      </c>
      <c r="Y56" s="228">
        <f>IFERROR(_xlfn.XLOOKUP($A56,'Raw_Data'!$B:$B,'Raw_Data'!IT:IT),"")</f>
        <v>2028201.0000000009</v>
      </c>
      <c r="Z56" s="228">
        <f>IFERROR(_xlfn.XLOOKUP($A56,'Raw_Data'!$B:$B,'Raw_Data'!IU:IU),"")</f>
        <v>4066.9999999999504</v>
      </c>
      <c r="AA56" s="228">
        <f>IFERROR(_xlfn.XLOOKUP($A56,'Raw_Data'!$B:$B,'Raw_Data'!IW:IW),"")</f>
        <v>2024134.0000000009</v>
      </c>
      <c r="AB56" s="228">
        <f>IFERROR(_xlfn.XLOOKUP($A56,'Raw_Data'!$B:$B,'Raw_Data'!I:I)/1000,"")</f>
        <v>335.09089</v>
      </c>
      <c r="AC56" s="241">
        <f>IFERROR(_xlfn.XLOOKUP($D56,'Modelling New'!$D:$D,'Modelling New'!$P:$P),"")</f>
        <v>7.0290322580645164</v>
      </c>
      <c r="AD56" s="228">
        <f>IFERROR(_xlfn.XLOOKUP($D56,'Modelling New'!$D:$D,'Modelling New'!$T:$T)*1000,"")</f>
        <v>1925422.3808764045</v>
      </c>
      <c r="AE56" s="240">
        <f>IFERROR(_xlfn.XLOOKUP($D56,'Modelling New'!$D:$D,'Modelling New'!$O:$O),"")</f>
        <v>0.81746226777457909</v>
      </c>
      <c r="AF56" s="240">
        <f>IFERROR(_xlfn.XLOOKUP($D56,'Modelling New'!$D:$D,'Modelling New'!$W:$W),"")</f>
        <v>0.23941536041408709</v>
      </c>
      <c r="AG56" s="240">
        <f>IFERROR(_xlfn.XLOOKUP($D56,'Modelling New'!$D:$D,'Modelling New'!AE:AE),"")</f>
        <v>0.99750000000000005</v>
      </c>
      <c r="AH56" s="240">
        <f>IFERROR(_xlfn.XLOOKUP($D56,'Modelling New'!$D:$D,'Modelling New'!AF:AF),"")</f>
        <v>0.99750000000000005</v>
      </c>
      <c r="AI56" s="186"/>
      <c r="AJ56" s="186"/>
      <c r="AK56" s="227">
        <v>0.97199999999999998</v>
      </c>
      <c r="AL56" s="224">
        <f>IFERROR(Table13[[#This Row],[RA (%)]]*9270*58,"")</f>
        <v>522605.52</v>
      </c>
      <c r="AM56" s="225"/>
      <c r="AN56" s="238"/>
      <c r="AO56" s="240"/>
      <c r="AP56" s="240"/>
      <c r="AQ56" s="240"/>
      <c r="AR56" s="242">
        <f>IFERROR(_xlfn.XLOOKUP($D56,'Modelling New'!$D:$D,'Modelling New'!$N:$N),"")</f>
        <v>335.09100000000001</v>
      </c>
    </row>
    <row r="57" spans="1:44">
      <c r="A57" s="233">
        <f t="shared" si="3"/>
        <v>45800</v>
      </c>
      <c r="B57" s="228">
        <f>YEAR(Table13[[#This Row],[Date]])+IF(MONTH(Table13[[#This Row],[Date]])&gt;=4,1,0)</f>
        <v>2026</v>
      </c>
      <c r="C57" s="186">
        <f>YEAR(Table13[[#This Row],[Date]])</f>
        <v>2025</v>
      </c>
      <c r="D57" s="234">
        <f>Table13[[#This Row],[Date]]-DAY(Table13[[#This Row],[Date]])+1</f>
        <v>45778</v>
      </c>
      <c r="E57" s="186">
        <f t="shared" si="4"/>
        <v>31</v>
      </c>
      <c r="F57" s="235">
        <f>IFERROR(_xlfn.XLOOKUP($A57,'Raw_Data'!$B:$B,'Raw_Data'!$IX:$IX),"")</f>
        <v>13.133333333333335</v>
      </c>
      <c r="G57" s="236">
        <f>IFERROR(_xlfn.XLOOKUP($A57,'Raw_Data'!$B:$B,'Raw_Data'!IY:IY),"")</f>
        <v>7.8035359</v>
      </c>
      <c r="H57" s="236">
        <f>IFERROR(_xlfn.XLOOKUP($A57,'Raw_Data'!$B:$B,'Raw_Data'!IZ:IZ),"")</f>
        <v>2.0035391000000002</v>
      </c>
      <c r="I57" s="236">
        <f>IFERROR(_xlfn.XLOOKUP($A57,'Raw_Data'!$B:$B,'Raw_Data'!JA:JA),"")</f>
        <v>7.5878362222222231</v>
      </c>
      <c r="J57" s="236">
        <f>IFERROR(_xlfn.XLOOKUP($A57,'Raw_Data'!$B:$B,'Raw_Data'!JB:JB),"")</f>
        <v>0.63624810000000009</v>
      </c>
      <c r="K57" s="236">
        <f>IFERROR(_xlfn.XLOOKUP($A57,'Raw_Data'!$B:$B,'Raw_Data'!JE:JE),"")</f>
        <v>40.681143596377737</v>
      </c>
      <c r="L57" s="236">
        <f>IFERROR(_xlfn.XLOOKUP($A57,'Raw_Data'!$B:$B,'Raw_Data'!JF:JF),"")</f>
        <v>51.3</v>
      </c>
      <c r="M57" s="236">
        <f>IFERROR(_xlfn.XLOOKUP($A57,'Raw_Data'!$B:$B,'Raw_Data'!JG:JG),"")</f>
        <v>5.8927341259586061</v>
      </c>
      <c r="N57" s="236">
        <f>IFERROR(_xlfn.XLOOKUP($A57,'Raw_Data'!$B:$B,'Raw_Data'!JH:JH),"")</f>
        <v>10.844666</v>
      </c>
      <c r="O57" s="237">
        <f>IFERROR(1-SUMIF(PA!$B:$B,$A57,PA!$AL:$AL)/($AA57+SUMIF(PA!$B:$B,$A57,PA!$AL:$AL)),"")</f>
        <v>0.99863433480438535</v>
      </c>
      <c r="P57" s="238"/>
      <c r="Q57" s="239"/>
      <c r="R57" s="240">
        <f>IFERROR(1-SUMIF(GA!$C:$C,$A57,GA!$X:$X)/($AA57+SUMIF(GA!$C:$C,$A57,GA!$X:$X)),"")</f>
        <v>0.97839929825803407</v>
      </c>
      <c r="S57" s="186"/>
      <c r="T57" s="239"/>
      <c r="U57" s="237">
        <f t="shared" si="1"/>
        <v>0.78189797091861291</v>
      </c>
      <c r="V57" s="237">
        <f>IFERROR(_xlfn.XLOOKUP($A57,'Raw_Data'!$B:$B,'Raw_Data'!$JL:$JL),"")</f>
        <v>0.81340539484269603</v>
      </c>
      <c r="W57" s="240">
        <f t="shared" si="2"/>
        <v>0.24720473940909624</v>
      </c>
      <c r="X57" s="228">
        <f>IFERROR(_xlfn.XLOOKUP($A57,'Raw_Data'!$B:$B,'Raw_Data'!$JI:$JI),"")</f>
        <v>2004758.3999999994</v>
      </c>
      <c r="Y57" s="228">
        <f>IFERROR(_xlfn.XLOOKUP($A57,'Raw_Data'!$B:$B,'Raw_Data'!IT:IT),"")</f>
        <v>1992266.0000000033</v>
      </c>
      <c r="Z57" s="228">
        <f>IFERROR(_xlfn.XLOOKUP($A57,'Raw_Data'!$B:$B,'Raw_Data'!IU:IU),"")</f>
        <v>4200.0000000000455</v>
      </c>
      <c r="AA57" s="228">
        <f>IFERROR(_xlfn.XLOOKUP($A57,'Raw_Data'!$B:$B,'Raw_Data'!IW:IW),"")</f>
        <v>1988066.0000000033</v>
      </c>
      <c r="AB57" s="228">
        <f>IFERROR(_xlfn.XLOOKUP($A57,'Raw_Data'!$B:$B,'Raw_Data'!I:I)/1000,"")</f>
        <v>335.09089</v>
      </c>
      <c r="AC57" s="241">
        <f>IFERROR(_xlfn.XLOOKUP($D57,'Modelling New'!$D:$D,'Modelling New'!$P:$P),"")</f>
        <v>7.0290322580645164</v>
      </c>
      <c r="AD57" s="228">
        <f>IFERROR(_xlfn.XLOOKUP($D57,'Modelling New'!$D:$D,'Modelling New'!$T:$T)*1000,"")</f>
        <v>1925422.3808764045</v>
      </c>
      <c r="AE57" s="240">
        <f>IFERROR(_xlfn.XLOOKUP($D57,'Modelling New'!$D:$D,'Modelling New'!$O:$O),"")</f>
        <v>0.81746226777457909</v>
      </c>
      <c r="AF57" s="240">
        <f>IFERROR(_xlfn.XLOOKUP($D57,'Modelling New'!$D:$D,'Modelling New'!$W:$W),"")</f>
        <v>0.23941536041408709</v>
      </c>
      <c r="AG57" s="240">
        <f>IFERROR(_xlfn.XLOOKUP($D57,'Modelling New'!$D:$D,'Modelling New'!AE:AE),"")</f>
        <v>0.99750000000000005</v>
      </c>
      <c r="AH57" s="240">
        <f>IFERROR(_xlfn.XLOOKUP($D57,'Modelling New'!$D:$D,'Modelling New'!AF:AF),"")</f>
        <v>0.99750000000000005</v>
      </c>
      <c r="AI57" s="186"/>
      <c r="AJ57" s="186"/>
      <c r="AK57" s="227">
        <v>0.97</v>
      </c>
      <c r="AL57" s="224">
        <f>IFERROR(Table13[[#This Row],[RA (%)]]*9270*58,"")</f>
        <v>521530.19999999995</v>
      </c>
      <c r="AM57" s="225"/>
      <c r="AN57" s="238"/>
      <c r="AO57" s="240"/>
      <c r="AP57" s="240"/>
      <c r="AQ57" s="240"/>
      <c r="AR57" s="242">
        <f>IFERROR(_xlfn.XLOOKUP($D57,'Modelling New'!$D:$D,'Modelling New'!$N:$N),"")</f>
        <v>335.09100000000001</v>
      </c>
    </row>
    <row r="58" spans="1:44">
      <c r="A58" s="233">
        <f t="shared" si="3"/>
        <v>45801</v>
      </c>
      <c r="B58" s="228">
        <f>YEAR(Table13[[#This Row],[Date]])+IF(MONTH(Table13[[#This Row],[Date]])&gt;=4,1,0)</f>
        <v>2026</v>
      </c>
      <c r="C58" s="186">
        <f>YEAR(Table13[[#This Row],[Date]])</f>
        <v>2025</v>
      </c>
      <c r="D58" s="234">
        <f>Table13[[#This Row],[Date]]-DAY(Table13[[#This Row],[Date]])+1</f>
        <v>45778</v>
      </c>
      <c r="E58" s="186">
        <f t="shared" si="4"/>
        <v>31</v>
      </c>
      <c r="F58" s="235">
        <f>IFERROR(_xlfn.XLOOKUP($A58,'Raw_Data'!$B:$B,'Raw_Data'!$IX:$IX),"")</f>
        <v>13.100000000000001</v>
      </c>
      <c r="G58" s="236">
        <f>IFERROR(_xlfn.XLOOKUP($A58,'Raw_Data'!$B:$B,'Raw_Data'!IY:IY),"")</f>
        <v>7.4694232000000031</v>
      </c>
      <c r="H58" s="236">
        <f>IFERROR(_xlfn.XLOOKUP($A58,'Raw_Data'!$B:$B,'Raw_Data'!IZ:IZ),"")</f>
        <v>1.9135014999999995</v>
      </c>
      <c r="I58" s="236">
        <f>IFERROR(_xlfn.XLOOKUP($A58,'Raw_Data'!$B:$B,'Raw_Data'!JA:JA),"")</f>
        <v>7.280797555555556</v>
      </c>
      <c r="J58" s="236">
        <f>IFERROR(_xlfn.XLOOKUP($A58,'Raw_Data'!$B:$B,'Raw_Data'!JB:JB),"")</f>
        <v>0.58668543333333323</v>
      </c>
      <c r="K58" s="236">
        <f>IFERROR(_xlfn.XLOOKUP($A58,'Raw_Data'!$B:$B,'Raw_Data'!JE:JE),"")</f>
        <v>39.059210256410267</v>
      </c>
      <c r="L58" s="236">
        <f>IFERROR(_xlfn.XLOOKUP($A58,'Raw_Data'!$B:$B,'Raw_Data'!JF:JF),"")</f>
        <v>51.5</v>
      </c>
      <c r="M58" s="236">
        <f>IFERROR(_xlfn.XLOOKUP($A58,'Raw_Data'!$B:$B,'Raw_Data'!JG:JG),"")</f>
        <v>3.8840861763666696</v>
      </c>
      <c r="N58" s="236">
        <f>IFERROR(_xlfn.XLOOKUP($A58,'Raw_Data'!$B:$B,'Raw_Data'!JH:JH),"")</f>
        <v>13.663</v>
      </c>
      <c r="O58" s="237">
        <f>IFERROR(1-SUMIF(PA!$B:$B,$A58,PA!$AL:$AL)/($AA58+SUMIF(PA!$B:$B,$A58,PA!$AL:$AL)),"")</f>
        <v>0.99901235993793724</v>
      </c>
      <c r="P58" s="238"/>
      <c r="Q58" s="239"/>
      <c r="R58" s="240">
        <f>IFERROR(1-SUMIF(GA!$C:$C,$A58,GA!$X:$X)/($AA58+SUMIF(GA!$C:$C,$A58,GA!$X:$X)),"")</f>
        <v>1</v>
      </c>
      <c r="S58" s="186"/>
      <c r="T58" s="239"/>
      <c r="U58" s="237">
        <f t="shared" si="1"/>
        <v>0.80629176782865764</v>
      </c>
      <c r="V58" s="237">
        <f>IFERROR(_xlfn.XLOOKUP($A58,'Raw_Data'!$B:$B,'Raw_Data'!$JL:$JL),"")</f>
        <v>0.82914796869001084</v>
      </c>
      <c r="W58" s="240">
        <f t="shared" si="2"/>
        <v>0.24460196384464408</v>
      </c>
      <c r="X58" s="228">
        <f>IFERROR(_xlfn.XLOOKUP($A58,'Raw_Data'!$B:$B,'Raw_Data'!$JI:$JI),"")</f>
        <v>1984633.1999999997</v>
      </c>
      <c r="Y58" s="228">
        <f>IFERROR(_xlfn.XLOOKUP($A58,'Raw_Data'!$B:$B,'Raw_Data'!IT:IT),"")</f>
        <v>1971466.9999999751</v>
      </c>
      <c r="Z58" s="228">
        <f>IFERROR(_xlfn.XLOOKUP($A58,'Raw_Data'!$B:$B,'Raw_Data'!IU:IU),"")</f>
        <v>4332.99999999997</v>
      </c>
      <c r="AA58" s="228">
        <f>IFERROR(_xlfn.XLOOKUP($A58,'Raw_Data'!$B:$B,'Raw_Data'!IW:IW),"")</f>
        <v>1967133.9999999751</v>
      </c>
      <c r="AB58" s="228">
        <f>IFERROR(_xlfn.XLOOKUP($A58,'Raw_Data'!$B:$B,'Raw_Data'!I:I)/1000,"")</f>
        <v>335.09089</v>
      </c>
      <c r="AC58" s="241">
        <f>IFERROR(_xlfn.XLOOKUP($D58,'Modelling New'!$D:$D,'Modelling New'!$P:$P),"")</f>
        <v>7.0290322580645164</v>
      </c>
      <c r="AD58" s="228">
        <f>IFERROR(_xlfn.XLOOKUP($D58,'Modelling New'!$D:$D,'Modelling New'!$T:$T)*1000,"")</f>
        <v>1925422.3808764045</v>
      </c>
      <c r="AE58" s="240">
        <f>IFERROR(_xlfn.XLOOKUP($D58,'Modelling New'!$D:$D,'Modelling New'!$O:$O),"")</f>
        <v>0.81746226777457909</v>
      </c>
      <c r="AF58" s="240">
        <f>IFERROR(_xlfn.XLOOKUP($D58,'Modelling New'!$D:$D,'Modelling New'!$W:$W),"")</f>
        <v>0.23941536041408709</v>
      </c>
      <c r="AG58" s="240">
        <f>IFERROR(_xlfn.XLOOKUP($D58,'Modelling New'!$D:$D,'Modelling New'!AE:AE),"")</f>
        <v>0.99750000000000005</v>
      </c>
      <c r="AH58" s="240">
        <f>IFERROR(_xlfn.XLOOKUP($D58,'Modelling New'!$D:$D,'Modelling New'!AF:AF),"")</f>
        <v>0.99750000000000005</v>
      </c>
      <c r="AI58" s="186"/>
      <c r="AJ58" s="186"/>
      <c r="AK58" s="227">
        <v>0.99</v>
      </c>
      <c r="AL58" s="224">
        <f>IFERROR(Table13[[#This Row],[RA (%)]]*9270*58,"")</f>
        <v>532283.39999999991</v>
      </c>
      <c r="AM58" s="225"/>
      <c r="AN58" s="238"/>
      <c r="AO58" s="240"/>
      <c r="AP58" s="240"/>
      <c r="AQ58" s="240"/>
      <c r="AR58" s="242">
        <f>IFERROR(_xlfn.XLOOKUP($D58,'Modelling New'!$D:$D,'Modelling New'!$N:$N),"")</f>
        <v>335.09100000000001</v>
      </c>
    </row>
    <row r="59" spans="1:44">
      <c r="A59" s="233">
        <f t="shared" si="3"/>
        <v>45802</v>
      </c>
      <c r="B59" s="228">
        <f>YEAR(Table13[[#This Row],[Date]])+IF(MONTH(Table13[[#This Row],[Date]])&gt;=4,1,0)</f>
        <v>2026</v>
      </c>
      <c r="C59" s="186">
        <f>YEAR(Table13[[#This Row],[Date]])</f>
        <v>2025</v>
      </c>
      <c r="D59" s="234">
        <f>Table13[[#This Row],[Date]]-DAY(Table13[[#This Row],[Date]])+1</f>
        <v>45778</v>
      </c>
      <c r="E59" s="186">
        <f t="shared" si="4"/>
        <v>31</v>
      </c>
      <c r="F59" s="235">
        <f>IFERROR(_xlfn.XLOOKUP($A59,'Raw_Data'!$B:$B,'Raw_Data'!$IX:$IX),"")</f>
        <v>12.433333333333334</v>
      </c>
      <c r="G59" s="236">
        <f>IFERROR(_xlfn.XLOOKUP($A59,'Raw_Data'!$B:$B,'Raw_Data'!IY:IY),"")</f>
        <v>5.0140091944444434</v>
      </c>
      <c r="H59" s="236">
        <f>IFERROR(_xlfn.XLOOKUP($A59,'Raw_Data'!$B:$B,'Raw_Data'!IZ:IZ),"")</f>
        <v>1.3225570833333331</v>
      </c>
      <c r="I59" s="236">
        <f>IFERROR(_xlfn.XLOOKUP($A59,'Raw_Data'!$B:$B,'Raw_Data'!JA:JA),"")</f>
        <v>5.0019775416666699</v>
      </c>
      <c r="J59" s="236">
        <f>IFERROR(_xlfn.XLOOKUP($A59,'Raw_Data'!$B:$B,'Raw_Data'!JB:JB),"")</f>
        <v>0.48302572222222206</v>
      </c>
      <c r="K59" s="236">
        <f>IFERROR(_xlfn.XLOOKUP($A59,'Raw_Data'!$B:$B,'Raw_Data'!JE:JE),"")</f>
        <v>38.637668439716315</v>
      </c>
      <c r="L59" s="236">
        <f>IFERROR(_xlfn.XLOOKUP($A59,'Raw_Data'!$B:$B,'Raw_Data'!JF:JF),"")</f>
        <v>48.587979432624117</v>
      </c>
      <c r="M59" s="236">
        <f>IFERROR(_xlfn.XLOOKUP($A59,'Raw_Data'!$B:$B,'Raw_Data'!JG:JG),"")</f>
        <v>2.5414767002349294</v>
      </c>
      <c r="N59" s="236">
        <f>IFERROR(_xlfn.XLOOKUP($A59,'Raw_Data'!$B:$B,'Raw_Data'!JH:JH),"")</f>
        <v>5.7883331666666669</v>
      </c>
      <c r="O59" s="237">
        <f>IFERROR(1-SUMIF(PA!$B:$B,$A59,PA!$AL:$AL)/($AA59+SUMIF(PA!$B:$B,$A59,PA!$AL:$AL)),"")</f>
        <v>0.99903133822657719</v>
      </c>
      <c r="P59" s="238"/>
      <c r="Q59" s="239"/>
      <c r="R59" s="240">
        <f>IFERROR(1-SUMIF(GA!$C:$C,$A59,GA!$X:$X)/($AA59+SUMIF(GA!$C:$C,$A59,GA!$X:$X)),"")</f>
        <v>1</v>
      </c>
      <c r="S59" s="186"/>
      <c r="T59" s="239"/>
      <c r="U59" s="237">
        <f t="shared" si="1"/>
        <v>0.72345756597652833</v>
      </c>
      <c r="V59" s="237">
        <f>IFERROR(_xlfn.XLOOKUP($A59,'Raw_Data'!$B:$B,'Raw_Data'!$JL:$JL),"")</f>
        <v>0.73022094147017436</v>
      </c>
      <c r="W59" s="240">
        <f t="shared" si="2"/>
        <v>0.15077993739014284</v>
      </c>
      <c r="X59" s="228">
        <f>IFERROR(_xlfn.XLOOKUP($A59,'Raw_Data'!$B:$B,'Raw_Data'!$JI:$JI),"")</f>
        <v>1220637.3999999999</v>
      </c>
      <c r="Y59" s="228">
        <f>IFERROR(_xlfn.XLOOKUP($A59,'Raw_Data'!$B:$B,'Raw_Data'!IT:IT),"")</f>
        <v>1216934.0000000084</v>
      </c>
      <c r="Z59" s="228">
        <f>IFERROR(_xlfn.XLOOKUP($A59,'Raw_Data'!$B:$B,'Raw_Data'!IU:IU),"")</f>
        <v>4334.0000000000036</v>
      </c>
      <c r="AA59" s="228">
        <f>IFERROR(_xlfn.XLOOKUP($A59,'Raw_Data'!$B:$B,'Raw_Data'!IW:IW),"")</f>
        <v>1212600.0000000084</v>
      </c>
      <c r="AB59" s="228">
        <f>IFERROR(_xlfn.XLOOKUP($A59,'Raw_Data'!$B:$B,'Raw_Data'!I:I)/1000,"")</f>
        <v>335.09089</v>
      </c>
      <c r="AC59" s="241">
        <f>IFERROR(_xlfn.XLOOKUP($D59,'Modelling New'!$D:$D,'Modelling New'!$P:$P),"")</f>
        <v>7.0290322580645164</v>
      </c>
      <c r="AD59" s="228">
        <f>IFERROR(_xlfn.XLOOKUP($D59,'Modelling New'!$D:$D,'Modelling New'!$T:$T)*1000,"")</f>
        <v>1925422.3808764045</v>
      </c>
      <c r="AE59" s="240">
        <f>IFERROR(_xlfn.XLOOKUP($D59,'Modelling New'!$D:$D,'Modelling New'!$O:$O),"")</f>
        <v>0.81746226777457909</v>
      </c>
      <c r="AF59" s="240">
        <f>IFERROR(_xlfn.XLOOKUP($D59,'Modelling New'!$D:$D,'Modelling New'!$W:$W),"")</f>
        <v>0.23941536041408709</v>
      </c>
      <c r="AG59" s="240">
        <f>IFERROR(_xlfn.XLOOKUP($D59,'Modelling New'!$D:$D,'Modelling New'!AE:AE),"")</f>
        <v>0.99750000000000005</v>
      </c>
      <c r="AH59" s="240">
        <f>IFERROR(_xlfn.XLOOKUP($D59,'Modelling New'!$D:$D,'Modelling New'!AF:AF),"")</f>
        <v>0.99750000000000005</v>
      </c>
      <c r="AI59" s="186"/>
      <c r="AJ59" s="186"/>
      <c r="AK59" s="227">
        <v>0.99</v>
      </c>
      <c r="AL59" s="224">
        <f>IFERROR(Table13[[#This Row],[RA (%)]]*9270*58,"")</f>
        <v>532283.39999999991</v>
      </c>
      <c r="AM59" s="225"/>
      <c r="AN59" s="238"/>
      <c r="AO59" s="240"/>
      <c r="AP59" s="240"/>
      <c r="AQ59" s="240"/>
      <c r="AR59" s="242">
        <f>IFERROR(_xlfn.XLOOKUP($D59,'Modelling New'!$D:$D,'Modelling New'!$N:$N),"")</f>
        <v>335.09100000000001</v>
      </c>
    </row>
    <row r="60" spans="1:44">
      <c r="A60" s="233">
        <f t="shared" si="3"/>
        <v>45803</v>
      </c>
      <c r="B60" s="228">
        <f>YEAR(Table13[[#This Row],[Date]])+IF(MONTH(Table13[[#This Row],[Date]])&gt;=4,1,0)</f>
        <v>2026</v>
      </c>
      <c r="C60" s="186">
        <f>YEAR(Table13[[#This Row],[Date]])</f>
        <v>2025</v>
      </c>
      <c r="D60" s="234">
        <f>Table13[[#This Row],[Date]]-DAY(Table13[[#This Row],[Date]])+1</f>
        <v>45778</v>
      </c>
      <c r="E60" s="186">
        <f t="shared" si="4"/>
        <v>31</v>
      </c>
      <c r="F60" s="235">
        <f>IFERROR(_xlfn.XLOOKUP($A60,'Raw_Data'!$B:$B,'Raw_Data'!$IX:$IX),"")</f>
        <v>12.900000000000002</v>
      </c>
      <c r="G60" s="236">
        <f>IFERROR(_xlfn.XLOOKUP($A60,'Raw_Data'!$B:$B,'Raw_Data'!IY:IY),"")</f>
        <v>6.2862419722222276</v>
      </c>
      <c r="H60" s="236">
        <f>IFERROR(_xlfn.XLOOKUP($A60,'Raw_Data'!$B:$B,'Raw_Data'!IZ:IZ),"")</f>
        <v>1.6195821111111108</v>
      </c>
      <c r="I60" s="236">
        <f>IFERROR(_xlfn.XLOOKUP($A60,'Raw_Data'!$B:$B,'Raw_Data'!JA:JA),"")</f>
        <v>6.1647238333333316</v>
      </c>
      <c r="J60" s="236">
        <f>IFERROR(_xlfn.XLOOKUP($A60,'Raw_Data'!$B:$B,'Raw_Data'!JB:JB),"")</f>
        <v>0.57745519444444438</v>
      </c>
      <c r="K60" s="236">
        <f>IFERROR(_xlfn.XLOOKUP($A60,'Raw_Data'!$B:$B,'Raw_Data'!JE:JE),"")</f>
        <v>37.983623000432324</v>
      </c>
      <c r="L60" s="236">
        <f>IFERROR(_xlfn.XLOOKUP($A60,'Raw_Data'!$B:$B,'Raw_Data'!JF:JF),"")</f>
        <v>48.01687146130562</v>
      </c>
      <c r="M60" s="236">
        <f>IFERROR(_xlfn.XLOOKUP($A60,'Raw_Data'!$B:$B,'Raw_Data'!JG:JG),"")</f>
        <v>3.3665245772265471</v>
      </c>
      <c r="N60" s="236">
        <f>IFERROR(_xlfn.XLOOKUP($A60,'Raw_Data'!$B:$B,'Raw_Data'!JH:JH),"")</f>
        <v>7.0991661666666666</v>
      </c>
      <c r="O60" s="237">
        <f>IFERROR(1-SUMIF(PA!$B:$B,$A60,PA!$AL:$AL)/($AA60+SUMIF(PA!$B:$B,$A60,PA!$AL:$AL)),"")</f>
        <v>1</v>
      </c>
      <c r="P60" s="238"/>
      <c r="Q60" s="239"/>
      <c r="R60" s="240">
        <f>IFERROR(1-SUMIF(GA!$C:$C,$A60,GA!$X:$X)/($AA60+SUMIF(GA!$C:$C,$A60,GA!$X:$X)),"")</f>
        <v>1</v>
      </c>
      <c r="S60" s="186"/>
      <c r="T60" s="239"/>
      <c r="U60" s="237">
        <f t="shared" si="1"/>
        <v>0.78757794491381328</v>
      </c>
      <c r="V60" s="237">
        <f>IFERROR(_xlfn.XLOOKUP($A60,'Raw_Data'!$B:$B,'Raw_Data'!$JL:$JL),"")</f>
        <v>0.79366944227525704</v>
      </c>
      <c r="W60" s="240">
        <f t="shared" si="2"/>
        <v>0.20230002198407795</v>
      </c>
      <c r="X60" s="228">
        <f>IFERROR(_xlfn.XLOOKUP($A60,'Raw_Data'!$B:$B,'Raw_Data'!$JI:$JI),"")</f>
        <v>1639580.8999999997</v>
      </c>
      <c r="Y60" s="228">
        <f>IFERROR(_xlfn.XLOOKUP($A60,'Raw_Data'!$B:$B,'Raw_Data'!IT:IT),"")</f>
        <v>1631000</v>
      </c>
      <c r="Z60" s="228">
        <f>IFERROR(_xlfn.XLOOKUP($A60,'Raw_Data'!$B:$B,'Raw_Data'!IU:IU),"")</f>
        <v>4066.0000000000309</v>
      </c>
      <c r="AA60" s="228">
        <f>IFERROR(_xlfn.XLOOKUP($A60,'Raw_Data'!$B:$B,'Raw_Data'!IW:IW),"")</f>
        <v>1626934</v>
      </c>
      <c r="AB60" s="228">
        <f>IFERROR(_xlfn.XLOOKUP($A60,'Raw_Data'!$B:$B,'Raw_Data'!I:I)/1000,"")</f>
        <v>335.09089</v>
      </c>
      <c r="AC60" s="241">
        <f>IFERROR(_xlfn.XLOOKUP($D60,'Modelling New'!$D:$D,'Modelling New'!$P:$P),"")</f>
        <v>7.0290322580645164</v>
      </c>
      <c r="AD60" s="228">
        <f>IFERROR(_xlfn.XLOOKUP($D60,'Modelling New'!$D:$D,'Modelling New'!$T:$T)*1000,"")</f>
        <v>1925422.3808764045</v>
      </c>
      <c r="AE60" s="240">
        <f>IFERROR(_xlfn.XLOOKUP($D60,'Modelling New'!$D:$D,'Modelling New'!$O:$O),"")</f>
        <v>0.81746226777457909</v>
      </c>
      <c r="AF60" s="240">
        <f>IFERROR(_xlfn.XLOOKUP($D60,'Modelling New'!$D:$D,'Modelling New'!$W:$W),"")</f>
        <v>0.23941536041408709</v>
      </c>
      <c r="AG60" s="240">
        <f>IFERROR(_xlfn.XLOOKUP($D60,'Modelling New'!$D:$D,'Modelling New'!AE:AE),"")</f>
        <v>0.99750000000000005</v>
      </c>
      <c r="AH60" s="240">
        <f>IFERROR(_xlfn.XLOOKUP($D60,'Modelling New'!$D:$D,'Modelling New'!AF:AF),"")</f>
        <v>0.99750000000000005</v>
      </c>
      <c r="AI60" s="186"/>
      <c r="AJ60" s="186"/>
      <c r="AK60" s="227">
        <v>0.97799999999999998</v>
      </c>
      <c r="AL60" s="224">
        <f>IFERROR(Table13[[#This Row],[RA (%)]]*9270*58,"")</f>
        <v>525831.48</v>
      </c>
      <c r="AM60" s="225"/>
      <c r="AN60" s="238"/>
      <c r="AO60" s="240"/>
      <c r="AP60" s="240"/>
      <c r="AQ60" s="240"/>
      <c r="AR60" s="242">
        <f>IFERROR(_xlfn.XLOOKUP($D60,'Modelling New'!$D:$D,'Modelling New'!$N:$N),"")</f>
        <v>335.09100000000001</v>
      </c>
    </row>
    <row r="61" spans="1:44">
      <c r="A61" s="233">
        <f t="shared" si="3"/>
        <v>45804</v>
      </c>
      <c r="B61" s="228">
        <f>YEAR(Table13[[#This Row],[Date]])+IF(MONTH(Table13[[#This Row],[Date]])&gt;=4,1,0)</f>
        <v>2026</v>
      </c>
      <c r="C61" s="186">
        <f>YEAR(Table13[[#This Row],[Date]])</f>
        <v>2025</v>
      </c>
      <c r="D61" s="234">
        <f>Table13[[#This Row],[Date]]-DAY(Table13[[#This Row],[Date]])+1</f>
        <v>45778</v>
      </c>
      <c r="E61" s="186">
        <f t="shared" si="4"/>
        <v>31</v>
      </c>
      <c r="F61" s="235">
        <f>IFERROR(_xlfn.XLOOKUP($A61,'Raw_Data'!$B:$B,'Raw_Data'!$IX:$IX),"")</f>
        <v>13.066666666666668</v>
      </c>
      <c r="G61" s="236">
        <f>IFERROR(_xlfn.XLOOKUP($A61,'Raw_Data'!$B:$B,'Raw_Data'!IY:IY),"")</f>
        <v>6.6237413333333315</v>
      </c>
      <c r="H61" s="236">
        <f>IFERROR(_xlfn.XLOOKUP($A61,'Raw_Data'!$B:$B,'Raw_Data'!IZ:IZ),"")</f>
        <v>1.6954631944444445</v>
      </c>
      <c r="I61" s="236">
        <f>IFERROR(_xlfn.XLOOKUP($A61,'Raw_Data'!$B:$B,'Raw_Data'!JA:JA),"")</f>
        <v>6.4501585416666671</v>
      </c>
      <c r="J61" s="236">
        <f>IFERROR(_xlfn.XLOOKUP($A61,'Raw_Data'!$B:$B,'Raw_Data'!JB:JB),"")</f>
        <v>0.57575327777777796</v>
      </c>
      <c r="K61" s="236">
        <f>IFERROR(_xlfn.XLOOKUP($A61,'Raw_Data'!$B:$B,'Raw_Data'!JE:JE),"")</f>
        <v>39.831364029399062</v>
      </c>
      <c r="L61" s="236">
        <f>IFERROR(_xlfn.XLOOKUP($A61,'Raw_Data'!$B:$B,'Raw_Data'!JF:JF),"")</f>
        <v>51.508932122784273</v>
      </c>
      <c r="M61" s="236">
        <f>IFERROR(_xlfn.XLOOKUP($A61,'Raw_Data'!$B:$B,'Raw_Data'!JG:JG),"")</f>
        <v>2.0372952848054475</v>
      </c>
      <c r="N61" s="236">
        <f>IFERROR(_xlfn.XLOOKUP($A61,'Raw_Data'!$B:$B,'Raw_Data'!JH:JH),"")</f>
        <v>5.9402776666666668</v>
      </c>
      <c r="O61" s="237">
        <f>IFERROR(1-SUMIF(PA!$B:$B,$A61,PA!$AL:$AL)/($AA61+SUMIF(PA!$B:$B,$A61,PA!$AL:$AL)),"")</f>
        <v>1</v>
      </c>
      <c r="P61" s="238"/>
      <c r="Q61" s="239"/>
      <c r="R61" s="240">
        <f>IFERROR(1-SUMIF(GA!$C:$C,$A61,GA!$X:$X)/($AA61+SUMIF(GA!$C:$C,$A61,GA!$X:$X)),"")</f>
        <v>1</v>
      </c>
      <c r="S61" s="186"/>
      <c r="T61" s="239"/>
      <c r="U61" s="237">
        <f t="shared" si="1"/>
        <v>0.80509900522559685</v>
      </c>
      <c r="V61" s="237">
        <f>IFERROR(_xlfn.XLOOKUP($A61,'Raw_Data'!$B:$B,'Raw_Data'!$JL:$JL),"")</f>
        <v>0.82254051509332049</v>
      </c>
      <c r="W61" s="240">
        <f t="shared" si="2"/>
        <v>0.21637567606013419</v>
      </c>
      <c r="X61" s="228">
        <f>IFERROR(_xlfn.XLOOKUP($A61,'Raw_Data'!$B:$B,'Raw_Data'!$JI:$JI),"")</f>
        <v>1754549.5000000002</v>
      </c>
      <c r="Y61" s="228">
        <f>IFERROR(_xlfn.XLOOKUP($A61,'Raw_Data'!$B:$B,'Raw_Data'!IT:IT),"")</f>
        <v>1744399.9999999942</v>
      </c>
      <c r="Z61" s="228">
        <f>IFERROR(_xlfn.XLOOKUP($A61,'Raw_Data'!$B:$B,'Raw_Data'!IU:IU),"")</f>
        <v>4266.9999999999964</v>
      </c>
      <c r="AA61" s="228">
        <f>IFERROR(_xlfn.XLOOKUP($A61,'Raw_Data'!$B:$B,'Raw_Data'!IW:IW),"")</f>
        <v>1740132.9999999942</v>
      </c>
      <c r="AB61" s="228">
        <f>IFERROR(_xlfn.XLOOKUP($A61,'Raw_Data'!$B:$B,'Raw_Data'!I:I)/1000,"")</f>
        <v>335.09089</v>
      </c>
      <c r="AC61" s="241">
        <f>IFERROR(_xlfn.XLOOKUP($D61,'Modelling New'!$D:$D,'Modelling New'!$P:$P),"")</f>
        <v>7.0290322580645164</v>
      </c>
      <c r="AD61" s="228">
        <f>IFERROR(_xlfn.XLOOKUP($D61,'Modelling New'!$D:$D,'Modelling New'!$T:$T)*1000,"")</f>
        <v>1925422.3808764045</v>
      </c>
      <c r="AE61" s="240">
        <f>IFERROR(_xlfn.XLOOKUP($D61,'Modelling New'!$D:$D,'Modelling New'!$O:$O),"")</f>
        <v>0.81746226777457909</v>
      </c>
      <c r="AF61" s="240">
        <f>IFERROR(_xlfn.XLOOKUP($D61,'Modelling New'!$D:$D,'Modelling New'!$W:$W),"")</f>
        <v>0.23941536041408709</v>
      </c>
      <c r="AG61" s="240">
        <f>IFERROR(_xlfn.XLOOKUP($D61,'Modelling New'!$D:$D,'Modelling New'!AE:AE),"")</f>
        <v>0.99750000000000005</v>
      </c>
      <c r="AH61" s="240">
        <f>IFERROR(_xlfn.XLOOKUP($D61,'Modelling New'!$D:$D,'Modelling New'!AF:AF),"")</f>
        <v>0.99750000000000005</v>
      </c>
      <c r="AI61" s="186"/>
      <c r="AJ61" s="186"/>
      <c r="AK61" s="227">
        <v>0.97299999999999998</v>
      </c>
      <c r="AL61" s="224">
        <f>IFERROR(Table13[[#This Row],[RA (%)]]*9270*58,"")</f>
        <v>523143.17999999993</v>
      </c>
      <c r="AM61" s="225"/>
      <c r="AN61" s="238"/>
      <c r="AO61" s="240"/>
      <c r="AP61" s="240"/>
      <c r="AQ61" s="240"/>
      <c r="AR61" s="242">
        <f>IFERROR(_xlfn.XLOOKUP($D61,'Modelling New'!$D:$D,'Modelling New'!$N:$N),"")</f>
        <v>335.09100000000001</v>
      </c>
    </row>
    <row r="62" spans="1:44">
      <c r="A62" s="233">
        <f t="shared" si="3"/>
        <v>45805</v>
      </c>
      <c r="B62" s="228">
        <f>YEAR(Table13[[#This Row],[Date]])+IF(MONTH(Table13[[#This Row],[Date]])&gt;=4,1,0)</f>
        <v>2026</v>
      </c>
      <c r="C62" s="186">
        <f>YEAR(Table13[[#This Row],[Date]])</f>
        <v>2025</v>
      </c>
      <c r="D62" s="234">
        <f>Table13[[#This Row],[Date]]-DAY(Table13[[#This Row],[Date]])+1</f>
        <v>45778</v>
      </c>
      <c r="E62" s="186">
        <f t="shared" si="4"/>
        <v>31</v>
      </c>
      <c r="F62" s="235">
        <f>IFERROR(_xlfn.XLOOKUP($A62,'Raw_Data'!$B:$B,'Raw_Data'!$IX:$IX),"")</f>
        <v>13.166666666666668</v>
      </c>
      <c r="G62" s="236">
        <f>IFERROR(_xlfn.XLOOKUP($A62,'Raw_Data'!$B:$B,'Raw_Data'!IY:IY),"")</f>
        <v>6.129436027777774</v>
      </c>
      <c r="H62" s="236">
        <f>IFERROR(_xlfn.XLOOKUP($A62,'Raw_Data'!$B:$B,'Raw_Data'!IZ:IZ),"")</f>
        <v>1.4289056666666671</v>
      </c>
      <c r="I62" s="236">
        <f>IFERROR(_xlfn.XLOOKUP($A62,'Raw_Data'!$B:$B,'Raw_Data'!JA:JA),"")</f>
        <v>5.9413494166666672</v>
      </c>
      <c r="J62" s="236">
        <f>IFERROR(_xlfn.XLOOKUP($A62,'Raw_Data'!$B:$B,'Raw_Data'!JB:JB),"")</f>
        <v>0.48539733333333318</v>
      </c>
      <c r="K62" s="236">
        <f>IFERROR(_xlfn.XLOOKUP($A62,'Raw_Data'!$B:$B,'Raw_Data'!JE:JE),"")</f>
        <v>37.29743450767841</v>
      </c>
      <c r="L62" s="236">
        <f>IFERROR(_xlfn.XLOOKUP($A62,'Raw_Data'!$B:$B,'Raw_Data'!JF:JF),"")</f>
        <v>49.833333333333336</v>
      </c>
      <c r="M62" s="236">
        <f>IFERROR(_xlfn.XLOOKUP($A62,'Raw_Data'!$B:$B,'Raw_Data'!JG:JG),"")</f>
        <v>2.6743400793157188</v>
      </c>
      <c r="N62" s="236">
        <f>IFERROR(_xlfn.XLOOKUP($A62,'Raw_Data'!$B:$B,'Raw_Data'!JH:JH),"")</f>
        <v>6.4824998333333328</v>
      </c>
      <c r="O62" s="237">
        <f>IFERROR(1-SUMIF(PA!$B:$B,$A62,PA!$AL:$AL)/($AA62+SUMIF(PA!$B:$B,$A62,PA!$AL:$AL)),"")</f>
        <v>0.99942708138631808</v>
      </c>
      <c r="P62" s="238"/>
      <c r="Q62" s="239"/>
      <c r="R62" s="240">
        <f>IFERROR(1-SUMIF(GA!$C:$C,$A62,GA!$X:$X)/($AA62+SUMIF(GA!$C:$C,$A62,GA!$X:$X)),"")</f>
        <v>1</v>
      </c>
      <c r="S62" s="186"/>
      <c r="T62" s="239"/>
      <c r="U62" s="237">
        <f t="shared" si="1"/>
        <v>0.81434121780976487</v>
      </c>
      <c r="V62" s="237">
        <f>IFERROR(_xlfn.XLOOKUP($A62,'Raw_Data'!$B:$B,'Raw_Data'!$JL:$JL),"")</f>
        <v>0.81958932640233739</v>
      </c>
      <c r="W62" s="240">
        <f t="shared" si="2"/>
        <v>0.2015952383084029</v>
      </c>
      <c r="X62" s="228">
        <f>IFERROR(_xlfn.XLOOKUP($A62,'Raw_Data'!$B:$B,'Raw_Data'!$JI:$JI),"")</f>
        <v>1634051.2000000002</v>
      </c>
      <c r="Y62" s="228">
        <f>IFERROR(_xlfn.XLOOKUP($A62,'Raw_Data'!$B:$B,'Raw_Data'!IT:IT),"")</f>
        <v>1625533.0000000249</v>
      </c>
      <c r="Z62" s="228">
        <f>IFERROR(_xlfn.XLOOKUP($A62,'Raw_Data'!$B:$B,'Raw_Data'!IU:IU),"")</f>
        <v>4266.9999999999964</v>
      </c>
      <c r="AA62" s="228">
        <f>IFERROR(_xlfn.XLOOKUP($A62,'Raw_Data'!$B:$B,'Raw_Data'!IW:IW),"")</f>
        <v>1621266.0000000249</v>
      </c>
      <c r="AB62" s="228">
        <f>IFERROR(_xlfn.XLOOKUP($A62,'Raw_Data'!$B:$B,'Raw_Data'!I:I)/1000,"")</f>
        <v>335.09089</v>
      </c>
      <c r="AC62" s="241">
        <f>IFERROR(_xlfn.XLOOKUP($D62,'Modelling New'!$D:$D,'Modelling New'!$P:$P),"")</f>
        <v>7.0290322580645164</v>
      </c>
      <c r="AD62" s="228">
        <f>IFERROR(_xlfn.XLOOKUP($D62,'Modelling New'!$D:$D,'Modelling New'!$T:$T)*1000,"")</f>
        <v>1925422.3808764045</v>
      </c>
      <c r="AE62" s="240">
        <f>IFERROR(_xlfn.XLOOKUP($D62,'Modelling New'!$D:$D,'Modelling New'!$O:$O),"")</f>
        <v>0.81746226777457909</v>
      </c>
      <c r="AF62" s="240">
        <f>IFERROR(_xlfn.XLOOKUP($D62,'Modelling New'!$D:$D,'Modelling New'!$W:$W),"")</f>
        <v>0.23941536041408709</v>
      </c>
      <c r="AG62" s="240">
        <f>IFERROR(_xlfn.XLOOKUP($D62,'Modelling New'!$D:$D,'Modelling New'!AE:AE),"")</f>
        <v>0.99750000000000005</v>
      </c>
      <c r="AH62" s="240">
        <f>IFERROR(_xlfn.XLOOKUP($D62,'Modelling New'!$D:$D,'Modelling New'!AF:AF),"")</f>
        <v>0.99750000000000005</v>
      </c>
      <c r="AI62" s="186"/>
      <c r="AJ62" s="186"/>
      <c r="AK62" s="227">
        <v>0.98</v>
      </c>
      <c r="AL62" s="224">
        <f>IFERROR(Table13[[#This Row],[RA (%)]]*9270*58,"")</f>
        <v>526906.80000000005</v>
      </c>
      <c r="AM62" s="225"/>
      <c r="AN62" s="238"/>
      <c r="AO62" s="240"/>
      <c r="AP62" s="240"/>
      <c r="AQ62" s="240"/>
      <c r="AR62" s="242">
        <f>IFERROR(_xlfn.XLOOKUP($D62,'Modelling New'!$D:$D,'Modelling New'!$N:$N),"")</f>
        <v>335.09100000000001</v>
      </c>
    </row>
    <row r="63" spans="1:44">
      <c r="A63" s="233">
        <f t="shared" si="3"/>
        <v>45806</v>
      </c>
      <c r="B63" s="228">
        <f>YEAR(Table13[[#This Row],[Date]])+IF(MONTH(Table13[[#This Row],[Date]])&gt;=4,1,0)</f>
        <v>2026</v>
      </c>
      <c r="C63" s="186">
        <f>YEAR(Table13[[#This Row],[Date]])</f>
        <v>2025</v>
      </c>
      <c r="D63" s="234">
        <f>Table13[[#This Row],[Date]]-DAY(Table13[[#This Row],[Date]])+1</f>
        <v>45778</v>
      </c>
      <c r="E63" s="186">
        <f t="shared" si="4"/>
        <v>31</v>
      </c>
      <c r="F63" s="235">
        <f>IFERROR(_xlfn.XLOOKUP($A63,'Raw_Data'!$B:$B,'Raw_Data'!$IX:$IX),"")</f>
        <v>13.033333333333335</v>
      </c>
      <c r="G63" s="236">
        <f>IFERROR(_xlfn.XLOOKUP($A63,'Raw_Data'!$B:$B,'Raw_Data'!IY:IY),"")</f>
        <v>6.2536615000000042</v>
      </c>
      <c r="H63" s="236">
        <f>IFERROR(_xlfn.XLOOKUP($A63,'Raw_Data'!$B:$B,'Raw_Data'!IZ:IZ),"")</f>
        <v>1.497403888888889</v>
      </c>
      <c r="I63" s="236">
        <f>IFERROR(_xlfn.XLOOKUP($A63,'Raw_Data'!$B:$B,'Raw_Data'!JA:JA),"")</f>
        <v>6.1085770833333344</v>
      </c>
      <c r="J63" s="236">
        <f>IFERROR(_xlfn.XLOOKUP($A63,'Raw_Data'!$B:$B,'Raw_Data'!JB:JB),"")</f>
        <v>0.4881369166666667</v>
      </c>
      <c r="K63" s="236">
        <f>IFERROR(_xlfn.XLOOKUP($A63,'Raw_Data'!$B:$B,'Raw_Data'!JE:JE),"")</f>
        <v>34.023467184801397</v>
      </c>
      <c r="L63" s="236">
        <f>IFERROR(_xlfn.XLOOKUP($A63,'Raw_Data'!$B:$B,'Raw_Data'!JF:JF),"")</f>
        <v>45.278351990500859</v>
      </c>
      <c r="M63" s="236">
        <f>IFERROR(_xlfn.XLOOKUP($A63,'Raw_Data'!$B:$B,'Raw_Data'!JG:JG),"")</f>
        <v>4.5281568374978418</v>
      </c>
      <c r="N63" s="236">
        <f>IFERROR(_xlfn.XLOOKUP($A63,'Raw_Data'!$B:$B,'Raw_Data'!JH:JH),"")</f>
        <v>11.165833999999998</v>
      </c>
      <c r="O63" s="237">
        <f>IFERROR(1-SUMIF(PA!$B:$B,$A63,PA!$AL:$AL)/($AA63+SUMIF(PA!$B:$B,$A63,PA!$AL:$AL)),"")</f>
        <v>0.99971244250270186</v>
      </c>
      <c r="P63" s="238"/>
      <c r="Q63" s="239"/>
      <c r="R63" s="240">
        <f>IFERROR(1-SUMIF(GA!$C:$C,$A63,GA!$X:$X)/($AA63+SUMIF(GA!$C:$C,$A63,GA!$X:$X)),"")</f>
        <v>1</v>
      </c>
      <c r="S63" s="186"/>
      <c r="T63" s="239"/>
      <c r="U63" s="237">
        <f t="shared" si="1"/>
        <v>0.81273011162833519</v>
      </c>
      <c r="V63" s="237">
        <f>IFERROR(_xlfn.XLOOKUP($A63,'Raw_Data'!$B:$B,'Raw_Data'!$JL:$JL),"")</f>
        <v>0.80897848580464149</v>
      </c>
      <c r="W63" s="240">
        <f t="shared" si="2"/>
        <v>0.20685935561782462</v>
      </c>
      <c r="X63" s="228">
        <f>IFERROR(_xlfn.XLOOKUP($A63,'Raw_Data'!$B:$B,'Raw_Data'!$JI:$JI),"")</f>
        <v>1678762.3</v>
      </c>
      <c r="Y63" s="228">
        <f>IFERROR(_xlfn.XLOOKUP($A63,'Raw_Data'!$B:$B,'Raw_Data'!IT:IT),"")</f>
        <v>1667933.9999999793</v>
      </c>
      <c r="Z63" s="228">
        <f>IFERROR(_xlfn.XLOOKUP($A63,'Raw_Data'!$B:$B,'Raw_Data'!IU:IU),"")</f>
        <v>4332.99999999997</v>
      </c>
      <c r="AA63" s="228">
        <f>IFERROR(_xlfn.XLOOKUP($A63,'Raw_Data'!$B:$B,'Raw_Data'!IW:IW),"")</f>
        <v>1663600.9999999793</v>
      </c>
      <c r="AB63" s="228">
        <f>IFERROR(_xlfn.XLOOKUP($A63,'Raw_Data'!$B:$B,'Raw_Data'!I:I)/1000,"")</f>
        <v>335.09089</v>
      </c>
      <c r="AC63" s="241">
        <f>IFERROR(_xlfn.XLOOKUP($D63,'Modelling New'!$D:$D,'Modelling New'!$P:$P),"")</f>
        <v>7.0290322580645164</v>
      </c>
      <c r="AD63" s="228">
        <f>IFERROR(_xlfn.XLOOKUP($D63,'Modelling New'!$D:$D,'Modelling New'!$T:$T)*1000,"")</f>
        <v>1925422.3808764045</v>
      </c>
      <c r="AE63" s="240">
        <f>IFERROR(_xlfn.XLOOKUP($D63,'Modelling New'!$D:$D,'Modelling New'!$O:$O),"")</f>
        <v>0.81746226777457909</v>
      </c>
      <c r="AF63" s="240">
        <f>IFERROR(_xlfn.XLOOKUP($D63,'Modelling New'!$D:$D,'Modelling New'!$W:$W),"")</f>
        <v>0.23941536041408709</v>
      </c>
      <c r="AG63" s="240">
        <f>IFERROR(_xlfn.XLOOKUP($D63,'Modelling New'!$D:$D,'Modelling New'!AE:AE),"")</f>
        <v>0.99750000000000005</v>
      </c>
      <c r="AH63" s="240">
        <f>IFERROR(_xlfn.XLOOKUP($D63,'Modelling New'!$D:$D,'Modelling New'!AF:AF),"")</f>
        <v>0.99750000000000005</v>
      </c>
      <c r="AI63" s="186"/>
      <c r="AJ63" s="186"/>
      <c r="AK63" s="227">
        <v>0.98199999999999998</v>
      </c>
      <c r="AL63" s="224">
        <f>IFERROR(Table13[[#This Row],[RA (%)]]*9270*58,"")</f>
        <v>527982.12</v>
      </c>
      <c r="AM63" s="225"/>
      <c r="AN63" s="238"/>
      <c r="AO63" s="240"/>
      <c r="AP63" s="240"/>
      <c r="AQ63" s="240"/>
      <c r="AR63" s="242">
        <f>IFERROR(_xlfn.XLOOKUP($D63,'Modelling New'!$D:$D,'Modelling New'!$N:$N),"")</f>
        <v>335.09100000000001</v>
      </c>
    </row>
    <row r="64" spans="1:44">
      <c r="A64" s="233">
        <f t="shared" si="3"/>
        <v>45807</v>
      </c>
      <c r="B64" s="228">
        <f>YEAR(Table13[[#This Row],[Date]])+IF(MONTH(Table13[[#This Row],[Date]])&gt;=4,1,0)</f>
        <v>2026</v>
      </c>
      <c r="C64" s="186">
        <f>YEAR(Table13[[#This Row],[Date]])</f>
        <v>2025</v>
      </c>
      <c r="D64" s="234">
        <f>Table13[[#This Row],[Date]]-DAY(Table13[[#This Row],[Date]])+1</f>
        <v>45778</v>
      </c>
      <c r="E64" s="186">
        <f t="shared" si="4"/>
        <v>31</v>
      </c>
      <c r="F64" s="235">
        <f>IFERROR(_xlfn.XLOOKUP($A64,'Raw_Data'!$B:$B,'Raw_Data'!$IX:$IX),"")</f>
        <v>13.116666666666665</v>
      </c>
      <c r="G64" s="236">
        <f>IFERROR(_xlfn.XLOOKUP($A64,'Raw_Data'!$B:$B,'Raw_Data'!IY:IY),"")</f>
        <v>7.3908527222222178</v>
      </c>
      <c r="H64" s="236">
        <f>IFERROR(_xlfn.XLOOKUP($A64,'Raw_Data'!$B:$B,'Raw_Data'!IZ:IZ),"")</f>
        <v>1.7842445277777779</v>
      </c>
      <c r="I64" s="236">
        <f>IFERROR(_xlfn.XLOOKUP($A64,'Raw_Data'!$B:$B,'Raw_Data'!JA:JA),"")</f>
        <v>7.1231982500000024</v>
      </c>
      <c r="J64" s="236">
        <f>IFERROR(_xlfn.XLOOKUP($A64,'Raw_Data'!$B:$B,'Raw_Data'!JB:JB),"")</f>
        <v>0.57940291666666643</v>
      </c>
      <c r="K64" s="236">
        <f>IFERROR(_xlfn.XLOOKUP($A64,'Raw_Data'!$B:$B,'Raw_Data'!JE:JE),"")</f>
        <v>35.882421098140952</v>
      </c>
      <c r="L64" s="236">
        <f>IFERROR(_xlfn.XLOOKUP($A64,'Raw_Data'!$B:$B,'Raw_Data'!JF:JF),"")</f>
        <v>48.848642209252056</v>
      </c>
      <c r="M64" s="236">
        <f>IFERROR(_xlfn.XLOOKUP($A64,'Raw_Data'!$B:$B,'Raw_Data'!JG:JG),"")</f>
        <v>4.3586141621660213</v>
      </c>
      <c r="N64" s="236">
        <f>IFERROR(_xlfn.XLOOKUP($A64,'Raw_Data'!$B:$B,'Raw_Data'!JH:JH),"")</f>
        <v>8.5197221666666678</v>
      </c>
      <c r="O64" s="237">
        <f>IFERROR(1-SUMIF(PA!$B:$B,$A64,PA!$AL:$AL)/($AA64+SUMIF(PA!$B:$B,$A64,PA!$AL:$AL)),"")</f>
        <v>0.99972086888102862</v>
      </c>
      <c r="P64" s="238"/>
      <c r="Q64" s="239"/>
      <c r="R64" s="240">
        <f>IFERROR(1-SUMIF(GA!$C:$C,$A64,GA!$X:$X)/($AA64+SUMIF(GA!$C:$C,$A64,GA!$X:$X)),"")</f>
        <v>1</v>
      </c>
      <c r="S64" s="186"/>
      <c r="T64" s="239"/>
      <c r="U64" s="237">
        <f t="shared" ref="U64:U127" si="5">IFERROR(AA64/I64/AR64/1000,"")</f>
        <v>0.81597468962565556</v>
      </c>
      <c r="V64" s="237">
        <f>IFERROR(_xlfn.XLOOKUP($A64,'Raw_Data'!$B:$B,'Raw_Data'!$JL:$JL),"")</f>
        <v>0.82088700810073167</v>
      </c>
      <c r="W64" s="240">
        <f t="shared" ref="W64:W127" si="6">IFERROR(AA64/(24*AR64*1000),"")</f>
        <v>0.2421812283827402</v>
      </c>
      <c r="X64" s="228">
        <f>IFERROR(_xlfn.XLOOKUP($A64,'Raw_Data'!$B:$B,'Raw_Data'!$JI:$JI),"")</f>
        <v>1964991.7000000007</v>
      </c>
      <c r="Y64" s="228">
        <f>IFERROR(_xlfn.XLOOKUP($A64,'Raw_Data'!$B:$B,'Raw_Data'!IT:IT),"")</f>
        <v>1951933.0000000191</v>
      </c>
      <c r="Z64" s="228">
        <f>IFERROR(_xlfn.XLOOKUP($A64,'Raw_Data'!$B:$B,'Raw_Data'!IU:IU),"")</f>
        <v>4266.9999999999964</v>
      </c>
      <c r="AA64" s="228">
        <f>IFERROR(_xlfn.XLOOKUP($A64,'Raw_Data'!$B:$B,'Raw_Data'!IW:IW),"")</f>
        <v>1947666.0000000191</v>
      </c>
      <c r="AB64" s="228">
        <f>IFERROR(_xlfn.XLOOKUP($A64,'Raw_Data'!$B:$B,'Raw_Data'!I:I)/1000,"")</f>
        <v>335.09089</v>
      </c>
      <c r="AC64" s="241">
        <f>IFERROR(_xlfn.XLOOKUP($D64,'Modelling New'!$D:$D,'Modelling New'!$P:$P),"")</f>
        <v>7.0290322580645164</v>
      </c>
      <c r="AD64" s="228">
        <f>IFERROR(_xlfn.XLOOKUP($D64,'Modelling New'!$D:$D,'Modelling New'!$T:$T)*1000,"")</f>
        <v>1925422.3808764045</v>
      </c>
      <c r="AE64" s="240">
        <f>IFERROR(_xlfn.XLOOKUP($D64,'Modelling New'!$D:$D,'Modelling New'!$O:$O),"")</f>
        <v>0.81746226777457909</v>
      </c>
      <c r="AF64" s="240">
        <f>IFERROR(_xlfn.XLOOKUP($D64,'Modelling New'!$D:$D,'Modelling New'!$W:$W),"")</f>
        <v>0.23941536041408709</v>
      </c>
      <c r="AG64" s="240">
        <f>IFERROR(_xlfn.XLOOKUP($D64,'Modelling New'!$D:$D,'Modelling New'!AE:AE),"")</f>
        <v>0.99750000000000005</v>
      </c>
      <c r="AH64" s="240">
        <f>IFERROR(_xlfn.XLOOKUP($D64,'Modelling New'!$D:$D,'Modelling New'!AF:AF),"")</f>
        <v>0.99750000000000005</v>
      </c>
      <c r="AI64" s="186"/>
      <c r="AJ64" s="186"/>
      <c r="AK64" s="227">
        <v>0.97299999999999998</v>
      </c>
      <c r="AL64" s="224">
        <f>IFERROR(Table13[[#This Row],[RA (%)]]*9270*58,"")</f>
        <v>523143.17999999993</v>
      </c>
      <c r="AM64" s="225"/>
      <c r="AN64" s="238"/>
      <c r="AO64" s="240"/>
      <c r="AP64" s="240"/>
      <c r="AQ64" s="240"/>
      <c r="AR64" s="242">
        <f>IFERROR(_xlfn.XLOOKUP($D64,'Modelling New'!$D:$D,'Modelling New'!$N:$N),"")</f>
        <v>335.09100000000001</v>
      </c>
    </row>
    <row r="65" spans="1:44">
      <c r="A65" s="233">
        <f t="shared" si="3"/>
        <v>45808</v>
      </c>
      <c r="B65" s="228">
        <f>YEAR(Table13[[#This Row],[Date]])+IF(MONTH(Table13[[#This Row],[Date]])&gt;=4,1,0)</f>
        <v>2026</v>
      </c>
      <c r="C65" s="186">
        <f>YEAR(Table13[[#This Row],[Date]])</f>
        <v>2025</v>
      </c>
      <c r="D65" s="234">
        <f>Table13[[#This Row],[Date]]-DAY(Table13[[#This Row],[Date]])+1</f>
        <v>45778</v>
      </c>
      <c r="E65" s="186">
        <f t="shared" si="4"/>
        <v>31</v>
      </c>
      <c r="F65" s="235">
        <f>IFERROR(_xlfn.XLOOKUP($A65,'Raw_Data'!$B:$B,'Raw_Data'!$IX:$IX),"")</f>
        <v>13.133333333333335</v>
      </c>
      <c r="G65" s="236">
        <f>IFERROR(_xlfn.XLOOKUP($A65,'Raw_Data'!$B:$B,'Raw_Data'!IY:IY),"")</f>
        <v>7.0700006111111122</v>
      </c>
      <c r="H65" s="236">
        <f>IFERROR(_xlfn.XLOOKUP($A65,'Raw_Data'!$B:$B,'Raw_Data'!IZ:IZ),"")</f>
        <v>1.7517789722222228</v>
      </c>
      <c r="I65" s="236">
        <f>IFERROR(_xlfn.XLOOKUP($A65,'Raw_Data'!$B:$B,'Raw_Data'!JA:JA),"")</f>
        <v>6.8522259583333343</v>
      </c>
      <c r="J65" s="236">
        <f>IFERROR(_xlfn.XLOOKUP($A65,'Raw_Data'!$B:$B,'Raw_Data'!JB:JB),"")</f>
        <v>0.58985211111111113</v>
      </c>
      <c r="K65" s="236">
        <f>IFERROR(_xlfn.XLOOKUP($A65,'Raw_Data'!$B:$B,'Raw_Data'!JE:JE),"")</f>
        <v>35.602482728842823</v>
      </c>
      <c r="L65" s="236">
        <f>IFERROR(_xlfn.XLOOKUP($A65,'Raw_Data'!$B:$B,'Raw_Data'!JF:JF),"")</f>
        <v>46.566666666666663</v>
      </c>
      <c r="M65" s="236">
        <f>IFERROR(_xlfn.XLOOKUP($A65,'Raw_Data'!$B:$B,'Raw_Data'!JG:JG),"")</f>
        <v>6.7604930586204661</v>
      </c>
      <c r="N65" s="236">
        <f>IFERROR(_xlfn.XLOOKUP($A65,'Raw_Data'!$B:$B,'Raw_Data'!JH:JH),"")</f>
        <v>11.217499833333333</v>
      </c>
      <c r="O65" s="237">
        <f>IFERROR(1-SUMIF(PA!$B:$B,$A65,PA!$AL:$AL)/($AA65+SUMIF(PA!$B:$B,$A65,PA!$AL:$AL)),"")</f>
        <v>0.99988260279099916</v>
      </c>
      <c r="P65" s="238"/>
      <c r="Q65" s="239"/>
      <c r="R65" s="240">
        <f>IFERROR(1-SUMIF(GA!$C:$C,$A65,GA!$X:$X)/($AA65+SUMIF(GA!$C:$C,$A65,GA!$X:$X)),"")</f>
        <v>0.97976664765529198</v>
      </c>
      <c r="S65" s="186"/>
      <c r="T65" s="239"/>
      <c r="U65" s="237">
        <f t="shared" si="5"/>
        <v>0.80866923663872592</v>
      </c>
      <c r="V65" s="237">
        <f>IFERROR(_xlfn.XLOOKUP($A65,'Raw_Data'!$B:$B,'Raw_Data'!$JL:$JL),"")</f>
        <v>0.81970269631424286</v>
      </c>
      <c r="W65" s="240">
        <f t="shared" si="6"/>
        <v>0.23088268062506168</v>
      </c>
      <c r="X65" s="228">
        <f>IFERROR(_xlfn.XLOOKUP($A65,'Raw_Data'!$B:$B,'Raw_Data'!$JI:$JI),"")</f>
        <v>1871744.8999999987</v>
      </c>
      <c r="Y65" s="228">
        <f>IFERROR(_xlfn.XLOOKUP($A65,'Raw_Data'!$B:$B,'Raw_Data'!IT:IT),"")</f>
        <v>1861066.9999999809</v>
      </c>
      <c r="Z65" s="228">
        <f>IFERROR(_xlfn.XLOOKUP($A65,'Raw_Data'!$B:$B,'Raw_Data'!IU:IU),"")</f>
        <v>4266.00000000002</v>
      </c>
      <c r="AA65" s="228">
        <f>IFERROR(_xlfn.XLOOKUP($A65,'Raw_Data'!$B:$B,'Raw_Data'!IW:IW),"")</f>
        <v>1856800.9999999809</v>
      </c>
      <c r="AB65" s="228">
        <f>IFERROR(_xlfn.XLOOKUP($A65,'Raw_Data'!$B:$B,'Raw_Data'!I:I)/1000,"")</f>
        <v>335.09089</v>
      </c>
      <c r="AC65" s="241">
        <f>IFERROR(_xlfn.XLOOKUP($D65,'Modelling New'!$D:$D,'Modelling New'!$P:$P),"")</f>
        <v>7.0290322580645164</v>
      </c>
      <c r="AD65" s="228">
        <f>IFERROR(_xlfn.XLOOKUP($D65,'Modelling New'!$D:$D,'Modelling New'!$T:$T)*1000,"")</f>
        <v>1925422.3808764045</v>
      </c>
      <c r="AE65" s="240">
        <f>IFERROR(_xlfn.XLOOKUP($D65,'Modelling New'!$D:$D,'Modelling New'!$O:$O),"")</f>
        <v>0.81746226777457909</v>
      </c>
      <c r="AF65" s="240">
        <f>IFERROR(_xlfn.XLOOKUP($D65,'Modelling New'!$D:$D,'Modelling New'!$W:$W),"")</f>
        <v>0.23941536041408709</v>
      </c>
      <c r="AG65" s="240">
        <f>IFERROR(_xlfn.XLOOKUP($D65,'Modelling New'!$D:$D,'Modelling New'!AE:AE),"")</f>
        <v>0.99750000000000005</v>
      </c>
      <c r="AH65" s="240">
        <f>IFERROR(_xlfn.XLOOKUP($D65,'Modelling New'!$D:$D,'Modelling New'!AF:AF),"")</f>
        <v>0.99750000000000005</v>
      </c>
      <c r="AI65" s="186"/>
      <c r="AJ65" s="186"/>
      <c r="AK65" s="259">
        <v>0.97299999999999998</v>
      </c>
      <c r="AL65" s="224">
        <f>IFERROR(Table13[[#This Row],[RA (%)]]*9270*58,"")</f>
        <v>523143.17999999993</v>
      </c>
      <c r="AM65" s="225"/>
      <c r="AN65" s="238"/>
      <c r="AO65" s="240"/>
      <c r="AP65" s="240"/>
      <c r="AQ65" s="240"/>
      <c r="AR65" s="242">
        <f>IFERROR(_xlfn.XLOOKUP($D65,'Modelling New'!$D:$D,'Modelling New'!$N:$N),"")</f>
        <v>335.09100000000001</v>
      </c>
    </row>
    <row r="66" spans="1:44">
      <c r="A66" s="233">
        <f t="shared" ref="A66:A129" si="7">A65+1</f>
        <v>45809</v>
      </c>
      <c r="B66" s="228">
        <f>YEAR(Table13[[#This Row],[Date]])+IF(MONTH(Table13[[#This Row],[Date]])&gt;=4,1,0)</f>
        <v>2026</v>
      </c>
      <c r="C66" s="186">
        <f>YEAR(Table13[[#This Row],[Date]])</f>
        <v>2025</v>
      </c>
      <c r="D66" s="234">
        <f>Table13[[#This Row],[Date]]-DAY(Table13[[#This Row],[Date]])+1</f>
        <v>45809</v>
      </c>
      <c r="E66" s="186">
        <f t="shared" si="4"/>
        <v>30</v>
      </c>
      <c r="F66" s="235">
        <f>IFERROR(_xlfn.XLOOKUP($A66,'Raw_Data'!$B:$B,'Raw_Data'!$IX:$IX),"")</f>
        <v>12.900000000000002</v>
      </c>
      <c r="G66" s="236">
        <f>IFERROR(_xlfn.XLOOKUP($A66,'Raw_Data'!$B:$B,'Raw_Data'!IY:IY),"")</f>
        <v>6.8304422222222243</v>
      </c>
      <c r="H66" s="236">
        <f>IFERROR(_xlfn.XLOOKUP($A66,'Raw_Data'!$B:$B,'Raw_Data'!IZ:IZ),"")</f>
        <v>1.6837094444444443</v>
      </c>
      <c r="I66" s="236">
        <f>IFERROR(_xlfn.XLOOKUP($A66,'Raw_Data'!$B:$B,'Raw_Data'!JA:JA),"")</f>
        <v>6.6375697499999999</v>
      </c>
      <c r="J66" s="236">
        <f>IFERROR(_xlfn.XLOOKUP($A66,'Raw_Data'!$B:$B,'Raw_Data'!JB:JB),"")</f>
        <v>0.56648100000000035</v>
      </c>
      <c r="K66" s="236">
        <f>IFERROR(_xlfn.XLOOKUP($A66,'Raw_Data'!$B:$B,'Raw_Data'!JE:JE),"")</f>
        <v>34.199149484536115</v>
      </c>
      <c r="L66" s="236">
        <f>IFERROR(_xlfn.XLOOKUP($A66,'Raw_Data'!$B:$B,'Raw_Data'!JF:JF),"")</f>
        <v>47.032273140034384</v>
      </c>
      <c r="M66" s="236">
        <f>IFERROR(_xlfn.XLOOKUP($A66,'Raw_Data'!$B:$B,'Raw_Data'!JG:JG),"")</f>
        <v>5.0827449960158946</v>
      </c>
      <c r="N66" s="236">
        <f>IFERROR(_xlfn.XLOOKUP($A66,'Raw_Data'!$B:$B,'Raw_Data'!JH:JH),"")</f>
        <v>10.005278833333334</v>
      </c>
      <c r="O66" s="237">
        <f>IFERROR(1-SUMIF(PA!$B:$B,$A66,PA!$AL:$AL)/($AA66+SUMIF(PA!$B:$B,$A66,PA!$AL:$AL)),"")</f>
        <v>1</v>
      </c>
      <c r="P66" s="238"/>
      <c r="Q66" s="239"/>
      <c r="R66" s="240">
        <f>IFERROR(1-SUMIF(GA!$C:$C,$A66,GA!$X:$X)/($AA66+SUMIF(GA!$C:$C,$A66,GA!$X:$X)),"")</f>
        <v>0.88915500734400266</v>
      </c>
      <c r="S66" s="186"/>
      <c r="T66" s="239"/>
      <c r="U66" s="237">
        <f t="shared" si="5"/>
        <v>0.70737395693677685</v>
      </c>
      <c r="V66" s="237">
        <f>IFERROR(_xlfn.XLOOKUP($A66,'Raw_Data'!$B:$B,'Raw_Data'!$JL:$JL),"")</f>
        <v>0.79178686534254161</v>
      </c>
      <c r="W66" s="240">
        <f t="shared" si="6"/>
        <v>0.19563516577088969</v>
      </c>
      <c r="X66" s="228">
        <f>IFERROR(_xlfn.XLOOKUP($A66,'Raw_Data'!$B:$B,'Raw_Data'!$JI:$JI),"")</f>
        <v>1584800.6000000008</v>
      </c>
      <c r="Y66" s="228">
        <f>IFERROR(_xlfn.XLOOKUP($A66,'Raw_Data'!$B:$B,'Raw_Data'!IT:IT),"")</f>
        <v>1576733.9999999967</v>
      </c>
      <c r="Z66" s="228">
        <f>IFERROR(_xlfn.XLOOKUP($A66,'Raw_Data'!$B:$B,'Raw_Data'!IU:IU),"")</f>
        <v>3399.9999999999773</v>
      </c>
      <c r="AA66" s="228">
        <f>IFERROR(_xlfn.XLOOKUP($A66,'Raw_Data'!$B:$B,'Raw_Data'!IW:IW),"")</f>
        <v>1573333.9999999967</v>
      </c>
      <c r="AB66" s="228">
        <f>IFERROR(_xlfn.XLOOKUP($A66,'Raw_Data'!$B:$B,'Raw_Data'!I:I)/1000,"")</f>
        <v>335.09089</v>
      </c>
      <c r="AC66" s="241">
        <f>IFERROR(_xlfn.XLOOKUP($D66,'Modelling New'!$D:$D,'Modelling New'!$P:$P),"")</f>
        <v>6.4266666666666667</v>
      </c>
      <c r="AD66" s="228">
        <f>IFERROR(_xlfn.XLOOKUP($D66,'Modelling New'!$D:$D,'Modelling New'!$T:$T)*1000,"")</f>
        <v>1787188.5300258806</v>
      </c>
      <c r="AE66" s="240">
        <f>IFERROR(_xlfn.XLOOKUP($D66,'Modelling New'!$D:$D,'Modelling New'!$O:$O),"")</f>
        <v>0.82989248162452478</v>
      </c>
      <c r="AF66" s="240">
        <f>IFERROR(_xlfn.XLOOKUP($D66,'Modelling New'!$D:$D,'Modelling New'!$W:$W),"")</f>
        <v>0.22222676452390053</v>
      </c>
      <c r="AG66" s="240">
        <f>IFERROR(_xlfn.XLOOKUP($D66,'Modelling New'!$D:$D,'Modelling New'!AE:AE),"")</f>
        <v>0.99750000000000005</v>
      </c>
      <c r="AH66" s="240">
        <f>IFERROR(_xlfn.XLOOKUP($D66,'Modelling New'!$D:$D,'Modelling New'!AF:AF),"")</f>
        <v>0.99750000000000005</v>
      </c>
      <c r="AI66" s="186"/>
      <c r="AJ66" s="186"/>
      <c r="AK66" s="227">
        <v>0.97699999999999998</v>
      </c>
      <c r="AL66" s="224">
        <f>IFERROR(Table13[[#This Row],[RA (%)]]*9270*58,"")</f>
        <v>525293.81999999995</v>
      </c>
      <c r="AM66" s="225"/>
      <c r="AN66" s="238"/>
      <c r="AO66" s="240"/>
      <c r="AP66" s="240"/>
      <c r="AQ66" s="240"/>
      <c r="AR66" s="242">
        <f>IFERROR(_xlfn.XLOOKUP($D66,'Modelling New'!$D:$D,'Modelling New'!$N:$N),"")</f>
        <v>335.09100000000001</v>
      </c>
    </row>
    <row r="67" spans="1:44">
      <c r="A67" s="233">
        <f t="shared" si="7"/>
        <v>45810</v>
      </c>
      <c r="B67" s="228">
        <f>YEAR(Table13[[#This Row],[Date]])+IF(MONTH(Table13[[#This Row],[Date]])&gt;=4,1,0)</f>
        <v>2026</v>
      </c>
      <c r="C67" s="186">
        <f>YEAR(Table13[[#This Row],[Date]])</f>
        <v>2025</v>
      </c>
      <c r="D67" s="234">
        <f>Table13[[#This Row],[Date]]-DAY(Table13[[#This Row],[Date]])+1</f>
        <v>45809</v>
      </c>
      <c r="E67" s="186">
        <f t="shared" si="4"/>
        <v>30</v>
      </c>
      <c r="F67" s="235">
        <f>IFERROR(_xlfn.XLOOKUP($A67,'Raw_Data'!$B:$B,'Raw_Data'!$IX:$IX),"")</f>
        <v>13.149999999999999</v>
      </c>
      <c r="G67" s="236">
        <f>IFERROR(_xlfn.XLOOKUP($A67,'Raw_Data'!$B:$B,'Raw_Data'!IY:IY),"")</f>
        <v>7.3711026944444447</v>
      </c>
      <c r="H67" s="236">
        <f>IFERROR(_xlfn.XLOOKUP($A67,'Raw_Data'!$B:$B,'Raw_Data'!IZ:IZ),"")</f>
        <v>1.8091849166666663</v>
      </c>
      <c r="I67" s="236">
        <f>IFERROR(_xlfn.XLOOKUP($A67,'Raw_Data'!$B:$B,'Raw_Data'!JA:JA),"")</f>
        <v>7.1023286666666667</v>
      </c>
      <c r="J67" s="236">
        <f>IFERROR(_xlfn.XLOOKUP($A67,'Raw_Data'!$B:$B,'Raw_Data'!JB:JB),"")</f>
        <v>0.60623402777777791</v>
      </c>
      <c r="K67" s="236">
        <f>IFERROR(_xlfn.XLOOKUP($A67,'Raw_Data'!$B:$B,'Raw_Data'!JE:JE),"")</f>
        <v>34.713934531450576</v>
      </c>
      <c r="L67" s="236">
        <f>IFERROR(_xlfn.XLOOKUP($A67,'Raw_Data'!$B:$B,'Raw_Data'!JF:JF),"")</f>
        <v>47.4076068378263</v>
      </c>
      <c r="M67" s="236">
        <f>IFERROR(_xlfn.XLOOKUP($A67,'Raw_Data'!$B:$B,'Raw_Data'!JG:JG),"")</f>
        <v>5.5027579423020931</v>
      </c>
      <c r="N67" s="236">
        <f>IFERROR(_xlfn.XLOOKUP($A67,'Raw_Data'!$B:$B,'Raw_Data'!JH:JH),"")</f>
        <v>10.110001499999999</v>
      </c>
      <c r="O67" s="237">
        <f>IFERROR(1-SUMIF(PA!$B:$B,$A67,PA!$AL:$AL)/($AA67+SUMIF(PA!$B:$B,$A67,PA!$AL:$AL)),"")</f>
        <v>1</v>
      </c>
      <c r="P67" s="238"/>
      <c r="Q67" s="239"/>
      <c r="R67" s="240">
        <f>IFERROR(1-SUMIF(GA!$C:$C,$A67,GA!$X:$X)/($AA67+SUMIF(GA!$C:$C,$A67,GA!$X:$X)),"")</f>
        <v>0.97796920819992184</v>
      </c>
      <c r="S67" s="186"/>
      <c r="T67" s="239"/>
      <c r="U67" s="237">
        <f t="shared" si="5"/>
        <v>0.80537490055343441</v>
      </c>
      <c r="V67" s="237">
        <f>IFERROR(_xlfn.XLOOKUP($A67,'Raw_Data'!$B:$B,'Raw_Data'!$JL:$JL),"")</f>
        <v>0.81833230663367196</v>
      </c>
      <c r="W67" s="240">
        <f t="shared" si="6"/>
        <v>0.23833488515060305</v>
      </c>
      <c r="X67" s="228">
        <f>IFERROR(_xlfn.XLOOKUP($A67,'Raw_Data'!$B:$B,'Raw_Data'!$JI:$JI),"")</f>
        <v>1931233.600000001</v>
      </c>
      <c r="Y67" s="228">
        <f>IFERROR(_xlfn.XLOOKUP($A67,'Raw_Data'!$B:$B,'Raw_Data'!IT:IT),"")</f>
        <v>1919800.0000000175</v>
      </c>
      <c r="Z67" s="228">
        <f>IFERROR(_xlfn.XLOOKUP($A67,'Raw_Data'!$B:$B,'Raw_Data'!IU:IU),"")</f>
        <v>3067.0000000000073</v>
      </c>
      <c r="AA67" s="228">
        <f>IFERROR(_xlfn.XLOOKUP($A67,'Raw_Data'!$B:$B,'Raw_Data'!IW:IW),"")</f>
        <v>1916733.0000000175</v>
      </c>
      <c r="AB67" s="228">
        <f>IFERROR(_xlfn.XLOOKUP($A67,'Raw_Data'!$B:$B,'Raw_Data'!I:I)/1000,"")</f>
        <v>335.09089</v>
      </c>
      <c r="AC67" s="241">
        <f>IFERROR(_xlfn.XLOOKUP($D67,'Modelling New'!$D:$D,'Modelling New'!$P:$P),"")</f>
        <v>6.4266666666666667</v>
      </c>
      <c r="AD67" s="228">
        <f>IFERROR(_xlfn.XLOOKUP($D67,'Modelling New'!$D:$D,'Modelling New'!$T:$T)*1000,"")</f>
        <v>1787188.5300258806</v>
      </c>
      <c r="AE67" s="240">
        <f>IFERROR(_xlfn.XLOOKUP($D67,'Modelling New'!$D:$D,'Modelling New'!$O:$O),"")</f>
        <v>0.82989248162452478</v>
      </c>
      <c r="AF67" s="240">
        <f>IFERROR(_xlfn.XLOOKUP($D67,'Modelling New'!$D:$D,'Modelling New'!$W:$W),"")</f>
        <v>0.22222676452390053</v>
      </c>
      <c r="AG67" s="240">
        <f>IFERROR(_xlfn.XLOOKUP($D67,'Modelling New'!$D:$D,'Modelling New'!AE:AE),"")</f>
        <v>0.99750000000000005</v>
      </c>
      <c r="AH67" s="240">
        <f>IFERROR(_xlfn.XLOOKUP($D67,'Modelling New'!$D:$D,'Modelling New'!AF:AF),"")</f>
        <v>0.99750000000000005</v>
      </c>
      <c r="AI67" s="186"/>
      <c r="AJ67" s="186"/>
      <c r="AK67" s="227">
        <v>0.96699999999999997</v>
      </c>
      <c r="AL67" s="224">
        <f>IFERROR(Table13[[#This Row],[RA (%)]]*9270*58,"")</f>
        <v>519917.22000000003</v>
      </c>
      <c r="AM67" s="225"/>
      <c r="AN67" s="238"/>
      <c r="AO67" s="240"/>
      <c r="AP67" s="240"/>
      <c r="AQ67" s="240"/>
      <c r="AR67" s="242">
        <f>IFERROR(_xlfn.XLOOKUP($D67,'Modelling New'!$D:$D,'Modelling New'!$N:$N),"")</f>
        <v>335.09100000000001</v>
      </c>
    </row>
    <row r="68" spans="1:44">
      <c r="A68" s="233">
        <f t="shared" si="7"/>
        <v>45811</v>
      </c>
      <c r="B68" s="228">
        <f>YEAR(Table13[[#This Row],[Date]])+IF(MONTH(Table13[[#This Row],[Date]])&gt;=4,1,0)</f>
        <v>2026</v>
      </c>
      <c r="C68" s="186">
        <f>YEAR(Table13[[#This Row],[Date]])</f>
        <v>2025</v>
      </c>
      <c r="D68" s="234">
        <f>Table13[[#This Row],[Date]]-DAY(Table13[[#This Row],[Date]])+1</f>
        <v>45809</v>
      </c>
      <c r="E68" s="186">
        <f t="shared" si="4"/>
        <v>30</v>
      </c>
      <c r="F68" s="235">
        <f>IFERROR(_xlfn.XLOOKUP($A68,'Raw_Data'!$B:$B,'Raw_Data'!$IX:$IX),"")</f>
        <v>13.166666666666668</v>
      </c>
      <c r="G68" s="236">
        <f>IFERROR(_xlfn.XLOOKUP($A68,'Raw_Data'!$B:$B,'Raw_Data'!IY:IY),"")</f>
        <v>7.0837683888888918</v>
      </c>
      <c r="H68" s="236">
        <f>IFERROR(_xlfn.XLOOKUP($A68,'Raw_Data'!$B:$B,'Raw_Data'!IZ:IZ),"")</f>
        <v>1.7920234722222224</v>
      </c>
      <c r="I68" s="236">
        <f>IFERROR(_xlfn.XLOOKUP($A68,'Raw_Data'!$B:$B,'Raw_Data'!JA:JA),"")</f>
        <v>6.8590140416666667</v>
      </c>
      <c r="J68" s="236">
        <f>IFERROR(_xlfn.XLOOKUP($A68,'Raw_Data'!$B:$B,'Raw_Data'!JB:JB),"")</f>
        <v>0.62037511111111099</v>
      </c>
      <c r="K68" s="236">
        <f>IFERROR(_xlfn.XLOOKUP($A68,'Raw_Data'!$B:$B,'Raw_Data'!JE:JE),"")</f>
        <v>34.773781062553553</v>
      </c>
      <c r="L68" s="236">
        <f>IFERROR(_xlfn.XLOOKUP($A68,'Raw_Data'!$B:$B,'Raw_Data'!JF:JF),"")</f>
        <v>46.161235038560392</v>
      </c>
      <c r="M68" s="236">
        <f>IFERROR(_xlfn.XLOOKUP($A68,'Raw_Data'!$B:$B,'Raw_Data'!JG:JG),"")</f>
        <v>5.9517324891366696</v>
      </c>
      <c r="N68" s="236">
        <f>IFERROR(_xlfn.XLOOKUP($A68,'Raw_Data'!$B:$B,'Raw_Data'!JH:JH),"")</f>
        <v>10.814721499999999</v>
      </c>
      <c r="O68" s="237">
        <f>IFERROR(1-SUMIF(PA!$B:$B,$A68,PA!$AL:$AL)/($AA68+SUMIF(PA!$B:$B,$A68,PA!$AL:$AL)),"")</f>
        <v>0.99998295193011455</v>
      </c>
      <c r="P68" s="238"/>
      <c r="Q68" s="239"/>
      <c r="R68" s="240">
        <f>IFERROR(1-SUMIF(GA!$C:$C,$A68,GA!$X:$X)/($AA68+SUMIF(GA!$C:$C,$A68,GA!$X:$X)),"")</f>
        <v>0.98445630748292645</v>
      </c>
      <c r="S68" s="186"/>
      <c r="T68" s="239"/>
      <c r="U68" s="237">
        <f t="shared" si="5"/>
        <v>0.82364777474406836</v>
      </c>
      <c r="V68" s="237">
        <f>IFERROR(_xlfn.XLOOKUP($A68,'Raw_Data'!$B:$B,'Raw_Data'!$JL:$JL),"")</f>
        <v>0.83195209367465517</v>
      </c>
      <c r="W68" s="240">
        <f t="shared" si="6"/>
        <v>0.23539215218154452</v>
      </c>
      <c r="X68" s="228">
        <f>IFERROR(_xlfn.XLOOKUP($A68,'Raw_Data'!$B:$B,'Raw_Data'!$JI:$JI),"")</f>
        <v>1907785.600000001</v>
      </c>
      <c r="Y68" s="228">
        <f>IFERROR(_xlfn.XLOOKUP($A68,'Raw_Data'!$B:$B,'Raw_Data'!IT:IT),"")</f>
        <v>1897199.9999999825</v>
      </c>
      <c r="Z68" s="228">
        <f>IFERROR(_xlfn.XLOOKUP($A68,'Raw_Data'!$B:$B,'Raw_Data'!IU:IU),"")</f>
        <v>4133.0000000000382</v>
      </c>
      <c r="AA68" s="228">
        <f>IFERROR(_xlfn.XLOOKUP($A68,'Raw_Data'!$B:$B,'Raw_Data'!IW:IW),"")</f>
        <v>1893066.9999999825</v>
      </c>
      <c r="AB68" s="228">
        <f>IFERROR(_xlfn.XLOOKUP($A68,'Raw_Data'!$B:$B,'Raw_Data'!I:I)/1000,"")</f>
        <v>335.09089</v>
      </c>
      <c r="AC68" s="241">
        <f>IFERROR(_xlfn.XLOOKUP($D68,'Modelling New'!$D:$D,'Modelling New'!$P:$P),"")</f>
        <v>6.4266666666666667</v>
      </c>
      <c r="AD68" s="228">
        <f>IFERROR(_xlfn.XLOOKUP($D68,'Modelling New'!$D:$D,'Modelling New'!$T:$T)*1000,"")</f>
        <v>1787188.5300258806</v>
      </c>
      <c r="AE68" s="240">
        <f>IFERROR(_xlfn.XLOOKUP($D68,'Modelling New'!$D:$D,'Modelling New'!$O:$O),"")</f>
        <v>0.82989248162452478</v>
      </c>
      <c r="AF68" s="240">
        <f>IFERROR(_xlfn.XLOOKUP($D68,'Modelling New'!$D:$D,'Modelling New'!$W:$W),"")</f>
        <v>0.22222676452390053</v>
      </c>
      <c r="AG68" s="240">
        <f>IFERROR(_xlfn.XLOOKUP($D68,'Modelling New'!$D:$D,'Modelling New'!AE:AE),"")</f>
        <v>0.99750000000000005</v>
      </c>
      <c r="AH68" s="240">
        <f>IFERROR(_xlfn.XLOOKUP($D68,'Modelling New'!$D:$D,'Modelling New'!AF:AF),"")</f>
        <v>0.99750000000000005</v>
      </c>
      <c r="AI68" s="186"/>
      <c r="AJ68" s="186"/>
      <c r="AK68" s="227">
        <v>0.98</v>
      </c>
      <c r="AL68" s="224">
        <f>IFERROR(Table13[[#This Row],[RA (%)]]*9270*58,"")</f>
        <v>526906.80000000005</v>
      </c>
      <c r="AM68" s="225"/>
      <c r="AN68" s="238"/>
      <c r="AO68" s="240"/>
      <c r="AP68" s="240"/>
      <c r="AQ68" s="240"/>
      <c r="AR68" s="242">
        <f>IFERROR(_xlfn.XLOOKUP($D68,'Modelling New'!$D:$D,'Modelling New'!$N:$N),"")</f>
        <v>335.09100000000001</v>
      </c>
    </row>
    <row r="69" spans="1:44">
      <c r="A69" s="233">
        <f t="shared" si="7"/>
        <v>45812</v>
      </c>
      <c r="B69" s="228">
        <f>YEAR(Table13[[#This Row],[Date]])+IF(MONTH(Table13[[#This Row],[Date]])&gt;=4,1,0)</f>
        <v>2026</v>
      </c>
      <c r="C69" s="186">
        <f>YEAR(Table13[[#This Row],[Date]])</f>
        <v>2025</v>
      </c>
      <c r="D69" s="234">
        <f>Table13[[#This Row],[Date]]-DAY(Table13[[#This Row],[Date]])+1</f>
        <v>45809</v>
      </c>
      <c r="E69" s="186">
        <f t="shared" si="4"/>
        <v>30</v>
      </c>
      <c r="F69" s="235">
        <f>IFERROR(_xlfn.XLOOKUP($A69,'Raw_Data'!$B:$B,'Raw_Data'!$IX:$IX),"")</f>
        <v>13.133333333333335</v>
      </c>
      <c r="G69" s="236">
        <f>IFERROR(_xlfn.XLOOKUP($A69,'Raw_Data'!$B:$B,'Raw_Data'!IY:IY),"")</f>
        <v>7.3755162777777805</v>
      </c>
      <c r="H69" s="236">
        <f>IFERROR(_xlfn.XLOOKUP($A69,'Raw_Data'!$B:$B,'Raw_Data'!IZ:IZ),"")</f>
        <v>1.869793944444444</v>
      </c>
      <c r="I69" s="236">
        <f>IFERROR(_xlfn.XLOOKUP($A69,'Raw_Data'!$B:$B,'Raw_Data'!JA:JA),"")</f>
        <v>7.1146697499999991</v>
      </c>
      <c r="J69" s="236">
        <f>IFERROR(_xlfn.XLOOKUP($A69,'Raw_Data'!$B:$B,'Raw_Data'!JB:JB),"")</f>
        <v>0.63904944444444467</v>
      </c>
      <c r="K69" s="236">
        <f>IFERROR(_xlfn.XLOOKUP($A69,'Raw_Data'!$B:$B,'Raw_Data'!JE:JE),"")</f>
        <v>34.900012820512821</v>
      </c>
      <c r="L69" s="236">
        <f>IFERROR(_xlfn.XLOOKUP($A69,'Raw_Data'!$B:$B,'Raw_Data'!JF:JF),"")</f>
        <v>48.072920482906021</v>
      </c>
      <c r="M69" s="236">
        <f>IFERROR(_xlfn.XLOOKUP($A69,'Raw_Data'!$B:$B,'Raw_Data'!JG:JG),"")</f>
        <v>4.7339819918824793</v>
      </c>
      <c r="N69" s="236">
        <f>IFERROR(_xlfn.XLOOKUP($A69,'Raw_Data'!$B:$B,'Raw_Data'!JH:JH),"")</f>
        <v>8.9947220000000012</v>
      </c>
      <c r="O69" s="237">
        <f>IFERROR(1-SUMIF(PA!$B:$B,$A69,PA!$AL:$AL)/($AA69+SUMIF(PA!$B:$B,$A69,PA!$AL:$AL)),"")</f>
        <v>1</v>
      </c>
      <c r="P69" s="238"/>
      <c r="Q69" s="239"/>
      <c r="R69" s="240">
        <f>IFERROR(1-SUMIF(GA!$C:$C,$A69,GA!$X:$X)/($AA69+SUMIF(GA!$C:$C,$A69,GA!$X:$X)),"")</f>
        <v>0.9413397334718332</v>
      </c>
      <c r="S69" s="186"/>
      <c r="T69" s="239"/>
      <c r="U69" s="237">
        <f t="shared" si="5"/>
        <v>0.76935925028406937</v>
      </c>
      <c r="V69" s="237">
        <f>IFERROR(_xlfn.XLOOKUP($A69,'Raw_Data'!$B:$B,'Raw_Data'!$JL:$JL),"")</f>
        <v>0.81760403561987627</v>
      </c>
      <c r="W69" s="240">
        <f t="shared" si="6"/>
        <v>0.22807237436994779</v>
      </c>
      <c r="X69" s="228">
        <f>IFERROR(_xlfn.XLOOKUP($A69,'Raw_Data'!$B:$B,'Raw_Data'!$JI:$JI),"")</f>
        <v>1847400.7999999991</v>
      </c>
      <c r="Y69" s="228">
        <f>IFERROR(_xlfn.XLOOKUP($A69,'Raw_Data'!$B:$B,'Raw_Data'!IT:IT),"")</f>
        <v>1838467.0000000042</v>
      </c>
      <c r="Z69" s="228">
        <f>IFERROR(_xlfn.XLOOKUP($A69,'Raw_Data'!$B:$B,'Raw_Data'!IU:IU),"")</f>
        <v>4266.9999999999964</v>
      </c>
      <c r="AA69" s="228">
        <f>IFERROR(_xlfn.XLOOKUP($A69,'Raw_Data'!$B:$B,'Raw_Data'!IW:IW),"")</f>
        <v>1834200.0000000042</v>
      </c>
      <c r="AB69" s="228">
        <f>IFERROR(_xlfn.XLOOKUP($A69,'Raw_Data'!$B:$B,'Raw_Data'!I:I)/1000,"")</f>
        <v>335.09089</v>
      </c>
      <c r="AC69" s="241">
        <f>IFERROR(_xlfn.XLOOKUP($D69,'Modelling New'!$D:$D,'Modelling New'!$P:$P),"")</f>
        <v>6.4266666666666667</v>
      </c>
      <c r="AD69" s="228">
        <f>IFERROR(_xlfn.XLOOKUP($D69,'Modelling New'!$D:$D,'Modelling New'!$T:$T)*1000,"")</f>
        <v>1787188.5300258806</v>
      </c>
      <c r="AE69" s="240">
        <f>IFERROR(_xlfn.XLOOKUP($D69,'Modelling New'!$D:$D,'Modelling New'!$O:$O),"")</f>
        <v>0.82989248162452478</v>
      </c>
      <c r="AF69" s="240">
        <f>IFERROR(_xlfn.XLOOKUP($D69,'Modelling New'!$D:$D,'Modelling New'!$W:$W),"")</f>
        <v>0.22222676452390053</v>
      </c>
      <c r="AG69" s="240">
        <f>IFERROR(_xlfn.XLOOKUP($D69,'Modelling New'!$D:$D,'Modelling New'!AE:AE),"")</f>
        <v>0.99750000000000005</v>
      </c>
      <c r="AH69" s="240">
        <f>IFERROR(_xlfn.XLOOKUP($D69,'Modelling New'!$D:$D,'Modelling New'!AF:AF),"")</f>
        <v>0.99750000000000005</v>
      </c>
      <c r="AI69" s="186"/>
      <c r="AJ69" s="186"/>
      <c r="AK69" s="227">
        <v>0.97199999999999998</v>
      </c>
      <c r="AL69" s="224">
        <f>IFERROR(Table13[[#This Row],[RA (%)]]*9270*58,"")</f>
        <v>522605.52</v>
      </c>
      <c r="AM69" s="225"/>
      <c r="AN69" s="238"/>
      <c r="AO69" s="240"/>
      <c r="AP69" s="240"/>
      <c r="AQ69" s="240"/>
      <c r="AR69" s="242">
        <f>IFERROR(_xlfn.XLOOKUP($D69,'Modelling New'!$D:$D,'Modelling New'!$N:$N),"")</f>
        <v>335.09100000000001</v>
      </c>
    </row>
    <row r="70" spans="1:44">
      <c r="A70" s="233">
        <f t="shared" si="7"/>
        <v>45813</v>
      </c>
      <c r="B70" s="228">
        <f>YEAR(Table13[[#This Row],[Date]])+IF(MONTH(Table13[[#This Row],[Date]])&gt;=4,1,0)</f>
        <v>2026</v>
      </c>
      <c r="C70" s="186">
        <f>YEAR(Table13[[#This Row],[Date]])</f>
        <v>2025</v>
      </c>
      <c r="D70" s="234">
        <f>Table13[[#This Row],[Date]]-DAY(Table13[[#This Row],[Date]])+1</f>
        <v>45809</v>
      </c>
      <c r="E70" s="186">
        <f t="shared" si="4"/>
        <v>30</v>
      </c>
      <c r="F70" s="235">
        <f>IFERROR(_xlfn.XLOOKUP($A70,'Raw_Data'!$B:$B,'Raw_Data'!$IX:$IX),"")</f>
        <v>13.183333333333332</v>
      </c>
      <c r="G70" s="236">
        <f>IFERROR(_xlfn.XLOOKUP($A70,'Raw_Data'!$B:$B,'Raw_Data'!IY:IY),"")</f>
        <v>7.5340397222222242</v>
      </c>
      <c r="H70" s="236">
        <f>IFERROR(_xlfn.XLOOKUP($A70,'Raw_Data'!$B:$B,'Raw_Data'!IZ:IZ),"")</f>
        <v>1.8882788888888893</v>
      </c>
      <c r="I70" s="236">
        <f>IFERROR(_xlfn.XLOOKUP($A70,'Raw_Data'!$B:$B,'Raw_Data'!JA:JA),"")</f>
        <v>7.2575977500000004</v>
      </c>
      <c r="J70" s="236">
        <f>IFERROR(_xlfn.XLOOKUP($A70,'Raw_Data'!$B:$B,'Raw_Data'!JB:JB),"")</f>
        <v>0.62868175000000004</v>
      </c>
      <c r="K70" s="236">
        <f>IFERROR(_xlfn.XLOOKUP($A70,'Raw_Data'!$B:$B,'Raw_Data'!JE:JE),"")</f>
        <v>35.393455128205133</v>
      </c>
      <c r="L70" s="236">
        <f>IFERROR(_xlfn.XLOOKUP($A70,'Raw_Data'!$B:$B,'Raw_Data'!JF:JF),"")</f>
        <v>48.345221021367536</v>
      </c>
      <c r="M70" s="236">
        <f>IFERROR(_xlfn.XLOOKUP($A70,'Raw_Data'!$B:$B,'Raw_Data'!JG:JG),"")</f>
        <v>4.5916262339722245</v>
      </c>
      <c r="N70" s="236">
        <f>IFERROR(_xlfn.XLOOKUP($A70,'Raw_Data'!$B:$B,'Raw_Data'!JH:JH),"")</f>
        <v>9.312777333333333</v>
      </c>
      <c r="O70" s="237">
        <f>IFERROR(1-SUMIF(PA!$B:$B,$A70,PA!$AL:$AL)/($AA70+SUMIF(PA!$B:$B,$A70,PA!$AL:$AL)),"")</f>
        <v>0.99998811672530519</v>
      </c>
      <c r="P70" s="238"/>
      <c r="Q70" s="239"/>
      <c r="R70" s="240">
        <f>IFERROR(1-SUMIF(GA!$C:$C,$A70,GA!$X:$X)/($AA70+SUMIF(GA!$C:$C,$A70,GA!$X:$X)),"")</f>
        <v>1</v>
      </c>
      <c r="S70" s="186"/>
      <c r="T70" s="239"/>
      <c r="U70" s="237">
        <f t="shared" si="5"/>
        <v>0.82087556534919937</v>
      </c>
      <c r="V70" s="237">
        <f>IFERROR(_xlfn.XLOOKUP($A70,'Raw_Data'!$B:$B,'Raw_Data'!$JL:$JL),"")</f>
        <v>0.81920555979672782</v>
      </c>
      <c r="W70" s="240">
        <f t="shared" si="6"/>
        <v>0.24823269400451367</v>
      </c>
      <c r="X70" s="228">
        <f>IFERROR(_xlfn.XLOOKUP($A70,'Raw_Data'!$B:$B,'Raw_Data'!$JI:$JI),"")</f>
        <v>2012506.2000000002</v>
      </c>
      <c r="Y70" s="228">
        <f>IFERROR(_xlfn.XLOOKUP($A70,'Raw_Data'!$B:$B,'Raw_Data'!IT:IT),"")</f>
        <v>2000532.9999999958</v>
      </c>
      <c r="Z70" s="228">
        <f>IFERROR(_xlfn.XLOOKUP($A70,'Raw_Data'!$B:$B,'Raw_Data'!IU:IU),"")</f>
        <v>4199.9999999999891</v>
      </c>
      <c r="AA70" s="228">
        <f>IFERROR(_xlfn.XLOOKUP($A70,'Raw_Data'!$B:$B,'Raw_Data'!IW:IW),"")</f>
        <v>1996332.9999999958</v>
      </c>
      <c r="AB70" s="228">
        <f>IFERROR(_xlfn.XLOOKUP($A70,'Raw_Data'!$B:$B,'Raw_Data'!I:I)/1000,"")</f>
        <v>335.09089</v>
      </c>
      <c r="AC70" s="241">
        <f>IFERROR(_xlfn.XLOOKUP($D70,'Modelling New'!$D:$D,'Modelling New'!$P:$P),"")</f>
        <v>6.4266666666666667</v>
      </c>
      <c r="AD70" s="228">
        <f>IFERROR(_xlfn.XLOOKUP($D70,'Modelling New'!$D:$D,'Modelling New'!$T:$T)*1000,"")</f>
        <v>1787188.5300258806</v>
      </c>
      <c r="AE70" s="240">
        <f>IFERROR(_xlfn.XLOOKUP($D70,'Modelling New'!$D:$D,'Modelling New'!$O:$O),"")</f>
        <v>0.82989248162452478</v>
      </c>
      <c r="AF70" s="240">
        <f>IFERROR(_xlfn.XLOOKUP($D70,'Modelling New'!$D:$D,'Modelling New'!$W:$W),"")</f>
        <v>0.22222676452390053</v>
      </c>
      <c r="AG70" s="240">
        <f>IFERROR(_xlfn.XLOOKUP($D70,'Modelling New'!$D:$D,'Modelling New'!AE:AE),"")</f>
        <v>0.99750000000000005</v>
      </c>
      <c r="AH70" s="240">
        <f>IFERROR(_xlfn.XLOOKUP($D70,'Modelling New'!$D:$D,'Modelling New'!AF:AF),"")</f>
        <v>0.99750000000000005</v>
      </c>
      <c r="AI70" s="186"/>
      <c r="AJ70" s="186"/>
      <c r="AK70" s="227">
        <v>0.97499999999999998</v>
      </c>
      <c r="AL70" s="224">
        <f>IFERROR(Table13[[#This Row],[RA (%)]]*9270*58,"")</f>
        <v>524218.5</v>
      </c>
      <c r="AM70" s="225"/>
      <c r="AN70" s="238"/>
      <c r="AO70" s="240"/>
      <c r="AP70" s="240"/>
      <c r="AQ70" s="240"/>
      <c r="AR70" s="242">
        <f>IFERROR(_xlfn.XLOOKUP($D70,'Modelling New'!$D:$D,'Modelling New'!$N:$N),"")</f>
        <v>335.09100000000001</v>
      </c>
    </row>
    <row r="71" spans="1:44">
      <c r="A71" s="233">
        <f t="shared" si="7"/>
        <v>45814</v>
      </c>
      <c r="B71" s="228">
        <f>YEAR(Table13[[#This Row],[Date]])+IF(MONTH(Table13[[#This Row],[Date]])&gt;=4,1,0)</f>
        <v>2026</v>
      </c>
      <c r="C71" s="186">
        <f>YEAR(Table13[[#This Row],[Date]])</f>
        <v>2025</v>
      </c>
      <c r="D71" s="234">
        <f>Table13[[#This Row],[Date]]-DAY(Table13[[#This Row],[Date]])+1</f>
        <v>45809</v>
      </c>
      <c r="E71" s="186">
        <f t="shared" si="4"/>
        <v>30</v>
      </c>
      <c r="F71" s="235">
        <f>IFERROR(_xlfn.XLOOKUP($A71,'Raw_Data'!$B:$B,'Raw_Data'!$IX:$IX),"")</f>
        <v>13.200000000000001</v>
      </c>
      <c r="G71" s="236">
        <f>IFERROR(_xlfn.XLOOKUP($A71,'Raw_Data'!$B:$B,'Raw_Data'!IY:IY),"")</f>
        <v>7.7514228611111129</v>
      </c>
      <c r="H71" s="236">
        <f>IFERROR(_xlfn.XLOOKUP($A71,'Raw_Data'!$B:$B,'Raw_Data'!IZ:IZ),"")</f>
        <v>1.9620646666666666</v>
      </c>
      <c r="I71" s="236">
        <f>IFERROR(_xlfn.XLOOKUP($A71,'Raw_Data'!$B:$B,'Raw_Data'!JA:JA),"")</f>
        <v>7.452841166666671</v>
      </c>
      <c r="J71" s="236">
        <f>IFERROR(_xlfn.XLOOKUP($A71,'Raw_Data'!$B:$B,'Raw_Data'!JB:JB),"")</f>
        <v>0.65701027777777787</v>
      </c>
      <c r="K71" s="236">
        <f>IFERROR(_xlfn.XLOOKUP($A71,'Raw_Data'!$B:$B,'Raw_Data'!JE:JE),"")</f>
        <v>37.093761174968101</v>
      </c>
      <c r="L71" s="236">
        <f>IFERROR(_xlfn.XLOOKUP($A71,'Raw_Data'!$B:$B,'Raw_Data'!JF:JF),"")</f>
        <v>48.466666666666669</v>
      </c>
      <c r="M71" s="236">
        <f>IFERROR(_xlfn.XLOOKUP($A71,'Raw_Data'!$B:$B,'Raw_Data'!JG:JG),"")</f>
        <v>6.1668796163537678</v>
      </c>
      <c r="N71" s="236">
        <f>IFERROR(_xlfn.XLOOKUP($A71,'Raw_Data'!$B:$B,'Raw_Data'!JH:JH),"")</f>
        <v>10.2024995</v>
      </c>
      <c r="O71" s="237">
        <f>IFERROR(1-SUMIF(PA!$B:$B,$A71,PA!$AL:$AL)/($AA71+SUMIF(PA!$B:$B,$A71,PA!$AL:$AL)),"")</f>
        <v>0.99287833453282348</v>
      </c>
      <c r="P71" s="238"/>
      <c r="Q71" s="239"/>
      <c r="R71" s="240">
        <f>IFERROR(1-SUMIF(GA!$C:$C,$A71,GA!$X:$X)/($AA71+SUMIF(GA!$C:$C,$A71,GA!$X:$X)),"")</f>
        <v>1</v>
      </c>
      <c r="S71" s="186"/>
      <c r="T71" s="239"/>
      <c r="U71" s="237">
        <f t="shared" si="5"/>
        <v>0.81092985468899104</v>
      </c>
      <c r="V71" s="237">
        <f>IFERROR(_xlfn.XLOOKUP($A71,'Raw_Data'!$B:$B,'Raw_Data'!$JL:$JL),"")</f>
        <v>0.81522630686170194</v>
      </c>
      <c r="W71" s="240">
        <f t="shared" si="6"/>
        <v>0.25182214184604723</v>
      </c>
      <c r="X71" s="228">
        <f>IFERROR(_xlfn.XLOOKUP($A71,'Raw_Data'!$B:$B,'Raw_Data'!$JI:$JI),"")</f>
        <v>2042243.5000000009</v>
      </c>
      <c r="Y71" s="228">
        <f>IFERROR(_xlfn.XLOOKUP($A71,'Raw_Data'!$B:$B,'Raw_Data'!IT:IT),"")</f>
        <v>2029200.0000000116</v>
      </c>
      <c r="Z71" s="228">
        <f>IFERROR(_xlfn.XLOOKUP($A71,'Raw_Data'!$B:$B,'Raw_Data'!IU:IU),"")</f>
        <v>4000</v>
      </c>
      <c r="AA71" s="228">
        <f>IFERROR(_xlfn.XLOOKUP($A71,'Raw_Data'!$B:$B,'Raw_Data'!IW:IW),"")</f>
        <v>2025200.0000000116</v>
      </c>
      <c r="AB71" s="228">
        <f>IFERROR(_xlfn.XLOOKUP($A71,'Raw_Data'!$B:$B,'Raw_Data'!I:I)/1000,"")</f>
        <v>335.09089</v>
      </c>
      <c r="AC71" s="241">
        <f>IFERROR(_xlfn.XLOOKUP($D71,'Modelling New'!$D:$D,'Modelling New'!$P:$P),"")</f>
        <v>6.4266666666666667</v>
      </c>
      <c r="AD71" s="228">
        <f>IFERROR(_xlfn.XLOOKUP($D71,'Modelling New'!$D:$D,'Modelling New'!$T:$T)*1000,"")</f>
        <v>1787188.5300258806</v>
      </c>
      <c r="AE71" s="240">
        <f>IFERROR(_xlfn.XLOOKUP($D71,'Modelling New'!$D:$D,'Modelling New'!$O:$O),"")</f>
        <v>0.82989248162452478</v>
      </c>
      <c r="AF71" s="240">
        <f>IFERROR(_xlfn.XLOOKUP($D71,'Modelling New'!$D:$D,'Modelling New'!$W:$W),"")</f>
        <v>0.22222676452390053</v>
      </c>
      <c r="AG71" s="240">
        <f>IFERROR(_xlfn.XLOOKUP($D71,'Modelling New'!$D:$D,'Modelling New'!AE:AE),"")</f>
        <v>0.99750000000000005</v>
      </c>
      <c r="AH71" s="240">
        <f>IFERROR(_xlfn.XLOOKUP($D71,'Modelling New'!$D:$D,'Modelling New'!AF:AF),"")</f>
        <v>0.99750000000000005</v>
      </c>
      <c r="AI71" s="186"/>
      <c r="AJ71" s="186"/>
      <c r="AK71" s="227">
        <v>0.97199999999999998</v>
      </c>
      <c r="AL71" s="224">
        <f>IFERROR(Table13[[#This Row],[RA (%)]]*9270*58,"")</f>
        <v>522605.52</v>
      </c>
      <c r="AM71" s="225"/>
      <c r="AN71" s="238"/>
      <c r="AO71" s="240"/>
      <c r="AP71" s="240"/>
      <c r="AQ71" s="240"/>
      <c r="AR71" s="242">
        <f>IFERROR(_xlfn.XLOOKUP($D71,'Modelling New'!$D:$D,'Modelling New'!$N:$N),"")</f>
        <v>335.09100000000001</v>
      </c>
    </row>
    <row r="72" spans="1:44">
      <c r="A72" s="233">
        <f t="shared" si="7"/>
        <v>45815</v>
      </c>
      <c r="B72" s="228">
        <f>YEAR(Table13[[#This Row],[Date]])+IF(MONTH(Table13[[#This Row],[Date]])&gt;=4,1,0)</f>
        <v>2026</v>
      </c>
      <c r="C72" s="186">
        <f>YEAR(Table13[[#This Row],[Date]])</f>
        <v>2025</v>
      </c>
      <c r="D72" s="234">
        <f>Table13[[#This Row],[Date]]-DAY(Table13[[#This Row],[Date]])+1</f>
        <v>45809</v>
      </c>
      <c r="E72" s="186">
        <f t="shared" si="4"/>
        <v>30</v>
      </c>
      <c r="F72" s="235">
        <f>IFERROR(_xlfn.XLOOKUP($A72,'Raw_Data'!$B:$B,'Raw_Data'!$IX:$IX),"")</f>
        <v>13.283333333333331</v>
      </c>
      <c r="G72" s="236">
        <f>IFERROR(_xlfn.XLOOKUP($A72,'Raw_Data'!$B:$B,'Raw_Data'!IY:IY),"")</f>
        <v>7.8455614444444448</v>
      </c>
      <c r="H72" s="236">
        <f>IFERROR(_xlfn.XLOOKUP($A72,'Raw_Data'!$B:$B,'Raw_Data'!IZ:IZ),"")</f>
        <v>1.9813265833333329</v>
      </c>
      <c r="I72" s="236">
        <f>IFERROR(_xlfn.XLOOKUP($A72,'Raw_Data'!$B:$B,'Raw_Data'!JA:JA),"")</f>
        <v>7.5082316249999987</v>
      </c>
      <c r="J72" s="236">
        <f>IFERROR(_xlfn.XLOOKUP($A72,'Raw_Data'!$B:$B,'Raw_Data'!JB:JB),"")</f>
        <v>0.6602203611111116</v>
      </c>
      <c r="K72" s="236">
        <f>IFERROR(_xlfn.XLOOKUP($A72,'Raw_Data'!$B:$B,'Raw_Data'!JE:JE),"")</f>
        <v>37.37179863771815</v>
      </c>
      <c r="L72" s="236">
        <f>IFERROR(_xlfn.XLOOKUP($A72,'Raw_Data'!$B:$B,'Raw_Data'!JF:JF),"")</f>
        <v>50.579357173265215</v>
      </c>
      <c r="M72" s="236">
        <f>IFERROR(_xlfn.XLOOKUP($A72,'Raw_Data'!$B:$B,'Raw_Data'!JG:JG),"")</f>
        <v>4.7303662796509158</v>
      </c>
      <c r="N72" s="236">
        <f>IFERROR(_xlfn.XLOOKUP($A72,'Raw_Data'!$B:$B,'Raw_Data'!JH:JH),"")</f>
        <v>7.9255555000000006</v>
      </c>
      <c r="O72" s="237">
        <f>IFERROR(1-SUMIF(PA!$B:$B,$A72,PA!$AL:$AL)/($AA72+SUMIF(PA!$B:$B,$A72,PA!$AL:$AL)),"")</f>
        <v>0.99981248930241495</v>
      </c>
      <c r="P72" s="238"/>
      <c r="Q72" s="239"/>
      <c r="R72" s="240">
        <f>IFERROR(1-SUMIF(GA!$C:$C,$A72,GA!$X:$X)/($AA72+SUMIF(GA!$C:$C,$A72,GA!$X:$X)),"")</f>
        <v>1</v>
      </c>
      <c r="S72" s="186"/>
      <c r="T72" s="239"/>
      <c r="U72" s="237">
        <f t="shared" si="5"/>
        <v>0.80921377992571375</v>
      </c>
      <c r="V72" s="237">
        <f>IFERROR(_xlfn.XLOOKUP($A72,'Raw_Data'!$B:$B,'Raw_Data'!$JL:$JL),"")</f>
        <v>0.81990461811945048</v>
      </c>
      <c r="W72" s="240">
        <f t="shared" si="6"/>
        <v>0.25315685390933473</v>
      </c>
      <c r="X72" s="228">
        <f>IFERROR(_xlfn.XLOOKUP($A72,'Raw_Data'!$B:$B,'Raw_Data'!$JI:$JI),"")</f>
        <v>2052990.9999999998</v>
      </c>
      <c r="Y72" s="228">
        <f>IFERROR(_xlfn.XLOOKUP($A72,'Raw_Data'!$B:$B,'Raw_Data'!IT:IT),"")</f>
        <v>2040000.9999999893</v>
      </c>
      <c r="Z72" s="228">
        <f>IFERROR(_xlfn.XLOOKUP($A72,'Raw_Data'!$B:$B,'Raw_Data'!IU:IU),"")</f>
        <v>4067.0000000000073</v>
      </c>
      <c r="AA72" s="228">
        <f>IFERROR(_xlfn.XLOOKUP($A72,'Raw_Data'!$B:$B,'Raw_Data'!IW:IW),"")</f>
        <v>2035933.9999999893</v>
      </c>
      <c r="AB72" s="228">
        <f>IFERROR(_xlfn.XLOOKUP($A72,'Raw_Data'!$B:$B,'Raw_Data'!I:I)/1000,"")</f>
        <v>335.09089</v>
      </c>
      <c r="AC72" s="241">
        <f>IFERROR(_xlfn.XLOOKUP($D72,'Modelling New'!$D:$D,'Modelling New'!$P:$P),"")</f>
        <v>6.4266666666666667</v>
      </c>
      <c r="AD72" s="228">
        <f>IFERROR(_xlfn.XLOOKUP($D72,'Modelling New'!$D:$D,'Modelling New'!$T:$T)*1000,"")</f>
        <v>1787188.5300258806</v>
      </c>
      <c r="AE72" s="240">
        <f>IFERROR(_xlfn.XLOOKUP($D72,'Modelling New'!$D:$D,'Modelling New'!$O:$O),"")</f>
        <v>0.82989248162452478</v>
      </c>
      <c r="AF72" s="240">
        <f>IFERROR(_xlfn.XLOOKUP($D72,'Modelling New'!$D:$D,'Modelling New'!$W:$W),"")</f>
        <v>0.22222676452390053</v>
      </c>
      <c r="AG72" s="240">
        <f>IFERROR(_xlfn.XLOOKUP($D72,'Modelling New'!$D:$D,'Modelling New'!AE:AE),"")</f>
        <v>0.99750000000000005</v>
      </c>
      <c r="AH72" s="240">
        <f>IFERROR(_xlfn.XLOOKUP($D72,'Modelling New'!$D:$D,'Modelling New'!AF:AF),"")</f>
        <v>0.99750000000000005</v>
      </c>
      <c r="AI72" s="186"/>
      <c r="AJ72" s="186"/>
      <c r="AK72" s="227">
        <v>0.97799999999999998</v>
      </c>
      <c r="AL72" s="224">
        <f>IFERROR(Table13[[#This Row],[RA (%)]]*9270*58,"")</f>
        <v>525831.48</v>
      </c>
      <c r="AM72" s="225"/>
      <c r="AN72" s="238"/>
      <c r="AO72" s="240"/>
      <c r="AP72" s="240"/>
      <c r="AQ72" s="240"/>
      <c r="AR72" s="242">
        <f>IFERROR(_xlfn.XLOOKUP($D72,'Modelling New'!$D:$D,'Modelling New'!$N:$N),"")</f>
        <v>335.09100000000001</v>
      </c>
    </row>
    <row r="73" spans="1:44">
      <c r="A73" s="233">
        <f t="shared" si="7"/>
        <v>45816</v>
      </c>
      <c r="B73" s="228">
        <f>YEAR(Table13[[#This Row],[Date]])+IF(MONTH(Table13[[#This Row],[Date]])&gt;=4,1,0)</f>
        <v>2026</v>
      </c>
      <c r="C73" s="186">
        <f>YEAR(Table13[[#This Row],[Date]])</f>
        <v>2025</v>
      </c>
      <c r="D73" s="234">
        <f>Table13[[#This Row],[Date]]-DAY(Table13[[#This Row],[Date]])+1</f>
        <v>45809</v>
      </c>
      <c r="E73" s="186">
        <f t="shared" si="4"/>
        <v>30</v>
      </c>
      <c r="F73" s="235">
        <f>IFERROR(_xlfn.XLOOKUP($A73,'Raw_Data'!$B:$B,'Raw_Data'!$IX:$IX),"")</f>
        <v>13.249999999999998</v>
      </c>
      <c r="G73" s="236">
        <f>IFERROR(_xlfn.XLOOKUP($A73,'Raw_Data'!$B:$B,'Raw_Data'!IY:IY),"")</f>
        <v>7.9717375555555572</v>
      </c>
      <c r="H73" s="236">
        <f>IFERROR(_xlfn.XLOOKUP($A73,'Raw_Data'!$B:$B,'Raw_Data'!IZ:IZ),"")</f>
        <v>2.047096944444446</v>
      </c>
      <c r="I73" s="236">
        <f>IFERROR(_xlfn.XLOOKUP($A73,'Raw_Data'!$B:$B,'Raw_Data'!JA:JA),"")</f>
        <v>7.6321111666666654</v>
      </c>
      <c r="J73" s="236">
        <f>IFERROR(_xlfn.XLOOKUP($A73,'Raw_Data'!$B:$B,'Raw_Data'!JB:JB),"")</f>
        <v>0.6856805833333337</v>
      </c>
      <c r="K73" s="236">
        <f>IFERROR(_xlfn.XLOOKUP($A73,'Raw_Data'!$B:$B,'Raw_Data'!JE:JE),"")</f>
        <v>38.636666666666656</v>
      </c>
      <c r="L73" s="236">
        <f>IFERROR(_xlfn.XLOOKUP($A73,'Raw_Data'!$B:$B,'Raw_Data'!JF:JF),"")</f>
        <v>50.1</v>
      </c>
      <c r="M73" s="236">
        <f>IFERROR(_xlfn.XLOOKUP($A73,'Raw_Data'!$B:$B,'Raw_Data'!JG:JG),"")</f>
        <v>5.6953094697339326</v>
      </c>
      <c r="N73" s="236">
        <f>IFERROR(_xlfn.XLOOKUP($A73,'Raw_Data'!$B:$B,'Raw_Data'!JH:JH),"")</f>
        <v>11.047499833333333</v>
      </c>
      <c r="O73" s="237">
        <f>IFERROR(1-SUMIF(PA!$B:$B,$A73,PA!$AL:$AL)/($AA73+SUMIF(PA!$B:$B,$A73,PA!$AL:$AL)),"")</f>
        <v>0.99998995773524246</v>
      </c>
      <c r="P73" s="238"/>
      <c r="Q73" s="239"/>
      <c r="R73" s="240">
        <f>IFERROR(1-SUMIF(GA!$C:$C,$A73,GA!$X:$X)/($AA73+SUMIF(GA!$C:$C,$A73,GA!$X:$X)),"")</f>
        <v>0.98585394007349647</v>
      </c>
      <c r="S73" s="186"/>
      <c r="T73" s="239"/>
      <c r="U73" s="237">
        <f t="shared" si="5"/>
        <v>0.80270018372993124</v>
      </c>
      <c r="V73" s="237">
        <f>IFERROR(_xlfn.XLOOKUP($A73,'Raw_Data'!$B:$B,'Raw_Data'!$JL:$JL),"")</f>
        <v>0.8278641625168891</v>
      </c>
      <c r="W73" s="240">
        <f t="shared" si="6"/>
        <v>0.2552623764887747</v>
      </c>
      <c r="X73" s="228">
        <f>IFERROR(_xlfn.XLOOKUP($A73,'Raw_Data'!$B:$B,'Raw_Data'!$JI:$JI),"")</f>
        <v>2070279.9999999993</v>
      </c>
      <c r="Y73" s="228">
        <f>IFERROR(_xlfn.XLOOKUP($A73,'Raw_Data'!$B:$B,'Raw_Data'!IT:IT),"")</f>
        <v>2057000</v>
      </c>
      <c r="Z73" s="228">
        <f>IFERROR(_xlfn.XLOOKUP($A73,'Raw_Data'!$B:$B,'Raw_Data'!IU:IU),"")</f>
        <v>4132.9999999999818</v>
      </c>
      <c r="AA73" s="228">
        <f>IFERROR(_xlfn.XLOOKUP($A73,'Raw_Data'!$B:$B,'Raw_Data'!IW:IW),"")</f>
        <v>2052867</v>
      </c>
      <c r="AB73" s="228">
        <f>IFERROR(_xlfn.XLOOKUP($A73,'Raw_Data'!$B:$B,'Raw_Data'!I:I)/1000,"")</f>
        <v>335.09089</v>
      </c>
      <c r="AC73" s="241">
        <f>IFERROR(_xlfn.XLOOKUP($D73,'Modelling New'!$D:$D,'Modelling New'!$P:$P),"")</f>
        <v>6.4266666666666667</v>
      </c>
      <c r="AD73" s="228">
        <f>IFERROR(_xlfn.XLOOKUP($D73,'Modelling New'!$D:$D,'Modelling New'!$T:$T)*1000,"")</f>
        <v>1787188.5300258806</v>
      </c>
      <c r="AE73" s="240">
        <f>IFERROR(_xlfn.XLOOKUP($D73,'Modelling New'!$D:$D,'Modelling New'!$O:$O),"")</f>
        <v>0.82989248162452478</v>
      </c>
      <c r="AF73" s="240">
        <f>IFERROR(_xlfn.XLOOKUP($D73,'Modelling New'!$D:$D,'Modelling New'!$W:$W),"")</f>
        <v>0.22222676452390053</v>
      </c>
      <c r="AG73" s="240">
        <f>IFERROR(_xlfn.XLOOKUP($D73,'Modelling New'!$D:$D,'Modelling New'!AE:AE),"")</f>
        <v>0.99750000000000005</v>
      </c>
      <c r="AH73" s="240">
        <f>IFERROR(_xlfn.XLOOKUP($D73,'Modelling New'!$D:$D,'Modelling New'!AF:AF),"")</f>
        <v>0.99750000000000005</v>
      </c>
      <c r="AI73" s="186"/>
      <c r="AJ73" s="186"/>
      <c r="AK73" s="227">
        <v>0.98699999999999999</v>
      </c>
      <c r="AL73" s="224">
        <f>IFERROR(Table13[[#This Row],[RA (%)]]*9270*58,"")</f>
        <v>530670.42000000004</v>
      </c>
      <c r="AM73" s="225"/>
      <c r="AN73" s="238"/>
      <c r="AO73" s="240"/>
      <c r="AP73" s="240"/>
      <c r="AQ73" s="240"/>
      <c r="AR73" s="242">
        <f>IFERROR(_xlfn.XLOOKUP($D73,'Modelling New'!$D:$D,'Modelling New'!$N:$N),"")</f>
        <v>335.09100000000001</v>
      </c>
    </row>
    <row r="74" spans="1:44">
      <c r="A74" s="233">
        <f t="shared" si="7"/>
        <v>45817</v>
      </c>
      <c r="B74" s="228">
        <f>YEAR(Table13[[#This Row],[Date]])+IF(MONTH(Table13[[#This Row],[Date]])&gt;=4,1,0)</f>
        <v>2026</v>
      </c>
      <c r="C74" s="186">
        <f>YEAR(Table13[[#This Row],[Date]])</f>
        <v>2025</v>
      </c>
      <c r="D74" s="234">
        <f>Table13[[#This Row],[Date]]-DAY(Table13[[#This Row],[Date]])+1</f>
        <v>45809</v>
      </c>
      <c r="E74" s="186">
        <f t="shared" si="4"/>
        <v>30</v>
      </c>
      <c r="F74" s="235">
        <f>IFERROR(_xlfn.XLOOKUP($A74,'Raw_Data'!$B:$B,'Raw_Data'!$IX:$IX),"")</f>
        <v>13.266666666666667</v>
      </c>
      <c r="G74" s="236">
        <f>IFERROR(_xlfn.XLOOKUP($A74,'Raw_Data'!$B:$B,'Raw_Data'!IY:IY),"")</f>
        <v>7.9094747222222219</v>
      </c>
      <c r="H74" s="236">
        <f>IFERROR(_xlfn.XLOOKUP($A74,'Raw_Data'!$B:$B,'Raw_Data'!IZ:IZ),"")</f>
        <v>2.0288232499999999</v>
      </c>
      <c r="I74" s="236">
        <f>IFERROR(_xlfn.XLOOKUP($A74,'Raw_Data'!$B:$B,'Raw_Data'!JA:JA),"")</f>
        <v>7.5626725416666662</v>
      </c>
      <c r="J74" s="236">
        <f>IFERROR(_xlfn.XLOOKUP($A74,'Raw_Data'!$B:$B,'Raw_Data'!JB:JB),"")</f>
        <v>0.68315344444444426</v>
      </c>
      <c r="K74" s="236">
        <f>IFERROR(_xlfn.XLOOKUP($A74,'Raw_Data'!$B:$B,'Raw_Data'!JE:JE),"")</f>
        <v>38.049704129416781</v>
      </c>
      <c r="L74" s="236">
        <f>IFERROR(_xlfn.XLOOKUP($A74,'Raw_Data'!$B:$B,'Raw_Data'!JF:JF),"")</f>
        <v>49.91526181353769</v>
      </c>
      <c r="M74" s="236">
        <f>IFERROR(_xlfn.XLOOKUP($A74,'Raw_Data'!$B:$B,'Raw_Data'!JG:JG),"")</f>
        <v>5.923307537541505</v>
      </c>
      <c r="N74" s="236">
        <f>IFERROR(_xlfn.XLOOKUP($A74,'Raw_Data'!$B:$B,'Raw_Data'!JH:JH),"")</f>
        <v>9.2713886666666667</v>
      </c>
      <c r="O74" s="237">
        <f>IFERROR(1-SUMIF(PA!$B:$B,$A74,PA!$AL:$AL)/($AA74+SUMIF(PA!$B:$B,$A74,PA!$AL:$AL)),"")</f>
        <v>0.99998997398806588</v>
      </c>
      <c r="P74" s="238"/>
      <c r="Q74" s="239"/>
      <c r="R74" s="240">
        <f>IFERROR(1-SUMIF(GA!$C:$C,$A74,GA!$X:$X)/($AA74+SUMIF(GA!$C:$C,$A74,GA!$X:$X)),"")</f>
        <v>1</v>
      </c>
      <c r="S74" s="186"/>
      <c r="T74" s="239"/>
      <c r="U74" s="237">
        <f t="shared" si="5"/>
        <v>0.81349041859416971</v>
      </c>
      <c r="V74" s="237">
        <f>IFERROR(_xlfn.XLOOKUP($A74,'Raw_Data'!$B:$B,'Raw_Data'!$JL:$JL),"")</f>
        <v>0.82241350365938037</v>
      </c>
      <c r="W74" s="240">
        <f t="shared" si="6"/>
        <v>0.25634006881712706</v>
      </c>
      <c r="X74" s="228">
        <f>IFERROR(_xlfn.XLOOKUP($A74,'Raw_Data'!$B:$B,'Raw_Data'!$JI:$JI),"")</f>
        <v>2078951.4000000006</v>
      </c>
      <c r="Y74" s="228">
        <f>IFERROR(_xlfn.XLOOKUP($A74,'Raw_Data'!$B:$B,'Raw_Data'!IT:IT),"")</f>
        <v>2065866.9999999984</v>
      </c>
      <c r="Z74" s="228">
        <f>IFERROR(_xlfn.XLOOKUP($A74,'Raw_Data'!$B:$B,'Raw_Data'!IU:IU),"")</f>
        <v>4333.0000000000273</v>
      </c>
      <c r="AA74" s="228">
        <f>IFERROR(_xlfn.XLOOKUP($A74,'Raw_Data'!$B:$B,'Raw_Data'!IW:IW),"")</f>
        <v>2061533.9999999984</v>
      </c>
      <c r="AB74" s="228">
        <f>IFERROR(_xlfn.XLOOKUP($A74,'Raw_Data'!$B:$B,'Raw_Data'!I:I)/1000,"")</f>
        <v>335.09089</v>
      </c>
      <c r="AC74" s="241">
        <f>IFERROR(_xlfn.XLOOKUP($D74,'Modelling New'!$D:$D,'Modelling New'!$P:$P),"")</f>
        <v>6.4266666666666667</v>
      </c>
      <c r="AD74" s="228">
        <f>IFERROR(_xlfn.XLOOKUP($D74,'Modelling New'!$D:$D,'Modelling New'!$T:$T)*1000,"")</f>
        <v>1787188.5300258806</v>
      </c>
      <c r="AE74" s="240">
        <f>IFERROR(_xlfn.XLOOKUP($D74,'Modelling New'!$D:$D,'Modelling New'!$O:$O),"")</f>
        <v>0.82989248162452478</v>
      </c>
      <c r="AF74" s="240">
        <f>IFERROR(_xlfn.XLOOKUP($D74,'Modelling New'!$D:$D,'Modelling New'!$W:$W),"")</f>
        <v>0.22222676452390053</v>
      </c>
      <c r="AG74" s="240">
        <f>IFERROR(_xlfn.XLOOKUP($D74,'Modelling New'!$D:$D,'Modelling New'!AE:AE),"")</f>
        <v>0.99750000000000005</v>
      </c>
      <c r="AH74" s="240">
        <f>IFERROR(_xlfn.XLOOKUP($D74,'Modelling New'!$D:$D,'Modelling New'!AF:AF),"")</f>
        <v>0.99750000000000005</v>
      </c>
      <c r="AI74" s="186"/>
      <c r="AJ74" s="186"/>
      <c r="AK74" s="227">
        <v>0.97699999999999998</v>
      </c>
      <c r="AL74" s="224">
        <f>IFERROR(Table13[[#This Row],[RA (%)]]*9270*58,"")</f>
        <v>525293.81999999995</v>
      </c>
      <c r="AM74" s="225"/>
      <c r="AN74" s="238"/>
      <c r="AO74" s="240"/>
      <c r="AP74" s="240"/>
      <c r="AQ74" s="240"/>
      <c r="AR74" s="242">
        <f>IFERROR(_xlfn.XLOOKUP($D74,'Modelling New'!$D:$D,'Modelling New'!$N:$N),"")</f>
        <v>335.09100000000001</v>
      </c>
    </row>
    <row r="75" spans="1:44">
      <c r="A75" s="233">
        <f t="shared" si="7"/>
        <v>45818</v>
      </c>
      <c r="B75" s="228">
        <f>YEAR(Table13[[#This Row],[Date]])+IF(MONTH(Table13[[#This Row],[Date]])&gt;=4,1,0)</f>
        <v>2026</v>
      </c>
      <c r="C75" s="186">
        <f>YEAR(Table13[[#This Row],[Date]])</f>
        <v>2025</v>
      </c>
      <c r="D75" s="234">
        <f>Table13[[#This Row],[Date]]-DAY(Table13[[#This Row],[Date]])+1</f>
        <v>45809</v>
      </c>
      <c r="E75" s="186">
        <f t="shared" si="4"/>
        <v>30</v>
      </c>
      <c r="F75" s="235">
        <f>IFERROR(_xlfn.XLOOKUP($A75,'Raw_Data'!$B:$B,'Raw_Data'!$IX:$IX),"")</f>
        <v>13.266666666666667</v>
      </c>
      <c r="G75" s="236">
        <f>IFERROR(_xlfn.XLOOKUP($A75,'Raw_Data'!$B:$B,'Raw_Data'!IY:IY),"")</f>
        <v>6.6371856138888887</v>
      </c>
      <c r="H75" s="236">
        <f>IFERROR(_xlfn.XLOOKUP($A75,'Raw_Data'!$B:$B,'Raw_Data'!IZ:IZ),"")</f>
        <v>2.0114455555555555</v>
      </c>
      <c r="I75" s="236">
        <f>IFERROR(_xlfn.XLOOKUP($A75,'Raw_Data'!$B:$B,'Raw_Data'!JA:JA),"")</f>
        <v>7.5231816249999985</v>
      </c>
      <c r="J75" s="236">
        <f>IFERROR(_xlfn.XLOOKUP($A75,'Raw_Data'!$B:$B,'Raw_Data'!JB:JB),"")</f>
        <v>0.67424749999999989</v>
      </c>
      <c r="K75" s="236">
        <f>IFERROR(_xlfn.XLOOKUP($A75,'Raw_Data'!$B:$B,'Raw_Data'!JE:JE),"")</f>
        <v>37.284029723991516</v>
      </c>
      <c r="L75" s="236">
        <f>IFERROR(_xlfn.XLOOKUP($A75,'Raw_Data'!$B:$B,'Raw_Data'!JF:JF),"")</f>
        <v>49.5</v>
      </c>
      <c r="M75" s="236">
        <f>IFERROR(_xlfn.XLOOKUP($A75,'Raw_Data'!$B:$B,'Raw_Data'!JG:JG),"")</f>
        <v>5.6888858116518017</v>
      </c>
      <c r="N75" s="236">
        <f>IFERROR(_xlfn.XLOOKUP($A75,'Raw_Data'!$B:$B,'Raw_Data'!JH:JH),"")</f>
        <v>9.3991659999999992</v>
      </c>
      <c r="O75" s="237">
        <f>IFERROR(1-SUMIF(PA!$B:$B,$A75,PA!$AL:$AL)/($AA75+SUMIF(PA!$B:$B,$A75,PA!$AL:$AL)),"")</f>
        <v>0.99999667170214634</v>
      </c>
      <c r="P75" s="238"/>
      <c r="Q75" s="239"/>
      <c r="R75" s="240">
        <f>IFERROR(1-SUMIF(GA!$C:$C,$A75,GA!$X:$X)/($AA75+SUMIF(GA!$C:$C,$A75,GA!$X:$X)),"")</f>
        <v>1</v>
      </c>
      <c r="S75" s="186"/>
      <c r="T75" s="239"/>
      <c r="U75" s="237">
        <f t="shared" si="5"/>
        <v>0.81368755059199771</v>
      </c>
      <c r="V75" s="237">
        <f>IFERROR(_xlfn.XLOOKUP($A75,'Raw_Data'!$B:$B,'Raw_Data'!$JL:$JL),"")</f>
        <v>0.82271778347894642</v>
      </c>
      <c r="W75" s="240">
        <f t="shared" si="6"/>
        <v>0.25506330121270726</v>
      </c>
      <c r="X75" s="228">
        <f>IFERROR(_xlfn.XLOOKUP($A75,'Raw_Data'!$B:$B,'Raw_Data'!$JI:$JI),"")</f>
        <v>2068251.7000000016</v>
      </c>
      <c r="Y75" s="228">
        <f>IFERROR(_xlfn.XLOOKUP($A75,'Raw_Data'!$B:$B,'Raw_Data'!IT:IT),"")</f>
        <v>2055466.0000000149</v>
      </c>
      <c r="Z75" s="228">
        <f>IFERROR(_xlfn.XLOOKUP($A75,'Raw_Data'!$B:$B,'Raw_Data'!IU:IU),"")</f>
        <v>4199.9999999999891</v>
      </c>
      <c r="AA75" s="228">
        <f>IFERROR(_xlfn.XLOOKUP($A75,'Raw_Data'!$B:$B,'Raw_Data'!IW:IW),"")</f>
        <v>2051266.0000000149</v>
      </c>
      <c r="AB75" s="228">
        <f>IFERROR(_xlfn.XLOOKUP($A75,'Raw_Data'!$B:$B,'Raw_Data'!I:I)/1000,"")</f>
        <v>335.09089</v>
      </c>
      <c r="AC75" s="241">
        <f>IFERROR(_xlfn.XLOOKUP($D75,'Modelling New'!$D:$D,'Modelling New'!$P:$P),"")</f>
        <v>6.4266666666666667</v>
      </c>
      <c r="AD75" s="228">
        <f>IFERROR(_xlfn.XLOOKUP($D75,'Modelling New'!$D:$D,'Modelling New'!$T:$T)*1000,"")</f>
        <v>1787188.5300258806</v>
      </c>
      <c r="AE75" s="240">
        <f>IFERROR(_xlfn.XLOOKUP($D75,'Modelling New'!$D:$D,'Modelling New'!$O:$O),"")</f>
        <v>0.82989248162452478</v>
      </c>
      <c r="AF75" s="240">
        <f>IFERROR(_xlfn.XLOOKUP($D75,'Modelling New'!$D:$D,'Modelling New'!$W:$W),"")</f>
        <v>0.22222676452390053</v>
      </c>
      <c r="AG75" s="240">
        <f>IFERROR(_xlfn.XLOOKUP($D75,'Modelling New'!$D:$D,'Modelling New'!AE:AE),"")</f>
        <v>0.99750000000000005</v>
      </c>
      <c r="AH75" s="240">
        <f>IFERROR(_xlfn.XLOOKUP($D75,'Modelling New'!$D:$D,'Modelling New'!AF:AF),"")</f>
        <v>0.99750000000000005</v>
      </c>
      <c r="AI75" s="186"/>
      <c r="AJ75" s="186"/>
      <c r="AK75" s="227">
        <v>0.97699999999999998</v>
      </c>
      <c r="AL75" s="224">
        <f>IFERROR(Table13[[#This Row],[RA (%)]]*9270*58,"")</f>
        <v>525293.81999999995</v>
      </c>
      <c r="AM75" s="225"/>
      <c r="AN75" s="238"/>
      <c r="AO75" s="240"/>
      <c r="AP75" s="240"/>
      <c r="AQ75" s="240"/>
      <c r="AR75" s="242">
        <f>IFERROR(_xlfn.XLOOKUP($D75,'Modelling New'!$D:$D,'Modelling New'!$N:$N),"")</f>
        <v>335.09100000000001</v>
      </c>
    </row>
    <row r="76" spans="1:44">
      <c r="A76" s="233">
        <f t="shared" si="7"/>
        <v>45819</v>
      </c>
      <c r="B76" s="228">
        <f>YEAR(Table13[[#This Row],[Date]])+IF(MONTH(Table13[[#This Row],[Date]])&gt;=4,1,0)</f>
        <v>2026</v>
      </c>
      <c r="C76" s="186">
        <f>YEAR(Table13[[#This Row],[Date]])</f>
        <v>2025</v>
      </c>
      <c r="D76" s="234">
        <f>Table13[[#This Row],[Date]]-DAY(Table13[[#This Row],[Date]])+1</f>
        <v>45809</v>
      </c>
      <c r="E76" s="186">
        <f t="shared" si="4"/>
        <v>30</v>
      </c>
      <c r="F76" s="235">
        <f>IFERROR(_xlfn.XLOOKUP($A76,'Raw_Data'!$B:$B,'Raw_Data'!$IX:$IX),"")</f>
        <v>13.316666666666665</v>
      </c>
      <c r="G76" s="236">
        <f>IFERROR(_xlfn.XLOOKUP($A76,'Raw_Data'!$B:$B,'Raw_Data'!IY:IY),"")</f>
        <v>8.1248501666666648</v>
      </c>
      <c r="H76" s="236">
        <f>IFERROR(_xlfn.XLOOKUP($A76,'Raw_Data'!$B:$B,'Raw_Data'!IZ:IZ),"")</f>
        <v>2.0945012083333334</v>
      </c>
      <c r="I76" s="236">
        <f>IFERROR(_xlfn.XLOOKUP($A76,'Raw_Data'!$B:$B,'Raw_Data'!JA:JA),"")</f>
        <v>7.6958659444444448</v>
      </c>
      <c r="J76" s="236">
        <f>IFERROR(_xlfn.XLOOKUP($A76,'Raw_Data'!$B:$B,'Raw_Data'!JB:JB),"")</f>
        <v>0.67526112500000046</v>
      </c>
      <c r="K76" s="236">
        <f>IFERROR(_xlfn.XLOOKUP($A76,'Raw_Data'!$B:$B,'Raw_Data'!JE:JE),"")</f>
        <v>36.817054707379135</v>
      </c>
      <c r="L76" s="236">
        <f>IFERROR(_xlfn.XLOOKUP($A76,'Raw_Data'!$B:$B,'Raw_Data'!JF:JF),"")</f>
        <v>50.067697201017822</v>
      </c>
      <c r="M76" s="236">
        <f>IFERROR(_xlfn.XLOOKUP($A76,'Raw_Data'!$B:$B,'Raw_Data'!JG:JG),"")</f>
        <v>5.3507228451017843</v>
      </c>
      <c r="N76" s="236">
        <f>IFERROR(_xlfn.XLOOKUP($A76,'Raw_Data'!$B:$B,'Raw_Data'!JH:JH),"")</f>
        <v>8.8633330000000008</v>
      </c>
      <c r="O76" s="237">
        <f>IFERROR(1-SUMIF(PA!$B:$B,$A76,PA!$AL:$AL)/($AA76+SUMIF(PA!$B:$B,$A76,PA!$AL:$AL)),"")</f>
        <v>0.99527776465278017</v>
      </c>
      <c r="P76" s="238"/>
      <c r="Q76" s="239"/>
      <c r="R76" s="240">
        <f>IFERROR(1-SUMIF(GA!$C:$C,$A76,GA!$X:$X)/($AA76+SUMIF(GA!$C:$C,$A76,GA!$X:$X)),"")</f>
        <v>1</v>
      </c>
      <c r="S76" s="186"/>
      <c r="T76" s="239"/>
      <c r="U76" s="237">
        <f t="shared" si="5"/>
        <v>0.80933787959630032</v>
      </c>
      <c r="V76" s="237">
        <f>IFERROR(_xlfn.XLOOKUP($A76,'Raw_Data'!$B:$B,'Raw_Data'!$JL:$JL),"")</f>
        <v>0.81644142265916342</v>
      </c>
      <c r="W76" s="240">
        <f t="shared" si="6"/>
        <v>0.25952315938058523</v>
      </c>
      <c r="X76" s="228">
        <f>IFERROR(_xlfn.XLOOKUP($A76,'Raw_Data'!$B:$B,'Raw_Data'!$JI:$JI),"")</f>
        <v>2105370.1999999997</v>
      </c>
      <c r="Y76" s="228">
        <f>IFERROR(_xlfn.XLOOKUP($A76,'Raw_Data'!$B:$B,'Raw_Data'!IT:IT),"")</f>
        <v>2091266.9999999925</v>
      </c>
      <c r="Z76" s="228">
        <f>IFERROR(_xlfn.XLOOKUP($A76,'Raw_Data'!$B:$B,'Raw_Data'!IU:IU),"")</f>
        <v>4133.9999999999582</v>
      </c>
      <c r="AA76" s="228">
        <f>IFERROR(_xlfn.XLOOKUP($A76,'Raw_Data'!$B:$B,'Raw_Data'!IW:IW),"")</f>
        <v>2087132.9999999925</v>
      </c>
      <c r="AB76" s="228">
        <f>IFERROR(_xlfn.XLOOKUP($A76,'Raw_Data'!$B:$B,'Raw_Data'!I:I)/1000,"")</f>
        <v>335.09089</v>
      </c>
      <c r="AC76" s="241">
        <f>IFERROR(_xlfn.XLOOKUP($D76,'Modelling New'!$D:$D,'Modelling New'!$P:$P),"")</f>
        <v>6.4266666666666667</v>
      </c>
      <c r="AD76" s="228">
        <f>IFERROR(_xlfn.XLOOKUP($D76,'Modelling New'!$D:$D,'Modelling New'!$T:$T)*1000,"")</f>
        <v>1787188.5300258806</v>
      </c>
      <c r="AE76" s="240">
        <f>IFERROR(_xlfn.XLOOKUP($D76,'Modelling New'!$D:$D,'Modelling New'!$O:$O),"")</f>
        <v>0.82989248162452478</v>
      </c>
      <c r="AF76" s="240">
        <f>IFERROR(_xlfn.XLOOKUP($D76,'Modelling New'!$D:$D,'Modelling New'!$W:$W),"")</f>
        <v>0.22222676452390053</v>
      </c>
      <c r="AG76" s="240">
        <f>IFERROR(_xlfn.XLOOKUP($D76,'Modelling New'!$D:$D,'Modelling New'!AE:AE),"")</f>
        <v>0.99750000000000005</v>
      </c>
      <c r="AH76" s="240">
        <f>IFERROR(_xlfn.XLOOKUP($D76,'Modelling New'!$D:$D,'Modelling New'!AF:AF),"")</f>
        <v>0.99750000000000005</v>
      </c>
      <c r="AI76" s="186"/>
      <c r="AJ76" s="186"/>
      <c r="AK76" s="227">
        <v>0.98499999999999999</v>
      </c>
      <c r="AL76" s="224">
        <f>IFERROR(Table13[[#This Row],[RA (%)]]*9270*58,"")</f>
        <v>529595.10000000009</v>
      </c>
      <c r="AM76" s="225"/>
      <c r="AN76" s="238"/>
      <c r="AO76" s="240"/>
      <c r="AP76" s="240"/>
      <c r="AQ76" s="240"/>
      <c r="AR76" s="242">
        <f>IFERROR(_xlfn.XLOOKUP($D76,'Modelling New'!$D:$D,'Modelling New'!$N:$N),"")</f>
        <v>335.09100000000001</v>
      </c>
    </row>
    <row r="77" spans="1:44">
      <c r="A77" s="233">
        <f t="shared" si="7"/>
        <v>45820</v>
      </c>
      <c r="B77" s="228">
        <f>YEAR(Table13[[#This Row],[Date]])+IF(MONTH(Table13[[#This Row],[Date]])&gt;=4,1,0)</f>
        <v>2026</v>
      </c>
      <c r="C77" s="186">
        <f>YEAR(Table13[[#This Row],[Date]])</f>
        <v>2025</v>
      </c>
      <c r="D77" s="234">
        <f>Table13[[#This Row],[Date]]-DAY(Table13[[#This Row],[Date]])+1</f>
        <v>45809</v>
      </c>
      <c r="E77" s="186">
        <f t="shared" si="4"/>
        <v>30</v>
      </c>
      <c r="F77" s="235">
        <f>IFERROR(_xlfn.XLOOKUP($A77,'Raw_Data'!$B:$B,'Raw_Data'!$IX:$IX),"")</f>
        <v>13.283333333333331</v>
      </c>
      <c r="G77" s="236">
        <f>IFERROR(_xlfn.XLOOKUP($A77,'Raw_Data'!$B:$B,'Raw_Data'!IY:IY),"")</f>
        <v>8.023172416666668</v>
      </c>
      <c r="H77" s="236">
        <f>IFERROR(_xlfn.XLOOKUP($A77,'Raw_Data'!$B:$B,'Raw_Data'!IZ:IZ),"")</f>
        <v>2.0797337916666678</v>
      </c>
      <c r="I77" s="236">
        <f>IFERROR(_xlfn.XLOOKUP($A77,'Raw_Data'!$B:$B,'Raw_Data'!JA:JA),"")</f>
        <v>7.5980656666666677</v>
      </c>
      <c r="J77" s="236">
        <f>IFERROR(_xlfn.XLOOKUP($A77,'Raw_Data'!$B:$B,'Raw_Data'!JB:JB),"")</f>
        <v>0.6603</v>
      </c>
      <c r="K77" s="236">
        <f>IFERROR(_xlfn.XLOOKUP($A77,'Raw_Data'!$B:$B,'Raw_Data'!JE:JE),"")</f>
        <v>37.059142219387745</v>
      </c>
      <c r="L77" s="236">
        <f>IFERROR(_xlfn.XLOOKUP($A77,'Raw_Data'!$B:$B,'Raw_Data'!JF:JF),"")</f>
        <v>52.774106766581667</v>
      </c>
      <c r="M77" s="236">
        <f>IFERROR(_xlfn.XLOOKUP($A77,'Raw_Data'!$B:$B,'Raw_Data'!JG:JG),"")</f>
        <v>3.6316633165210455</v>
      </c>
      <c r="N77" s="236">
        <f>IFERROR(_xlfn.XLOOKUP($A77,'Raw_Data'!$B:$B,'Raw_Data'!JH:JH),"")</f>
        <v>6.8662497499999997</v>
      </c>
      <c r="O77" s="237">
        <f>IFERROR(1-SUMIF(PA!$B:$B,$A77,PA!$AL:$AL)/($AA77+SUMIF(PA!$B:$B,$A77,PA!$AL:$AL)),"")</f>
        <v>0.99999524228360714</v>
      </c>
      <c r="P77" s="238"/>
      <c r="Q77" s="239"/>
      <c r="R77" s="240">
        <f>IFERROR(1-SUMIF(GA!$C:$C,$A77,GA!$X:$X)/($AA77+SUMIF(GA!$C:$C,$A77,GA!$X:$X)),"")</f>
        <v>0.95125712338565793</v>
      </c>
      <c r="S77" s="186"/>
      <c r="T77" s="239"/>
      <c r="U77" s="237">
        <f t="shared" si="5"/>
        <v>0.78173607824605573</v>
      </c>
      <c r="V77" s="237">
        <f>IFERROR(_xlfn.XLOOKUP($A77,'Raw_Data'!$B:$B,'Raw_Data'!$JL:$JL),"")</f>
        <v>0.83503531533078446</v>
      </c>
      <c r="W77" s="240">
        <f t="shared" si="6"/>
        <v>0.2474867523548335</v>
      </c>
      <c r="X77" s="228">
        <f>IFERROR(_xlfn.XLOOKUP($A77,'Raw_Data'!$B:$B,'Raw_Data'!$JI:$JI),"")</f>
        <v>2005872.3999999992</v>
      </c>
      <c r="Y77" s="228">
        <f>IFERROR(_xlfn.XLOOKUP($A77,'Raw_Data'!$B:$B,'Raw_Data'!IT:IT),"")</f>
        <v>1994467.0000000042</v>
      </c>
      <c r="Z77" s="228">
        <f>IFERROR(_xlfn.XLOOKUP($A77,'Raw_Data'!$B:$B,'Raw_Data'!IU:IU),"")</f>
        <v>4133.0000000000382</v>
      </c>
      <c r="AA77" s="228">
        <f>IFERROR(_xlfn.XLOOKUP($A77,'Raw_Data'!$B:$B,'Raw_Data'!IW:IW),"")</f>
        <v>1990334.0000000042</v>
      </c>
      <c r="AB77" s="228">
        <f>IFERROR(_xlfn.XLOOKUP($A77,'Raw_Data'!$B:$B,'Raw_Data'!I:I)/1000,"")</f>
        <v>335.09089</v>
      </c>
      <c r="AC77" s="241">
        <f>IFERROR(_xlfn.XLOOKUP($D77,'Modelling New'!$D:$D,'Modelling New'!$P:$P),"")</f>
        <v>6.4266666666666667</v>
      </c>
      <c r="AD77" s="228">
        <f>IFERROR(_xlfn.XLOOKUP($D77,'Modelling New'!$D:$D,'Modelling New'!$T:$T)*1000,"")</f>
        <v>1787188.5300258806</v>
      </c>
      <c r="AE77" s="240">
        <f>IFERROR(_xlfn.XLOOKUP($D77,'Modelling New'!$D:$D,'Modelling New'!$O:$O),"")</f>
        <v>0.82989248162452478</v>
      </c>
      <c r="AF77" s="240">
        <f>IFERROR(_xlfn.XLOOKUP($D77,'Modelling New'!$D:$D,'Modelling New'!$W:$W),"")</f>
        <v>0.22222676452390053</v>
      </c>
      <c r="AG77" s="240">
        <f>IFERROR(_xlfn.XLOOKUP($D77,'Modelling New'!$D:$D,'Modelling New'!AE:AE),"")</f>
        <v>0.99750000000000005</v>
      </c>
      <c r="AH77" s="240">
        <f>IFERROR(_xlfn.XLOOKUP($D77,'Modelling New'!$D:$D,'Modelling New'!AF:AF),"")</f>
        <v>0.99750000000000005</v>
      </c>
      <c r="AI77" s="186"/>
      <c r="AJ77" s="186"/>
      <c r="AK77" s="227">
        <v>0.98799999999999999</v>
      </c>
      <c r="AL77" s="224">
        <f>IFERROR(Table13[[#This Row],[RA (%)]]*9270*58,"")</f>
        <v>531208.07999999996</v>
      </c>
      <c r="AM77" s="225"/>
      <c r="AN77" s="238"/>
      <c r="AO77" s="240"/>
      <c r="AP77" s="240"/>
      <c r="AQ77" s="240"/>
      <c r="AR77" s="242">
        <f>IFERROR(_xlfn.XLOOKUP($D77,'Modelling New'!$D:$D,'Modelling New'!$N:$N),"")</f>
        <v>335.09100000000001</v>
      </c>
    </row>
    <row r="78" spans="1:44">
      <c r="A78" s="233">
        <f t="shared" si="7"/>
        <v>45821</v>
      </c>
      <c r="B78" s="228">
        <f>YEAR(Table13[[#This Row],[Date]])+IF(MONTH(Table13[[#This Row],[Date]])&gt;=4,1,0)</f>
        <v>2026</v>
      </c>
      <c r="C78" s="186">
        <f>YEAR(Table13[[#This Row],[Date]])</f>
        <v>2025</v>
      </c>
      <c r="D78" s="234">
        <f>Table13[[#This Row],[Date]]-DAY(Table13[[#This Row],[Date]])+1</f>
        <v>45809</v>
      </c>
      <c r="E78" s="186">
        <f t="shared" si="4"/>
        <v>30</v>
      </c>
      <c r="F78" s="235">
        <f>IFERROR(_xlfn.XLOOKUP($A78,'Raw_Data'!$B:$B,'Raw_Data'!$IX:$IX),"")</f>
        <v>13.183333333333332</v>
      </c>
      <c r="G78" s="236">
        <f>IFERROR(_xlfn.XLOOKUP($A78,'Raw_Data'!$B:$B,'Raw_Data'!IY:IY),"")</f>
        <v>7.6391414999999991</v>
      </c>
      <c r="H78" s="236">
        <f>IFERROR(_xlfn.XLOOKUP($A78,'Raw_Data'!$B:$B,'Raw_Data'!IZ:IZ),"")</f>
        <v>1.9627526666666664</v>
      </c>
      <c r="I78" s="236">
        <f>IFERROR(_xlfn.XLOOKUP($A78,'Raw_Data'!$B:$B,'Raw_Data'!JA:JA),"")</f>
        <v>7.2969540833333344</v>
      </c>
      <c r="J78" s="236">
        <f>IFERROR(_xlfn.XLOOKUP($A78,'Raw_Data'!$B:$B,'Raw_Data'!JB:JB),"")</f>
        <v>0.64993450000000041</v>
      </c>
      <c r="K78" s="236">
        <f>IFERROR(_xlfn.XLOOKUP($A78,'Raw_Data'!$B:$B,'Raw_Data'!JE:JE),"")</f>
        <v>40.051702944942384</v>
      </c>
      <c r="L78" s="236">
        <f>IFERROR(_xlfn.XLOOKUP($A78,'Raw_Data'!$B:$B,'Raw_Data'!JF:JF),"")</f>
        <v>55.699999999999996</v>
      </c>
      <c r="M78" s="236">
        <f>IFERROR(_xlfn.XLOOKUP($A78,'Raw_Data'!$B:$B,'Raw_Data'!JG:JG),"")</f>
        <v>3.0267211679692703</v>
      </c>
      <c r="N78" s="236">
        <f>IFERROR(_xlfn.XLOOKUP($A78,'Raw_Data'!$B:$B,'Raw_Data'!JH:JH),"")</f>
        <v>7.0136665999999988</v>
      </c>
      <c r="O78" s="237">
        <f>IFERROR(1-SUMIF(PA!$B:$B,$A78,PA!$AL:$AL)/($AA78+SUMIF(PA!$B:$B,$A78,PA!$AL:$AL)),"")</f>
        <v>0.99999054292585232</v>
      </c>
      <c r="P78" s="238"/>
      <c r="Q78" s="239"/>
      <c r="R78" s="240">
        <f>IFERROR(1-SUMIF(GA!$C:$C,$A78,GA!$X:$X)/($AA78+SUMIF(GA!$C:$C,$A78,GA!$X:$X)),"")</f>
        <v>0.7816483450724917</v>
      </c>
      <c r="S78" s="186"/>
      <c r="T78" s="239"/>
      <c r="U78" s="237">
        <f t="shared" si="5"/>
        <v>0.63333702535873393</v>
      </c>
      <c r="V78" s="237">
        <f>IFERROR(_xlfn.XLOOKUP($A78,'Raw_Data'!$B:$B,'Raw_Data'!$JL:$JL),"")</f>
        <v>0.83722340223221614</v>
      </c>
      <c r="W78" s="240">
        <f t="shared" si="6"/>
        <v>0.19255963305490006</v>
      </c>
      <c r="X78" s="228">
        <f>IFERROR(_xlfn.XLOOKUP($A78,'Raw_Data'!$B:$B,'Raw_Data'!$JI:$JI),"")</f>
        <v>1557095.5</v>
      </c>
      <c r="Y78" s="228">
        <f>IFERROR(_xlfn.XLOOKUP($A78,'Raw_Data'!$B:$B,'Raw_Data'!IT:IT),"")</f>
        <v>1552799.9999999884</v>
      </c>
      <c r="Z78" s="228">
        <f>IFERROR(_xlfn.XLOOKUP($A78,'Raw_Data'!$B:$B,'Raw_Data'!IU:IU),"")</f>
        <v>4199.9999999999891</v>
      </c>
      <c r="AA78" s="228">
        <f>IFERROR(_xlfn.XLOOKUP($A78,'Raw_Data'!$B:$B,'Raw_Data'!IW:IW),"")</f>
        <v>1548599.9999999884</v>
      </c>
      <c r="AB78" s="228">
        <f>IFERROR(_xlfn.XLOOKUP($A78,'Raw_Data'!$B:$B,'Raw_Data'!I:I)/1000,"")</f>
        <v>335.09089</v>
      </c>
      <c r="AC78" s="241">
        <f>IFERROR(_xlfn.XLOOKUP($D78,'Modelling New'!$D:$D,'Modelling New'!$P:$P),"")</f>
        <v>6.4266666666666667</v>
      </c>
      <c r="AD78" s="228">
        <f>IFERROR(_xlfn.XLOOKUP($D78,'Modelling New'!$D:$D,'Modelling New'!$T:$T)*1000,"")</f>
        <v>1787188.5300258806</v>
      </c>
      <c r="AE78" s="240">
        <f>IFERROR(_xlfn.XLOOKUP($D78,'Modelling New'!$D:$D,'Modelling New'!$O:$O),"")</f>
        <v>0.82989248162452478</v>
      </c>
      <c r="AF78" s="240">
        <f>IFERROR(_xlfn.XLOOKUP($D78,'Modelling New'!$D:$D,'Modelling New'!$W:$W),"")</f>
        <v>0.22222676452390053</v>
      </c>
      <c r="AG78" s="240">
        <f>IFERROR(_xlfn.XLOOKUP($D78,'Modelling New'!$D:$D,'Modelling New'!AE:AE),"")</f>
        <v>0.99750000000000005</v>
      </c>
      <c r="AH78" s="240">
        <f>IFERROR(_xlfn.XLOOKUP($D78,'Modelling New'!$D:$D,'Modelling New'!AF:AF),"")</f>
        <v>0.99750000000000005</v>
      </c>
      <c r="AI78" s="186"/>
      <c r="AJ78" s="186"/>
      <c r="AK78" s="227">
        <v>0.98299999999999998</v>
      </c>
      <c r="AL78" s="224">
        <f>IFERROR(Table13[[#This Row],[RA (%)]]*9270*58,"")</f>
        <v>528519.78</v>
      </c>
      <c r="AM78" s="225"/>
      <c r="AN78" s="238"/>
      <c r="AO78" s="240"/>
      <c r="AP78" s="240"/>
      <c r="AQ78" s="240"/>
      <c r="AR78" s="242">
        <f>IFERROR(_xlfn.XLOOKUP($D78,'Modelling New'!$D:$D,'Modelling New'!$N:$N),"")</f>
        <v>335.09100000000001</v>
      </c>
    </row>
    <row r="79" spans="1:44">
      <c r="A79" s="233">
        <f t="shared" si="7"/>
        <v>45822</v>
      </c>
      <c r="B79" s="228">
        <f>YEAR(Table13[[#This Row],[Date]])+IF(MONTH(Table13[[#This Row],[Date]])&gt;=4,1,0)</f>
        <v>2026</v>
      </c>
      <c r="C79" s="186">
        <f>YEAR(Table13[[#This Row],[Date]])</f>
        <v>2025</v>
      </c>
      <c r="D79" s="234">
        <f>Table13[[#This Row],[Date]]-DAY(Table13[[#This Row],[Date]])+1</f>
        <v>45809</v>
      </c>
      <c r="E79" s="186">
        <f t="shared" si="4"/>
        <v>30</v>
      </c>
      <c r="F79" s="235">
        <f>IFERROR(_xlfn.XLOOKUP($A79,'Raw_Data'!$B:$B,'Raw_Data'!$IX:$IX),"")</f>
        <v>12.633333333333333</v>
      </c>
      <c r="G79" s="236">
        <f>IFERROR(_xlfn.XLOOKUP($A79,'Raw_Data'!$B:$B,'Raw_Data'!IY:IY),"")</f>
        <v>1.7421704333333328</v>
      </c>
      <c r="H79" s="236">
        <f>IFERROR(_xlfn.XLOOKUP($A79,'Raw_Data'!$B:$B,'Raw_Data'!IZ:IZ),"")</f>
        <v>0.39583243333333318</v>
      </c>
      <c r="I79" s="236">
        <f>IFERROR(_xlfn.XLOOKUP($A79,'Raw_Data'!$B:$B,'Raw_Data'!JA:JA),"")</f>
        <v>1.7380907499999998</v>
      </c>
      <c r="J79" s="236">
        <f>IFERROR(_xlfn.XLOOKUP($A79,'Raw_Data'!$B:$B,'Raw_Data'!JB:JB),"")</f>
        <v>6.7455033333333331E-2</v>
      </c>
      <c r="K79" s="236">
        <f>IFERROR(_xlfn.XLOOKUP($A79,'Raw_Data'!$B:$B,'Raw_Data'!JE:JE),"")</f>
        <v>35.161177718832917</v>
      </c>
      <c r="L79" s="236">
        <f>IFERROR(_xlfn.XLOOKUP($A79,'Raw_Data'!$B:$B,'Raw_Data'!JF:JF),"")</f>
        <v>37.808814916003548</v>
      </c>
      <c r="M79" s="236">
        <f>IFERROR(_xlfn.XLOOKUP($A79,'Raw_Data'!$B:$B,'Raw_Data'!JG:JG),"")</f>
        <v>3.3323057960397877</v>
      </c>
      <c r="N79" s="236">
        <f>IFERROR(_xlfn.XLOOKUP($A79,'Raw_Data'!$B:$B,'Raw_Data'!JH:JH),"")</f>
        <v>7.2109994000000004</v>
      </c>
      <c r="O79" s="237">
        <f>IFERROR(1-SUMIF(PA!$B:$B,$A79,PA!$AL:$AL)/($AA79+SUMIF(PA!$B:$B,$A79,PA!$AL:$AL)),"")</f>
        <v>0.99992641448226938</v>
      </c>
      <c r="P79" s="238"/>
      <c r="Q79" s="239"/>
      <c r="R79" s="240">
        <f>IFERROR(1-SUMIF(GA!$C:$C,$A79,GA!$X:$X)/($AA79+SUMIF(GA!$C:$C,$A79,GA!$X:$X)),"")</f>
        <v>1</v>
      </c>
      <c r="S79" s="186"/>
      <c r="T79" s="239"/>
      <c r="U79" s="237">
        <f t="shared" si="5"/>
        <v>0.89454737377105109</v>
      </c>
      <c r="V79" s="237">
        <f>IFERROR(_xlfn.XLOOKUP($A79,'Raw_Data'!$B:$B,'Raw_Data'!$JL:$JL),"")</f>
        <v>0.86721087815236164</v>
      </c>
      <c r="W79" s="240">
        <f t="shared" si="6"/>
        <v>6.4783521491177345E-2</v>
      </c>
      <c r="X79" s="228">
        <f>IFERROR(_xlfn.XLOOKUP($A79,'Raw_Data'!$B:$B,'Raw_Data'!$JI:$JI),"")</f>
        <v>529356.89999999991</v>
      </c>
      <c r="Y79" s="228">
        <f>IFERROR(_xlfn.XLOOKUP($A79,'Raw_Data'!$B:$B,'Raw_Data'!IT:IT),"")</f>
        <v>525334.00000000256</v>
      </c>
      <c r="Z79" s="228">
        <f>IFERROR(_xlfn.XLOOKUP($A79,'Raw_Data'!$B:$B,'Raw_Data'!IU:IU),"")</f>
        <v>4332.99999999997</v>
      </c>
      <c r="AA79" s="228">
        <f>IFERROR(_xlfn.XLOOKUP($A79,'Raw_Data'!$B:$B,'Raw_Data'!IW:IW),"")</f>
        <v>521001.00000000262</v>
      </c>
      <c r="AB79" s="228">
        <f>IFERROR(_xlfn.XLOOKUP($A79,'Raw_Data'!$B:$B,'Raw_Data'!I:I)/1000,"")</f>
        <v>335.09089</v>
      </c>
      <c r="AC79" s="241">
        <f>IFERROR(_xlfn.XLOOKUP($D79,'Modelling New'!$D:$D,'Modelling New'!$P:$P),"")</f>
        <v>6.4266666666666667</v>
      </c>
      <c r="AD79" s="228">
        <f>IFERROR(_xlfn.XLOOKUP($D79,'Modelling New'!$D:$D,'Modelling New'!$T:$T)*1000,"")</f>
        <v>1787188.5300258806</v>
      </c>
      <c r="AE79" s="240">
        <f>IFERROR(_xlfn.XLOOKUP($D79,'Modelling New'!$D:$D,'Modelling New'!$O:$O),"")</f>
        <v>0.82989248162452478</v>
      </c>
      <c r="AF79" s="240">
        <f>IFERROR(_xlfn.XLOOKUP($D79,'Modelling New'!$D:$D,'Modelling New'!$W:$W),"")</f>
        <v>0.22222676452390053</v>
      </c>
      <c r="AG79" s="240">
        <f>IFERROR(_xlfn.XLOOKUP($D79,'Modelling New'!$D:$D,'Modelling New'!AE:AE),"")</f>
        <v>0.99750000000000005</v>
      </c>
      <c r="AH79" s="240">
        <f>IFERROR(_xlfn.XLOOKUP($D79,'Modelling New'!$D:$D,'Modelling New'!AF:AF),"")</f>
        <v>0.99750000000000005</v>
      </c>
      <c r="AI79" s="186"/>
      <c r="AJ79" s="186"/>
      <c r="AK79" s="227">
        <v>0.96</v>
      </c>
      <c r="AL79" s="224">
        <f>IFERROR(Table13[[#This Row],[RA (%)]]*9270*58,"")</f>
        <v>516153.59999999992</v>
      </c>
      <c r="AM79" s="225"/>
      <c r="AN79" s="238"/>
      <c r="AO79" s="240"/>
      <c r="AP79" s="240"/>
      <c r="AQ79" s="240"/>
      <c r="AR79" s="242">
        <f>IFERROR(_xlfn.XLOOKUP($D79,'Modelling New'!$D:$D,'Modelling New'!$N:$N),"")</f>
        <v>335.09100000000001</v>
      </c>
    </row>
    <row r="80" spans="1:44">
      <c r="A80" s="233">
        <f t="shared" si="7"/>
        <v>45823</v>
      </c>
      <c r="B80" s="228">
        <f>YEAR(Table13[[#This Row],[Date]])+IF(MONTH(Table13[[#This Row],[Date]])&gt;=4,1,0)</f>
        <v>2026</v>
      </c>
      <c r="C80" s="186">
        <f>YEAR(Table13[[#This Row],[Date]])</f>
        <v>2025</v>
      </c>
      <c r="D80" s="234">
        <f>Table13[[#This Row],[Date]]-DAY(Table13[[#This Row],[Date]])+1</f>
        <v>45809</v>
      </c>
      <c r="E80" s="186">
        <f t="shared" si="4"/>
        <v>30</v>
      </c>
      <c r="F80" s="235">
        <f>IFERROR(_xlfn.XLOOKUP($A80,'Raw_Data'!$B:$B,'Raw_Data'!$IX:$IX),"")</f>
        <v>12.866666666666667</v>
      </c>
      <c r="G80" s="236">
        <f>IFERROR(_xlfn.XLOOKUP($A80,'Raw_Data'!$B:$B,'Raw_Data'!IY:IY),"")</f>
        <v>3.0227926999999997</v>
      </c>
      <c r="H80" s="236">
        <f>IFERROR(_xlfn.XLOOKUP($A80,'Raw_Data'!$B:$B,'Raw_Data'!IZ:IZ),"")</f>
        <v>0.73922799999999977</v>
      </c>
      <c r="I80" s="236">
        <f>IFERROR(_xlfn.XLOOKUP($A80,'Raw_Data'!$B:$B,'Raw_Data'!JA:JA),"")</f>
        <v>2.9362254999999999</v>
      </c>
      <c r="J80" s="236">
        <f>IFERROR(_xlfn.XLOOKUP($A80,'Raw_Data'!$B:$B,'Raw_Data'!JB:JB),"")</f>
        <v>0.26772833333333335</v>
      </c>
      <c r="K80" s="236">
        <f>IFERROR(_xlfn.XLOOKUP($A80,'Raw_Data'!$B:$B,'Raw_Data'!JE:JE),"")</f>
        <v>32.453009247027737</v>
      </c>
      <c r="L80" s="236">
        <f>IFERROR(_xlfn.XLOOKUP($A80,'Raw_Data'!$B:$B,'Raw_Data'!JF:JF),"")</f>
        <v>37.66371867899602</v>
      </c>
      <c r="M80" s="236">
        <f>IFERROR(_xlfn.XLOOKUP($A80,'Raw_Data'!$B:$B,'Raw_Data'!JG:JG),"")</f>
        <v>4.2111416039550864</v>
      </c>
      <c r="N80" s="236">
        <f>IFERROR(_xlfn.XLOOKUP($A80,'Raw_Data'!$B:$B,'Raw_Data'!JH:JH),"")</f>
        <v>8.1470002000000008</v>
      </c>
      <c r="O80" s="237">
        <f>IFERROR(1-SUMIF(PA!$B:$B,$A80,PA!$AL:$AL)/($AA80+SUMIF(PA!$B:$B,$A80,PA!$AL:$AL)),"")</f>
        <v>0.9999272419691877</v>
      </c>
      <c r="P80" s="238"/>
      <c r="Q80" s="239"/>
      <c r="R80" s="240">
        <f>IFERROR(1-SUMIF(GA!$C:$C,$A80,GA!$X:$X)/($AA80+SUMIF(GA!$C:$C,$A80,GA!$X:$X)),"")</f>
        <v>1</v>
      </c>
      <c r="S80" s="186"/>
      <c r="T80" s="239"/>
      <c r="U80" s="237">
        <f t="shared" si="5"/>
        <v>0.88260654794447535</v>
      </c>
      <c r="V80" s="237">
        <f>IFERROR(_xlfn.XLOOKUP($A80,'Raw_Data'!$B:$B,'Raw_Data'!$JL:$JL),"")</f>
        <v>0.84608765358268712</v>
      </c>
      <c r="W80" s="240">
        <f t="shared" si="6"/>
        <v>0.10798049385589753</v>
      </c>
      <c r="X80" s="228">
        <f>IFERROR(_xlfn.XLOOKUP($A80,'Raw_Data'!$B:$B,'Raw_Data'!$JI:$JI),"")</f>
        <v>877169.70000000042</v>
      </c>
      <c r="Y80" s="228">
        <f>IFERROR(_xlfn.XLOOKUP($A80,'Raw_Data'!$B:$B,'Raw_Data'!IT:IT),"")</f>
        <v>872665.99999999744</v>
      </c>
      <c r="Z80" s="228">
        <f>IFERROR(_xlfn.XLOOKUP($A80,'Raw_Data'!$B:$B,'Raw_Data'!IU:IU),"")</f>
        <v>4267.0000000000528</v>
      </c>
      <c r="AA80" s="228">
        <f>IFERROR(_xlfn.XLOOKUP($A80,'Raw_Data'!$B:$B,'Raw_Data'!IW:IW),"")</f>
        <v>868398.99999999744</v>
      </c>
      <c r="AB80" s="228">
        <f>IFERROR(_xlfn.XLOOKUP($A80,'Raw_Data'!$B:$B,'Raw_Data'!I:I)/1000,"")</f>
        <v>335.09089</v>
      </c>
      <c r="AC80" s="241">
        <f>IFERROR(_xlfn.XLOOKUP($D80,'Modelling New'!$D:$D,'Modelling New'!$P:$P),"")</f>
        <v>6.4266666666666667</v>
      </c>
      <c r="AD80" s="228">
        <f>IFERROR(_xlfn.XLOOKUP($D80,'Modelling New'!$D:$D,'Modelling New'!$T:$T)*1000,"")</f>
        <v>1787188.5300258806</v>
      </c>
      <c r="AE80" s="240">
        <f>IFERROR(_xlfn.XLOOKUP($D80,'Modelling New'!$D:$D,'Modelling New'!$O:$O),"")</f>
        <v>0.82989248162452478</v>
      </c>
      <c r="AF80" s="240">
        <f>IFERROR(_xlfn.XLOOKUP($D80,'Modelling New'!$D:$D,'Modelling New'!$W:$W),"")</f>
        <v>0.22222676452390053</v>
      </c>
      <c r="AG80" s="240">
        <f>IFERROR(_xlfn.XLOOKUP($D80,'Modelling New'!$D:$D,'Modelling New'!AE:AE),"")</f>
        <v>0.99750000000000005</v>
      </c>
      <c r="AH80" s="240">
        <f>IFERROR(_xlfn.XLOOKUP($D80,'Modelling New'!$D:$D,'Modelling New'!AF:AF),"")</f>
        <v>0.99750000000000005</v>
      </c>
      <c r="AI80" s="186"/>
      <c r="AJ80" s="186"/>
      <c r="AK80" s="227">
        <v>0</v>
      </c>
      <c r="AL80" s="224">
        <f>IFERROR(Table13[[#This Row],[RA (%)]]*9270*58,"")</f>
        <v>0</v>
      </c>
      <c r="AM80" s="225"/>
      <c r="AN80" s="238"/>
      <c r="AO80" s="240"/>
      <c r="AP80" s="240"/>
      <c r="AQ80" s="240"/>
      <c r="AR80" s="242">
        <f>IFERROR(_xlfn.XLOOKUP($D80,'Modelling New'!$D:$D,'Modelling New'!$N:$N),"")</f>
        <v>335.09100000000001</v>
      </c>
    </row>
    <row r="81" spans="1:44">
      <c r="A81" s="233">
        <f t="shared" si="7"/>
        <v>45824</v>
      </c>
      <c r="B81" s="228">
        <f>YEAR(Table13[[#This Row],[Date]])+IF(MONTH(Table13[[#This Row],[Date]])&gt;=4,1,0)</f>
        <v>2026</v>
      </c>
      <c r="C81" s="186">
        <f>YEAR(Table13[[#This Row],[Date]])</f>
        <v>2025</v>
      </c>
      <c r="D81" s="234">
        <f>Table13[[#This Row],[Date]]-DAY(Table13[[#This Row],[Date]])+1</f>
        <v>45809</v>
      </c>
      <c r="E81" s="186">
        <f t="shared" si="4"/>
        <v>30</v>
      </c>
      <c r="F81" s="235">
        <f>IFERROR(_xlfn.XLOOKUP($A81,'Raw_Data'!$B:$B,'Raw_Data'!$IX:$IX),"")</f>
        <v>13.433333333333334</v>
      </c>
      <c r="G81" s="236">
        <f>IFERROR(_xlfn.XLOOKUP($A81,'Raw_Data'!$B:$B,'Raw_Data'!IY:IY),"")</f>
        <v>6.0418935666666673</v>
      </c>
      <c r="H81" s="236">
        <f>IFERROR(_xlfn.XLOOKUP($A81,'Raw_Data'!$B:$B,'Raw_Data'!IZ:IZ),"")</f>
        <v>1.501735833333333</v>
      </c>
      <c r="I81" s="236">
        <f>IFERROR(_xlfn.XLOOKUP($A81,'Raw_Data'!$B:$B,'Raw_Data'!JA:JA),"")</f>
        <v>5.8113195416666699</v>
      </c>
      <c r="J81" s="236">
        <f>IFERROR(_xlfn.XLOOKUP($A81,'Raw_Data'!$B:$B,'Raw_Data'!JB:JB),"")</f>
        <v>0.55495836666666676</v>
      </c>
      <c r="K81" s="236">
        <f>IFERROR(_xlfn.XLOOKUP($A81,'Raw_Data'!$B:$B,'Raw_Data'!JE:JE),"")</f>
        <v>34.520401015228437</v>
      </c>
      <c r="L81" s="236">
        <f>IFERROR(_xlfn.XLOOKUP($A81,'Raw_Data'!$B:$B,'Raw_Data'!JF:JF),"")</f>
        <v>44.110139593908627</v>
      </c>
      <c r="M81" s="236">
        <f>IFERROR(_xlfn.XLOOKUP($A81,'Raw_Data'!$B:$B,'Raw_Data'!JG:JG),"")</f>
        <v>3.7618492565050774</v>
      </c>
      <c r="N81" s="236">
        <f>IFERROR(_xlfn.XLOOKUP($A81,'Raw_Data'!$B:$B,'Raw_Data'!JH:JH),"")</f>
        <v>8.2766663999999999</v>
      </c>
      <c r="O81" s="237">
        <f>IFERROR(1-SUMIF(PA!$B:$B,$A81,PA!$AL:$AL)/($AA81+SUMIF(PA!$B:$B,$A81,PA!$AL:$AL)),"")</f>
        <v>0.99943867175659451</v>
      </c>
      <c r="P81" s="238"/>
      <c r="Q81" s="239"/>
      <c r="R81" s="240">
        <f>IFERROR(1-SUMIF(GA!$C:$C,$A81,GA!$X:$X)/($AA81+SUMIF(GA!$C:$C,$A81,GA!$X:$X)),"")</f>
        <v>1</v>
      </c>
      <c r="S81" s="186"/>
      <c r="T81" s="239"/>
      <c r="U81" s="237">
        <f t="shared" si="5"/>
        <v>0.846770052058745</v>
      </c>
      <c r="V81" s="237">
        <f>IFERROR(_xlfn.XLOOKUP($A81,'Raw_Data'!$B:$B,'Raw_Data'!$JL:$JL),"")</f>
        <v>0.84129523570698994</v>
      </c>
      <c r="W81" s="240">
        <f t="shared" si="6"/>
        <v>0.2050354729511287</v>
      </c>
      <c r="X81" s="228">
        <f>IFERROR(_xlfn.XLOOKUP($A81,'Raw_Data'!$B:$B,'Raw_Data'!$JI:$JI),"")</f>
        <v>1662163.1999999993</v>
      </c>
      <c r="Y81" s="228">
        <f>IFERROR(_xlfn.XLOOKUP($A81,'Raw_Data'!$B:$B,'Raw_Data'!IT:IT),"")</f>
        <v>1653000</v>
      </c>
      <c r="Z81" s="228">
        <f>IFERROR(_xlfn.XLOOKUP($A81,'Raw_Data'!$B:$B,'Raw_Data'!IU:IU),"")</f>
        <v>4067.0000000000073</v>
      </c>
      <c r="AA81" s="228">
        <f>IFERROR(_xlfn.XLOOKUP($A81,'Raw_Data'!$B:$B,'Raw_Data'!IW:IW),"")</f>
        <v>1648933</v>
      </c>
      <c r="AB81" s="228">
        <f>IFERROR(_xlfn.XLOOKUP($A81,'Raw_Data'!$B:$B,'Raw_Data'!I:I)/1000,"")</f>
        <v>335.09089</v>
      </c>
      <c r="AC81" s="241">
        <f>IFERROR(_xlfn.XLOOKUP($D81,'Modelling New'!$D:$D,'Modelling New'!$P:$P),"")</f>
        <v>6.4266666666666667</v>
      </c>
      <c r="AD81" s="228">
        <f>IFERROR(_xlfn.XLOOKUP($D81,'Modelling New'!$D:$D,'Modelling New'!$T:$T)*1000,"")</f>
        <v>1787188.5300258806</v>
      </c>
      <c r="AE81" s="240">
        <f>IFERROR(_xlfn.XLOOKUP($D81,'Modelling New'!$D:$D,'Modelling New'!$O:$O),"")</f>
        <v>0.82989248162452478</v>
      </c>
      <c r="AF81" s="240">
        <f>IFERROR(_xlfn.XLOOKUP($D81,'Modelling New'!$D:$D,'Modelling New'!$W:$W),"")</f>
        <v>0.22222676452390053</v>
      </c>
      <c r="AG81" s="240">
        <f>IFERROR(_xlfn.XLOOKUP($D81,'Modelling New'!$D:$D,'Modelling New'!AE:AE),"")</f>
        <v>0.99750000000000005</v>
      </c>
      <c r="AH81" s="240">
        <f>IFERROR(_xlfn.XLOOKUP($D81,'Modelling New'!$D:$D,'Modelling New'!AF:AF),"")</f>
        <v>0.99750000000000005</v>
      </c>
      <c r="AI81" s="186"/>
      <c r="AJ81" s="186"/>
      <c r="AK81" s="227">
        <v>0.97199999999999998</v>
      </c>
      <c r="AL81" s="224">
        <f>IFERROR(Table13[[#This Row],[RA (%)]]*9270*58,"")</f>
        <v>522605.52</v>
      </c>
      <c r="AM81" s="225"/>
      <c r="AN81" s="238"/>
      <c r="AO81" s="240"/>
      <c r="AP81" s="240"/>
      <c r="AQ81" s="240"/>
      <c r="AR81" s="242">
        <f>IFERROR(_xlfn.XLOOKUP($D81,'Modelling New'!$D:$D,'Modelling New'!$N:$N),"")</f>
        <v>335.09100000000001</v>
      </c>
    </row>
    <row r="82" spans="1:44">
      <c r="A82" s="233">
        <f t="shared" si="7"/>
        <v>45825</v>
      </c>
      <c r="B82" s="228">
        <f>YEAR(Table13[[#This Row],[Date]])+IF(MONTH(Table13[[#This Row],[Date]])&gt;=4,1,0)</f>
        <v>2026</v>
      </c>
      <c r="C82" s="186">
        <f>YEAR(Table13[[#This Row],[Date]])</f>
        <v>2025</v>
      </c>
      <c r="D82" s="234">
        <f>Table13[[#This Row],[Date]]-DAY(Table13[[#This Row],[Date]])+1</f>
        <v>45809</v>
      </c>
      <c r="E82" s="186">
        <f t="shared" si="4"/>
        <v>30</v>
      </c>
      <c r="F82" s="235">
        <f>IFERROR(_xlfn.XLOOKUP($A82,'Raw_Data'!$B:$B,'Raw_Data'!$IX:$IX),"")</f>
        <v>13.133333333333335</v>
      </c>
      <c r="G82" s="236">
        <f>IFERROR(_xlfn.XLOOKUP($A82,'Raw_Data'!$B:$B,'Raw_Data'!IY:IY),"")</f>
        <v>5.8733845333333319</v>
      </c>
      <c r="H82" s="236">
        <f>IFERROR(_xlfn.XLOOKUP($A82,'Raw_Data'!$B:$B,'Raw_Data'!IZ:IZ),"")</f>
        <v>1.4621758666666662</v>
      </c>
      <c r="I82" s="236">
        <f>IFERROR(_xlfn.XLOOKUP($A82,'Raw_Data'!$B:$B,'Raw_Data'!JA:JA),"")</f>
        <v>5.6907922916666669</v>
      </c>
      <c r="J82" s="236">
        <f>IFERROR(_xlfn.XLOOKUP($A82,'Raw_Data'!$B:$B,'Raw_Data'!JB:JB),"")</f>
        <v>0.46768850000000012</v>
      </c>
      <c r="K82" s="236">
        <f>IFERROR(_xlfn.XLOOKUP($A82,'Raw_Data'!$B:$B,'Raw_Data'!JE:JE),"")</f>
        <v>34.466853904282104</v>
      </c>
      <c r="L82" s="236">
        <f>IFERROR(_xlfn.XLOOKUP($A82,'Raw_Data'!$B:$B,'Raw_Data'!JF:JF),"")</f>
        <v>45.641013358522279</v>
      </c>
      <c r="M82" s="236">
        <f>IFERROR(_xlfn.XLOOKUP($A82,'Raw_Data'!$B:$B,'Raw_Data'!JG:JG),"")</f>
        <v>3.7827194256523944</v>
      </c>
      <c r="N82" s="236">
        <f>IFERROR(_xlfn.XLOOKUP($A82,'Raw_Data'!$B:$B,'Raw_Data'!JH:JH),"")</f>
        <v>15.129</v>
      </c>
      <c r="O82" s="237">
        <f>IFERROR(1-SUMIF(PA!$B:$B,$A82,PA!$AL:$AL)/($AA82+SUMIF(PA!$B:$B,$A82,PA!$AL:$AL)),"")</f>
        <v>0.99990028349195237</v>
      </c>
      <c r="P82" s="238"/>
      <c r="Q82" s="239"/>
      <c r="R82" s="240">
        <f>IFERROR(1-SUMIF(GA!$C:$C,$A82,GA!$X:$X)/($AA82+SUMIF(GA!$C:$C,$A82,GA!$X:$X)),"")</f>
        <v>0.83484170291994841</v>
      </c>
      <c r="S82" s="186"/>
      <c r="T82" s="239"/>
      <c r="U82" s="237">
        <f t="shared" si="5"/>
        <v>0.64763723674961371</v>
      </c>
      <c r="V82" s="237">
        <f>IFERROR(_xlfn.XLOOKUP($A82,'Raw_Data'!$B:$B,'Raw_Data'!$JL:$JL),"")</f>
        <v>0.81382898564454142</v>
      </c>
      <c r="W82" s="240">
        <f t="shared" si="6"/>
        <v>0.15356537477879176</v>
      </c>
      <c r="X82" s="228">
        <f>IFERROR(_xlfn.XLOOKUP($A82,'Raw_Data'!$B:$B,'Raw_Data'!$JI:$JI),"")</f>
        <v>1243267.2</v>
      </c>
      <c r="Y82" s="228">
        <f>IFERROR(_xlfn.XLOOKUP($A82,'Raw_Data'!$B:$B,'Raw_Data'!IT:IT),"")</f>
        <v>1239334.0000000026</v>
      </c>
      <c r="Z82" s="228">
        <f>IFERROR(_xlfn.XLOOKUP($A82,'Raw_Data'!$B:$B,'Raw_Data'!IU:IU),"")</f>
        <v>4332.99999999997</v>
      </c>
      <c r="AA82" s="228">
        <f>IFERROR(_xlfn.XLOOKUP($A82,'Raw_Data'!$B:$B,'Raw_Data'!IW:IW),"")</f>
        <v>1235001.0000000026</v>
      </c>
      <c r="AB82" s="228">
        <f>IFERROR(_xlfn.XLOOKUP($A82,'Raw_Data'!$B:$B,'Raw_Data'!I:I)/1000,"")</f>
        <v>335.09089</v>
      </c>
      <c r="AC82" s="241">
        <f>IFERROR(_xlfn.XLOOKUP($D82,'Modelling New'!$D:$D,'Modelling New'!$P:$P),"")</f>
        <v>6.4266666666666667</v>
      </c>
      <c r="AD82" s="228">
        <f>IFERROR(_xlfn.XLOOKUP($D82,'Modelling New'!$D:$D,'Modelling New'!$T:$T)*1000,"")</f>
        <v>1787188.5300258806</v>
      </c>
      <c r="AE82" s="240">
        <f>IFERROR(_xlfn.XLOOKUP($D82,'Modelling New'!$D:$D,'Modelling New'!$O:$O),"")</f>
        <v>0.82989248162452478</v>
      </c>
      <c r="AF82" s="240">
        <f>IFERROR(_xlfn.XLOOKUP($D82,'Modelling New'!$D:$D,'Modelling New'!$W:$W),"")</f>
        <v>0.22222676452390053</v>
      </c>
      <c r="AG82" s="240">
        <f>IFERROR(_xlfn.XLOOKUP($D82,'Modelling New'!$D:$D,'Modelling New'!AE:AE),"")</f>
        <v>0.99750000000000005</v>
      </c>
      <c r="AH82" s="240">
        <f>IFERROR(_xlfn.XLOOKUP($D82,'Modelling New'!$D:$D,'Modelling New'!AF:AF),"")</f>
        <v>0.99750000000000005</v>
      </c>
      <c r="AI82" s="186"/>
      <c r="AJ82" s="186"/>
      <c r="AK82" s="227">
        <v>0.98199999999999998</v>
      </c>
      <c r="AL82" s="224">
        <f>IFERROR(Table13[[#This Row],[RA (%)]]*9270*58,"")</f>
        <v>527982.12</v>
      </c>
      <c r="AM82" s="225"/>
      <c r="AN82" s="238"/>
      <c r="AO82" s="240"/>
      <c r="AP82" s="240"/>
      <c r="AQ82" s="240"/>
      <c r="AR82" s="242">
        <f>IFERROR(_xlfn.XLOOKUP($D82,'Modelling New'!$D:$D,'Modelling New'!$N:$N),"")</f>
        <v>335.09100000000001</v>
      </c>
    </row>
    <row r="83" spans="1:44">
      <c r="A83" s="233">
        <f t="shared" si="7"/>
        <v>45826</v>
      </c>
      <c r="B83" s="228">
        <f>YEAR(Table13[[#This Row],[Date]])+IF(MONTH(Table13[[#This Row],[Date]])&gt;=4,1,0)</f>
        <v>2026</v>
      </c>
      <c r="C83" s="186">
        <f>YEAR(Table13[[#This Row],[Date]])</f>
        <v>2025</v>
      </c>
      <c r="D83" s="234">
        <f>Table13[[#This Row],[Date]]-DAY(Table13[[#This Row],[Date]])+1</f>
        <v>45809</v>
      </c>
      <c r="E83" s="186">
        <f t="shared" si="4"/>
        <v>30</v>
      </c>
      <c r="F83" s="235">
        <f>IFERROR(_xlfn.XLOOKUP($A83,'Raw_Data'!$B:$B,'Raw_Data'!$IX:$IX),"")</f>
        <v>13.233333333333334</v>
      </c>
      <c r="G83" s="236">
        <f>IFERROR(_xlfn.XLOOKUP($A83,'Raw_Data'!$B:$B,'Raw_Data'!IY:IY),"")</f>
        <v>7.4143601666666665</v>
      </c>
      <c r="H83" s="236">
        <f>IFERROR(_xlfn.XLOOKUP($A83,'Raw_Data'!$B:$B,'Raw_Data'!IZ:IZ),"")</f>
        <v>1.8405914333333322</v>
      </c>
      <c r="I83" s="236">
        <f>IFERROR(_xlfn.XLOOKUP($A83,'Raw_Data'!$B:$B,'Raw_Data'!JA:JA),"")</f>
        <v>7.0944801249999978</v>
      </c>
      <c r="J83" s="236">
        <f>IFERROR(_xlfn.XLOOKUP($A83,'Raw_Data'!$B:$B,'Raw_Data'!JB:JB),"")</f>
        <v>0.60912820000000012</v>
      </c>
      <c r="K83" s="236">
        <f>IFERROR(_xlfn.XLOOKUP($A83,'Raw_Data'!$B:$B,'Raw_Data'!JE:JE),"")</f>
        <v>36.839762148337584</v>
      </c>
      <c r="L83" s="236">
        <f>IFERROR(_xlfn.XLOOKUP($A83,'Raw_Data'!$B:$B,'Raw_Data'!JF:JF),"")</f>
        <v>48.171702037510649</v>
      </c>
      <c r="M83" s="236">
        <f>IFERROR(_xlfn.XLOOKUP($A83,'Raw_Data'!$B:$B,'Raw_Data'!JG:JG),"")</f>
        <v>3.7639874683452681</v>
      </c>
      <c r="N83" s="236">
        <f>IFERROR(_xlfn.XLOOKUP($A83,'Raw_Data'!$B:$B,'Raw_Data'!JH:JH),"")</f>
        <v>7.414999400000001</v>
      </c>
      <c r="O83" s="237">
        <f>IFERROR(1-SUMIF(PA!$B:$B,$A83,PA!$AL:$AL)/($AA83+SUMIF(PA!$B:$B,$A83,PA!$AL:$AL)),"")</f>
        <v>0.99991509020275104</v>
      </c>
      <c r="P83" s="238"/>
      <c r="Q83" s="239"/>
      <c r="R83" s="240">
        <f>IFERROR(1-SUMIF(GA!$C:$C,$A83,GA!$X:$X)/($AA83+SUMIF(GA!$C:$C,$A83,GA!$X:$X)),"")</f>
        <v>0.931471156589607</v>
      </c>
      <c r="S83" s="186"/>
      <c r="T83" s="239"/>
      <c r="U83" s="237">
        <f t="shared" si="5"/>
        <v>0.76394890000814586</v>
      </c>
      <c r="V83" s="237">
        <f>IFERROR(_xlfn.XLOOKUP($A83,'Raw_Data'!$B:$B,'Raw_Data'!$JL:$JL),"")</f>
        <v>0.83170756088178066</v>
      </c>
      <c r="W83" s="240">
        <f t="shared" si="6"/>
        <v>0.22582584531764174</v>
      </c>
      <c r="X83" s="228">
        <f>IFERROR(_xlfn.XLOOKUP($A83,'Raw_Data'!$B:$B,'Raw_Data'!$JI:$JI),"")</f>
        <v>1830594.3999999994</v>
      </c>
      <c r="Y83" s="228">
        <f>IFERROR(_xlfn.XLOOKUP($A83,'Raw_Data'!$B:$B,'Raw_Data'!IT:IT),"")</f>
        <v>1820333.0000000133</v>
      </c>
      <c r="Z83" s="228">
        <f>IFERROR(_xlfn.XLOOKUP($A83,'Raw_Data'!$B:$B,'Raw_Data'!IU:IU),"")</f>
        <v>4200.0000000000455</v>
      </c>
      <c r="AA83" s="228">
        <f>IFERROR(_xlfn.XLOOKUP($A83,'Raw_Data'!$B:$B,'Raw_Data'!IW:IW),"")</f>
        <v>1816133.0000000133</v>
      </c>
      <c r="AB83" s="228">
        <f>IFERROR(_xlfn.XLOOKUP($A83,'Raw_Data'!$B:$B,'Raw_Data'!I:I)/1000,"")</f>
        <v>335.09089</v>
      </c>
      <c r="AC83" s="241">
        <f>IFERROR(_xlfn.XLOOKUP($D83,'Modelling New'!$D:$D,'Modelling New'!$P:$P),"")</f>
        <v>6.4266666666666667</v>
      </c>
      <c r="AD83" s="228">
        <f>IFERROR(_xlfn.XLOOKUP($D83,'Modelling New'!$D:$D,'Modelling New'!$T:$T)*1000,"")</f>
        <v>1787188.5300258806</v>
      </c>
      <c r="AE83" s="240">
        <f>IFERROR(_xlfn.XLOOKUP($D83,'Modelling New'!$D:$D,'Modelling New'!$O:$O),"")</f>
        <v>0.82989248162452478</v>
      </c>
      <c r="AF83" s="240">
        <f>IFERROR(_xlfn.XLOOKUP($D83,'Modelling New'!$D:$D,'Modelling New'!$W:$W),"")</f>
        <v>0.22222676452390053</v>
      </c>
      <c r="AG83" s="240">
        <f>IFERROR(_xlfn.XLOOKUP($D83,'Modelling New'!$D:$D,'Modelling New'!AE:AE),"")</f>
        <v>0.99750000000000005</v>
      </c>
      <c r="AH83" s="240">
        <f>IFERROR(_xlfn.XLOOKUP($D83,'Modelling New'!$D:$D,'Modelling New'!AF:AF),"")</f>
        <v>0.99750000000000005</v>
      </c>
      <c r="AI83" s="186"/>
      <c r="AJ83" s="186"/>
      <c r="AK83" s="227">
        <v>0.97699999999999998</v>
      </c>
      <c r="AL83" s="224">
        <f>IFERROR(Table13[[#This Row],[RA (%)]]*9270*58,"")</f>
        <v>525293.81999999995</v>
      </c>
      <c r="AM83" s="225"/>
      <c r="AN83" s="238"/>
      <c r="AO83" s="240"/>
      <c r="AP83" s="240"/>
      <c r="AQ83" s="240"/>
      <c r="AR83" s="242">
        <f>IFERROR(_xlfn.XLOOKUP($D83,'Modelling New'!$D:$D,'Modelling New'!$N:$N),"")</f>
        <v>335.09100000000001</v>
      </c>
    </row>
    <row r="84" spans="1:44">
      <c r="A84" s="233">
        <f t="shared" si="7"/>
        <v>45827</v>
      </c>
      <c r="B84" s="228">
        <f>YEAR(Table13[[#This Row],[Date]])+IF(MONTH(Table13[[#This Row],[Date]])&gt;=4,1,0)</f>
        <v>2026</v>
      </c>
      <c r="C84" s="186">
        <f>YEAR(Table13[[#This Row],[Date]])</f>
        <v>2025</v>
      </c>
      <c r="D84" s="234">
        <f>Table13[[#This Row],[Date]]-DAY(Table13[[#This Row],[Date]])+1</f>
        <v>45809</v>
      </c>
      <c r="E84" s="186">
        <f t="shared" si="4"/>
        <v>30</v>
      </c>
      <c r="F84" s="235">
        <f>IFERROR(_xlfn.XLOOKUP($A84,'Raw_Data'!$B:$B,'Raw_Data'!$IX:$IX),"")</f>
        <v>13.266666666666667</v>
      </c>
      <c r="G84" s="236">
        <f>IFERROR(_xlfn.XLOOKUP($A84,'Raw_Data'!$B:$B,'Raw_Data'!IY:IY),"")</f>
        <v>7.0282673666666655</v>
      </c>
      <c r="H84" s="236">
        <f>IFERROR(_xlfn.XLOOKUP($A84,'Raw_Data'!$B:$B,'Raw_Data'!IZ:IZ),"")</f>
        <v>1.7392041000000007</v>
      </c>
      <c r="I84" s="236">
        <f>IFERROR(_xlfn.XLOOKUP($A84,'Raw_Data'!$B:$B,'Raw_Data'!JA:JA),"")</f>
        <v>6.7532329583333297</v>
      </c>
      <c r="J84" s="236">
        <f>IFERROR(_xlfn.XLOOKUP($A84,'Raw_Data'!$B:$B,'Raw_Data'!JB:JB),"")</f>
        <v>0.57581683333333333</v>
      </c>
      <c r="K84" s="236">
        <f>IFERROR(_xlfn.XLOOKUP($A84,'Raw_Data'!$B:$B,'Raw_Data'!JE:JE),"")</f>
        <v>34.961288944723606</v>
      </c>
      <c r="L84" s="236">
        <f>IFERROR(_xlfn.XLOOKUP($A84,'Raw_Data'!$B:$B,'Raw_Data'!JF:JF),"")</f>
        <v>48.277391122278068</v>
      </c>
      <c r="M84" s="236">
        <f>IFERROR(_xlfn.XLOOKUP($A84,'Raw_Data'!$B:$B,'Raw_Data'!JG:JG),"")</f>
        <v>5.7473360506783937</v>
      </c>
      <c r="N84" s="236">
        <f>IFERROR(_xlfn.XLOOKUP($A84,'Raw_Data'!$B:$B,'Raw_Data'!JH:JH),"")</f>
        <v>24.265332000000001</v>
      </c>
      <c r="O84" s="237">
        <f>IFERROR(1-SUMIF(PA!$B:$B,$A84,PA!$AL:$AL)/($AA84+SUMIF(PA!$B:$B,$A84,PA!$AL:$AL)),"")</f>
        <v>0.99965047273704055</v>
      </c>
      <c r="P84" s="238"/>
      <c r="Q84" s="239"/>
      <c r="R84" s="240">
        <f>IFERROR(1-SUMIF(GA!$C:$C,$A84,GA!$X:$X)/($AA84+SUMIF(GA!$C:$C,$A84,GA!$X:$X)),"")</f>
        <v>0.94453338007819909</v>
      </c>
      <c r="S84" s="186"/>
      <c r="T84" s="239"/>
      <c r="U84" s="237">
        <f t="shared" si="5"/>
        <v>0.76814284667356136</v>
      </c>
      <c r="V84" s="237">
        <f>IFERROR(_xlfn.XLOOKUP($A84,'Raw_Data'!$B:$B,'Raw_Data'!$JL:$JL),"")</f>
        <v>0.81906776223185895</v>
      </c>
      <c r="W84" s="240">
        <f t="shared" si="6"/>
        <v>0.21614364953599505</v>
      </c>
      <c r="X84" s="228">
        <f>IFERROR(_xlfn.XLOOKUP($A84,'Raw_Data'!$B:$B,'Raw_Data'!$JI:$JI),"")</f>
        <v>1750114.8999999994</v>
      </c>
      <c r="Y84" s="228">
        <f>IFERROR(_xlfn.XLOOKUP($A84,'Raw_Data'!$B:$B,'Raw_Data'!IT:IT),"")</f>
        <v>1741666.9999999867</v>
      </c>
      <c r="Z84" s="228">
        <f>IFERROR(_xlfn.XLOOKUP($A84,'Raw_Data'!$B:$B,'Raw_Data'!IU:IU),"")</f>
        <v>3399.9999999999773</v>
      </c>
      <c r="AA84" s="228">
        <f>IFERROR(_xlfn.XLOOKUP($A84,'Raw_Data'!$B:$B,'Raw_Data'!IW:IW),"")</f>
        <v>1738266.9999999867</v>
      </c>
      <c r="AB84" s="228">
        <f>IFERROR(_xlfn.XLOOKUP($A84,'Raw_Data'!$B:$B,'Raw_Data'!I:I)/1000,"")</f>
        <v>335.09089</v>
      </c>
      <c r="AC84" s="241">
        <f>IFERROR(_xlfn.XLOOKUP($D84,'Modelling New'!$D:$D,'Modelling New'!$P:$P),"")</f>
        <v>6.4266666666666667</v>
      </c>
      <c r="AD84" s="228">
        <f>IFERROR(_xlfn.XLOOKUP($D84,'Modelling New'!$D:$D,'Modelling New'!$T:$T)*1000,"")</f>
        <v>1787188.5300258806</v>
      </c>
      <c r="AE84" s="240">
        <f>IFERROR(_xlfn.XLOOKUP($D84,'Modelling New'!$D:$D,'Modelling New'!$O:$O),"")</f>
        <v>0.82989248162452478</v>
      </c>
      <c r="AF84" s="240">
        <f>IFERROR(_xlfn.XLOOKUP($D84,'Modelling New'!$D:$D,'Modelling New'!$W:$W),"")</f>
        <v>0.22222676452390053</v>
      </c>
      <c r="AG84" s="240">
        <f>IFERROR(_xlfn.XLOOKUP($D84,'Modelling New'!$D:$D,'Modelling New'!AE:AE),"")</f>
        <v>0.99750000000000005</v>
      </c>
      <c r="AH84" s="240">
        <f>IFERROR(_xlfn.XLOOKUP($D84,'Modelling New'!$D:$D,'Modelling New'!AF:AF),"")</f>
        <v>0.99750000000000005</v>
      </c>
      <c r="AI84" s="186"/>
      <c r="AJ84" s="186"/>
      <c r="AK84" s="227">
        <v>0.97499999999999998</v>
      </c>
      <c r="AL84" s="224">
        <f>IFERROR(Table13[[#This Row],[RA (%)]]*9270*58,"")</f>
        <v>524218.5</v>
      </c>
      <c r="AM84" s="225"/>
      <c r="AN84" s="238"/>
      <c r="AO84" s="240"/>
      <c r="AP84" s="240"/>
      <c r="AQ84" s="240"/>
      <c r="AR84" s="242">
        <f>IFERROR(_xlfn.XLOOKUP($D84,'Modelling New'!$D:$D,'Modelling New'!$N:$N),"")</f>
        <v>335.09100000000001</v>
      </c>
    </row>
    <row r="85" spans="1:44">
      <c r="A85" s="233">
        <f t="shared" si="7"/>
        <v>45828</v>
      </c>
      <c r="B85" s="228">
        <f>YEAR(Table13[[#This Row],[Date]])+IF(MONTH(Table13[[#This Row],[Date]])&gt;=4,1,0)</f>
        <v>2026</v>
      </c>
      <c r="C85" s="186">
        <f>YEAR(Table13[[#This Row],[Date]])</f>
        <v>2025</v>
      </c>
      <c r="D85" s="234">
        <f>Table13[[#This Row],[Date]]-DAY(Table13[[#This Row],[Date]])+1</f>
        <v>45809</v>
      </c>
      <c r="E85" s="186">
        <f t="shared" si="4"/>
        <v>30</v>
      </c>
      <c r="F85" s="235">
        <f>IFERROR(_xlfn.XLOOKUP($A85,'Raw_Data'!$B:$B,'Raw_Data'!$IX:$IX),"")</f>
        <v>13.283333333333331</v>
      </c>
      <c r="G85" s="236">
        <f>IFERROR(_xlfn.XLOOKUP($A85,'Raw_Data'!$B:$B,'Raw_Data'!IY:IY),"")</f>
        <v>6.7349285000000023</v>
      </c>
      <c r="H85" s="236">
        <f>IFERROR(_xlfn.XLOOKUP($A85,'Raw_Data'!$B:$B,'Raw_Data'!IZ:IZ),"")</f>
        <v>1.5276402999999998</v>
      </c>
      <c r="I85" s="236">
        <f>IFERROR(_xlfn.XLOOKUP($A85,'Raw_Data'!$B:$B,'Raw_Data'!JA:JA),"")</f>
        <v>6.5298043749999986</v>
      </c>
      <c r="J85" s="236">
        <f>IFERROR(_xlfn.XLOOKUP($A85,'Raw_Data'!$B:$B,'Raw_Data'!JB:JB),"")</f>
        <v>0.48492336666666669</v>
      </c>
      <c r="K85" s="236">
        <f>IFERROR(_xlfn.XLOOKUP($A85,'Raw_Data'!$B:$B,'Raw_Data'!JE:JE),"")</f>
        <v>34.262709511568126</v>
      </c>
      <c r="L85" s="236">
        <f>IFERROR(_xlfn.XLOOKUP($A85,'Raw_Data'!$B:$B,'Raw_Data'!JF:JF),"")</f>
        <v>46.072912382176526</v>
      </c>
      <c r="M85" s="236">
        <f>IFERROR(_xlfn.XLOOKUP($A85,'Raw_Data'!$B:$B,'Raw_Data'!JG:JG),"")</f>
        <v>5.7063656543367607</v>
      </c>
      <c r="N85" s="236">
        <f>IFERROR(_xlfn.XLOOKUP($A85,'Raw_Data'!$B:$B,'Raw_Data'!JH:JH),"")</f>
        <v>9.3373334000000003</v>
      </c>
      <c r="O85" s="237">
        <f>IFERROR(1-SUMIF(PA!$B:$B,$A85,PA!$AL:$AL)/($AA85+SUMIF(PA!$B:$B,$A85,PA!$AL:$AL)),"")</f>
        <v>0.98673378663753386</v>
      </c>
      <c r="P85" s="238"/>
      <c r="Q85" s="239"/>
      <c r="R85" s="240">
        <f>IFERROR(1-SUMIF(GA!$C:$C,$A85,GA!$X:$X)/($AA85+SUMIF(GA!$C:$C,$A85,GA!$X:$X)),"")</f>
        <v>0.97845413697087602</v>
      </c>
      <c r="S85" s="186"/>
      <c r="T85" s="239"/>
      <c r="U85" s="237">
        <f t="shared" si="5"/>
        <v>0.79661989199316208</v>
      </c>
      <c r="V85" s="237">
        <f>IFERROR(_xlfn.XLOOKUP($A85,'Raw_Data'!$B:$B,'Raw_Data'!$JL:$JL),"")</f>
        <v>0.81075748442252227</v>
      </c>
      <c r="W85" s="240">
        <f t="shared" si="6"/>
        <v>0.21674050233120734</v>
      </c>
      <c r="X85" s="228">
        <f>IFERROR(_xlfn.XLOOKUP($A85,'Raw_Data'!$B:$B,'Raw_Data'!$JI:$JI),"")</f>
        <v>1757530.8999999992</v>
      </c>
      <c r="Y85" s="228">
        <f>IFERROR(_xlfn.XLOOKUP($A85,'Raw_Data'!$B:$B,'Raw_Data'!IT:IT),"")</f>
        <v>1746866.9999999984</v>
      </c>
      <c r="Z85" s="228">
        <f>IFERROR(_xlfn.XLOOKUP($A85,'Raw_Data'!$B:$B,'Raw_Data'!IU:IU),"")</f>
        <v>3799.9999999999545</v>
      </c>
      <c r="AA85" s="228">
        <f>IFERROR(_xlfn.XLOOKUP($A85,'Raw_Data'!$B:$B,'Raw_Data'!IW:IW),"")</f>
        <v>1743066.9999999984</v>
      </c>
      <c r="AB85" s="228">
        <f>IFERROR(_xlfn.XLOOKUP($A85,'Raw_Data'!$B:$B,'Raw_Data'!I:I)/1000,"")</f>
        <v>335.09089</v>
      </c>
      <c r="AC85" s="241">
        <f>IFERROR(_xlfn.XLOOKUP($D85,'Modelling New'!$D:$D,'Modelling New'!$P:$P),"")</f>
        <v>6.4266666666666667</v>
      </c>
      <c r="AD85" s="228">
        <f>IFERROR(_xlfn.XLOOKUP($D85,'Modelling New'!$D:$D,'Modelling New'!$T:$T)*1000,"")</f>
        <v>1787188.5300258806</v>
      </c>
      <c r="AE85" s="240">
        <f>IFERROR(_xlfn.XLOOKUP($D85,'Modelling New'!$D:$D,'Modelling New'!$O:$O),"")</f>
        <v>0.82989248162452478</v>
      </c>
      <c r="AF85" s="240">
        <f>IFERROR(_xlfn.XLOOKUP($D85,'Modelling New'!$D:$D,'Modelling New'!$W:$W),"")</f>
        <v>0.22222676452390053</v>
      </c>
      <c r="AG85" s="240">
        <f>IFERROR(_xlfn.XLOOKUP($D85,'Modelling New'!$D:$D,'Modelling New'!AE:AE),"")</f>
        <v>0.99750000000000005</v>
      </c>
      <c r="AH85" s="240">
        <f>IFERROR(_xlfn.XLOOKUP($D85,'Modelling New'!$D:$D,'Modelling New'!AF:AF),"")</f>
        <v>0.99750000000000005</v>
      </c>
      <c r="AI85" s="186"/>
      <c r="AJ85" s="186"/>
      <c r="AK85" s="227">
        <v>0.79100000000000004</v>
      </c>
      <c r="AL85" s="224">
        <f>IFERROR(Table13[[#This Row],[RA (%)]]*9270*58,"")</f>
        <v>425289.06000000006</v>
      </c>
      <c r="AM85" s="225"/>
      <c r="AN85" s="238"/>
      <c r="AO85" s="240"/>
      <c r="AP85" s="240"/>
      <c r="AQ85" s="240"/>
      <c r="AR85" s="242">
        <f>IFERROR(_xlfn.XLOOKUP($D85,'Modelling New'!$D:$D,'Modelling New'!$N:$N),"")</f>
        <v>335.09100000000001</v>
      </c>
    </row>
    <row r="86" spans="1:44">
      <c r="A86" s="233">
        <f t="shared" si="7"/>
        <v>45829</v>
      </c>
      <c r="B86" s="228">
        <f>YEAR(Table13[[#This Row],[Date]])+IF(MONTH(Table13[[#This Row],[Date]])&gt;=4,1,0)</f>
        <v>2026</v>
      </c>
      <c r="C86" s="186">
        <f>YEAR(Table13[[#This Row],[Date]])</f>
        <v>2025</v>
      </c>
      <c r="D86" s="234">
        <f>Table13[[#This Row],[Date]]-DAY(Table13[[#This Row],[Date]])+1</f>
        <v>45809</v>
      </c>
      <c r="E86" s="186">
        <f t="shared" si="4"/>
        <v>30</v>
      </c>
      <c r="F86" s="235">
        <f>IFERROR(_xlfn.XLOOKUP($A86,'Raw_Data'!$B:$B,'Raw_Data'!$IX:$IX),"")</f>
        <v>13.083333333333332</v>
      </c>
      <c r="G86" s="236">
        <f>IFERROR(_xlfn.XLOOKUP($A86,'Raw_Data'!$B:$B,'Raw_Data'!IY:IY),"")</f>
        <v>2.2573573333333323</v>
      </c>
      <c r="H86" s="236">
        <f>IFERROR(_xlfn.XLOOKUP($A86,'Raw_Data'!$B:$B,'Raw_Data'!IZ:IZ),"")</f>
        <v>0.43153333333333332</v>
      </c>
      <c r="I86" s="236">
        <f>IFERROR(_xlfn.XLOOKUP($A86,'Raw_Data'!$B:$B,'Raw_Data'!JA:JA),"")</f>
        <v>2.1411389999999999</v>
      </c>
      <c r="J86" s="236">
        <f>IFERROR(_xlfn.XLOOKUP($A86,'Raw_Data'!$B:$B,'Raw_Data'!JB:JB),"")</f>
        <v>0.12087096666666666</v>
      </c>
      <c r="K86" s="236">
        <f>IFERROR(_xlfn.XLOOKUP($A86,'Raw_Data'!$B:$B,'Raw_Data'!JE:JE),"")</f>
        <v>29.539380208333334</v>
      </c>
      <c r="L86" s="236">
        <f>IFERROR(_xlfn.XLOOKUP($A86,'Raw_Data'!$B:$B,'Raw_Data'!JF:JF),"")</f>
        <v>33.028594392361107</v>
      </c>
      <c r="M86" s="236">
        <f>IFERROR(_xlfn.XLOOKUP($A86,'Raw_Data'!$B:$B,'Raw_Data'!JG:JG),"")</f>
        <v>5.4616733851562556</v>
      </c>
      <c r="N86" s="236">
        <f>IFERROR(_xlfn.XLOOKUP($A86,'Raw_Data'!$B:$B,'Raw_Data'!JH:JH),"")</f>
        <v>9.1146662000000003</v>
      </c>
      <c r="O86" s="237">
        <f>IFERROR(1-SUMIF(PA!$B:$B,$A86,PA!$AL:$AL)/($AA86+SUMIF(PA!$B:$B,$A86,PA!$AL:$AL)),"")</f>
        <v>0.98862764395642044</v>
      </c>
      <c r="P86" s="238"/>
      <c r="Q86" s="239"/>
      <c r="R86" s="240">
        <f>IFERROR(1-SUMIF(GA!$C:$C,$A86,GA!$X:$X)/($AA86+SUMIF(GA!$C:$C,$A86,GA!$X:$X)),"")</f>
        <v>1</v>
      </c>
      <c r="S86" s="186"/>
      <c r="T86" s="239"/>
      <c r="U86" s="237">
        <f t="shared" si="5"/>
        <v>0.89099375574418438</v>
      </c>
      <c r="V86" s="237">
        <f>IFERROR(_xlfn.XLOOKUP($A86,'Raw_Data'!$B:$B,'Raw_Data'!$JL:$JL),"")</f>
        <v>0.84190213382580825</v>
      </c>
      <c r="W86" s="240">
        <f t="shared" si="6"/>
        <v>7.9489228299181119E-2</v>
      </c>
      <c r="X86" s="228">
        <f>IFERROR(_xlfn.XLOOKUP($A86,'Raw_Data'!$B:$B,'Raw_Data'!$JI:$JI),"")</f>
        <v>647428.19999999995</v>
      </c>
      <c r="Y86" s="228">
        <f>IFERROR(_xlfn.XLOOKUP($A86,'Raw_Data'!$B:$B,'Raw_Data'!IT:IT),"")</f>
        <v>643267.00000002165</v>
      </c>
      <c r="Z86" s="228">
        <f>IFERROR(_xlfn.XLOOKUP($A86,'Raw_Data'!$B:$B,'Raw_Data'!IU:IU),"")</f>
        <v>4000</v>
      </c>
      <c r="AA86" s="228">
        <f>IFERROR(_xlfn.XLOOKUP($A86,'Raw_Data'!$B:$B,'Raw_Data'!IW:IW),"")</f>
        <v>639267.00000002165</v>
      </c>
      <c r="AB86" s="228">
        <f>IFERROR(_xlfn.XLOOKUP($A86,'Raw_Data'!$B:$B,'Raw_Data'!I:I)/1000,"")</f>
        <v>335.09089</v>
      </c>
      <c r="AC86" s="241">
        <f>IFERROR(_xlfn.XLOOKUP($D86,'Modelling New'!$D:$D,'Modelling New'!$P:$P),"")</f>
        <v>6.4266666666666667</v>
      </c>
      <c r="AD86" s="228">
        <f>IFERROR(_xlfn.XLOOKUP($D86,'Modelling New'!$D:$D,'Modelling New'!$T:$T)*1000,"")</f>
        <v>1787188.5300258806</v>
      </c>
      <c r="AE86" s="240">
        <f>IFERROR(_xlfn.XLOOKUP($D86,'Modelling New'!$D:$D,'Modelling New'!$O:$O),"")</f>
        <v>0.82989248162452478</v>
      </c>
      <c r="AF86" s="240">
        <f>IFERROR(_xlfn.XLOOKUP($D86,'Modelling New'!$D:$D,'Modelling New'!$W:$W),"")</f>
        <v>0.22222676452390053</v>
      </c>
      <c r="AG86" s="240">
        <f>IFERROR(_xlfn.XLOOKUP($D86,'Modelling New'!$D:$D,'Modelling New'!AE:AE),"")</f>
        <v>0.99750000000000005</v>
      </c>
      <c r="AH86" s="240">
        <f>IFERROR(_xlfn.XLOOKUP($D86,'Modelling New'!$D:$D,'Modelling New'!AF:AF),"")</f>
        <v>0.99750000000000005</v>
      </c>
      <c r="AI86" s="186"/>
      <c r="AJ86" s="186"/>
      <c r="AK86" s="227">
        <v>0</v>
      </c>
      <c r="AL86" s="224">
        <f>IFERROR(Table13[[#This Row],[RA (%)]]*9270*58,"")</f>
        <v>0</v>
      </c>
      <c r="AM86" s="225"/>
      <c r="AN86" s="238"/>
      <c r="AO86" s="240"/>
      <c r="AP86" s="240"/>
      <c r="AQ86" s="240"/>
      <c r="AR86" s="242">
        <f>IFERROR(_xlfn.XLOOKUP($D86,'Modelling New'!$D:$D,'Modelling New'!$N:$N),"")</f>
        <v>335.09100000000001</v>
      </c>
    </row>
    <row r="87" spans="1:44">
      <c r="A87" s="233">
        <f t="shared" si="7"/>
        <v>45830</v>
      </c>
      <c r="B87" s="228">
        <f>YEAR(Table13[[#This Row],[Date]])+IF(MONTH(Table13[[#This Row],[Date]])&gt;=4,1,0)</f>
        <v>2026</v>
      </c>
      <c r="C87" s="186">
        <f>YEAR(Table13[[#This Row],[Date]])</f>
        <v>2025</v>
      </c>
      <c r="D87" s="234">
        <f>Table13[[#This Row],[Date]]-DAY(Table13[[#This Row],[Date]])+1</f>
        <v>45809</v>
      </c>
      <c r="E87" s="186">
        <f t="shared" si="4"/>
        <v>30</v>
      </c>
      <c r="F87" s="235">
        <f>IFERROR(_xlfn.XLOOKUP($A87,'Raw_Data'!$B:$B,'Raw_Data'!$IX:$IX),"")</f>
        <v>13.283333333333331</v>
      </c>
      <c r="G87" s="236">
        <f>IFERROR(_xlfn.XLOOKUP($A87,'Raw_Data'!$B:$B,'Raw_Data'!IY:IY),"")</f>
        <v>7.1836507222222217</v>
      </c>
      <c r="H87" s="236">
        <f>IFERROR(_xlfn.XLOOKUP($A87,'Raw_Data'!$B:$B,'Raw_Data'!IZ:IZ),"")</f>
        <v>1.6069933611111107</v>
      </c>
      <c r="I87" s="236">
        <f>IFERROR(_xlfn.XLOOKUP($A87,'Raw_Data'!$B:$B,'Raw_Data'!JA:JA),"")</f>
        <v>6.946890916666665</v>
      </c>
      <c r="J87" s="236">
        <f>IFERROR(_xlfn.XLOOKUP($A87,'Raw_Data'!$B:$B,'Raw_Data'!JB:JB),"")</f>
        <v>0.49083419444444432</v>
      </c>
      <c r="K87" s="236">
        <f>IFERROR(_xlfn.XLOOKUP($A87,'Raw_Data'!$B:$B,'Raw_Data'!JE:JE),"")</f>
        <v>34.131022727272729</v>
      </c>
      <c r="L87" s="236">
        <f>IFERROR(_xlfn.XLOOKUP($A87,'Raw_Data'!$B:$B,'Raw_Data'!JF:JF),"")</f>
        <v>49.18772307239059</v>
      </c>
      <c r="M87" s="236">
        <f>IFERROR(_xlfn.XLOOKUP($A87,'Raw_Data'!$B:$B,'Raw_Data'!JG:JG),"")</f>
        <v>3.2082132536679304</v>
      </c>
      <c r="N87" s="236">
        <f>IFERROR(_xlfn.XLOOKUP($A87,'Raw_Data'!$B:$B,'Raw_Data'!JH:JH),"")</f>
        <v>7.2872219999999999</v>
      </c>
      <c r="O87" s="237">
        <f>IFERROR(1-SUMIF(PA!$B:$B,$A87,PA!$AL:$AL)/($AA87+SUMIF(PA!$B:$B,$A87,PA!$AL:$AL)),"")</f>
        <v>0.99980059572415791</v>
      </c>
      <c r="P87" s="238"/>
      <c r="Q87" s="239"/>
      <c r="R87" s="240">
        <f>IFERROR(1-SUMIF(GA!$C:$C,$A87,GA!$X:$X)/($AA87+SUMIF(GA!$C:$C,$A87,GA!$X:$X)),"")</f>
        <v>0.8848921223908407</v>
      </c>
      <c r="S87" s="186"/>
      <c r="T87" s="239"/>
      <c r="U87" s="237">
        <f t="shared" si="5"/>
        <v>0.71668695128315718</v>
      </c>
      <c r="V87" s="237">
        <f>IFERROR(_xlfn.XLOOKUP($A87,'Raw_Data'!$B:$B,'Raw_Data'!$JL:$JL),"")</f>
        <v>0.83523257763402847</v>
      </c>
      <c r="W87" s="240">
        <f t="shared" si="6"/>
        <v>0.20744775299843707</v>
      </c>
      <c r="X87" s="228">
        <f>IFERROR(_xlfn.XLOOKUP($A87,'Raw_Data'!$B:$B,'Raw_Data'!$JI:$JI),"")</f>
        <v>1680946.4000000004</v>
      </c>
      <c r="Y87" s="228">
        <f>IFERROR(_xlfn.XLOOKUP($A87,'Raw_Data'!$B:$B,'Raw_Data'!IT:IT),"")</f>
        <v>1672199.9999999825</v>
      </c>
      <c r="Z87" s="228">
        <f>IFERROR(_xlfn.XLOOKUP($A87,'Raw_Data'!$B:$B,'Raw_Data'!IU:IU),"")</f>
        <v>3867.0000000000755</v>
      </c>
      <c r="AA87" s="228">
        <f>IFERROR(_xlfn.XLOOKUP($A87,'Raw_Data'!$B:$B,'Raw_Data'!IW:IW),"")</f>
        <v>1668332.9999999825</v>
      </c>
      <c r="AB87" s="228">
        <f>IFERROR(_xlfn.XLOOKUP($A87,'Raw_Data'!$B:$B,'Raw_Data'!I:I)/1000,"")</f>
        <v>335.09089</v>
      </c>
      <c r="AC87" s="241">
        <f>IFERROR(_xlfn.XLOOKUP($D87,'Modelling New'!$D:$D,'Modelling New'!$P:$P),"")</f>
        <v>6.4266666666666667</v>
      </c>
      <c r="AD87" s="228">
        <f>IFERROR(_xlfn.XLOOKUP($D87,'Modelling New'!$D:$D,'Modelling New'!$T:$T)*1000,"")</f>
        <v>1787188.5300258806</v>
      </c>
      <c r="AE87" s="240">
        <f>IFERROR(_xlfn.XLOOKUP($D87,'Modelling New'!$D:$D,'Modelling New'!$O:$O),"")</f>
        <v>0.82989248162452478</v>
      </c>
      <c r="AF87" s="240">
        <f>IFERROR(_xlfn.XLOOKUP($D87,'Modelling New'!$D:$D,'Modelling New'!$W:$W),"")</f>
        <v>0.22222676452390053</v>
      </c>
      <c r="AG87" s="240">
        <f>IFERROR(_xlfn.XLOOKUP($D87,'Modelling New'!$D:$D,'Modelling New'!AE:AE),"")</f>
        <v>0.99750000000000005</v>
      </c>
      <c r="AH87" s="240">
        <f>IFERROR(_xlfn.XLOOKUP($D87,'Modelling New'!$D:$D,'Modelling New'!AF:AF),"")</f>
        <v>0.99750000000000005</v>
      </c>
      <c r="AI87" s="186"/>
      <c r="AJ87" s="186"/>
      <c r="AK87" s="227">
        <v>0.93700000000000006</v>
      </c>
      <c r="AL87" s="224">
        <f>IFERROR(Table13[[#This Row],[RA (%)]]*9270*58,"")</f>
        <v>503787.42</v>
      </c>
      <c r="AM87" s="225"/>
      <c r="AN87" s="238"/>
      <c r="AO87" s="240"/>
      <c r="AP87" s="240"/>
      <c r="AQ87" s="240"/>
      <c r="AR87" s="242">
        <f>IFERROR(_xlfn.XLOOKUP($D87,'Modelling New'!$D:$D,'Modelling New'!$N:$N),"")</f>
        <v>335.09100000000001</v>
      </c>
    </row>
    <row r="88" spans="1:44">
      <c r="A88" s="233">
        <f t="shared" si="7"/>
        <v>45831</v>
      </c>
      <c r="B88" s="228">
        <f>YEAR(Table13[[#This Row],[Date]])+IF(MONTH(Table13[[#This Row],[Date]])&gt;=4,1,0)</f>
        <v>2026</v>
      </c>
      <c r="C88" s="186">
        <f>YEAR(Table13[[#This Row],[Date]])</f>
        <v>2025</v>
      </c>
      <c r="D88" s="234">
        <f>Table13[[#This Row],[Date]]-DAY(Table13[[#This Row],[Date]])+1</f>
        <v>45809</v>
      </c>
      <c r="E88" s="186">
        <f t="shared" si="4"/>
        <v>30</v>
      </c>
      <c r="F88" s="235">
        <f>IFERROR(_xlfn.XLOOKUP($A88,'Raw_Data'!$B:$B,'Raw_Data'!$IX:$IX),"")</f>
        <v>13.033333333333335</v>
      </c>
      <c r="G88" s="236">
        <f>IFERROR(_xlfn.XLOOKUP($A88,'Raw_Data'!$B:$B,'Raw_Data'!IY:IY),"")</f>
        <v>5.9176089999999997</v>
      </c>
      <c r="H88" s="236">
        <f>IFERROR(_xlfn.XLOOKUP($A88,'Raw_Data'!$B:$B,'Raw_Data'!IZ:IZ),"")</f>
        <v>1.3919185277777786</v>
      </c>
      <c r="I88" s="236">
        <f>IFERROR(_xlfn.XLOOKUP($A88,'Raw_Data'!$B:$B,'Raw_Data'!JA:JA),"")</f>
        <v>5.7238521249999996</v>
      </c>
      <c r="J88" s="236">
        <f>IFERROR(_xlfn.XLOOKUP($A88,'Raw_Data'!$B:$B,'Raw_Data'!JB:JB),"")</f>
        <v>0.46580925000000012</v>
      </c>
      <c r="K88" s="236">
        <f>IFERROR(_xlfn.XLOOKUP($A88,'Raw_Data'!$B:$B,'Raw_Data'!JE:JE),"")</f>
        <v>34.709033505154636</v>
      </c>
      <c r="L88" s="236">
        <f>IFERROR(_xlfn.XLOOKUP($A88,'Raw_Data'!$B:$B,'Raw_Data'!JF:JF),"")</f>
        <v>46.666666666666664</v>
      </c>
      <c r="M88" s="236">
        <f>IFERROR(_xlfn.XLOOKUP($A88,'Raw_Data'!$B:$B,'Raw_Data'!JG:JG),"")</f>
        <v>3.6945226746155524</v>
      </c>
      <c r="N88" s="236">
        <f>IFERROR(_xlfn.XLOOKUP($A88,'Raw_Data'!$B:$B,'Raw_Data'!JH:JH),"")</f>
        <v>6.9905551666666668</v>
      </c>
      <c r="O88" s="237">
        <f>IFERROR(1-SUMIF(PA!$B:$B,$A88,PA!$AL:$AL)/($AA88+SUMIF(PA!$B:$B,$A88,PA!$AL:$AL)),"")</f>
        <v>0.9998325215190953</v>
      </c>
      <c r="P88" s="238"/>
      <c r="Q88" s="239"/>
      <c r="R88" s="240">
        <f>IFERROR(1-SUMIF(GA!$C:$C,$A88,GA!$X:$X)/($AA88+SUMIF(GA!$C:$C,$A88,GA!$X:$X)),"")</f>
        <v>1</v>
      </c>
      <c r="S88" s="186"/>
      <c r="T88" s="239"/>
      <c r="U88" s="237">
        <f t="shared" si="5"/>
        <v>0.84382556695289535</v>
      </c>
      <c r="V88" s="237">
        <f>IFERROR(_xlfn.XLOOKUP($A88,'Raw_Data'!$B:$B,'Raw_Data'!$JL:$JL),"")</f>
        <v>0.83901484568957319</v>
      </c>
      <c r="W88" s="240">
        <f t="shared" si="6"/>
        <v>0.20124719852219414</v>
      </c>
      <c r="X88" s="228">
        <f>IFERROR(_xlfn.XLOOKUP($A88,'Raw_Data'!$B:$B,'Raw_Data'!$JI:$JI),"")</f>
        <v>1631016.0999999996</v>
      </c>
      <c r="Y88" s="228">
        <f>IFERROR(_xlfn.XLOOKUP($A88,'Raw_Data'!$B:$B,'Raw_Data'!IT:IT),"")</f>
        <v>1622333.0000000133</v>
      </c>
      <c r="Z88" s="228">
        <f>IFERROR(_xlfn.XLOOKUP($A88,'Raw_Data'!$B:$B,'Raw_Data'!IU:IU),"")</f>
        <v>3865.9999999999854</v>
      </c>
      <c r="AA88" s="228">
        <f>IFERROR(_xlfn.XLOOKUP($A88,'Raw_Data'!$B:$B,'Raw_Data'!IW:IW),"")</f>
        <v>1618467.0000000133</v>
      </c>
      <c r="AB88" s="228">
        <f>IFERROR(_xlfn.XLOOKUP($A88,'Raw_Data'!$B:$B,'Raw_Data'!I:I)/1000,"")</f>
        <v>335.09089</v>
      </c>
      <c r="AC88" s="241">
        <f>IFERROR(_xlfn.XLOOKUP($D88,'Modelling New'!$D:$D,'Modelling New'!$P:$P),"")</f>
        <v>6.4266666666666667</v>
      </c>
      <c r="AD88" s="228">
        <f>IFERROR(_xlfn.XLOOKUP($D88,'Modelling New'!$D:$D,'Modelling New'!$T:$T)*1000,"")</f>
        <v>1787188.5300258806</v>
      </c>
      <c r="AE88" s="240">
        <f>IFERROR(_xlfn.XLOOKUP($D88,'Modelling New'!$D:$D,'Modelling New'!$O:$O),"")</f>
        <v>0.82989248162452478</v>
      </c>
      <c r="AF88" s="240">
        <f>IFERROR(_xlfn.XLOOKUP($D88,'Modelling New'!$D:$D,'Modelling New'!$W:$W),"")</f>
        <v>0.22222676452390053</v>
      </c>
      <c r="AG88" s="240">
        <f>IFERROR(_xlfn.XLOOKUP($D88,'Modelling New'!$D:$D,'Modelling New'!AE:AE),"")</f>
        <v>0.99750000000000005</v>
      </c>
      <c r="AH88" s="240">
        <f>IFERROR(_xlfn.XLOOKUP($D88,'Modelling New'!$D:$D,'Modelling New'!AF:AF),"")</f>
        <v>0.99750000000000005</v>
      </c>
      <c r="AI88" s="186"/>
      <c r="AJ88" s="186"/>
      <c r="AK88" s="227">
        <v>0.94199999999999995</v>
      </c>
      <c r="AL88" s="224">
        <f>IFERROR(Table13[[#This Row],[RA (%)]]*9270*58,"")</f>
        <v>506475.72000000003</v>
      </c>
      <c r="AM88" s="225"/>
      <c r="AN88" s="238"/>
      <c r="AO88" s="240"/>
      <c r="AP88" s="240"/>
      <c r="AQ88" s="240"/>
      <c r="AR88" s="242">
        <f>IFERROR(_xlfn.XLOOKUP($D88,'Modelling New'!$D:$D,'Modelling New'!$N:$N),"")</f>
        <v>335.09100000000001</v>
      </c>
    </row>
    <row r="89" spans="1:44">
      <c r="A89" s="233">
        <f t="shared" si="7"/>
        <v>45832</v>
      </c>
      <c r="B89" s="228">
        <f>YEAR(Table13[[#This Row],[Date]])+IF(MONTH(Table13[[#This Row],[Date]])&gt;=4,1,0)</f>
        <v>2026</v>
      </c>
      <c r="C89" s="186">
        <f>YEAR(Table13[[#This Row],[Date]])</f>
        <v>2025</v>
      </c>
      <c r="D89" s="234">
        <f>Table13[[#This Row],[Date]]-DAY(Table13[[#This Row],[Date]])+1</f>
        <v>45809</v>
      </c>
      <c r="E89" s="186">
        <f t="shared" si="4"/>
        <v>30</v>
      </c>
      <c r="F89" s="235">
        <f>IFERROR(_xlfn.XLOOKUP($A89,'Raw_Data'!$B:$B,'Raw_Data'!$IX:$IX),"")</f>
        <v>13.033333333333335</v>
      </c>
      <c r="G89" s="236">
        <f>IFERROR(_xlfn.XLOOKUP($A89,'Raw_Data'!$B:$B,'Raw_Data'!IY:IY),"")</f>
        <v>6.6917203888888892</v>
      </c>
      <c r="H89" s="236">
        <f>IFERROR(_xlfn.XLOOKUP($A89,'Raw_Data'!$B:$B,'Raw_Data'!IZ:IZ),"")</f>
        <v>1.5895568333333345</v>
      </c>
      <c r="I89" s="236">
        <f>IFERROR(_xlfn.XLOOKUP($A89,'Raw_Data'!$B:$B,'Raw_Data'!JA:JA),"")</f>
        <v>6.4880423333333352</v>
      </c>
      <c r="J89" s="236">
        <f>IFERROR(_xlfn.XLOOKUP($A89,'Raw_Data'!$B:$B,'Raw_Data'!JB:JB),"")</f>
        <v>0.51078388888888882</v>
      </c>
      <c r="K89" s="236">
        <f>IFERROR(_xlfn.XLOOKUP($A89,'Raw_Data'!$B:$B,'Raw_Data'!JE:JE),"")</f>
        <v>35.800124570446734</v>
      </c>
      <c r="L89" s="236">
        <f>IFERROR(_xlfn.XLOOKUP($A89,'Raw_Data'!$B:$B,'Raw_Data'!JF:JF),"")</f>
        <v>49.363028913230245</v>
      </c>
      <c r="M89" s="236">
        <f>IFERROR(_xlfn.XLOOKUP($A89,'Raw_Data'!$B:$B,'Raw_Data'!JG:JG),"")</f>
        <v>3.8472800504832478</v>
      </c>
      <c r="N89" s="236">
        <f>IFERROR(_xlfn.XLOOKUP($A89,'Raw_Data'!$B:$B,'Raw_Data'!JH:JH),"")</f>
        <v>7.6883330000000001</v>
      </c>
      <c r="O89" s="237">
        <f>IFERROR(1-SUMIF(PA!$B:$B,$A89,PA!$AL:$AL)/($AA89+SUMIF(PA!$B:$B,$A89,PA!$AL:$AL)),"")</f>
        <v>0.9998295158030216</v>
      </c>
      <c r="P89" s="238"/>
      <c r="Q89" s="239"/>
      <c r="R89" s="240">
        <f>IFERROR(1-SUMIF(GA!$C:$C,$A89,GA!$X:$X)/($AA89+SUMIF(GA!$C:$C,$A89,GA!$X:$X)),"")</f>
        <v>1</v>
      </c>
      <c r="S89" s="186"/>
      <c r="T89" s="239"/>
      <c r="U89" s="237">
        <f t="shared" si="5"/>
        <v>0.82854779679217638</v>
      </c>
      <c r="V89" s="237">
        <f>IFERROR(_xlfn.XLOOKUP($A89,'Raw_Data'!$B:$B,'Raw_Data'!$JL:$JL),"")</f>
        <v>0.83317074613422804</v>
      </c>
      <c r="W89" s="240">
        <f t="shared" si="6"/>
        <v>0.22398554919907113</v>
      </c>
      <c r="X89" s="228">
        <f>IFERROR(_xlfn.XLOOKUP($A89,'Raw_Data'!$B:$B,'Raw_Data'!$JI:$JI),"")</f>
        <v>1815744.7999999996</v>
      </c>
      <c r="Y89" s="228">
        <f>IFERROR(_xlfn.XLOOKUP($A89,'Raw_Data'!$B:$B,'Raw_Data'!IT:IT),"")</f>
        <v>1805199.9999999825</v>
      </c>
      <c r="Z89" s="228">
        <f>IFERROR(_xlfn.XLOOKUP($A89,'Raw_Data'!$B:$B,'Raw_Data'!IU:IU),"")</f>
        <v>3866.9999999999618</v>
      </c>
      <c r="AA89" s="228">
        <f>IFERROR(_xlfn.XLOOKUP($A89,'Raw_Data'!$B:$B,'Raw_Data'!IW:IW),"")</f>
        <v>1801332.9999999825</v>
      </c>
      <c r="AB89" s="228">
        <f>IFERROR(_xlfn.XLOOKUP($A89,'Raw_Data'!$B:$B,'Raw_Data'!I:I)/1000,"")</f>
        <v>335.09089</v>
      </c>
      <c r="AC89" s="241">
        <f>IFERROR(_xlfn.XLOOKUP($D89,'Modelling New'!$D:$D,'Modelling New'!$P:$P),"")</f>
        <v>6.4266666666666667</v>
      </c>
      <c r="AD89" s="228">
        <f>IFERROR(_xlfn.XLOOKUP($D89,'Modelling New'!$D:$D,'Modelling New'!$T:$T)*1000,"")</f>
        <v>1787188.5300258806</v>
      </c>
      <c r="AE89" s="240">
        <f>IFERROR(_xlfn.XLOOKUP($D89,'Modelling New'!$D:$D,'Modelling New'!$O:$O),"")</f>
        <v>0.82989248162452478</v>
      </c>
      <c r="AF89" s="240">
        <f>IFERROR(_xlfn.XLOOKUP($D89,'Modelling New'!$D:$D,'Modelling New'!$W:$W),"")</f>
        <v>0.22222676452390053</v>
      </c>
      <c r="AG89" s="240">
        <f>IFERROR(_xlfn.XLOOKUP($D89,'Modelling New'!$D:$D,'Modelling New'!AE:AE),"")</f>
        <v>0.99750000000000005</v>
      </c>
      <c r="AH89" s="240">
        <f>IFERROR(_xlfn.XLOOKUP($D89,'Modelling New'!$D:$D,'Modelling New'!AF:AF),"")</f>
        <v>0.99750000000000005</v>
      </c>
      <c r="AI89" s="186"/>
      <c r="AJ89" s="186"/>
      <c r="AK89" s="227">
        <v>0.96699999999999997</v>
      </c>
      <c r="AL89" s="224">
        <f>IFERROR(Table13[[#This Row],[RA (%)]]*9270*58,"")</f>
        <v>519917.22000000003</v>
      </c>
      <c r="AM89" s="225"/>
      <c r="AN89" s="238"/>
      <c r="AO89" s="240"/>
      <c r="AP89" s="240"/>
      <c r="AQ89" s="240"/>
      <c r="AR89" s="242">
        <f>IFERROR(_xlfn.XLOOKUP($D89,'Modelling New'!$D:$D,'Modelling New'!$N:$N),"")</f>
        <v>335.09100000000001</v>
      </c>
    </row>
    <row r="90" spans="1:44">
      <c r="A90" s="233">
        <f t="shared" si="7"/>
        <v>45833</v>
      </c>
      <c r="B90" s="228">
        <f>YEAR(Table13[[#This Row],[Date]])+IF(MONTH(Table13[[#This Row],[Date]])&gt;=4,1,0)</f>
        <v>2026</v>
      </c>
      <c r="C90" s="186">
        <f>YEAR(Table13[[#This Row],[Date]])</f>
        <v>2025</v>
      </c>
      <c r="D90" s="234">
        <f>Table13[[#This Row],[Date]]-DAY(Table13[[#This Row],[Date]])+1</f>
        <v>45809</v>
      </c>
      <c r="E90" s="186">
        <f t="shared" si="4"/>
        <v>30</v>
      </c>
      <c r="F90" s="235">
        <f>IFERROR(_xlfn.XLOOKUP($A90,'Raw_Data'!$B:$B,'Raw_Data'!$IX:$IX),"")</f>
        <v>13.016666666666666</v>
      </c>
      <c r="G90" s="236">
        <f>IFERROR(_xlfn.XLOOKUP($A90,'Raw_Data'!$B:$B,'Raw_Data'!IY:IY),"")</f>
        <v>6.2443671111111128</v>
      </c>
      <c r="H90" s="236">
        <f>IFERROR(_xlfn.XLOOKUP($A90,'Raw_Data'!$B:$B,'Raw_Data'!IZ:IZ),"")</f>
        <v>1.4856686388888889</v>
      </c>
      <c r="I90" s="236">
        <f>IFERROR(_xlfn.XLOOKUP($A90,'Raw_Data'!$B:$B,'Raw_Data'!JA:JA),"")</f>
        <v>6.0785219999999986</v>
      </c>
      <c r="J90" s="236">
        <f>IFERROR(_xlfn.XLOOKUP($A90,'Raw_Data'!$B:$B,'Raw_Data'!JB:JB),"")</f>
        <v>0.50368438888888889</v>
      </c>
      <c r="K90" s="236">
        <f>IFERROR(_xlfn.XLOOKUP($A90,'Raw_Data'!$B:$B,'Raw_Data'!JE:JE),"")</f>
        <v>35.27440295066851</v>
      </c>
      <c r="L90" s="236">
        <f>IFERROR(_xlfn.XLOOKUP($A90,'Raw_Data'!$B:$B,'Raw_Data'!JF:JF),"")</f>
        <v>49.602485016136448</v>
      </c>
      <c r="M90" s="236">
        <f>IFERROR(_xlfn.XLOOKUP($A90,'Raw_Data'!$B:$B,'Raw_Data'!JG:JG),"")</f>
        <v>3.6471671285730749</v>
      </c>
      <c r="N90" s="236">
        <f>IFERROR(_xlfn.XLOOKUP($A90,'Raw_Data'!$B:$B,'Raw_Data'!JH:JH),"")</f>
        <v>7.398055499999999</v>
      </c>
      <c r="O90" s="237">
        <f>IFERROR(1-SUMIF(PA!$B:$B,$A90,PA!$AL:$AL)/($AA90+SUMIF(PA!$B:$B,$A90,PA!$AL:$AL)),"")</f>
        <v>0.99982730268377573</v>
      </c>
      <c r="P90" s="238"/>
      <c r="Q90" s="239"/>
      <c r="R90" s="240">
        <f>IFERROR(1-SUMIF(GA!$C:$C,$A90,GA!$X:$X)/($AA90+SUMIF(GA!$C:$C,$A90,GA!$X:$X)),"")</f>
        <v>1</v>
      </c>
      <c r="S90" s="186"/>
      <c r="T90" s="239"/>
      <c r="U90" s="237">
        <f t="shared" si="5"/>
        <v>0.82830221211280697</v>
      </c>
      <c r="V90" s="237">
        <f>IFERROR(_xlfn.XLOOKUP($A90,'Raw_Data'!$B:$B,'Raw_Data'!$JL:$JL),"")</f>
        <v>0.82802411261805009</v>
      </c>
      <c r="W90" s="240">
        <f t="shared" si="6"/>
        <v>0.20978555079068179</v>
      </c>
      <c r="X90" s="228">
        <f>IFERROR(_xlfn.XLOOKUP($A90,'Raw_Data'!$B:$B,'Raw_Data'!$JI:$JI),"")</f>
        <v>1699799.5999999994</v>
      </c>
      <c r="Y90" s="228">
        <f>IFERROR(_xlfn.XLOOKUP($A90,'Raw_Data'!$B:$B,'Raw_Data'!IT:IT),"")</f>
        <v>1690934.0000000084</v>
      </c>
      <c r="Z90" s="228">
        <f>IFERROR(_xlfn.XLOOKUP($A90,'Raw_Data'!$B:$B,'Raw_Data'!IU:IU),"")</f>
        <v>3799.9999999999545</v>
      </c>
      <c r="AA90" s="228">
        <f>IFERROR(_xlfn.XLOOKUP($A90,'Raw_Data'!$B:$B,'Raw_Data'!IW:IW),"")</f>
        <v>1687134.0000000084</v>
      </c>
      <c r="AB90" s="228">
        <f>IFERROR(_xlfn.XLOOKUP($A90,'Raw_Data'!$B:$B,'Raw_Data'!I:I)/1000,"")</f>
        <v>335.09089</v>
      </c>
      <c r="AC90" s="241">
        <f>IFERROR(_xlfn.XLOOKUP($D90,'Modelling New'!$D:$D,'Modelling New'!$P:$P),"")</f>
        <v>6.4266666666666667</v>
      </c>
      <c r="AD90" s="228">
        <f>IFERROR(_xlfn.XLOOKUP($D90,'Modelling New'!$D:$D,'Modelling New'!$T:$T)*1000,"")</f>
        <v>1787188.5300258806</v>
      </c>
      <c r="AE90" s="240">
        <f>IFERROR(_xlfn.XLOOKUP($D90,'Modelling New'!$D:$D,'Modelling New'!$O:$O),"")</f>
        <v>0.82989248162452478</v>
      </c>
      <c r="AF90" s="240">
        <f>IFERROR(_xlfn.XLOOKUP($D90,'Modelling New'!$D:$D,'Modelling New'!$W:$W),"")</f>
        <v>0.22222676452390053</v>
      </c>
      <c r="AG90" s="240">
        <f>IFERROR(_xlfn.XLOOKUP($D90,'Modelling New'!$D:$D,'Modelling New'!AE:AE),"")</f>
        <v>0.99750000000000005</v>
      </c>
      <c r="AH90" s="240">
        <f>IFERROR(_xlfn.XLOOKUP($D90,'Modelling New'!$D:$D,'Modelling New'!AF:AF),"")</f>
        <v>0.99750000000000005</v>
      </c>
      <c r="AI90" s="186"/>
      <c r="AJ90" s="186"/>
      <c r="AK90" s="227">
        <v>0.96499999999999997</v>
      </c>
      <c r="AL90" s="224">
        <f>IFERROR(Table13[[#This Row],[RA (%)]]*9270*58,"")</f>
        <v>518841.89999999997</v>
      </c>
      <c r="AM90" s="225"/>
      <c r="AN90" s="238"/>
      <c r="AO90" s="240"/>
      <c r="AP90" s="240"/>
      <c r="AQ90" s="240"/>
      <c r="AR90" s="242">
        <f>IFERROR(_xlfn.XLOOKUP($D90,'Modelling New'!$D:$D,'Modelling New'!$N:$N),"")</f>
        <v>335.09100000000001</v>
      </c>
    </row>
    <row r="91" spans="1:44">
      <c r="A91" s="233">
        <f t="shared" si="7"/>
        <v>45834</v>
      </c>
      <c r="B91" s="228">
        <f>YEAR(Table13[[#This Row],[Date]])+IF(MONTH(Table13[[#This Row],[Date]])&gt;=4,1,0)</f>
        <v>2026</v>
      </c>
      <c r="C91" s="186">
        <f>YEAR(Table13[[#This Row],[Date]])</f>
        <v>2025</v>
      </c>
      <c r="D91" s="234">
        <f>Table13[[#This Row],[Date]]-DAY(Table13[[#This Row],[Date]])+1</f>
        <v>45809</v>
      </c>
      <c r="E91" s="186">
        <f t="shared" si="4"/>
        <v>30</v>
      </c>
      <c r="F91" s="235">
        <f>IFERROR(_xlfn.XLOOKUP($A91,'Raw_Data'!$B:$B,'Raw_Data'!$IX:$IX),"")</f>
        <v>11.866666666666665</v>
      </c>
      <c r="G91" s="236">
        <f>IFERROR(_xlfn.XLOOKUP($A91,'Raw_Data'!$B:$B,'Raw_Data'!IY:IY),"")</f>
        <v>5.6537462666666682</v>
      </c>
      <c r="H91" s="236">
        <f>IFERROR(_xlfn.XLOOKUP($A91,'Raw_Data'!$B:$B,'Raw_Data'!IZ:IZ),"")</f>
        <v>1.3331858333333337</v>
      </c>
      <c r="I91" s="236">
        <f>IFERROR(_xlfn.XLOOKUP($A91,'Raw_Data'!$B:$B,'Raw_Data'!JA:JA),"")</f>
        <v>5.4141449166666638</v>
      </c>
      <c r="J91" s="236">
        <f>IFERROR(_xlfn.XLOOKUP($A91,'Raw_Data'!$B:$B,'Raw_Data'!JB:JB),"")</f>
        <v>0.47485847222222216</v>
      </c>
      <c r="K91" s="236">
        <f>IFERROR(_xlfn.XLOOKUP($A91,'Raw_Data'!$B:$B,'Raw_Data'!JE:JE),"")</f>
        <v>35.904582743988691</v>
      </c>
      <c r="L91" s="236">
        <f>IFERROR(_xlfn.XLOOKUP($A91,'Raw_Data'!$B:$B,'Raw_Data'!JF:JF),"")</f>
        <v>47.825836034889214</v>
      </c>
      <c r="M91" s="236">
        <f>IFERROR(_xlfn.XLOOKUP($A91,'Raw_Data'!$B:$B,'Raw_Data'!JG:JG),"")</f>
        <v>3.0255444403276761</v>
      </c>
      <c r="N91" s="236">
        <f>IFERROR(_xlfn.XLOOKUP($A91,'Raw_Data'!$B:$B,'Raw_Data'!JH:JH),"")</f>
        <v>12.536943333333333</v>
      </c>
      <c r="O91" s="237">
        <f>IFERROR(1-SUMIF(PA!$B:$B,$A91,PA!$AL:$AL)/($AA91+SUMIF(PA!$B:$B,$A91,PA!$AL:$AL)),"")</f>
        <v>0.99981655559407445</v>
      </c>
      <c r="P91" s="238"/>
      <c r="Q91" s="239"/>
      <c r="R91" s="240">
        <f>IFERROR(1-SUMIF(GA!$C:$C,$A91,GA!$X:$X)/($AA91+SUMIF(GA!$C:$C,$A91,GA!$X:$X)),"")</f>
        <v>1</v>
      </c>
      <c r="S91" s="186"/>
      <c r="T91" s="239"/>
      <c r="U91" s="237">
        <f t="shared" si="5"/>
        <v>0.8481465708082836</v>
      </c>
      <c r="V91" s="237">
        <f>IFERROR(_xlfn.XLOOKUP($A91,'Raw_Data'!$B:$B,'Raw_Data'!$JL:$JL),"")</f>
        <v>0.84902751894410489</v>
      </c>
      <c r="W91" s="240">
        <f t="shared" si="6"/>
        <v>0.19133285187208049</v>
      </c>
      <c r="X91" s="228">
        <f>IFERROR(_xlfn.XLOOKUP($A91,'Raw_Data'!$B:$B,'Raw_Data'!$JI:$JI),"")</f>
        <v>1550524.9000000004</v>
      </c>
      <c r="Y91" s="228">
        <f>IFERROR(_xlfn.XLOOKUP($A91,'Raw_Data'!$B:$B,'Raw_Data'!IT:IT),"")</f>
        <v>1542667.0000000158</v>
      </c>
      <c r="Z91" s="228">
        <f>IFERROR(_xlfn.XLOOKUP($A91,'Raw_Data'!$B:$B,'Raw_Data'!IU:IU),"")</f>
        <v>3932.9999999999927</v>
      </c>
      <c r="AA91" s="228">
        <f>IFERROR(_xlfn.XLOOKUP($A91,'Raw_Data'!$B:$B,'Raw_Data'!IW:IW),"")</f>
        <v>1538734.0000000158</v>
      </c>
      <c r="AB91" s="228">
        <f>IFERROR(_xlfn.XLOOKUP($A91,'Raw_Data'!$B:$B,'Raw_Data'!I:I)/1000,"")</f>
        <v>335.09089</v>
      </c>
      <c r="AC91" s="241">
        <f>IFERROR(_xlfn.XLOOKUP($D91,'Modelling New'!$D:$D,'Modelling New'!$P:$P),"")</f>
        <v>6.4266666666666667</v>
      </c>
      <c r="AD91" s="228">
        <f>IFERROR(_xlfn.XLOOKUP($D91,'Modelling New'!$D:$D,'Modelling New'!$T:$T)*1000,"")</f>
        <v>1787188.5300258806</v>
      </c>
      <c r="AE91" s="240">
        <f>IFERROR(_xlfn.XLOOKUP($D91,'Modelling New'!$D:$D,'Modelling New'!$O:$O),"")</f>
        <v>0.82989248162452478</v>
      </c>
      <c r="AF91" s="240">
        <f>IFERROR(_xlfn.XLOOKUP($D91,'Modelling New'!$D:$D,'Modelling New'!$W:$W),"")</f>
        <v>0.22222676452390053</v>
      </c>
      <c r="AG91" s="240">
        <f>IFERROR(_xlfn.XLOOKUP($D91,'Modelling New'!$D:$D,'Modelling New'!AE:AE),"")</f>
        <v>0.99750000000000005</v>
      </c>
      <c r="AH91" s="240">
        <f>IFERROR(_xlfn.XLOOKUP($D91,'Modelling New'!$D:$D,'Modelling New'!AF:AF),"")</f>
        <v>0.99750000000000005</v>
      </c>
      <c r="AI91" s="186"/>
      <c r="AJ91" s="186"/>
      <c r="AK91" s="227">
        <v>0.97799999999999998</v>
      </c>
      <c r="AL91" s="224">
        <f>IFERROR(Table13[[#This Row],[RA (%)]]*9270*58,"")</f>
        <v>525831.48</v>
      </c>
      <c r="AM91" s="225"/>
      <c r="AN91" s="238"/>
      <c r="AO91" s="240"/>
      <c r="AP91" s="240"/>
      <c r="AQ91" s="240"/>
      <c r="AR91" s="242">
        <f>IFERROR(_xlfn.XLOOKUP($D91,'Modelling New'!$D:$D,'Modelling New'!$N:$N),"")</f>
        <v>335.09100000000001</v>
      </c>
    </row>
    <row r="92" spans="1:44">
      <c r="A92" s="233">
        <f t="shared" si="7"/>
        <v>45835</v>
      </c>
      <c r="B92" s="228">
        <f>YEAR(Table13[[#This Row],[Date]])+IF(MONTH(Table13[[#This Row],[Date]])&gt;=4,1,0)</f>
        <v>2026</v>
      </c>
      <c r="C92" s="186">
        <f>YEAR(Table13[[#This Row],[Date]])</f>
        <v>2025</v>
      </c>
      <c r="D92" s="234">
        <f>Table13[[#This Row],[Date]]-DAY(Table13[[#This Row],[Date]])+1</f>
        <v>45809</v>
      </c>
      <c r="E92" s="186">
        <f t="shared" si="4"/>
        <v>30</v>
      </c>
      <c r="F92" s="235">
        <f>IFERROR(_xlfn.XLOOKUP($A92,'Raw_Data'!$B:$B,'Raw_Data'!$IX:$IX),"")</f>
        <v>12.883333333333333</v>
      </c>
      <c r="G92" s="236">
        <f>IFERROR(_xlfn.XLOOKUP($A92,'Raw_Data'!$B:$B,'Raw_Data'!IY:IY),"")</f>
        <v>4.3391559166666651</v>
      </c>
      <c r="H92" s="236">
        <f>IFERROR(_xlfn.XLOOKUP($A92,'Raw_Data'!$B:$B,'Raw_Data'!IZ:IZ),"")</f>
        <v>0.76434711111111142</v>
      </c>
      <c r="I92" s="236">
        <f>IFERROR(_xlfn.XLOOKUP($A92,'Raw_Data'!$B:$B,'Raw_Data'!JA:JA),"")</f>
        <v>4.1607894666666656</v>
      </c>
      <c r="J92" s="236">
        <f>IFERROR(_xlfn.XLOOKUP($A92,'Raw_Data'!$B:$B,'Raw_Data'!JB:JB),"")</f>
        <v>0.26121941666666665</v>
      </c>
      <c r="K92" s="236">
        <f>IFERROR(_xlfn.XLOOKUP($A92,'Raw_Data'!$B:$B,'Raw_Data'!JE:JE),"")</f>
        <v>31.134989149305564</v>
      </c>
      <c r="L92" s="236">
        <f>IFERROR(_xlfn.XLOOKUP($A92,'Raw_Data'!$B:$B,'Raw_Data'!JF:JF),"")</f>
        <v>38.320770160590278</v>
      </c>
      <c r="M92" s="236">
        <f>IFERROR(_xlfn.XLOOKUP($A92,'Raw_Data'!$B:$B,'Raw_Data'!JG:JG),"")</f>
        <v>3.2144851817187488</v>
      </c>
      <c r="N92" s="236">
        <f>IFERROR(_xlfn.XLOOKUP($A92,'Raw_Data'!$B:$B,'Raw_Data'!JH:JH),"")</f>
        <v>7.792222166666666</v>
      </c>
      <c r="O92" s="237">
        <f>IFERROR(1-SUMIF(PA!$B:$B,$A92,PA!$AL:$AL)/($AA92+SUMIF(PA!$B:$B,$A92,PA!$AL:$AL)),"")</f>
        <v>0.9981570480333477</v>
      </c>
      <c r="P92" s="238"/>
      <c r="Q92" s="239"/>
      <c r="R92" s="240">
        <f>IFERROR(1-SUMIF(GA!$C:$C,$A92,GA!$X:$X)/($AA92+SUMIF(GA!$C:$C,$A92,GA!$X:$X)),"")</f>
        <v>1</v>
      </c>
      <c r="S92" s="186"/>
      <c r="T92" s="239"/>
      <c r="U92" s="237">
        <f t="shared" si="5"/>
        <v>0.84509365498527089</v>
      </c>
      <c r="V92" s="237">
        <f>IFERROR(_xlfn.XLOOKUP($A92,'Raw_Data'!$B:$B,'Raw_Data'!$JL:$JL),"")</f>
        <v>0.83245157940787362</v>
      </c>
      <c r="W92" s="240">
        <f t="shared" si="6"/>
        <v>0.14651069908373116</v>
      </c>
      <c r="X92" s="228">
        <f>IFERROR(_xlfn.XLOOKUP($A92,'Raw_Data'!$B:$B,'Raw_Data'!$JI:$JI),"")</f>
        <v>1188994.8000000003</v>
      </c>
      <c r="Y92" s="228">
        <f>IFERROR(_xlfn.XLOOKUP($A92,'Raw_Data'!$B:$B,'Raw_Data'!IT:IT),"")</f>
        <v>1182665.9999999974</v>
      </c>
      <c r="Z92" s="228">
        <f>IFERROR(_xlfn.XLOOKUP($A92,'Raw_Data'!$B:$B,'Raw_Data'!IU:IU),"")</f>
        <v>4400.0000000000909</v>
      </c>
      <c r="AA92" s="228">
        <f>IFERROR(_xlfn.XLOOKUP($A92,'Raw_Data'!$B:$B,'Raw_Data'!IW:IW),"")</f>
        <v>1178265.9999999974</v>
      </c>
      <c r="AB92" s="228">
        <f>IFERROR(_xlfn.XLOOKUP($A92,'Raw_Data'!$B:$B,'Raw_Data'!I:I)/1000,"")</f>
        <v>335.09089</v>
      </c>
      <c r="AC92" s="241">
        <f>IFERROR(_xlfn.XLOOKUP($D92,'Modelling New'!$D:$D,'Modelling New'!$P:$P),"")</f>
        <v>6.4266666666666667</v>
      </c>
      <c r="AD92" s="228">
        <f>IFERROR(_xlfn.XLOOKUP($D92,'Modelling New'!$D:$D,'Modelling New'!$T:$T)*1000,"")</f>
        <v>1787188.5300258806</v>
      </c>
      <c r="AE92" s="240">
        <f>IFERROR(_xlfn.XLOOKUP($D92,'Modelling New'!$D:$D,'Modelling New'!$O:$O),"")</f>
        <v>0.82989248162452478</v>
      </c>
      <c r="AF92" s="240">
        <f>IFERROR(_xlfn.XLOOKUP($D92,'Modelling New'!$D:$D,'Modelling New'!$W:$W),"")</f>
        <v>0.22222676452390053</v>
      </c>
      <c r="AG92" s="240">
        <f>IFERROR(_xlfn.XLOOKUP($D92,'Modelling New'!$D:$D,'Modelling New'!AE:AE),"")</f>
        <v>0.99750000000000005</v>
      </c>
      <c r="AH92" s="240">
        <f>IFERROR(_xlfn.XLOOKUP($D92,'Modelling New'!$D:$D,'Modelling New'!AF:AF),"")</f>
        <v>0.99750000000000005</v>
      </c>
      <c r="AI92" s="186"/>
      <c r="AJ92" s="186"/>
      <c r="AK92" s="227">
        <v>0</v>
      </c>
      <c r="AL92" s="224">
        <f>IFERROR(Table13[[#This Row],[RA (%)]]*9270*58,"")</f>
        <v>0</v>
      </c>
      <c r="AM92" s="225"/>
      <c r="AN92" s="238"/>
      <c r="AO92" s="240"/>
      <c r="AP92" s="240"/>
      <c r="AQ92" s="240"/>
      <c r="AR92" s="242">
        <f>IFERROR(_xlfn.XLOOKUP($D92,'Modelling New'!$D:$D,'Modelling New'!$N:$N),"")</f>
        <v>335.09100000000001</v>
      </c>
    </row>
    <row r="93" spans="1:44">
      <c r="A93" s="233">
        <f t="shared" si="7"/>
        <v>45836</v>
      </c>
      <c r="B93" s="228">
        <f>YEAR(Table13[[#This Row],[Date]])+IF(MONTH(Table13[[#This Row],[Date]])&gt;=4,1,0)</f>
        <v>2026</v>
      </c>
      <c r="C93" s="186">
        <f>YEAR(Table13[[#This Row],[Date]])</f>
        <v>2025</v>
      </c>
      <c r="D93" s="234">
        <f>Table13[[#This Row],[Date]]-DAY(Table13[[#This Row],[Date]])+1</f>
        <v>45809</v>
      </c>
      <c r="E93" s="186">
        <f t="shared" si="4"/>
        <v>30</v>
      </c>
      <c r="F93" s="235">
        <f>IFERROR(_xlfn.XLOOKUP($A93,'Raw_Data'!$B:$B,'Raw_Data'!$IX:$IX),"")</f>
        <v>12.95</v>
      </c>
      <c r="G93" s="236">
        <f>IFERROR(_xlfn.XLOOKUP($A93,'Raw_Data'!$B:$B,'Raw_Data'!IY:IY),"")</f>
        <v>6.4348388611111114</v>
      </c>
      <c r="H93" s="236">
        <f>IFERROR(_xlfn.XLOOKUP($A93,'Raw_Data'!$B:$B,'Raw_Data'!IZ:IZ),"")</f>
        <v>1.2193599166666662</v>
      </c>
      <c r="I93" s="236">
        <f>IFERROR(_xlfn.XLOOKUP($A93,'Raw_Data'!$B:$B,'Raw_Data'!JA:JA),"")</f>
        <v>6.1548218611111123</v>
      </c>
      <c r="J93" s="236">
        <f>IFERROR(_xlfn.XLOOKUP($A93,'Raw_Data'!$B:$B,'Raw_Data'!JB:JB),"")</f>
        <v>0.43339097777777774</v>
      </c>
      <c r="K93" s="236">
        <f>IFERROR(_xlfn.XLOOKUP($A93,'Raw_Data'!$B:$B,'Raw_Data'!JE:JE),"")</f>
        <v>31.876082474226816</v>
      </c>
      <c r="L93" s="236">
        <f>IFERROR(_xlfn.XLOOKUP($A93,'Raw_Data'!$B:$B,'Raw_Data'!JF:JF),"")</f>
        <v>46.00918384879725</v>
      </c>
      <c r="M93" s="236">
        <f>IFERROR(_xlfn.XLOOKUP($A93,'Raw_Data'!$B:$B,'Raw_Data'!JG:JG),"")</f>
        <v>2.8344013664969925</v>
      </c>
      <c r="N93" s="236">
        <f>IFERROR(_xlfn.XLOOKUP($A93,'Raw_Data'!$B:$B,'Raw_Data'!JH:JH),"")</f>
        <v>5.7627773333333332</v>
      </c>
      <c r="O93" s="237">
        <f>IFERROR(1-SUMIF(PA!$B:$B,$A93,PA!$AL:$AL)/($AA93+SUMIF(PA!$B:$B,$A93,PA!$AL:$AL)),"")</f>
        <v>0.99992500644498183</v>
      </c>
      <c r="P93" s="238"/>
      <c r="Q93" s="239"/>
      <c r="R93" s="240">
        <f>IFERROR(1-SUMIF(GA!$C:$C,$A93,GA!$X:$X)/($AA93+SUMIF(GA!$C:$C,$A93,GA!$X:$X)),"")</f>
        <v>1</v>
      </c>
      <c r="S93" s="186"/>
      <c r="T93" s="239"/>
      <c r="U93" s="237">
        <f t="shared" si="5"/>
        <v>0.81977897961700164</v>
      </c>
      <c r="V93" s="237">
        <f>IFERROR(_xlfn.XLOOKUP($A93,'Raw_Data'!$B:$B,'Raw_Data'!$JL:$JL),"")</f>
        <v>0.81988237180754087</v>
      </c>
      <c r="W93" s="240">
        <f t="shared" si="6"/>
        <v>0.21023306604275344</v>
      </c>
      <c r="X93" s="228">
        <f>IFERROR(_xlfn.XLOOKUP($A93,'Raw_Data'!$B:$B,'Raw_Data'!$JI:$JI),"")</f>
        <v>1704469.2000000002</v>
      </c>
      <c r="Y93" s="228">
        <f>IFERROR(_xlfn.XLOOKUP($A93,'Raw_Data'!$B:$B,'Raw_Data'!IT:IT),"")</f>
        <v>1694466.9999999751</v>
      </c>
      <c r="Z93" s="228">
        <f>IFERROR(_xlfn.XLOOKUP($A93,'Raw_Data'!$B:$B,'Raw_Data'!IU:IU),"")</f>
        <v>3733.9999999999236</v>
      </c>
      <c r="AA93" s="228">
        <f>IFERROR(_xlfn.XLOOKUP($A93,'Raw_Data'!$B:$B,'Raw_Data'!IW:IW),"")</f>
        <v>1690732.9999999751</v>
      </c>
      <c r="AB93" s="228">
        <f>IFERROR(_xlfn.XLOOKUP($A93,'Raw_Data'!$B:$B,'Raw_Data'!I:I)/1000,"")</f>
        <v>335.09089</v>
      </c>
      <c r="AC93" s="241">
        <f>IFERROR(_xlfn.XLOOKUP($D93,'Modelling New'!$D:$D,'Modelling New'!$P:$P),"")</f>
        <v>6.4266666666666667</v>
      </c>
      <c r="AD93" s="228">
        <f>IFERROR(_xlfn.XLOOKUP($D93,'Modelling New'!$D:$D,'Modelling New'!$T:$T)*1000,"")</f>
        <v>1787188.5300258806</v>
      </c>
      <c r="AE93" s="240">
        <f>IFERROR(_xlfn.XLOOKUP($D93,'Modelling New'!$D:$D,'Modelling New'!$O:$O),"")</f>
        <v>0.82989248162452478</v>
      </c>
      <c r="AF93" s="240">
        <f>IFERROR(_xlfn.XLOOKUP($D93,'Modelling New'!$D:$D,'Modelling New'!$W:$W),"")</f>
        <v>0.22222676452390053</v>
      </c>
      <c r="AG93" s="240">
        <f>IFERROR(_xlfn.XLOOKUP($D93,'Modelling New'!$D:$D,'Modelling New'!AE:AE),"")</f>
        <v>0.99750000000000005</v>
      </c>
      <c r="AH93" s="240">
        <f>IFERROR(_xlfn.XLOOKUP($D93,'Modelling New'!$D:$D,'Modelling New'!AF:AF),"")</f>
        <v>0.99750000000000005</v>
      </c>
      <c r="AI93" s="186"/>
      <c r="AJ93" s="186"/>
      <c r="AK93" s="227">
        <v>0</v>
      </c>
      <c r="AL93" s="224">
        <f>IFERROR(Table13[[#This Row],[RA (%)]]*9270*58,"")</f>
        <v>0</v>
      </c>
      <c r="AM93" s="225"/>
      <c r="AN93" s="238"/>
      <c r="AO93" s="240"/>
      <c r="AP93" s="240"/>
      <c r="AQ93" s="240"/>
      <c r="AR93" s="242">
        <f>IFERROR(_xlfn.XLOOKUP($D93,'Modelling New'!$D:$D,'Modelling New'!$N:$N),"")</f>
        <v>335.09100000000001</v>
      </c>
    </row>
    <row r="94" spans="1:44">
      <c r="A94" s="233">
        <f t="shared" si="7"/>
        <v>45837</v>
      </c>
      <c r="B94" s="228">
        <f>YEAR(Table13[[#This Row],[Date]])+IF(MONTH(Table13[[#This Row],[Date]])&gt;=4,1,0)</f>
        <v>2026</v>
      </c>
      <c r="C94" s="186">
        <f>YEAR(Table13[[#This Row],[Date]])</f>
        <v>2025</v>
      </c>
      <c r="D94" s="234">
        <f>Table13[[#This Row],[Date]]-DAY(Table13[[#This Row],[Date]])+1</f>
        <v>45809</v>
      </c>
      <c r="E94" s="186">
        <f t="shared" si="4"/>
        <v>30</v>
      </c>
      <c r="F94" s="235">
        <f>IFERROR(_xlfn.XLOOKUP($A94,'Raw_Data'!$B:$B,'Raw_Data'!$IX:$IX),"")</f>
        <v>13.166666666666668</v>
      </c>
      <c r="G94" s="236">
        <f>IFERROR(_xlfn.XLOOKUP($A94,'Raw_Data'!$B:$B,'Raw_Data'!IY:IY),"")</f>
        <v>5.4178025277777779</v>
      </c>
      <c r="H94" s="236">
        <f>IFERROR(_xlfn.XLOOKUP($A94,'Raw_Data'!$B:$B,'Raw_Data'!IZ:IZ),"")</f>
        <v>1.1170428055555555</v>
      </c>
      <c r="I94" s="236">
        <f>IFERROR(_xlfn.XLOOKUP($A94,'Raw_Data'!$B:$B,'Raw_Data'!JA:JA),"")</f>
        <v>5.1619795277777776</v>
      </c>
      <c r="J94" s="236">
        <f>IFERROR(_xlfn.XLOOKUP($A94,'Raw_Data'!$B:$B,'Raw_Data'!JB:JB),"")</f>
        <v>0.42228899999999997</v>
      </c>
      <c r="K94" s="236">
        <f>IFERROR(_xlfn.XLOOKUP($A94,'Raw_Data'!$B:$B,'Raw_Data'!JE:JE),"")</f>
        <v>31.81027848101267</v>
      </c>
      <c r="L94" s="236">
        <f>IFERROR(_xlfn.XLOOKUP($A94,'Raw_Data'!$B:$B,'Raw_Data'!JF:JF),"")</f>
        <v>41.023454046413491</v>
      </c>
      <c r="M94" s="236">
        <f>IFERROR(_xlfn.XLOOKUP($A94,'Raw_Data'!$B:$B,'Raw_Data'!JG:JG),"")</f>
        <v>4.9692438111265842</v>
      </c>
      <c r="N94" s="236">
        <f>IFERROR(_xlfn.XLOOKUP($A94,'Raw_Data'!$B:$B,'Raw_Data'!JH:JH),"")</f>
        <v>9.3683328333333318</v>
      </c>
      <c r="O94" s="237">
        <f>IFERROR(1-SUMIF(PA!$B:$B,$A94,PA!$AL:$AL)/($AA94+SUMIF(PA!$B:$B,$A94,PA!$AL:$AL)),"")</f>
        <v>0.99926662443035419</v>
      </c>
      <c r="P94" s="238"/>
      <c r="Q94" s="239"/>
      <c r="R94" s="240">
        <f>IFERROR(1-SUMIF(GA!$C:$C,$A94,GA!$X:$X)/($AA94+SUMIF(GA!$C:$C,$A94,GA!$X:$X)),"")</f>
        <v>1</v>
      </c>
      <c r="S94" s="186"/>
      <c r="T94" s="239"/>
      <c r="U94" s="237">
        <f t="shared" si="5"/>
        <v>0.84479402297014616</v>
      </c>
      <c r="V94" s="237">
        <f>IFERROR(_xlfn.XLOOKUP($A94,'Raw_Data'!$B:$B,'Raw_Data'!$JL:$JL),"")</f>
        <v>0.83188912902702272</v>
      </c>
      <c r="W94" s="240">
        <f t="shared" si="6"/>
        <v>0.18170039382337186</v>
      </c>
      <c r="X94" s="228">
        <f>IFERROR(_xlfn.XLOOKUP($A94,'Raw_Data'!$B:$B,'Raw_Data'!$JI:$JI),"")</f>
        <v>1469333.5999999992</v>
      </c>
      <c r="Y94" s="228">
        <f>IFERROR(_xlfn.XLOOKUP($A94,'Raw_Data'!$B:$B,'Raw_Data'!IT:IT),"")</f>
        <v>1463134.00000002</v>
      </c>
      <c r="Z94" s="228">
        <f>IFERROR(_xlfn.XLOOKUP($A94,'Raw_Data'!$B:$B,'Raw_Data'!IU:IU),"")</f>
        <v>1865.9999999999854</v>
      </c>
      <c r="AA94" s="228">
        <f>IFERROR(_xlfn.XLOOKUP($A94,'Raw_Data'!$B:$B,'Raw_Data'!IW:IW),"")</f>
        <v>1461268.00000002</v>
      </c>
      <c r="AB94" s="228">
        <f>IFERROR(_xlfn.XLOOKUP($A94,'Raw_Data'!$B:$B,'Raw_Data'!I:I)/1000,"")</f>
        <v>335.09089</v>
      </c>
      <c r="AC94" s="241">
        <f>IFERROR(_xlfn.XLOOKUP($D94,'Modelling New'!$D:$D,'Modelling New'!$P:$P),"")</f>
        <v>6.4266666666666667</v>
      </c>
      <c r="AD94" s="228">
        <f>IFERROR(_xlfn.XLOOKUP($D94,'Modelling New'!$D:$D,'Modelling New'!$T:$T)*1000,"")</f>
        <v>1787188.5300258806</v>
      </c>
      <c r="AE94" s="240">
        <f>IFERROR(_xlfn.XLOOKUP($D94,'Modelling New'!$D:$D,'Modelling New'!$O:$O),"")</f>
        <v>0.82989248162452478</v>
      </c>
      <c r="AF94" s="240">
        <f>IFERROR(_xlfn.XLOOKUP($D94,'Modelling New'!$D:$D,'Modelling New'!$W:$W),"")</f>
        <v>0.22222676452390053</v>
      </c>
      <c r="AG94" s="240">
        <f>IFERROR(_xlfn.XLOOKUP($D94,'Modelling New'!$D:$D,'Modelling New'!AE:AE),"")</f>
        <v>0.99750000000000005</v>
      </c>
      <c r="AH94" s="240">
        <f>IFERROR(_xlfn.XLOOKUP($D94,'Modelling New'!$D:$D,'Modelling New'!AF:AF),"")</f>
        <v>0.99750000000000005</v>
      </c>
      <c r="AI94" s="186"/>
      <c r="AJ94" s="186"/>
      <c r="AK94" s="227">
        <v>0.81899999999999995</v>
      </c>
      <c r="AL94" s="224">
        <f>IFERROR(Table13[[#This Row],[RA (%)]]*9270*58,"")</f>
        <v>440343.54</v>
      </c>
      <c r="AM94" s="225"/>
      <c r="AN94" s="238"/>
      <c r="AO94" s="240"/>
      <c r="AP94" s="240"/>
      <c r="AQ94" s="240"/>
      <c r="AR94" s="242">
        <f>IFERROR(_xlfn.XLOOKUP($D94,'Modelling New'!$D:$D,'Modelling New'!$N:$N),"")</f>
        <v>335.09100000000001</v>
      </c>
    </row>
    <row r="95" spans="1:44">
      <c r="A95" s="233">
        <f t="shared" si="7"/>
        <v>45838</v>
      </c>
      <c r="B95" s="228">
        <f>YEAR(Table13[[#This Row],[Date]])+IF(MONTH(Table13[[#This Row],[Date]])&gt;=4,1,0)</f>
        <v>2026</v>
      </c>
      <c r="C95" s="186">
        <f>YEAR(Table13[[#This Row],[Date]])</f>
        <v>2025</v>
      </c>
      <c r="D95" s="234">
        <f>Table13[[#This Row],[Date]]-DAY(Table13[[#This Row],[Date]])+1</f>
        <v>45809</v>
      </c>
      <c r="E95" s="186">
        <f t="shared" si="4"/>
        <v>30</v>
      </c>
      <c r="F95" s="235">
        <f>IFERROR(_xlfn.XLOOKUP($A95,'Raw_Data'!$B:$B,'Raw_Data'!$IX:$IX),"")</f>
        <v>13.233333333333334</v>
      </c>
      <c r="G95" s="236">
        <f>IFERROR(_xlfn.XLOOKUP($A95,'Raw_Data'!$B:$B,'Raw_Data'!IY:IY),"")</f>
        <v>5.6718876666666711</v>
      </c>
      <c r="H95" s="236">
        <f>IFERROR(_xlfn.XLOOKUP($A95,'Raw_Data'!$B:$B,'Raw_Data'!IZ:IZ),"")</f>
        <v>1.2187528055555552</v>
      </c>
      <c r="I95" s="236">
        <f>IFERROR(_xlfn.XLOOKUP($A95,'Raw_Data'!$B:$B,'Raw_Data'!JA:JA),"")</f>
        <v>5.5103834583333349</v>
      </c>
      <c r="J95" s="236">
        <f>IFERROR(_xlfn.XLOOKUP($A95,'Raw_Data'!$B:$B,'Raw_Data'!JB:JB),"")</f>
        <v>0.44747591666666642</v>
      </c>
      <c r="K95" s="236">
        <f>IFERROR(_xlfn.XLOOKUP($A95,'Raw_Data'!$B:$B,'Raw_Data'!JE:JE),"")</f>
        <v>31.621305555555569</v>
      </c>
      <c r="L95" s="236">
        <f>IFERROR(_xlfn.XLOOKUP($A95,'Raw_Data'!$B:$B,'Raw_Data'!JF:JF),"")</f>
        <v>43.391588905982921</v>
      </c>
      <c r="M95" s="236">
        <f>IFERROR(_xlfn.XLOOKUP($A95,'Raw_Data'!$B:$B,'Raw_Data'!JG:JG),"")</f>
        <v>3.641322136839745</v>
      </c>
      <c r="N95" s="236">
        <f>IFERROR(_xlfn.XLOOKUP($A95,'Raw_Data'!$B:$B,'Raw_Data'!JH:JH),"")</f>
        <v>7.0583330000000002</v>
      </c>
      <c r="O95" s="237">
        <f>IFERROR(1-SUMIF(PA!$B:$B,$A95,PA!$AL:$AL)/($AA95+SUMIF(PA!$B:$B,$A95,PA!$AL:$AL)),"")</f>
        <v>0.99992659058623312</v>
      </c>
      <c r="P95" s="238"/>
      <c r="Q95" s="239"/>
      <c r="R95" s="240">
        <f>IFERROR(1-SUMIF(GA!$C:$C,$A95,GA!$X:$X)/($AA95+SUMIF(GA!$C:$C,$A95,GA!$X:$X)),"")</f>
        <v>1</v>
      </c>
      <c r="S95" s="186"/>
      <c r="T95" s="239"/>
      <c r="U95" s="237">
        <f t="shared" si="5"/>
        <v>0.84376764518286151</v>
      </c>
      <c r="V95" s="237">
        <f>IFERROR(_xlfn.XLOOKUP($A95,'Raw_Data'!$B:$B,'Raw_Data'!$JL:$JL),"")</f>
        <v>0.82783733988404173</v>
      </c>
      <c r="W95" s="240">
        <f t="shared" si="6"/>
        <v>0.19372846977885463</v>
      </c>
      <c r="X95" s="228">
        <f>IFERROR(_xlfn.XLOOKUP($A95,'Raw_Data'!$B:$B,'Raw_Data'!$JI:$JI),"")</f>
        <v>1566618.5000000002</v>
      </c>
      <c r="Y95" s="228">
        <f>IFERROR(_xlfn.XLOOKUP($A95,'Raw_Data'!$B:$B,'Raw_Data'!IT:IT),"")</f>
        <v>1559799.9999999884</v>
      </c>
      <c r="Z95" s="228">
        <f>IFERROR(_xlfn.XLOOKUP($A95,'Raw_Data'!$B:$B,'Raw_Data'!IU:IU),"")</f>
        <v>1800.0000000000682</v>
      </c>
      <c r="AA95" s="228">
        <f>IFERROR(_xlfn.XLOOKUP($A95,'Raw_Data'!$B:$B,'Raw_Data'!IW:IW),"")</f>
        <v>1557999.9999999884</v>
      </c>
      <c r="AB95" s="228">
        <f>IFERROR(_xlfn.XLOOKUP($A95,'Raw_Data'!$B:$B,'Raw_Data'!I:I)/1000,"")</f>
        <v>335.09089</v>
      </c>
      <c r="AC95" s="241">
        <f>IFERROR(_xlfn.XLOOKUP($D95,'Modelling New'!$D:$D,'Modelling New'!$P:$P),"")</f>
        <v>6.4266666666666667</v>
      </c>
      <c r="AD95" s="228">
        <f>IFERROR(_xlfn.XLOOKUP($D95,'Modelling New'!$D:$D,'Modelling New'!$T:$T)*1000,"")</f>
        <v>1787188.5300258806</v>
      </c>
      <c r="AE95" s="240">
        <f>IFERROR(_xlfn.XLOOKUP($D95,'Modelling New'!$D:$D,'Modelling New'!$O:$O),"")</f>
        <v>0.82989248162452478</v>
      </c>
      <c r="AF95" s="240">
        <f>IFERROR(_xlfn.XLOOKUP($D95,'Modelling New'!$D:$D,'Modelling New'!$W:$W),"")</f>
        <v>0.22222676452390053</v>
      </c>
      <c r="AG95" s="240">
        <f>IFERROR(_xlfn.XLOOKUP($D95,'Modelling New'!$D:$D,'Modelling New'!AE:AE),"")</f>
        <v>0.99750000000000005</v>
      </c>
      <c r="AH95" s="240">
        <f>IFERROR(_xlfn.XLOOKUP($D95,'Modelling New'!$D:$D,'Modelling New'!AF:AF),"")</f>
        <v>0.99750000000000005</v>
      </c>
      <c r="AI95" s="186"/>
      <c r="AJ95" s="186"/>
      <c r="AK95" s="227">
        <v>0.96799999999999997</v>
      </c>
      <c r="AL95" s="224">
        <f>IFERROR(Table13[[#This Row],[RA (%)]]*9270*58,"")</f>
        <v>520454.88</v>
      </c>
      <c r="AM95" s="225"/>
      <c r="AN95" s="238"/>
      <c r="AO95" s="240"/>
      <c r="AP95" s="240"/>
      <c r="AQ95" s="240"/>
      <c r="AR95" s="242">
        <f>IFERROR(_xlfn.XLOOKUP($D95,'Modelling New'!$D:$D,'Modelling New'!$N:$N),"")</f>
        <v>335.09100000000001</v>
      </c>
    </row>
    <row r="96" spans="1:44">
      <c r="A96" s="233">
        <f t="shared" si="7"/>
        <v>45839</v>
      </c>
      <c r="B96" s="228">
        <f>YEAR(Table13[[#This Row],[Date]])+IF(MONTH(Table13[[#This Row],[Date]])&gt;=4,1,0)</f>
        <v>2026</v>
      </c>
      <c r="C96" s="186">
        <f>YEAR(Table13[[#This Row],[Date]])</f>
        <v>2025</v>
      </c>
      <c r="D96" s="234">
        <f>Table13[[#This Row],[Date]]-DAY(Table13[[#This Row],[Date]])+1</f>
        <v>45839</v>
      </c>
      <c r="E96" s="186">
        <f t="shared" si="4"/>
        <v>31</v>
      </c>
      <c r="F96" s="235">
        <f>IFERROR(_xlfn.XLOOKUP($A96,'Raw_Data'!$B:$B,'Raw_Data'!$IX:$IX),"")</f>
        <v>13.033333333333335</v>
      </c>
      <c r="G96" s="236">
        <f>IFERROR(_xlfn.XLOOKUP($A96,'Raw_Data'!$B:$B,'Raw_Data'!IY:IY),"")</f>
        <v>6.3644727777777783</v>
      </c>
      <c r="H96" s="236">
        <f>IFERROR(_xlfn.XLOOKUP($A96,'Raw_Data'!$B:$B,'Raw_Data'!IZ:IZ),"")</f>
        <v>1.4376596666666668</v>
      </c>
      <c r="I96" s="236">
        <f>IFERROR(_xlfn.XLOOKUP($A96,'Raw_Data'!$B:$B,'Raw_Data'!JA:JA),"")</f>
        <v>6.152284458333332</v>
      </c>
      <c r="J96" s="236">
        <f>IFERROR(_xlfn.XLOOKUP($A96,'Raw_Data'!$B:$B,'Raw_Data'!JB:JB),"")</f>
        <v>0.48735647222222206</v>
      </c>
      <c r="K96" s="236">
        <f>IFERROR(_xlfn.XLOOKUP($A96,'Raw_Data'!$B:$B,'Raw_Data'!JE:JE),"")</f>
        <v>33.216919127086008</v>
      </c>
      <c r="L96" s="236">
        <f>IFERROR(_xlfn.XLOOKUP($A96,'Raw_Data'!$B:$B,'Raw_Data'!JF:JF),"")</f>
        <v>44.852052143774081</v>
      </c>
      <c r="M96" s="236">
        <f>IFERROR(_xlfn.XLOOKUP($A96,'Raw_Data'!$B:$B,'Raw_Data'!JG:JG),"")</f>
        <v>4.8046831580252478</v>
      </c>
      <c r="N96" s="236">
        <f>IFERROR(_xlfn.XLOOKUP($A96,'Raw_Data'!$B:$B,'Raw_Data'!JH:JH),"")</f>
        <v>8.8111108333333341</v>
      </c>
      <c r="O96" s="237">
        <f>IFERROR(1-SUMIF(PA!$B:$B,$A96,PA!$AL:$AL)/($AA96+SUMIF(PA!$B:$B,$A96,PA!$AL:$AL)),"")</f>
        <v>0.99968946726325592</v>
      </c>
      <c r="P96" s="238"/>
      <c r="Q96" s="239"/>
      <c r="R96" s="240">
        <f>IFERROR(1-SUMIF(GA!$C:$C,$A96,GA!$X:$X)/($AA96+SUMIF(GA!$C:$C,$A96,GA!$X:$X)),"")</f>
        <v>1</v>
      </c>
      <c r="S96" s="186"/>
      <c r="T96" s="239"/>
      <c r="U96" s="237">
        <f t="shared" si="5"/>
        <v>0.85216345316524722</v>
      </c>
      <c r="V96" s="237">
        <f>IFERROR(_xlfn.XLOOKUP($A96,'Raw_Data'!$B:$B,'Raw_Data'!$JL:$JL),"")</f>
        <v>0.84707534707657861</v>
      </c>
      <c r="W96" s="240">
        <f t="shared" si="6"/>
        <v>0.21844799870284229</v>
      </c>
      <c r="X96" s="228">
        <f>IFERROR(_xlfn.XLOOKUP($A96,'Raw_Data'!$B:$B,'Raw_Data'!$JI:$JI),"")</f>
        <v>1770159.7000000002</v>
      </c>
      <c r="Y96" s="228">
        <f>IFERROR(_xlfn.XLOOKUP($A96,'Raw_Data'!$B:$B,'Raw_Data'!IT:IT),"")</f>
        <v>1760933.0000000191</v>
      </c>
      <c r="Z96" s="228">
        <f>IFERROR(_xlfn.XLOOKUP($A96,'Raw_Data'!$B:$B,'Raw_Data'!IU:IU),"")</f>
        <v>4134.0000000000146</v>
      </c>
      <c r="AA96" s="228">
        <f>IFERROR(_xlfn.XLOOKUP($A96,'Raw_Data'!$B:$B,'Raw_Data'!IW:IW),"")</f>
        <v>1756799.0000000191</v>
      </c>
      <c r="AB96" s="228">
        <f>IFERROR(_xlfn.XLOOKUP($A96,'Raw_Data'!$B:$B,'Raw_Data'!I:I)/1000,"")</f>
        <v>335.09089</v>
      </c>
      <c r="AC96" s="241">
        <f>IFERROR(_xlfn.XLOOKUP($D96,'Modelling New'!$D:$D,'Modelling New'!$P:$P),"")</f>
        <v>5.4483870967741934</v>
      </c>
      <c r="AD96" s="228">
        <f>IFERROR(_xlfn.XLOOKUP($D96,'Modelling New'!$D:$D,'Modelling New'!$T:$T)*1000,"")</f>
        <v>1533620.9517254881</v>
      </c>
      <c r="AE96" s="240">
        <f>IFERROR(_xlfn.XLOOKUP($D96,'Modelling New'!$D:$D,'Modelling New'!$O:$O),"")</f>
        <v>0.84001552713942795</v>
      </c>
      <c r="AF96" s="240">
        <f>IFERROR(_xlfn.XLOOKUP($D96,'Modelling New'!$D:$D,'Modelling New'!$W:$W),"")</f>
        <v>0.19069707329818469</v>
      </c>
      <c r="AG96" s="240">
        <f>IFERROR(_xlfn.XLOOKUP($D96,'Modelling New'!$D:$D,'Modelling New'!AE:AE),"")</f>
        <v>0.99750000000000005</v>
      </c>
      <c r="AH96" s="240">
        <f>IFERROR(_xlfn.XLOOKUP($D96,'Modelling New'!$D:$D,'Modelling New'!AF:AF),"")</f>
        <v>0.99750000000000005</v>
      </c>
      <c r="AI96" s="186"/>
      <c r="AJ96" s="186"/>
      <c r="AK96" s="227">
        <v>0.96499999999999997</v>
      </c>
      <c r="AL96" s="224">
        <f>IFERROR(Table13[[#This Row],[RA (%)]]*9270*58,"")</f>
        <v>518841.89999999997</v>
      </c>
      <c r="AM96" s="225"/>
      <c r="AN96" s="238"/>
      <c r="AO96" s="240"/>
      <c r="AP96" s="240"/>
      <c r="AQ96" s="240"/>
      <c r="AR96" s="242">
        <f>IFERROR(_xlfn.XLOOKUP($D96,'Modelling New'!$D:$D,'Modelling New'!$N:$N),"")</f>
        <v>335.09100000000001</v>
      </c>
    </row>
    <row r="97" spans="1:44">
      <c r="A97" s="233">
        <f t="shared" si="7"/>
        <v>45840</v>
      </c>
      <c r="B97" s="228">
        <f>YEAR(Table13[[#This Row],[Date]])+IF(MONTH(Table13[[#This Row],[Date]])&gt;=4,1,0)</f>
        <v>2026</v>
      </c>
      <c r="C97" s="186">
        <f>YEAR(Table13[[#This Row],[Date]])</f>
        <v>2025</v>
      </c>
      <c r="D97" s="234">
        <f>Table13[[#This Row],[Date]]-DAY(Table13[[#This Row],[Date]])+1</f>
        <v>45839</v>
      </c>
      <c r="E97" s="186">
        <f t="shared" si="4"/>
        <v>31</v>
      </c>
      <c r="F97" s="235">
        <f>IFERROR(_xlfn.XLOOKUP($A97,'Raw_Data'!$B:$B,'Raw_Data'!$IX:$IX),"")</f>
        <v>12.299999999999999</v>
      </c>
      <c r="G97" s="236">
        <f>IFERROR(_xlfn.XLOOKUP($A97,'Raw_Data'!$B:$B,'Raw_Data'!IY:IY),"")</f>
        <v>3.5389641111111096</v>
      </c>
      <c r="H97" s="236">
        <f>IFERROR(_xlfn.XLOOKUP($A97,'Raw_Data'!$B:$B,'Raw_Data'!IZ:IZ),"")</f>
        <v>0.77750436111111121</v>
      </c>
      <c r="I97" s="236">
        <f>IFERROR(_xlfn.XLOOKUP($A97,'Raw_Data'!$B:$B,'Raw_Data'!JA:JA),"")</f>
        <v>3.4081173333333332</v>
      </c>
      <c r="J97" s="236">
        <f>IFERROR(_xlfn.XLOOKUP($A97,'Raw_Data'!$B:$B,'Raw_Data'!JB:JB),"")</f>
        <v>0.28922074999999997</v>
      </c>
      <c r="K97" s="236">
        <f>IFERROR(_xlfn.XLOOKUP($A97,'Raw_Data'!$B:$B,'Raw_Data'!JE:JE),"")</f>
        <v>31.663003323836662</v>
      </c>
      <c r="L97" s="236">
        <f>IFERROR(_xlfn.XLOOKUP($A97,'Raw_Data'!$B:$B,'Raw_Data'!JF:JF),"")</f>
        <v>38.784436729566899</v>
      </c>
      <c r="M97" s="236">
        <f>IFERROR(_xlfn.XLOOKUP($A97,'Raw_Data'!$B:$B,'Raw_Data'!JG:JG),"")</f>
        <v>4.3191957689933522</v>
      </c>
      <c r="N97" s="236">
        <f>IFERROR(_xlfn.XLOOKUP($A97,'Raw_Data'!$B:$B,'Raw_Data'!JH:JH),"")</f>
        <v>7.229999666666667</v>
      </c>
      <c r="O97" s="237">
        <f>IFERROR(1-SUMIF(PA!$B:$B,$A97,PA!$AL:$AL)/($AA97+SUMIF(PA!$B:$B,$A97,PA!$AL:$AL)),"")</f>
        <v>0.99983976895470006</v>
      </c>
      <c r="P97" s="238"/>
      <c r="Q97" s="239"/>
      <c r="R97" s="240">
        <f>IFERROR(1-SUMIF(GA!$C:$C,$A97,GA!$X:$X)/($AA97+SUMIF(GA!$C:$C,$A97,GA!$X:$X)),"")</f>
        <v>1</v>
      </c>
      <c r="S97" s="186"/>
      <c r="T97" s="239"/>
      <c r="U97" s="237">
        <f t="shared" si="5"/>
        <v>0.90202052512724984</v>
      </c>
      <c r="V97" s="237">
        <f>IFERROR(_xlfn.XLOOKUP($A97,'Raw_Data'!$B:$B,'Raw_Data'!$JL:$JL),"")</f>
        <v>0.87755971518011688</v>
      </c>
      <c r="W97" s="240">
        <f t="shared" si="6"/>
        <v>0.12809132444619231</v>
      </c>
      <c r="X97" s="228">
        <f>IFERROR(_xlfn.XLOOKUP($A97,'Raw_Data'!$B:$B,'Raw_Data'!$JI:$JI),"")</f>
        <v>1038547.0000000001</v>
      </c>
      <c r="Y97" s="228">
        <f>IFERROR(_xlfn.XLOOKUP($A97,'Raw_Data'!$B:$B,'Raw_Data'!IT:IT),"")</f>
        <v>1034599.9999999767</v>
      </c>
      <c r="Z97" s="228">
        <f>IFERROR(_xlfn.XLOOKUP($A97,'Raw_Data'!$B:$B,'Raw_Data'!IU:IU),"")</f>
        <v>4466.0000000000082</v>
      </c>
      <c r="AA97" s="228">
        <f>IFERROR(_xlfn.XLOOKUP($A97,'Raw_Data'!$B:$B,'Raw_Data'!IW:IW),"")</f>
        <v>1030133.9999999767</v>
      </c>
      <c r="AB97" s="228">
        <f>IFERROR(_xlfn.XLOOKUP($A97,'Raw_Data'!$B:$B,'Raw_Data'!I:I)/1000,"")</f>
        <v>335.09089</v>
      </c>
      <c r="AC97" s="241">
        <f>IFERROR(_xlfn.XLOOKUP($D97,'Modelling New'!$D:$D,'Modelling New'!$P:$P),"")</f>
        <v>5.4483870967741934</v>
      </c>
      <c r="AD97" s="228">
        <f>IFERROR(_xlfn.XLOOKUP($D97,'Modelling New'!$D:$D,'Modelling New'!$T:$T)*1000,"")</f>
        <v>1533620.9517254881</v>
      </c>
      <c r="AE97" s="240">
        <f>IFERROR(_xlfn.XLOOKUP($D97,'Modelling New'!$D:$D,'Modelling New'!$O:$O),"")</f>
        <v>0.84001552713942795</v>
      </c>
      <c r="AF97" s="240">
        <f>IFERROR(_xlfn.XLOOKUP($D97,'Modelling New'!$D:$D,'Modelling New'!$W:$W),"")</f>
        <v>0.19069707329818469</v>
      </c>
      <c r="AG97" s="240">
        <f>IFERROR(_xlfn.XLOOKUP($D97,'Modelling New'!$D:$D,'Modelling New'!AE:AE),"")</f>
        <v>0.99750000000000005</v>
      </c>
      <c r="AH97" s="240">
        <f>IFERROR(_xlfn.XLOOKUP($D97,'Modelling New'!$D:$D,'Modelling New'!AF:AF),"")</f>
        <v>0.99750000000000005</v>
      </c>
      <c r="AI97" s="186"/>
      <c r="AJ97" s="186"/>
      <c r="AK97" s="227">
        <v>0.96499999999999997</v>
      </c>
      <c r="AL97" s="224">
        <f>IFERROR(Table13[[#This Row],[RA (%)]]*9270*58,"")</f>
        <v>518841.89999999997</v>
      </c>
      <c r="AM97" s="225"/>
      <c r="AN97" s="238"/>
      <c r="AO97" s="240"/>
      <c r="AP97" s="240"/>
      <c r="AQ97" s="240"/>
      <c r="AR97" s="242">
        <f>IFERROR(_xlfn.XLOOKUP($D97,'Modelling New'!$D:$D,'Modelling New'!$N:$N),"")</f>
        <v>335.09100000000001</v>
      </c>
    </row>
    <row r="98" spans="1:44">
      <c r="A98" s="233">
        <f t="shared" si="7"/>
        <v>45841</v>
      </c>
      <c r="B98" s="228">
        <f>YEAR(Table13[[#This Row],[Date]])+IF(MONTH(Table13[[#This Row],[Date]])&gt;=4,1,0)</f>
        <v>2026</v>
      </c>
      <c r="C98" s="186">
        <f>YEAR(Table13[[#This Row],[Date]])</f>
        <v>2025</v>
      </c>
      <c r="D98" s="234">
        <f>Table13[[#This Row],[Date]]-DAY(Table13[[#This Row],[Date]])+1</f>
        <v>45839</v>
      </c>
      <c r="E98" s="186">
        <f t="shared" si="4"/>
        <v>31</v>
      </c>
      <c r="F98" s="235">
        <f>IFERROR(_xlfn.XLOOKUP($A98,'Raw_Data'!$B:$B,'Raw_Data'!$IX:$IX),"")</f>
        <v>12.983333333333333</v>
      </c>
      <c r="G98" s="236">
        <f>IFERROR(_xlfn.XLOOKUP($A98,'Raw_Data'!$B:$B,'Raw_Data'!IY:IY),"")</f>
        <v>2.6015879166666651</v>
      </c>
      <c r="H98" s="236">
        <f>IFERROR(_xlfn.XLOOKUP($A98,'Raw_Data'!$B:$B,'Raw_Data'!IZ:IZ),"")</f>
        <v>0.5321275833333331</v>
      </c>
      <c r="I98" s="236">
        <f>IFERROR(_xlfn.XLOOKUP($A98,'Raw_Data'!$B:$B,'Raw_Data'!JA:JA),"")</f>
        <v>2.5348125000000006</v>
      </c>
      <c r="J98" s="236">
        <f>IFERROR(_xlfn.XLOOKUP($A98,'Raw_Data'!$B:$B,'Raw_Data'!JB:JB),"")</f>
        <v>0.17495866666666671</v>
      </c>
      <c r="K98" s="236">
        <f>IFERROR(_xlfn.XLOOKUP($A98,'Raw_Data'!$B:$B,'Raw_Data'!JE:JE),"")</f>
        <v>30.870255183413075</v>
      </c>
      <c r="L98" s="236">
        <f>IFERROR(_xlfn.XLOOKUP($A98,'Raw_Data'!$B:$B,'Raw_Data'!JF:JF),"")</f>
        <v>37.580744247740562</v>
      </c>
      <c r="M98" s="236">
        <f>IFERROR(_xlfn.XLOOKUP($A98,'Raw_Data'!$B:$B,'Raw_Data'!JG:JG),"")</f>
        <v>2.5805514675225951</v>
      </c>
      <c r="N98" s="236">
        <f>IFERROR(_xlfn.XLOOKUP($A98,'Raw_Data'!$B:$B,'Raw_Data'!JH:JH),"")</f>
        <v>7.3411105000000001</v>
      </c>
      <c r="O98" s="237">
        <f>IFERROR(1-SUMIF(PA!$B:$B,$A98,PA!$AL:$AL)/($AA98+SUMIF(PA!$B:$B,$A98,PA!$AL:$AL)),"")</f>
        <v>0.99651783919227577</v>
      </c>
      <c r="P98" s="238"/>
      <c r="Q98" s="239"/>
      <c r="R98" s="240">
        <f>IFERROR(1-SUMIF(GA!$C:$C,$A98,GA!$X:$X)/($AA98+SUMIF(GA!$C:$C,$A98,GA!$X:$X)),"")</f>
        <v>1</v>
      </c>
      <c r="S98" s="186"/>
      <c r="T98" s="239"/>
      <c r="U98" s="237">
        <f t="shared" si="5"/>
        <v>0.8468013303802997</v>
      </c>
      <c r="V98" s="237">
        <f>IFERROR(_xlfn.XLOOKUP($A98,'Raw_Data'!$B:$B,'Raw_Data'!$JL:$JL),"")</f>
        <v>0.86508472688062121</v>
      </c>
      <c r="W98" s="240">
        <f t="shared" si="6"/>
        <v>8.9436774886025583E-2</v>
      </c>
      <c r="X98" s="228">
        <f>IFERROR(_xlfn.XLOOKUP($A98,'Raw_Data'!$B:$B,'Raw_Data'!$JI:$JI),"")</f>
        <v>728404.99999999988</v>
      </c>
      <c r="Y98" s="228">
        <f>IFERROR(_xlfn.XLOOKUP($A98,'Raw_Data'!$B:$B,'Raw_Data'!IT:IT),"")</f>
        <v>723733.99999999674</v>
      </c>
      <c r="Z98" s="228">
        <f>IFERROR(_xlfn.XLOOKUP($A98,'Raw_Data'!$B:$B,'Raw_Data'!IU:IU),"")</f>
        <v>4466.9999999999845</v>
      </c>
      <c r="AA98" s="228">
        <f>IFERROR(_xlfn.XLOOKUP($A98,'Raw_Data'!$B:$B,'Raw_Data'!IW:IW),"")</f>
        <v>719266.99999999674</v>
      </c>
      <c r="AB98" s="228">
        <f>IFERROR(_xlfn.XLOOKUP($A98,'Raw_Data'!$B:$B,'Raw_Data'!I:I)/1000,"")</f>
        <v>335.09089</v>
      </c>
      <c r="AC98" s="241">
        <f>IFERROR(_xlfn.XLOOKUP($D98,'Modelling New'!$D:$D,'Modelling New'!$P:$P),"")</f>
        <v>5.4483870967741934</v>
      </c>
      <c r="AD98" s="228">
        <f>IFERROR(_xlfn.XLOOKUP($D98,'Modelling New'!$D:$D,'Modelling New'!$T:$T)*1000,"")</f>
        <v>1533620.9517254881</v>
      </c>
      <c r="AE98" s="240">
        <f>IFERROR(_xlfn.XLOOKUP($D98,'Modelling New'!$D:$D,'Modelling New'!$O:$O),"")</f>
        <v>0.84001552713942795</v>
      </c>
      <c r="AF98" s="240">
        <f>IFERROR(_xlfn.XLOOKUP($D98,'Modelling New'!$D:$D,'Modelling New'!$W:$W),"")</f>
        <v>0.19069707329818469</v>
      </c>
      <c r="AG98" s="240">
        <f>IFERROR(_xlfn.XLOOKUP($D98,'Modelling New'!$D:$D,'Modelling New'!AE:AE),"")</f>
        <v>0.99750000000000005</v>
      </c>
      <c r="AH98" s="240">
        <f>IFERROR(_xlfn.XLOOKUP($D98,'Modelling New'!$D:$D,'Modelling New'!AF:AF),"")</f>
        <v>0.99750000000000005</v>
      </c>
      <c r="AI98" s="186"/>
      <c r="AJ98" s="186"/>
      <c r="AK98" s="227">
        <v>0.97299999999999998</v>
      </c>
      <c r="AL98" s="224">
        <f>IFERROR(Table13[[#This Row],[RA (%)]]*9270*58,"")</f>
        <v>523143.17999999993</v>
      </c>
      <c r="AM98" s="225"/>
      <c r="AN98" s="238"/>
      <c r="AO98" s="240"/>
      <c r="AP98" s="240"/>
      <c r="AQ98" s="240"/>
      <c r="AR98" s="242">
        <f>IFERROR(_xlfn.XLOOKUP($D98,'Modelling New'!$D:$D,'Modelling New'!$N:$N),"")</f>
        <v>335.09100000000001</v>
      </c>
    </row>
    <row r="99" spans="1:44">
      <c r="A99" s="233">
        <f t="shared" si="7"/>
        <v>45842</v>
      </c>
      <c r="B99" s="228">
        <f>YEAR(Table13[[#This Row],[Date]])+IF(MONTH(Table13[[#This Row],[Date]])&gt;=4,1,0)</f>
        <v>2026</v>
      </c>
      <c r="C99" s="186">
        <f>YEAR(Table13[[#This Row],[Date]])</f>
        <v>2025</v>
      </c>
      <c r="D99" s="234">
        <f>Table13[[#This Row],[Date]]-DAY(Table13[[#This Row],[Date]])+1</f>
        <v>45839</v>
      </c>
      <c r="E99" s="186">
        <f t="shared" ref="E99:E130" si="8">DAY(EOMONTH(A99,0))</f>
        <v>31</v>
      </c>
      <c r="F99" s="235">
        <f>IFERROR(_xlfn.XLOOKUP($A99,'Raw_Data'!$B:$B,'Raw_Data'!$IX:$IX),"")</f>
        <v>13.000000000000002</v>
      </c>
      <c r="G99" s="236">
        <f>IFERROR(_xlfn.XLOOKUP($A99,'Raw_Data'!$B:$B,'Raw_Data'!IY:IY),"")</f>
        <v>5.3618174444444442</v>
      </c>
      <c r="H99" s="236">
        <f>IFERROR(_xlfn.XLOOKUP($A99,'Raw_Data'!$B:$B,'Raw_Data'!IZ:IZ),"")</f>
        <v>0.96641175000000024</v>
      </c>
      <c r="I99" s="236">
        <f>IFERROR(_xlfn.XLOOKUP($A99,'Raw_Data'!$B:$B,'Raw_Data'!JA:JA),"")</f>
        <v>5.3660569999999996</v>
      </c>
      <c r="J99" s="236">
        <f>IFERROR(_xlfn.XLOOKUP($A99,'Raw_Data'!$B:$B,'Raw_Data'!JB:JB),"")</f>
        <v>0.31755504444444432</v>
      </c>
      <c r="K99" s="236">
        <f>IFERROR(_xlfn.XLOOKUP($A99,'Raw_Data'!$B:$B,'Raw_Data'!JE:JE),"")</f>
        <v>31.746564067487473</v>
      </c>
      <c r="L99" s="236">
        <f>IFERROR(_xlfn.XLOOKUP($A99,'Raw_Data'!$B:$B,'Raw_Data'!JF:JF),"")</f>
        <v>45.758289575923406</v>
      </c>
      <c r="M99" s="236">
        <f>IFERROR(_xlfn.XLOOKUP($A99,'Raw_Data'!$B:$B,'Raw_Data'!JG:JG),"")</f>
        <v>2.4130626828317383</v>
      </c>
      <c r="N99" s="236">
        <f>IFERROR(_xlfn.XLOOKUP($A99,'Raw_Data'!$B:$B,'Raw_Data'!JH:JH),"")</f>
        <v>6.6874995000000004</v>
      </c>
      <c r="O99" s="237">
        <f>IFERROR(1-SUMIF(PA!$B:$B,$A99,PA!$AL:$AL)/($AA99+SUMIF(PA!$B:$B,$A99,PA!$AL:$AL)),"")</f>
        <v>0.99249084916429287</v>
      </c>
      <c r="P99" s="238"/>
      <c r="Q99" s="239"/>
      <c r="R99" s="240">
        <f>IFERROR(1-SUMIF(GA!$C:$C,$A99,GA!$X:$X)/($AA99+SUMIF(GA!$C:$C,$A99,GA!$X:$X)),"")</f>
        <v>1</v>
      </c>
      <c r="S99" s="186"/>
      <c r="T99" s="239"/>
      <c r="U99" s="237">
        <f t="shared" si="5"/>
        <v>0.77710887798096062</v>
      </c>
      <c r="V99" s="237">
        <f>IFERROR(_xlfn.XLOOKUP($A99,'Raw_Data'!$B:$B,'Raw_Data'!$JL:$JL),"")</f>
        <v>0.7771822826283511</v>
      </c>
      <c r="W99" s="240">
        <f t="shared" si="6"/>
        <v>0.17375043893549499</v>
      </c>
      <c r="X99" s="228">
        <f>IFERROR(_xlfn.XLOOKUP($A99,'Raw_Data'!$B:$B,'Raw_Data'!$JI:$JI),"")</f>
        <v>1408780.5999999996</v>
      </c>
      <c r="Y99" s="228">
        <f>IFERROR(_xlfn.XLOOKUP($A99,'Raw_Data'!$B:$B,'Raw_Data'!IT:IT),"")</f>
        <v>1401466.0000000149</v>
      </c>
      <c r="Z99" s="228">
        <f>IFERROR(_xlfn.XLOOKUP($A99,'Raw_Data'!$B:$B,'Raw_Data'!IU:IU),"")</f>
        <v>4132.9999999999245</v>
      </c>
      <c r="AA99" s="228">
        <f>IFERROR(_xlfn.XLOOKUP($A99,'Raw_Data'!$B:$B,'Raw_Data'!IW:IW),"")</f>
        <v>1397333.0000000149</v>
      </c>
      <c r="AB99" s="228">
        <f>IFERROR(_xlfn.XLOOKUP($A99,'Raw_Data'!$B:$B,'Raw_Data'!I:I)/1000,"")</f>
        <v>335.09089</v>
      </c>
      <c r="AC99" s="241">
        <f>IFERROR(_xlfn.XLOOKUP($D99,'Modelling New'!$D:$D,'Modelling New'!$P:$P),"")</f>
        <v>5.4483870967741934</v>
      </c>
      <c r="AD99" s="228">
        <f>IFERROR(_xlfn.XLOOKUP($D99,'Modelling New'!$D:$D,'Modelling New'!$T:$T)*1000,"")</f>
        <v>1533620.9517254881</v>
      </c>
      <c r="AE99" s="240">
        <f>IFERROR(_xlfn.XLOOKUP($D99,'Modelling New'!$D:$D,'Modelling New'!$O:$O),"")</f>
        <v>0.84001552713942795</v>
      </c>
      <c r="AF99" s="240">
        <f>IFERROR(_xlfn.XLOOKUP($D99,'Modelling New'!$D:$D,'Modelling New'!$W:$W),"")</f>
        <v>0.19069707329818469</v>
      </c>
      <c r="AG99" s="240">
        <f>IFERROR(_xlfn.XLOOKUP($D99,'Modelling New'!$D:$D,'Modelling New'!AE:AE),"")</f>
        <v>0.99750000000000005</v>
      </c>
      <c r="AH99" s="240">
        <f>IFERROR(_xlfn.XLOOKUP($D99,'Modelling New'!$D:$D,'Modelling New'!AF:AF),"")</f>
        <v>0.99750000000000005</v>
      </c>
      <c r="AI99" s="186"/>
      <c r="AJ99" s="186"/>
      <c r="AK99" s="227">
        <v>0</v>
      </c>
      <c r="AL99" s="224">
        <f>IFERROR(Table13[[#This Row],[RA (%)]]*9270*58,"")</f>
        <v>0</v>
      </c>
      <c r="AM99" s="225"/>
      <c r="AN99" s="238"/>
      <c r="AO99" s="240"/>
      <c r="AP99" s="240"/>
      <c r="AQ99" s="240"/>
      <c r="AR99" s="242">
        <f>IFERROR(_xlfn.XLOOKUP($D99,'Modelling New'!$D:$D,'Modelling New'!$N:$N),"")</f>
        <v>335.09100000000001</v>
      </c>
    </row>
    <row r="100" spans="1:44">
      <c r="A100" s="233">
        <f t="shared" si="7"/>
        <v>45843</v>
      </c>
      <c r="B100" s="228">
        <f>YEAR(Table13[[#This Row],[Date]])+IF(MONTH(Table13[[#This Row],[Date]])&gt;=4,1,0)</f>
        <v>2026</v>
      </c>
      <c r="C100" s="186">
        <f>YEAR(Table13[[#This Row],[Date]])</f>
        <v>2025</v>
      </c>
      <c r="D100" s="234">
        <f>Table13[[#This Row],[Date]]-DAY(Table13[[#This Row],[Date]])+1</f>
        <v>45839</v>
      </c>
      <c r="E100" s="186">
        <f t="shared" si="8"/>
        <v>31</v>
      </c>
      <c r="F100" s="235">
        <f>IFERROR(_xlfn.XLOOKUP($A100,'Raw_Data'!$B:$B,'Raw_Data'!$IX:$IX),"")</f>
        <v>13.083333333333332</v>
      </c>
      <c r="G100" s="236">
        <f>IFERROR(_xlfn.XLOOKUP($A100,'Raw_Data'!$B:$B,'Raw_Data'!IY:IY),"")</f>
        <v>6.7546507222222196</v>
      </c>
      <c r="H100" s="236">
        <f>IFERROR(_xlfn.XLOOKUP($A100,'Raw_Data'!$B:$B,'Raw_Data'!IZ:IZ),"")</f>
        <v>1.3804013333333343</v>
      </c>
      <c r="I100" s="236">
        <f>IFERROR(_xlfn.XLOOKUP($A100,'Raw_Data'!$B:$B,'Raw_Data'!JA:JA),"")</f>
        <v>6.5761444583333279</v>
      </c>
      <c r="J100" s="236">
        <f>IFERROR(_xlfn.XLOOKUP($A100,'Raw_Data'!$B:$B,'Raw_Data'!JB:JB),"")</f>
        <v>0.44383441666666679</v>
      </c>
      <c r="K100" s="236">
        <f>IFERROR(_xlfn.XLOOKUP($A100,'Raw_Data'!$B:$B,'Raw_Data'!JE:JE),"")</f>
        <v>33.064585459183682</v>
      </c>
      <c r="L100" s="236">
        <f>IFERROR(_xlfn.XLOOKUP($A100,'Raw_Data'!$B:$B,'Raw_Data'!JF:JF),"")</f>
        <v>47.066666666666663</v>
      </c>
      <c r="M100" s="236">
        <f>IFERROR(_xlfn.XLOOKUP($A100,'Raw_Data'!$B:$B,'Raw_Data'!JG:JG),"")</f>
        <v>3.9195296650595259</v>
      </c>
      <c r="N100" s="236">
        <f>IFERROR(_xlfn.XLOOKUP($A100,'Raw_Data'!$B:$B,'Raw_Data'!JH:JH),"")</f>
        <v>7.4474996666666682</v>
      </c>
      <c r="O100" s="237">
        <f>IFERROR(1-SUMIF(PA!$B:$B,$A100,PA!$AL:$AL)/($AA100+SUMIF(PA!$B:$B,$A100,PA!$AL:$AL)),"")</f>
        <v>0.99404358429122319</v>
      </c>
      <c r="P100" s="238"/>
      <c r="Q100" s="239"/>
      <c r="R100" s="240">
        <f>IFERROR(1-SUMIF(GA!$C:$C,$A100,GA!$X:$X)/($AA100+SUMIF(GA!$C:$C,$A100,GA!$X:$X)),"")</f>
        <v>1</v>
      </c>
      <c r="S100" s="186"/>
      <c r="T100" s="239"/>
      <c r="U100" s="237">
        <f t="shared" si="5"/>
        <v>0.80764589294090239</v>
      </c>
      <c r="V100" s="237">
        <f>IFERROR(_xlfn.XLOOKUP($A100,'Raw_Data'!$B:$B,'Raw_Data'!$JL:$JL),"")</f>
        <v>0.82181931164155153</v>
      </c>
      <c r="W100" s="240">
        <f t="shared" si="6"/>
        <v>0.22129983596495784</v>
      </c>
      <c r="X100" s="228">
        <f>IFERROR(_xlfn.XLOOKUP($A100,'Raw_Data'!$B:$B,'Raw_Data'!$JI:$JI),"")</f>
        <v>1795306.5999999999</v>
      </c>
      <c r="Y100" s="228">
        <f>IFERROR(_xlfn.XLOOKUP($A100,'Raw_Data'!$B:$B,'Raw_Data'!IT:IT),"")</f>
        <v>1783934.0000000084</v>
      </c>
      <c r="Z100" s="228">
        <f>IFERROR(_xlfn.XLOOKUP($A100,'Raw_Data'!$B:$B,'Raw_Data'!IU:IU),"")</f>
        <v>4200.0000000000455</v>
      </c>
      <c r="AA100" s="228">
        <f>IFERROR(_xlfn.XLOOKUP($A100,'Raw_Data'!$B:$B,'Raw_Data'!IW:IW),"")</f>
        <v>1779734.0000000084</v>
      </c>
      <c r="AB100" s="228">
        <f>IFERROR(_xlfn.XLOOKUP($A100,'Raw_Data'!$B:$B,'Raw_Data'!I:I)/1000,"")</f>
        <v>335.09089</v>
      </c>
      <c r="AC100" s="241">
        <f>IFERROR(_xlfn.XLOOKUP($D100,'Modelling New'!$D:$D,'Modelling New'!$P:$P),"")</f>
        <v>5.4483870967741934</v>
      </c>
      <c r="AD100" s="228">
        <f>IFERROR(_xlfn.XLOOKUP($D100,'Modelling New'!$D:$D,'Modelling New'!$T:$T)*1000,"")</f>
        <v>1533620.9517254881</v>
      </c>
      <c r="AE100" s="240">
        <f>IFERROR(_xlfn.XLOOKUP($D100,'Modelling New'!$D:$D,'Modelling New'!$O:$O),"")</f>
        <v>0.84001552713942795</v>
      </c>
      <c r="AF100" s="240">
        <f>IFERROR(_xlfn.XLOOKUP($D100,'Modelling New'!$D:$D,'Modelling New'!$W:$W),"")</f>
        <v>0.19069707329818469</v>
      </c>
      <c r="AG100" s="240">
        <f>IFERROR(_xlfn.XLOOKUP($D100,'Modelling New'!$D:$D,'Modelling New'!AE:AE),"")</f>
        <v>0.99750000000000005</v>
      </c>
      <c r="AH100" s="240">
        <f>IFERROR(_xlfn.XLOOKUP($D100,'Modelling New'!$D:$D,'Modelling New'!AF:AF),"")</f>
        <v>0.99750000000000005</v>
      </c>
      <c r="AI100" s="186"/>
      <c r="AJ100" s="186"/>
      <c r="AK100" s="227">
        <v>0.91700000000000004</v>
      </c>
      <c r="AL100" s="224">
        <f>IFERROR(Table13[[#This Row],[RA (%)]]*9270*58,"")</f>
        <v>493034.22000000003</v>
      </c>
      <c r="AM100" s="225"/>
      <c r="AN100" s="238"/>
      <c r="AO100" s="240"/>
      <c r="AP100" s="240"/>
      <c r="AQ100" s="240"/>
      <c r="AR100" s="242">
        <f>IFERROR(_xlfn.XLOOKUP($D100,'Modelling New'!$D:$D,'Modelling New'!$N:$N),"")</f>
        <v>335.09100000000001</v>
      </c>
    </row>
    <row r="101" spans="1:44">
      <c r="A101" s="233">
        <f t="shared" si="7"/>
        <v>45844</v>
      </c>
      <c r="B101" s="228">
        <f>YEAR(Table13[[#This Row],[Date]])+IF(MONTH(Table13[[#This Row],[Date]])&gt;=4,1,0)</f>
        <v>2026</v>
      </c>
      <c r="C101" s="186">
        <f>YEAR(Table13[[#This Row],[Date]])</f>
        <v>2025</v>
      </c>
      <c r="D101" s="234">
        <f>Table13[[#This Row],[Date]]-DAY(Table13[[#This Row],[Date]])+1</f>
        <v>45839</v>
      </c>
      <c r="E101" s="186">
        <f t="shared" si="8"/>
        <v>31</v>
      </c>
      <c r="F101" s="235">
        <f>IFERROR(_xlfn.XLOOKUP($A101,'Raw_Data'!$B:$B,'Raw_Data'!$IX:$IX),"")</f>
        <v>12.75</v>
      </c>
      <c r="G101" s="236">
        <f>IFERROR(_xlfn.XLOOKUP($A101,'Raw_Data'!$B:$B,'Raw_Data'!IY:IY),"")</f>
        <v>6.7578315833333322</v>
      </c>
      <c r="H101" s="236">
        <f>IFERROR(_xlfn.XLOOKUP($A101,'Raw_Data'!$B:$B,'Raw_Data'!IZ:IZ),"")</f>
        <v>1.4256508611111114</v>
      </c>
      <c r="I101" s="236">
        <f>IFERROR(_xlfn.XLOOKUP($A101,'Raw_Data'!$B:$B,'Raw_Data'!JA:JA),"")</f>
        <v>6.6005563749999983</v>
      </c>
      <c r="J101" s="236">
        <f>IFERROR(_xlfn.XLOOKUP($A101,'Raw_Data'!$B:$B,'Raw_Data'!JB:JB),"")</f>
        <v>0.4689539166666668</v>
      </c>
      <c r="K101" s="236">
        <f>IFERROR(_xlfn.XLOOKUP($A101,'Raw_Data'!$B:$B,'Raw_Data'!JE:JE),"")</f>
        <v>33.298841623036644</v>
      </c>
      <c r="L101" s="236">
        <f>IFERROR(_xlfn.XLOOKUP($A101,'Raw_Data'!$B:$B,'Raw_Data'!JF:JF),"")</f>
        <v>47.452917011343807</v>
      </c>
      <c r="M101" s="236">
        <f>IFERROR(_xlfn.XLOOKUP($A101,'Raw_Data'!$B:$B,'Raw_Data'!JG:JG),"")</f>
        <v>4.0373322241710321</v>
      </c>
      <c r="N101" s="236">
        <f>IFERROR(_xlfn.XLOOKUP($A101,'Raw_Data'!$B:$B,'Raw_Data'!JH:JH),"")</f>
        <v>8.077221166666666</v>
      </c>
      <c r="O101" s="237">
        <f>IFERROR(1-SUMIF(PA!$B:$B,$A101,PA!$AL:$AL)/($AA101+SUMIF(PA!$B:$B,$A101,PA!$AL:$AL)),"")</f>
        <v>0.99453105291215904</v>
      </c>
      <c r="P101" s="238"/>
      <c r="Q101" s="239"/>
      <c r="R101" s="240">
        <f>IFERROR(1-SUMIF(GA!$C:$C,$A101,GA!$X:$X)/($AA101+SUMIF(GA!$C:$C,$A101,GA!$X:$X)),"")</f>
        <v>0.93059815110223121</v>
      </c>
      <c r="S101" s="186"/>
      <c r="T101" s="239"/>
      <c r="U101" s="237">
        <f t="shared" si="5"/>
        <v>0.78678415754999576</v>
      </c>
      <c r="V101" s="237">
        <f>IFERROR(_xlfn.XLOOKUP($A101,'Raw_Data'!$B:$B,'Raw_Data'!$JL:$JL),"")</f>
        <v>0.8504231349007948</v>
      </c>
      <c r="W101" s="240">
        <f t="shared" si="6"/>
        <v>0.21638388278606782</v>
      </c>
      <c r="X101" s="228">
        <f>IFERROR(_xlfn.XLOOKUP($A101,'Raw_Data'!$B:$B,'Raw_Data'!$JI:$JI),"")</f>
        <v>1754970.6999999995</v>
      </c>
      <c r="Y101" s="228">
        <f>IFERROR(_xlfn.XLOOKUP($A101,'Raw_Data'!$B:$B,'Raw_Data'!IT:IT),"")</f>
        <v>1744932.99999999</v>
      </c>
      <c r="Z101" s="228">
        <f>IFERROR(_xlfn.XLOOKUP($A101,'Raw_Data'!$B:$B,'Raw_Data'!IU:IU),"")</f>
        <v>4734.0000000000373</v>
      </c>
      <c r="AA101" s="228">
        <f>IFERROR(_xlfn.XLOOKUP($A101,'Raw_Data'!$B:$B,'Raw_Data'!IW:IW),"")</f>
        <v>1740198.99999999</v>
      </c>
      <c r="AB101" s="228">
        <f>IFERROR(_xlfn.XLOOKUP($A101,'Raw_Data'!$B:$B,'Raw_Data'!I:I)/1000,"")</f>
        <v>335.09089</v>
      </c>
      <c r="AC101" s="241">
        <f>IFERROR(_xlfn.XLOOKUP($D101,'Modelling New'!$D:$D,'Modelling New'!$P:$P),"")</f>
        <v>5.4483870967741934</v>
      </c>
      <c r="AD101" s="228">
        <f>IFERROR(_xlfn.XLOOKUP($D101,'Modelling New'!$D:$D,'Modelling New'!$T:$T)*1000,"")</f>
        <v>1533620.9517254881</v>
      </c>
      <c r="AE101" s="240">
        <f>IFERROR(_xlfn.XLOOKUP($D101,'Modelling New'!$D:$D,'Modelling New'!$O:$O),"")</f>
        <v>0.84001552713942795</v>
      </c>
      <c r="AF101" s="240">
        <f>IFERROR(_xlfn.XLOOKUP($D101,'Modelling New'!$D:$D,'Modelling New'!$W:$W),"")</f>
        <v>0.19069707329818469</v>
      </c>
      <c r="AG101" s="240">
        <f>IFERROR(_xlfn.XLOOKUP($D101,'Modelling New'!$D:$D,'Modelling New'!AE:AE),"")</f>
        <v>0.99750000000000005</v>
      </c>
      <c r="AH101" s="240">
        <f>IFERROR(_xlfn.XLOOKUP($D101,'Modelling New'!$D:$D,'Modelling New'!AF:AF),"")</f>
        <v>0.99750000000000005</v>
      </c>
      <c r="AI101" s="186"/>
      <c r="AJ101" s="186"/>
      <c r="AK101" s="227">
        <v>0.92500000000000004</v>
      </c>
      <c r="AL101" s="224">
        <f>IFERROR(Table13[[#This Row],[RA (%)]]*9270*58,"")</f>
        <v>497335.5</v>
      </c>
      <c r="AM101" s="225"/>
      <c r="AN101" s="238"/>
      <c r="AO101" s="240"/>
      <c r="AP101" s="240"/>
      <c r="AQ101" s="240"/>
      <c r="AR101" s="242">
        <f>IFERROR(_xlfn.XLOOKUP($D101,'Modelling New'!$D:$D,'Modelling New'!$N:$N),"")</f>
        <v>335.09100000000001</v>
      </c>
    </row>
    <row r="102" spans="1:44">
      <c r="A102" s="233">
        <f t="shared" si="7"/>
        <v>45845</v>
      </c>
      <c r="B102" s="228">
        <f>YEAR(Table13[[#This Row],[Date]])+IF(MONTH(Table13[[#This Row],[Date]])&gt;=4,1,0)</f>
        <v>2026</v>
      </c>
      <c r="C102" s="186">
        <f>YEAR(Table13[[#This Row],[Date]])</f>
        <v>2025</v>
      </c>
      <c r="D102" s="234">
        <f>Table13[[#This Row],[Date]]-DAY(Table13[[#This Row],[Date]])+1</f>
        <v>45839</v>
      </c>
      <c r="E102" s="186">
        <f t="shared" si="8"/>
        <v>31</v>
      </c>
      <c r="F102" s="235">
        <f>IFERROR(_xlfn.XLOOKUP($A102,'Raw_Data'!$B:$B,'Raw_Data'!$IX:$IX),"")</f>
        <v>12.65</v>
      </c>
      <c r="G102" s="236">
        <f>IFERROR(_xlfn.XLOOKUP($A102,'Raw_Data'!$B:$B,'Raw_Data'!IY:IY),"")</f>
        <v>5.4479314722222227</v>
      </c>
      <c r="H102" s="236">
        <f>IFERROR(_xlfn.XLOOKUP($A102,'Raw_Data'!$B:$B,'Raw_Data'!IZ:IZ),"")</f>
        <v>1.1285608611111113</v>
      </c>
      <c r="I102" s="236">
        <f>IFERROR(_xlfn.XLOOKUP($A102,'Raw_Data'!$B:$B,'Raw_Data'!JA:JA),"")</f>
        <v>5.4069513749999984</v>
      </c>
      <c r="J102" s="236">
        <f>IFERROR(_xlfn.XLOOKUP($A102,'Raw_Data'!$B:$B,'Raw_Data'!JB:JB),"")</f>
        <v>0.35724659999999991</v>
      </c>
      <c r="K102" s="236">
        <f>IFERROR(_xlfn.XLOOKUP($A102,'Raw_Data'!$B:$B,'Raw_Data'!JE:JE),"")</f>
        <v>31.582944664031615</v>
      </c>
      <c r="L102" s="236">
        <f>IFERROR(_xlfn.XLOOKUP($A102,'Raw_Data'!$B:$B,'Raw_Data'!JF:JF),"")</f>
        <v>43.221262446201138</v>
      </c>
      <c r="M102" s="236">
        <f>IFERROR(_xlfn.XLOOKUP($A102,'Raw_Data'!$B:$B,'Raw_Data'!JG:JG),"")</f>
        <v>3.7377025921234086</v>
      </c>
      <c r="N102" s="236">
        <f>IFERROR(_xlfn.XLOOKUP($A102,'Raw_Data'!$B:$B,'Raw_Data'!JH:JH),"")</f>
        <v>7.2058331666666673</v>
      </c>
      <c r="O102" s="237">
        <f>IFERROR(1-SUMIF(PA!$B:$B,$A102,PA!$AL:$AL)/($AA102+SUMIF(PA!$B:$B,$A102,PA!$AL:$AL)),"")</f>
        <v>0.99455204914114581</v>
      </c>
      <c r="P102" s="238"/>
      <c r="Q102" s="239"/>
      <c r="R102" s="240">
        <f>IFERROR(1-SUMIF(GA!$C:$C,$A102,GA!$X:$X)/($AA102+SUMIF(GA!$C:$C,$A102,GA!$X:$X)),"")</f>
        <v>1</v>
      </c>
      <c r="S102" s="186"/>
      <c r="T102" s="239"/>
      <c r="U102" s="237">
        <f t="shared" si="5"/>
        <v>0.80692364599917266</v>
      </c>
      <c r="V102" s="237">
        <f>IFERROR(_xlfn.XLOOKUP($A102,'Raw_Data'!$B:$B,'Raw_Data'!$JL:$JL),"")</f>
        <v>0.80516221561982049</v>
      </c>
      <c r="W102" s="240">
        <f t="shared" si="6"/>
        <v>0.18179153821896826</v>
      </c>
      <c r="X102" s="228">
        <f>IFERROR(_xlfn.XLOOKUP($A102,'Raw_Data'!$B:$B,'Raw_Data'!$JI:$JI),"")</f>
        <v>1474116.5999999999</v>
      </c>
      <c r="Y102" s="228">
        <f>IFERROR(_xlfn.XLOOKUP($A102,'Raw_Data'!$B:$B,'Raw_Data'!IT:IT),"")</f>
        <v>1466466.9999999751</v>
      </c>
      <c r="Z102" s="228">
        <f>IFERROR(_xlfn.XLOOKUP($A102,'Raw_Data'!$B:$B,'Raw_Data'!IU:IU),"")</f>
        <v>4466.0000000000082</v>
      </c>
      <c r="AA102" s="228">
        <f>IFERROR(_xlfn.XLOOKUP($A102,'Raw_Data'!$B:$B,'Raw_Data'!IW:IW),"")</f>
        <v>1462000.9999999751</v>
      </c>
      <c r="AB102" s="228">
        <f>IFERROR(_xlfn.XLOOKUP($A102,'Raw_Data'!$B:$B,'Raw_Data'!I:I)/1000,"")</f>
        <v>335.09089</v>
      </c>
      <c r="AC102" s="241">
        <f>IFERROR(_xlfn.XLOOKUP($D102,'Modelling New'!$D:$D,'Modelling New'!$P:$P),"")</f>
        <v>5.4483870967741934</v>
      </c>
      <c r="AD102" s="228">
        <f>IFERROR(_xlfn.XLOOKUP($D102,'Modelling New'!$D:$D,'Modelling New'!$T:$T)*1000,"")</f>
        <v>1533620.9517254881</v>
      </c>
      <c r="AE102" s="240">
        <f>IFERROR(_xlfn.XLOOKUP($D102,'Modelling New'!$D:$D,'Modelling New'!$O:$O),"")</f>
        <v>0.84001552713942795</v>
      </c>
      <c r="AF102" s="240">
        <f>IFERROR(_xlfn.XLOOKUP($D102,'Modelling New'!$D:$D,'Modelling New'!$W:$W),"")</f>
        <v>0.19069707329818469</v>
      </c>
      <c r="AG102" s="240">
        <f>IFERROR(_xlfn.XLOOKUP($D102,'Modelling New'!$D:$D,'Modelling New'!AE:AE),"")</f>
        <v>0.99750000000000005</v>
      </c>
      <c r="AH102" s="240">
        <f>IFERROR(_xlfn.XLOOKUP($D102,'Modelling New'!$D:$D,'Modelling New'!AF:AF),"")</f>
        <v>0.99750000000000005</v>
      </c>
      <c r="AI102" s="186"/>
      <c r="AJ102" s="186"/>
      <c r="AK102" s="227">
        <v>0.94899999999999995</v>
      </c>
      <c r="AL102" s="224">
        <f>IFERROR(Table13[[#This Row],[RA (%)]]*9270*58,"")</f>
        <v>510239.33999999997</v>
      </c>
      <c r="AM102" s="225"/>
      <c r="AN102" s="238"/>
      <c r="AO102" s="240"/>
      <c r="AP102" s="240"/>
      <c r="AQ102" s="240"/>
      <c r="AR102" s="242">
        <f>IFERROR(_xlfn.XLOOKUP($D102,'Modelling New'!$D:$D,'Modelling New'!$N:$N),"")</f>
        <v>335.09100000000001</v>
      </c>
    </row>
    <row r="103" spans="1:44">
      <c r="A103" s="233">
        <f t="shared" si="7"/>
        <v>45846</v>
      </c>
      <c r="B103" s="228">
        <f>YEAR(Table13[[#This Row],[Date]])+IF(MONTH(Table13[[#This Row],[Date]])&gt;=4,1,0)</f>
        <v>2026</v>
      </c>
      <c r="C103" s="186">
        <f>YEAR(Table13[[#This Row],[Date]])</f>
        <v>2025</v>
      </c>
      <c r="D103" s="234">
        <f>Table13[[#This Row],[Date]]-DAY(Table13[[#This Row],[Date]])+1</f>
        <v>45839</v>
      </c>
      <c r="E103" s="186">
        <f t="shared" si="8"/>
        <v>31</v>
      </c>
      <c r="F103" s="235">
        <f>IFERROR(_xlfn.XLOOKUP($A103,'Raw_Data'!$B:$B,'Raw_Data'!$IX:$IX),"")</f>
        <v>13.116666666666665</v>
      </c>
      <c r="G103" s="236">
        <f>IFERROR(_xlfn.XLOOKUP($A103,'Raw_Data'!$B:$B,'Raw_Data'!IY:IY),"")</f>
        <v>4.9483420833333334</v>
      </c>
      <c r="H103" s="236">
        <f>IFERROR(_xlfn.XLOOKUP($A103,'Raw_Data'!$B:$B,'Raw_Data'!IZ:IZ),"")</f>
        <v>1.0367395555555554</v>
      </c>
      <c r="I103" s="236">
        <f>IFERROR(_xlfn.XLOOKUP($A103,'Raw_Data'!$B:$B,'Raw_Data'!JA:JA),"")</f>
        <v>4.8303417916666698</v>
      </c>
      <c r="J103" s="236">
        <f>IFERROR(_xlfn.XLOOKUP($A103,'Raw_Data'!$B:$B,'Raw_Data'!JB:JB),"")</f>
        <v>0.37795488888888878</v>
      </c>
      <c r="K103" s="236">
        <f>IFERROR(_xlfn.XLOOKUP($A103,'Raw_Data'!$B:$B,'Raw_Data'!JE:JE),"")</f>
        <v>32.073654746700726</v>
      </c>
      <c r="L103" s="236">
        <f>IFERROR(_xlfn.XLOOKUP($A103,'Raw_Data'!$B:$B,'Raw_Data'!JF:JF),"")</f>
        <v>42.740194678586626</v>
      </c>
      <c r="M103" s="236">
        <f>IFERROR(_xlfn.XLOOKUP($A103,'Raw_Data'!$B:$B,'Raw_Data'!JG:JG),"")</f>
        <v>3.7999622296636879</v>
      </c>
      <c r="N103" s="236">
        <f>IFERROR(_xlfn.XLOOKUP($A103,'Raw_Data'!$B:$B,'Raw_Data'!JH:JH),"")</f>
        <v>7.7530548333333327</v>
      </c>
      <c r="O103" s="237">
        <f>IFERROR(1-SUMIF(PA!$B:$B,$A103,PA!$AL:$AL)/($AA103+SUMIF(PA!$B:$B,$A103,PA!$AL:$AL)),"")</f>
        <v>0.99976446809598962</v>
      </c>
      <c r="P103" s="238"/>
      <c r="Q103" s="239"/>
      <c r="R103" s="240">
        <f>IFERROR(1-SUMIF(GA!$C:$C,$A103,GA!$X:$X)/($AA103+SUMIF(GA!$C:$C,$A103,GA!$X:$X)),"")</f>
        <v>1</v>
      </c>
      <c r="S103" s="186"/>
      <c r="T103" s="239"/>
      <c r="U103" s="237">
        <f t="shared" si="5"/>
        <v>0.85604628897165125</v>
      </c>
      <c r="V103" s="237">
        <f>IFERROR(_xlfn.XLOOKUP($A103,'Raw_Data'!$B:$B,'Raw_Data'!$JL:$JL),"")</f>
        <v>0.84405192248138527</v>
      </c>
      <c r="W103" s="240">
        <f t="shared" si="6"/>
        <v>0.17229150688420541</v>
      </c>
      <c r="X103" s="228">
        <f>IFERROR(_xlfn.XLOOKUP($A103,'Raw_Data'!$B:$B,'Raw_Data'!$JI:$JI),"")</f>
        <v>1396424.3</v>
      </c>
      <c r="Y103" s="228">
        <f>IFERROR(_xlfn.XLOOKUP($A103,'Raw_Data'!$B:$B,'Raw_Data'!IT:IT),"")</f>
        <v>1389800.0000000466</v>
      </c>
      <c r="Z103" s="228">
        <f>IFERROR(_xlfn.XLOOKUP($A103,'Raw_Data'!$B:$B,'Raw_Data'!IU:IU),"")</f>
        <v>4199.9999999999318</v>
      </c>
      <c r="AA103" s="228">
        <f>IFERROR(_xlfn.XLOOKUP($A103,'Raw_Data'!$B:$B,'Raw_Data'!IW:IW),"")</f>
        <v>1385600.0000000466</v>
      </c>
      <c r="AB103" s="228">
        <f>IFERROR(_xlfn.XLOOKUP($A103,'Raw_Data'!$B:$B,'Raw_Data'!I:I)/1000,"")</f>
        <v>335.09089</v>
      </c>
      <c r="AC103" s="241">
        <f>IFERROR(_xlfn.XLOOKUP($D103,'Modelling New'!$D:$D,'Modelling New'!$P:$P),"")</f>
        <v>5.4483870967741934</v>
      </c>
      <c r="AD103" s="228">
        <f>IFERROR(_xlfn.XLOOKUP($D103,'Modelling New'!$D:$D,'Modelling New'!$T:$T)*1000,"")</f>
        <v>1533620.9517254881</v>
      </c>
      <c r="AE103" s="240">
        <f>IFERROR(_xlfn.XLOOKUP($D103,'Modelling New'!$D:$D,'Modelling New'!$O:$O),"")</f>
        <v>0.84001552713942795</v>
      </c>
      <c r="AF103" s="240">
        <f>IFERROR(_xlfn.XLOOKUP($D103,'Modelling New'!$D:$D,'Modelling New'!$W:$W),"")</f>
        <v>0.19069707329818469</v>
      </c>
      <c r="AG103" s="240">
        <f>IFERROR(_xlfn.XLOOKUP($D103,'Modelling New'!$D:$D,'Modelling New'!AE:AE),"")</f>
        <v>0.99750000000000005</v>
      </c>
      <c r="AH103" s="240">
        <f>IFERROR(_xlfn.XLOOKUP($D103,'Modelling New'!$D:$D,'Modelling New'!AF:AF),"")</f>
        <v>0.99750000000000005</v>
      </c>
      <c r="AI103" s="186"/>
      <c r="AJ103" s="186"/>
      <c r="AK103" s="227">
        <v>0.95299999999999996</v>
      </c>
      <c r="AL103" s="224">
        <f>IFERROR(Table13[[#This Row],[RA (%)]]*9270*58,"")</f>
        <v>512389.98</v>
      </c>
      <c r="AM103" s="225"/>
      <c r="AN103" s="238"/>
      <c r="AO103" s="240"/>
      <c r="AP103" s="240"/>
      <c r="AQ103" s="240"/>
      <c r="AR103" s="242">
        <f>IFERROR(_xlfn.XLOOKUP($D103,'Modelling New'!$D:$D,'Modelling New'!$N:$N),"")</f>
        <v>335.09100000000001</v>
      </c>
    </row>
    <row r="104" spans="1:44">
      <c r="A104" s="233">
        <f t="shared" si="7"/>
        <v>45847</v>
      </c>
      <c r="B104" s="228">
        <f>YEAR(Table13[[#This Row],[Date]])+IF(MONTH(Table13[[#This Row],[Date]])&gt;=4,1,0)</f>
        <v>2026</v>
      </c>
      <c r="C104" s="186">
        <f>YEAR(Table13[[#This Row],[Date]])</f>
        <v>2025</v>
      </c>
      <c r="D104" s="234">
        <f>Table13[[#This Row],[Date]]-DAY(Table13[[#This Row],[Date]])+1</f>
        <v>45839</v>
      </c>
      <c r="E104" s="186">
        <f t="shared" si="8"/>
        <v>31</v>
      </c>
      <c r="F104" s="235">
        <f>IFERROR(_xlfn.XLOOKUP($A104,'Raw_Data'!$B:$B,'Raw_Data'!$IX:$IX),"")</f>
        <v>12.899999999999999</v>
      </c>
      <c r="G104" s="236">
        <f>IFERROR(_xlfn.XLOOKUP($A104,'Raw_Data'!$B:$B,'Raw_Data'!IY:IY),"")</f>
        <v>5.5107823611111089</v>
      </c>
      <c r="H104" s="236">
        <f>IFERROR(_xlfn.XLOOKUP($A104,'Raw_Data'!$B:$B,'Raw_Data'!IZ:IZ),"")</f>
        <v>1.1733423333333333</v>
      </c>
      <c r="I104" s="236">
        <f>IFERROR(_xlfn.XLOOKUP($A104,'Raw_Data'!$B:$B,'Raw_Data'!JA:JA),"")</f>
        <v>5.3204503749999983</v>
      </c>
      <c r="J104" s="236">
        <f>IFERROR(_xlfn.XLOOKUP($A104,'Raw_Data'!$B:$B,'Raw_Data'!JB:JB),"")</f>
        <v>0.43750002777777769</v>
      </c>
      <c r="K104" s="236">
        <f>IFERROR(_xlfn.XLOOKUP($A104,'Raw_Data'!$B:$B,'Raw_Data'!JE:JE),"")</f>
        <v>32.811770562770548</v>
      </c>
      <c r="L104" s="236">
        <f>IFERROR(_xlfn.XLOOKUP($A104,'Raw_Data'!$B:$B,'Raw_Data'!JF:JF),"")</f>
        <v>43.32319913419915</v>
      </c>
      <c r="M104" s="236">
        <f>IFERROR(_xlfn.XLOOKUP($A104,'Raw_Data'!$B:$B,'Raw_Data'!JG:JG),"")</f>
        <v>4.7939676909242435</v>
      </c>
      <c r="N104" s="236">
        <f>IFERROR(_xlfn.XLOOKUP($A104,'Raw_Data'!$B:$B,'Raw_Data'!JH:JH),"")</f>
        <v>9.0761115000000014</v>
      </c>
      <c r="O104" s="237">
        <f>IFERROR(1-SUMIF(PA!$B:$B,$A104,PA!$AL:$AL)/($AA104+SUMIF(PA!$B:$B,$A104,PA!$AL:$AL)),"")</f>
        <v>0.99982687742090148</v>
      </c>
      <c r="P104" s="238"/>
      <c r="Q104" s="239"/>
      <c r="R104" s="240">
        <f>IFERROR(1-SUMIF(GA!$C:$C,$A104,GA!$X:$X)/($AA104+SUMIF(GA!$C:$C,$A104,GA!$X:$X)),"")</f>
        <v>1</v>
      </c>
      <c r="S104" s="186"/>
      <c r="T104" s="239"/>
      <c r="U104" s="237">
        <f t="shared" si="5"/>
        <v>0.84879754375825134</v>
      </c>
      <c r="V104" s="237">
        <f>IFERROR(_xlfn.XLOOKUP($A104,'Raw_Data'!$B:$B,'Raw_Data'!$JL:$JL),"")</f>
        <v>0.83688193032531588</v>
      </c>
      <c r="W104" s="240">
        <f t="shared" si="6"/>
        <v>0.18816605041615272</v>
      </c>
      <c r="X104" s="228">
        <f>IFERROR(_xlfn.XLOOKUP($A104,'Raw_Data'!$B:$B,'Raw_Data'!$JI:$JI),"")</f>
        <v>1524857.1999999997</v>
      </c>
      <c r="Y104" s="228">
        <f>IFERROR(_xlfn.XLOOKUP($A104,'Raw_Data'!$B:$B,'Raw_Data'!IT:IT),"")</f>
        <v>1517599.9999999767</v>
      </c>
      <c r="Z104" s="228">
        <f>IFERROR(_xlfn.XLOOKUP($A104,'Raw_Data'!$B:$B,'Raw_Data'!IU:IU),"")</f>
        <v>4334.00000000006</v>
      </c>
      <c r="AA104" s="228">
        <f>IFERROR(_xlfn.XLOOKUP($A104,'Raw_Data'!$B:$B,'Raw_Data'!IW:IW),"")</f>
        <v>1513265.9999999767</v>
      </c>
      <c r="AB104" s="228">
        <f>IFERROR(_xlfn.XLOOKUP($A104,'Raw_Data'!$B:$B,'Raw_Data'!I:I)/1000,"")</f>
        <v>335.09089</v>
      </c>
      <c r="AC104" s="241">
        <f>IFERROR(_xlfn.XLOOKUP($D104,'Modelling New'!$D:$D,'Modelling New'!$P:$P),"")</f>
        <v>5.4483870967741934</v>
      </c>
      <c r="AD104" s="228">
        <f>IFERROR(_xlfn.XLOOKUP($D104,'Modelling New'!$D:$D,'Modelling New'!$T:$T)*1000,"")</f>
        <v>1533620.9517254881</v>
      </c>
      <c r="AE104" s="240">
        <f>IFERROR(_xlfn.XLOOKUP($D104,'Modelling New'!$D:$D,'Modelling New'!$O:$O),"")</f>
        <v>0.84001552713942795</v>
      </c>
      <c r="AF104" s="240">
        <f>IFERROR(_xlfn.XLOOKUP($D104,'Modelling New'!$D:$D,'Modelling New'!$W:$W),"")</f>
        <v>0.19069707329818469</v>
      </c>
      <c r="AG104" s="240">
        <f>IFERROR(_xlfn.XLOOKUP($D104,'Modelling New'!$D:$D,'Modelling New'!AE:AE),"")</f>
        <v>0.99750000000000005</v>
      </c>
      <c r="AH104" s="240">
        <f>IFERROR(_xlfn.XLOOKUP($D104,'Modelling New'!$D:$D,'Modelling New'!AF:AF),"")</f>
        <v>0.99750000000000005</v>
      </c>
      <c r="AI104" s="186"/>
      <c r="AJ104" s="186"/>
      <c r="AK104" s="227">
        <v>0.97199999999999998</v>
      </c>
      <c r="AL104" s="224">
        <f>IFERROR(Table13[[#This Row],[RA (%)]]*9270*58,"")</f>
        <v>522605.52</v>
      </c>
      <c r="AM104" s="225"/>
      <c r="AN104" s="238"/>
      <c r="AO104" s="240"/>
      <c r="AP104" s="240"/>
      <c r="AQ104" s="240"/>
      <c r="AR104" s="242">
        <f>IFERROR(_xlfn.XLOOKUP($D104,'Modelling New'!$D:$D,'Modelling New'!$N:$N),"")</f>
        <v>335.09100000000001</v>
      </c>
    </row>
    <row r="105" spans="1:44">
      <c r="A105" s="233">
        <f t="shared" si="7"/>
        <v>45848</v>
      </c>
      <c r="B105" s="228">
        <f>YEAR(Table13[[#This Row],[Date]])+IF(MONTH(Table13[[#This Row],[Date]])&gt;=4,1,0)</f>
        <v>2026</v>
      </c>
      <c r="C105" s="186">
        <f>YEAR(Table13[[#This Row],[Date]])</f>
        <v>2025</v>
      </c>
      <c r="D105" s="234">
        <f>Table13[[#This Row],[Date]]-DAY(Table13[[#This Row],[Date]])+1</f>
        <v>45839</v>
      </c>
      <c r="E105" s="186">
        <f t="shared" si="8"/>
        <v>31</v>
      </c>
      <c r="F105" s="235">
        <f>IFERROR(_xlfn.XLOOKUP($A105,'Raw_Data'!$B:$B,'Raw_Data'!$IX:$IX),"")</f>
        <v>12.966666666666669</v>
      </c>
      <c r="G105" s="236">
        <f>IFERROR(_xlfn.XLOOKUP($A105,'Raw_Data'!$B:$B,'Raw_Data'!IY:IY),"")</f>
        <v>5.7372585000000003</v>
      </c>
      <c r="H105" s="236">
        <f>IFERROR(_xlfn.XLOOKUP($A105,'Raw_Data'!$B:$B,'Raw_Data'!IZ:IZ),"")</f>
        <v>1.2260849999999999</v>
      </c>
      <c r="I105" s="236">
        <f>IFERROR(_xlfn.XLOOKUP($A105,'Raw_Data'!$B:$B,'Raw_Data'!JA:JA),"")</f>
        <v>5.5821594166666682</v>
      </c>
      <c r="J105" s="236">
        <f>IFERROR(_xlfn.XLOOKUP($A105,'Raw_Data'!$B:$B,'Raw_Data'!JB:JB),"")</f>
        <v>0.44307736111111135</v>
      </c>
      <c r="K105" s="236">
        <f>IFERROR(_xlfn.XLOOKUP($A105,'Raw_Data'!$B:$B,'Raw_Data'!JE:JE),"")</f>
        <v>32.409936224489805</v>
      </c>
      <c r="L105" s="236">
        <f>IFERROR(_xlfn.XLOOKUP($A105,'Raw_Data'!$B:$B,'Raw_Data'!JF:JF),"")</f>
        <v>44.033333333333331</v>
      </c>
      <c r="M105" s="236">
        <f>IFERROR(_xlfn.XLOOKUP($A105,'Raw_Data'!$B:$B,'Raw_Data'!JG:JG),"")</f>
        <v>3.6675451942368213</v>
      </c>
      <c r="N105" s="236">
        <f>IFERROR(_xlfn.XLOOKUP($A105,'Raw_Data'!$B:$B,'Raw_Data'!JH:JH),"")</f>
        <v>7.8213881666666651</v>
      </c>
      <c r="O105" s="237">
        <f>IFERROR(1-SUMIF(PA!$B:$B,$A105,PA!$AL:$AL)/($AA105+SUMIF(PA!$B:$B,$A105,PA!$AL:$AL)),"")</f>
        <v>0.99527901760025494</v>
      </c>
      <c r="P105" s="238"/>
      <c r="Q105" s="239"/>
      <c r="R105" s="240">
        <f>IFERROR(1-SUMIF(GA!$C:$C,$A105,GA!$X:$X)/($AA105+SUMIF(GA!$C:$C,$A105,GA!$X:$X)),"")</f>
        <v>1</v>
      </c>
      <c r="S105" s="186"/>
      <c r="T105" s="239"/>
      <c r="U105" s="237">
        <f t="shared" si="5"/>
        <v>0.8348788027762466</v>
      </c>
      <c r="V105" s="237">
        <f>IFERROR(_xlfn.XLOOKUP($A105,'Raw_Data'!$B:$B,'Raw_Data'!$JL:$JL),"")</f>
        <v>0.84154851277287634</v>
      </c>
      <c r="W105" s="240">
        <f t="shared" si="6"/>
        <v>0.19418444044553412</v>
      </c>
      <c r="X105" s="228">
        <f>IFERROR(_xlfn.XLOOKUP($A105,'Raw_Data'!$B:$B,'Raw_Data'!$JI:$JI),"")</f>
        <v>1573421.7000000007</v>
      </c>
      <c r="Y105" s="228">
        <f>IFERROR(_xlfn.XLOOKUP($A105,'Raw_Data'!$B:$B,'Raw_Data'!IT:IT),"")</f>
        <v>1565867.0000000275</v>
      </c>
      <c r="Z105" s="228">
        <f>IFERROR(_xlfn.XLOOKUP($A105,'Raw_Data'!$B:$B,'Raw_Data'!IU:IU),"")</f>
        <v>4199.9999999999318</v>
      </c>
      <c r="AA105" s="228">
        <f>IFERROR(_xlfn.XLOOKUP($A105,'Raw_Data'!$B:$B,'Raw_Data'!IW:IW),"")</f>
        <v>1561667.0000000275</v>
      </c>
      <c r="AB105" s="228">
        <f>IFERROR(_xlfn.XLOOKUP($A105,'Raw_Data'!$B:$B,'Raw_Data'!I:I)/1000,"")</f>
        <v>337.33884499999954</v>
      </c>
      <c r="AC105" s="241">
        <f>IFERROR(_xlfn.XLOOKUP($D105,'Modelling New'!$D:$D,'Modelling New'!$P:$P),"")</f>
        <v>5.4483870967741934</v>
      </c>
      <c r="AD105" s="228">
        <f>IFERROR(_xlfn.XLOOKUP($D105,'Modelling New'!$D:$D,'Modelling New'!$T:$T)*1000,"")</f>
        <v>1533620.9517254881</v>
      </c>
      <c r="AE105" s="240">
        <f>IFERROR(_xlfn.XLOOKUP($D105,'Modelling New'!$D:$D,'Modelling New'!$O:$O),"")</f>
        <v>0.84001552713942795</v>
      </c>
      <c r="AF105" s="240">
        <f>IFERROR(_xlfn.XLOOKUP($D105,'Modelling New'!$D:$D,'Modelling New'!$W:$W),"")</f>
        <v>0.19069707329818469</v>
      </c>
      <c r="AG105" s="240">
        <f>IFERROR(_xlfn.XLOOKUP($D105,'Modelling New'!$D:$D,'Modelling New'!AE:AE),"")</f>
        <v>0.99750000000000005</v>
      </c>
      <c r="AH105" s="240">
        <f>IFERROR(_xlfn.XLOOKUP($D105,'Modelling New'!$D:$D,'Modelling New'!AF:AF),"")</f>
        <v>0.99750000000000005</v>
      </c>
      <c r="AI105" s="186"/>
      <c r="AJ105" s="186"/>
      <c r="AK105" s="227">
        <v>0.96299999999999997</v>
      </c>
      <c r="AL105" s="224">
        <f>IFERROR(Table13[[#This Row],[RA (%)]]*9270*58,"")</f>
        <v>517766.58</v>
      </c>
      <c r="AM105" s="225"/>
      <c r="AN105" s="238"/>
      <c r="AO105" s="240"/>
      <c r="AP105" s="240"/>
      <c r="AQ105" s="240"/>
      <c r="AR105" s="242">
        <f>IFERROR(_xlfn.XLOOKUP($D105,'Modelling New'!$D:$D,'Modelling New'!$N:$N),"")</f>
        <v>335.09100000000001</v>
      </c>
    </row>
    <row r="106" spans="1:44">
      <c r="A106" s="233">
        <f t="shared" si="7"/>
        <v>45849</v>
      </c>
      <c r="B106" s="228">
        <f>YEAR(Table13[[#This Row],[Date]])+IF(MONTH(Table13[[#This Row],[Date]])&gt;=4,1,0)</f>
        <v>2026</v>
      </c>
      <c r="C106" s="186">
        <f>YEAR(Table13[[#This Row],[Date]])</f>
        <v>2025</v>
      </c>
      <c r="D106" s="234">
        <f>Table13[[#This Row],[Date]]-DAY(Table13[[#This Row],[Date]])+1</f>
        <v>45839</v>
      </c>
      <c r="E106" s="186">
        <f t="shared" si="8"/>
        <v>31</v>
      </c>
      <c r="F106" s="235">
        <f>IFERROR(_xlfn.XLOOKUP($A106,'Raw_Data'!$B:$B,'Raw_Data'!$IX:$IX),"")</f>
        <v>11.833333333333332</v>
      </c>
      <c r="G106" s="236">
        <f>IFERROR(_xlfn.XLOOKUP($A106,'Raw_Data'!$B:$B,'Raw_Data'!IY:IY),"")</f>
        <v>6.4469339722222196</v>
      </c>
      <c r="H106" s="236">
        <f>IFERROR(_xlfn.XLOOKUP($A106,'Raw_Data'!$B:$B,'Raw_Data'!IZ:IZ),"")</f>
        <v>1.392821083333333</v>
      </c>
      <c r="I106" s="236">
        <f>IFERROR(_xlfn.XLOOKUP($A106,'Raw_Data'!$B:$B,'Raw_Data'!JA:JA),"")</f>
        <v>6.2681744999999962</v>
      </c>
      <c r="J106" s="236">
        <f>IFERROR(_xlfn.XLOOKUP($A106,'Raw_Data'!$B:$B,'Raw_Data'!JB:JB),"")</f>
        <v>0.46283111111111119</v>
      </c>
      <c r="K106" s="236">
        <f>IFERROR(_xlfn.XLOOKUP($A106,'Raw_Data'!$B:$B,'Raw_Data'!JE:JE),"")</f>
        <v>34.245641025641021</v>
      </c>
      <c r="L106" s="236">
        <f>IFERROR(_xlfn.XLOOKUP($A106,'Raw_Data'!$B:$B,'Raw_Data'!JF:JF),"")</f>
        <v>48.120149184149192</v>
      </c>
      <c r="M106" s="236">
        <f>IFERROR(_xlfn.XLOOKUP($A106,'Raw_Data'!$B:$B,'Raw_Data'!JG:JG),"")</f>
        <v>3.3006517554242438</v>
      </c>
      <c r="N106" s="236">
        <f>IFERROR(_xlfn.XLOOKUP($A106,'Raw_Data'!$B:$B,'Raw_Data'!JH:JH),"")</f>
        <v>8.1261101666666669</v>
      </c>
      <c r="O106" s="237">
        <f>IFERROR(1-SUMIF(PA!$B:$B,$A106,PA!$AL:$AL)/($AA106+SUMIF(PA!$B:$B,$A106,PA!$AL:$AL)),"")</f>
        <v>1</v>
      </c>
      <c r="P106" s="238"/>
      <c r="Q106" s="239"/>
      <c r="R106" s="240">
        <f>IFERROR(1-SUMIF(GA!$C:$C,$A106,GA!$X:$X)/($AA106+SUMIF(GA!$C:$C,$A106,GA!$X:$X)),"")</f>
        <v>1</v>
      </c>
      <c r="S106" s="186"/>
      <c r="T106" s="239"/>
      <c r="U106" s="237">
        <f t="shared" si="5"/>
        <v>0.82291930479894704</v>
      </c>
      <c r="V106" s="237">
        <f>IFERROR(_xlfn.XLOOKUP($A106,'Raw_Data'!$B:$B,'Raw_Data'!$JL:$JL),"")</f>
        <v>0.83131894478296542</v>
      </c>
      <c r="W106" s="240">
        <f t="shared" si="6"/>
        <v>0.21492507507910352</v>
      </c>
      <c r="X106" s="228">
        <f>IFERROR(_xlfn.XLOOKUP($A106,'Raw_Data'!$B:$B,'Raw_Data'!$JI:$JI),"")</f>
        <v>1743034.9000000001</v>
      </c>
      <c r="Y106" s="228">
        <f>IFERROR(_xlfn.XLOOKUP($A106,'Raw_Data'!$B:$B,'Raw_Data'!IT:IT),"")</f>
        <v>1733399.9999999651</v>
      </c>
      <c r="Z106" s="228">
        <f>IFERROR(_xlfn.XLOOKUP($A106,'Raw_Data'!$B:$B,'Raw_Data'!IU:IU),"")</f>
        <v>4932.9999999999927</v>
      </c>
      <c r="AA106" s="228">
        <f>IFERROR(_xlfn.XLOOKUP($A106,'Raw_Data'!$B:$B,'Raw_Data'!IW:IW),"")</f>
        <v>1728466.9999999651</v>
      </c>
      <c r="AB106" s="228">
        <f>IFERROR(_xlfn.XLOOKUP($A106,'Raw_Data'!$B:$B,'Raw_Data'!I:I)/1000,"")</f>
        <v>337.33884499999954</v>
      </c>
      <c r="AC106" s="241">
        <f>IFERROR(_xlfn.XLOOKUP($D106,'Modelling New'!$D:$D,'Modelling New'!$P:$P),"")</f>
        <v>5.4483870967741934</v>
      </c>
      <c r="AD106" s="228">
        <f>IFERROR(_xlfn.XLOOKUP($D106,'Modelling New'!$D:$D,'Modelling New'!$T:$T)*1000,"")</f>
        <v>1533620.9517254881</v>
      </c>
      <c r="AE106" s="240">
        <f>IFERROR(_xlfn.XLOOKUP($D106,'Modelling New'!$D:$D,'Modelling New'!$O:$O),"")</f>
        <v>0.84001552713942795</v>
      </c>
      <c r="AF106" s="240">
        <f>IFERROR(_xlfn.XLOOKUP($D106,'Modelling New'!$D:$D,'Modelling New'!$W:$W),"")</f>
        <v>0.19069707329818469</v>
      </c>
      <c r="AG106" s="240">
        <f>IFERROR(_xlfn.XLOOKUP($D106,'Modelling New'!$D:$D,'Modelling New'!AE:AE),"")</f>
        <v>0.99750000000000005</v>
      </c>
      <c r="AH106" s="240">
        <f>IFERROR(_xlfn.XLOOKUP($D106,'Modelling New'!$D:$D,'Modelling New'!AF:AF),"")</f>
        <v>0.99750000000000005</v>
      </c>
      <c r="AI106" s="186"/>
      <c r="AJ106" s="186"/>
      <c r="AK106" s="227">
        <v>0.98299999999999998</v>
      </c>
      <c r="AL106" s="224">
        <f>IFERROR(Table13[[#This Row],[RA (%)]]*9270*58,"")</f>
        <v>528519.78</v>
      </c>
      <c r="AM106" s="225"/>
      <c r="AN106" s="238"/>
      <c r="AO106" s="240"/>
      <c r="AP106" s="240"/>
      <c r="AQ106" s="240"/>
      <c r="AR106" s="242">
        <f>IFERROR(_xlfn.XLOOKUP($D106,'Modelling New'!$D:$D,'Modelling New'!$N:$N),"")</f>
        <v>335.09100000000001</v>
      </c>
    </row>
    <row r="107" spans="1:44">
      <c r="A107" s="233">
        <f t="shared" si="7"/>
        <v>45850</v>
      </c>
      <c r="B107" s="228">
        <f>YEAR(Table13[[#This Row],[Date]])+IF(MONTH(Table13[[#This Row],[Date]])&gt;=4,1,0)</f>
        <v>2026</v>
      </c>
      <c r="C107" s="186">
        <f>YEAR(Table13[[#This Row],[Date]])</f>
        <v>2025</v>
      </c>
      <c r="D107" s="234">
        <f>Table13[[#This Row],[Date]]-DAY(Table13[[#This Row],[Date]])+1</f>
        <v>45839</v>
      </c>
      <c r="E107" s="186">
        <f t="shared" si="8"/>
        <v>31</v>
      </c>
      <c r="F107" s="235">
        <f>IFERROR(_xlfn.XLOOKUP($A107,'Raw_Data'!$B:$B,'Raw_Data'!$IX:$IX),"")</f>
        <v>13.016666666666666</v>
      </c>
      <c r="G107" s="236">
        <f>IFERROR(_xlfn.XLOOKUP($A107,'Raw_Data'!$B:$B,'Raw_Data'!IY:IY),"")</f>
        <v>4.3948218611111107</v>
      </c>
      <c r="H107" s="236">
        <f>IFERROR(_xlfn.XLOOKUP($A107,'Raw_Data'!$B:$B,'Raw_Data'!IZ:IZ),"")</f>
        <v>0.73676855555555532</v>
      </c>
      <c r="I107" s="236">
        <f>IFERROR(_xlfn.XLOOKUP($A107,'Raw_Data'!$B:$B,'Raw_Data'!JA:JA),"")</f>
        <v>4.1736645833333323</v>
      </c>
      <c r="J107" s="236">
        <f>IFERROR(_xlfn.XLOOKUP($A107,'Raw_Data'!$B:$B,'Raw_Data'!JB:JB),"")</f>
        <v>0.29762983333333309</v>
      </c>
      <c r="K107" s="236">
        <f>IFERROR(_xlfn.XLOOKUP($A107,'Raw_Data'!$B:$B,'Raw_Data'!JE:JE),"")</f>
        <v>29.592574967405465</v>
      </c>
      <c r="L107" s="236">
        <f>IFERROR(_xlfn.XLOOKUP($A107,'Raw_Data'!$B:$B,'Raw_Data'!JF:JF),"")</f>
        <v>38.67488483268145</v>
      </c>
      <c r="M107" s="236">
        <f>IFERROR(_xlfn.XLOOKUP($A107,'Raw_Data'!$B:$B,'Raw_Data'!JG:JG),"")</f>
        <v>1.9547315717905274</v>
      </c>
      <c r="N107" s="236">
        <f>IFERROR(_xlfn.XLOOKUP($A107,'Raw_Data'!$B:$B,'Raw_Data'!JH:JH),"")</f>
        <v>6.4002775000000005</v>
      </c>
      <c r="O107" s="237">
        <f>IFERROR(1-SUMIF(PA!$B:$B,$A107,PA!$AL:$AL)/($AA107+SUMIF(PA!$B:$B,$A107,PA!$AL:$AL)),"")</f>
        <v>0.99352221640478688</v>
      </c>
      <c r="P107" s="238"/>
      <c r="Q107" s="239"/>
      <c r="R107" s="240">
        <f>IFERROR(1-SUMIF(GA!$C:$C,$A107,GA!$X:$X)/($AA107+SUMIF(GA!$C:$C,$A107,GA!$X:$X)),"")</f>
        <v>1</v>
      </c>
      <c r="S107" s="186"/>
      <c r="T107" s="239"/>
      <c r="U107" s="237">
        <f t="shared" si="5"/>
        <v>0.86551110904497375</v>
      </c>
      <c r="V107" s="237">
        <f>IFERROR(_xlfn.XLOOKUP($A107,'Raw_Data'!$B:$B,'Raw_Data'!$JL:$JL),"")</f>
        <v>0.85472837814080582</v>
      </c>
      <c r="W107" s="240">
        <f t="shared" si="6"/>
        <v>0.15051471092927338</v>
      </c>
      <c r="X107" s="228">
        <f>IFERROR(_xlfn.XLOOKUP($A107,'Raw_Data'!$B:$B,'Raw_Data'!$JI:$JI),"")</f>
        <v>1220011.3000000003</v>
      </c>
      <c r="Y107" s="228">
        <f>IFERROR(_xlfn.XLOOKUP($A107,'Raw_Data'!$B:$B,'Raw_Data'!IT:IT),"")</f>
        <v>1214867.0000000275</v>
      </c>
      <c r="Z107" s="228">
        <f>IFERROR(_xlfn.XLOOKUP($A107,'Raw_Data'!$B:$B,'Raw_Data'!IU:IU),"")</f>
        <v>4400.0000000000909</v>
      </c>
      <c r="AA107" s="228">
        <f>IFERROR(_xlfn.XLOOKUP($A107,'Raw_Data'!$B:$B,'Raw_Data'!IW:IW),"")</f>
        <v>1210467.0000000275</v>
      </c>
      <c r="AB107" s="228">
        <f>IFERROR(_xlfn.XLOOKUP($A107,'Raw_Data'!$B:$B,'Raw_Data'!I:I)/1000,"")</f>
        <v>337.33884499999954</v>
      </c>
      <c r="AC107" s="241">
        <f>IFERROR(_xlfn.XLOOKUP($D107,'Modelling New'!$D:$D,'Modelling New'!$P:$P),"")</f>
        <v>5.4483870967741934</v>
      </c>
      <c r="AD107" s="228">
        <f>IFERROR(_xlfn.XLOOKUP($D107,'Modelling New'!$D:$D,'Modelling New'!$T:$T)*1000,"")</f>
        <v>1533620.9517254881</v>
      </c>
      <c r="AE107" s="240">
        <f>IFERROR(_xlfn.XLOOKUP($D107,'Modelling New'!$D:$D,'Modelling New'!$O:$O),"")</f>
        <v>0.84001552713942795</v>
      </c>
      <c r="AF107" s="240">
        <f>IFERROR(_xlfn.XLOOKUP($D107,'Modelling New'!$D:$D,'Modelling New'!$W:$W),"")</f>
        <v>0.19069707329818469</v>
      </c>
      <c r="AG107" s="240">
        <f>IFERROR(_xlfn.XLOOKUP($D107,'Modelling New'!$D:$D,'Modelling New'!AE:AE),"")</f>
        <v>0.99750000000000005</v>
      </c>
      <c r="AH107" s="240">
        <f>IFERROR(_xlfn.XLOOKUP($D107,'Modelling New'!$D:$D,'Modelling New'!AF:AF),"")</f>
        <v>0.99750000000000005</v>
      </c>
      <c r="AI107" s="186"/>
      <c r="AJ107" s="186"/>
      <c r="AK107" s="227">
        <v>0.45</v>
      </c>
      <c r="AL107" s="224">
        <f>IFERROR(Table13[[#This Row],[RA (%)]]*9270*58,"")</f>
        <v>241947</v>
      </c>
      <c r="AM107" s="225"/>
      <c r="AN107" s="238"/>
      <c r="AO107" s="240"/>
      <c r="AP107" s="240"/>
      <c r="AQ107" s="240"/>
      <c r="AR107" s="242">
        <f>IFERROR(_xlfn.XLOOKUP($D107,'Modelling New'!$D:$D,'Modelling New'!$N:$N),"")</f>
        <v>335.09100000000001</v>
      </c>
    </row>
    <row r="108" spans="1:44">
      <c r="A108" s="233">
        <f t="shared" si="7"/>
        <v>45851</v>
      </c>
      <c r="B108" s="228">
        <f>YEAR(Table13[[#This Row],[Date]])+IF(MONTH(Table13[[#This Row],[Date]])&gt;=4,1,0)</f>
        <v>2026</v>
      </c>
      <c r="C108" s="186">
        <f>YEAR(Table13[[#This Row],[Date]])</f>
        <v>2025</v>
      </c>
      <c r="D108" s="234">
        <f>Table13[[#This Row],[Date]]-DAY(Table13[[#This Row],[Date]])+1</f>
        <v>45839</v>
      </c>
      <c r="E108" s="186">
        <f t="shared" si="8"/>
        <v>31</v>
      </c>
      <c r="F108" s="235">
        <f>IFERROR(_xlfn.XLOOKUP($A108,'Raw_Data'!$B:$B,'Raw_Data'!$IX:$IX),"")</f>
        <v>13.200000000000001</v>
      </c>
      <c r="G108" s="236">
        <f>IFERROR(_xlfn.XLOOKUP($A108,'Raw_Data'!$B:$B,'Raw_Data'!IY:IY),"")</f>
        <v>7.0248826111111109</v>
      </c>
      <c r="H108" s="236">
        <f>IFERROR(_xlfn.XLOOKUP($A108,'Raw_Data'!$B:$B,'Raw_Data'!IZ:IZ),"")</f>
        <v>1.3590255833333345</v>
      </c>
      <c r="I108" s="236">
        <f>IFERROR(_xlfn.XLOOKUP($A108,'Raw_Data'!$B:$B,'Raw_Data'!JA:JA),"")</f>
        <v>6.8296409166666638</v>
      </c>
      <c r="J108" s="236">
        <f>IFERROR(_xlfn.XLOOKUP($A108,'Raw_Data'!$B:$B,'Raw_Data'!JB:JB),"")</f>
        <v>0.43259813888888882</v>
      </c>
      <c r="K108" s="236">
        <f>IFERROR(_xlfn.XLOOKUP($A108,'Raw_Data'!$B:$B,'Raw_Data'!JE:JE),"")</f>
        <v>34.093863443596256</v>
      </c>
      <c r="L108" s="236">
        <f>IFERROR(_xlfn.XLOOKUP($A108,'Raw_Data'!$B:$B,'Raw_Data'!JF:JF),"")</f>
        <v>46.20000000000001</v>
      </c>
      <c r="M108" s="236">
        <f>IFERROR(_xlfn.XLOOKUP($A108,'Raw_Data'!$B:$B,'Raw_Data'!JG:JG),"")</f>
        <v>4.1950927776060221</v>
      </c>
      <c r="N108" s="236">
        <f>IFERROR(_xlfn.XLOOKUP($A108,'Raw_Data'!$B:$B,'Raw_Data'!JH:JH),"")</f>
        <v>7.437777333333333</v>
      </c>
      <c r="O108" s="237">
        <f>IFERROR(1-SUMIF(PA!$B:$B,$A108,PA!$AL:$AL)/($AA108+SUMIF(PA!$B:$B,$A108,PA!$AL:$AL)),"")</f>
        <v>0.96429330473985753</v>
      </c>
      <c r="P108" s="238"/>
      <c r="Q108" s="239"/>
      <c r="R108" s="240">
        <f>IFERROR(1-SUMIF(GA!$C:$C,$A108,GA!$X:$X)/($AA108+SUMIF(GA!$C:$C,$A108,GA!$X:$X)),"")</f>
        <v>1</v>
      </c>
      <c r="S108" s="186"/>
      <c r="T108" s="239"/>
      <c r="U108" s="237">
        <f t="shared" si="5"/>
        <v>0.79913746149894971</v>
      </c>
      <c r="V108" s="237">
        <f>IFERROR(_xlfn.XLOOKUP($A108,'Raw_Data'!$B:$B,'Raw_Data'!$JL:$JL),"")</f>
        <v>0.80614049957509859</v>
      </c>
      <c r="W108" s="240">
        <f t="shared" si="6"/>
        <v>0.22740924604559823</v>
      </c>
      <c r="X108" s="228">
        <f>IFERROR(_xlfn.XLOOKUP($A108,'Raw_Data'!$B:$B,'Raw_Data'!$JI:$JI),"")</f>
        <v>1845082.2999999996</v>
      </c>
      <c r="Y108" s="228">
        <f>IFERROR(_xlfn.XLOOKUP($A108,'Raw_Data'!$B:$B,'Raw_Data'!IT:IT),"")</f>
        <v>1833333.9999999735</v>
      </c>
      <c r="Z108" s="228">
        <f>IFERROR(_xlfn.XLOOKUP($A108,'Raw_Data'!$B:$B,'Raw_Data'!IU:IU),"")</f>
        <v>4466.9999999999845</v>
      </c>
      <c r="AA108" s="228">
        <f>IFERROR(_xlfn.XLOOKUP($A108,'Raw_Data'!$B:$B,'Raw_Data'!IW:IW),"")</f>
        <v>1828866.9999999735</v>
      </c>
      <c r="AB108" s="228">
        <f>IFERROR(_xlfn.XLOOKUP($A108,'Raw_Data'!$B:$B,'Raw_Data'!I:I)/1000,"")</f>
        <v>337.33884499999954</v>
      </c>
      <c r="AC108" s="241">
        <f>IFERROR(_xlfn.XLOOKUP($D108,'Modelling New'!$D:$D,'Modelling New'!$P:$P),"")</f>
        <v>5.4483870967741934</v>
      </c>
      <c r="AD108" s="228">
        <f>IFERROR(_xlfn.XLOOKUP($D108,'Modelling New'!$D:$D,'Modelling New'!$T:$T)*1000,"")</f>
        <v>1533620.9517254881</v>
      </c>
      <c r="AE108" s="240">
        <f>IFERROR(_xlfn.XLOOKUP($D108,'Modelling New'!$D:$D,'Modelling New'!$O:$O),"")</f>
        <v>0.84001552713942795</v>
      </c>
      <c r="AF108" s="240">
        <f>IFERROR(_xlfn.XLOOKUP($D108,'Modelling New'!$D:$D,'Modelling New'!$W:$W),"")</f>
        <v>0.19069707329818469</v>
      </c>
      <c r="AG108" s="240">
        <f>IFERROR(_xlfn.XLOOKUP($D108,'Modelling New'!$D:$D,'Modelling New'!AE:AE),"")</f>
        <v>0.99750000000000005</v>
      </c>
      <c r="AH108" s="240">
        <f>IFERROR(_xlfn.XLOOKUP($D108,'Modelling New'!$D:$D,'Modelling New'!AF:AF),"")</f>
        <v>0.99750000000000005</v>
      </c>
      <c r="AI108" s="186"/>
      <c r="AJ108" s="186"/>
      <c r="AK108" s="227">
        <v>0.97499999999999998</v>
      </c>
      <c r="AL108" s="224">
        <f>IFERROR(Table13[[#This Row],[RA (%)]]*9270*58,"")</f>
        <v>524218.5</v>
      </c>
      <c r="AM108" s="225"/>
      <c r="AN108" s="238"/>
      <c r="AO108" s="240"/>
      <c r="AP108" s="240"/>
      <c r="AQ108" s="240"/>
      <c r="AR108" s="242">
        <f>IFERROR(_xlfn.XLOOKUP($D108,'Modelling New'!$D:$D,'Modelling New'!$N:$N),"")</f>
        <v>335.09100000000001</v>
      </c>
    </row>
    <row r="109" spans="1:44">
      <c r="A109" s="233">
        <f t="shared" si="7"/>
        <v>45852</v>
      </c>
      <c r="B109" s="228">
        <f>YEAR(Table13[[#This Row],[Date]])+IF(MONTH(Table13[[#This Row],[Date]])&gt;=4,1,0)</f>
        <v>2026</v>
      </c>
      <c r="C109" s="186">
        <f>YEAR(Table13[[#This Row],[Date]])</f>
        <v>2025</v>
      </c>
      <c r="D109" s="234">
        <f>Table13[[#This Row],[Date]]-DAY(Table13[[#This Row],[Date]])+1</f>
        <v>45839</v>
      </c>
      <c r="E109" s="186">
        <f t="shared" si="8"/>
        <v>31</v>
      </c>
      <c r="F109" s="235">
        <f>IFERROR(_xlfn.XLOOKUP($A109,'Raw_Data'!$B:$B,'Raw_Data'!$IX:$IX),"")</f>
        <v>12.75</v>
      </c>
      <c r="G109" s="236">
        <f>IFERROR(_xlfn.XLOOKUP($A109,'Raw_Data'!$B:$B,'Raw_Data'!IY:IY),"")</f>
        <v>6.0107361111111111</v>
      </c>
      <c r="H109" s="236">
        <f>IFERROR(_xlfn.XLOOKUP($A109,'Raw_Data'!$B:$B,'Raw_Data'!IZ:IZ),"")</f>
        <v>1.2329761388888882</v>
      </c>
      <c r="I109" s="236">
        <f>IFERROR(_xlfn.XLOOKUP($A109,'Raw_Data'!$B:$B,'Raw_Data'!JA:JA),"")</f>
        <v>5.8194649583333344</v>
      </c>
      <c r="J109" s="236">
        <f>IFERROR(_xlfn.XLOOKUP($A109,'Raw_Data'!$B:$B,'Raw_Data'!JB:JB),"")</f>
        <v>0.4206373888888888</v>
      </c>
      <c r="K109" s="236">
        <f>IFERROR(_xlfn.XLOOKUP($A109,'Raw_Data'!$B:$B,'Raw_Data'!JE:JE),"")</f>
        <v>33.270776909722223</v>
      </c>
      <c r="L109" s="236">
        <f>IFERROR(_xlfn.XLOOKUP($A109,'Raw_Data'!$B:$B,'Raw_Data'!JF:JF),"")</f>
        <v>43.519448784722236</v>
      </c>
      <c r="M109" s="236">
        <f>IFERROR(_xlfn.XLOOKUP($A109,'Raw_Data'!$B:$B,'Raw_Data'!JG:JG),"")</f>
        <v>4.2191711735633666</v>
      </c>
      <c r="N109" s="236">
        <f>IFERROR(_xlfn.XLOOKUP($A109,'Raw_Data'!$B:$B,'Raw_Data'!JH:JH),"")</f>
        <v>7.6969443333333336</v>
      </c>
      <c r="O109" s="237">
        <f>IFERROR(1-SUMIF(PA!$B:$B,$A109,PA!$AL:$AL)/($AA109+SUMIF(PA!$B:$B,$A109,PA!$AL:$AL)),"")</f>
        <v>0.97940447333333291</v>
      </c>
      <c r="P109" s="238"/>
      <c r="Q109" s="239"/>
      <c r="R109" s="240">
        <f>IFERROR(1-SUMIF(GA!$C:$C,$A109,GA!$X:$X)/($AA109+SUMIF(GA!$C:$C,$A109,GA!$X:$X)),"")</f>
        <v>0.99376542221734188</v>
      </c>
      <c r="S109" s="186"/>
      <c r="T109" s="239"/>
      <c r="U109" s="237">
        <f t="shared" si="5"/>
        <v>0.82681609456440019</v>
      </c>
      <c r="V109" s="237">
        <f>IFERROR(_xlfn.XLOOKUP($A109,'Raw_Data'!$B:$B,'Raw_Data'!$JL:$JL),"")</f>
        <v>0.82962518890354997</v>
      </c>
      <c r="W109" s="240">
        <f t="shared" si="6"/>
        <v>0.2004844703876478</v>
      </c>
      <c r="X109" s="228">
        <f>IFERROR(_xlfn.XLOOKUP($A109,'Raw_Data'!$B:$B,'Raw_Data'!$JI:$JI),"")</f>
        <v>1625518.1999999995</v>
      </c>
      <c r="Y109" s="228">
        <f>IFERROR(_xlfn.XLOOKUP($A109,'Raw_Data'!$B:$B,'Raw_Data'!IT:IT),"")</f>
        <v>1616466.0000000149</v>
      </c>
      <c r="Z109" s="228">
        <f>IFERROR(_xlfn.XLOOKUP($A109,'Raw_Data'!$B:$B,'Raw_Data'!IU:IU),"")</f>
        <v>4132.9999999999245</v>
      </c>
      <c r="AA109" s="228">
        <f>IFERROR(_xlfn.XLOOKUP($A109,'Raw_Data'!$B:$B,'Raw_Data'!IW:IW),"")</f>
        <v>1612333.0000000149</v>
      </c>
      <c r="AB109" s="228">
        <f>IFERROR(_xlfn.XLOOKUP($A109,'Raw_Data'!$B:$B,'Raw_Data'!I:I)/1000,"")</f>
        <v>337.33884499999954</v>
      </c>
      <c r="AC109" s="241">
        <f>IFERROR(_xlfn.XLOOKUP($D109,'Modelling New'!$D:$D,'Modelling New'!$P:$P),"")</f>
        <v>5.4483870967741934</v>
      </c>
      <c r="AD109" s="228">
        <f>IFERROR(_xlfn.XLOOKUP($D109,'Modelling New'!$D:$D,'Modelling New'!$T:$T)*1000,"")</f>
        <v>1533620.9517254881</v>
      </c>
      <c r="AE109" s="240">
        <f>IFERROR(_xlfn.XLOOKUP($D109,'Modelling New'!$D:$D,'Modelling New'!$O:$O),"")</f>
        <v>0.84001552713942795</v>
      </c>
      <c r="AF109" s="240">
        <f>IFERROR(_xlfn.XLOOKUP($D109,'Modelling New'!$D:$D,'Modelling New'!$W:$W),"")</f>
        <v>0.19069707329818469</v>
      </c>
      <c r="AG109" s="240">
        <f>IFERROR(_xlfn.XLOOKUP($D109,'Modelling New'!$D:$D,'Modelling New'!AE:AE),"")</f>
        <v>0.99750000000000005</v>
      </c>
      <c r="AH109" s="240">
        <f>IFERROR(_xlfn.XLOOKUP($D109,'Modelling New'!$D:$D,'Modelling New'!AF:AF),"")</f>
        <v>0.99750000000000005</v>
      </c>
      <c r="AI109" s="186"/>
      <c r="AJ109" s="186"/>
      <c r="AK109" s="227">
        <v>0.98</v>
      </c>
      <c r="AL109" s="224">
        <f>IFERROR(Table13[[#This Row],[RA (%)]]*9270*58,"")</f>
        <v>526906.80000000005</v>
      </c>
      <c r="AM109" s="225"/>
      <c r="AN109" s="238"/>
      <c r="AO109" s="240"/>
      <c r="AP109" s="240"/>
      <c r="AQ109" s="240"/>
      <c r="AR109" s="242">
        <f>IFERROR(_xlfn.XLOOKUP($D109,'Modelling New'!$D:$D,'Modelling New'!$N:$N),"")</f>
        <v>335.09100000000001</v>
      </c>
    </row>
    <row r="110" spans="1:44">
      <c r="A110" s="233">
        <f t="shared" si="7"/>
        <v>45853</v>
      </c>
      <c r="B110" s="228">
        <f>YEAR(Table13[[#This Row],[Date]])+IF(MONTH(Table13[[#This Row],[Date]])&gt;=4,1,0)</f>
        <v>2026</v>
      </c>
      <c r="C110" s="186">
        <f>YEAR(Table13[[#This Row],[Date]])</f>
        <v>2025</v>
      </c>
      <c r="D110" s="234">
        <f>Table13[[#This Row],[Date]]-DAY(Table13[[#This Row],[Date]])+1</f>
        <v>45839</v>
      </c>
      <c r="E110" s="186">
        <f t="shared" si="8"/>
        <v>31</v>
      </c>
      <c r="F110" s="235">
        <f>IFERROR(_xlfn.XLOOKUP($A110,'Raw_Data'!$B:$B,'Raw_Data'!$IX:$IX),"")</f>
        <v>13.100000000000001</v>
      </c>
      <c r="G110" s="236">
        <f>IFERROR(_xlfn.XLOOKUP($A110,'Raw_Data'!$B:$B,'Raw_Data'!IY:IY),"")</f>
        <v>6.5269078888888856</v>
      </c>
      <c r="H110" s="236">
        <f>IFERROR(_xlfn.XLOOKUP($A110,'Raw_Data'!$B:$B,'Raw_Data'!IZ:IZ),"")</f>
        <v>1.2600381944444445</v>
      </c>
      <c r="I110" s="236">
        <f>IFERROR(_xlfn.XLOOKUP($A110,'Raw_Data'!$B:$B,'Raw_Data'!JA:JA),"")</f>
        <v>6.3389911666666681</v>
      </c>
      <c r="J110" s="236">
        <f>IFERROR(_xlfn.XLOOKUP($A110,'Raw_Data'!$B:$B,'Raw_Data'!JB:JB),"")</f>
        <v>0.42375433333333329</v>
      </c>
      <c r="K110" s="236">
        <f>IFERROR(_xlfn.XLOOKUP($A110,'Raw_Data'!$B:$B,'Raw_Data'!JE:JE),"")</f>
        <v>32.205427784836942</v>
      </c>
      <c r="L110" s="236">
        <f>IFERROR(_xlfn.XLOOKUP($A110,'Raw_Data'!$B:$B,'Raw_Data'!JF:JF),"")</f>
        <v>43.1567301990682</v>
      </c>
      <c r="M110" s="236">
        <f>IFERROR(_xlfn.XLOOKUP($A110,'Raw_Data'!$B:$B,'Raw_Data'!JG:JG),"")</f>
        <v>4.4778623053727253</v>
      </c>
      <c r="N110" s="236">
        <f>IFERROR(_xlfn.XLOOKUP($A110,'Raw_Data'!$B:$B,'Raw_Data'!JH:JH),"")</f>
        <v>10.043888666666666</v>
      </c>
      <c r="O110" s="237">
        <f>IFERROR(1-SUMIF(PA!$B:$B,$A110,PA!$AL:$AL)/($AA110+SUMIF(PA!$B:$B,$A110,PA!$AL:$AL)),"")</f>
        <v>0.99943801914519481</v>
      </c>
      <c r="P110" s="238"/>
      <c r="Q110" s="239"/>
      <c r="R110" s="240">
        <f>IFERROR(1-SUMIF(GA!$C:$C,$A110,GA!$X:$X)/($AA110+SUMIF(GA!$C:$C,$A110,GA!$X:$X)),"")</f>
        <v>1</v>
      </c>
      <c r="S110" s="186"/>
      <c r="T110" s="239"/>
      <c r="U110" s="237">
        <f t="shared" si="5"/>
        <v>0.84282012313138366</v>
      </c>
      <c r="V110" s="237">
        <f>IFERROR(_xlfn.XLOOKUP($A110,'Raw_Data'!$B:$B,'Raw_Data'!$JL:$JL),"")</f>
        <v>0.84434367239320685</v>
      </c>
      <c r="W110" s="240">
        <f t="shared" si="6"/>
        <v>0.22260955481744812</v>
      </c>
      <c r="X110" s="228">
        <f>IFERROR(_xlfn.XLOOKUP($A110,'Raw_Data'!$B:$B,'Raw_Data'!$JI:$JI),"")</f>
        <v>1805242.1000000003</v>
      </c>
      <c r="Y110" s="228">
        <f>IFERROR(_xlfn.XLOOKUP($A110,'Raw_Data'!$B:$B,'Raw_Data'!IT:IT),"")</f>
        <v>1794467.0000000042</v>
      </c>
      <c r="Z110" s="228">
        <f>IFERROR(_xlfn.XLOOKUP($A110,'Raw_Data'!$B:$B,'Raw_Data'!IU:IU),"")</f>
        <v>4200.0000000000455</v>
      </c>
      <c r="AA110" s="228">
        <f>IFERROR(_xlfn.XLOOKUP($A110,'Raw_Data'!$B:$B,'Raw_Data'!IW:IW),"")</f>
        <v>1790267.0000000042</v>
      </c>
      <c r="AB110" s="228">
        <f>IFERROR(_xlfn.XLOOKUP($A110,'Raw_Data'!$B:$B,'Raw_Data'!I:I)/1000,"")</f>
        <v>337.33884499999954</v>
      </c>
      <c r="AC110" s="241">
        <f>IFERROR(_xlfn.XLOOKUP($D110,'Modelling New'!$D:$D,'Modelling New'!$P:$P),"")</f>
        <v>5.4483870967741934</v>
      </c>
      <c r="AD110" s="228">
        <f>IFERROR(_xlfn.XLOOKUP($D110,'Modelling New'!$D:$D,'Modelling New'!$T:$T)*1000,"")</f>
        <v>1533620.9517254881</v>
      </c>
      <c r="AE110" s="240">
        <f>IFERROR(_xlfn.XLOOKUP($D110,'Modelling New'!$D:$D,'Modelling New'!$O:$O),"")</f>
        <v>0.84001552713942795</v>
      </c>
      <c r="AF110" s="240">
        <f>IFERROR(_xlfn.XLOOKUP($D110,'Modelling New'!$D:$D,'Modelling New'!$W:$W),"")</f>
        <v>0.19069707329818469</v>
      </c>
      <c r="AG110" s="240">
        <f>IFERROR(_xlfn.XLOOKUP($D110,'Modelling New'!$D:$D,'Modelling New'!AE:AE),"")</f>
        <v>0.99750000000000005</v>
      </c>
      <c r="AH110" s="240">
        <f>IFERROR(_xlfn.XLOOKUP($D110,'Modelling New'!$D:$D,'Modelling New'!AF:AF),"")</f>
        <v>0.99750000000000005</v>
      </c>
      <c r="AI110" s="186"/>
      <c r="AJ110" s="186"/>
      <c r="AK110" s="227">
        <v>0.98</v>
      </c>
      <c r="AL110" s="224">
        <f>IFERROR(Table13[[#This Row],[RA (%)]]*9270*58,"")</f>
        <v>526906.80000000005</v>
      </c>
      <c r="AM110" s="225"/>
      <c r="AN110" s="238"/>
      <c r="AO110" s="240"/>
      <c r="AP110" s="240"/>
      <c r="AQ110" s="240"/>
      <c r="AR110" s="242">
        <f>IFERROR(_xlfn.XLOOKUP($D110,'Modelling New'!$D:$D,'Modelling New'!$N:$N),"")</f>
        <v>335.09100000000001</v>
      </c>
    </row>
    <row r="111" spans="1:44">
      <c r="A111" s="233">
        <f t="shared" si="7"/>
        <v>45854</v>
      </c>
      <c r="B111" s="228">
        <f>YEAR(Table13[[#This Row],[Date]])+IF(MONTH(Table13[[#This Row],[Date]])&gt;=4,1,0)</f>
        <v>2026</v>
      </c>
      <c r="C111" s="186">
        <f>YEAR(Table13[[#This Row],[Date]])</f>
        <v>2025</v>
      </c>
      <c r="D111" s="234">
        <f>Table13[[#This Row],[Date]]-DAY(Table13[[#This Row],[Date]])+1</f>
        <v>45839</v>
      </c>
      <c r="E111" s="186">
        <f t="shared" si="8"/>
        <v>31</v>
      </c>
      <c r="F111" s="235">
        <f>IFERROR(_xlfn.XLOOKUP($A111,'Raw_Data'!$B:$B,'Raw_Data'!$IX:$IX),"")</f>
        <v>12.599999999999998</v>
      </c>
      <c r="G111" s="236">
        <f>IFERROR(_xlfn.XLOOKUP($A111,'Raw_Data'!$B:$B,'Raw_Data'!IY:IY),"")</f>
        <v>5.9974493611111095</v>
      </c>
      <c r="H111" s="236">
        <f>IFERROR(_xlfn.XLOOKUP($A111,'Raw_Data'!$B:$B,'Raw_Data'!IZ:IZ),"")</f>
        <v>1.2397143055555555</v>
      </c>
      <c r="I111" s="236">
        <f>IFERROR(_xlfn.XLOOKUP($A111,'Raw_Data'!$B:$B,'Raw_Data'!JA:JA),"")</f>
        <v>5.8275972916666658</v>
      </c>
      <c r="J111" s="236">
        <f>IFERROR(_xlfn.XLOOKUP($A111,'Raw_Data'!$B:$B,'Raw_Data'!JB:JB),"")</f>
        <v>0.38481147222222206</v>
      </c>
      <c r="K111" s="236">
        <f>IFERROR(_xlfn.XLOOKUP($A111,'Raw_Data'!$B:$B,'Raw_Data'!JE:JE),"")</f>
        <v>32.254334264432025</v>
      </c>
      <c r="L111" s="236">
        <f>IFERROR(_xlfn.XLOOKUP($A111,'Raw_Data'!$B:$B,'Raw_Data'!JF:JF),"")</f>
        <v>45.321916014897589</v>
      </c>
      <c r="M111" s="236">
        <f>IFERROR(_xlfn.XLOOKUP($A111,'Raw_Data'!$B:$B,'Raw_Data'!JG:JG),"")</f>
        <v>4.7585581527374332</v>
      </c>
      <c r="N111" s="236">
        <f>IFERROR(_xlfn.XLOOKUP($A111,'Raw_Data'!$B:$B,'Raw_Data'!JH:JH),"")</f>
        <v>10.693056</v>
      </c>
      <c r="O111" s="237">
        <f>IFERROR(1-SUMIF(PA!$B:$B,$A111,PA!$AL:$AL)/($AA111+SUMIF(PA!$B:$B,$A111,PA!$AL:$AL)),"")</f>
        <v>0.99943317617516225</v>
      </c>
      <c r="P111" s="238"/>
      <c r="Q111" s="239"/>
      <c r="R111" s="240">
        <f>IFERROR(1-SUMIF(GA!$C:$C,$A111,GA!$X:$X)/($AA111+SUMIF(GA!$C:$C,$A111,GA!$X:$X)),"")</f>
        <v>1</v>
      </c>
      <c r="S111" s="186"/>
      <c r="T111" s="239"/>
      <c r="U111" s="237">
        <f t="shared" si="5"/>
        <v>0.86270392206692537</v>
      </c>
      <c r="V111" s="237">
        <f>IFERROR(_xlfn.XLOOKUP($A111,'Raw_Data'!$B:$B,'Raw_Data'!$JL:$JL),"")</f>
        <v>0.85880867180174403</v>
      </c>
      <c r="W111" s="240">
        <f t="shared" si="6"/>
        <v>0.20947879332280936</v>
      </c>
      <c r="X111" s="228">
        <f>IFERROR(_xlfn.XLOOKUP($A111,'Raw_Data'!$B:$B,'Raw_Data'!$JI:$JI),"")</f>
        <v>1701726.7999999993</v>
      </c>
      <c r="Y111" s="228">
        <f>IFERROR(_xlfn.XLOOKUP($A111,'Raw_Data'!$B:$B,'Raw_Data'!IT:IT),"")</f>
        <v>1689467.0000000042</v>
      </c>
      <c r="Z111" s="228">
        <f>IFERROR(_xlfn.XLOOKUP($A111,'Raw_Data'!$B:$B,'Raw_Data'!IU:IU),"")</f>
        <v>4799.9999999999545</v>
      </c>
      <c r="AA111" s="228">
        <f>IFERROR(_xlfn.XLOOKUP($A111,'Raw_Data'!$B:$B,'Raw_Data'!IW:IW),"")</f>
        <v>1684667.0000000042</v>
      </c>
      <c r="AB111" s="228">
        <f>IFERROR(_xlfn.XLOOKUP($A111,'Raw_Data'!$B:$B,'Raw_Data'!I:I)/1000,"")</f>
        <v>337.33884499999954</v>
      </c>
      <c r="AC111" s="241">
        <f>IFERROR(_xlfn.XLOOKUP($D111,'Modelling New'!$D:$D,'Modelling New'!$P:$P),"")</f>
        <v>5.4483870967741934</v>
      </c>
      <c r="AD111" s="228">
        <f>IFERROR(_xlfn.XLOOKUP($D111,'Modelling New'!$D:$D,'Modelling New'!$T:$T)*1000,"")</f>
        <v>1533620.9517254881</v>
      </c>
      <c r="AE111" s="240">
        <f>IFERROR(_xlfn.XLOOKUP($D111,'Modelling New'!$D:$D,'Modelling New'!$O:$O),"")</f>
        <v>0.84001552713942795</v>
      </c>
      <c r="AF111" s="240">
        <f>IFERROR(_xlfn.XLOOKUP($D111,'Modelling New'!$D:$D,'Modelling New'!$W:$W),"")</f>
        <v>0.19069707329818469</v>
      </c>
      <c r="AG111" s="240">
        <f>IFERROR(_xlfn.XLOOKUP($D111,'Modelling New'!$D:$D,'Modelling New'!AE:AE),"")</f>
        <v>0.99750000000000005</v>
      </c>
      <c r="AH111" s="240">
        <f>IFERROR(_xlfn.XLOOKUP($D111,'Modelling New'!$D:$D,'Modelling New'!AF:AF),"")</f>
        <v>0.99750000000000005</v>
      </c>
      <c r="AI111" s="186"/>
      <c r="AJ111" s="186"/>
      <c r="AK111" s="227">
        <v>0.98199999999999998</v>
      </c>
      <c r="AL111" s="224">
        <f>IFERROR(Table13[[#This Row],[RA (%)]]*9270*58,"")</f>
        <v>527982.12</v>
      </c>
      <c r="AM111" s="225"/>
      <c r="AN111" s="238"/>
      <c r="AO111" s="240"/>
      <c r="AP111" s="240"/>
      <c r="AQ111" s="240"/>
      <c r="AR111" s="242">
        <f>IFERROR(_xlfn.XLOOKUP($D111,'Modelling New'!$D:$D,'Modelling New'!$N:$N),"")</f>
        <v>335.09100000000001</v>
      </c>
    </row>
    <row r="112" spans="1:44">
      <c r="A112" s="233">
        <f t="shared" si="7"/>
        <v>45855</v>
      </c>
      <c r="B112" s="228">
        <f>YEAR(Table13[[#This Row],[Date]])+IF(MONTH(Table13[[#This Row],[Date]])&gt;=4,1,0)</f>
        <v>2026</v>
      </c>
      <c r="C112" s="186">
        <f>YEAR(Table13[[#This Row],[Date]])</f>
        <v>2025</v>
      </c>
      <c r="D112" s="234">
        <f>Table13[[#This Row],[Date]]-DAY(Table13[[#This Row],[Date]])+1</f>
        <v>45839</v>
      </c>
      <c r="E112" s="186">
        <f t="shared" si="8"/>
        <v>31</v>
      </c>
      <c r="F112" s="235">
        <f>IFERROR(_xlfn.XLOOKUP($A112,'Raw_Data'!$B:$B,'Raw_Data'!$IX:$IX),"")</f>
        <v>12.716666666666667</v>
      </c>
      <c r="G112" s="236">
        <f>IFERROR(_xlfn.XLOOKUP($A112,'Raw_Data'!$B:$B,'Raw_Data'!IY:IY),"")</f>
        <v>5.2923451111111133</v>
      </c>
      <c r="H112" s="236">
        <f>IFERROR(_xlfn.XLOOKUP($A112,'Raw_Data'!$B:$B,'Raw_Data'!IZ:IZ),"")</f>
        <v>0.99473799999999957</v>
      </c>
      <c r="I112" s="236">
        <f>IFERROR(_xlfn.XLOOKUP($A112,'Raw_Data'!$B:$B,'Raw_Data'!JA:JA),"")</f>
        <v>5.2692808749999998</v>
      </c>
      <c r="J112" s="236">
        <f>IFERROR(_xlfn.XLOOKUP($A112,'Raw_Data'!$B:$B,'Raw_Data'!JB:JB),"")</f>
        <v>0.28752825000000004</v>
      </c>
      <c r="K112" s="236">
        <f>IFERROR(_xlfn.XLOOKUP($A112,'Raw_Data'!$B:$B,'Raw_Data'!JE:JE),"")</f>
        <v>32.225721626452192</v>
      </c>
      <c r="L112" s="236">
        <f>IFERROR(_xlfn.XLOOKUP($A112,'Raw_Data'!$B:$B,'Raw_Data'!JF:JF),"")</f>
        <v>43.441313672922242</v>
      </c>
      <c r="M112" s="236">
        <f>IFERROR(_xlfn.XLOOKUP($A112,'Raw_Data'!$B:$B,'Raw_Data'!JG:JG),"")</f>
        <v>3.288117972386059</v>
      </c>
      <c r="N112" s="236">
        <f>IFERROR(_xlfn.XLOOKUP($A112,'Raw_Data'!$B:$B,'Raw_Data'!JH:JH),"")</f>
        <v>6.8383331666666676</v>
      </c>
      <c r="O112" s="237">
        <f>IFERROR(1-SUMIF(PA!$B:$B,$A112,PA!$AL:$AL)/($AA112+SUMIF(PA!$B:$B,$A112,PA!$AL:$AL)),"")</f>
        <v>0.98734231214657298</v>
      </c>
      <c r="P112" s="238"/>
      <c r="Q112" s="239"/>
      <c r="R112" s="240">
        <f>IFERROR(1-SUMIF(GA!$C:$C,$A112,GA!$X:$X)/($AA112+SUMIF(GA!$C:$C,$A112,GA!$X:$X)),"")</f>
        <v>1</v>
      </c>
      <c r="S112" s="186"/>
      <c r="T112" s="239"/>
      <c r="U112" s="237">
        <f t="shared" si="5"/>
        <v>0.82362541271828038</v>
      </c>
      <c r="V112" s="237">
        <f>IFERROR(_xlfn.XLOOKUP($A112,'Raw_Data'!$B:$B,'Raw_Data'!$JL:$JL),"")</f>
        <v>0.83187749872099825</v>
      </c>
      <c r="W112" s="240">
        <f t="shared" si="6"/>
        <v>0.18082973480835068</v>
      </c>
      <c r="X112" s="228">
        <f>IFERROR(_xlfn.XLOOKUP($A112,'Raw_Data'!$B:$B,'Raw_Data'!$JI:$JI),"")</f>
        <v>1469064.1000000003</v>
      </c>
      <c r="Y112" s="228">
        <f>IFERROR(_xlfn.XLOOKUP($A112,'Raw_Data'!$B:$B,'Raw_Data'!IT:IT),"")</f>
        <v>1458932.9999999609</v>
      </c>
      <c r="Z112" s="228">
        <f>IFERROR(_xlfn.XLOOKUP($A112,'Raw_Data'!$B:$B,'Raw_Data'!IU:IU),"")</f>
        <v>4667.00000000003</v>
      </c>
      <c r="AA112" s="228">
        <f>IFERROR(_xlfn.XLOOKUP($A112,'Raw_Data'!$B:$B,'Raw_Data'!IW:IW),"")</f>
        <v>1454265.9999999609</v>
      </c>
      <c r="AB112" s="228">
        <f>IFERROR(_xlfn.XLOOKUP($A112,'Raw_Data'!$B:$B,'Raw_Data'!I:I)/1000,"")</f>
        <v>337.33884499999954</v>
      </c>
      <c r="AC112" s="241">
        <f>IFERROR(_xlfn.XLOOKUP($D112,'Modelling New'!$D:$D,'Modelling New'!$P:$P),"")</f>
        <v>5.4483870967741934</v>
      </c>
      <c r="AD112" s="228">
        <f>IFERROR(_xlfn.XLOOKUP($D112,'Modelling New'!$D:$D,'Modelling New'!$T:$T)*1000,"")</f>
        <v>1533620.9517254881</v>
      </c>
      <c r="AE112" s="240">
        <f>IFERROR(_xlfn.XLOOKUP($D112,'Modelling New'!$D:$D,'Modelling New'!$O:$O),"")</f>
        <v>0.84001552713942795</v>
      </c>
      <c r="AF112" s="240">
        <f>IFERROR(_xlfn.XLOOKUP($D112,'Modelling New'!$D:$D,'Modelling New'!$W:$W),"")</f>
        <v>0.19069707329818469</v>
      </c>
      <c r="AG112" s="240">
        <f>IFERROR(_xlfn.XLOOKUP($D112,'Modelling New'!$D:$D,'Modelling New'!AE:AE),"")</f>
        <v>0.99750000000000005</v>
      </c>
      <c r="AH112" s="240">
        <f>IFERROR(_xlfn.XLOOKUP($D112,'Modelling New'!$D:$D,'Modelling New'!AF:AF),"")</f>
        <v>0.99750000000000005</v>
      </c>
      <c r="AI112" s="186"/>
      <c r="AJ112" s="186"/>
      <c r="AK112" s="227">
        <v>0</v>
      </c>
      <c r="AL112" s="224">
        <f>IFERROR(Table13[[#This Row],[RA (%)]]*9270*58,"")</f>
        <v>0</v>
      </c>
      <c r="AM112" s="225"/>
      <c r="AN112" s="238"/>
      <c r="AO112" s="240"/>
      <c r="AP112" s="240"/>
      <c r="AQ112" s="240"/>
      <c r="AR112" s="242">
        <f>IFERROR(_xlfn.XLOOKUP($D112,'Modelling New'!$D:$D,'Modelling New'!$N:$N),"")</f>
        <v>335.09100000000001</v>
      </c>
    </row>
    <row r="113" spans="1:44">
      <c r="A113" s="233">
        <f t="shared" si="7"/>
        <v>45856</v>
      </c>
      <c r="B113" s="228">
        <f>YEAR(Table13[[#This Row],[Date]])+IF(MONTH(Table13[[#This Row],[Date]])&gt;=4,1,0)</f>
        <v>2026</v>
      </c>
      <c r="C113" s="186">
        <f>YEAR(Table13[[#This Row],[Date]])</f>
        <v>2025</v>
      </c>
      <c r="D113" s="234">
        <f>Table13[[#This Row],[Date]]-DAY(Table13[[#This Row],[Date]])+1</f>
        <v>45839</v>
      </c>
      <c r="E113" s="186">
        <f t="shared" si="8"/>
        <v>31</v>
      </c>
      <c r="F113" s="235">
        <f>IFERROR(_xlfn.XLOOKUP($A113,'Raw_Data'!$B:$B,'Raw_Data'!$IX:$IX),"")</f>
        <v>11.250000000000002</v>
      </c>
      <c r="G113" s="236">
        <f>IFERROR(_xlfn.XLOOKUP($A113,'Raw_Data'!$B:$B,'Raw_Data'!IY:IY),"")</f>
        <v>2.6220322027777789</v>
      </c>
      <c r="H113" s="236">
        <f>IFERROR(_xlfn.XLOOKUP($A113,'Raw_Data'!$B:$B,'Raw_Data'!IZ:IZ),"")</f>
        <v>0.50655944444444456</v>
      </c>
      <c r="I113" s="236">
        <f>IFERROR(_xlfn.XLOOKUP($A113,'Raw_Data'!$B:$B,'Raw_Data'!JA:JA),"")</f>
        <v>2.5530348749999989</v>
      </c>
      <c r="J113" s="236">
        <f>IFERROR(_xlfn.XLOOKUP($A113,'Raw_Data'!$B:$B,'Raw_Data'!JB:JB),"")</f>
        <v>0.16361000000000006</v>
      </c>
      <c r="K113" s="236">
        <f>IFERROR(_xlfn.XLOOKUP($A113,'Raw_Data'!$B:$B,'Raw_Data'!JE:JE),"")</f>
        <v>30.751340090090096</v>
      </c>
      <c r="L113" s="236">
        <f>IFERROR(_xlfn.XLOOKUP($A113,'Raw_Data'!$B:$B,'Raw_Data'!JF:JF),"")</f>
        <v>36.688166976351368</v>
      </c>
      <c r="M113" s="236">
        <f>IFERROR(_xlfn.XLOOKUP($A113,'Raw_Data'!$B:$B,'Raw_Data'!JG:JG),"")</f>
        <v>4.4391200359909897</v>
      </c>
      <c r="N113" s="236">
        <f>IFERROR(_xlfn.XLOOKUP($A113,'Raw_Data'!$B:$B,'Raw_Data'!JH:JH),"")</f>
        <v>7.392221833333334</v>
      </c>
      <c r="O113" s="237">
        <f>IFERROR(1-SUMIF(PA!$B:$B,$A113,PA!$AL:$AL)/($AA113+SUMIF(PA!$B:$B,$A113,PA!$AL:$AL)),"")</f>
        <v>0.99947989219854361</v>
      </c>
      <c r="P113" s="238"/>
      <c r="Q113" s="239"/>
      <c r="R113" s="240">
        <f>IFERROR(1-SUMIF(GA!$C:$C,$A113,GA!$X:$X)/($AA113+SUMIF(GA!$C:$C,$A113,GA!$X:$X)),"")</f>
        <v>1</v>
      </c>
      <c r="S113" s="186"/>
      <c r="T113" s="239"/>
      <c r="U113" s="237">
        <f t="shared" si="5"/>
        <v>0.90699579025363064</v>
      </c>
      <c r="V113" s="237">
        <f>IFERROR(_xlfn.XLOOKUP($A113,'Raw_Data'!$B:$B,'Raw_Data'!$JL:$JL),"")</f>
        <v>0.87853608066858158</v>
      </c>
      <c r="W113" s="240">
        <f t="shared" si="6"/>
        <v>9.6482995166487631E-2</v>
      </c>
      <c r="X113" s="228">
        <f>IFERROR(_xlfn.XLOOKUP($A113,'Raw_Data'!$B:$B,'Raw_Data'!$JI:$JI),"")</f>
        <v>785263.30000000016</v>
      </c>
      <c r="Y113" s="228">
        <f>IFERROR(_xlfn.XLOOKUP($A113,'Raw_Data'!$B:$B,'Raw_Data'!IT:IT),"")</f>
        <v>780467.00000000419</v>
      </c>
      <c r="Z113" s="228">
        <f>IFERROR(_xlfn.XLOOKUP($A113,'Raw_Data'!$B:$B,'Raw_Data'!IU:IU),"")</f>
        <v>4533.0000000000155</v>
      </c>
      <c r="AA113" s="228">
        <f>IFERROR(_xlfn.XLOOKUP($A113,'Raw_Data'!$B:$B,'Raw_Data'!IW:IW),"")</f>
        <v>775934.00000000419</v>
      </c>
      <c r="AB113" s="228">
        <f>IFERROR(_xlfn.XLOOKUP($A113,'Raw_Data'!$B:$B,'Raw_Data'!I:I)/1000,"")</f>
        <v>337.33884499999954</v>
      </c>
      <c r="AC113" s="241">
        <f>IFERROR(_xlfn.XLOOKUP($D113,'Modelling New'!$D:$D,'Modelling New'!$P:$P),"")</f>
        <v>5.4483870967741934</v>
      </c>
      <c r="AD113" s="228">
        <f>IFERROR(_xlfn.XLOOKUP($D113,'Modelling New'!$D:$D,'Modelling New'!$T:$T)*1000,"")</f>
        <v>1533620.9517254881</v>
      </c>
      <c r="AE113" s="240">
        <f>IFERROR(_xlfn.XLOOKUP($D113,'Modelling New'!$D:$D,'Modelling New'!$O:$O),"")</f>
        <v>0.84001552713942795</v>
      </c>
      <c r="AF113" s="240">
        <f>IFERROR(_xlfn.XLOOKUP($D113,'Modelling New'!$D:$D,'Modelling New'!$W:$W),"")</f>
        <v>0.19069707329818469</v>
      </c>
      <c r="AG113" s="240">
        <f>IFERROR(_xlfn.XLOOKUP($D113,'Modelling New'!$D:$D,'Modelling New'!AE:AE),"")</f>
        <v>0.99750000000000005</v>
      </c>
      <c r="AH113" s="240">
        <f>IFERROR(_xlfn.XLOOKUP($D113,'Modelling New'!$D:$D,'Modelling New'!AF:AF),"")</f>
        <v>0.99750000000000005</v>
      </c>
      <c r="AI113" s="186"/>
      <c r="AJ113" s="186"/>
      <c r="AK113" s="227">
        <v>0.97799999999999998</v>
      </c>
      <c r="AL113" s="224">
        <f>IFERROR(Table13[[#This Row],[RA (%)]]*9270*58,"")</f>
        <v>525831.48</v>
      </c>
      <c r="AM113" s="225"/>
      <c r="AN113" s="238"/>
      <c r="AO113" s="240"/>
      <c r="AP113" s="240"/>
      <c r="AQ113" s="240"/>
      <c r="AR113" s="242">
        <f>IFERROR(_xlfn.XLOOKUP($D113,'Modelling New'!$D:$D,'Modelling New'!$N:$N),"")</f>
        <v>335.09100000000001</v>
      </c>
    </row>
    <row r="114" spans="1:44">
      <c r="A114" s="233">
        <f t="shared" si="7"/>
        <v>45857</v>
      </c>
      <c r="B114" s="228">
        <f>YEAR(Table13[[#This Row],[Date]])+IF(MONTH(Table13[[#This Row],[Date]])&gt;=4,1,0)</f>
        <v>2026</v>
      </c>
      <c r="C114" s="186">
        <f>YEAR(Table13[[#This Row],[Date]])</f>
        <v>2025</v>
      </c>
      <c r="D114" s="234">
        <f>Table13[[#This Row],[Date]]-DAY(Table13[[#This Row],[Date]])+1</f>
        <v>45839</v>
      </c>
      <c r="E114" s="186">
        <f t="shared" si="8"/>
        <v>31</v>
      </c>
      <c r="F114" s="235">
        <f>IFERROR(_xlfn.XLOOKUP($A114,'Raw_Data'!$B:$B,'Raw_Data'!$IX:$IX),"")</f>
        <v>9.8999999999999986</v>
      </c>
      <c r="G114" s="236">
        <f>IFERROR(_xlfn.XLOOKUP($A114,'Raw_Data'!$B:$B,'Raw_Data'!IY:IY),"")</f>
        <v>2.294225611111111</v>
      </c>
      <c r="H114" s="236">
        <f>IFERROR(_xlfn.XLOOKUP($A114,'Raw_Data'!$B:$B,'Raw_Data'!IZ:IZ),"")</f>
        <v>0.3423651666666665</v>
      </c>
      <c r="I114" s="236">
        <f>IFERROR(_xlfn.XLOOKUP($A114,'Raw_Data'!$B:$B,'Raw_Data'!JA:JA),"")</f>
        <v>2.2250834583333337</v>
      </c>
      <c r="J114" s="236">
        <f>IFERROR(_xlfn.XLOOKUP($A114,'Raw_Data'!$B:$B,'Raw_Data'!JB:JB),"")</f>
        <v>0.11500202777777778</v>
      </c>
      <c r="K114" s="236">
        <f>IFERROR(_xlfn.XLOOKUP($A114,'Raw_Data'!$B:$B,'Raw_Data'!JE:JE),"")</f>
        <v>29.153749257278676</v>
      </c>
      <c r="L114" s="236">
        <f>IFERROR(_xlfn.XLOOKUP($A114,'Raw_Data'!$B:$B,'Raw_Data'!JF:JF),"")</f>
        <v>34.039483065953654</v>
      </c>
      <c r="M114" s="236">
        <f>IFERROR(_xlfn.XLOOKUP($A114,'Raw_Data'!$B:$B,'Raw_Data'!JG:JG),"")</f>
        <v>5.0876612214497943</v>
      </c>
      <c r="N114" s="236">
        <f>IFERROR(_xlfn.XLOOKUP($A114,'Raw_Data'!$B:$B,'Raw_Data'!JH:JH),"")</f>
        <v>7.8924996666666667</v>
      </c>
      <c r="O114" s="237">
        <f>IFERROR(1-SUMIF(PA!$B:$B,$A114,PA!$AL:$AL)/($AA114+SUMIF(PA!$B:$B,$A114,PA!$AL:$AL)),"")</f>
        <v>0.99884010728914563</v>
      </c>
      <c r="P114" s="238"/>
      <c r="Q114" s="239"/>
      <c r="R114" s="240">
        <f>IFERROR(1-SUMIF(GA!$C:$C,$A114,GA!$X:$X)/($AA114+SUMIF(GA!$C:$C,$A114,GA!$X:$X)),"")</f>
        <v>1</v>
      </c>
      <c r="S114" s="186"/>
      <c r="T114" s="239"/>
      <c r="U114" s="237">
        <f t="shared" si="5"/>
        <v>0.90709370222570906</v>
      </c>
      <c r="V114" s="237">
        <f>IFERROR(_xlfn.XLOOKUP($A114,'Raw_Data'!$B:$B,'Raw_Data'!$JL:$JL),"")</f>
        <v>0.87179285268186824</v>
      </c>
      <c r="W114" s="240">
        <f t="shared" si="6"/>
        <v>8.4098299665865323E-2</v>
      </c>
      <c r="X114" s="228">
        <f>IFERROR(_xlfn.XLOOKUP($A114,'Raw_Data'!$B:$B,'Raw_Data'!$JI:$JI),"")</f>
        <v>686054.79999999981</v>
      </c>
      <c r="Y114" s="228">
        <f>IFERROR(_xlfn.XLOOKUP($A114,'Raw_Data'!$B:$B,'Raw_Data'!IT:IT),"")</f>
        <v>681867.00000002747</v>
      </c>
      <c r="Z114" s="228">
        <f>IFERROR(_xlfn.XLOOKUP($A114,'Raw_Data'!$B:$B,'Raw_Data'!IU:IU),"")</f>
        <v>5533.0000000000155</v>
      </c>
      <c r="AA114" s="228">
        <f>IFERROR(_xlfn.XLOOKUP($A114,'Raw_Data'!$B:$B,'Raw_Data'!IW:IW),"")</f>
        <v>676334.00000002747</v>
      </c>
      <c r="AB114" s="228">
        <f>IFERROR(_xlfn.XLOOKUP($A114,'Raw_Data'!$B:$B,'Raw_Data'!I:I)/1000,"")</f>
        <v>337.33884499999954</v>
      </c>
      <c r="AC114" s="241">
        <f>IFERROR(_xlfn.XLOOKUP($D114,'Modelling New'!$D:$D,'Modelling New'!$P:$P),"")</f>
        <v>5.4483870967741934</v>
      </c>
      <c r="AD114" s="228">
        <f>IFERROR(_xlfn.XLOOKUP($D114,'Modelling New'!$D:$D,'Modelling New'!$T:$T)*1000,"")</f>
        <v>1533620.9517254881</v>
      </c>
      <c r="AE114" s="240">
        <f>IFERROR(_xlfn.XLOOKUP($D114,'Modelling New'!$D:$D,'Modelling New'!$O:$O),"")</f>
        <v>0.84001552713942795</v>
      </c>
      <c r="AF114" s="240">
        <f>IFERROR(_xlfn.XLOOKUP($D114,'Modelling New'!$D:$D,'Modelling New'!$W:$W),"")</f>
        <v>0.19069707329818469</v>
      </c>
      <c r="AG114" s="240">
        <f>IFERROR(_xlfn.XLOOKUP($D114,'Modelling New'!$D:$D,'Modelling New'!AE:AE),"")</f>
        <v>0.99750000000000005</v>
      </c>
      <c r="AH114" s="240">
        <f>IFERROR(_xlfn.XLOOKUP($D114,'Modelling New'!$D:$D,'Modelling New'!AF:AF),"")</f>
        <v>0.99750000000000005</v>
      </c>
      <c r="AI114" s="186"/>
      <c r="AJ114" s="186"/>
      <c r="AK114" s="225"/>
      <c r="AL114" s="224">
        <f>IFERROR(Table13[[#This Row],[RA (%)]]*9270*58,"")</f>
        <v>0</v>
      </c>
      <c r="AM114" s="225"/>
      <c r="AN114" s="238"/>
      <c r="AO114" s="240"/>
      <c r="AP114" s="240"/>
      <c r="AQ114" s="240"/>
      <c r="AR114" s="242">
        <f>IFERROR(_xlfn.XLOOKUP($D114,'Modelling New'!$D:$D,'Modelling New'!$N:$N),"")</f>
        <v>335.09100000000001</v>
      </c>
    </row>
    <row r="115" spans="1:44">
      <c r="A115" s="233">
        <f t="shared" si="7"/>
        <v>45858</v>
      </c>
      <c r="B115" s="228">
        <f>YEAR(Table13[[#This Row],[Date]])+IF(MONTH(Table13[[#This Row],[Date]])&gt;=4,1,0)</f>
        <v>2026</v>
      </c>
      <c r="C115" s="186">
        <f>YEAR(Table13[[#This Row],[Date]])</f>
        <v>2025</v>
      </c>
      <c r="D115" s="234">
        <f>Table13[[#This Row],[Date]]-DAY(Table13[[#This Row],[Date]])+1</f>
        <v>45839</v>
      </c>
      <c r="E115" s="186">
        <f t="shared" si="8"/>
        <v>31</v>
      </c>
      <c r="F115" s="235">
        <f>IFERROR(_xlfn.XLOOKUP($A115,'Raw_Data'!$B:$B,'Raw_Data'!$IX:$IX),"")</f>
        <v>12.166666666666666</v>
      </c>
      <c r="G115" s="236">
        <f>IFERROR(_xlfn.XLOOKUP($A115,'Raw_Data'!$B:$B,'Raw_Data'!IY:IY),"")</f>
        <v>2.3910997222222217</v>
      </c>
      <c r="H115" s="236">
        <f>IFERROR(_xlfn.XLOOKUP($A115,'Raw_Data'!$B:$B,'Raw_Data'!IZ:IZ),"")</f>
        <v>0.32824473333333343</v>
      </c>
      <c r="I115" s="236">
        <f>IFERROR(_xlfn.XLOOKUP($A115,'Raw_Data'!$B:$B,'Raw_Data'!JA:JA),"")</f>
        <v>2.3512998749999987</v>
      </c>
      <c r="J115" s="236">
        <f>IFERROR(_xlfn.XLOOKUP($A115,'Raw_Data'!$B:$B,'Raw_Data'!JB:JB),"")</f>
        <v>7.480036111111113E-2</v>
      </c>
      <c r="K115" s="236">
        <f>IFERROR(_xlfn.XLOOKUP($A115,'Raw_Data'!$B:$B,'Raw_Data'!JE:JE),"")</f>
        <v>26.995290723479794</v>
      </c>
      <c r="L115" s="236">
        <f>IFERROR(_xlfn.XLOOKUP($A115,'Raw_Data'!$B:$B,'Raw_Data'!JF:JF),"")</f>
        <v>31.201387332445645</v>
      </c>
      <c r="M115" s="236">
        <f>IFERROR(_xlfn.XLOOKUP($A115,'Raw_Data'!$B:$B,'Raw_Data'!JG:JG),"")</f>
        <v>3.5731489836750989</v>
      </c>
      <c r="N115" s="236">
        <f>IFERROR(_xlfn.XLOOKUP($A115,'Raw_Data'!$B:$B,'Raw_Data'!JH:JH),"")</f>
        <v>6.4863886666666666</v>
      </c>
      <c r="O115" s="237">
        <f>IFERROR(1-SUMIF(PA!$B:$B,$A115,PA!$AL:$AL)/($AA115+SUMIF(PA!$B:$B,$A115,PA!$AL:$AL)),"")</f>
        <v>0.9995017058555471</v>
      </c>
      <c r="P115" s="238"/>
      <c r="Q115" s="239"/>
      <c r="R115" s="240">
        <f>IFERROR(1-SUMIF(GA!$C:$C,$A115,GA!$X:$X)/($AA115+SUMIF(GA!$C:$C,$A115,GA!$X:$X)),"")</f>
        <v>1</v>
      </c>
      <c r="S115" s="186"/>
      <c r="T115" s="239"/>
      <c r="U115" s="237">
        <f t="shared" si="5"/>
        <v>0.89478425337735978</v>
      </c>
      <c r="V115" s="237">
        <f>IFERROR(_xlfn.XLOOKUP($A115,'Raw_Data'!$B:$B,'Raw_Data'!$JL:$JL),"")</f>
        <v>0.87786814773260136</v>
      </c>
      <c r="W115" s="240">
        <f t="shared" si="6"/>
        <v>8.7662754296589721E-2</v>
      </c>
      <c r="X115" s="228">
        <f>IFERROR(_xlfn.XLOOKUP($A115,'Raw_Data'!$B:$B,'Raw_Data'!$JI:$JI),"")</f>
        <v>713934.69999999972</v>
      </c>
      <c r="Y115" s="228">
        <f>IFERROR(_xlfn.XLOOKUP($A115,'Raw_Data'!$B:$B,'Raw_Data'!IT:IT),"")</f>
        <v>709399.99999996508</v>
      </c>
      <c r="Z115" s="228">
        <f>IFERROR(_xlfn.XLOOKUP($A115,'Raw_Data'!$B:$B,'Raw_Data'!IU:IU),"")</f>
        <v>4399.9999999999773</v>
      </c>
      <c r="AA115" s="228">
        <f>IFERROR(_xlfn.XLOOKUP($A115,'Raw_Data'!$B:$B,'Raw_Data'!IW:IW),"")</f>
        <v>704999.99999996508</v>
      </c>
      <c r="AB115" s="228">
        <f>IFERROR(_xlfn.XLOOKUP($A115,'Raw_Data'!$B:$B,'Raw_Data'!I:I)/1000,"")</f>
        <v>337.33884499999954</v>
      </c>
      <c r="AC115" s="241">
        <f>IFERROR(_xlfn.XLOOKUP($D115,'Modelling New'!$D:$D,'Modelling New'!$P:$P),"")</f>
        <v>5.4483870967741934</v>
      </c>
      <c r="AD115" s="228">
        <f>IFERROR(_xlfn.XLOOKUP($D115,'Modelling New'!$D:$D,'Modelling New'!$T:$T)*1000,"")</f>
        <v>1533620.9517254881</v>
      </c>
      <c r="AE115" s="240">
        <f>IFERROR(_xlfn.XLOOKUP($D115,'Modelling New'!$D:$D,'Modelling New'!$O:$O),"")</f>
        <v>0.84001552713942795</v>
      </c>
      <c r="AF115" s="240">
        <f>IFERROR(_xlfn.XLOOKUP($D115,'Modelling New'!$D:$D,'Modelling New'!$W:$W),"")</f>
        <v>0.19069707329818469</v>
      </c>
      <c r="AG115" s="240">
        <f>IFERROR(_xlfn.XLOOKUP($D115,'Modelling New'!$D:$D,'Modelling New'!AE:AE),"")</f>
        <v>0.99750000000000005</v>
      </c>
      <c r="AH115" s="240">
        <f>IFERROR(_xlfn.XLOOKUP($D115,'Modelling New'!$D:$D,'Modelling New'!AF:AF),"")</f>
        <v>0.99750000000000005</v>
      </c>
      <c r="AI115" s="186"/>
      <c r="AJ115" s="186"/>
      <c r="AK115" s="225"/>
      <c r="AL115" s="224">
        <f>IFERROR(Table13[[#This Row],[RA (%)]]*9270*58,"")</f>
        <v>0</v>
      </c>
      <c r="AM115" s="225"/>
      <c r="AN115" s="238"/>
      <c r="AO115" s="240"/>
      <c r="AP115" s="240"/>
      <c r="AQ115" s="240"/>
      <c r="AR115" s="242">
        <f>IFERROR(_xlfn.XLOOKUP($D115,'Modelling New'!$D:$D,'Modelling New'!$N:$N),"")</f>
        <v>335.09100000000001</v>
      </c>
    </row>
    <row r="116" spans="1:44">
      <c r="A116" s="233">
        <f t="shared" si="7"/>
        <v>45859</v>
      </c>
      <c r="B116" s="228">
        <f>YEAR(Table13[[#This Row],[Date]])+IF(MONTH(Table13[[#This Row],[Date]])&gt;=4,1,0)</f>
        <v>2026</v>
      </c>
      <c r="C116" s="186">
        <f>YEAR(Table13[[#This Row],[Date]])</f>
        <v>2025</v>
      </c>
      <c r="D116" s="234">
        <f>Table13[[#This Row],[Date]]-DAY(Table13[[#This Row],[Date]])+1</f>
        <v>45839</v>
      </c>
      <c r="E116" s="186">
        <f t="shared" si="8"/>
        <v>31</v>
      </c>
      <c r="F116" s="235" t="str">
        <f>IFERROR(_xlfn.XLOOKUP($A116,'Raw_Data'!$B:$B,'Raw_Data'!$IX:$IX),"")</f>
        <v/>
      </c>
      <c r="G116" s="236" t="str">
        <f>IFERROR(_xlfn.XLOOKUP($A116,'Raw_Data'!$B:$B,'Raw_Data'!IY:IY),"")</f>
        <v/>
      </c>
      <c r="H116" s="236" t="str">
        <f>IFERROR(_xlfn.XLOOKUP($A116,'Raw_Data'!$B:$B,'Raw_Data'!IZ:IZ),"")</f>
        <v/>
      </c>
      <c r="I116" s="236" t="str">
        <f>IFERROR(_xlfn.XLOOKUP($A116,'Raw_Data'!$B:$B,'Raw_Data'!JA:JA),"")</f>
        <v/>
      </c>
      <c r="J116" s="236" t="str">
        <f>IFERROR(_xlfn.XLOOKUP($A116,'Raw_Data'!$B:$B,'Raw_Data'!JB:JB),"")</f>
        <v/>
      </c>
      <c r="K116" s="236" t="str">
        <f>IFERROR(_xlfn.XLOOKUP($A116,'Raw_Data'!$B:$B,'Raw_Data'!JE:JE),"")</f>
        <v/>
      </c>
      <c r="L116" s="236" t="str">
        <f>IFERROR(_xlfn.XLOOKUP($A116,'Raw_Data'!$B:$B,'Raw_Data'!JF:JF),"")</f>
        <v/>
      </c>
      <c r="M116" s="236" t="str">
        <f>IFERROR(_xlfn.XLOOKUP($A116,'Raw_Data'!$B:$B,'Raw_Data'!JG:JG),"")</f>
        <v/>
      </c>
      <c r="N116" s="236" t="str">
        <f>IFERROR(_xlfn.XLOOKUP($A116,'Raw_Data'!$B:$B,'Raw_Data'!JH:JH),"")</f>
        <v/>
      </c>
      <c r="O116" s="237" t="str">
        <f>IFERROR(1-SUMIF(PA!$B:$B,$A116,PA!$AL:$AL)/($AA116+SUMIF(PA!$B:$B,$A116,PA!$AL:$AL)),"")</f>
        <v/>
      </c>
      <c r="P116" s="238"/>
      <c r="Q116" s="239"/>
      <c r="R116" s="240" t="str">
        <f>IFERROR(1-SUMIF(GA!$C:$C,$A116,GA!$X:$X)/($AA116+SUMIF(GA!$C:$C,$A116,GA!$X:$X)),"")</f>
        <v/>
      </c>
      <c r="S116" s="186"/>
      <c r="T116" s="239"/>
      <c r="U116" s="237" t="str">
        <f t="shared" si="5"/>
        <v/>
      </c>
      <c r="V116" s="237" t="str">
        <f>IFERROR(_xlfn.XLOOKUP($A116,'Raw_Data'!$B:$B,'Raw_Data'!$JL:$JL),"")</f>
        <v/>
      </c>
      <c r="W116" s="240" t="str">
        <f t="shared" si="6"/>
        <v/>
      </c>
      <c r="X116" s="228" t="str">
        <f>IFERROR(_xlfn.XLOOKUP($A116,'Raw_Data'!$B:$B,'Raw_Data'!$JI:$JI),"")</f>
        <v/>
      </c>
      <c r="Y116" s="228" t="str">
        <f>IFERROR(_xlfn.XLOOKUP($A116,'Raw_Data'!$B:$B,'Raw_Data'!IT:IT),"")</f>
        <v/>
      </c>
      <c r="Z116" s="228" t="str">
        <f>IFERROR(_xlfn.XLOOKUP($A116,'Raw_Data'!$B:$B,'Raw_Data'!IU:IU),"")</f>
        <v/>
      </c>
      <c r="AA116" s="228" t="str">
        <f>IFERROR(_xlfn.XLOOKUP($A116,'Raw_Data'!$B:$B,'Raw_Data'!IW:IW),"")</f>
        <v/>
      </c>
      <c r="AB116" s="228" t="str">
        <f>IFERROR(_xlfn.XLOOKUP($A116,'Raw_Data'!$B:$B,'Raw_Data'!I:I)/1000,"")</f>
        <v/>
      </c>
      <c r="AC116" s="241">
        <f>IFERROR(_xlfn.XLOOKUP($D116,'Modelling New'!$D:$D,'Modelling New'!$P:$P),"")</f>
        <v>5.4483870967741934</v>
      </c>
      <c r="AD116" s="228">
        <f>IFERROR(_xlfn.XLOOKUP($D116,'Modelling New'!$D:$D,'Modelling New'!$T:$T)*1000,"")</f>
        <v>1533620.9517254881</v>
      </c>
      <c r="AE116" s="240">
        <f>IFERROR(_xlfn.XLOOKUP($D116,'Modelling New'!$D:$D,'Modelling New'!$O:$O),"")</f>
        <v>0.84001552713942795</v>
      </c>
      <c r="AF116" s="240">
        <f>IFERROR(_xlfn.XLOOKUP($D116,'Modelling New'!$D:$D,'Modelling New'!$W:$W),"")</f>
        <v>0.19069707329818469</v>
      </c>
      <c r="AG116" s="240">
        <f>IFERROR(_xlfn.XLOOKUP($D116,'Modelling New'!$D:$D,'Modelling New'!AE:AE),"")</f>
        <v>0.99750000000000005</v>
      </c>
      <c r="AH116" s="240">
        <f>IFERROR(_xlfn.XLOOKUP($D116,'Modelling New'!$D:$D,'Modelling New'!AF:AF),"")</f>
        <v>0.99750000000000005</v>
      </c>
      <c r="AI116" s="186"/>
      <c r="AJ116" s="186"/>
      <c r="AK116" s="225"/>
      <c r="AL116" s="224">
        <f>IFERROR(Table13[[#This Row],[RA (%)]]*9270*58,"")</f>
        <v>0</v>
      </c>
      <c r="AM116" s="225"/>
      <c r="AN116" s="238"/>
      <c r="AO116" s="240"/>
      <c r="AP116" s="240"/>
      <c r="AQ116" s="240"/>
      <c r="AR116" s="242">
        <f>IFERROR(_xlfn.XLOOKUP($D116,'Modelling New'!$D:$D,'Modelling New'!$N:$N),"")</f>
        <v>335.09100000000001</v>
      </c>
    </row>
    <row r="117" spans="1:44">
      <c r="A117" s="233">
        <f t="shared" si="7"/>
        <v>45860</v>
      </c>
      <c r="B117" s="228">
        <f>YEAR(Table13[[#This Row],[Date]])+IF(MONTH(Table13[[#This Row],[Date]])&gt;=4,1,0)</f>
        <v>2026</v>
      </c>
      <c r="C117" s="186">
        <f>YEAR(Table13[[#This Row],[Date]])</f>
        <v>2025</v>
      </c>
      <c r="D117" s="234">
        <f>Table13[[#This Row],[Date]]-DAY(Table13[[#This Row],[Date]])+1</f>
        <v>45839</v>
      </c>
      <c r="E117" s="186">
        <f t="shared" si="8"/>
        <v>31</v>
      </c>
      <c r="F117" s="235" t="str">
        <f>IFERROR(_xlfn.XLOOKUP($A117,'Raw_Data'!$B:$B,'Raw_Data'!$IX:$IX),"")</f>
        <v/>
      </c>
      <c r="G117" s="236" t="str">
        <f>IFERROR(_xlfn.XLOOKUP($A117,'Raw_Data'!$B:$B,'Raw_Data'!IY:IY),"")</f>
        <v/>
      </c>
      <c r="H117" s="236" t="str">
        <f>IFERROR(_xlfn.XLOOKUP($A117,'Raw_Data'!$B:$B,'Raw_Data'!IZ:IZ),"")</f>
        <v/>
      </c>
      <c r="I117" s="236" t="str">
        <f>IFERROR(_xlfn.XLOOKUP($A117,'Raw_Data'!$B:$B,'Raw_Data'!JA:JA),"")</f>
        <v/>
      </c>
      <c r="J117" s="236" t="str">
        <f>IFERROR(_xlfn.XLOOKUP($A117,'Raw_Data'!$B:$B,'Raw_Data'!JB:JB),"")</f>
        <v/>
      </c>
      <c r="K117" s="236" t="str">
        <f>IFERROR(_xlfn.XLOOKUP($A117,'Raw_Data'!$B:$B,'Raw_Data'!JE:JE),"")</f>
        <v/>
      </c>
      <c r="L117" s="236" t="str">
        <f>IFERROR(_xlfn.XLOOKUP($A117,'Raw_Data'!$B:$B,'Raw_Data'!JF:JF),"")</f>
        <v/>
      </c>
      <c r="M117" s="236" t="str">
        <f>IFERROR(_xlfn.XLOOKUP($A117,'Raw_Data'!$B:$B,'Raw_Data'!JG:JG),"")</f>
        <v/>
      </c>
      <c r="N117" s="236" t="str">
        <f>IFERROR(_xlfn.XLOOKUP($A117,'Raw_Data'!$B:$B,'Raw_Data'!JH:JH),"")</f>
        <v/>
      </c>
      <c r="O117" s="237" t="str">
        <f>IFERROR(1-SUMIF(PA!$B:$B,$A117,PA!$AL:$AL)/($AA117+SUMIF(PA!$B:$B,$A117,PA!$AL:$AL)),"")</f>
        <v/>
      </c>
      <c r="P117" s="238"/>
      <c r="Q117" s="239"/>
      <c r="R117" s="240" t="str">
        <f>IFERROR(1-SUMIF(GA!$C:$C,$A117,GA!$X:$X)/($AA117+SUMIF(GA!$C:$C,$A117,GA!$X:$X)),"")</f>
        <v/>
      </c>
      <c r="S117" s="186"/>
      <c r="T117" s="239"/>
      <c r="U117" s="237" t="str">
        <f t="shared" si="5"/>
        <v/>
      </c>
      <c r="V117" s="237" t="str">
        <f>IFERROR(_xlfn.XLOOKUP($A117,'Raw_Data'!$B:$B,'Raw_Data'!$JL:$JL),"")</f>
        <v/>
      </c>
      <c r="W117" s="240" t="str">
        <f t="shared" si="6"/>
        <v/>
      </c>
      <c r="X117" s="228" t="str">
        <f>IFERROR(_xlfn.XLOOKUP($A117,'Raw_Data'!$B:$B,'Raw_Data'!$JI:$JI),"")</f>
        <v/>
      </c>
      <c r="Y117" s="228" t="str">
        <f>IFERROR(_xlfn.XLOOKUP($A117,'Raw_Data'!$B:$B,'Raw_Data'!IT:IT),"")</f>
        <v/>
      </c>
      <c r="Z117" s="228" t="str">
        <f>IFERROR(_xlfn.XLOOKUP($A117,'Raw_Data'!$B:$B,'Raw_Data'!IU:IU),"")</f>
        <v/>
      </c>
      <c r="AA117" s="228" t="str">
        <f>IFERROR(_xlfn.XLOOKUP($A117,'Raw_Data'!$B:$B,'Raw_Data'!IW:IW),"")</f>
        <v/>
      </c>
      <c r="AB117" s="228" t="str">
        <f>IFERROR(_xlfn.XLOOKUP($A117,'Raw_Data'!$B:$B,'Raw_Data'!I:I)/1000,"")</f>
        <v/>
      </c>
      <c r="AC117" s="241">
        <f>IFERROR(_xlfn.XLOOKUP($D117,'Modelling New'!$D:$D,'Modelling New'!$P:$P),"")</f>
        <v>5.4483870967741934</v>
      </c>
      <c r="AD117" s="228">
        <f>IFERROR(_xlfn.XLOOKUP($D117,'Modelling New'!$D:$D,'Modelling New'!$T:$T)*1000,"")</f>
        <v>1533620.9517254881</v>
      </c>
      <c r="AE117" s="240">
        <f>IFERROR(_xlfn.XLOOKUP($D117,'Modelling New'!$D:$D,'Modelling New'!$O:$O),"")</f>
        <v>0.84001552713942795</v>
      </c>
      <c r="AF117" s="240">
        <f>IFERROR(_xlfn.XLOOKUP($D117,'Modelling New'!$D:$D,'Modelling New'!$W:$W),"")</f>
        <v>0.19069707329818469</v>
      </c>
      <c r="AG117" s="240">
        <f>IFERROR(_xlfn.XLOOKUP($D117,'Modelling New'!$D:$D,'Modelling New'!AE:AE),"")</f>
        <v>0.99750000000000005</v>
      </c>
      <c r="AH117" s="240">
        <f>IFERROR(_xlfn.XLOOKUP($D117,'Modelling New'!$D:$D,'Modelling New'!AF:AF),"")</f>
        <v>0.99750000000000005</v>
      </c>
      <c r="AI117" s="186"/>
      <c r="AJ117" s="186"/>
      <c r="AK117" s="225"/>
      <c r="AL117" s="224">
        <f>IFERROR(Table13[[#This Row],[RA (%)]]*9270*58,"")</f>
        <v>0</v>
      </c>
      <c r="AM117" s="225"/>
      <c r="AN117" s="238"/>
      <c r="AO117" s="240"/>
      <c r="AP117" s="240"/>
      <c r="AQ117" s="240"/>
      <c r="AR117" s="242">
        <f>IFERROR(_xlfn.XLOOKUP($D117,'Modelling New'!$D:$D,'Modelling New'!$N:$N),"")</f>
        <v>335.09100000000001</v>
      </c>
    </row>
    <row r="118" spans="1:44">
      <c r="A118" s="233">
        <f t="shared" si="7"/>
        <v>45861</v>
      </c>
      <c r="B118" s="228">
        <f>YEAR(Table13[[#This Row],[Date]])+IF(MONTH(Table13[[#This Row],[Date]])&gt;=4,1,0)</f>
        <v>2026</v>
      </c>
      <c r="C118" s="186">
        <f>YEAR(Table13[[#This Row],[Date]])</f>
        <v>2025</v>
      </c>
      <c r="D118" s="234">
        <f>Table13[[#This Row],[Date]]-DAY(Table13[[#This Row],[Date]])+1</f>
        <v>45839</v>
      </c>
      <c r="E118" s="186">
        <f t="shared" si="8"/>
        <v>31</v>
      </c>
      <c r="F118" s="235" t="str">
        <f>IFERROR(_xlfn.XLOOKUP($A118,'Raw_Data'!$B:$B,'Raw_Data'!$IX:$IX),"")</f>
        <v/>
      </c>
      <c r="G118" s="236" t="str">
        <f>IFERROR(_xlfn.XLOOKUP($A118,'Raw_Data'!$B:$B,'Raw_Data'!IY:IY),"")</f>
        <v/>
      </c>
      <c r="H118" s="236" t="str">
        <f>IFERROR(_xlfn.XLOOKUP($A118,'Raw_Data'!$B:$B,'Raw_Data'!IZ:IZ),"")</f>
        <v/>
      </c>
      <c r="I118" s="236" t="str">
        <f>IFERROR(_xlfn.XLOOKUP($A118,'Raw_Data'!$B:$B,'Raw_Data'!JA:JA),"")</f>
        <v/>
      </c>
      <c r="J118" s="236" t="str">
        <f>IFERROR(_xlfn.XLOOKUP($A118,'Raw_Data'!$B:$B,'Raw_Data'!JB:JB),"")</f>
        <v/>
      </c>
      <c r="K118" s="236" t="str">
        <f>IFERROR(_xlfn.XLOOKUP($A118,'Raw_Data'!$B:$B,'Raw_Data'!JE:JE),"")</f>
        <v/>
      </c>
      <c r="L118" s="236" t="str">
        <f>IFERROR(_xlfn.XLOOKUP($A118,'Raw_Data'!$B:$B,'Raw_Data'!JF:JF),"")</f>
        <v/>
      </c>
      <c r="M118" s="236" t="str">
        <f>IFERROR(_xlfn.XLOOKUP($A118,'Raw_Data'!$B:$B,'Raw_Data'!JG:JG),"")</f>
        <v/>
      </c>
      <c r="N118" s="236" t="str">
        <f>IFERROR(_xlfn.XLOOKUP($A118,'Raw_Data'!$B:$B,'Raw_Data'!JH:JH),"")</f>
        <v/>
      </c>
      <c r="O118" s="237" t="str">
        <f>IFERROR(1-SUMIF(PA!$B:$B,$A118,PA!$AL:$AL)/($AA118+SUMIF(PA!$B:$B,$A118,PA!$AL:$AL)),"")</f>
        <v/>
      </c>
      <c r="P118" s="238"/>
      <c r="Q118" s="239"/>
      <c r="R118" s="240" t="str">
        <f>IFERROR(1-SUMIF(GA!$C:$C,$A118,GA!$X:$X)/($AA118+SUMIF(GA!$C:$C,$A118,GA!$X:$X)),"")</f>
        <v/>
      </c>
      <c r="S118" s="186"/>
      <c r="T118" s="239"/>
      <c r="U118" s="237" t="str">
        <f t="shared" si="5"/>
        <v/>
      </c>
      <c r="V118" s="237" t="str">
        <f>IFERROR(_xlfn.XLOOKUP($A118,'Raw_Data'!$B:$B,'Raw_Data'!$JL:$JL),"")</f>
        <v/>
      </c>
      <c r="W118" s="240" t="str">
        <f t="shared" si="6"/>
        <v/>
      </c>
      <c r="X118" s="228" t="str">
        <f>IFERROR(_xlfn.XLOOKUP($A118,'Raw_Data'!$B:$B,'Raw_Data'!$JI:$JI),"")</f>
        <v/>
      </c>
      <c r="Y118" s="228" t="str">
        <f>IFERROR(_xlfn.XLOOKUP($A118,'Raw_Data'!$B:$B,'Raw_Data'!IT:IT),"")</f>
        <v/>
      </c>
      <c r="Z118" s="228" t="str">
        <f>IFERROR(_xlfn.XLOOKUP($A118,'Raw_Data'!$B:$B,'Raw_Data'!IU:IU),"")</f>
        <v/>
      </c>
      <c r="AA118" s="228" t="str">
        <f>IFERROR(_xlfn.XLOOKUP($A118,'Raw_Data'!$B:$B,'Raw_Data'!IW:IW),"")</f>
        <v/>
      </c>
      <c r="AB118" s="228" t="str">
        <f>IFERROR(_xlfn.XLOOKUP($A118,'Raw_Data'!$B:$B,'Raw_Data'!I:I)/1000,"")</f>
        <v/>
      </c>
      <c r="AC118" s="241">
        <f>IFERROR(_xlfn.XLOOKUP($D118,'Modelling New'!$D:$D,'Modelling New'!$P:$P),"")</f>
        <v>5.4483870967741934</v>
      </c>
      <c r="AD118" s="228">
        <f>IFERROR(_xlfn.XLOOKUP($D118,'Modelling New'!$D:$D,'Modelling New'!$T:$T)*1000,"")</f>
        <v>1533620.9517254881</v>
      </c>
      <c r="AE118" s="240">
        <f>IFERROR(_xlfn.XLOOKUP($D118,'Modelling New'!$D:$D,'Modelling New'!$O:$O),"")</f>
        <v>0.84001552713942795</v>
      </c>
      <c r="AF118" s="240">
        <f>IFERROR(_xlfn.XLOOKUP($D118,'Modelling New'!$D:$D,'Modelling New'!$W:$W),"")</f>
        <v>0.19069707329818469</v>
      </c>
      <c r="AG118" s="240">
        <f>IFERROR(_xlfn.XLOOKUP($D118,'Modelling New'!$D:$D,'Modelling New'!AE:AE),"")</f>
        <v>0.99750000000000005</v>
      </c>
      <c r="AH118" s="240">
        <f>IFERROR(_xlfn.XLOOKUP($D118,'Modelling New'!$D:$D,'Modelling New'!AF:AF),"")</f>
        <v>0.99750000000000005</v>
      </c>
      <c r="AI118" s="186"/>
      <c r="AJ118" s="186"/>
      <c r="AK118" s="225"/>
      <c r="AL118" s="224">
        <f>IFERROR(Table13[[#This Row],[RA (%)]]*9270*58,"")</f>
        <v>0</v>
      </c>
      <c r="AM118" s="225"/>
      <c r="AN118" s="238"/>
      <c r="AO118" s="240"/>
      <c r="AP118" s="240"/>
      <c r="AQ118" s="240"/>
      <c r="AR118" s="242">
        <f>IFERROR(_xlfn.XLOOKUP($D118,'Modelling New'!$D:$D,'Modelling New'!$N:$N),"")</f>
        <v>335.09100000000001</v>
      </c>
    </row>
    <row r="119" spans="1:44">
      <c r="A119" s="233">
        <f t="shared" si="7"/>
        <v>45862</v>
      </c>
      <c r="B119" s="228">
        <f>YEAR(Table13[[#This Row],[Date]])+IF(MONTH(Table13[[#This Row],[Date]])&gt;=4,1,0)</f>
        <v>2026</v>
      </c>
      <c r="C119" s="186">
        <f>YEAR(Table13[[#This Row],[Date]])</f>
        <v>2025</v>
      </c>
      <c r="D119" s="234">
        <f>Table13[[#This Row],[Date]]-DAY(Table13[[#This Row],[Date]])+1</f>
        <v>45839</v>
      </c>
      <c r="E119" s="186">
        <f t="shared" si="8"/>
        <v>31</v>
      </c>
      <c r="F119" s="235" t="str">
        <f>IFERROR(_xlfn.XLOOKUP($A119,'Raw_Data'!$B:$B,'Raw_Data'!$IX:$IX),"")</f>
        <v/>
      </c>
      <c r="G119" s="236" t="str">
        <f>IFERROR(_xlfn.XLOOKUP($A119,'Raw_Data'!$B:$B,'Raw_Data'!IY:IY),"")</f>
        <v/>
      </c>
      <c r="H119" s="236" t="str">
        <f>IFERROR(_xlfn.XLOOKUP($A119,'Raw_Data'!$B:$B,'Raw_Data'!IZ:IZ),"")</f>
        <v/>
      </c>
      <c r="I119" s="236" t="str">
        <f>IFERROR(_xlfn.XLOOKUP($A119,'Raw_Data'!$B:$B,'Raw_Data'!JA:JA),"")</f>
        <v/>
      </c>
      <c r="J119" s="236" t="str">
        <f>IFERROR(_xlfn.XLOOKUP($A119,'Raw_Data'!$B:$B,'Raw_Data'!JB:JB),"")</f>
        <v/>
      </c>
      <c r="K119" s="236" t="str">
        <f>IFERROR(_xlfn.XLOOKUP($A119,'Raw_Data'!$B:$B,'Raw_Data'!JE:JE),"")</f>
        <v/>
      </c>
      <c r="L119" s="236" t="str">
        <f>IFERROR(_xlfn.XLOOKUP($A119,'Raw_Data'!$B:$B,'Raw_Data'!JF:JF),"")</f>
        <v/>
      </c>
      <c r="M119" s="236" t="str">
        <f>IFERROR(_xlfn.XLOOKUP($A119,'Raw_Data'!$B:$B,'Raw_Data'!JG:JG),"")</f>
        <v/>
      </c>
      <c r="N119" s="236" t="str">
        <f>IFERROR(_xlfn.XLOOKUP($A119,'Raw_Data'!$B:$B,'Raw_Data'!JH:JH),"")</f>
        <v/>
      </c>
      <c r="O119" s="237" t="str">
        <f>IFERROR(1-SUMIF(PA!$B:$B,$A119,PA!$AL:$AL)/($AA119+SUMIF(PA!$B:$B,$A119,PA!$AL:$AL)),"")</f>
        <v/>
      </c>
      <c r="P119" s="238"/>
      <c r="Q119" s="239"/>
      <c r="R119" s="240" t="str">
        <f>IFERROR(1-SUMIF(GA!$C:$C,$A119,GA!$X:$X)/($AA119+SUMIF(GA!$C:$C,$A119,GA!$X:$X)),"")</f>
        <v/>
      </c>
      <c r="S119" s="186"/>
      <c r="T119" s="239"/>
      <c r="U119" s="237" t="str">
        <f t="shared" si="5"/>
        <v/>
      </c>
      <c r="V119" s="237" t="str">
        <f>IFERROR(_xlfn.XLOOKUP($A119,'Raw_Data'!$B:$B,'Raw_Data'!$JL:$JL),"")</f>
        <v/>
      </c>
      <c r="W119" s="240" t="str">
        <f t="shared" si="6"/>
        <v/>
      </c>
      <c r="X119" s="228" t="str">
        <f>IFERROR(_xlfn.XLOOKUP($A119,'Raw_Data'!$B:$B,'Raw_Data'!$JI:$JI),"")</f>
        <v/>
      </c>
      <c r="Y119" s="228" t="str">
        <f>IFERROR(_xlfn.XLOOKUP($A119,'Raw_Data'!$B:$B,'Raw_Data'!IT:IT),"")</f>
        <v/>
      </c>
      <c r="Z119" s="228" t="str">
        <f>IFERROR(_xlfn.XLOOKUP($A119,'Raw_Data'!$B:$B,'Raw_Data'!IU:IU),"")</f>
        <v/>
      </c>
      <c r="AA119" s="228" t="str">
        <f>IFERROR(_xlfn.XLOOKUP($A119,'Raw_Data'!$B:$B,'Raw_Data'!IW:IW),"")</f>
        <v/>
      </c>
      <c r="AB119" s="228" t="str">
        <f>IFERROR(_xlfn.XLOOKUP($A119,'Raw_Data'!$B:$B,'Raw_Data'!I:I)/1000,"")</f>
        <v/>
      </c>
      <c r="AC119" s="241">
        <f>IFERROR(_xlfn.XLOOKUP($D119,'Modelling New'!$D:$D,'Modelling New'!$P:$P),"")</f>
        <v>5.4483870967741934</v>
      </c>
      <c r="AD119" s="228">
        <f>IFERROR(_xlfn.XLOOKUP($D119,'Modelling New'!$D:$D,'Modelling New'!$T:$T)*1000,"")</f>
        <v>1533620.9517254881</v>
      </c>
      <c r="AE119" s="240">
        <f>IFERROR(_xlfn.XLOOKUP($D119,'Modelling New'!$D:$D,'Modelling New'!$O:$O),"")</f>
        <v>0.84001552713942795</v>
      </c>
      <c r="AF119" s="240">
        <f>IFERROR(_xlfn.XLOOKUP($D119,'Modelling New'!$D:$D,'Modelling New'!$W:$W),"")</f>
        <v>0.19069707329818469</v>
      </c>
      <c r="AG119" s="240">
        <f>IFERROR(_xlfn.XLOOKUP($D119,'Modelling New'!$D:$D,'Modelling New'!AE:AE),"")</f>
        <v>0.99750000000000005</v>
      </c>
      <c r="AH119" s="240">
        <f>IFERROR(_xlfn.XLOOKUP($D119,'Modelling New'!$D:$D,'Modelling New'!AF:AF),"")</f>
        <v>0.99750000000000005</v>
      </c>
      <c r="AI119" s="186"/>
      <c r="AJ119" s="186"/>
      <c r="AK119" s="225"/>
      <c r="AL119" s="224">
        <f>IFERROR(Table13[[#This Row],[RA (%)]]*9270*58,"")</f>
        <v>0</v>
      </c>
      <c r="AM119" s="225"/>
      <c r="AN119" s="238"/>
      <c r="AO119" s="240"/>
      <c r="AP119" s="240"/>
      <c r="AQ119" s="240"/>
      <c r="AR119" s="242">
        <f>IFERROR(_xlfn.XLOOKUP($D119,'Modelling New'!$D:$D,'Modelling New'!$N:$N),"")</f>
        <v>335.09100000000001</v>
      </c>
    </row>
    <row r="120" spans="1:44">
      <c r="A120" s="233">
        <f t="shared" si="7"/>
        <v>45863</v>
      </c>
      <c r="B120" s="228">
        <f>YEAR(Table13[[#This Row],[Date]])+IF(MONTH(Table13[[#This Row],[Date]])&gt;=4,1,0)</f>
        <v>2026</v>
      </c>
      <c r="C120" s="186">
        <f>YEAR(Table13[[#This Row],[Date]])</f>
        <v>2025</v>
      </c>
      <c r="D120" s="234">
        <f>Table13[[#This Row],[Date]]-DAY(Table13[[#This Row],[Date]])+1</f>
        <v>45839</v>
      </c>
      <c r="E120" s="186">
        <f t="shared" si="8"/>
        <v>31</v>
      </c>
      <c r="F120" s="235" t="str">
        <f>IFERROR(_xlfn.XLOOKUP($A120,'Raw_Data'!$B:$B,'Raw_Data'!$IX:$IX),"")</f>
        <v/>
      </c>
      <c r="G120" s="236" t="str">
        <f>IFERROR(_xlfn.XLOOKUP($A120,'Raw_Data'!$B:$B,'Raw_Data'!IY:IY),"")</f>
        <v/>
      </c>
      <c r="H120" s="236" t="str">
        <f>IFERROR(_xlfn.XLOOKUP($A120,'Raw_Data'!$B:$B,'Raw_Data'!IZ:IZ),"")</f>
        <v/>
      </c>
      <c r="I120" s="236" t="str">
        <f>IFERROR(_xlfn.XLOOKUP($A120,'Raw_Data'!$B:$B,'Raw_Data'!JA:JA),"")</f>
        <v/>
      </c>
      <c r="J120" s="236" t="str">
        <f>IFERROR(_xlfn.XLOOKUP($A120,'Raw_Data'!$B:$B,'Raw_Data'!JB:JB),"")</f>
        <v/>
      </c>
      <c r="K120" s="236" t="str">
        <f>IFERROR(_xlfn.XLOOKUP($A120,'Raw_Data'!$B:$B,'Raw_Data'!JE:JE),"")</f>
        <v/>
      </c>
      <c r="L120" s="236" t="str">
        <f>IFERROR(_xlfn.XLOOKUP($A120,'Raw_Data'!$B:$B,'Raw_Data'!JF:JF),"")</f>
        <v/>
      </c>
      <c r="M120" s="236" t="str">
        <f>IFERROR(_xlfn.XLOOKUP($A120,'Raw_Data'!$B:$B,'Raw_Data'!JG:JG),"")</f>
        <v/>
      </c>
      <c r="N120" s="236" t="str">
        <f>IFERROR(_xlfn.XLOOKUP($A120,'Raw_Data'!$B:$B,'Raw_Data'!JH:JH),"")</f>
        <v/>
      </c>
      <c r="O120" s="237" t="str">
        <f>IFERROR(1-SUMIF(PA!$B:$B,$A120,PA!$AL:$AL)/($AA120+SUMIF(PA!$B:$B,$A120,PA!$AL:$AL)),"")</f>
        <v/>
      </c>
      <c r="P120" s="238"/>
      <c r="Q120" s="239"/>
      <c r="R120" s="240" t="str">
        <f>IFERROR(1-SUMIF(GA!$C:$C,$A120,GA!$X:$X)/($AA120+SUMIF(GA!$C:$C,$A120,GA!$X:$X)),"")</f>
        <v/>
      </c>
      <c r="S120" s="186"/>
      <c r="T120" s="239"/>
      <c r="U120" s="237" t="str">
        <f t="shared" si="5"/>
        <v/>
      </c>
      <c r="V120" s="237" t="str">
        <f>IFERROR(_xlfn.XLOOKUP($A120,'Raw_Data'!$B:$B,'Raw_Data'!$JL:$JL),"")</f>
        <v/>
      </c>
      <c r="W120" s="240" t="str">
        <f t="shared" si="6"/>
        <v/>
      </c>
      <c r="X120" s="228" t="str">
        <f>IFERROR(_xlfn.XLOOKUP($A120,'Raw_Data'!$B:$B,'Raw_Data'!$JI:$JI),"")</f>
        <v/>
      </c>
      <c r="Y120" s="228" t="str">
        <f>IFERROR(_xlfn.XLOOKUP($A120,'Raw_Data'!$B:$B,'Raw_Data'!IT:IT),"")</f>
        <v/>
      </c>
      <c r="Z120" s="228" t="str">
        <f>IFERROR(_xlfn.XLOOKUP($A120,'Raw_Data'!$B:$B,'Raw_Data'!IU:IU),"")</f>
        <v/>
      </c>
      <c r="AA120" s="228" t="str">
        <f>IFERROR(_xlfn.XLOOKUP($A120,'Raw_Data'!$B:$B,'Raw_Data'!IW:IW),"")</f>
        <v/>
      </c>
      <c r="AB120" s="228" t="str">
        <f>IFERROR(_xlfn.XLOOKUP($A120,'Raw_Data'!$B:$B,'Raw_Data'!I:I)/1000,"")</f>
        <v/>
      </c>
      <c r="AC120" s="241">
        <f>IFERROR(_xlfn.XLOOKUP($D120,'Modelling New'!$D:$D,'Modelling New'!$P:$P),"")</f>
        <v>5.4483870967741934</v>
      </c>
      <c r="AD120" s="228">
        <f>IFERROR(_xlfn.XLOOKUP($D120,'Modelling New'!$D:$D,'Modelling New'!$T:$T)*1000,"")</f>
        <v>1533620.9517254881</v>
      </c>
      <c r="AE120" s="240">
        <f>IFERROR(_xlfn.XLOOKUP($D120,'Modelling New'!$D:$D,'Modelling New'!$O:$O),"")</f>
        <v>0.84001552713942795</v>
      </c>
      <c r="AF120" s="240">
        <f>IFERROR(_xlfn.XLOOKUP($D120,'Modelling New'!$D:$D,'Modelling New'!$W:$W),"")</f>
        <v>0.19069707329818469</v>
      </c>
      <c r="AG120" s="240">
        <f>IFERROR(_xlfn.XLOOKUP($D120,'Modelling New'!$D:$D,'Modelling New'!AE:AE),"")</f>
        <v>0.99750000000000005</v>
      </c>
      <c r="AH120" s="240">
        <f>IFERROR(_xlfn.XLOOKUP($D120,'Modelling New'!$D:$D,'Modelling New'!AF:AF),"")</f>
        <v>0.99750000000000005</v>
      </c>
      <c r="AI120" s="186"/>
      <c r="AJ120" s="186"/>
      <c r="AK120" s="225"/>
      <c r="AL120" s="224">
        <f>IFERROR(Table13[[#This Row],[RA (%)]]*9270*58,"")</f>
        <v>0</v>
      </c>
      <c r="AM120" s="225"/>
      <c r="AN120" s="238"/>
      <c r="AO120" s="240"/>
      <c r="AP120" s="240"/>
      <c r="AQ120" s="240"/>
      <c r="AR120" s="242">
        <f>IFERROR(_xlfn.XLOOKUP($D120,'Modelling New'!$D:$D,'Modelling New'!$N:$N),"")</f>
        <v>335.09100000000001</v>
      </c>
    </row>
    <row r="121" spans="1:44">
      <c r="A121" s="233">
        <f t="shared" si="7"/>
        <v>45864</v>
      </c>
      <c r="B121" s="228">
        <f>YEAR(Table13[[#This Row],[Date]])+IF(MONTH(Table13[[#This Row],[Date]])&gt;=4,1,0)</f>
        <v>2026</v>
      </c>
      <c r="C121" s="186">
        <f>YEAR(Table13[[#This Row],[Date]])</f>
        <v>2025</v>
      </c>
      <c r="D121" s="234">
        <f>Table13[[#This Row],[Date]]-DAY(Table13[[#This Row],[Date]])+1</f>
        <v>45839</v>
      </c>
      <c r="E121" s="186">
        <f t="shared" si="8"/>
        <v>31</v>
      </c>
      <c r="F121" s="235" t="str">
        <f>IFERROR(_xlfn.XLOOKUP($A121,'Raw_Data'!$B:$B,'Raw_Data'!$IX:$IX),"")</f>
        <v/>
      </c>
      <c r="G121" s="236" t="str">
        <f>IFERROR(_xlfn.XLOOKUP($A121,'Raw_Data'!$B:$B,'Raw_Data'!IY:IY),"")</f>
        <v/>
      </c>
      <c r="H121" s="236" t="str">
        <f>IFERROR(_xlfn.XLOOKUP($A121,'Raw_Data'!$B:$B,'Raw_Data'!IZ:IZ),"")</f>
        <v/>
      </c>
      <c r="I121" s="236" t="str">
        <f>IFERROR(_xlfn.XLOOKUP($A121,'Raw_Data'!$B:$B,'Raw_Data'!JA:JA),"")</f>
        <v/>
      </c>
      <c r="J121" s="236" t="str">
        <f>IFERROR(_xlfn.XLOOKUP($A121,'Raw_Data'!$B:$B,'Raw_Data'!JB:JB),"")</f>
        <v/>
      </c>
      <c r="K121" s="236" t="str">
        <f>IFERROR(_xlfn.XLOOKUP($A121,'Raw_Data'!$B:$B,'Raw_Data'!JE:JE),"")</f>
        <v/>
      </c>
      <c r="L121" s="236" t="str">
        <f>IFERROR(_xlfn.XLOOKUP($A121,'Raw_Data'!$B:$B,'Raw_Data'!JF:JF),"")</f>
        <v/>
      </c>
      <c r="M121" s="236" t="str">
        <f>IFERROR(_xlfn.XLOOKUP($A121,'Raw_Data'!$B:$B,'Raw_Data'!JG:JG),"")</f>
        <v/>
      </c>
      <c r="N121" s="236" t="str">
        <f>IFERROR(_xlfn.XLOOKUP($A121,'Raw_Data'!$B:$B,'Raw_Data'!JH:JH),"")</f>
        <v/>
      </c>
      <c r="O121" s="237" t="str">
        <f>IFERROR(1-SUMIF(PA!$B:$B,$A121,PA!$AL:$AL)/($AA121+SUMIF(PA!$B:$B,$A121,PA!$AL:$AL)),"")</f>
        <v/>
      </c>
      <c r="P121" s="238"/>
      <c r="Q121" s="239"/>
      <c r="R121" s="240" t="str">
        <f>IFERROR(1-SUMIF(GA!$C:$C,$A121,GA!$X:$X)/($AA121+SUMIF(GA!$C:$C,$A121,GA!$X:$X)),"")</f>
        <v/>
      </c>
      <c r="S121" s="186"/>
      <c r="T121" s="239"/>
      <c r="U121" s="237" t="str">
        <f t="shared" si="5"/>
        <v/>
      </c>
      <c r="V121" s="237" t="str">
        <f>IFERROR(_xlfn.XLOOKUP($A121,'Raw_Data'!$B:$B,'Raw_Data'!$JL:$JL),"")</f>
        <v/>
      </c>
      <c r="W121" s="240" t="str">
        <f t="shared" si="6"/>
        <v/>
      </c>
      <c r="X121" s="228" t="str">
        <f>IFERROR(_xlfn.XLOOKUP($A121,'Raw_Data'!$B:$B,'Raw_Data'!$JI:$JI),"")</f>
        <v/>
      </c>
      <c r="Y121" s="228" t="str">
        <f>IFERROR(_xlfn.XLOOKUP($A121,'Raw_Data'!$B:$B,'Raw_Data'!IT:IT),"")</f>
        <v/>
      </c>
      <c r="Z121" s="228" t="str">
        <f>IFERROR(_xlfn.XLOOKUP($A121,'Raw_Data'!$B:$B,'Raw_Data'!IU:IU),"")</f>
        <v/>
      </c>
      <c r="AA121" s="228" t="str">
        <f>IFERROR(_xlfn.XLOOKUP($A121,'Raw_Data'!$B:$B,'Raw_Data'!IW:IW),"")</f>
        <v/>
      </c>
      <c r="AB121" s="228" t="str">
        <f>IFERROR(_xlfn.XLOOKUP($A121,'Raw_Data'!$B:$B,'Raw_Data'!I:I)/1000,"")</f>
        <v/>
      </c>
      <c r="AC121" s="241">
        <f>IFERROR(_xlfn.XLOOKUP($D121,'Modelling New'!$D:$D,'Modelling New'!$P:$P),"")</f>
        <v>5.4483870967741934</v>
      </c>
      <c r="AD121" s="228">
        <f>IFERROR(_xlfn.XLOOKUP($D121,'Modelling New'!$D:$D,'Modelling New'!$T:$T)*1000,"")</f>
        <v>1533620.9517254881</v>
      </c>
      <c r="AE121" s="240">
        <f>IFERROR(_xlfn.XLOOKUP($D121,'Modelling New'!$D:$D,'Modelling New'!$O:$O),"")</f>
        <v>0.84001552713942795</v>
      </c>
      <c r="AF121" s="240">
        <f>IFERROR(_xlfn.XLOOKUP($D121,'Modelling New'!$D:$D,'Modelling New'!$W:$W),"")</f>
        <v>0.19069707329818469</v>
      </c>
      <c r="AG121" s="240">
        <f>IFERROR(_xlfn.XLOOKUP($D121,'Modelling New'!$D:$D,'Modelling New'!AE:AE),"")</f>
        <v>0.99750000000000005</v>
      </c>
      <c r="AH121" s="240">
        <f>IFERROR(_xlfn.XLOOKUP($D121,'Modelling New'!$D:$D,'Modelling New'!AF:AF),"")</f>
        <v>0.99750000000000005</v>
      </c>
      <c r="AI121" s="186"/>
      <c r="AJ121" s="186"/>
      <c r="AK121" s="225"/>
      <c r="AL121" s="224">
        <f>IFERROR(Table13[[#This Row],[RA (%)]]*9270*58,"")</f>
        <v>0</v>
      </c>
      <c r="AM121" s="225"/>
      <c r="AN121" s="238"/>
      <c r="AO121" s="240"/>
      <c r="AP121" s="240"/>
      <c r="AQ121" s="240"/>
      <c r="AR121" s="242">
        <f>IFERROR(_xlfn.XLOOKUP($D121,'Modelling New'!$D:$D,'Modelling New'!$N:$N),"")</f>
        <v>335.09100000000001</v>
      </c>
    </row>
    <row r="122" spans="1:44">
      <c r="A122" s="233">
        <f t="shared" si="7"/>
        <v>45865</v>
      </c>
      <c r="B122" s="228">
        <f>YEAR(Table13[[#This Row],[Date]])+IF(MONTH(Table13[[#This Row],[Date]])&gt;=4,1,0)</f>
        <v>2026</v>
      </c>
      <c r="C122" s="186">
        <f>YEAR(Table13[[#This Row],[Date]])</f>
        <v>2025</v>
      </c>
      <c r="D122" s="234">
        <f>Table13[[#This Row],[Date]]-DAY(Table13[[#This Row],[Date]])+1</f>
        <v>45839</v>
      </c>
      <c r="E122" s="186">
        <f t="shared" si="8"/>
        <v>31</v>
      </c>
      <c r="F122" s="235" t="str">
        <f>IFERROR(_xlfn.XLOOKUP($A122,'Raw_Data'!$B:$B,'Raw_Data'!$IX:$IX),"")</f>
        <v/>
      </c>
      <c r="G122" s="236" t="str">
        <f>IFERROR(_xlfn.XLOOKUP($A122,'Raw_Data'!$B:$B,'Raw_Data'!IY:IY),"")</f>
        <v/>
      </c>
      <c r="H122" s="236" t="str">
        <f>IFERROR(_xlfn.XLOOKUP($A122,'Raw_Data'!$B:$B,'Raw_Data'!IZ:IZ),"")</f>
        <v/>
      </c>
      <c r="I122" s="236" t="str">
        <f>IFERROR(_xlfn.XLOOKUP($A122,'Raw_Data'!$B:$B,'Raw_Data'!JA:JA),"")</f>
        <v/>
      </c>
      <c r="J122" s="236" t="str">
        <f>IFERROR(_xlfn.XLOOKUP($A122,'Raw_Data'!$B:$B,'Raw_Data'!JB:JB),"")</f>
        <v/>
      </c>
      <c r="K122" s="236" t="str">
        <f>IFERROR(_xlfn.XLOOKUP($A122,'Raw_Data'!$B:$B,'Raw_Data'!JE:JE),"")</f>
        <v/>
      </c>
      <c r="L122" s="236" t="str">
        <f>IFERROR(_xlfn.XLOOKUP($A122,'Raw_Data'!$B:$B,'Raw_Data'!JF:JF),"")</f>
        <v/>
      </c>
      <c r="M122" s="236" t="str">
        <f>IFERROR(_xlfn.XLOOKUP($A122,'Raw_Data'!$B:$B,'Raw_Data'!JG:JG),"")</f>
        <v/>
      </c>
      <c r="N122" s="236" t="str">
        <f>IFERROR(_xlfn.XLOOKUP($A122,'Raw_Data'!$B:$B,'Raw_Data'!JH:JH),"")</f>
        <v/>
      </c>
      <c r="O122" s="237" t="str">
        <f>IFERROR(1-SUMIF(PA!$B:$B,$A122,PA!$AL:$AL)/($AA122+SUMIF(PA!$B:$B,$A122,PA!$AL:$AL)),"")</f>
        <v/>
      </c>
      <c r="P122" s="238"/>
      <c r="Q122" s="239"/>
      <c r="R122" s="240" t="str">
        <f>IFERROR(1-SUMIF(GA!$C:$C,$A122,GA!$X:$X)/($AA122+SUMIF(GA!$C:$C,$A122,GA!$X:$X)),"")</f>
        <v/>
      </c>
      <c r="S122" s="186"/>
      <c r="T122" s="239"/>
      <c r="U122" s="237" t="str">
        <f t="shared" si="5"/>
        <v/>
      </c>
      <c r="V122" s="237" t="str">
        <f>IFERROR(_xlfn.XLOOKUP($A122,'Raw_Data'!$B:$B,'Raw_Data'!$JL:$JL),"")</f>
        <v/>
      </c>
      <c r="W122" s="240" t="str">
        <f t="shared" si="6"/>
        <v/>
      </c>
      <c r="X122" s="228" t="str">
        <f>IFERROR(_xlfn.XLOOKUP($A122,'Raw_Data'!$B:$B,'Raw_Data'!$JI:$JI),"")</f>
        <v/>
      </c>
      <c r="Y122" s="228" t="str">
        <f>IFERROR(_xlfn.XLOOKUP($A122,'Raw_Data'!$B:$B,'Raw_Data'!IT:IT),"")</f>
        <v/>
      </c>
      <c r="Z122" s="228" t="str">
        <f>IFERROR(_xlfn.XLOOKUP($A122,'Raw_Data'!$B:$B,'Raw_Data'!IU:IU),"")</f>
        <v/>
      </c>
      <c r="AA122" s="228" t="str">
        <f>IFERROR(_xlfn.XLOOKUP($A122,'Raw_Data'!$B:$B,'Raw_Data'!IW:IW),"")</f>
        <v/>
      </c>
      <c r="AB122" s="228" t="str">
        <f>IFERROR(_xlfn.XLOOKUP($A122,'Raw_Data'!$B:$B,'Raw_Data'!I:I)/1000,"")</f>
        <v/>
      </c>
      <c r="AC122" s="241">
        <f>IFERROR(_xlfn.XLOOKUP($D122,'Modelling New'!$D:$D,'Modelling New'!$P:$P),"")</f>
        <v>5.4483870967741934</v>
      </c>
      <c r="AD122" s="228">
        <f>IFERROR(_xlfn.XLOOKUP($D122,'Modelling New'!$D:$D,'Modelling New'!$T:$T)*1000,"")</f>
        <v>1533620.9517254881</v>
      </c>
      <c r="AE122" s="240">
        <f>IFERROR(_xlfn.XLOOKUP($D122,'Modelling New'!$D:$D,'Modelling New'!$O:$O),"")</f>
        <v>0.84001552713942795</v>
      </c>
      <c r="AF122" s="240">
        <f>IFERROR(_xlfn.XLOOKUP($D122,'Modelling New'!$D:$D,'Modelling New'!$W:$W),"")</f>
        <v>0.19069707329818469</v>
      </c>
      <c r="AG122" s="240">
        <f>IFERROR(_xlfn.XLOOKUP($D122,'Modelling New'!$D:$D,'Modelling New'!AE:AE),"")</f>
        <v>0.99750000000000005</v>
      </c>
      <c r="AH122" s="240">
        <f>IFERROR(_xlfn.XLOOKUP($D122,'Modelling New'!$D:$D,'Modelling New'!AF:AF),"")</f>
        <v>0.99750000000000005</v>
      </c>
      <c r="AI122" s="186"/>
      <c r="AJ122" s="186"/>
      <c r="AK122" s="225"/>
      <c r="AL122" s="224">
        <f>IFERROR(Table13[[#This Row],[RA (%)]]*9270*58,"")</f>
        <v>0</v>
      </c>
      <c r="AM122" s="225"/>
      <c r="AN122" s="238"/>
      <c r="AO122" s="240"/>
      <c r="AP122" s="240"/>
      <c r="AQ122" s="240"/>
      <c r="AR122" s="242">
        <f>IFERROR(_xlfn.XLOOKUP($D122,'Modelling New'!$D:$D,'Modelling New'!$N:$N),"")</f>
        <v>335.09100000000001</v>
      </c>
    </row>
    <row r="123" spans="1:44">
      <c r="A123" s="233">
        <f t="shared" si="7"/>
        <v>45866</v>
      </c>
      <c r="B123" s="228">
        <f>YEAR(Table13[[#This Row],[Date]])+IF(MONTH(Table13[[#This Row],[Date]])&gt;=4,1,0)</f>
        <v>2026</v>
      </c>
      <c r="C123" s="186">
        <f>YEAR(Table13[[#This Row],[Date]])</f>
        <v>2025</v>
      </c>
      <c r="D123" s="234">
        <f>Table13[[#This Row],[Date]]-DAY(Table13[[#This Row],[Date]])+1</f>
        <v>45839</v>
      </c>
      <c r="E123" s="186">
        <f t="shared" si="8"/>
        <v>31</v>
      </c>
      <c r="F123" s="235" t="str">
        <f>IFERROR(_xlfn.XLOOKUP($A123,'Raw_Data'!$B:$B,'Raw_Data'!$IX:$IX),"")</f>
        <v/>
      </c>
      <c r="G123" s="236" t="str">
        <f>IFERROR(_xlfn.XLOOKUP($A123,'Raw_Data'!$B:$B,'Raw_Data'!IY:IY),"")</f>
        <v/>
      </c>
      <c r="H123" s="236" t="str">
        <f>IFERROR(_xlfn.XLOOKUP($A123,'Raw_Data'!$B:$B,'Raw_Data'!IZ:IZ),"")</f>
        <v/>
      </c>
      <c r="I123" s="236" t="str">
        <f>IFERROR(_xlfn.XLOOKUP($A123,'Raw_Data'!$B:$B,'Raw_Data'!JA:JA),"")</f>
        <v/>
      </c>
      <c r="J123" s="236" t="str">
        <f>IFERROR(_xlfn.XLOOKUP($A123,'Raw_Data'!$B:$B,'Raw_Data'!JB:JB),"")</f>
        <v/>
      </c>
      <c r="K123" s="236" t="str">
        <f>IFERROR(_xlfn.XLOOKUP($A123,'Raw_Data'!$B:$B,'Raw_Data'!JE:JE),"")</f>
        <v/>
      </c>
      <c r="L123" s="236" t="str">
        <f>IFERROR(_xlfn.XLOOKUP($A123,'Raw_Data'!$B:$B,'Raw_Data'!JF:JF),"")</f>
        <v/>
      </c>
      <c r="M123" s="236" t="str">
        <f>IFERROR(_xlfn.XLOOKUP($A123,'Raw_Data'!$B:$B,'Raw_Data'!JG:JG),"")</f>
        <v/>
      </c>
      <c r="N123" s="236" t="str">
        <f>IFERROR(_xlfn.XLOOKUP($A123,'Raw_Data'!$B:$B,'Raw_Data'!JH:JH),"")</f>
        <v/>
      </c>
      <c r="O123" s="237" t="str">
        <f>IFERROR(1-SUMIF(PA!$B:$B,$A123,PA!$AL:$AL)/($AA123+SUMIF(PA!$B:$B,$A123,PA!$AL:$AL)),"")</f>
        <v/>
      </c>
      <c r="P123" s="238"/>
      <c r="Q123" s="239"/>
      <c r="R123" s="240" t="str">
        <f>IFERROR(1-SUMIF(GA!$C:$C,$A123,GA!$X:$X)/($AA123+SUMIF(GA!$C:$C,$A123,GA!$X:$X)),"")</f>
        <v/>
      </c>
      <c r="S123" s="186"/>
      <c r="T123" s="239"/>
      <c r="U123" s="237" t="str">
        <f t="shared" si="5"/>
        <v/>
      </c>
      <c r="V123" s="237" t="str">
        <f>IFERROR(_xlfn.XLOOKUP($A123,'Raw_Data'!$B:$B,'Raw_Data'!$JL:$JL),"")</f>
        <v/>
      </c>
      <c r="W123" s="240" t="str">
        <f t="shared" si="6"/>
        <v/>
      </c>
      <c r="X123" s="228" t="str">
        <f>IFERROR(_xlfn.XLOOKUP($A123,'Raw_Data'!$B:$B,'Raw_Data'!$JI:$JI),"")</f>
        <v/>
      </c>
      <c r="Y123" s="228" t="str">
        <f>IFERROR(_xlfn.XLOOKUP($A123,'Raw_Data'!$B:$B,'Raw_Data'!IT:IT),"")</f>
        <v/>
      </c>
      <c r="Z123" s="228" t="str">
        <f>IFERROR(_xlfn.XLOOKUP($A123,'Raw_Data'!$B:$B,'Raw_Data'!IU:IU),"")</f>
        <v/>
      </c>
      <c r="AA123" s="228" t="str">
        <f>IFERROR(_xlfn.XLOOKUP($A123,'Raw_Data'!$B:$B,'Raw_Data'!IW:IW),"")</f>
        <v/>
      </c>
      <c r="AB123" s="228" t="str">
        <f>IFERROR(_xlfn.XLOOKUP($A123,'Raw_Data'!$B:$B,'Raw_Data'!I:I)/1000,"")</f>
        <v/>
      </c>
      <c r="AC123" s="241">
        <f>IFERROR(_xlfn.XLOOKUP($D123,'Modelling New'!$D:$D,'Modelling New'!$P:$P),"")</f>
        <v>5.4483870967741934</v>
      </c>
      <c r="AD123" s="228">
        <f>IFERROR(_xlfn.XLOOKUP($D123,'Modelling New'!$D:$D,'Modelling New'!$T:$T)*1000,"")</f>
        <v>1533620.9517254881</v>
      </c>
      <c r="AE123" s="240">
        <f>IFERROR(_xlfn.XLOOKUP($D123,'Modelling New'!$D:$D,'Modelling New'!$O:$O),"")</f>
        <v>0.84001552713942795</v>
      </c>
      <c r="AF123" s="240">
        <f>IFERROR(_xlfn.XLOOKUP($D123,'Modelling New'!$D:$D,'Modelling New'!$W:$W),"")</f>
        <v>0.19069707329818469</v>
      </c>
      <c r="AG123" s="240">
        <f>IFERROR(_xlfn.XLOOKUP($D123,'Modelling New'!$D:$D,'Modelling New'!AE:AE),"")</f>
        <v>0.99750000000000005</v>
      </c>
      <c r="AH123" s="240">
        <f>IFERROR(_xlfn.XLOOKUP($D123,'Modelling New'!$D:$D,'Modelling New'!AF:AF),"")</f>
        <v>0.99750000000000005</v>
      </c>
      <c r="AI123" s="186"/>
      <c r="AJ123" s="186"/>
      <c r="AK123" s="225"/>
      <c r="AL123" s="224">
        <f>IFERROR(Table13[[#This Row],[RA (%)]]*9270*58,"")</f>
        <v>0</v>
      </c>
      <c r="AM123" s="225"/>
      <c r="AN123" s="238"/>
      <c r="AO123" s="240"/>
      <c r="AP123" s="240"/>
      <c r="AQ123" s="240"/>
      <c r="AR123" s="242">
        <f>IFERROR(_xlfn.XLOOKUP($D123,'Modelling New'!$D:$D,'Modelling New'!$N:$N),"")</f>
        <v>335.09100000000001</v>
      </c>
    </row>
    <row r="124" spans="1:44">
      <c r="A124" s="233">
        <f t="shared" si="7"/>
        <v>45867</v>
      </c>
      <c r="B124" s="228">
        <f>YEAR(Table13[[#This Row],[Date]])+IF(MONTH(Table13[[#This Row],[Date]])&gt;=4,1,0)</f>
        <v>2026</v>
      </c>
      <c r="C124" s="186">
        <f>YEAR(Table13[[#This Row],[Date]])</f>
        <v>2025</v>
      </c>
      <c r="D124" s="234">
        <f>Table13[[#This Row],[Date]]-DAY(Table13[[#This Row],[Date]])+1</f>
        <v>45839</v>
      </c>
      <c r="E124" s="186">
        <f t="shared" si="8"/>
        <v>31</v>
      </c>
      <c r="F124" s="235" t="str">
        <f>IFERROR(_xlfn.XLOOKUP($A124,'Raw_Data'!$B:$B,'Raw_Data'!$IX:$IX),"")</f>
        <v/>
      </c>
      <c r="G124" s="236" t="str">
        <f>IFERROR(_xlfn.XLOOKUP($A124,'Raw_Data'!$B:$B,'Raw_Data'!IY:IY),"")</f>
        <v/>
      </c>
      <c r="H124" s="236" t="str">
        <f>IFERROR(_xlfn.XLOOKUP($A124,'Raw_Data'!$B:$B,'Raw_Data'!IZ:IZ),"")</f>
        <v/>
      </c>
      <c r="I124" s="236" t="str">
        <f>IFERROR(_xlfn.XLOOKUP($A124,'Raw_Data'!$B:$B,'Raw_Data'!JA:JA),"")</f>
        <v/>
      </c>
      <c r="J124" s="236" t="str">
        <f>IFERROR(_xlfn.XLOOKUP($A124,'Raw_Data'!$B:$B,'Raw_Data'!JB:JB),"")</f>
        <v/>
      </c>
      <c r="K124" s="236" t="str">
        <f>IFERROR(_xlfn.XLOOKUP($A124,'Raw_Data'!$B:$B,'Raw_Data'!JE:JE),"")</f>
        <v/>
      </c>
      <c r="L124" s="236" t="str">
        <f>IFERROR(_xlfn.XLOOKUP($A124,'Raw_Data'!$B:$B,'Raw_Data'!JF:JF),"")</f>
        <v/>
      </c>
      <c r="M124" s="236" t="str">
        <f>IFERROR(_xlfn.XLOOKUP($A124,'Raw_Data'!$B:$B,'Raw_Data'!JG:JG),"")</f>
        <v/>
      </c>
      <c r="N124" s="236" t="str">
        <f>IFERROR(_xlfn.XLOOKUP($A124,'Raw_Data'!$B:$B,'Raw_Data'!JH:JH),"")</f>
        <v/>
      </c>
      <c r="O124" s="237" t="str">
        <f>IFERROR(1-SUMIF(PA!$B:$B,$A124,PA!$AL:$AL)/($AA124+SUMIF(PA!$B:$B,$A124,PA!$AL:$AL)),"")</f>
        <v/>
      </c>
      <c r="P124" s="238"/>
      <c r="Q124" s="239"/>
      <c r="R124" s="240" t="str">
        <f>IFERROR(1-SUMIF(GA!$C:$C,$A124,GA!$X:$X)/($AA124+SUMIF(GA!$C:$C,$A124,GA!$X:$X)),"")</f>
        <v/>
      </c>
      <c r="S124" s="186"/>
      <c r="T124" s="239"/>
      <c r="U124" s="237" t="str">
        <f t="shared" si="5"/>
        <v/>
      </c>
      <c r="V124" s="237" t="str">
        <f>IFERROR(_xlfn.XLOOKUP($A124,'Raw_Data'!$B:$B,'Raw_Data'!$JL:$JL),"")</f>
        <v/>
      </c>
      <c r="W124" s="240" t="str">
        <f t="shared" si="6"/>
        <v/>
      </c>
      <c r="X124" s="228" t="str">
        <f>IFERROR(_xlfn.XLOOKUP($A124,'Raw_Data'!$B:$B,'Raw_Data'!$JI:$JI),"")</f>
        <v/>
      </c>
      <c r="Y124" s="228" t="str">
        <f>IFERROR(_xlfn.XLOOKUP($A124,'Raw_Data'!$B:$B,'Raw_Data'!IT:IT),"")</f>
        <v/>
      </c>
      <c r="Z124" s="228" t="str">
        <f>IFERROR(_xlfn.XLOOKUP($A124,'Raw_Data'!$B:$B,'Raw_Data'!IU:IU),"")</f>
        <v/>
      </c>
      <c r="AA124" s="228" t="str">
        <f>IFERROR(_xlfn.XLOOKUP($A124,'Raw_Data'!$B:$B,'Raw_Data'!IW:IW),"")</f>
        <v/>
      </c>
      <c r="AB124" s="228" t="str">
        <f>IFERROR(_xlfn.XLOOKUP($A124,'Raw_Data'!$B:$B,'Raw_Data'!I:I)/1000,"")</f>
        <v/>
      </c>
      <c r="AC124" s="241">
        <f>IFERROR(_xlfn.XLOOKUP($D124,'Modelling New'!$D:$D,'Modelling New'!$P:$P),"")</f>
        <v>5.4483870967741934</v>
      </c>
      <c r="AD124" s="228">
        <f>IFERROR(_xlfn.XLOOKUP($D124,'Modelling New'!$D:$D,'Modelling New'!$T:$T)*1000,"")</f>
        <v>1533620.9517254881</v>
      </c>
      <c r="AE124" s="240">
        <f>IFERROR(_xlfn.XLOOKUP($D124,'Modelling New'!$D:$D,'Modelling New'!$O:$O),"")</f>
        <v>0.84001552713942795</v>
      </c>
      <c r="AF124" s="240">
        <f>IFERROR(_xlfn.XLOOKUP($D124,'Modelling New'!$D:$D,'Modelling New'!$W:$W),"")</f>
        <v>0.19069707329818469</v>
      </c>
      <c r="AG124" s="240">
        <f>IFERROR(_xlfn.XLOOKUP($D124,'Modelling New'!$D:$D,'Modelling New'!AE:AE),"")</f>
        <v>0.99750000000000005</v>
      </c>
      <c r="AH124" s="240">
        <f>IFERROR(_xlfn.XLOOKUP($D124,'Modelling New'!$D:$D,'Modelling New'!AF:AF),"")</f>
        <v>0.99750000000000005</v>
      </c>
      <c r="AI124" s="186"/>
      <c r="AJ124" s="186"/>
      <c r="AK124" s="225"/>
      <c r="AL124" s="224">
        <f>IFERROR(Table13[[#This Row],[RA (%)]]*9270*58,"")</f>
        <v>0</v>
      </c>
      <c r="AM124" s="225"/>
      <c r="AN124" s="238"/>
      <c r="AO124" s="240"/>
      <c r="AP124" s="240"/>
      <c r="AQ124" s="240"/>
      <c r="AR124" s="242">
        <f>IFERROR(_xlfn.XLOOKUP($D124,'Modelling New'!$D:$D,'Modelling New'!$N:$N),"")</f>
        <v>335.09100000000001</v>
      </c>
    </row>
    <row r="125" spans="1:44">
      <c r="A125" s="233">
        <f t="shared" si="7"/>
        <v>45868</v>
      </c>
      <c r="B125" s="228">
        <f>YEAR(Table13[[#This Row],[Date]])+IF(MONTH(Table13[[#This Row],[Date]])&gt;=4,1,0)</f>
        <v>2026</v>
      </c>
      <c r="C125" s="186">
        <f>YEAR(Table13[[#This Row],[Date]])</f>
        <v>2025</v>
      </c>
      <c r="D125" s="234">
        <f>Table13[[#This Row],[Date]]-DAY(Table13[[#This Row],[Date]])+1</f>
        <v>45839</v>
      </c>
      <c r="E125" s="186">
        <f t="shared" si="8"/>
        <v>31</v>
      </c>
      <c r="F125" s="235" t="str">
        <f>IFERROR(_xlfn.XLOOKUP($A125,'Raw_Data'!$B:$B,'Raw_Data'!$IX:$IX),"")</f>
        <v/>
      </c>
      <c r="G125" s="236" t="str">
        <f>IFERROR(_xlfn.XLOOKUP($A125,'Raw_Data'!$B:$B,'Raw_Data'!IY:IY),"")</f>
        <v/>
      </c>
      <c r="H125" s="236" t="str">
        <f>IFERROR(_xlfn.XLOOKUP($A125,'Raw_Data'!$B:$B,'Raw_Data'!IZ:IZ),"")</f>
        <v/>
      </c>
      <c r="I125" s="236" t="str">
        <f>IFERROR(_xlfn.XLOOKUP($A125,'Raw_Data'!$B:$B,'Raw_Data'!JA:JA),"")</f>
        <v/>
      </c>
      <c r="J125" s="236" t="str">
        <f>IFERROR(_xlfn.XLOOKUP($A125,'Raw_Data'!$B:$B,'Raw_Data'!JB:JB),"")</f>
        <v/>
      </c>
      <c r="K125" s="236" t="str">
        <f>IFERROR(_xlfn.XLOOKUP($A125,'Raw_Data'!$B:$B,'Raw_Data'!JE:JE),"")</f>
        <v/>
      </c>
      <c r="L125" s="236" t="str">
        <f>IFERROR(_xlfn.XLOOKUP($A125,'Raw_Data'!$B:$B,'Raw_Data'!JF:JF),"")</f>
        <v/>
      </c>
      <c r="M125" s="236" t="str">
        <f>IFERROR(_xlfn.XLOOKUP($A125,'Raw_Data'!$B:$B,'Raw_Data'!JG:JG),"")</f>
        <v/>
      </c>
      <c r="N125" s="236" t="str">
        <f>IFERROR(_xlfn.XLOOKUP($A125,'Raw_Data'!$B:$B,'Raw_Data'!JH:JH),"")</f>
        <v/>
      </c>
      <c r="O125" s="237" t="str">
        <f>IFERROR(1-SUMIF(PA!$B:$B,$A125,PA!$AL:$AL)/($AA125+SUMIF(PA!$B:$B,$A125,PA!$AL:$AL)),"")</f>
        <v/>
      </c>
      <c r="P125" s="238"/>
      <c r="Q125" s="239"/>
      <c r="R125" s="240" t="str">
        <f>IFERROR(1-SUMIF(GA!$C:$C,$A125,GA!$X:$X)/($AA125+SUMIF(GA!$C:$C,$A125,GA!$X:$X)),"")</f>
        <v/>
      </c>
      <c r="S125" s="186"/>
      <c r="T125" s="239"/>
      <c r="U125" s="237" t="str">
        <f t="shared" si="5"/>
        <v/>
      </c>
      <c r="V125" s="237" t="str">
        <f>IFERROR(_xlfn.XLOOKUP($A125,'Raw_Data'!$B:$B,'Raw_Data'!$JL:$JL),"")</f>
        <v/>
      </c>
      <c r="W125" s="240" t="str">
        <f t="shared" si="6"/>
        <v/>
      </c>
      <c r="X125" s="228" t="str">
        <f>IFERROR(_xlfn.XLOOKUP($A125,'Raw_Data'!$B:$B,'Raw_Data'!$JI:$JI),"")</f>
        <v/>
      </c>
      <c r="Y125" s="228" t="str">
        <f>IFERROR(_xlfn.XLOOKUP($A125,'Raw_Data'!$B:$B,'Raw_Data'!IT:IT),"")</f>
        <v/>
      </c>
      <c r="Z125" s="228" t="str">
        <f>IFERROR(_xlfn.XLOOKUP($A125,'Raw_Data'!$B:$B,'Raw_Data'!IU:IU),"")</f>
        <v/>
      </c>
      <c r="AA125" s="228" t="str">
        <f>IFERROR(_xlfn.XLOOKUP($A125,'Raw_Data'!$B:$B,'Raw_Data'!IW:IW),"")</f>
        <v/>
      </c>
      <c r="AB125" s="228" t="str">
        <f>IFERROR(_xlfn.XLOOKUP($A125,'Raw_Data'!$B:$B,'Raw_Data'!I:I)/1000,"")</f>
        <v/>
      </c>
      <c r="AC125" s="241">
        <f>IFERROR(_xlfn.XLOOKUP($D125,'Modelling New'!$D:$D,'Modelling New'!$P:$P),"")</f>
        <v>5.4483870967741934</v>
      </c>
      <c r="AD125" s="228">
        <f>IFERROR(_xlfn.XLOOKUP($D125,'Modelling New'!$D:$D,'Modelling New'!$T:$T)*1000,"")</f>
        <v>1533620.9517254881</v>
      </c>
      <c r="AE125" s="240">
        <f>IFERROR(_xlfn.XLOOKUP($D125,'Modelling New'!$D:$D,'Modelling New'!$O:$O),"")</f>
        <v>0.84001552713942795</v>
      </c>
      <c r="AF125" s="240">
        <f>IFERROR(_xlfn.XLOOKUP($D125,'Modelling New'!$D:$D,'Modelling New'!$W:$W),"")</f>
        <v>0.19069707329818469</v>
      </c>
      <c r="AG125" s="240">
        <f>IFERROR(_xlfn.XLOOKUP($D125,'Modelling New'!$D:$D,'Modelling New'!AE:AE),"")</f>
        <v>0.99750000000000005</v>
      </c>
      <c r="AH125" s="240">
        <f>IFERROR(_xlfn.XLOOKUP($D125,'Modelling New'!$D:$D,'Modelling New'!AF:AF),"")</f>
        <v>0.99750000000000005</v>
      </c>
      <c r="AI125" s="186"/>
      <c r="AJ125" s="186"/>
      <c r="AK125" s="225"/>
      <c r="AL125" s="224">
        <f>IFERROR(Table13[[#This Row],[RA (%)]]*9270*58,"")</f>
        <v>0</v>
      </c>
      <c r="AM125" s="225"/>
      <c r="AN125" s="238"/>
      <c r="AO125" s="240"/>
      <c r="AP125" s="240"/>
      <c r="AQ125" s="240"/>
      <c r="AR125" s="242">
        <f>IFERROR(_xlfn.XLOOKUP($D125,'Modelling New'!$D:$D,'Modelling New'!$N:$N),"")</f>
        <v>335.09100000000001</v>
      </c>
    </row>
    <row r="126" spans="1:44">
      <c r="A126" s="233">
        <f t="shared" si="7"/>
        <v>45869</v>
      </c>
      <c r="B126" s="228">
        <f>YEAR(Table13[[#This Row],[Date]])+IF(MONTH(Table13[[#This Row],[Date]])&gt;=4,1,0)</f>
        <v>2026</v>
      </c>
      <c r="C126" s="186">
        <f>YEAR(Table13[[#This Row],[Date]])</f>
        <v>2025</v>
      </c>
      <c r="D126" s="234">
        <f>Table13[[#This Row],[Date]]-DAY(Table13[[#This Row],[Date]])+1</f>
        <v>45839</v>
      </c>
      <c r="E126" s="186">
        <f t="shared" si="8"/>
        <v>31</v>
      </c>
      <c r="F126" s="235" t="str">
        <f>IFERROR(_xlfn.XLOOKUP($A126,'Raw_Data'!$B:$B,'Raw_Data'!$IX:$IX),"")</f>
        <v/>
      </c>
      <c r="G126" s="236" t="str">
        <f>IFERROR(_xlfn.XLOOKUP($A126,'Raw_Data'!$B:$B,'Raw_Data'!IY:IY),"")</f>
        <v/>
      </c>
      <c r="H126" s="236" t="str">
        <f>IFERROR(_xlfn.XLOOKUP($A126,'Raw_Data'!$B:$B,'Raw_Data'!IZ:IZ),"")</f>
        <v/>
      </c>
      <c r="I126" s="236" t="str">
        <f>IFERROR(_xlfn.XLOOKUP($A126,'Raw_Data'!$B:$B,'Raw_Data'!JA:JA),"")</f>
        <v/>
      </c>
      <c r="J126" s="236" t="str">
        <f>IFERROR(_xlfn.XLOOKUP($A126,'Raw_Data'!$B:$B,'Raw_Data'!JB:JB),"")</f>
        <v/>
      </c>
      <c r="K126" s="236" t="str">
        <f>IFERROR(_xlfn.XLOOKUP($A126,'Raw_Data'!$B:$B,'Raw_Data'!JE:JE),"")</f>
        <v/>
      </c>
      <c r="L126" s="236" t="str">
        <f>IFERROR(_xlfn.XLOOKUP($A126,'Raw_Data'!$B:$B,'Raw_Data'!JF:JF),"")</f>
        <v/>
      </c>
      <c r="M126" s="236" t="str">
        <f>IFERROR(_xlfn.XLOOKUP($A126,'Raw_Data'!$B:$B,'Raw_Data'!JG:JG),"")</f>
        <v/>
      </c>
      <c r="N126" s="236" t="str">
        <f>IFERROR(_xlfn.XLOOKUP($A126,'Raw_Data'!$B:$B,'Raw_Data'!JH:JH),"")</f>
        <v/>
      </c>
      <c r="O126" s="237" t="str">
        <f>IFERROR(1-SUMIF(PA!$B:$B,$A126,PA!$AL:$AL)/($AA126+SUMIF(PA!$B:$B,$A126,PA!$AL:$AL)),"")</f>
        <v/>
      </c>
      <c r="P126" s="238"/>
      <c r="Q126" s="239"/>
      <c r="R126" s="240" t="str">
        <f>IFERROR(1-SUMIF(GA!$C:$C,$A126,GA!$X:$X)/($AA126+SUMIF(GA!$C:$C,$A126,GA!$X:$X)),"")</f>
        <v/>
      </c>
      <c r="S126" s="186"/>
      <c r="T126" s="239"/>
      <c r="U126" s="237" t="str">
        <f t="shared" si="5"/>
        <v/>
      </c>
      <c r="V126" s="237" t="str">
        <f>IFERROR(_xlfn.XLOOKUP($A126,'Raw_Data'!$B:$B,'Raw_Data'!$JL:$JL),"")</f>
        <v/>
      </c>
      <c r="W126" s="240" t="str">
        <f t="shared" si="6"/>
        <v/>
      </c>
      <c r="X126" s="228" t="str">
        <f>IFERROR(_xlfn.XLOOKUP($A126,'Raw_Data'!$B:$B,'Raw_Data'!$JI:$JI),"")</f>
        <v/>
      </c>
      <c r="Y126" s="228" t="str">
        <f>IFERROR(_xlfn.XLOOKUP($A126,'Raw_Data'!$B:$B,'Raw_Data'!IT:IT),"")</f>
        <v/>
      </c>
      <c r="Z126" s="228" t="str">
        <f>IFERROR(_xlfn.XLOOKUP($A126,'Raw_Data'!$B:$B,'Raw_Data'!IU:IU),"")</f>
        <v/>
      </c>
      <c r="AA126" s="228" t="str">
        <f>IFERROR(_xlfn.XLOOKUP($A126,'Raw_Data'!$B:$B,'Raw_Data'!IW:IW),"")</f>
        <v/>
      </c>
      <c r="AB126" s="228" t="str">
        <f>IFERROR(_xlfn.XLOOKUP($A126,'Raw_Data'!$B:$B,'Raw_Data'!I:I)/1000,"")</f>
        <v/>
      </c>
      <c r="AC126" s="241">
        <f>IFERROR(_xlfn.XLOOKUP($D126,'Modelling New'!$D:$D,'Modelling New'!$P:$P),"")</f>
        <v>5.4483870967741934</v>
      </c>
      <c r="AD126" s="228">
        <f>IFERROR(_xlfn.XLOOKUP($D126,'Modelling New'!$D:$D,'Modelling New'!$T:$T)*1000,"")</f>
        <v>1533620.9517254881</v>
      </c>
      <c r="AE126" s="240">
        <f>IFERROR(_xlfn.XLOOKUP($D126,'Modelling New'!$D:$D,'Modelling New'!$O:$O),"")</f>
        <v>0.84001552713942795</v>
      </c>
      <c r="AF126" s="240">
        <f>IFERROR(_xlfn.XLOOKUP($D126,'Modelling New'!$D:$D,'Modelling New'!$W:$W),"")</f>
        <v>0.19069707329818469</v>
      </c>
      <c r="AG126" s="240">
        <f>IFERROR(_xlfn.XLOOKUP($D126,'Modelling New'!$D:$D,'Modelling New'!AE:AE),"")</f>
        <v>0.99750000000000005</v>
      </c>
      <c r="AH126" s="240">
        <f>IFERROR(_xlfn.XLOOKUP($D126,'Modelling New'!$D:$D,'Modelling New'!AF:AF),"")</f>
        <v>0.99750000000000005</v>
      </c>
      <c r="AI126" s="186"/>
      <c r="AJ126" s="186"/>
      <c r="AK126" s="225"/>
      <c r="AL126" s="224">
        <f>IFERROR(Table13[[#This Row],[RA (%)]]*9270*58,"")</f>
        <v>0</v>
      </c>
      <c r="AM126" s="225"/>
      <c r="AN126" s="238"/>
      <c r="AO126" s="240"/>
      <c r="AP126" s="240"/>
      <c r="AQ126" s="240"/>
      <c r="AR126" s="242">
        <f>IFERROR(_xlfn.XLOOKUP($D126,'Modelling New'!$D:$D,'Modelling New'!$N:$N),"")</f>
        <v>335.09100000000001</v>
      </c>
    </row>
    <row r="127" spans="1:44">
      <c r="A127" s="233">
        <f t="shared" si="7"/>
        <v>45870</v>
      </c>
      <c r="B127" s="228">
        <f>YEAR(Table13[[#This Row],[Date]])+IF(MONTH(Table13[[#This Row],[Date]])&gt;=4,1,0)</f>
        <v>2026</v>
      </c>
      <c r="C127" s="186">
        <f>YEAR(Table13[[#This Row],[Date]])</f>
        <v>2025</v>
      </c>
      <c r="D127" s="234">
        <f>Table13[[#This Row],[Date]]-DAY(Table13[[#This Row],[Date]])+1</f>
        <v>45870</v>
      </c>
      <c r="E127" s="186">
        <f t="shared" si="8"/>
        <v>31</v>
      </c>
      <c r="F127" s="235" t="str">
        <f>IFERROR(_xlfn.XLOOKUP($A127,'Raw_Data'!$B:$B,'Raw_Data'!$IX:$IX),"")</f>
        <v/>
      </c>
      <c r="G127" s="236" t="str">
        <f>IFERROR(_xlfn.XLOOKUP($A127,'Raw_Data'!$B:$B,'Raw_Data'!IY:IY),"")</f>
        <v/>
      </c>
      <c r="H127" s="236" t="str">
        <f>IFERROR(_xlfn.XLOOKUP($A127,'Raw_Data'!$B:$B,'Raw_Data'!IZ:IZ),"")</f>
        <v/>
      </c>
      <c r="I127" s="236" t="str">
        <f>IFERROR(_xlfn.XLOOKUP($A127,'Raw_Data'!$B:$B,'Raw_Data'!JA:JA),"")</f>
        <v/>
      </c>
      <c r="J127" s="236" t="str">
        <f>IFERROR(_xlfn.XLOOKUP($A127,'Raw_Data'!$B:$B,'Raw_Data'!JB:JB),"")</f>
        <v/>
      </c>
      <c r="K127" s="236" t="str">
        <f>IFERROR(_xlfn.XLOOKUP($A127,'Raw_Data'!$B:$B,'Raw_Data'!JE:JE),"")</f>
        <v/>
      </c>
      <c r="L127" s="236" t="str">
        <f>IFERROR(_xlfn.XLOOKUP($A127,'Raw_Data'!$B:$B,'Raw_Data'!JF:JF),"")</f>
        <v/>
      </c>
      <c r="M127" s="236" t="str">
        <f>IFERROR(_xlfn.XLOOKUP($A127,'Raw_Data'!$B:$B,'Raw_Data'!JG:JG),"")</f>
        <v/>
      </c>
      <c r="N127" s="236" t="str">
        <f>IFERROR(_xlfn.XLOOKUP($A127,'Raw_Data'!$B:$B,'Raw_Data'!JH:JH),"")</f>
        <v/>
      </c>
      <c r="O127" s="237" t="str">
        <f>IFERROR(1-SUMIF(PA!$B:$B,$A127,PA!$AL:$AL)/($AA127+SUMIF(PA!$B:$B,$A127,PA!$AL:$AL)),"")</f>
        <v/>
      </c>
      <c r="P127" s="238"/>
      <c r="Q127" s="239"/>
      <c r="R127" s="240" t="str">
        <f>IFERROR(1-SUMIF(GA!$C:$C,$A127,GA!$X:$X)/($AA127+SUMIF(GA!$C:$C,$A127,GA!$X:$X)),"")</f>
        <v/>
      </c>
      <c r="S127" s="186"/>
      <c r="T127" s="239"/>
      <c r="U127" s="237" t="str">
        <f t="shared" si="5"/>
        <v/>
      </c>
      <c r="V127" s="237" t="str">
        <f>IFERROR(_xlfn.XLOOKUP($A127,'Raw_Data'!$B:$B,'Raw_Data'!$JL:$JL),"")</f>
        <v/>
      </c>
      <c r="W127" s="240" t="str">
        <f t="shared" si="6"/>
        <v/>
      </c>
      <c r="X127" s="228" t="str">
        <f>IFERROR(_xlfn.XLOOKUP($A127,'Raw_Data'!$B:$B,'Raw_Data'!$JI:$JI),"")</f>
        <v/>
      </c>
      <c r="Y127" s="228" t="str">
        <f>IFERROR(_xlfn.XLOOKUP($A127,'Raw_Data'!$B:$B,'Raw_Data'!IT:IT),"")</f>
        <v/>
      </c>
      <c r="Z127" s="228" t="str">
        <f>IFERROR(_xlfn.XLOOKUP($A127,'Raw_Data'!$B:$B,'Raw_Data'!IU:IU),"")</f>
        <v/>
      </c>
      <c r="AA127" s="228" t="str">
        <f>IFERROR(_xlfn.XLOOKUP($A127,'Raw_Data'!$B:$B,'Raw_Data'!IW:IW),"")</f>
        <v/>
      </c>
      <c r="AB127" s="228" t="str">
        <f>IFERROR(_xlfn.XLOOKUP($A127,'Raw_Data'!$B:$B,'Raw_Data'!I:I)/1000,"")</f>
        <v/>
      </c>
      <c r="AC127" s="241">
        <f>IFERROR(_xlfn.XLOOKUP($D127,'Modelling New'!$D:$D,'Modelling New'!$P:$P),"")</f>
        <v>5.6193548387096772</v>
      </c>
      <c r="AD127" s="228">
        <f>IFERROR(_xlfn.XLOOKUP($D127,'Modelling New'!$D:$D,'Modelling New'!$T:$T)*1000,"")</f>
        <v>1561332.2879552036</v>
      </c>
      <c r="AE127" s="240">
        <f>IFERROR(_xlfn.XLOOKUP($D127,'Modelling New'!$D:$D,'Modelling New'!$O:$O),"")</f>
        <v>0.82917484930796836</v>
      </c>
      <c r="AF127" s="240">
        <f>IFERROR(_xlfn.XLOOKUP($D127,'Modelling New'!$D:$D,'Modelling New'!$W:$W),"")</f>
        <v>0.19414282089979581</v>
      </c>
      <c r="AG127" s="240">
        <f>IFERROR(_xlfn.XLOOKUP($D127,'Modelling New'!$D:$D,'Modelling New'!AE:AE),"")</f>
        <v>0.99750000000000005</v>
      </c>
      <c r="AH127" s="240">
        <f>IFERROR(_xlfn.XLOOKUP($D127,'Modelling New'!$D:$D,'Modelling New'!AF:AF),"")</f>
        <v>0.99750000000000005</v>
      </c>
      <c r="AI127" s="186"/>
      <c r="AJ127" s="186"/>
      <c r="AK127" s="225"/>
      <c r="AL127" s="224">
        <f>IFERROR(Table13[[#This Row],[RA (%)]]*9270*58,"")</f>
        <v>0</v>
      </c>
      <c r="AM127" s="225"/>
      <c r="AN127" s="238"/>
      <c r="AO127" s="240"/>
      <c r="AP127" s="240"/>
      <c r="AQ127" s="240"/>
      <c r="AR127" s="242">
        <f>IFERROR(_xlfn.XLOOKUP($D127,'Modelling New'!$D:$D,'Modelling New'!$N:$N),"")</f>
        <v>335.09100000000001</v>
      </c>
    </row>
    <row r="128" spans="1:44">
      <c r="A128" s="233">
        <f t="shared" si="7"/>
        <v>45871</v>
      </c>
      <c r="B128" s="228">
        <f>YEAR(Table13[[#This Row],[Date]])+IF(MONTH(Table13[[#This Row],[Date]])&gt;=4,1,0)</f>
        <v>2026</v>
      </c>
      <c r="C128" s="186">
        <f>YEAR(Table13[[#This Row],[Date]])</f>
        <v>2025</v>
      </c>
      <c r="D128" s="234">
        <f>Table13[[#This Row],[Date]]-DAY(Table13[[#This Row],[Date]])+1</f>
        <v>45870</v>
      </c>
      <c r="E128" s="186">
        <f t="shared" si="8"/>
        <v>31</v>
      </c>
      <c r="F128" s="235" t="str">
        <f>IFERROR(_xlfn.XLOOKUP($A128,'Raw_Data'!$B:$B,'Raw_Data'!$IX:$IX),"")</f>
        <v/>
      </c>
      <c r="G128" s="236" t="str">
        <f>IFERROR(_xlfn.XLOOKUP($A128,'Raw_Data'!$B:$B,'Raw_Data'!IY:IY),"")</f>
        <v/>
      </c>
      <c r="H128" s="236" t="str">
        <f>IFERROR(_xlfn.XLOOKUP($A128,'Raw_Data'!$B:$B,'Raw_Data'!IZ:IZ),"")</f>
        <v/>
      </c>
      <c r="I128" s="236" t="str">
        <f>IFERROR(_xlfn.XLOOKUP($A128,'Raw_Data'!$B:$B,'Raw_Data'!JA:JA),"")</f>
        <v/>
      </c>
      <c r="J128" s="236" t="str">
        <f>IFERROR(_xlfn.XLOOKUP($A128,'Raw_Data'!$B:$B,'Raw_Data'!JB:JB),"")</f>
        <v/>
      </c>
      <c r="K128" s="236" t="str">
        <f>IFERROR(_xlfn.XLOOKUP($A128,'Raw_Data'!$B:$B,'Raw_Data'!JE:JE),"")</f>
        <v/>
      </c>
      <c r="L128" s="236" t="str">
        <f>IFERROR(_xlfn.XLOOKUP($A128,'Raw_Data'!$B:$B,'Raw_Data'!JF:JF),"")</f>
        <v/>
      </c>
      <c r="M128" s="236" t="str">
        <f>IFERROR(_xlfn.XLOOKUP($A128,'Raw_Data'!$B:$B,'Raw_Data'!JG:JG),"")</f>
        <v/>
      </c>
      <c r="N128" s="236" t="str">
        <f>IFERROR(_xlfn.XLOOKUP($A128,'Raw_Data'!$B:$B,'Raw_Data'!JH:JH),"")</f>
        <v/>
      </c>
      <c r="O128" s="237" t="str">
        <f>IFERROR(1-SUMIF(PA!$B:$B,$A128,PA!$AL:$AL)/($AA128+SUMIF(PA!$B:$B,$A128,PA!$AL:$AL)),"")</f>
        <v/>
      </c>
      <c r="P128" s="238"/>
      <c r="Q128" s="239"/>
      <c r="R128" s="240" t="str">
        <f>IFERROR(1-SUMIF(GA!$C:$C,$A128,GA!$X:$X)/($AA128+SUMIF(GA!$C:$C,$A128,GA!$X:$X)),"")</f>
        <v/>
      </c>
      <c r="S128" s="186"/>
      <c r="T128" s="239"/>
      <c r="U128" s="237" t="str">
        <f t="shared" ref="U128:U191" si="9">IFERROR(AA128/I128/AR128/1000,"")</f>
        <v/>
      </c>
      <c r="V128" s="237" t="str">
        <f>IFERROR(_xlfn.XLOOKUP($A128,'Raw_Data'!$B:$B,'Raw_Data'!$JL:$JL),"")</f>
        <v/>
      </c>
      <c r="W128" s="240" t="str">
        <f t="shared" ref="W128:W191" si="10">IFERROR(AA128/(24*AR128*1000),"")</f>
        <v/>
      </c>
      <c r="X128" s="228" t="str">
        <f>IFERROR(_xlfn.XLOOKUP($A128,'Raw_Data'!$B:$B,'Raw_Data'!$JI:$JI),"")</f>
        <v/>
      </c>
      <c r="Y128" s="228" t="str">
        <f>IFERROR(_xlfn.XLOOKUP($A128,'Raw_Data'!$B:$B,'Raw_Data'!IT:IT),"")</f>
        <v/>
      </c>
      <c r="Z128" s="228" t="str">
        <f>IFERROR(_xlfn.XLOOKUP($A128,'Raw_Data'!$B:$B,'Raw_Data'!IU:IU),"")</f>
        <v/>
      </c>
      <c r="AA128" s="228" t="str">
        <f>IFERROR(_xlfn.XLOOKUP($A128,'Raw_Data'!$B:$B,'Raw_Data'!IW:IW),"")</f>
        <v/>
      </c>
      <c r="AB128" s="228" t="str">
        <f>IFERROR(_xlfn.XLOOKUP($A128,'Raw_Data'!$B:$B,'Raw_Data'!I:I)/1000,"")</f>
        <v/>
      </c>
      <c r="AC128" s="241">
        <f>IFERROR(_xlfn.XLOOKUP($D128,'Modelling New'!$D:$D,'Modelling New'!$P:$P),"")</f>
        <v>5.6193548387096772</v>
      </c>
      <c r="AD128" s="228">
        <f>IFERROR(_xlfn.XLOOKUP($D128,'Modelling New'!$D:$D,'Modelling New'!$T:$T)*1000,"")</f>
        <v>1561332.2879552036</v>
      </c>
      <c r="AE128" s="240">
        <f>IFERROR(_xlfn.XLOOKUP($D128,'Modelling New'!$D:$D,'Modelling New'!$O:$O),"")</f>
        <v>0.82917484930796836</v>
      </c>
      <c r="AF128" s="240">
        <f>IFERROR(_xlfn.XLOOKUP($D128,'Modelling New'!$D:$D,'Modelling New'!$W:$W),"")</f>
        <v>0.19414282089979581</v>
      </c>
      <c r="AG128" s="240">
        <f>IFERROR(_xlfn.XLOOKUP($D128,'Modelling New'!$D:$D,'Modelling New'!AE:AE),"")</f>
        <v>0.99750000000000005</v>
      </c>
      <c r="AH128" s="240">
        <f>IFERROR(_xlfn.XLOOKUP($D128,'Modelling New'!$D:$D,'Modelling New'!AF:AF),"")</f>
        <v>0.99750000000000005</v>
      </c>
      <c r="AI128" s="186"/>
      <c r="AJ128" s="186"/>
      <c r="AK128" s="225"/>
      <c r="AL128" s="224">
        <f>IFERROR(Table13[[#This Row],[RA (%)]]*9270*58,"")</f>
        <v>0</v>
      </c>
      <c r="AM128" s="225"/>
      <c r="AN128" s="238"/>
      <c r="AO128" s="240"/>
      <c r="AP128" s="240"/>
      <c r="AQ128" s="240"/>
      <c r="AR128" s="242">
        <f>IFERROR(_xlfn.XLOOKUP($D128,'Modelling New'!$D:$D,'Modelling New'!$N:$N),"")</f>
        <v>335.09100000000001</v>
      </c>
    </row>
    <row r="129" spans="1:44">
      <c r="A129" s="233">
        <f t="shared" si="7"/>
        <v>45872</v>
      </c>
      <c r="B129" s="228">
        <f>YEAR(Table13[[#This Row],[Date]])+IF(MONTH(Table13[[#This Row],[Date]])&gt;=4,1,0)</f>
        <v>2026</v>
      </c>
      <c r="C129" s="186">
        <f>YEAR(Table13[[#This Row],[Date]])</f>
        <v>2025</v>
      </c>
      <c r="D129" s="234">
        <f>Table13[[#This Row],[Date]]-DAY(Table13[[#This Row],[Date]])+1</f>
        <v>45870</v>
      </c>
      <c r="E129" s="186">
        <f t="shared" si="8"/>
        <v>31</v>
      </c>
      <c r="F129" s="235" t="str">
        <f>IFERROR(_xlfn.XLOOKUP($A129,'Raw_Data'!$B:$B,'Raw_Data'!$IX:$IX),"")</f>
        <v/>
      </c>
      <c r="G129" s="236" t="str">
        <f>IFERROR(_xlfn.XLOOKUP($A129,'Raw_Data'!$B:$B,'Raw_Data'!IY:IY),"")</f>
        <v/>
      </c>
      <c r="H129" s="236" t="str">
        <f>IFERROR(_xlfn.XLOOKUP($A129,'Raw_Data'!$B:$B,'Raw_Data'!IZ:IZ),"")</f>
        <v/>
      </c>
      <c r="I129" s="236" t="str">
        <f>IFERROR(_xlfn.XLOOKUP($A129,'Raw_Data'!$B:$B,'Raw_Data'!JA:JA),"")</f>
        <v/>
      </c>
      <c r="J129" s="236" t="str">
        <f>IFERROR(_xlfn.XLOOKUP($A129,'Raw_Data'!$B:$B,'Raw_Data'!JB:JB),"")</f>
        <v/>
      </c>
      <c r="K129" s="236" t="str">
        <f>IFERROR(_xlfn.XLOOKUP($A129,'Raw_Data'!$B:$B,'Raw_Data'!JE:JE),"")</f>
        <v/>
      </c>
      <c r="L129" s="236" t="str">
        <f>IFERROR(_xlfn.XLOOKUP($A129,'Raw_Data'!$B:$B,'Raw_Data'!JF:JF),"")</f>
        <v/>
      </c>
      <c r="M129" s="236" t="str">
        <f>IFERROR(_xlfn.XLOOKUP($A129,'Raw_Data'!$B:$B,'Raw_Data'!JG:JG),"")</f>
        <v/>
      </c>
      <c r="N129" s="236" t="str">
        <f>IFERROR(_xlfn.XLOOKUP($A129,'Raw_Data'!$B:$B,'Raw_Data'!JH:JH),"")</f>
        <v/>
      </c>
      <c r="O129" s="237" t="str">
        <f>IFERROR(1-SUMIF(PA!$B:$B,$A129,PA!$AL:$AL)/($AA129+SUMIF(PA!$B:$B,$A129,PA!$AL:$AL)),"")</f>
        <v/>
      </c>
      <c r="P129" s="238"/>
      <c r="Q129" s="239"/>
      <c r="R129" s="240" t="str">
        <f>IFERROR(1-SUMIF(GA!$C:$C,$A129,GA!$X:$X)/($AA129+SUMIF(GA!$C:$C,$A129,GA!$X:$X)),"")</f>
        <v/>
      </c>
      <c r="S129" s="186"/>
      <c r="T129" s="239"/>
      <c r="U129" s="237" t="str">
        <f t="shared" si="9"/>
        <v/>
      </c>
      <c r="V129" s="237" t="str">
        <f>IFERROR(_xlfn.XLOOKUP($A129,'Raw_Data'!$B:$B,'Raw_Data'!$JL:$JL),"")</f>
        <v/>
      </c>
      <c r="W129" s="240" t="str">
        <f t="shared" si="10"/>
        <v/>
      </c>
      <c r="X129" s="228" t="str">
        <f>IFERROR(_xlfn.XLOOKUP($A129,'Raw_Data'!$B:$B,'Raw_Data'!$JI:$JI),"")</f>
        <v/>
      </c>
      <c r="Y129" s="228" t="str">
        <f>IFERROR(_xlfn.XLOOKUP($A129,'Raw_Data'!$B:$B,'Raw_Data'!IT:IT),"")</f>
        <v/>
      </c>
      <c r="Z129" s="228" t="str">
        <f>IFERROR(_xlfn.XLOOKUP($A129,'Raw_Data'!$B:$B,'Raw_Data'!IU:IU),"")</f>
        <v/>
      </c>
      <c r="AA129" s="228" t="str">
        <f>IFERROR(_xlfn.XLOOKUP($A129,'Raw_Data'!$B:$B,'Raw_Data'!IW:IW),"")</f>
        <v/>
      </c>
      <c r="AB129" s="228" t="str">
        <f>IFERROR(_xlfn.XLOOKUP($A129,'Raw_Data'!$B:$B,'Raw_Data'!I:I)/1000,"")</f>
        <v/>
      </c>
      <c r="AC129" s="241">
        <f>IFERROR(_xlfn.XLOOKUP($D129,'Modelling New'!$D:$D,'Modelling New'!$P:$P),"")</f>
        <v>5.6193548387096772</v>
      </c>
      <c r="AD129" s="228">
        <f>IFERROR(_xlfn.XLOOKUP($D129,'Modelling New'!$D:$D,'Modelling New'!$T:$T)*1000,"")</f>
        <v>1561332.2879552036</v>
      </c>
      <c r="AE129" s="240">
        <f>IFERROR(_xlfn.XLOOKUP($D129,'Modelling New'!$D:$D,'Modelling New'!$O:$O),"")</f>
        <v>0.82917484930796836</v>
      </c>
      <c r="AF129" s="240">
        <f>IFERROR(_xlfn.XLOOKUP($D129,'Modelling New'!$D:$D,'Modelling New'!$W:$W),"")</f>
        <v>0.19414282089979581</v>
      </c>
      <c r="AG129" s="240">
        <f>IFERROR(_xlfn.XLOOKUP($D129,'Modelling New'!$D:$D,'Modelling New'!AE:AE),"")</f>
        <v>0.99750000000000005</v>
      </c>
      <c r="AH129" s="240">
        <f>IFERROR(_xlfn.XLOOKUP($D129,'Modelling New'!$D:$D,'Modelling New'!AF:AF),"")</f>
        <v>0.99750000000000005</v>
      </c>
      <c r="AI129" s="186"/>
      <c r="AJ129" s="186"/>
      <c r="AK129" s="225"/>
      <c r="AL129" s="224">
        <f>IFERROR(Table13[[#This Row],[RA (%)]]*9270*58,"")</f>
        <v>0</v>
      </c>
      <c r="AM129" s="225"/>
      <c r="AN129" s="238"/>
      <c r="AO129" s="240"/>
      <c r="AP129" s="240"/>
      <c r="AQ129" s="240"/>
      <c r="AR129" s="242">
        <f>IFERROR(_xlfn.XLOOKUP($D129,'Modelling New'!$D:$D,'Modelling New'!$N:$N),"")</f>
        <v>335.09100000000001</v>
      </c>
    </row>
    <row r="130" spans="1:44">
      <c r="A130" s="233">
        <f t="shared" ref="A130:A193" si="11">A129+1</f>
        <v>45873</v>
      </c>
      <c r="B130" s="228">
        <f>YEAR(Table13[[#This Row],[Date]])+IF(MONTH(Table13[[#This Row],[Date]])&gt;=4,1,0)</f>
        <v>2026</v>
      </c>
      <c r="C130" s="186">
        <f>YEAR(Table13[[#This Row],[Date]])</f>
        <v>2025</v>
      </c>
      <c r="D130" s="234">
        <f>Table13[[#This Row],[Date]]-DAY(Table13[[#This Row],[Date]])+1</f>
        <v>45870</v>
      </c>
      <c r="E130" s="186">
        <f t="shared" si="8"/>
        <v>31</v>
      </c>
      <c r="F130" s="235" t="str">
        <f>IFERROR(_xlfn.XLOOKUP($A130,'Raw_Data'!$B:$B,'Raw_Data'!$IX:$IX),"")</f>
        <v/>
      </c>
      <c r="G130" s="236" t="str">
        <f>IFERROR(_xlfn.XLOOKUP($A130,'Raw_Data'!$B:$B,'Raw_Data'!IY:IY),"")</f>
        <v/>
      </c>
      <c r="H130" s="236" t="str">
        <f>IFERROR(_xlfn.XLOOKUP($A130,'Raw_Data'!$B:$B,'Raw_Data'!IZ:IZ),"")</f>
        <v/>
      </c>
      <c r="I130" s="236" t="str">
        <f>IFERROR(_xlfn.XLOOKUP($A130,'Raw_Data'!$B:$B,'Raw_Data'!JA:JA),"")</f>
        <v/>
      </c>
      <c r="J130" s="236" t="str">
        <f>IFERROR(_xlfn.XLOOKUP($A130,'Raw_Data'!$B:$B,'Raw_Data'!JB:JB),"")</f>
        <v/>
      </c>
      <c r="K130" s="236" t="str">
        <f>IFERROR(_xlfn.XLOOKUP($A130,'Raw_Data'!$B:$B,'Raw_Data'!JE:JE),"")</f>
        <v/>
      </c>
      <c r="L130" s="236" t="str">
        <f>IFERROR(_xlfn.XLOOKUP($A130,'Raw_Data'!$B:$B,'Raw_Data'!JF:JF),"")</f>
        <v/>
      </c>
      <c r="M130" s="236" t="str">
        <f>IFERROR(_xlfn.XLOOKUP($A130,'Raw_Data'!$B:$B,'Raw_Data'!JG:JG),"")</f>
        <v/>
      </c>
      <c r="N130" s="236" t="str">
        <f>IFERROR(_xlfn.XLOOKUP($A130,'Raw_Data'!$B:$B,'Raw_Data'!JH:JH),"")</f>
        <v/>
      </c>
      <c r="O130" s="237" t="str">
        <f>IFERROR(1-SUMIF(PA!$B:$B,$A130,PA!$AL:$AL)/($AA130+SUMIF(PA!$B:$B,$A130,PA!$AL:$AL)),"")</f>
        <v/>
      </c>
      <c r="P130" s="238"/>
      <c r="Q130" s="239"/>
      <c r="R130" s="240" t="str">
        <f>IFERROR(1-SUMIF(GA!$C:$C,$A130,GA!$X:$X)/($AA130+SUMIF(GA!$C:$C,$A130,GA!$X:$X)),"")</f>
        <v/>
      </c>
      <c r="S130" s="186"/>
      <c r="T130" s="239"/>
      <c r="U130" s="237" t="str">
        <f t="shared" si="9"/>
        <v/>
      </c>
      <c r="V130" s="237" t="str">
        <f>IFERROR(_xlfn.XLOOKUP($A130,'Raw_Data'!$B:$B,'Raw_Data'!$JL:$JL),"")</f>
        <v/>
      </c>
      <c r="W130" s="240" t="str">
        <f t="shared" si="10"/>
        <v/>
      </c>
      <c r="X130" s="228" t="str">
        <f>IFERROR(_xlfn.XLOOKUP($A130,'Raw_Data'!$B:$B,'Raw_Data'!$JI:$JI),"")</f>
        <v/>
      </c>
      <c r="Y130" s="228" t="str">
        <f>IFERROR(_xlfn.XLOOKUP($A130,'Raw_Data'!$B:$B,'Raw_Data'!IT:IT),"")</f>
        <v/>
      </c>
      <c r="Z130" s="228" t="str">
        <f>IFERROR(_xlfn.XLOOKUP($A130,'Raw_Data'!$B:$B,'Raw_Data'!IU:IU),"")</f>
        <v/>
      </c>
      <c r="AA130" s="228" t="str">
        <f>IFERROR(_xlfn.XLOOKUP($A130,'Raw_Data'!$B:$B,'Raw_Data'!IW:IW),"")</f>
        <v/>
      </c>
      <c r="AB130" s="228" t="str">
        <f>IFERROR(_xlfn.XLOOKUP($A130,'Raw_Data'!$B:$B,'Raw_Data'!I:I)/1000,"")</f>
        <v/>
      </c>
      <c r="AC130" s="241">
        <f>IFERROR(_xlfn.XLOOKUP($D130,'Modelling New'!$D:$D,'Modelling New'!$P:$P),"")</f>
        <v>5.6193548387096772</v>
      </c>
      <c r="AD130" s="228">
        <f>IFERROR(_xlfn.XLOOKUP($D130,'Modelling New'!$D:$D,'Modelling New'!$T:$T)*1000,"")</f>
        <v>1561332.2879552036</v>
      </c>
      <c r="AE130" s="240">
        <f>IFERROR(_xlfn.XLOOKUP($D130,'Modelling New'!$D:$D,'Modelling New'!$O:$O),"")</f>
        <v>0.82917484930796836</v>
      </c>
      <c r="AF130" s="240">
        <f>IFERROR(_xlfn.XLOOKUP($D130,'Modelling New'!$D:$D,'Modelling New'!$W:$W),"")</f>
        <v>0.19414282089979581</v>
      </c>
      <c r="AG130" s="240">
        <f>IFERROR(_xlfn.XLOOKUP($D130,'Modelling New'!$D:$D,'Modelling New'!AE:AE),"")</f>
        <v>0.99750000000000005</v>
      </c>
      <c r="AH130" s="240">
        <f>IFERROR(_xlfn.XLOOKUP($D130,'Modelling New'!$D:$D,'Modelling New'!AF:AF),"")</f>
        <v>0.99750000000000005</v>
      </c>
      <c r="AI130" s="186"/>
      <c r="AJ130" s="186"/>
      <c r="AK130" s="225"/>
      <c r="AL130" s="224">
        <f>IFERROR(Table13[[#This Row],[RA (%)]]*9270*58,"")</f>
        <v>0</v>
      </c>
      <c r="AM130" s="225"/>
      <c r="AN130" s="238"/>
      <c r="AO130" s="240"/>
      <c r="AP130" s="240"/>
      <c r="AQ130" s="240"/>
      <c r="AR130" s="242">
        <f>IFERROR(_xlfn.XLOOKUP($D130,'Modelling New'!$D:$D,'Modelling New'!$N:$N),"")</f>
        <v>335.09100000000001</v>
      </c>
    </row>
    <row r="131" spans="1:44">
      <c r="A131" s="233">
        <f t="shared" si="11"/>
        <v>45874</v>
      </c>
      <c r="B131" s="228">
        <f>YEAR(Table13[[#This Row],[Date]])+IF(MONTH(Table13[[#This Row],[Date]])&gt;=4,1,0)</f>
        <v>2026</v>
      </c>
      <c r="C131" s="186">
        <f>YEAR(Table13[[#This Row],[Date]])</f>
        <v>2025</v>
      </c>
      <c r="D131" s="234">
        <f>Table13[[#This Row],[Date]]-DAY(Table13[[#This Row],[Date]])+1</f>
        <v>45870</v>
      </c>
      <c r="E131" s="186">
        <f t="shared" ref="E131:E162" si="12">DAY(EOMONTH(A131,0))</f>
        <v>31</v>
      </c>
      <c r="F131" s="235" t="str">
        <f>IFERROR(_xlfn.XLOOKUP($A131,'Raw_Data'!$B:$B,'Raw_Data'!$IX:$IX),"")</f>
        <v/>
      </c>
      <c r="G131" s="236" t="str">
        <f>IFERROR(_xlfn.XLOOKUP($A131,'Raw_Data'!$B:$B,'Raw_Data'!IY:IY),"")</f>
        <v/>
      </c>
      <c r="H131" s="236" t="str">
        <f>IFERROR(_xlfn.XLOOKUP($A131,'Raw_Data'!$B:$B,'Raw_Data'!IZ:IZ),"")</f>
        <v/>
      </c>
      <c r="I131" s="236" t="str">
        <f>IFERROR(_xlfn.XLOOKUP($A131,'Raw_Data'!$B:$B,'Raw_Data'!JA:JA),"")</f>
        <v/>
      </c>
      <c r="J131" s="236" t="str">
        <f>IFERROR(_xlfn.XLOOKUP($A131,'Raw_Data'!$B:$B,'Raw_Data'!JB:JB),"")</f>
        <v/>
      </c>
      <c r="K131" s="236" t="str">
        <f>IFERROR(_xlfn.XLOOKUP($A131,'Raw_Data'!$B:$B,'Raw_Data'!JE:JE),"")</f>
        <v/>
      </c>
      <c r="L131" s="236" t="str">
        <f>IFERROR(_xlfn.XLOOKUP($A131,'Raw_Data'!$B:$B,'Raw_Data'!JF:JF),"")</f>
        <v/>
      </c>
      <c r="M131" s="236" t="str">
        <f>IFERROR(_xlfn.XLOOKUP($A131,'Raw_Data'!$B:$B,'Raw_Data'!JG:JG),"")</f>
        <v/>
      </c>
      <c r="N131" s="236" t="str">
        <f>IFERROR(_xlfn.XLOOKUP($A131,'Raw_Data'!$B:$B,'Raw_Data'!JH:JH),"")</f>
        <v/>
      </c>
      <c r="O131" s="237" t="str">
        <f>IFERROR(1-SUMIF(PA!$B:$B,$A131,PA!$AL:$AL)/($AA131+SUMIF(PA!$B:$B,$A131,PA!$AL:$AL)),"")</f>
        <v/>
      </c>
      <c r="P131" s="238"/>
      <c r="Q131" s="239"/>
      <c r="R131" s="240" t="str">
        <f>IFERROR(1-SUMIF(GA!$C:$C,$A131,GA!$X:$X)/($AA131+SUMIF(GA!$C:$C,$A131,GA!$X:$X)),"")</f>
        <v/>
      </c>
      <c r="S131" s="186"/>
      <c r="T131" s="239"/>
      <c r="U131" s="237" t="str">
        <f t="shared" si="9"/>
        <v/>
      </c>
      <c r="V131" s="237" t="str">
        <f>IFERROR(_xlfn.XLOOKUP($A131,'Raw_Data'!$B:$B,'Raw_Data'!$JL:$JL),"")</f>
        <v/>
      </c>
      <c r="W131" s="240" t="str">
        <f t="shared" si="10"/>
        <v/>
      </c>
      <c r="X131" s="228" t="str">
        <f>IFERROR(_xlfn.XLOOKUP($A131,'Raw_Data'!$B:$B,'Raw_Data'!$JI:$JI),"")</f>
        <v/>
      </c>
      <c r="Y131" s="228" t="str">
        <f>IFERROR(_xlfn.XLOOKUP($A131,'Raw_Data'!$B:$B,'Raw_Data'!IT:IT),"")</f>
        <v/>
      </c>
      <c r="Z131" s="228" t="str">
        <f>IFERROR(_xlfn.XLOOKUP($A131,'Raw_Data'!$B:$B,'Raw_Data'!IU:IU),"")</f>
        <v/>
      </c>
      <c r="AA131" s="228" t="str">
        <f>IFERROR(_xlfn.XLOOKUP($A131,'Raw_Data'!$B:$B,'Raw_Data'!IW:IW),"")</f>
        <v/>
      </c>
      <c r="AB131" s="228" t="str">
        <f>IFERROR(_xlfn.XLOOKUP($A131,'Raw_Data'!$B:$B,'Raw_Data'!I:I)/1000,"")</f>
        <v/>
      </c>
      <c r="AC131" s="241">
        <f>IFERROR(_xlfn.XLOOKUP($D131,'Modelling New'!$D:$D,'Modelling New'!$P:$P),"")</f>
        <v>5.6193548387096772</v>
      </c>
      <c r="AD131" s="228">
        <f>IFERROR(_xlfn.XLOOKUP($D131,'Modelling New'!$D:$D,'Modelling New'!$T:$T)*1000,"")</f>
        <v>1561332.2879552036</v>
      </c>
      <c r="AE131" s="240">
        <f>IFERROR(_xlfn.XLOOKUP($D131,'Modelling New'!$D:$D,'Modelling New'!$O:$O),"")</f>
        <v>0.82917484930796836</v>
      </c>
      <c r="AF131" s="240">
        <f>IFERROR(_xlfn.XLOOKUP($D131,'Modelling New'!$D:$D,'Modelling New'!$W:$W),"")</f>
        <v>0.19414282089979581</v>
      </c>
      <c r="AG131" s="240">
        <f>IFERROR(_xlfn.XLOOKUP($D131,'Modelling New'!$D:$D,'Modelling New'!AE:AE),"")</f>
        <v>0.99750000000000005</v>
      </c>
      <c r="AH131" s="240">
        <f>IFERROR(_xlfn.XLOOKUP($D131,'Modelling New'!$D:$D,'Modelling New'!AF:AF),"")</f>
        <v>0.99750000000000005</v>
      </c>
      <c r="AI131" s="186"/>
      <c r="AJ131" s="186"/>
      <c r="AK131" s="225"/>
      <c r="AL131" s="224">
        <f>IFERROR(Table13[[#This Row],[RA (%)]]*9270*58,"")</f>
        <v>0</v>
      </c>
      <c r="AM131" s="225"/>
      <c r="AN131" s="238"/>
      <c r="AO131" s="240"/>
      <c r="AP131" s="240"/>
      <c r="AQ131" s="240"/>
      <c r="AR131" s="242">
        <f>IFERROR(_xlfn.XLOOKUP($D131,'Modelling New'!$D:$D,'Modelling New'!$N:$N),"")</f>
        <v>335.09100000000001</v>
      </c>
    </row>
    <row r="132" spans="1:44">
      <c r="A132" s="233">
        <f t="shared" si="11"/>
        <v>45875</v>
      </c>
      <c r="B132" s="228">
        <f>YEAR(Table13[[#This Row],[Date]])+IF(MONTH(Table13[[#This Row],[Date]])&gt;=4,1,0)</f>
        <v>2026</v>
      </c>
      <c r="C132" s="186">
        <f>YEAR(Table13[[#This Row],[Date]])</f>
        <v>2025</v>
      </c>
      <c r="D132" s="234">
        <f>Table13[[#This Row],[Date]]-DAY(Table13[[#This Row],[Date]])+1</f>
        <v>45870</v>
      </c>
      <c r="E132" s="186">
        <f t="shared" si="12"/>
        <v>31</v>
      </c>
      <c r="F132" s="235" t="str">
        <f>IFERROR(_xlfn.XLOOKUP($A132,'Raw_Data'!$B:$B,'Raw_Data'!$IX:$IX),"")</f>
        <v/>
      </c>
      <c r="G132" s="236" t="str">
        <f>IFERROR(_xlfn.XLOOKUP($A132,'Raw_Data'!$B:$B,'Raw_Data'!IY:IY),"")</f>
        <v/>
      </c>
      <c r="H132" s="236" t="str">
        <f>IFERROR(_xlfn.XLOOKUP($A132,'Raw_Data'!$B:$B,'Raw_Data'!IZ:IZ),"")</f>
        <v/>
      </c>
      <c r="I132" s="236" t="str">
        <f>IFERROR(_xlfn.XLOOKUP($A132,'Raw_Data'!$B:$B,'Raw_Data'!JA:JA),"")</f>
        <v/>
      </c>
      <c r="J132" s="236" t="str">
        <f>IFERROR(_xlfn.XLOOKUP($A132,'Raw_Data'!$B:$B,'Raw_Data'!JB:JB),"")</f>
        <v/>
      </c>
      <c r="K132" s="236" t="str">
        <f>IFERROR(_xlfn.XLOOKUP($A132,'Raw_Data'!$B:$B,'Raw_Data'!JE:JE),"")</f>
        <v/>
      </c>
      <c r="L132" s="236" t="str">
        <f>IFERROR(_xlfn.XLOOKUP($A132,'Raw_Data'!$B:$B,'Raw_Data'!JF:JF),"")</f>
        <v/>
      </c>
      <c r="M132" s="236" t="str">
        <f>IFERROR(_xlfn.XLOOKUP($A132,'Raw_Data'!$B:$B,'Raw_Data'!JG:JG),"")</f>
        <v/>
      </c>
      <c r="N132" s="236" t="str">
        <f>IFERROR(_xlfn.XLOOKUP($A132,'Raw_Data'!$B:$B,'Raw_Data'!JH:JH),"")</f>
        <v/>
      </c>
      <c r="O132" s="237" t="str">
        <f>IFERROR(1-SUMIF(PA!$B:$B,$A132,PA!$AL:$AL)/($AA132+SUMIF(PA!$B:$B,$A132,PA!$AL:$AL)),"")</f>
        <v/>
      </c>
      <c r="P132" s="238"/>
      <c r="Q132" s="239"/>
      <c r="R132" s="240" t="str">
        <f>IFERROR(1-SUMIF(GA!$C:$C,$A132,GA!$X:$X)/($AA132+SUMIF(GA!$C:$C,$A132,GA!$X:$X)),"")</f>
        <v/>
      </c>
      <c r="S132" s="186"/>
      <c r="T132" s="239"/>
      <c r="U132" s="237" t="str">
        <f t="shared" si="9"/>
        <v/>
      </c>
      <c r="V132" s="237" t="str">
        <f>IFERROR(_xlfn.XLOOKUP($A132,'Raw_Data'!$B:$B,'Raw_Data'!$JL:$JL),"")</f>
        <v/>
      </c>
      <c r="W132" s="240" t="str">
        <f t="shared" si="10"/>
        <v/>
      </c>
      <c r="X132" s="228" t="str">
        <f>IFERROR(_xlfn.XLOOKUP($A132,'Raw_Data'!$B:$B,'Raw_Data'!$JI:$JI),"")</f>
        <v/>
      </c>
      <c r="Y132" s="228" t="str">
        <f>IFERROR(_xlfn.XLOOKUP($A132,'Raw_Data'!$B:$B,'Raw_Data'!IT:IT),"")</f>
        <v/>
      </c>
      <c r="Z132" s="228" t="str">
        <f>IFERROR(_xlfn.XLOOKUP($A132,'Raw_Data'!$B:$B,'Raw_Data'!IU:IU),"")</f>
        <v/>
      </c>
      <c r="AA132" s="228" t="str">
        <f>IFERROR(_xlfn.XLOOKUP($A132,'Raw_Data'!$B:$B,'Raw_Data'!IW:IW),"")</f>
        <v/>
      </c>
      <c r="AB132" s="228" t="str">
        <f>IFERROR(_xlfn.XLOOKUP($A132,'Raw_Data'!$B:$B,'Raw_Data'!I:I)/1000,"")</f>
        <v/>
      </c>
      <c r="AC132" s="241">
        <f>IFERROR(_xlfn.XLOOKUP($D132,'Modelling New'!$D:$D,'Modelling New'!$P:$P),"")</f>
        <v>5.6193548387096772</v>
      </c>
      <c r="AD132" s="228">
        <f>IFERROR(_xlfn.XLOOKUP($D132,'Modelling New'!$D:$D,'Modelling New'!$T:$T)*1000,"")</f>
        <v>1561332.2879552036</v>
      </c>
      <c r="AE132" s="240">
        <f>IFERROR(_xlfn.XLOOKUP($D132,'Modelling New'!$D:$D,'Modelling New'!$O:$O),"")</f>
        <v>0.82917484930796836</v>
      </c>
      <c r="AF132" s="240">
        <f>IFERROR(_xlfn.XLOOKUP($D132,'Modelling New'!$D:$D,'Modelling New'!$W:$W),"")</f>
        <v>0.19414282089979581</v>
      </c>
      <c r="AG132" s="240">
        <f>IFERROR(_xlfn.XLOOKUP($D132,'Modelling New'!$D:$D,'Modelling New'!AE:AE),"")</f>
        <v>0.99750000000000005</v>
      </c>
      <c r="AH132" s="240">
        <f>IFERROR(_xlfn.XLOOKUP($D132,'Modelling New'!$D:$D,'Modelling New'!AF:AF),"")</f>
        <v>0.99750000000000005</v>
      </c>
      <c r="AI132" s="186"/>
      <c r="AJ132" s="186"/>
      <c r="AK132" s="225"/>
      <c r="AL132" s="224">
        <f>IFERROR(Table13[[#This Row],[RA (%)]]*9270*58,"")</f>
        <v>0</v>
      </c>
      <c r="AM132" s="225"/>
      <c r="AN132" s="238"/>
      <c r="AO132" s="240"/>
      <c r="AP132" s="240"/>
      <c r="AQ132" s="240"/>
      <c r="AR132" s="242">
        <f>IFERROR(_xlfn.XLOOKUP($D132,'Modelling New'!$D:$D,'Modelling New'!$N:$N),"")</f>
        <v>335.09100000000001</v>
      </c>
    </row>
    <row r="133" spans="1:44">
      <c r="A133" s="233">
        <f t="shared" si="11"/>
        <v>45876</v>
      </c>
      <c r="B133" s="228">
        <f>YEAR(Table13[[#This Row],[Date]])+IF(MONTH(Table13[[#This Row],[Date]])&gt;=4,1,0)</f>
        <v>2026</v>
      </c>
      <c r="C133" s="186">
        <f>YEAR(Table13[[#This Row],[Date]])</f>
        <v>2025</v>
      </c>
      <c r="D133" s="234">
        <f>Table13[[#This Row],[Date]]-DAY(Table13[[#This Row],[Date]])+1</f>
        <v>45870</v>
      </c>
      <c r="E133" s="186">
        <f t="shared" si="12"/>
        <v>31</v>
      </c>
      <c r="F133" s="235" t="str">
        <f>IFERROR(_xlfn.XLOOKUP($A133,'Raw_Data'!$B:$B,'Raw_Data'!$IX:$IX),"")</f>
        <v/>
      </c>
      <c r="G133" s="236" t="str">
        <f>IFERROR(_xlfn.XLOOKUP($A133,'Raw_Data'!$B:$B,'Raw_Data'!IY:IY),"")</f>
        <v/>
      </c>
      <c r="H133" s="236" t="str">
        <f>IFERROR(_xlfn.XLOOKUP($A133,'Raw_Data'!$B:$B,'Raw_Data'!IZ:IZ),"")</f>
        <v/>
      </c>
      <c r="I133" s="236" t="str">
        <f>IFERROR(_xlfn.XLOOKUP($A133,'Raw_Data'!$B:$B,'Raw_Data'!JA:JA),"")</f>
        <v/>
      </c>
      <c r="J133" s="236" t="str">
        <f>IFERROR(_xlfn.XLOOKUP($A133,'Raw_Data'!$B:$B,'Raw_Data'!JB:JB),"")</f>
        <v/>
      </c>
      <c r="K133" s="236" t="str">
        <f>IFERROR(_xlfn.XLOOKUP($A133,'Raw_Data'!$B:$B,'Raw_Data'!JE:JE),"")</f>
        <v/>
      </c>
      <c r="L133" s="236" t="str">
        <f>IFERROR(_xlfn.XLOOKUP($A133,'Raw_Data'!$B:$B,'Raw_Data'!JF:JF),"")</f>
        <v/>
      </c>
      <c r="M133" s="236" t="str">
        <f>IFERROR(_xlfn.XLOOKUP($A133,'Raw_Data'!$B:$B,'Raw_Data'!JG:JG),"")</f>
        <v/>
      </c>
      <c r="N133" s="236" t="str">
        <f>IFERROR(_xlfn.XLOOKUP($A133,'Raw_Data'!$B:$B,'Raw_Data'!JH:JH),"")</f>
        <v/>
      </c>
      <c r="O133" s="237" t="str">
        <f>IFERROR(1-SUMIF(PA!$B:$B,$A133,PA!$AL:$AL)/($AA133+SUMIF(PA!$B:$B,$A133,PA!$AL:$AL)),"")</f>
        <v/>
      </c>
      <c r="P133" s="238"/>
      <c r="Q133" s="239"/>
      <c r="R133" s="240" t="str">
        <f>IFERROR(1-SUMIF(GA!$C:$C,$A133,GA!$X:$X)/($AA133+SUMIF(GA!$C:$C,$A133,GA!$X:$X)),"")</f>
        <v/>
      </c>
      <c r="S133" s="186"/>
      <c r="T133" s="239"/>
      <c r="U133" s="237" t="str">
        <f t="shared" si="9"/>
        <v/>
      </c>
      <c r="V133" s="237" t="str">
        <f>IFERROR(_xlfn.XLOOKUP($A133,'Raw_Data'!$B:$B,'Raw_Data'!$JL:$JL),"")</f>
        <v/>
      </c>
      <c r="W133" s="240" t="str">
        <f t="shared" si="10"/>
        <v/>
      </c>
      <c r="X133" s="228" t="str">
        <f>IFERROR(_xlfn.XLOOKUP($A133,'Raw_Data'!$B:$B,'Raw_Data'!$JI:$JI),"")</f>
        <v/>
      </c>
      <c r="Y133" s="228" t="str">
        <f>IFERROR(_xlfn.XLOOKUP($A133,'Raw_Data'!$B:$B,'Raw_Data'!IT:IT),"")</f>
        <v/>
      </c>
      <c r="Z133" s="228" t="str">
        <f>IFERROR(_xlfn.XLOOKUP($A133,'Raw_Data'!$B:$B,'Raw_Data'!IU:IU),"")</f>
        <v/>
      </c>
      <c r="AA133" s="228" t="str">
        <f>IFERROR(_xlfn.XLOOKUP($A133,'Raw_Data'!$B:$B,'Raw_Data'!IW:IW),"")</f>
        <v/>
      </c>
      <c r="AB133" s="228" t="str">
        <f>IFERROR(_xlfn.XLOOKUP($A133,'Raw_Data'!$B:$B,'Raw_Data'!I:I)/1000,"")</f>
        <v/>
      </c>
      <c r="AC133" s="241">
        <f>IFERROR(_xlfn.XLOOKUP($D133,'Modelling New'!$D:$D,'Modelling New'!$P:$P),"")</f>
        <v>5.6193548387096772</v>
      </c>
      <c r="AD133" s="228">
        <f>IFERROR(_xlfn.XLOOKUP($D133,'Modelling New'!$D:$D,'Modelling New'!$T:$T)*1000,"")</f>
        <v>1561332.2879552036</v>
      </c>
      <c r="AE133" s="240">
        <f>IFERROR(_xlfn.XLOOKUP($D133,'Modelling New'!$D:$D,'Modelling New'!$O:$O),"")</f>
        <v>0.82917484930796836</v>
      </c>
      <c r="AF133" s="240">
        <f>IFERROR(_xlfn.XLOOKUP($D133,'Modelling New'!$D:$D,'Modelling New'!$W:$W),"")</f>
        <v>0.19414282089979581</v>
      </c>
      <c r="AG133" s="240">
        <f>IFERROR(_xlfn.XLOOKUP($D133,'Modelling New'!$D:$D,'Modelling New'!AE:AE),"")</f>
        <v>0.99750000000000005</v>
      </c>
      <c r="AH133" s="240">
        <f>IFERROR(_xlfn.XLOOKUP($D133,'Modelling New'!$D:$D,'Modelling New'!AF:AF),"")</f>
        <v>0.99750000000000005</v>
      </c>
      <c r="AI133" s="186"/>
      <c r="AJ133" s="186"/>
      <c r="AK133" s="225"/>
      <c r="AL133" s="224">
        <f>IFERROR(Table13[[#This Row],[RA (%)]]*9270*58,"")</f>
        <v>0</v>
      </c>
      <c r="AM133" s="225"/>
      <c r="AN133" s="238"/>
      <c r="AO133" s="240"/>
      <c r="AP133" s="240"/>
      <c r="AQ133" s="240"/>
      <c r="AR133" s="242">
        <f>IFERROR(_xlfn.XLOOKUP($D133,'Modelling New'!$D:$D,'Modelling New'!$N:$N),"")</f>
        <v>335.09100000000001</v>
      </c>
    </row>
    <row r="134" spans="1:44">
      <c r="A134" s="233">
        <f t="shared" si="11"/>
        <v>45877</v>
      </c>
      <c r="B134" s="228">
        <f>YEAR(Table13[[#This Row],[Date]])+IF(MONTH(Table13[[#This Row],[Date]])&gt;=4,1,0)</f>
        <v>2026</v>
      </c>
      <c r="C134" s="186">
        <f>YEAR(Table13[[#This Row],[Date]])</f>
        <v>2025</v>
      </c>
      <c r="D134" s="234">
        <f>Table13[[#This Row],[Date]]-DAY(Table13[[#This Row],[Date]])+1</f>
        <v>45870</v>
      </c>
      <c r="E134" s="186">
        <f t="shared" si="12"/>
        <v>31</v>
      </c>
      <c r="F134" s="235" t="str">
        <f>IFERROR(_xlfn.XLOOKUP($A134,'Raw_Data'!$B:$B,'Raw_Data'!$IX:$IX),"")</f>
        <v/>
      </c>
      <c r="G134" s="236" t="str">
        <f>IFERROR(_xlfn.XLOOKUP($A134,'Raw_Data'!$B:$B,'Raw_Data'!IY:IY),"")</f>
        <v/>
      </c>
      <c r="H134" s="236" t="str">
        <f>IFERROR(_xlfn.XLOOKUP($A134,'Raw_Data'!$B:$B,'Raw_Data'!IZ:IZ),"")</f>
        <v/>
      </c>
      <c r="I134" s="236" t="str">
        <f>IFERROR(_xlfn.XLOOKUP($A134,'Raw_Data'!$B:$B,'Raw_Data'!JA:JA),"")</f>
        <v/>
      </c>
      <c r="J134" s="236" t="str">
        <f>IFERROR(_xlfn.XLOOKUP($A134,'Raw_Data'!$B:$B,'Raw_Data'!JB:JB),"")</f>
        <v/>
      </c>
      <c r="K134" s="236" t="str">
        <f>IFERROR(_xlfn.XLOOKUP($A134,'Raw_Data'!$B:$B,'Raw_Data'!JE:JE),"")</f>
        <v/>
      </c>
      <c r="L134" s="236" t="str">
        <f>IFERROR(_xlfn.XLOOKUP($A134,'Raw_Data'!$B:$B,'Raw_Data'!JF:JF),"")</f>
        <v/>
      </c>
      <c r="M134" s="236" t="str">
        <f>IFERROR(_xlfn.XLOOKUP($A134,'Raw_Data'!$B:$B,'Raw_Data'!JG:JG),"")</f>
        <v/>
      </c>
      <c r="N134" s="236" t="str">
        <f>IFERROR(_xlfn.XLOOKUP($A134,'Raw_Data'!$B:$B,'Raw_Data'!JH:JH),"")</f>
        <v/>
      </c>
      <c r="O134" s="237" t="str">
        <f>IFERROR(1-SUMIF(PA!$B:$B,$A134,PA!$AL:$AL)/($AA134+SUMIF(PA!$B:$B,$A134,PA!$AL:$AL)),"")</f>
        <v/>
      </c>
      <c r="P134" s="238"/>
      <c r="Q134" s="239"/>
      <c r="R134" s="240" t="str">
        <f>IFERROR(1-SUMIF(GA!$C:$C,$A134,GA!$X:$X)/($AA134+SUMIF(GA!$C:$C,$A134,GA!$X:$X)),"")</f>
        <v/>
      </c>
      <c r="S134" s="186"/>
      <c r="T134" s="239"/>
      <c r="U134" s="237" t="str">
        <f t="shared" si="9"/>
        <v/>
      </c>
      <c r="V134" s="237" t="str">
        <f>IFERROR(_xlfn.XLOOKUP($A134,'Raw_Data'!$B:$B,'Raw_Data'!$JL:$JL),"")</f>
        <v/>
      </c>
      <c r="W134" s="240" t="str">
        <f t="shared" si="10"/>
        <v/>
      </c>
      <c r="X134" s="228" t="str">
        <f>IFERROR(_xlfn.XLOOKUP($A134,'Raw_Data'!$B:$B,'Raw_Data'!$JI:$JI),"")</f>
        <v/>
      </c>
      <c r="Y134" s="228" t="str">
        <f>IFERROR(_xlfn.XLOOKUP($A134,'Raw_Data'!$B:$B,'Raw_Data'!IT:IT),"")</f>
        <v/>
      </c>
      <c r="Z134" s="228" t="str">
        <f>IFERROR(_xlfn.XLOOKUP($A134,'Raw_Data'!$B:$B,'Raw_Data'!IU:IU),"")</f>
        <v/>
      </c>
      <c r="AA134" s="228" t="str">
        <f>IFERROR(_xlfn.XLOOKUP($A134,'Raw_Data'!$B:$B,'Raw_Data'!IW:IW),"")</f>
        <v/>
      </c>
      <c r="AB134" s="228" t="str">
        <f>IFERROR(_xlfn.XLOOKUP($A134,'Raw_Data'!$B:$B,'Raw_Data'!I:I)/1000,"")</f>
        <v/>
      </c>
      <c r="AC134" s="241">
        <f>IFERROR(_xlfn.XLOOKUP($D134,'Modelling New'!$D:$D,'Modelling New'!$P:$P),"")</f>
        <v>5.6193548387096772</v>
      </c>
      <c r="AD134" s="228">
        <f>IFERROR(_xlfn.XLOOKUP($D134,'Modelling New'!$D:$D,'Modelling New'!$T:$T)*1000,"")</f>
        <v>1561332.2879552036</v>
      </c>
      <c r="AE134" s="240">
        <f>IFERROR(_xlfn.XLOOKUP($D134,'Modelling New'!$D:$D,'Modelling New'!$O:$O),"")</f>
        <v>0.82917484930796836</v>
      </c>
      <c r="AF134" s="240">
        <f>IFERROR(_xlfn.XLOOKUP($D134,'Modelling New'!$D:$D,'Modelling New'!$W:$W),"")</f>
        <v>0.19414282089979581</v>
      </c>
      <c r="AG134" s="240">
        <f>IFERROR(_xlfn.XLOOKUP($D134,'Modelling New'!$D:$D,'Modelling New'!AE:AE),"")</f>
        <v>0.99750000000000005</v>
      </c>
      <c r="AH134" s="240">
        <f>IFERROR(_xlfn.XLOOKUP($D134,'Modelling New'!$D:$D,'Modelling New'!AF:AF),"")</f>
        <v>0.99750000000000005</v>
      </c>
      <c r="AI134" s="186"/>
      <c r="AJ134" s="186"/>
      <c r="AK134" s="225"/>
      <c r="AL134" s="224">
        <f>IFERROR(Table13[[#This Row],[RA (%)]]*9270*58,"")</f>
        <v>0</v>
      </c>
      <c r="AM134" s="225"/>
      <c r="AN134" s="238"/>
      <c r="AO134" s="240"/>
      <c r="AP134" s="240"/>
      <c r="AQ134" s="240"/>
      <c r="AR134" s="242">
        <f>IFERROR(_xlfn.XLOOKUP($D134,'Modelling New'!$D:$D,'Modelling New'!$N:$N),"")</f>
        <v>335.09100000000001</v>
      </c>
    </row>
    <row r="135" spans="1:44">
      <c r="A135" s="233">
        <f t="shared" si="11"/>
        <v>45878</v>
      </c>
      <c r="B135" s="228">
        <f>YEAR(Table13[[#This Row],[Date]])+IF(MONTH(Table13[[#This Row],[Date]])&gt;=4,1,0)</f>
        <v>2026</v>
      </c>
      <c r="C135" s="186">
        <f>YEAR(Table13[[#This Row],[Date]])</f>
        <v>2025</v>
      </c>
      <c r="D135" s="234">
        <f>Table13[[#This Row],[Date]]-DAY(Table13[[#This Row],[Date]])+1</f>
        <v>45870</v>
      </c>
      <c r="E135" s="186">
        <f t="shared" si="12"/>
        <v>31</v>
      </c>
      <c r="F135" s="235" t="str">
        <f>IFERROR(_xlfn.XLOOKUP($A135,'Raw_Data'!$B:$B,'Raw_Data'!$IX:$IX),"")</f>
        <v/>
      </c>
      <c r="G135" s="236" t="str">
        <f>IFERROR(_xlfn.XLOOKUP($A135,'Raw_Data'!$B:$B,'Raw_Data'!IY:IY),"")</f>
        <v/>
      </c>
      <c r="H135" s="236" t="str">
        <f>IFERROR(_xlfn.XLOOKUP($A135,'Raw_Data'!$B:$B,'Raw_Data'!IZ:IZ),"")</f>
        <v/>
      </c>
      <c r="I135" s="236" t="str">
        <f>IFERROR(_xlfn.XLOOKUP($A135,'Raw_Data'!$B:$B,'Raw_Data'!JA:JA),"")</f>
        <v/>
      </c>
      <c r="J135" s="236" t="str">
        <f>IFERROR(_xlfn.XLOOKUP($A135,'Raw_Data'!$B:$B,'Raw_Data'!JB:JB),"")</f>
        <v/>
      </c>
      <c r="K135" s="236" t="str">
        <f>IFERROR(_xlfn.XLOOKUP($A135,'Raw_Data'!$B:$B,'Raw_Data'!JE:JE),"")</f>
        <v/>
      </c>
      <c r="L135" s="236" t="str">
        <f>IFERROR(_xlfn.XLOOKUP($A135,'Raw_Data'!$B:$B,'Raw_Data'!JF:JF),"")</f>
        <v/>
      </c>
      <c r="M135" s="236" t="str">
        <f>IFERROR(_xlfn.XLOOKUP($A135,'Raw_Data'!$B:$B,'Raw_Data'!JG:JG),"")</f>
        <v/>
      </c>
      <c r="N135" s="236" t="str">
        <f>IFERROR(_xlfn.XLOOKUP($A135,'Raw_Data'!$B:$B,'Raw_Data'!JH:JH),"")</f>
        <v/>
      </c>
      <c r="O135" s="237" t="str">
        <f>IFERROR(1-SUMIF(PA!$B:$B,$A135,PA!$AL:$AL)/($AA135+SUMIF(PA!$B:$B,$A135,PA!$AL:$AL)),"")</f>
        <v/>
      </c>
      <c r="P135" s="238"/>
      <c r="Q135" s="239"/>
      <c r="R135" s="240" t="str">
        <f>IFERROR(1-SUMIF(GA!$C:$C,$A135,GA!$X:$X)/($AA135+SUMIF(GA!$C:$C,$A135,GA!$X:$X)),"")</f>
        <v/>
      </c>
      <c r="S135" s="186"/>
      <c r="T135" s="239"/>
      <c r="U135" s="237" t="str">
        <f t="shared" si="9"/>
        <v/>
      </c>
      <c r="V135" s="237" t="str">
        <f>IFERROR(_xlfn.XLOOKUP($A135,'Raw_Data'!$B:$B,'Raw_Data'!$JL:$JL),"")</f>
        <v/>
      </c>
      <c r="W135" s="240" t="str">
        <f t="shared" si="10"/>
        <v/>
      </c>
      <c r="X135" s="228" t="str">
        <f>IFERROR(_xlfn.XLOOKUP($A135,'Raw_Data'!$B:$B,'Raw_Data'!$JI:$JI),"")</f>
        <v/>
      </c>
      <c r="Y135" s="228" t="str">
        <f>IFERROR(_xlfn.XLOOKUP($A135,'Raw_Data'!$B:$B,'Raw_Data'!IT:IT),"")</f>
        <v/>
      </c>
      <c r="Z135" s="228" t="str">
        <f>IFERROR(_xlfn.XLOOKUP($A135,'Raw_Data'!$B:$B,'Raw_Data'!IU:IU),"")</f>
        <v/>
      </c>
      <c r="AA135" s="228" t="str">
        <f>IFERROR(_xlfn.XLOOKUP($A135,'Raw_Data'!$B:$B,'Raw_Data'!IW:IW),"")</f>
        <v/>
      </c>
      <c r="AB135" s="228" t="str">
        <f>IFERROR(_xlfn.XLOOKUP($A135,'Raw_Data'!$B:$B,'Raw_Data'!I:I)/1000,"")</f>
        <v/>
      </c>
      <c r="AC135" s="241">
        <f>IFERROR(_xlfn.XLOOKUP($D135,'Modelling New'!$D:$D,'Modelling New'!$P:$P),"")</f>
        <v>5.6193548387096772</v>
      </c>
      <c r="AD135" s="228">
        <f>IFERROR(_xlfn.XLOOKUP($D135,'Modelling New'!$D:$D,'Modelling New'!$T:$T)*1000,"")</f>
        <v>1561332.2879552036</v>
      </c>
      <c r="AE135" s="240">
        <f>IFERROR(_xlfn.XLOOKUP($D135,'Modelling New'!$D:$D,'Modelling New'!$O:$O),"")</f>
        <v>0.82917484930796836</v>
      </c>
      <c r="AF135" s="240">
        <f>IFERROR(_xlfn.XLOOKUP($D135,'Modelling New'!$D:$D,'Modelling New'!$W:$W),"")</f>
        <v>0.19414282089979581</v>
      </c>
      <c r="AG135" s="240">
        <f>IFERROR(_xlfn.XLOOKUP($D135,'Modelling New'!$D:$D,'Modelling New'!AE:AE),"")</f>
        <v>0.99750000000000005</v>
      </c>
      <c r="AH135" s="240">
        <f>IFERROR(_xlfn.XLOOKUP($D135,'Modelling New'!$D:$D,'Modelling New'!AF:AF),"")</f>
        <v>0.99750000000000005</v>
      </c>
      <c r="AI135" s="186"/>
      <c r="AJ135" s="186"/>
      <c r="AK135" s="225"/>
      <c r="AL135" s="224">
        <f>IFERROR(Table13[[#This Row],[RA (%)]]*9270*58,"")</f>
        <v>0</v>
      </c>
      <c r="AM135" s="225"/>
      <c r="AN135" s="238"/>
      <c r="AO135" s="240"/>
      <c r="AP135" s="240"/>
      <c r="AQ135" s="240"/>
      <c r="AR135" s="242">
        <f>IFERROR(_xlfn.XLOOKUP($D135,'Modelling New'!$D:$D,'Modelling New'!$N:$N),"")</f>
        <v>335.09100000000001</v>
      </c>
    </row>
    <row r="136" spans="1:44">
      <c r="A136" s="233">
        <f t="shared" si="11"/>
        <v>45879</v>
      </c>
      <c r="B136" s="228">
        <f>YEAR(Table13[[#This Row],[Date]])+IF(MONTH(Table13[[#This Row],[Date]])&gt;=4,1,0)</f>
        <v>2026</v>
      </c>
      <c r="C136" s="186">
        <f>YEAR(Table13[[#This Row],[Date]])</f>
        <v>2025</v>
      </c>
      <c r="D136" s="234">
        <f>Table13[[#This Row],[Date]]-DAY(Table13[[#This Row],[Date]])+1</f>
        <v>45870</v>
      </c>
      <c r="E136" s="186">
        <f t="shared" si="12"/>
        <v>31</v>
      </c>
      <c r="F136" s="235" t="str">
        <f>IFERROR(_xlfn.XLOOKUP($A136,'Raw_Data'!$B:$B,'Raw_Data'!$IX:$IX),"")</f>
        <v/>
      </c>
      <c r="G136" s="236" t="str">
        <f>IFERROR(_xlfn.XLOOKUP($A136,'Raw_Data'!$B:$B,'Raw_Data'!IY:IY),"")</f>
        <v/>
      </c>
      <c r="H136" s="236" t="str">
        <f>IFERROR(_xlfn.XLOOKUP($A136,'Raw_Data'!$B:$B,'Raw_Data'!IZ:IZ),"")</f>
        <v/>
      </c>
      <c r="I136" s="236" t="str">
        <f>IFERROR(_xlfn.XLOOKUP($A136,'Raw_Data'!$B:$B,'Raw_Data'!JA:JA),"")</f>
        <v/>
      </c>
      <c r="J136" s="236" t="str">
        <f>IFERROR(_xlfn.XLOOKUP($A136,'Raw_Data'!$B:$B,'Raw_Data'!JB:JB),"")</f>
        <v/>
      </c>
      <c r="K136" s="236" t="str">
        <f>IFERROR(_xlfn.XLOOKUP($A136,'Raw_Data'!$B:$B,'Raw_Data'!JE:JE),"")</f>
        <v/>
      </c>
      <c r="L136" s="236" t="str">
        <f>IFERROR(_xlfn.XLOOKUP($A136,'Raw_Data'!$B:$B,'Raw_Data'!JF:JF),"")</f>
        <v/>
      </c>
      <c r="M136" s="236" t="str">
        <f>IFERROR(_xlfn.XLOOKUP($A136,'Raw_Data'!$B:$B,'Raw_Data'!JG:JG),"")</f>
        <v/>
      </c>
      <c r="N136" s="236" t="str">
        <f>IFERROR(_xlfn.XLOOKUP($A136,'Raw_Data'!$B:$B,'Raw_Data'!JH:JH),"")</f>
        <v/>
      </c>
      <c r="O136" s="237" t="str">
        <f>IFERROR(1-SUMIF(PA!$B:$B,$A136,PA!$AL:$AL)/($AA136+SUMIF(PA!$B:$B,$A136,PA!$AL:$AL)),"")</f>
        <v/>
      </c>
      <c r="P136" s="238"/>
      <c r="Q136" s="239"/>
      <c r="R136" s="240" t="str">
        <f>IFERROR(1-SUMIF(GA!$C:$C,$A136,GA!$X:$X)/($AA136+SUMIF(GA!$C:$C,$A136,GA!$X:$X)),"")</f>
        <v/>
      </c>
      <c r="S136" s="186"/>
      <c r="T136" s="239"/>
      <c r="U136" s="237" t="str">
        <f t="shared" si="9"/>
        <v/>
      </c>
      <c r="V136" s="237" t="str">
        <f>IFERROR(_xlfn.XLOOKUP($A136,'Raw_Data'!$B:$B,'Raw_Data'!$JL:$JL),"")</f>
        <v/>
      </c>
      <c r="W136" s="240" t="str">
        <f t="shared" si="10"/>
        <v/>
      </c>
      <c r="X136" s="228" t="str">
        <f>IFERROR(_xlfn.XLOOKUP($A136,'Raw_Data'!$B:$B,'Raw_Data'!$JI:$JI),"")</f>
        <v/>
      </c>
      <c r="Y136" s="228" t="str">
        <f>IFERROR(_xlfn.XLOOKUP($A136,'Raw_Data'!$B:$B,'Raw_Data'!IT:IT),"")</f>
        <v/>
      </c>
      <c r="Z136" s="228" t="str">
        <f>IFERROR(_xlfn.XLOOKUP($A136,'Raw_Data'!$B:$B,'Raw_Data'!IU:IU),"")</f>
        <v/>
      </c>
      <c r="AA136" s="228" t="str">
        <f>IFERROR(_xlfn.XLOOKUP($A136,'Raw_Data'!$B:$B,'Raw_Data'!IW:IW),"")</f>
        <v/>
      </c>
      <c r="AB136" s="228" t="str">
        <f>IFERROR(_xlfn.XLOOKUP($A136,'Raw_Data'!$B:$B,'Raw_Data'!I:I)/1000,"")</f>
        <v/>
      </c>
      <c r="AC136" s="241">
        <f>IFERROR(_xlfn.XLOOKUP($D136,'Modelling New'!$D:$D,'Modelling New'!$P:$P),"")</f>
        <v>5.6193548387096772</v>
      </c>
      <c r="AD136" s="228">
        <f>IFERROR(_xlfn.XLOOKUP($D136,'Modelling New'!$D:$D,'Modelling New'!$T:$T)*1000,"")</f>
        <v>1561332.2879552036</v>
      </c>
      <c r="AE136" s="240">
        <f>IFERROR(_xlfn.XLOOKUP($D136,'Modelling New'!$D:$D,'Modelling New'!$O:$O),"")</f>
        <v>0.82917484930796836</v>
      </c>
      <c r="AF136" s="240">
        <f>IFERROR(_xlfn.XLOOKUP($D136,'Modelling New'!$D:$D,'Modelling New'!$W:$W),"")</f>
        <v>0.19414282089979581</v>
      </c>
      <c r="AG136" s="240">
        <f>IFERROR(_xlfn.XLOOKUP($D136,'Modelling New'!$D:$D,'Modelling New'!AE:AE),"")</f>
        <v>0.99750000000000005</v>
      </c>
      <c r="AH136" s="240">
        <f>IFERROR(_xlfn.XLOOKUP($D136,'Modelling New'!$D:$D,'Modelling New'!AF:AF),"")</f>
        <v>0.99750000000000005</v>
      </c>
      <c r="AI136" s="186"/>
      <c r="AJ136" s="186"/>
      <c r="AK136" s="225"/>
      <c r="AL136" s="224">
        <f>IFERROR(Table13[[#This Row],[RA (%)]]*9270*58,"")</f>
        <v>0</v>
      </c>
      <c r="AM136" s="225"/>
      <c r="AN136" s="238"/>
      <c r="AO136" s="240"/>
      <c r="AP136" s="240"/>
      <c r="AQ136" s="240"/>
      <c r="AR136" s="242">
        <f>IFERROR(_xlfn.XLOOKUP($D136,'Modelling New'!$D:$D,'Modelling New'!$N:$N),"")</f>
        <v>335.09100000000001</v>
      </c>
    </row>
    <row r="137" spans="1:44">
      <c r="A137" s="233">
        <f t="shared" si="11"/>
        <v>45880</v>
      </c>
      <c r="B137" s="228">
        <f>YEAR(Table13[[#This Row],[Date]])+IF(MONTH(Table13[[#This Row],[Date]])&gt;=4,1,0)</f>
        <v>2026</v>
      </c>
      <c r="C137" s="186">
        <f>YEAR(Table13[[#This Row],[Date]])</f>
        <v>2025</v>
      </c>
      <c r="D137" s="234">
        <f>Table13[[#This Row],[Date]]-DAY(Table13[[#This Row],[Date]])+1</f>
        <v>45870</v>
      </c>
      <c r="E137" s="186">
        <f t="shared" si="12"/>
        <v>31</v>
      </c>
      <c r="F137" s="235" t="str">
        <f>IFERROR(_xlfn.XLOOKUP($A137,'Raw_Data'!$B:$B,'Raw_Data'!$IX:$IX),"")</f>
        <v/>
      </c>
      <c r="G137" s="236" t="str">
        <f>IFERROR(_xlfn.XLOOKUP($A137,'Raw_Data'!$B:$B,'Raw_Data'!IY:IY),"")</f>
        <v/>
      </c>
      <c r="H137" s="236" t="str">
        <f>IFERROR(_xlfn.XLOOKUP($A137,'Raw_Data'!$B:$B,'Raw_Data'!IZ:IZ),"")</f>
        <v/>
      </c>
      <c r="I137" s="236" t="str">
        <f>IFERROR(_xlfn.XLOOKUP($A137,'Raw_Data'!$B:$B,'Raw_Data'!JA:JA),"")</f>
        <v/>
      </c>
      <c r="J137" s="236" t="str">
        <f>IFERROR(_xlfn.XLOOKUP($A137,'Raw_Data'!$B:$B,'Raw_Data'!JB:JB),"")</f>
        <v/>
      </c>
      <c r="K137" s="236" t="str">
        <f>IFERROR(_xlfn.XLOOKUP($A137,'Raw_Data'!$B:$B,'Raw_Data'!JE:JE),"")</f>
        <v/>
      </c>
      <c r="L137" s="236" t="str">
        <f>IFERROR(_xlfn.XLOOKUP($A137,'Raw_Data'!$B:$B,'Raw_Data'!JF:JF),"")</f>
        <v/>
      </c>
      <c r="M137" s="236" t="str">
        <f>IFERROR(_xlfn.XLOOKUP($A137,'Raw_Data'!$B:$B,'Raw_Data'!JG:JG),"")</f>
        <v/>
      </c>
      <c r="N137" s="236" t="str">
        <f>IFERROR(_xlfn.XLOOKUP($A137,'Raw_Data'!$B:$B,'Raw_Data'!JH:JH),"")</f>
        <v/>
      </c>
      <c r="O137" s="237" t="str">
        <f>IFERROR(1-SUMIF(PA!$B:$B,$A137,PA!$AL:$AL)/($AA137+SUMIF(PA!$B:$B,$A137,PA!$AL:$AL)),"")</f>
        <v/>
      </c>
      <c r="P137" s="238"/>
      <c r="Q137" s="239"/>
      <c r="R137" s="240" t="str">
        <f>IFERROR(1-SUMIF(GA!$C:$C,$A137,GA!$X:$X)/($AA137+SUMIF(GA!$C:$C,$A137,GA!$X:$X)),"")</f>
        <v/>
      </c>
      <c r="S137" s="186"/>
      <c r="T137" s="239"/>
      <c r="U137" s="237" t="str">
        <f t="shared" si="9"/>
        <v/>
      </c>
      <c r="V137" s="237" t="str">
        <f>IFERROR(_xlfn.XLOOKUP($A137,'Raw_Data'!$B:$B,'Raw_Data'!$JL:$JL),"")</f>
        <v/>
      </c>
      <c r="W137" s="240" t="str">
        <f t="shared" si="10"/>
        <v/>
      </c>
      <c r="X137" s="228" t="str">
        <f>IFERROR(_xlfn.XLOOKUP($A137,'Raw_Data'!$B:$B,'Raw_Data'!$JI:$JI),"")</f>
        <v/>
      </c>
      <c r="Y137" s="228" t="str">
        <f>IFERROR(_xlfn.XLOOKUP($A137,'Raw_Data'!$B:$B,'Raw_Data'!IT:IT),"")</f>
        <v/>
      </c>
      <c r="Z137" s="228" t="str">
        <f>IFERROR(_xlfn.XLOOKUP($A137,'Raw_Data'!$B:$B,'Raw_Data'!IU:IU),"")</f>
        <v/>
      </c>
      <c r="AA137" s="228" t="str">
        <f>IFERROR(_xlfn.XLOOKUP($A137,'Raw_Data'!$B:$B,'Raw_Data'!IW:IW),"")</f>
        <v/>
      </c>
      <c r="AB137" s="228" t="str">
        <f>IFERROR(_xlfn.XLOOKUP($A137,'Raw_Data'!$B:$B,'Raw_Data'!I:I)/1000,"")</f>
        <v/>
      </c>
      <c r="AC137" s="241">
        <f>IFERROR(_xlfn.XLOOKUP($D137,'Modelling New'!$D:$D,'Modelling New'!$P:$P),"")</f>
        <v>5.6193548387096772</v>
      </c>
      <c r="AD137" s="228">
        <f>IFERROR(_xlfn.XLOOKUP($D137,'Modelling New'!$D:$D,'Modelling New'!$T:$T)*1000,"")</f>
        <v>1561332.2879552036</v>
      </c>
      <c r="AE137" s="240">
        <f>IFERROR(_xlfn.XLOOKUP($D137,'Modelling New'!$D:$D,'Modelling New'!$O:$O),"")</f>
        <v>0.82917484930796836</v>
      </c>
      <c r="AF137" s="240">
        <f>IFERROR(_xlfn.XLOOKUP($D137,'Modelling New'!$D:$D,'Modelling New'!$W:$W),"")</f>
        <v>0.19414282089979581</v>
      </c>
      <c r="AG137" s="240">
        <f>IFERROR(_xlfn.XLOOKUP($D137,'Modelling New'!$D:$D,'Modelling New'!AE:AE),"")</f>
        <v>0.99750000000000005</v>
      </c>
      <c r="AH137" s="240">
        <f>IFERROR(_xlfn.XLOOKUP($D137,'Modelling New'!$D:$D,'Modelling New'!AF:AF),"")</f>
        <v>0.99750000000000005</v>
      </c>
      <c r="AI137" s="186"/>
      <c r="AJ137" s="186"/>
      <c r="AK137" s="225"/>
      <c r="AL137" s="224">
        <f>IFERROR(Table13[[#This Row],[RA (%)]]*9270*58,"")</f>
        <v>0</v>
      </c>
      <c r="AM137" s="225"/>
      <c r="AN137" s="238"/>
      <c r="AO137" s="240"/>
      <c r="AP137" s="240"/>
      <c r="AQ137" s="240"/>
      <c r="AR137" s="242">
        <f>IFERROR(_xlfn.XLOOKUP($D137,'Modelling New'!$D:$D,'Modelling New'!$N:$N),"")</f>
        <v>335.09100000000001</v>
      </c>
    </row>
    <row r="138" spans="1:44">
      <c r="A138" s="233">
        <f t="shared" si="11"/>
        <v>45881</v>
      </c>
      <c r="B138" s="228">
        <f>YEAR(Table13[[#This Row],[Date]])+IF(MONTH(Table13[[#This Row],[Date]])&gt;=4,1,0)</f>
        <v>2026</v>
      </c>
      <c r="C138" s="186">
        <f>YEAR(Table13[[#This Row],[Date]])</f>
        <v>2025</v>
      </c>
      <c r="D138" s="234">
        <f>Table13[[#This Row],[Date]]-DAY(Table13[[#This Row],[Date]])+1</f>
        <v>45870</v>
      </c>
      <c r="E138" s="186">
        <f t="shared" si="12"/>
        <v>31</v>
      </c>
      <c r="F138" s="235" t="str">
        <f>IFERROR(_xlfn.XLOOKUP($A138,'Raw_Data'!$B:$B,'Raw_Data'!$IX:$IX),"")</f>
        <v/>
      </c>
      <c r="G138" s="236" t="str">
        <f>IFERROR(_xlfn.XLOOKUP($A138,'Raw_Data'!$B:$B,'Raw_Data'!IY:IY),"")</f>
        <v/>
      </c>
      <c r="H138" s="236" t="str">
        <f>IFERROR(_xlfn.XLOOKUP($A138,'Raw_Data'!$B:$B,'Raw_Data'!IZ:IZ),"")</f>
        <v/>
      </c>
      <c r="I138" s="236" t="str">
        <f>IFERROR(_xlfn.XLOOKUP($A138,'Raw_Data'!$B:$B,'Raw_Data'!JA:JA),"")</f>
        <v/>
      </c>
      <c r="J138" s="236" t="str">
        <f>IFERROR(_xlfn.XLOOKUP($A138,'Raw_Data'!$B:$B,'Raw_Data'!JB:JB),"")</f>
        <v/>
      </c>
      <c r="K138" s="236" t="str">
        <f>IFERROR(_xlfn.XLOOKUP($A138,'Raw_Data'!$B:$B,'Raw_Data'!JE:JE),"")</f>
        <v/>
      </c>
      <c r="L138" s="236" t="str">
        <f>IFERROR(_xlfn.XLOOKUP($A138,'Raw_Data'!$B:$B,'Raw_Data'!JF:JF),"")</f>
        <v/>
      </c>
      <c r="M138" s="236" t="str">
        <f>IFERROR(_xlfn.XLOOKUP($A138,'Raw_Data'!$B:$B,'Raw_Data'!JG:JG),"")</f>
        <v/>
      </c>
      <c r="N138" s="236" t="str">
        <f>IFERROR(_xlfn.XLOOKUP($A138,'Raw_Data'!$B:$B,'Raw_Data'!JH:JH),"")</f>
        <v/>
      </c>
      <c r="O138" s="237" t="str">
        <f>IFERROR(1-SUMIF(PA!$B:$B,$A138,PA!$AL:$AL)/($AA138+SUMIF(PA!$B:$B,$A138,PA!$AL:$AL)),"")</f>
        <v/>
      </c>
      <c r="P138" s="238"/>
      <c r="Q138" s="239"/>
      <c r="R138" s="240" t="str">
        <f>IFERROR(1-SUMIF(GA!$C:$C,$A138,GA!$X:$X)/($AA138+SUMIF(GA!$C:$C,$A138,GA!$X:$X)),"")</f>
        <v/>
      </c>
      <c r="S138" s="186"/>
      <c r="T138" s="239"/>
      <c r="U138" s="237" t="str">
        <f t="shared" si="9"/>
        <v/>
      </c>
      <c r="V138" s="237" t="str">
        <f>IFERROR(_xlfn.XLOOKUP($A138,'Raw_Data'!$B:$B,'Raw_Data'!$JL:$JL),"")</f>
        <v/>
      </c>
      <c r="W138" s="240" t="str">
        <f t="shared" si="10"/>
        <v/>
      </c>
      <c r="X138" s="228" t="str">
        <f>IFERROR(_xlfn.XLOOKUP($A138,'Raw_Data'!$B:$B,'Raw_Data'!$JI:$JI),"")</f>
        <v/>
      </c>
      <c r="Y138" s="228" t="str">
        <f>IFERROR(_xlfn.XLOOKUP($A138,'Raw_Data'!$B:$B,'Raw_Data'!IT:IT),"")</f>
        <v/>
      </c>
      <c r="Z138" s="228" t="str">
        <f>IFERROR(_xlfn.XLOOKUP($A138,'Raw_Data'!$B:$B,'Raw_Data'!IU:IU),"")</f>
        <v/>
      </c>
      <c r="AA138" s="228" t="str">
        <f>IFERROR(_xlfn.XLOOKUP($A138,'Raw_Data'!$B:$B,'Raw_Data'!IW:IW),"")</f>
        <v/>
      </c>
      <c r="AB138" s="228" t="str">
        <f>IFERROR(_xlfn.XLOOKUP($A138,'Raw_Data'!$B:$B,'Raw_Data'!I:I)/1000,"")</f>
        <v/>
      </c>
      <c r="AC138" s="241">
        <f>IFERROR(_xlfn.XLOOKUP($D138,'Modelling New'!$D:$D,'Modelling New'!$P:$P),"")</f>
        <v>5.6193548387096772</v>
      </c>
      <c r="AD138" s="228">
        <f>IFERROR(_xlfn.XLOOKUP($D138,'Modelling New'!$D:$D,'Modelling New'!$T:$T)*1000,"")</f>
        <v>1561332.2879552036</v>
      </c>
      <c r="AE138" s="240">
        <f>IFERROR(_xlfn.XLOOKUP($D138,'Modelling New'!$D:$D,'Modelling New'!$O:$O),"")</f>
        <v>0.82917484930796836</v>
      </c>
      <c r="AF138" s="240">
        <f>IFERROR(_xlfn.XLOOKUP($D138,'Modelling New'!$D:$D,'Modelling New'!$W:$W),"")</f>
        <v>0.19414282089979581</v>
      </c>
      <c r="AG138" s="240">
        <f>IFERROR(_xlfn.XLOOKUP($D138,'Modelling New'!$D:$D,'Modelling New'!AE:AE),"")</f>
        <v>0.99750000000000005</v>
      </c>
      <c r="AH138" s="240">
        <f>IFERROR(_xlfn.XLOOKUP($D138,'Modelling New'!$D:$D,'Modelling New'!AF:AF),"")</f>
        <v>0.99750000000000005</v>
      </c>
      <c r="AI138" s="186"/>
      <c r="AJ138" s="186"/>
      <c r="AK138" s="225"/>
      <c r="AL138" s="224">
        <f>IFERROR(Table13[[#This Row],[RA (%)]]*9270*58,"")</f>
        <v>0</v>
      </c>
      <c r="AM138" s="225"/>
      <c r="AN138" s="238"/>
      <c r="AO138" s="240"/>
      <c r="AP138" s="240"/>
      <c r="AQ138" s="240"/>
      <c r="AR138" s="242">
        <f>IFERROR(_xlfn.XLOOKUP($D138,'Modelling New'!$D:$D,'Modelling New'!$N:$N),"")</f>
        <v>335.09100000000001</v>
      </c>
    </row>
    <row r="139" spans="1:44">
      <c r="A139" s="233">
        <f t="shared" si="11"/>
        <v>45882</v>
      </c>
      <c r="B139" s="228">
        <f>YEAR(Table13[[#This Row],[Date]])+IF(MONTH(Table13[[#This Row],[Date]])&gt;=4,1,0)</f>
        <v>2026</v>
      </c>
      <c r="C139" s="186">
        <f>YEAR(Table13[[#This Row],[Date]])</f>
        <v>2025</v>
      </c>
      <c r="D139" s="234">
        <f>Table13[[#This Row],[Date]]-DAY(Table13[[#This Row],[Date]])+1</f>
        <v>45870</v>
      </c>
      <c r="E139" s="186">
        <f t="shared" si="12"/>
        <v>31</v>
      </c>
      <c r="F139" s="235" t="str">
        <f>IFERROR(_xlfn.XLOOKUP($A139,'Raw_Data'!$B:$B,'Raw_Data'!$IX:$IX),"")</f>
        <v/>
      </c>
      <c r="G139" s="236" t="str">
        <f>IFERROR(_xlfn.XLOOKUP($A139,'Raw_Data'!$B:$B,'Raw_Data'!IY:IY),"")</f>
        <v/>
      </c>
      <c r="H139" s="236" t="str">
        <f>IFERROR(_xlfn.XLOOKUP($A139,'Raw_Data'!$B:$B,'Raw_Data'!IZ:IZ),"")</f>
        <v/>
      </c>
      <c r="I139" s="236" t="str">
        <f>IFERROR(_xlfn.XLOOKUP($A139,'Raw_Data'!$B:$B,'Raw_Data'!JA:JA),"")</f>
        <v/>
      </c>
      <c r="J139" s="236" t="str">
        <f>IFERROR(_xlfn.XLOOKUP($A139,'Raw_Data'!$B:$B,'Raw_Data'!JB:JB),"")</f>
        <v/>
      </c>
      <c r="K139" s="236" t="str">
        <f>IFERROR(_xlfn.XLOOKUP($A139,'Raw_Data'!$B:$B,'Raw_Data'!JE:JE),"")</f>
        <v/>
      </c>
      <c r="L139" s="236" t="str">
        <f>IFERROR(_xlfn.XLOOKUP($A139,'Raw_Data'!$B:$B,'Raw_Data'!JF:JF),"")</f>
        <v/>
      </c>
      <c r="M139" s="236" t="str">
        <f>IFERROR(_xlfn.XLOOKUP($A139,'Raw_Data'!$B:$B,'Raw_Data'!JG:JG),"")</f>
        <v/>
      </c>
      <c r="N139" s="236" t="str">
        <f>IFERROR(_xlfn.XLOOKUP($A139,'Raw_Data'!$B:$B,'Raw_Data'!JH:JH),"")</f>
        <v/>
      </c>
      <c r="O139" s="237" t="str">
        <f>IFERROR(1-SUMIF(PA!$B:$B,$A139,PA!$AL:$AL)/($AA139+SUMIF(PA!$B:$B,$A139,PA!$AL:$AL)),"")</f>
        <v/>
      </c>
      <c r="P139" s="238"/>
      <c r="Q139" s="239"/>
      <c r="R139" s="240" t="str">
        <f>IFERROR(1-SUMIF(GA!$C:$C,$A139,GA!$X:$X)/($AA139+SUMIF(GA!$C:$C,$A139,GA!$X:$X)),"")</f>
        <v/>
      </c>
      <c r="S139" s="186"/>
      <c r="T139" s="239"/>
      <c r="U139" s="237" t="str">
        <f t="shared" si="9"/>
        <v/>
      </c>
      <c r="V139" s="237" t="str">
        <f>IFERROR(_xlfn.XLOOKUP($A139,'Raw_Data'!$B:$B,'Raw_Data'!$JL:$JL),"")</f>
        <v/>
      </c>
      <c r="W139" s="240" t="str">
        <f t="shared" si="10"/>
        <v/>
      </c>
      <c r="X139" s="228" t="str">
        <f>IFERROR(_xlfn.XLOOKUP($A139,'Raw_Data'!$B:$B,'Raw_Data'!$JI:$JI),"")</f>
        <v/>
      </c>
      <c r="Y139" s="228" t="str">
        <f>IFERROR(_xlfn.XLOOKUP($A139,'Raw_Data'!$B:$B,'Raw_Data'!IT:IT),"")</f>
        <v/>
      </c>
      <c r="Z139" s="228" t="str">
        <f>IFERROR(_xlfn.XLOOKUP($A139,'Raw_Data'!$B:$B,'Raw_Data'!IU:IU),"")</f>
        <v/>
      </c>
      <c r="AA139" s="228" t="str">
        <f>IFERROR(_xlfn.XLOOKUP($A139,'Raw_Data'!$B:$B,'Raw_Data'!IW:IW),"")</f>
        <v/>
      </c>
      <c r="AB139" s="228" t="str">
        <f>IFERROR(_xlfn.XLOOKUP($A139,'Raw_Data'!$B:$B,'Raw_Data'!I:I)/1000,"")</f>
        <v/>
      </c>
      <c r="AC139" s="241">
        <f>IFERROR(_xlfn.XLOOKUP($D139,'Modelling New'!$D:$D,'Modelling New'!$P:$P),"")</f>
        <v>5.6193548387096772</v>
      </c>
      <c r="AD139" s="228">
        <f>IFERROR(_xlfn.XLOOKUP($D139,'Modelling New'!$D:$D,'Modelling New'!$T:$T)*1000,"")</f>
        <v>1561332.2879552036</v>
      </c>
      <c r="AE139" s="240">
        <f>IFERROR(_xlfn.XLOOKUP($D139,'Modelling New'!$D:$D,'Modelling New'!$O:$O),"")</f>
        <v>0.82917484930796836</v>
      </c>
      <c r="AF139" s="240">
        <f>IFERROR(_xlfn.XLOOKUP($D139,'Modelling New'!$D:$D,'Modelling New'!$W:$W),"")</f>
        <v>0.19414282089979581</v>
      </c>
      <c r="AG139" s="240">
        <f>IFERROR(_xlfn.XLOOKUP($D139,'Modelling New'!$D:$D,'Modelling New'!AE:AE),"")</f>
        <v>0.99750000000000005</v>
      </c>
      <c r="AH139" s="240">
        <f>IFERROR(_xlfn.XLOOKUP($D139,'Modelling New'!$D:$D,'Modelling New'!AF:AF),"")</f>
        <v>0.99750000000000005</v>
      </c>
      <c r="AI139" s="186"/>
      <c r="AJ139" s="186"/>
      <c r="AK139" s="225"/>
      <c r="AL139" s="224">
        <f>IFERROR(Table13[[#This Row],[RA (%)]]*9270*58,"")</f>
        <v>0</v>
      </c>
      <c r="AM139" s="225"/>
      <c r="AN139" s="238"/>
      <c r="AO139" s="240"/>
      <c r="AP139" s="240"/>
      <c r="AQ139" s="240"/>
      <c r="AR139" s="242">
        <f>IFERROR(_xlfn.XLOOKUP($D139,'Modelling New'!$D:$D,'Modelling New'!$N:$N),"")</f>
        <v>335.09100000000001</v>
      </c>
    </row>
    <row r="140" spans="1:44">
      <c r="A140" s="233">
        <f t="shared" si="11"/>
        <v>45883</v>
      </c>
      <c r="B140" s="228">
        <f>YEAR(Table13[[#This Row],[Date]])+IF(MONTH(Table13[[#This Row],[Date]])&gt;=4,1,0)</f>
        <v>2026</v>
      </c>
      <c r="C140" s="186">
        <f>YEAR(Table13[[#This Row],[Date]])</f>
        <v>2025</v>
      </c>
      <c r="D140" s="234">
        <f>Table13[[#This Row],[Date]]-DAY(Table13[[#This Row],[Date]])+1</f>
        <v>45870</v>
      </c>
      <c r="E140" s="186">
        <f t="shared" si="12"/>
        <v>31</v>
      </c>
      <c r="F140" s="235" t="str">
        <f>IFERROR(_xlfn.XLOOKUP($A140,'Raw_Data'!$B:$B,'Raw_Data'!$IX:$IX),"")</f>
        <v/>
      </c>
      <c r="G140" s="236" t="str">
        <f>IFERROR(_xlfn.XLOOKUP($A140,'Raw_Data'!$B:$B,'Raw_Data'!IY:IY),"")</f>
        <v/>
      </c>
      <c r="H140" s="236" t="str">
        <f>IFERROR(_xlfn.XLOOKUP($A140,'Raw_Data'!$B:$B,'Raw_Data'!IZ:IZ),"")</f>
        <v/>
      </c>
      <c r="I140" s="236" t="str">
        <f>IFERROR(_xlfn.XLOOKUP($A140,'Raw_Data'!$B:$B,'Raw_Data'!JA:JA),"")</f>
        <v/>
      </c>
      <c r="J140" s="236" t="str">
        <f>IFERROR(_xlfn.XLOOKUP($A140,'Raw_Data'!$B:$B,'Raw_Data'!JB:JB),"")</f>
        <v/>
      </c>
      <c r="K140" s="236" t="str">
        <f>IFERROR(_xlfn.XLOOKUP($A140,'Raw_Data'!$B:$B,'Raw_Data'!JE:JE),"")</f>
        <v/>
      </c>
      <c r="L140" s="236" t="str">
        <f>IFERROR(_xlfn.XLOOKUP($A140,'Raw_Data'!$B:$B,'Raw_Data'!JF:JF),"")</f>
        <v/>
      </c>
      <c r="M140" s="236" t="str">
        <f>IFERROR(_xlfn.XLOOKUP($A140,'Raw_Data'!$B:$B,'Raw_Data'!JG:JG),"")</f>
        <v/>
      </c>
      <c r="N140" s="236" t="str">
        <f>IFERROR(_xlfn.XLOOKUP($A140,'Raw_Data'!$B:$B,'Raw_Data'!JH:JH),"")</f>
        <v/>
      </c>
      <c r="O140" s="237" t="str">
        <f>IFERROR(1-SUMIF(PA!$B:$B,$A140,PA!$AL:$AL)/($AA140+SUMIF(PA!$B:$B,$A140,PA!$AL:$AL)),"")</f>
        <v/>
      </c>
      <c r="P140" s="238"/>
      <c r="Q140" s="239"/>
      <c r="R140" s="240" t="str">
        <f>IFERROR(1-SUMIF(GA!$C:$C,$A140,GA!$X:$X)/($AA140+SUMIF(GA!$C:$C,$A140,GA!$X:$X)),"")</f>
        <v/>
      </c>
      <c r="S140" s="186"/>
      <c r="T140" s="239"/>
      <c r="U140" s="237" t="str">
        <f t="shared" si="9"/>
        <v/>
      </c>
      <c r="V140" s="237" t="str">
        <f>IFERROR(_xlfn.XLOOKUP($A140,'Raw_Data'!$B:$B,'Raw_Data'!$JL:$JL),"")</f>
        <v/>
      </c>
      <c r="W140" s="240" t="str">
        <f t="shared" si="10"/>
        <v/>
      </c>
      <c r="X140" s="228" t="str">
        <f>IFERROR(_xlfn.XLOOKUP($A140,'Raw_Data'!$B:$B,'Raw_Data'!$JI:$JI),"")</f>
        <v/>
      </c>
      <c r="Y140" s="228" t="str">
        <f>IFERROR(_xlfn.XLOOKUP($A140,'Raw_Data'!$B:$B,'Raw_Data'!IT:IT),"")</f>
        <v/>
      </c>
      <c r="Z140" s="228" t="str">
        <f>IFERROR(_xlfn.XLOOKUP($A140,'Raw_Data'!$B:$B,'Raw_Data'!IU:IU),"")</f>
        <v/>
      </c>
      <c r="AA140" s="228" t="str">
        <f>IFERROR(_xlfn.XLOOKUP($A140,'Raw_Data'!$B:$B,'Raw_Data'!IW:IW),"")</f>
        <v/>
      </c>
      <c r="AB140" s="228" t="str">
        <f>IFERROR(_xlfn.XLOOKUP($A140,'Raw_Data'!$B:$B,'Raw_Data'!I:I)/1000,"")</f>
        <v/>
      </c>
      <c r="AC140" s="241">
        <f>IFERROR(_xlfn.XLOOKUP($D140,'Modelling New'!$D:$D,'Modelling New'!$P:$P),"")</f>
        <v>5.6193548387096772</v>
      </c>
      <c r="AD140" s="228">
        <f>IFERROR(_xlfn.XLOOKUP($D140,'Modelling New'!$D:$D,'Modelling New'!$T:$T)*1000,"")</f>
        <v>1561332.2879552036</v>
      </c>
      <c r="AE140" s="240">
        <f>IFERROR(_xlfn.XLOOKUP($D140,'Modelling New'!$D:$D,'Modelling New'!$O:$O),"")</f>
        <v>0.82917484930796836</v>
      </c>
      <c r="AF140" s="240">
        <f>IFERROR(_xlfn.XLOOKUP($D140,'Modelling New'!$D:$D,'Modelling New'!$W:$W),"")</f>
        <v>0.19414282089979581</v>
      </c>
      <c r="AG140" s="240">
        <f>IFERROR(_xlfn.XLOOKUP($D140,'Modelling New'!$D:$D,'Modelling New'!AE:AE),"")</f>
        <v>0.99750000000000005</v>
      </c>
      <c r="AH140" s="240">
        <f>IFERROR(_xlfn.XLOOKUP($D140,'Modelling New'!$D:$D,'Modelling New'!AF:AF),"")</f>
        <v>0.99750000000000005</v>
      </c>
      <c r="AI140" s="186"/>
      <c r="AJ140" s="186"/>
      <c r="AK140" s="225"/>
      <c r="AL140" s="224">
        <f>IFERROR(Table13[[#This Row],[RA (%)]]*9270*58,"")</f>
        <v>0</v>
      </c>
      <c r="AM140" s="225"/>
      <c r="AN140" s="238"/>
      <c r="AO140" s="240"/>
      <c r="AP140" s="240"/>
      <c r="AQ140" s="240"/>
      <c r="AR140" s="242">
        <f>IFERROR(_xlfn.XLOOKUP($D140,'Modelling New'!$D:$D,'Modelling New'!$N:$N),"")</f>
        <v>335.09100000000001</v>
      </c>
    </row>
    <row r="141" spans="1:44">
      <c r="A141" s="233">
        <f t="shared" si="11"/>
        <v>45884</v>
      </c>
      <c r="B141" s="228">
        <f>YEAR(Table13[[#This Row],[Date]])+IF(MONTH(Table13[[#This Row],[Date]])&gt;=4,1,0)</f>
        <v>2026</v>
      </c>
      <c r="C141" s="186">
        <f>YEAR(Table13[[#This Row],[Date]])</f>
        <v>2025</v>
      </c>
      <c r="D141" s="234">
        <f>Table13[[#This Row],[Date]]-DAY(Table13[[#This Row],[Date]])+1</f>
        <v>45870</v>
      </c>
      <c r="E141" s="186">
        <f t="shared" si="12"/>
        <v>31</v>
      </c>
      <c r="F141" s="235" t="str">
        <f>IFERROR(_xlfn.XLOOKUP($A141,'Raw_Data'!$B:$B,'Raw_Data'!$IX:$IX),"")</f>
        <v/>
      </c>
      <c r="G141" s="236" t="str">
        <f>IFERROR(_xlfn.XLOOKUP($A141,'Raw_Data'!$B:$B,'Raw_Data'!IY:IY),"")</f>
        <v/>
      </c>
      <c r="H141" s="236" t="str">
        <f>IFERROR(_xlfn.XLOOKUP($A141,'Raw_Data'!$B:$B,'Raw_Data'!IZ:IZ),"")</f>
        <v/>
      </c>
      <c r="I141" s="236" t="str">
        <f>IFERROR(_xlfn.XLOOKUP($A141,'Raw_Data'!$B:$B,'Raw_Data'!JA:JA),"")</f>
        <v/>
      </c>
      <c r="J141" s="236" t="str">
        <f>IFERROR(_xlfn.XLOOKUP($A141,'Raw_Data'!$B:$B,'Raw_Data'!JB:JB),"")</f>
        <v/>
      </c>
      <c r="K141" s="236" t="str">
        <f>IFERROR(_xlfn.XLOOKUP($A141,'Raw_Data'!$B:$B,'Raw_Data'!JE:JE),"")</f>
        <v/>
      </c>
      <c r="L141" s="236" t="str">
        <f>IFERROR(_xlfn.XLOOKUP($A141,'Raw_Data'!$B:$B,'Raw_Data'!JF:JF),"")</f>
        <v/>
      </c>
      <c r="M141" s="236" t="str">
        <f>IFERROR(_xlfn.XLOOKUP($A141,'Raw_Data'!$B:$B,'Raw_Data'!JG:JG),"")</f>
        <v/>
      </c>
      <c r="N141" s="236" t="str">
        <f>IFERROR(_xlfn.XLOOKUP($A141,'Raw_Data'!$B:$B,'Raw_Data'!JH:JH),"")</f>
        <v/>
      </c>
      <c r="O141" s="237" t="str">
        <f>IFERROR(1-SUMIF(PA!$B:$B,$A141,PA!$AL:$AL)/($AA141+SUMIF(PA!$B:$B,$A141,PA!$AL:$AL)),"")</f>
        <v/>
      </c>
      <c r="P141" s="238"/>
      <c r="Q141" s="239"/>
      <c r="R141" s="240" t="str">
        <f>IFERROR(1-SUMIF(GA!$C:$C,$A141,GA!$X:$X)/($AA141+SUMIF(GA!$C:$C,$A141,GA!$X:$X)),"")</f>
        <v/>
      </c>
      <c r="S141" s="186"/>
      <c r="T141" s="239"/>
      <c r="U141" s="237" t="str">
        <f t="shared" si="9"/>
        <v/>
      </c>
      <c r="V141" s="237" t="str">
        <f>IFERROR(_xlfn.XLOOKUP($A141,'Raw_Data'!$B:$B,'Raw_Data'!$JL:$JL),"")</f>
        <v/>
      </c>
      <c r="W141" s="240" t="str">
        <f t="shared" si="10"/>
        <v/>
      </c>
      <c r="X141" s="228" t="str">
        <f>IFERROR(_xlfn.XLOOKUP($A141,'Raw_Data'!$B:$B,'Raw_Data'!$JI:$JI),"")</f>
        <v/>
      </c>
      <c r="Y141" s="228" t="str">
        <f>IFERROR(_xlfn.XLOOKUP($A141,'Raw_Data'!$B:$B,'Raw_Data'!IT:IT),"")</f>
        <v/>
      </c>
      <c r="Z141" s="228" t="str">
        <f>IFERROR(_xlfn.XLOOKUP($A141,'Raw_Data'!$B:$B,'Raw_Data'!IU:IU),"")</f>
        <v/>
      </c>
      <c r="AA141" s="228" t="str">
        <f>IFERROR(_xlfn.XLOOKUP($A141,'Raw_Data'!$B:$B,'Raw_Data'!IW:IW),"")</f>
        <v/>
      </c>
      <c r="AB141" s="228" t="str">
        <f>IFERROR(_xlfn.XLOOKUP($A141,'Raw_Data'!$B:$B,'Raw_Data'!I:I)/1000,"")</f>
        <v/>
      </c>
      <c r="AC141" s="241">
        <f>IFERROR(_xlfn.XLOOKUP($D141,'Modelling New'!$D:$D,'Modelling New'!$P:$P),"")</f>
        <v>5.6193548387096772</v>
      </c>
      <c r="AD141" s="228">
        <f>IFERROR(_xlfn.XLOOKUP($D141,'Modelling New'!$D:$D,'Modelling New'!$T:$T)*1000,"")</f>
        <v>1561332.2879552036</v>
      </c>
      <c r="AE141" s="240">
        <f>IFERROR(_xlfn.XLOOKUP($D141,'Modelling New'!$D:$D,'Modelling New'!$O:$O),"")</f>
        <v>0.82917484930796836</v>
      </c>
      <c r="AF141" s="240">
        <f>IFERROR(_xlfn.XLOOKUP($D141,'Modelling New'!$D:$D,'Modelling New'!$W:$W),"")</f>
        <v>0.19414282089979581</v>
      </c>
      <c r="AG141" s="240">
        <f>IFERROR(_xlfn.XLOOKUP($D141,'Modelling New'!$D:$D,'Modelling New'!AE:AE),"")</f>
        <v>0.99750000000000005</v>
      </c>
      <c r="AH141" s="240">
        <f>IFERROR(_xlfn.XLOOKUP($D141,'Modelling New'!$D:$D,'Modelling New'!AF:AF),"")</f>
        <v>0.99750000000000005</v>
      </c>
      <c r="AI141" s="186"/>
      <c r="AJ141" s="186"/>
      <c r="AK141" s="225"/>
      <c r="AL141" s="224">
        <f>IFERROR(Table13[[#This Row],[RA (%)]]*9270*58,"")</f>
        <v>0</v>
      </c>
      <c r="AM141" s="225"/>
      <c r="AN141" s="238"/>
      <c r="AO141" s="240"/>
      <c r="AP141" s="240"/>
      <c r="AQ141" s="240"/>
      <c r="AR141" s="242">
        <f>IFERROR(_xlfn.XLOOKUP($D141,'Modelling New'!$D:$D,'Modelling New'!$N:$N),"")</f>
        <v>335.09100000000001</v>
      </c>
    </row>
    <row r="142" spans="1:44">
      <c r="A142" s="233">
        <f t="shared" si="11"/>
        <v>45885</v>
      </c>
      <c r="B142" s="228">
        <f>YEAR(Table13[[#This Row],[Date]])+IF(MONTH(Table13[[#This Row],[Date]])&gt;=4,1,0)</f>
        <v>2026</v>
      </c>
      <c r="C142" s="186">
        <f>YEAR(Table13[[#This Row],[Date]])</f>
        <v>2025</v>
      </c>
      <c r="D142" s="234">
        <f>Table13[[#This Row],[Date]]-DAY(Table13[[#This Row],[Date]])+1</f>
        <v>45870</v>
      </c>
      <c r="E142" s="186">
        <f t="shared" si="12"/>
        <v>31</v>
      </c>
      <c r="F142" s="235" t="str">
        <f>IFERROR(_xlfn.XLOOKUP($A142,'Raw_Data'!$B:$B,'Raw_Data'!$IX:$IX),"")</f>
        <v/>
      </c>
      <c r="G142" s="236" t="str">
        <f>IFERROR(_xlfn.XLOOKUP($A142,'Raw_Data'!$B:$B,'Raw_Data'!IY:IY),"")</f>
        <v/>
      </c>
      <c r="H142" s="236" t="str">
        <f>IFERROR(_xlfn.XLOOKUP($A142,'Raw_Data'!$B:$B,'Raw_Data'!IZ:IZ),"")</f>
        <v/>
      </c>
      <c r="I142" s="236" t="str">
        <f>IFERROR(_xlfn.XLOOKUP($A142,'Raw_Data'!$B:$B,'Raw_Data'!JA:JA),"")</f>
        <v/>
      </c>
      <c r="J142" s="236" t="str">
        <f>IFERROR(_xlfn.XLOOKUP($A142,'Raw_Data'!$B:$B,'Raw_Data'!JB:JB),"")</f>
        <v/>
      </c>
      <c r="K142" s="236" t="str">
        <f>IFERROR(_xlfn.XLOOKUP($A142,'Raw_Data'!$B:$B,'Raw_Data'!JE:JE),"")</f>
        <v/>
      </c>
      <c r="L142" s="236" t="str">
        <f>IFERROR(_xlfn.XLOOKUP($A142,'Raw_Data'!$B:$B,'Raw_Data'!JF:JF),"")</f>
        <v/>
      </c>
      <c r="M142" s="236" t="str">
        <f>IFERROR(_xlfn.XLOOKUP($A142,'Raw_Data'!$B:$B,'Raw_Data'!JG:JG),"")</f>
        <v/>
      </c>
      <c r="N142" s="236" t="str">
        <f>IFERROR(_xlfn.XLOOKUP($A142,'Raw_Data'!$B:$B,'Raw_Data'!JH:JH),"")</f>
        <v/>
      </c>
      <c r="O142" s="237" t="str">
        <f>IFERROR(1-SUMIF(PA!$B:$B,$A142,PA!$AL:$AL)/($AA142+SUMIF(PA!$B:$B,$A142,PA!$AL:$AL)),"")</f>
        <v/>
      </c>
      <c r="P142" s="238"/>
      <c r="Q142" s="239"/>
      <c r="R142" s="240" t="str">
        <f>IFERROR(1-SUMIF(GA!$C:$C,$A142,GA!$X:$X)/($AA142+SUMIF(GA!$C:$C,$A142,GA!$X:$X)),"")</f>
        <v/>
      </c>
      <c r="S142" s="186"/>
      <c r="T142" s="239"/>
      <c r="U142" s="237" t="str">
        <f t="shared" si="9"/>
        <v/>
      </c>
      <c r="V142" s="237" t="str">
        <f>IFERROR(_xlfn.XLOOKUP($A142,'Raw_Data'!$B:$B,'Raw_Data'!$JL:$JL),"")</f>
        <v/>
      </c>
      <c r="W142" s="240" t="str">
        <f t="shared" si="10"/>
        <v/>
      </c>
      <c r="X142" s="228" t="str">
        <f>IFERROR(_xlfn.XLOOKUP($A142,'Raw_Data'!$B:$B,'Raw_Data'!$JI:$JI),"")</f>
        <v/>
      </c>
      <c r="Y142" s="228" t="str">
        <f>IFERROR(_xlfn.XLOOKUP($A142,'Raw_Data'!$B:$B,'Raw_Data'!IT:IT),"")</f>
        <v/>
      </c>
      <c r="Z142" s="228" t="str">
        <f>IFERROR(_xlfn.XLOOKUP($A142,'Raw_Data'!$B:$B,'Raw_Data'!IU:IU),"")</f>
        <v/>
      </c>
      <c r="AA142" s="228" t="str">
        <f>IFERROR(_xlfn.XLOOKUP($A142,'Raw_Data'!$B:$B,'Raw_Data'!IW:IW),"")</f>
        <v/>
      </c>
      <c r="AB142" s="228" t="str">
        <f>IFERROR(_xlfn.XLOOKUP($A142,'Raw_Data'!$B:$B,'Raw_Data'!I:I)/1000,"")</f>
        <v/>
      </c>
      <c r="AC142" s="241">
        <f>IFERROR(_xlfn.XLOOKUP($D142,'Modelling New'!$D:$D,'Modelling New'!$P:$P),"")</f>
        <v>5.6193548387096772</v>
      </c>
      <c r="AD142" s="228">
        <f>IFERROR(_xlfn.XLOOKUP($D142,'Modelling New'!$D:$D,'Modelling New'!$T:$T)*1000,"")</f>
        <v>1561332.2879552036</v>
      </c>
      <c r="AE142" s="240">
        <f>IFERROR(_xlfn.XLOOKUP($D142,'Modelling New'!$D:$D,'Modelling New'!$O:$O),"")</f>
        <v>0.82917484930796836</v>
      </c>
      <c r="AF142" s="240">
        <f>IFERROR(_xlfn.XLOOKUP($D142,'Modelling New'!$D:$D,'Modelling New'!$W:$W),"")</f>
        <v>0.19414282089979581</v>
      </c>
      <c r="AG142" s="240">
        <f>IFERROR(_xlfn.XLOOKUP($D142,'Modelling New'!$D:$D,'Modelling New'!AE:AE),"")</f>
        <v>0.99750000000000005</v>
      </c>
      <c r="AH142" s="240">
        <f>IFERROR(_xlfn.XLOOKUP($D142,'Modelling New'!$D:$D,'Modelling New'!AF:AF),"")</f>
        <v>0.99750000000000005</v>
      </c>
      <c r="AI142" s="186"/>
      <c r="AJ142" s="186"/>
      <c r="AK142" s="225"/>
      <c r="AL142" s="224">
        <f>IFERROR(Table13[[#This Row],[RA (%)]]*9270*58,"")</f>
        <v>0</v>
      </c>
      <c r="AM142" s="225"/>
      <c r="AN142" s="238"/>
      <c r="AO142" s="240"/>
      <c r="AP142" s="240"/>
      <c r="AQ142" s="240"/>
      <c r="AR142" s="242">
        <f>IFERROR(_xlfn.XLOOKUP($D142,'Modelling New'!$D:$D,'Modelling New'!$N:$N),"")</f>
        <v>335.09100000000001</v>
      </c>
    </row>
    <row r="143" spans="1:44">
      <c r="A143" s="233">
        <f t="shared" si="11"/>
        <v>45886</v>
      </c>
      <c r="B143" s="228">
        <f>YEAR(Table13[[#This Row],[Date]])+IF(MONTH(Table13[[#This Row],[Date]])&gt;=4,1,0)</f>
        <v>2026</v>
      </c>
      <c r="C143" s="186">
        <f>YEAR(Table13[[#This Row],[Date]])</f>
        <v>2025</v>
      </c>
      <c r="D143" s="234">
        <f>Table13[[#This Row],[Date]]-DAY(Table13[[#This Row],[Date]])+1</f>
        <v>45870</v>
      </c>
      <c r="E143" s="186">
        <f t="shared" si="12"/>
        <v>31</v>
      </c>
      <c r="F143" s="235" t="str">
        <f>IFERROR(_xlfn.XLOOKUP($A143,'Raw_Data'!$B:$B,'Raw_Data'!$IX:$IX),"")</f>
        <v/>
      </c>
      <c r="G143" s="236" t="str">
        <f>IFERROR(_xlfn.XLOOKUP($A143,'Raw_Data'!$B:$B,'Raw_Data'!IY:IY),"")</f>
        <v/>
      </c>
      <c r="H143" s="236" t="str">
        <f>IFERROR(_xlfn.XLOOKUP($A143,'Raw_Data'!$B:$B,'Raw_Data'!IZ:IZ),"")</f>
        <v/>
      </c>
      <c r="I143" s="236" t="str">
        <f>IFERROR(_xlfn.XLOOKUP($A143,'Raw_Data'!$B:$B,'Raw_Data'!JA:JA),"")</f>
        <v/>
      </c>
      <c r="J143" s="236" t="str">
        <f>IFERROR(_xlfn.XLOOKUP($A143,'Raw_Data'!$B:$B,'Raw_Data'!JB:JB),"")</f>
        <v/>
      </c>
      <c r="K143" s="236" t="str">
        <f>IFERROR(_xlfn.XLOOKUP($A143,'Raw_Data'!$B:$B,'Raw_Data'!JE:JE),"")</f>
        <v/>
      </c>
      <c r="L143" s="236" t="str">
        <f>IFERROR(_xlfn.XLOOKUP($A143,'Raw_Data'!$B:$B,'Raw_Data'!JF:JF),"")</f>
        <v/>
      </c>
      <c r="M143" s="236" t="str">
        <f>IFERROR(_xlfn.XLOOKUP($A143,'Raw_Data'!$B:$B,'Raw_Data'!JG:JG),"")</f>
        <v/>
      </c>
      <c r="N143" s="236" t="str">
        <f>IFERROR(_xlfn.XLOOKUP($A143,'Raw_Data'!$B:$B,'Raw_Data'!JH:JH),"")</f>
        <v/>
      </c>
      <c r="O143" s="237" t="str">
        <f>IFERROR(1-SUMIF(PA!$B:$B,$A143,PA!$AL:$AL)/($AA143+SUMIF(PA!$B:$B,$A143,PA!$AL:$AL)),"")</f>
        <v/>
      </c>
      <c r="P143" s="238"/>
      <c r="Q143" s="239"/>
      <c r="R143" s="240" t="str">
        <f>IFERROR(1-SUMIF(GA!$C:$C,$A143,GA!$X:$X)/($AA143+SUMIF(GA!$C:$C,$A143,GA!$X:$X)),"")</f>
        <v/>
      </c>
      <c r="S143" s="186"/>
      <c r="T143" s="239"/>
      <c r="U143" s="237" t="str">
        <f t="shared" si="9"/>
        <v/>
      </c>
      <c r="V143" s="237" t="str">
        <f>IFERROR(_xlfn.XLOOKUP($A143,'Raw_Data'!$B:$B,'Raw_Data'!$JL:$JL),"")</f>
        <v/>
      </c>
      <c r="W143" s="240" t="str">
        <f t="shared" si="10"/>
        <v/>
      </c>
      <c r="X143" s="228" t="str">
        <f>IFERROR(_xlfn.XLOOKUP($A143,'Raw_Data'!$B:$B,'Raw_Data'!$JI:$JI),"")</f>
        <v/>
      </c>
      <c r="Y143" s="228" t="str">
        <f>IFERROR(_xlfn.XLOOKUP($A143,'Raw_Data'!$B:$B,'Raw_Data'!IT:IT),"")</f>
        <v/>
      </c>
      <c r="Z143" s="228" t="str">
        <f>IFERROR(_xlfn.XLOOKUP($A143,'Raw_Data'!$B:$B,'Raw_Data'!IU:IU),"")</f>
        <v/>
      </c>
      <c r="AA143" s="228" t="str">
        <f>IFERROR(_xlfn.XLOOKUP($A143,'Raw_Data'!$B:$B,'Raw_Data'!IW:IW),"")</f>
        <v/>
      </c>
      <c r="AB143" s="228" t="str">
        <f>IFERROR(_xlfn.XLOOKUP($A143,'Raw_Data'!$B:$B,'Raw_Data'!I:I)/1000,"")</f>
        <v/>
      </c>
      <c r="AC143" s="241">
        <f>IFERROR(_xlfn.XLOOKUP($D143,'Modelling New'!$D:$D,'Modelling New'!$P:$P),"")</f>
        <v>5.6193548387096772</v>
      </c>
      <c r="AD143" s="228">
        <f>IFERROR(_xlfn.XLOOKUP($D143,'Modelling New'!$D:$D,'Modelling New'!$T:$T)*1000,"")</f>
        <v>1561332.2879552036</v>
      </c>
      <c r="AE143" s="240">
        <f>IFERROR(_xlfn.XLOOKUP($D143,'Modelling New'!$D:$D,'Modelling New'!$O:$O),"")</f>
        <v>0.82917484930796836</v>
      </c>
      <c r="AF143" s="240">
        <f>IFERROR(_xlfn.XLOOKUP($D143,'Modelling New'!$D:$D,'Modelling New'!$W:$W),"")</f>
        <v>0.19414282089979581</v>
      </c>
      <c r="AG143" s="240">
        <f>IFERROR(_xlfn.XLOOKUP($D143,'Modelling New'!$D:$D,'Modelling New'!AE:AE),"")</f>
        <v>0.99750000000000005</v>
      </c>
      <c r="AH143" s="240">
        <f>IFERROR(_xlfn.XLOOKUP($D143,'Modelling New'!$D:$D,'Modelling New'!AF:AF),"")</f>
        <v>0.99750000000000005</v>
      </c>
      <c r="AI143" s="186"/>
      <c r="AJ143" s="186"/>
      <c r="AK143" s="225"/>
      <c r="AL143" s="224">
        <f>IFERROR(Table13[[#This Row],[RA (%)]]*9270*58,"")</f>
        <v>0</v>
      </c>
      <c r="AM143" s="225"/>
      <c r="AN143" s="238"/>
      <c r="AO143" s="240"/>
      <c r="AP143" s="240"/>
      <c r="AQ143" s="240"/>
      <c r="AR143" s="242">
        <f>IFERROR(_xlfn.XLOOKUP($D143,'Modelling New'!$D:$D,'Modelling New'!$N:$N),"")</f>
        <v>335.09100000000001</v>
      </c>
    </row>
    <row r="144" spans="1:44">
      <c r="A144" s="233">
        <f t="shared" si="11"/>
        <v>45887</v>
      </c>
      <c r="B144" s="228">
        <f>YEAR(Table13[[#This Row],[Date]])+IF(MONTH(Table13[[#This Row],[Date]])&gt;=4,1,0)</f>
        <v>2026</v>
      </c>
      <c r="C144" s="186">
        <f>YEAR(Table13[[#This Row],[Date]])</f>
        <v>2025</v>
      </c>
      <c r="D144" s="234">
        <f>Table13[[#This Row],[Date]]-DAY(Table13[[#This Row],[Date]])+1</f>
        <v>45870</v>
      </c>
      <c r="E144" s="186">
        <f t="shared" si="12"/>
        <v>31</v>
      </c>
      <c r="F144" s="235" t="str">
        <f>IFERROR(_xlfn.XLOOKUP($A144,'Raw_Data'!$B:$B,'Raw_Data'!$IX:$IX),"")</f>
        <v/>
      </c>
      <c r="G144" s="236" t="str">
        <f>IFERROR(_xlfn.XLOOKUP($A144,'Raw_Data'!$B:$B,'Raw_Data'!IY:IY),"")</f>
        <v/>
      </c>
      <c r="H144" s="236" t="str">
        <f>IFERROR(_xlfn.XLOOKUP($A144,'Raw_Data'!$B:$B,'Raw_Data'!IZ:IZ),"")</f>
        <v/>
      </c>
      <c r="I144" s="236" t="str">
        <f>IFERROR(_xlfn.XLOOKUP($A144,'Raw_Data'!$B:$B,'Raw_Data'!JA:JA),"")</f>
        <v/>
      </c>
      <c r="J144" s="236" t="str">
        <f>IFERROR(_xlfn.XLOOKUP($A144,'Raw_Data'!$B:$B,'Raw_Data'!JB:JB),"")</f>
        <v/>
      </c>
      <c r="K144" s="236" t="str">
        <f>IFERROR(_xlfn.XLOOKUP($A144,'Raw_Data'!$B:$B,'Raw_Data'!JE:JE),"")</f>
        <v/>
      </c>
      <c r="L144" s="236" t="str">
        <f>IFERROR(_xlfn.XLOOKUP($A144,'Raw_Data'!$B:$B,'Raw_Data'!JF:JF),"")</f>
        <v/>
      </c>
      <c r="M144" s="236" t="str">
        <f>IFERROR(_xlfn.XLOOKUP($A144,'Raw_Data'!$B:$B,'Raw_Data'!JG:JG),"")</f>
        <v/>
      </c>
      <c r="N144" s="236" t="str">
        <f>IFERROR(_xlfn.XLOOKUP($A144,'Raw_Data'!$B:$B,'Raw_Data'!JH:JH),"")</f>
        <v/>
      </c>
      <c r="O144" s="237" t="str">
        <f>IFERROR(1-SUMIF(PA!$B:$B,$A144,PA!$AL:$AL)/($AA144+SUMIF(PA!$B:$B,$A144,PA!$AL:$AL)),"")</f>
        <v/>
      </c>
      <c r="P144" s="238"/>
      <c r="Q144" s="239"/>
      <c r="R144" s="240" t="str">
        <f>IFERROR(1-SUMIF(GA!$C:$C,$A144,GA!$X:$X)/($AA144+SUMIF(GA!$C:$C,$A144,GA!$X:$X)),"")</f>
        <v/>
      </c>
      <c r="S144" s="186"/>
      <c r="T144" s="239"/>
      <c r="U144" s="237" t="str">
        <f t="shared" si="9"/>
        <v/>
      </c>
      <c r="V144" s="237" t="str">
        <f>IFERROR(_xlfn.XLOOKUP($A144,'Raw_Data'!$B:$B,'Raw_Data'!$JL:$JL),"")</f>
        <v/>
      </c>
      <c r="W144" s="240" t="str">
        <f t="shared" si="10"/>
        <v/>
      </c>
      <c r="X144" s="228" t="str">
        <f>IFERROR(_xlfn.XLOOKUP($A144,'Raw_Data'!$B:$B,'Raw_Data'!$JI:$JI),"")</f>
        <v/>
      </c>
      <c r="Y144" s="228" t="str">
        <f>IFERROR(_xlfn.XLOOKUP($A144,'Raw_Data'!$B:$B,'Raw_Data'!IT:IT),"")</f>
        <v/>
      </c>
      <c r="Z144" s="228" t="str">
        <f>IFERROR(_xlfn.XLOOKUP($A144,'Raw_Data'!$B:$B,'Raw_Data'!IU:IU),"")</f>
        <v/>
      </c>
      <c r="AA144" s="228" t="str">
        <f>IFERROR(_xlfn.XLOOKUP($A144,'Raw_Data'!$B:$B,'Raw_Data'!IW:IW),"")</f>
        <v/>
      </c>
      <c r="AB144" s="228" t="str">
        <f>IFERROR(_xlfn.XLOOKUP($A144,'Raw_Data'!$B:$B,'Raw_Data'!I:I)/1000,"")</f>
        <v/>
      </c>
      <c r="AC144" s="241">
        <f>IFERROR(_xlfn.XLOOKUP($D144,'Modelling New'!$D:$D,'Modelling New'!$P:$P),"")</f>
        <v>5.6193548387096772</v>
      </c>
      <c r="AD144" s="228">
        <f>IFERROR(_xlfn.XLOOKUP($D144,'Modelling New'!$D:$D,'Modelling New'!$T:$T)*1000,"")</f>
        <v>1561332.2879552036</v>
      </c>
      <c r="AE144" s="240">
        <f>IFERROR(_xlfn.XLOOKUP($D144,'Modelling New'!$D:$D,'Modelling New'!$O:$O),"")</f>
        <v>0.82917484930796836</v>
      </c>
      <c r="AF144" s="240">
        <f>IFERROR(_xlfn.XLOOKUP($D144,'Modelling New'!$D:$D,'Modelling New'!$W:$W),"")</f>
        <v>0.19414282089979581</v>
      </c>
      <c r="AG144" s="240">
        <f>IFERROR(_xlfn.XLOOKUP($D144,'Modelling New'!$D:$D,'Modelling New'!AE:AE),"")</f>
        <v>0.99750000000000005</v>
      </c>
      <c r="AH144" s="240">
        <f>IFERROR(_xlfn.XLOOKUP($D144,'Modelling New'!$D:$D,'Modelling New'!AF:AF),"")</f>
        <v>0.99750000000000005</v>
      </c>
      <c r="AI144" s="186"/>
      <c r="AJ144" s="186"/>
      <c r="AK144" s="225"/>
      <c r="AL144" s="224">
        <f>IFERROR(Table13[[#This Row],[RA (%)]]*9270*58,"")</f>
        <v>0</v>
      </c>
      <c r="AM144" s="225"/>
      <c r="AN144" s="238"/>
      <c r="AO144" s="240"/>
      <c r="AP144" s="240"/>
      <c r="AQ144" s="240"/>
      <c r="AR144" s="242">
        <f>IFERROR(_xlfn.XLOOKUP($D144,'Modelling New'!$D:$D,'Modelling New'!$N:$N),"")</f>
        <v>335.09100000000001</v>
      </c>
    </row>
    <row r="145" spans="1:44">
      <c r="A145" s="233">
        <f t="shared" si="11"/>
        <v>45888</v>
      </c>
      <c r="B145" s="228">
        <f>YEAR(Table13[[#This Row],[Date]])+IF(MONTH(Table13[[#This Row],[Date]])&gt;=4,1,0)</f>
        <v>2026</v>
      </c>
      <c r="C145" s="186">
        <f>YEAR(Table13[[#This Row],[Date]])</f>
        <v>2025</v>
      </c>
      <c r="D145" s="234">
        <f>Table13[[#This Row],[Date]]-DAY(Table13[[#This Row],[Date]])+1</f>
        <v>45870</v>
      </c>
      <c r="E145" s="186">
        <f t="shared" si="12"/>
        <v>31</v>
      </c>
      <c r="F145" s="235" t="str">
        <f>IFERROR(_xlfn.XLOOKUP($A145,'Raw_Data'!$B:$B,'Raw_Data'!$IX:$IX),"")</f>
        <v/>
      </c>
      <c r="G145" s="236" t="str">
        <f>IFERROR(_xlfn.XLOOKUP($A145,'Raw_Data'!$B:$B,'Raw_Data'!IY:IY),"")</f>
        <v/>
      </c>
      <c r="H145" s="236" t="str">
        <f>IFERROR(_xlfn.XLOOKUP($A145,'Raw_Data'!$B:$B,'Raw_Data'!IZ:IZ),"")</f>
        <v/>
      </c>
      <c r="I145" s="236" t="str">
        <f>IFERROR(_xlfn.XLOOKUP($A145,'Raw_Data'!$B:$B,'Raw_Data'!JA:JA),"")</f>
        <v/>
      </c>
      <c r="J145" s="236" t="str">
        <f>IFERROR(_xlfn.XLOOKUP($A145,'Raw_Data'!$B:$B,'Raw_Data'!JB:JB),"")</f>
        <v/>
      </c>
      <c r="K145" s="236" t="str">
        <f>IFERROR(_xlfn.XLOOKUP($A145,'Raw_Data'!$B:$B,'Raw_Data'!JE:JE),"")</f>
        <v/>
      </c>
      <c r="L145" s="236" t="str">
        <f>IFERROR(_xlfn.XLOOKUP($A145,'Raw_Data'!$B:$B,'Raw_Data'!JF:JF),"")</f>
        <v/>
      </c>
      <c r="M145" s="236" t="str">
        <f>IFERROR(_xlfn.XLOOKUP($A145,'Raw_Data'!$B:$B,'Raw_Data'!JG:JG),"")</f>
        <v/>
      </c>
      <c r="N145" s="236" t="str">
        <f>IFERROR(_xlfn.XLOOKUP($A145,'Raw_Data'!$B:$B,'Raw_Data'!JH:JH),"")</f>
        <v/>
      </c>
      <c r="O145" s="237" t="str">
        <f>IFERROR(1-SUMIF(PA!$B:$B,$A145,PA!$AL:$AL)/($AA145+SUMIF(PA!$B:$B,$A145,PA!$AL:$AL)),"")</f>
        <v/>
      </c>
      <c r="P145" s="238"/>
      <c r="Q145" s="239"/>
      <c r="R145" s="240" t="str">
        <f>IFERROR(1-SUMIF(GA!$C:$C,$A145,GA!$X:$X)/($AA145+SUMIF(GA!$C:$C,$A145,GA!$X:$X)),"")</f>
        <v/>
      </c>
      <c r="S145" s="186"/>
      <c r="T145" s="239"/>
      <c r="U145" s="237" t="str">
        <f t="shared" si="9"/>
        <v/>
      </c>
      <c r="V145" s="237" t="str">
        <f>IFERROR(_xlfn.XLOOKUP($A145,'Raw_Data'!$B:$B,'Raw_Data'!$JL:$JL),"")</f>
        <v/>
      </c>
      <c r="W145" s="240" t="str">
        <f t="shared" si="10"/>
        <v/>
      </c>
      <c r="X145" s="228" t="str">
        <f>IFERROR(_xlfn.XLOOKUP($A145,'Raw_Data'!$B:$B,'Raw_Data'!$JI:$JI),"")</f>
        <v/>
      </c>
      <c r="Y145" s="228" t="str">
        <f>IFERROR(_xlfn.XLOOKUP($A145,'Raw_Data'!$B:$B,'Raw_Data'!IT:IT),"")</f>
        <v/>
      </c>
      <c r="Z145" s="228" t="str">
        <f>IFERROR(_xlfn.XLOOKUP($A145,'Raw_Data'!$B:$B,'Raw_Data'!IU:IU),"")</f>
        <v/>
      </c>
      <c r="AA145" s="228" t="str">
        <f>IFERROR(_xlfn.XLOOKUP($A145,'Raw_Data'!$B:$B,'Raw_Data'!IW:IW),"")</f>
        <v/>
      </c>
      <c r="AB145" s="228" t="str">
        <f>IFERROR(_xlfn.XLOOKUP($A145,'Raw_Data'!$B:$B,'Raw_Data'!I:I)/1000,"")</f>
        <v/>
      </c>
      <c r="AC145" s="241">
        <f>IFERROR(_xlfn.XLOOKUP($D145,'Modelling New'!$D:$D,'Modelling New'!$P:$P),"")</f>
        <v>5.6193548387096772</v>
      </c>
      <c r="AD145" s="228">
        <f>IFERROR(_xlfn.XLOOKUP($D145,'Modelling New'!$D:$D,'Modelling New'!$T:$T)*1000,"")</f>
        <v>1561332.2879552036</v>
      </c>
      <c r="AE145" s="240">
        <f>IFERROR(_xlfn.XLOOKUP($D145,'Modelling New'!$D:$D,'Modelling New'!$O:$O),"")</f>
        <v>0.82917484930796836</v>
      </c>
      <c r="AF145" s="240">
        <f>IFERROR(_xlfn.XLOOKUP($D145,'Modelling New'!$D:$D,'Modelling New'!$W:$W),"")</f>
        <v>0.19414282089979581</v>
      </c>
      <c r="AG145" s="240">
        <f>IFERROR(_xlfn.XLOOKUP($D145,'Modelling New'!$D:$D,'Modelling New'!AE:AE),"")</f>
        <v>0.99750000000000005</v>
      </c>
      <c r="AH145" s="240">
        <f>IFERROR(_xlfn.XLOOKUP($D145,'Modelling New'!$D:$D,'Modelling New'!AF:AF),"")</f>
        <v>0.99750000000000005</v>
      </c>
      <c r="AI145" s="186"/>
      <c r="AJ145" s="186"/>
      <c r="AK145" s="225"/>
      <c r="AL145" s="224">
        <f>IFERROR(Table13[[#This Row],[RA (%)]]*9270*58,"")</f>
        <v>0</v>
      </c>
      <c r="AM145" s="225"/>
      <c r="AN145" s="238"/>
      <c r="AO145" s="240"/>
      <c r="AP145" s="240"/>
      <c r="AQ145" s="240"/>
      <c r="AR145" s="242">
        <f>IFERROR(_xlfn.XLOOKUP($D145,'Modelling New'!$D:$D,'Modelling New'!$N:$N),"")</f>
        <v>335.09100000000001</v>
      </c>
    </row>
    <row r="146" spans="1:44">
      <c r="A146" s="233">
        <f t="shared" si="11"/>
        <v>45889</v>
      </c>
      <c r="B146" s="228">
        <f>YEAR(Table13[[#This Row],[Date]])+IF(MONTH(Table13[[#This Row],[Date]])&gt;=4,1,0)</f>
        <v>2026</v>
      </c>
      <c r="C146" s="186">
        <f>YEAR(Table13[[#This Row],[Date]])</f>
        <v>2025</v>
      </c>
      <c r="D146" s="234">
        <f>Table13[[#This Row],[Date]]-DAY(Table13[[#This Row],[Date]])+1</f>
        <v>45870</v>
      </c>
      <c r="E146" s="186">
        <f t="shared" si="12"/>
        <v>31</v>
      </c>
      <c r="F146" s="235" t="str">
        <f>IFERROR(_xlfn.XLOOKUP($A146,'Raw_Data'!$B:$B,'Raw_Data'!$IX:$IX),"")</f>
        <v/>
      </c>
      <c r="G146" s="236" t="str">
        <f>IFERROR(_xlfn.XLOOKUP($A146,'Raw_Data'!$B:$B,'Raw_Data'!IY:IY),"")</f>
        <v/>
      </c>
      <c r="H146" s="236" t="str">
        <f>IFERROR(_xlfn.XLOOKUP($A146,'Raw_Data'!$B:$B,'Raw_Data'!IZ:IZ),"")</f>
        <v/>
      </c>
      <c r="I146" s="236" t="str">
        <f>IFERROR(_xlfn.XLOOKUP($A146,'Raw_Data'!$B:$B,'Raw_Data'!JA:JA),"")</f>
        <v/>
      </c>
      <c r="J146" s="236" t="str">
        <f>IFERROR(_xlfn.XLOOKUP($A146,'Raw_Data'!$B:$B,'Raw_Data'!JB:JB),"")</f>
        <v/>
      </c>
      <c r="K146" s="236" t="str">
        <f>IFERROR(_xlfn.XLOOKUP($A146,'Raw_Data'!$B:$B,'Raw_Data'!JE:JE),"")</f>
        <v/>
      </c>
      <c r="L146" s="236" t="str">
        <f>IFERROR(_xlfn.XLOOKUP($A146,'Raw_Data'!$B:$B,'Raw_Data'!JF:JF),"")</f>
        <v/>
      </c>
      <c r="M146" s="236" t="str">
        <f>IFERROR(_xlfn.XLOOKUP($A146,'Raw_Data'!$B:$B,'Raw_Data'!JG:JG),"")</f>
        <v/>
      </c>
      <c r="N146" s="236" t="str">
        <f>IFERROR(_xlfn.XLOOKUP($A146,'Raw_Data'!$B:$B,'Raw_Data'!JH:JH),"")</f>
        <v/>
      </c>
      <c r="O146" s="237" t="str">
        <f>IFERROR(1-SUMIF(PA!$B:$B,$A146,PA!$AL:$AL)/($AA146+SUMIF(PA!$B:$B,$A146,PA!$AL:$AL)),"")</f>
        <v/>
      </c>
      <c r="P146" s="238"/>
      <c r="Q146" s="239"/>
      <c r="R146" s="240" t="str">
        <f>IFERROR(1-SUMIF(GA!$C:$C,$A146,GA!$X:$X)/($AA146+SUMIF(GA!$C:$C,$A146,GA!$X:$X)),"")</f>
        <v/>
      </c>
      <c r="S146" s="186"/>
      <c r="T146" s="239"/>
      <c r="U146" s="237" t="str">
        <f t="shared" si="9"/>
        <v/>
      </c>
      <c r="V146" s="237" t="str">
        <f>IFERROR(_xlfn.XLOOKUP($A146,'Raw_Data'!$B:$B,'Raw_Data'!$JL:$JL),"")</f>
        <v/>
      </c>
      <c r="W146" s="240" t="str">
        <f t="shared" si="10"/>
        <v/>
      </c>
      <c r="X146" s="228" t="str">
        <f>IFERROR(_xlfn.XLOOKUP($A146,'Raw_Data'!$B:$B,'Raw_Data'!$JI:$JI),"")</f>
        <v/>
      </c>
      <c r="Y146" s="228" t="str">
        <f>IFERROR(_xlfn.XLOOKUP($A146,'Raw_Data'!$B:$B,'Raw_Data'!IT:IT),"")</f>
        <v/>
      </c>
      <c r="Z146" s="228" t="str">
        <f>IFERROR(_xlfn.XLOOKUP($A146,'Raw_Data'!$B:$B,'Raw_Data'!IU:IU),"")</f>
        <v/>
      </c>
      <c r="AA146" s="228" t="str">
        <f>IFERROR(_xlfn.XLOOKUP($A146,'Raw_Data'!$B:$B,'Raw_Data'!IW:IW),"")</f>
        <v/>
      </c>
      <c r="AB146" s="228" t="str">
        <f>IFERROR(_xlfn.XLOOKUP($A146,'Raw_Data'!$B:$B,'Raw_Data'!I:I)/1000,"")</f>
        <v/>
      </c>
      <c r="AC146" s="241">
        <f>IFERROR(_xlfn.XLOOKUP($D146,'Modelling New'!$D:$D,'Modelling New'!$P:$P),"")</f>
        <v>5.6193548387096772</v>
      </c>
      <c r="AD146" s="228">
        <f>IFERROR(_xlfn.XLOOKUP($D146,'Modelling New'!$D:$D,'Modelling New'!$T:$T)*1000,"")</f>
        <v>1561332.2879552036</v>
      </c>
      <c r="AE146" s="240">
        <f>IFERROR(_xlfn.XLOOKUP($D146,'Modelling New'!$D:$D,'Modelling New'!$O:$O),"")</f>
        <v>0.82917484930796836</v>
      </c>
      <c r="AF146" s="240">
        <f>IFERROR(_xlfn.XLOOKUP($D146,'Modelling New'!$D:$D,'Modelling New'!$W:$W),"")</f>
        <v>0.19414282089979581</v>
      </c>
      <c r="AG146" s="240">
        <f>IFERROR(_xlfn.XLOOKUP($D146,'Modelling New'!$D:$D,'Modelling New'!AE:AE),"")</f>
        <v>0.99750000000000005</v>
      </c>
      <c r="AH146" s="240">
        <f>IFERROR(_xlfn.XLOOKUP($D146,'Modelling New'!$D:$D,'Modelling New'!AF:AF),"")</f>
        <v>0.99750000000000005</v>
      </c>
      <c r="AI146" s="186"/>
      <c r="AJ146" s="186"/>
      <c r="AK146" s="225"/>
      <c r="AL146" s="224">
        <f>IFERROR(Table13[[#This Row],[RA (%)]]*9270*58,"")</f>
        <v>0</v>
      </c>
      <c r="AM146" s="225"/>
      <c r="AN146" s="238"/>
      <c r="AO146" s="240"/>
      <c r="AP146" s="240"/>
      <c r="AQ146" s="240"/>
      <c r="AR146" s="242">
        <f>IFERROR(_xlfn.XLOOKUP($D146,'Modelling New'!$D:$D,'Modelling New'!$N:$N),"")</f>
        <v>335.09100000000001</v>
      </c>
    </row>
    <row r="147" spans="1:44">
      <c r="A147" s="233">
        <f t="shared" si="11"/>
        <v>45890</v>
      </c>
      <c r="B147" s="228">
        <f>YEAR(Table13[[#This Row],[Date]])+IF(MONTH(Table13[[#This Row],[Date]])&gt;=4,1,0)</f>
        <v>2026</v>
      </c>
      <c r="C147" s="186">
        <f>YEAR(Table13[[#This Row],[Date]])</f>
        <v>2025</v>
      </c>
      <c r="D147" s="234">
        <f>Table13[[#This Row],[Date]]-DAY(Table13[[#This Row],[Date]])+1</f>
        <v>45870</v>
      </c>
      <c r="E147" s="186">
        <f t="shared" si="12"/>
        <v>31</v>
      </c>
      <c r="F147" s="235" t="str">
        <f>IFERROR(_xlfn.XLOOKUP($A147,'Raw_Data'!$B:$B,'Raw_Data'!$IX:$IX),"")</f>
        <v/>
      </c>
      <c r="G147" s="236" t="str">
        <f>IFERROR(_xlfn.XLOOKUP($A147,'Raw_Data'!$B:$B,'Raw_Data'!IY:IY),"")</f>
        <v/>
      </c>
      <c r="H147" s="236" t="str">
        <f>IFERROR(_xlfn.XLOOKUP($A147,'Raw_Data'!$B:$B,'Raw_Data'!IZ:IZ),"")</f>
        <v/>
      </c>
      <c r="I147" s="236" t="str">
        <f>IFERROR(_xlfn.XLOOKUP($A147,'Raw_Data'!$B:$B,'Raw_Data'!JA:JA),"")</f>
        <v/>
      </c>
      <c r="J147" s="236" t="str">
        <f>IFERROR(_xlfn.XLOOKUP($A147,'Raw_Data'!$B:$B,'Raw_Data'!JB:JB),"")</f>
        <v/>
      </c>
      <c r="K147" s="236" t="str">
        <f>IFERROR(_xlfn.XLOOKUP($A147,'Raw_Data'!$B:$B,'Raw_Data'!JE:JE),"")</f>
        <v/>
      </c>
      <c r="L147" s="236" t="str">
        <f>IFERROR(_xlfn.XLOOKUP($A147,'Raw_Data'!$B:$B,'Raw_Data'!JF:JF),"")</f>
        <v/>
      </c>
      <c r="M147" s="236" t="str">
        <f>IFERROR(_xlfn.XLOOKUP($A147,'Raw_Data'!$B:$B,'Raw_Data'!JG:JG),"")</f>
        <v/>
      </c>
      <c r="N147" s="236" t="str">
        <f>IFERROR(_xlfn.XLOOKUP($A147,'Raw_Data'!$B:$B,'Raw_Data'!JH:JH),"")</f>
        <v/>
      </c>
      <c r="O147" s="237" t="str">
        <f>IFERROR(1-SUMIF(PA!$B:$B,$A147,PA!$AL:$AL)/($AA147+SUMIF(PA!$B:$B,$A147,PA!$AL:$AL)),"")</f>
        <v/>
      </c>
      <c r="P147" s="238"/>
      <c r="Q147" s="239"/>
      <c r="R147" s="240" t="str">
        <f>IFERROR(1-SUMIF(GA!$C:$C,$A147,GA!$X:$X)/($AA147+SUMIF(GA!$C:$C,$A147,GA!$X:$X)),"")</f>
        <v/>
      </c>
      <c r="S147" s="186"/>
      <c r="T147" s="239"/>
      <c r="U147" s="237" t="str">
        <f t="shared" si="9"/>
        <v/>
      </c>
      <c r="V147" s="237" t="str">
        <f>IFERROR(_xlfn.XLOOKUP($A147,'Raw_Data'!$B:$B,'Raw_Data'!$JL:$JL),"")</f>
        <v/>
      </c>
      <c r="W147" s="240" t="str">
        <f t="shared" si="10"/>
        <v/>
      </c>
      <c r="X147" s="228" t="str">
        <f>IFERROR(_xlfn.XLOOKUP($A147,'Raw_Data'!$B:$B,'Raw_Data'!$JI:$JI),"")</f>
        <v/>
      </c>
      <c r="Y147" s="228" t="str">
        <f>IFERROR(_xlfn.XLOOKUP($A147,'Raw_Data'!$B:$B,'Raw_Data'!IT:IT),"")</f>
        <v/>
      </c>
      <c r="Z147" s="228" t="str">
        <f>IFERROR(_xlfn.XLOOKUP($A147,'Raw_Data'!$B:$B,'Raw_Data'!IU:IU),"")</f>
        <v/>
      </c>
      <c r="AA147" s="228" t="str">
        <f>IFERROR(_xlfn.XLOOKUP($A147,'Raw_Data'!$B:$B,'Raw_Data'!IW:IW),"")</f>
        <v/>
      </c>
      <c r="AB147" s="228" t="str">
        <f>IFERROR(_xlfn.XLOOKUP($A147,'Raw_Data'!$B:$B,'Raw_Data'!I:I)/1000,"")</f>
        <v/>
      </c>
      <c r="AC147" s="241">
        <f>IFERROR(_xlfn.XLOOKUP($D147,'Modelling New'!$D:$D,'Modelling New'!$P:$P),"")</f>
        <v>5.6193548387096772</v>
      </c>
      <c r="AD147" s="228">
        <f>IFERROR(_xlfn.XLOOKUP($D147,'Modelling New'!$D:$D,'Modelling New'!$T:$T)*1000,"")</f>
        <v>1561332.2879552036</v>
      </c>
      <c r="AE147" s="240">
        <f>IFERROR(_xlfn.XLOOKUP($D147,'Modelling New'!$D:$D,'Modelling New'!$O:$O),"")</f>
        <v>0.82917484930796836</v>
      </c>
      <c r="AF147" s="240">
        <f>IFERROR(_xlfn.XLOOKUP($D147,'Modelling New'!$D:$D,'Modelling New'!$W:$W),"")</f>
        <v>0.19414282089979581</v>
      </c>
      <c r="AG147" s="240">
        <f>IFERROR(_xlfn.XLOOKUP($D147,'Modelling New'!$D:$D,'Modelling New'!AE:AE),"")</f>
        <v>0.99750000000000005</v>
      </c>
      <c r="AH147" s="240">
        <f>IFERROR(_xlfn.XLOOKUP($D147,'Modelling New'!$D:$D,'Modelling New'!AF:AF),"")</f>
        <v>0.99750000000000005</v>
      </c>
      <c r="AI147" s="186"/>
      <c r="AJ147" s="186"/>
      <c r="AK147" s="225"/>
      <c r="AL147" s="224">
        <f>IFERROR(Table13[[#This Row],[RA (%)]]*9270*58,"")</f>
        <v>0</v>
      </c>
      <c r="AM147" s="225"/>
      <c r="AN147" s="238"/>
      <c r="AO147" s="240"/>
      <c r="AP147" s="240"/>
      <c r="AQ147" s="240"/>
      <c r="AR147" s="242">
        <f>IFERROR(_xlfn.XLOOKUP($D147,'Modelling New'!$D:$D,'Modelling New'!$N:$N),"")</f>
        <v>335.09100000000001</v>
      </c>
    </row>
    <row r="148" spans="1:44">
      <c r="A148" s="233">
        <f t="shared" si="11"/>
        <v>45891</v>
      </c>
      <c r="B148" s="228">
        <f>YEAR(Table13[[#This Row],[Date]])+IF(MONTH(Table13[[#This Row],[Date]])&gt;=4,1,0)</f>
        <v>2026</v>
      </c>
      <c r="C148" s="186">
        <f>YEAR(Table13[[#This Row],[Date]])</f>
        <v>2025</v>
      </c>
      <c r="D148" s="234">
        <f>Table13[[#This Row],[Date]]-DAY(Table13[[#This Row],[Date]])+1</f>
        <v>45870</v>
      </c>
      <c r="E148" s="186">
        <f t="shared" si="12"/>
        <v>31</v>
      </c>
      <c r="F148" s="235" t="str">
        <f>IFERROR(_xlfn.XLOOKUP($A148,'Raw_Data'!$B:$B,'Raw_Data'!$IX:$IX),"")</f>
        <v/>
      </c>
      <c r="G148" s="236" t="str">
        <f>IFERROR(_xlfn.XLOOKUP($A148,'Raw_Data'!$B:$B,'Raw_Data'!IY:IY),"")</f>
        <v/>
      </c>
      <c r="H148" s="236" t="str">
        <f>IFERROR(_xlfn.XLOOKUP($A148,'Raw_Data'!$B:$B,'Raw_Data'!IZ:IZ),"")</f>
        <v/>
      </c>
      <c r="I148" s="236" t="str">
        <f>IFERROR(_xlfn.XLOOKUP($A148,'Raw_Data'!$B:$B,'Raw_Data'!JA:JA),"")</f>
        <v/>
      </c>
      <c r="J148" s="236" t="str">
        <f>IFERROR(_xlfn.XLOOKUP($A148,'Raw_Data'!$B:$B,'Raw_Data'!JB:JB),"")</f>
        <v/>
      </c>
      <c r="K148" s="236" t="str">
        <f>IFERROR(_xlfn.XLOOKUP($A148,'Raw_Data'!$B:$B,'Raw_Data'!JE:JE),"")</f>
        <v/>
      </c>
      <c r="L148" s="236" t="str">
        <f>IFERROR(_xlfn.XLOOKUP($A148,'Raw_Data'!$B:$B,'Raw_Data'!JF:JF),"")</f>
        <v/>
      </c>
      <c r="M148" s="236" t="str">
        <f>IFERROR(_xlfn.XLOOKUP($A148,'Raw_Data'!$B:$B,'Raw_Data'!JG:JG),"")</f>
        <v/>
      </c>
      <c r="N148" s="236" t="str">
        <f>IFERROR(_xlfn.XLOOKUP($A148,'Raw_Data'!$B:$B,'Raw_Data'!JH:JH),"")</f>
        <v/>
      </c>
      <c r="O148" s="237" t="str">
        <f>IFERROR(1-SUMIF(PA!$B:$B,$A148,PA!$AL:$AL)/($AA148+SUMIF(PA!$B:$B,$A148,PA!$AL:$AL)),"")</f>
        <v/>
      </c>
      <c r="P148" s="238"/>
      <c r="Q148" s="239"/>
      <c r="R148" s="240" t="str">
        <f>IFERROR(1-SUMIF(GA!$C:$C,$A148,GA!$X:$X)/($AA148+SUMIF(GA!$C:$C,$A148,GA!$X:$X)),"")</f>
        <v/>
      </c>
      <c r="S148" s="186"/>
      <c r="T148" s="239"/>
      <c r="U148" s="237" t="str">
        <f t="shared" si="9"/>
        <v/>
      </c>
      <c r="V148" s="237" t="str">
        <f>IFERROR(_xlfn.XLOOKUP($A148,'Raw_Data'!$B:$B,'Raw_Data'!$JL:$JL),"")</f>
        <v/>
      </c>
      <c r="W148" s="240" t="str">
        <f t="shared" si="10"/>
        <v/>
      </c>
      <c r="X148" s="228" t="str">
        <f>IFERROR(_xlfn.XLOOKUP($A148,'Raw_Data'!$B:$B,'Raw_Data'!$JI:$JI),"")</f>
        <v/>
      </c>
      <c r="Y148" s="228" t="str">
        <f>IFERROR(_xlfn.XLOOKUP($A148,'Raw_Data'!$B:$B,'Raw_Data'!IT:IT),"")</f>
        <v/>
      </c>
      <c r="Z148" s="228" t="str">
        <f>IFERROR(_xlfn.XLOOKUP($A148,'Raw_Data'!$B:$B,'Raw_Data'!IU:IU),"")</f>
        <v/>
      </c>
      <c r="AA148" s="228" t="str">
        <f>IFERROR(_xlfn.XLOOKUP($A148,'Raw_Data'!$B:$B,'Raw_Data'!IW:IW),"")</f>
        <v/>
      </c>
      <c r="AB148" s="228" t="str">
        <f>IFERROR(_xlfn.XLOOKUP($A148,'Raw_Data'!$B:$B,'Raw_Data'!I:I)/1000,"")</f>
        <v/>
      </c>
      <c r="AC148" s="241">
        <f>IFERROR(_xlfn.XLOOKUP($D148,'Modelling New'!$D:$D,'Modelling New'!$P:$P),"")</f>
        <v>5.6193548387096772</v>
      </c>
      <c r="AD148" s="228">
        <f>IFERROR(_xlfn.XLOOKUP($D148,'Modelling New'!$D:$D,'Modelling New'!$T:$T)*1000,"")</f>
        <v>1561332.2879552036</v>
      </c>
      <c r="AE148" s="240">
        <f>IFERROR(_xlfn.XLOOKUP($D148,'Modelling New'!$D:$D,'Modelling New'!$O:$O),"")</f>
        <v>0.82917484930796836</v>
      </c>
      <c r="AF148" s="240">
        <f>IFERROR(_xlfn.XLOOKUP($D148,'Modelling New'!$D:$D,'Modelling New'!$W:$W),"")</f>
        <v>0.19414282089979581</v>
      </c>
      <c r="AG148" s="240">
        <f>IFERROR(_xlfn.XLOOKUP($D148,'Modelling New'!$D:$D,'Modelling New'!AE:AE),"")</f>
        <v>0.99750000000000005</v>
      </c>
      <c r="AH148" s="240">
        <f>IFERROR(_xlfn.XLOOKUP($D148,'Modelling New'!$D:$D,'Modelling New'!AF:AF),"")</f>
        <v>0.99750000000000005</v>
      </c>
      <c r="AI148" s="186"/>
      <c r="AJ148" s="186"/>
      <c r="AK148" s="225"/>
      <c r="AL148" s="224">
        <f>IFERROR(Table13[[#This Row],[RA (%)]]*9270*58,"")</f>
        <v>0</v>
      </c>
      <c r="AM148" s="225"/>
      <c r="AN148" s="238"/>
      <c r="AO148" s="240"/>
      <c r="AP148" s="240"/>
      <c r="AQ148" s="240"/>
      <c r="AR148" s="242">
        <f>IFERROR(_xlfn.XLOOKUP($D148,'Modelling New'!$D:$D,'Modelling New'!$N:$N),"")</f>
        <v>335.09100000000001</v>
      </c>
    </row>
    <row r="149" spans="1:44">
      <c r="A149" s="233">
        <f t="shared" si="11"/>
        <v>45892</v>
      </c>
      <c r="B149" s="228">
        <f>YEAR(Table13[[#This Row],[Date]])+IF(MONTH(Table13[[#This Row],[Date]])&gt;=4,1,0)</f>
        <v>2026</v>
      </c>
      <c r="C149" s="186">
        <f>YEAR(Table13[[#This Row],[Date]])</f>
        <v>2025</v>
      </c>
      <c r="D149" s="234">
        <f>Table13[[#This Row],[Date]]-DAY(Table13[[#This Row],[Date]])+1</f>
        <v>45870</v>
      </c>
      <c r="E149" s="186">
        <f t="shared" si="12"/>
        <v>31</v>
      </c>
      <c r="F149" s="235" t="str">
        <f>IFERROR(_xlfn.XLOOKUP($A149,'Raw_Data'!$B:$B,'Raw_Data'!$IX:$IX),"")</f>
        <v/>
      </c>
      <c r="G149" s="236" t="str">
        <f>IFERROR(_xlfn.XLOOKUP($A149,'Raw_Data'!$B:$B,'Raw_Data'!IY:IY),"")</f>
        <v/>
      </c>
      <c r="H149" s="236" t="str">
        <f>IFERROR(_xlfn.XLOOKUP($A149,'Raw_Data'!$B:$B,'Raw_Data'!IZ:IZ),"")</f>
        <v/>
      </c>
      <c r="I149" s="236" t="str">
        <f>IFERROR(_xlfn.XLOOKUP($A149,'Raw_Data'!$B:$B,'Raw_Data'!JA:JA),"")</f>
        <v/>
      </c>
      <c r="J149" s="236" t="str">
        <f>IFERROR(_xlfn.XLOOKUP($A149,'Raw_Data'!$B:$B,'Raw_Data'!JB:JB),"")</f>
        <v/>
      </c>
      <c r="K149" s="236" t="str">
        <f>IFERROR(_xlfn.XLOOKUP($A149,'Raw_Data'!$B:$B,'Raw_Data'!JE:JE),"")</f>
        <v/>
      </c>
      <c r="L149" s="236" t="str">
        <f>IFERROR(_xlfn.XLOOKUP($A149,'Raw_Data'!$B:$B,'Raw_Data'!JF:JF),"")</f>
        <v/>
      </c>
      <c r="M149" s="236" t="str">
        <f>IFERROR(_xlfn.XLOOKUP($A149,'Raw_Data'!$B:$B,'Raw_Data'!JG:JG),"")</f>
        <v/>
      </c>
      <c r="N149" s="236" t="str">
        <f>IFERROR(_xlfn.XLOOKUP($A149,'Raw_Data'!$B:$B,'Raw_Data'!JH:JH),"")</f>
        <v/>
      </c>
      <c r="O149" s="237" t="str">
        <f>IFERROR(1-SUMIF(PA!$B:$B,$A149,PA!$AL:$AL)/($AA149+SUMIF(PA!$B:$B,$A149,PA!$AL:$AL)),"")</f>
        <v/>
      </c>
      <c r="P149" s="238"/>
      <c r="Q149" s="239"/>
      <c r="R149" s="240" t="str">
        <f>IFERROR(1-SUMIF(GA!$C:$C,$A149,GA!$X:$X)/($AA149+SUMIF(GA!$C:$C,$A149,GA!$X:$X)),"")</f>
        <v/>
      </c>
      <c r="S149" s="186"/>
      <c r="T149" s="239"/>
      <c r="U149" s="237" t="str">
        <f t="shared" si="9"/>
        <v/>
      </c>
      <c r="V149" s="237" t="str">
        <f>IFERROR(_xlfn.XLOOKUP($A149,'Raw_Data'!$B:$B,'Raw_Data'!$JL:$JL),"")</f>
        <v/>
      </c>
      <c r="W149" s="240" t="str">
        <f t="shared" si="10"/>
        <v/>
      </c>
      <c r="X149" s="228" t="str">
        <f>IFERROR(_xlfn.XLOOKUP($A149,'Raw_Data'!$B:$B,'Raw_Data'!$JI:$JI),"")</f>
        <v/>
      </c>
      <c r="Y149" s="228" t="str">
        <f>IFERROR(_xlfn.XLOOKUP($A149,'Raw_Data'!$B:$B,'Raw_Data'!IT:IT),"")</f>
        <v/>
      </c>
      <c r="Z149" s="228" t="str">
        <f>IFERROR(_xlfn.XLOOKUP($A149,'Raw_Data'!$B:$B,'Raw_Data'!IU:IU),"")</f>
        <v/>
      </c>
      <c r="AA149" s="228" t="str">
        <f>IFERROR(_xlfn.XLOOKUP($A149,'Raw_Data'!$B:$B,'Raw_Data'!IW:IW),"")</f>
        <v/>
      </c>
      <c r="AB149" s="228" t="str">
        <f>IFERROR(_xlfn.XLOOKUP($A149,'Raw_Data'!$B:$B,'Raw_Data'!I:I)/1000,"")</f>
        <v/>
      </c>
      <c r="AC149" s="241">
        <f>IFERROR(_xlfn.XLOOKUP($D149,'Modelling New'!$D:$D,'Modelling New'!$P:$P),"")</f>
        <v>5.6193548387096772</v>
      </c>
      <c r="AD149" s="228">
        <f>IFERROR(_xlfn.XLOOKUP($D149,'Modelling New'!$D:$D,'Modelling New'!$T:$T)*1000,"")</f>
        <v>1561332.2879552036</v>
      </c>
      <c r="AE149" s="240">
        <f>IFERROR(_xlfn.XLOOKUP($D149,'Modelling New'!$D:$D,'Modelling New'!$O:$O),"")</f>
        <v>0.82917484930796836</v>
      </c>
      <c r="AF149" s="240">
        <f>IFERROR(_xlfn.XLOOKUP($D149,'Modelling New'!$D:$D,'Modelling New'!$W:$W),"")</f>
        <v>0.19414282089979581</v>
      </c>
      <c r="AG149" s="240">
        <f>IFERROR(_xlfn.XLOOKUP($D149,'Modelling New'!$D:$D,'Modelling New'!AE:AE),"")</f>
        <v>0.99750000000000005</v>
      </c>
      <c r="AH149" s="240">
        <f>IFERROR(_xlfn.XLOOKUP($D149,'Modelling New'!$D:$D,'Modelling New'!AF:AF),"")</f>
        <v>0.99750000000000005</v>
      </c>
      <c r="AI149" s="186"/>
      <c r="AJ149" s="186"/>
      <c r="AK149" s="225"/>
      <c r="AL149" s="224">
        <f>IFERROR(Table13[[#This Row],[RA (%)]]*9270*58,"")</f>
        <v>0</v>
      </c>
      <c r="AM149" s="225"/>
      <c r="AN149" s="238"/>
      <c r="AO149" s="240"/>
      <c r="AP149" s="240"/>
      <c r="AQ149" s="240"/>
      <c r="AR149" s="242">
        <f>IFERROR(_xlfn.XLOOKUP($D149,'Modelling New'!$D:$D,'Modelling New'!$N:$N),"")</f>
        <v>335.09100000000001</v>
      </c>
    </row>
    <row r="150" spans="1:44">
      <c r="A150" s="233">
        <f t="shared" si="11"/>
        <v>45893</v>
      </c>
      <c r="B150" s="228">
        <f>YEAR(Table13[[#This Row],[Date]])+IF(MONTH(Table13[[#This Row],[Date]])&gt;=4,1,0)</f>
        <v>2026</v>
      </c>
      <c r="C150" s="186">
        <f>YEAR(Table13[[#This Row],[Date]])</f>
        <v>2025</v>
      </c>
      <c r="D150" s="234">
        <f>Table13[[#This Row],[Date]]-DAY(Table13[[#This Row],[Date]])+1</f>
        <v>45870</v>
      </c>
      <c r="E150" s="186">
        <f t="shared" si="12"/>
        <v>31</v>
      </c>
      <c r="F150" s="235" t="str">
        <f>IFERROR(_xlfn.XLOOKUP($A150,'Raw_Data'!$B:$B,'Raw_Data'!$IX:$IX),"")</f>
        <v/>
      </c>
      <c r="G150" s="236" t="str">
        <f>IFERROR(_xlfn.XLOOKUP($A150,'Raw_Data'!$B:$B,'Raw_Data'!IY:IY),"")</f>
        <v/>
      </c>
      <c r="H150" s="236" t="str">
        <f>IFERROR(_xlfn.XLOOKUP($A150,'Raw_Data'!$B:$B,'Raw_Data'!IZ:IZ),"")</f>
        <v/>
      </c>
      <c r="I150" s="236" t="str">
        <f>IFERROR(_xlfn.XLOOKUP($A150,'Raw_Data'!$B:$B,'Raw_Data'!JA:JA),"")</f>
        <v/>
      </c>
      <c r="J150" s="236" t="str">
        <f>IFERROR(_xlfn.XLOOKUP($A150,'Raw_Data'!$B:$B,'Raw_Data'!JB:JB),"")</f>
        <v/>
      </c>
      <c r="K150" s="236" t="str">
        <f>IFERROR(_xlfn.XLOOKUP($A150,'Raw_Data'!$B:$B,'Raw_Data'!JE:JE),"")</f>
        <v/>
      </c>
      <c r="L150" s="236" t="str">
        <f>IFERROR(_xlfn.XLOOKUP($A150,'Raw_Data'!$B:$B,'Raw_Data'!JF:JF),"")</f>
        <v/>
      </c>
      <c r="M150" s="236" t="str">
        <f>IFERROR(_xlfn.XLOOKUP($A150,'Raw_Data'!$B:$B,'Raw_Data'!JG:JG),"")</f>
        <v/>
      </c>
      <c r="N150" s="236" t="str">
        <f>IFERROR(_xlfn.XLOOKUP($A150,'Raw_Data'!$B:$B,'Raw_Data'!JH:JH),"")</f>
        <v/>
      </c>
      <c r="O150" s="237" t="str">
        <f>IFERROR(1-SUMIF(PA!$B:$B,$A150,PA!$AL:$AL)/($AA150+SUMIF(PA!$B:$B,$A150,PA!$AL:$AL)),"")</f>
        <v/>
      </c>
      <c r="P150" s="238"/>
      <c r="Q150" s="239"/>
      <c r="R150" s="240" t="str">
        <f>IFERROR(1-SUMIF(GA!$C:$C,$A150,GA!$X:$X)/($AA150+SUMIF(GA!$C:$C,$A150,GA!$X:$X)),"")</f>
        <v/>
      </c>
      <c r="S150" s="186"/>
      <c r="T150" s="239"/>
      <c r="U150" s="237" t="str">
        <f t="shared" si="9"/>
        <v/>
      </c>
      <c r="V150" s="237" t="str">
        <f>IFERROR(_xlfn.XLOOKUP($A150,'Raw_Data'!$B:$B,'Raw_Data'!$JL:$JL),"")</f>
        <v/>
      </c>
      <c r="W150" s="240" t="str">
        <f t="shared" si="10"/>
        <v/>
      </c>
      <c r="X150" s="228" t="str">
        <f>IFERROR(_xlfn.XLOOKUP($A150,'Raw_Data'!$B:$B,'Raw_Data'!$JI:$JI),"")</f>
        <v/>
      </c>
      <c r="Y150" s="228" t="str">
        <f>IFERROR(_xlfn.XLOOKUP($A150,'Raw_Data'!$B:$B,'Raw_Data'!IT:IT),"")</f>
        <v/>
      </c>
      <c r="Z150" s="228" t="str">
        <f>IFERROR(_xlfn.XLOOKUP($A150,'Raw_Data'!$B:$B,'Raw_Data'!IU:IU),"")</f>
        <v/>
      </c>
      <c r="AA150" s="228" t="str">
        <f>IFERROR(_xlfn.XLOOKUP($A150,'Raw_Data'!$B:$B,'Raw_Data'!IW:IW),"")</f>
        <v/>
      </c>
      <c r="AB150" s="228" t="str">
        <f>IFERROR(_xlfn.XLOOKUP($A150,'Raw_Data'!$B:$B,'Raw_Data'!I:I)/1000,"")</f>
        <v/>
      </c>
      <c r="AC150" s="241">
        <f>IFERROR(_xlfn.XLOOKUP($D150,'Modelling New'!$D:$D,'Modelling New'!$P:$P),"")</f>
        <v>5.6193548387096772</v>
      </c>
      <c r="AD150" s="228">
        <f>IFERROR(_xlfn.XLOOKUP($D150,'Modelling New'!$D:$D,'Modelling New'!$T:$T)*1000,"")</f>
        <v>1561332.2879552036</v>
      </c>
      <c r="AE150" s="240">
        <f>IFERROR(_xlfn.XLOOKUP($D150,'Modelling New'!$D:$D,'Modelling New'!$O:$O),"")</f>
        <v>0.82917484930796836</v>
      </c>
      <c r="AF150" s="240">
        <f>IFERROR(_xlfn.XLOOKUP($D150,'Modelling New'!$D:$D,'Modelling New'!$W:$W),"")</f>
        <v>0.19414282089979581</v>
      </c>
      <c r="AG150" s="240">
        <f>IFERROR(_xlfn.XLOOKUP($D150,'Modelling New'!$D:$D,'Modelling New'!AE:AE),"")</f>
        <v>0.99750000000000005</v>
      </c>
      <c r="AH150" s="240">
        <f>IFERROR(_xlfn.XLOOKUP($D150,'Modelling New'!$D:$D,'Modelling New'!AF:AF),"")</f>
        <v>0.99750000000000005</v>
      </c>
      <c r="AI150" s="186"/>
      <c r="AJ150" s="186"/>
      <c r="AK150" s="225"/>
      <c r="AL150" s="224">
        <f>IFERROR(Table13[[#This Row],[RA (%)]]*9270*58,"")</f>
        <v>0</v>
      </c>
      <c r="AM150" s="225"/>
      <c r="AN150" s="238"/>
      <c r="AO150" s="240"/>
      <c r="AP150" s="240"/>
      <c r="AQ150" s="240"/>
      <c r="AR150" s="242">
        <f>IFERROR(_xlfn.XLOOKUP($D150,'Modelling New'!$D:$D,'Modelling New'!$N:$N),"")</f>
        <v>335.09100000000001</v>
      </c>
    </row>
    <row r="151" spans="1:44">
      <c r="A151" s="233">
        <f t="shared" si="11"/>
        <v>45894</v>
      </c>
      <c r="B151" s="228">
        <f>YEAR(Table13[[#This Row],[Date]])+IF(MONTH(Table13[[#This Row],[Date]])&gt;=4,1,0)</f>
        <v>2026</v>
      </c>
      <c r="C151" s="186">
        <f>YEAR(Table13[[#This Row],[Date]])</f>
        <v>2025</v>
      </c>
      <c r="D151" s="234">
        <f>Table13[[#This Row],[Date]]-DAY(Table13[[#This Row],[Date]])+1</f>
        <v>45870</v>
      </c>
      <c r="E151" s="186">
        <f t="shared" si="12"/>
        <v>31</v>
      </c>
      <c r="F151" s="235" t="str">
        <f>IFERROR(_xlfn.XLOOKUP($A151,'Raw_Data'!$B:$B,'Raw_Data'!$IX:$IX),"")</f>
        <v/>
      </c>
      <c r="G151" s="236" t="str">
        <f>IFERROR(_xlfn.XLOOKUP($A151,'Raw_Data'!$B:$B,'Raw_Data'!IY:IY),"")</f>
        <v/>
      </c>
      <c r="H151" s="236" t="str">
        <f>IFERROR(_xlfn.XLOOKUP($A151,'Raw_Data'!$B:$B,'Raw_Data'!IZ:IZ),"")</f>
        <v/>
      </c>
      <c r="I151" s="236" t="str">
        <f>IFERROR(_xlfn.XLOOKUP($A151,'Raw_Data'!$B:$B,'Raw_Data'!JA:JA),"")</f>
        <v/>
      </c>
      <c r="J151" s="236" t="str">
        <f>IFERROR(_xlfn.XLOOKUP($A151,'Raw_Data'!$B:$B,'Raw_Data'!JB:JB),"")</f>
        <v/>
      </c>
      <c r="K151" s="236" t="str">
        <f>IFERROR(_xlfn.XLOOKUP($A151,'Raw_Data'!$B:$B,'Raw_Data'!JE:JE),"")</f>
        <v/>
      </c>
      <c r="L151" s="236" t="str">
        <f>IFERROR(_xlfn.XLOOKUP($A151,'Raw_Data'!$B:$B,'Raw_Data'!JF:JF),"")</f>
        <v/>
      </c>
      <c r="M151" s="236" t="str">
        <f>IFERROR(_xlfn.XLOOKUP($A151,'Raw_Data'!$B:$B,'Raw_Data'!JG:JG),"")</f>
        <v/>
      </c>
      <c r="N151" s="236" t="str">
        <f>IFERROR(_xlfn.XLOOKUP($A151,'Raw_Data'!$B:$B,'Raw_Data'!JH:JH),"")</f>
        <v/>
      </c>
      <c r="O151" s="237" t="str">
        <f>IFERROR(1-SUMIF(PA!$B:$B,$A151,PA!$AL:$AL)/($AA151+SUMIF(PA!$B:$B,$A151,PA!$AL:$AL)),"")</f>
        <v/>
      </c>
      <c r="P151" s="238"/>
      <c r="Q151" s="239"/>
      <c r="R151" s="240" t="str">
        <f>IFERROR(1-SUMIF(GA!$C:$C,$A151,GA!$X:$X)/($AA151+SUMIF(GA!$C:$C,$A151,GA!$X:$X)),"")</f>
        <v/>
      </c>
      <c r="S151" s="186"/>
      <c r="T151" s="239"/>
      <c r="U151" s="237" t="str">
        <f t="shared" si="9"/>
        <v/>
      </c>
      <c r="V151" s="237" t="str">
        <f>IFERROR(_xlfn.XLOOKUP($A151,'Raw_Data'!$B:$B,'Raw_Data'!$JL:$JL),"")</f>
        <v/>
      </c>
      <c r="W151" s="240" t="str">
        <f t="shared" si="10"/>
        <v/>
      </c>
      <c r="X151" s="228" t="str">
        <f>IFERROR(_xlfn.XLOOKUP($A151,'Raw_Data'!$B:$B,'Raw_Data'!$JI:$JI),"")</f>
        <v/>
      </c>
      <c r="Y151" s="228" t="str">
        <f>IFERROR(_xlfn.XLOOKUP($A151,'Raw_Data'!$B:$B,'Raw_Data'!IT:IT),"")</f>
        <v/>
      </c>
      <c r="Z151" s="228" t="str">
        <f>IFERROR(_xlfn.XLOOKUP($A151,'Raw_Data'!$B:$B,'Raw_Data'!IU:IU),"")</f>
        <v/>
      </c>
      <c r="AA151" s="228" t="str">
        <f>IFERROR(_xlfn.XLOOKUP($A151,'Raw_Data'!$B:$B,'Raw_Data'!IW:IW),"")</f>
        <v/>
      </c>
      <c r="AB151" s="228" t="str">
        <f>IFERROR(_xlfn.XLOOKUP($A151,'Raw_Data'!$B:$B,'Raw_Data'!I:I)/1000,"")</f>
        <v/>
      </c>
      <c r="AC151" s="241">
        <f>IFERROR(_xlfn.XLOOKUP($D151,'Modelling New'!$D:$D,'Modelling New'!$P:$P),"")</f>
        <v>5.6193548387096772</v>
      </c>
      <c r="AD151" s="228">
        <f>IFERROR(_xlfn.XLOOKUP($D151,'Modelling New'!$D:$D,'Modelling New'!$T:$T)*1000,"")</f>
        <v>1561332.2879552036</v>
      </c>
      <c r="AE151" s="240">
        <f>IFERROR(_xlfn.XLOOKUP($D151,'Modelling New'!$D:$D,'Modelling New'!$O:$O),"")</f>
        <v>0.82917484930796836</v>
      </c>
      <c r="AF151" s="240">
        <f>IFERROR(_xlfn.XLOOKUP($D151,'Modelling New'!$D:$D,'Modelling New'!$W:$W),"")</f>
        <v>0.19414282089979581</v>
      </c>
      <c r="AG151" s="240">
        <f>IFERROR(_xlfn.XLOOKUP($D151,'Modelling New'!$D:$D,'Modelling New'!AE:AE),"")</f>
        <v>0.99750000000000005</v>
      </c>
      <c r="AH151" s="240">
        <f>IFERROR(_xlfn.XLOOKUP($D151,'Modelling New'!$D:$D,'Modelling New'!AF:AF),"")</f>
        <v>0.99750000000000005</v>
      </c>
      <c r="AI151" s="186"/>
      <c r="AJ151" s="186"/>
      <c r="AK151" s="225"/>
      <c r="AL151" s="224">
        <f>IFERROR(Table13[[#This Row],[RA (%)]]*9270*58,"")</f>
        <v>0</v>
      </c>
      <c r="AM151" s="225"/>
      <c r="AN151" s="238"/>
      <c r="AO151" s="240"/>
      <c r="AP151" s="240"/>
      <c r="AQ151" s="240"/>
      <c r="AR151" s="242">
        <f>IFERROR(_xlfn.XLOOKUP($D151,'Modelling New'!$D:$D,'Modelling New'!$N:$N),"")</f>
        <v>335.09100000000001</v>
      </c>
    </row>
    <row r="152" spans="1:44">
      <c r="A152" s="233">
        <f t="shared" si="11"/>
        <v>45895</v>
      </c>
      <c r="B152" s="228">
        <f>YEAR(Table13[[#This Row],[Date]])+IF(MONTH(Table13[[#This Row],[Date]])&gt;=4,1,0)</f>
        <v>2026</v>
      </c>
      <c r="C152" s="186">
        <f>YEAR(Table13[[#This Row],[Date]])</f>
        <v>2025</v>
      </c>
      <c r="D152" s="234">
        <f>Table13[[#This Row],[Date]]-DAY(Table13[[#This Row],[Date]])+1</f>
        <v>45870</v>
      </c>
      <c r="E152" s="186">
        <f t="shared" si="12"/>
        <v>31</v>
      </c>
      <c r="F152" s="235" t="str">
        <f>IFERROR(_xlfn.XLOOKUP($A152,'Raw_Data'!$B:$B,'Raw_Data'!$IX:$IX),"")</f>
        <v/>
      </c>
      <c r="G152" s="236" t="str">
        <f>IFERROR(_xlfn.XLOOKUP($A152,'Raw_Data'!$B:$B,'Raw_Data'!IY:IY),"")</f>
        <v/>
      </c>
      <c r="H152" s="236" t="str">
        <f>IFERROR(_xlfn.XLOOKUP($A152,'Raw_Data'!$B:$B,'Raw_Data'!IZ:IZ),"")</f>
        <v/>
      </c>
      <c r="I152" s="236" t="str">
        <f>IFERROR(_xlfn.XLOOKUP($A152,'Raw_Data'!$B:$B,'Raw_Data'!JA:JA),"")</f>
        <v/>
      </c>
      <c r="J152" s="236" t="str">
        <f>IFERROR(_xlfn.XLOOKUP($A152,'Raw_Data'!$B:$B,'Raw_Data'!JB:JB),"")</f>
        <v/>
      </c>
      <c r="K152" s="236" t="str">
        <f>IFERROR(_xlfn.XLOOKUP($A152,'Raw_Data'!$B:$B,'Raw_Data'!JE:JE),"")</f>
        <v/>
      </c>
      <c r="L152" s="236" t="str">
        <f>IFERROR(_xlfn.XLOOKUP($A152,'Raw_Data'!$B:$B,'Raw_Data'!JF:JF),"")</f>
        <v/>
      </c>
      <c r="M152" s="236" t="str">
        <f>IFERROR(_xlfn.XLOOKUP($A152,'Raw_Data'!$B:$B,'Raw_Data'!JG:JG),"")</f>
        <v/>
      </c>
      <c r="N152" s="236" t="str">
        <f>IFERROR(_xlfn.XLOOKUP($A152,'Raw_Data'!$B:$B,'Raw_Data'!JH:JH),"")</f>
        <v/>
      </c>
      <c r="O152" s="237" t="str">
        <f>IFERROR(1-SUMIF(PA!$B:$B,$A152,PA!$AL:$AL)/($AA152+SUMIF(PA!$B:$B,$A152,PA!$AL:$AL)),"")</f>
        <v/>
      </c>
      <c r="P152" s="238"/>
      <c r="Q152" s="239"/>
      <c r="R152" s="240" t="str">
        <f>IFERROR(1-SUMIF(GA!$C:$C,$A152,GA!$X:$X)/($AA152+SUMIF(GA!$C:$C,$A152,GA!$X:$X)),"")</f>
        <v/>
      </c>
      <c r="S152" s="186"/>
      <c r="T152" s="239"/>
      <c r="U152" s="237" t="str">
        <f t="shared" si="9"/>
        <v/>
      </c>
      <c r="V152" s="237" t="str">
        <f>IFERROR(_xlfn.XLOOKUP($A152,'Raw_Data'!$B:$B,'Raw_Data'!$JL:$JL),"")</f>
        <v/>
      </c>
      <c r="W152" s="240" t="str">
        <f t="shared" si="10"/>
        <v/>
      </c>
      <c r="X152" s="228" t="str">
        <f>IFERROR(_xlfn.XLOOKUP($A152,'Raw_Data'!$B:$B,'Raw_Data'!$JI:$JI),"")</f>
        <v/>
      </c>
      <c r="Y152" s="228" t="str">
        <f>IFERROR(_xlfn.XLOOKUP($A152,'Raw_Data'!$B:$B,'Raw_Data'!IT:IT),"")</f>
        <v/>
      </c>
      <c r="Z152" s="228" t="str">
        <f>IFERROR(_xlfn.XLOOKUP($A152,'Raw_Data'!$B:$B,'Raw_Data'!IU:IU),"")</f>
        <v/>
      </c>
      <c r="AA152" s="228" t="str">
        <f>IFERROR(_xlfn.XLOOKUP($A152,'Raw_Data'!$B:$B,'Raw_Data'!IW:IW),"")</f>
        <v/>
      </c>
      <c r="AB152" s="228" t="str">
        <f>IFERROR(_xlfn.XLOOKUP($A152,'Raw_Data'!$B:$B,'Raw_Data'!I:I)/1000,"")</f>
        <v/>
      </c>
      <c r="AC152" s="241">
        <f>IFERROR(_xlfn.XLOOKUP($D152,'Modelling New'!$D:$D,'Modelling New'!$P:$P),"")</f>
        <v>5.6193548387096772</v>
      </c>
      <c r="AD152" s="228">
        <f>IFERROR(_xlfn.XLOOKUP($D152,'Modelling New'!$D:$D,'Modelling New'!$T:$T)*1000,"")</f>
        <v>1561332.2879552036</v>
      </c>
      <c r="AE152" s="240">
        <f>IFERROR(_xlfn.XLOOKUP($D152,'Modelling New'!$D:$D,'Modelling New'!$O:$O),"")</f>
        <v>0.82917484930796836</v>
      </c>
      <c r="AF152" s="240">
        <f>IFERROR(_xlfn.XLOOKUP($D152,'Modelling New'!$D:$D,'Modelling New'!$W:$W),"")</f>
        <v>0.19414282089979581</v>
      </c>
      <c r="AG152" s="240">
        <f>IFERROR(_xlfn.XLOOKUP($D152,'Modelling New'!$D:$D,'Modelling New'!AE:AE),"")</f>
        <v>0.99750000000000005</v>
      </c>
      <c r="AH152" s="240">
        <f>IFERROR(_xlfn.XLOOKUP($D152,'Modelling New'!$D:$D,'Modelling New'!AF:AF),"")</f>
        <v>0.99750000000000005</v>
      </c>
      <c r="AI152" s="186"/>
      <c r="AJ152" s="186"/>
      <c r="AK152" s="225"/>
      <c r="AL152" s="224">
        <f>IFERROR(Table13[[#This Row],[RA (%)]]*9270*58,"")</f>
        <v>0</v>
      </c>
      <c r="AM152" s="225"/>
      <c r="AN152" s="238"/>
      <c r="AO152" s="240"/>
      <c r="AP152" s="240"/>
      <c r="AQ152" s="240"/>
      <c r="AR152" s="242">
        <f>IFERROR(_xlfn.XLOOKUP($D152,'Modelling New'!$D:$D,'Modelling New'!$N:$N),"")</f>
        <v>335.09100000000001</v>
      </c>
    </row>
    <row r="153" spans="1:44">
      <c r="A153" s="233">
        <f t="shared" si="11"/>
        <v>45896</v>
      </c>
      <c r="B153" s="228">
        <f>YEAR(Table13[[#This Row],[Date]])+IF(MONTH(Table13[[#This Row],[Date]])&gt;=4,1,0)</f>
        <v>2026</v>
      </c>
      <c r="C153" s="186">
        <f>YEAR(Table13[[#This Row],[Date]])</f>
        <v>2025</v>
      </c>
      <c r="D153" s="234">
        <f>Table13[[#This Row],[Date]]-DAY(Table13[[#This Row],[Date]])+1</f>
        <v>45870</v>
      </c>
      <c r="E153" s="186">
        <f t="shared" si="12"/>
        <v>31</v>
      </c>
      <c r="F153" s="235" t="str">
        <f>IFERROR(_xlfn.XLOOKUP($A153,'Raw_Data'!$B:$B,'Raw_Data'!$IX:$IX),"")</f>
        <v/>
      </c>
      <c r="G153" s="236" t="str">
        <f>IFERROR(_xlfn.XLOOKUP($A153,'Raw_Data'!$B:$B,'Raw_Data'!IY:IY),"")</f>
        <v/>
      </c>
      <c r="H153" s="236" t="str">
        <f>IFERROR(_xlfn.XLOOKUP($A153,'Raw_Data'!$B:$B,'Raw_Data'!IZ:IZ),"")</f>
        <v/>
      </c>
      <c r="I153" s="236" t="str">
        <f>IFERROR(_xlfn.XLOOKUP($A153,'Raw_Data'!$B:$B,'Raw_Data'!JA:JA),"")</f>
        <v/>
      </c>
      <c r="J153" s="236" t="str">
        <f>IFERROR(_xlfn.XLOOKUP($A153,'Raw_Data'!$B:$B,'Raw_Data'!JB:JB),"")</f>
        <v/>
      </c>
      <c r="K153" s="236" t="str">
        <f>IFERROR(_xlfn.XLOOKUP($A153,'Raw_Data'!$B:$B,'Raw_Data'!JE:JE),"")</f>
        <v/>
      </c>
      <c r="L153" s="236" t="str">
        <f>IFERROR(_xlfn.XLOOKUP($A153,'Raw_Data'!$B:$B,'Raw_Data'!JF:JF),"")</f>
        <v/>
      </c>
      <c r="M153" s="236" t="str">
        <f>IFERROR(_xlfn.XLOOKUP($A153,'Raw_Data'!$B:$B,'Raw_Data'!JG:JG),"")</f>
        <v/>
      </c>
      <c r="N153" s="236" t="str">
        <f>IFERROR(_xlfn.XLOOKUP($A153,'Raw_Data'!$B:$B,'Raw_Data'!JH:JH),"")</f>
        <v/>
      </c>
      <c r="O153" s="237" t="str">
        <f>IFERROR(1-SUMIF(PA!$B:$B,$A153,PA!$AL:$AL)/($AA153+SUMIF(PA!$B:$B,$A153,PA!$AL:$AL)),"")</f>
        <v/>
      </c>
      <c r="P153" s="238"/>
      <c r="Q153" s="239"/>
      <c r="R153" s="240" t="str">
        <f>IFERROR(1-SUMIF(GA!$C:$C,$A153,GA!$X:$X)/($AA153+SUMIF(GA!$C:$C,$A153,GA!$X:$X)),"")</f>
        <v/>
      </c>
      <c r="S153" s="186"/>
      <c r="T153" s="239"/>
      <c r="U153" s="237" t="str">
        <f t="shared" si="9"/>
        <v/>
      </c>
      <c r="V153" s="237" t="str">
        <f>IFERROR(_xlfn.XLOOKUP($A153,'Raw_Data'!$B:$B,'Raw_Data'!$JL:$JL),"")</f>
        <v/>
      </c>
      <c r="W153" s="240" t="str">
        <f t="shared" si="10"/>
        <v/>
      </c>
      <c r="X153" s="228" t="str">
        <f>IFERROR(_xlfn.XLOOKUP($A153,'Raw_Data'!$B:$B,'Raw_Data'!$JI:$JI),"")</f>
        <v/>
      </c>
      <c r="Y153" s="228" t="str">
        <f>IFERROR(_xlfn.XLOOKUP($A153,'Raw_Data'!$B:$B,'Raw_Data'!IT:IT),"")</f>
        <v/>
      </c>
      <c r="Z153" s="228" t="str">
        <f>IFERROR(_xlfn.XLOOKUP($A153,'Raw_Data'!$B:$B,'Raw_Data'!IU:IU),"")</f>
        <v/>
      </c>
      <c r="AA153" s="228" t="str">
        <f>IFERROR(_xlfn.XLOOKUP($A153,'Raw_Data'!$B:$B,'Raw_Data'!IW:IW),"")</f>
        <v/>
      </c>
      <c r="AB153" s="228" t="str">
        <f>IFERROR(_xlfn.XLOOKUP($A153,'Raw_Data'!$B:$B,'Raw_Data'!I:I)/1000,"")</f>
        <v/>
      </c>
      <c r="AC153" s="241">
        <f>IFERROR(_xlfn.XLOOKUP($D153,'Modelling New'!$D:$D,'Modelling New'!$P:$P),"")</f>
        <v>5.6193548387096772</v>
      </c>
      <c r="AD153" s="228">
        <f>IFERROR(_xlfn.XLOOKUP($D153,'Modelling New'!$D:$D,'Modelling New'!$T:$T)*1000,"")</f>
        <v>1561332.2879552036</v>
      </c>
      <c r="AE153" s="240">
        <f>IFERROR(_xlfn.XLOOKUP($D153,'Modelling New'!$D:$D,'Modelling New'!$O:$O),"")</f>
        <v>0.82917484930796836</v>
      </c>
      <c r="AF153" s="240">
        <f>IFERROR(_xlfn.XLOOKUP($D153,'Modelling New'!$D:$D,'Modelling New'!$W:$W),"")</f>
        <v>0.19414282089979581</v>
      </c>
      <c r="AG153" s="240">
        <f>IFERROR(_xlfn.XLOOKUP($D153,'Modelling New'!$D:$D,'Modelling New'!AE:AE),"")</f>
        <v>0.99750000000000005</v>
      </c>
      <c r="AH153" s="240">
        <f>IFERROR(_xlfn.XLOOKUP($D153,'Modelling New'!$D:$D,'Modelling New'!AF:AF),"")</f>
        <v>0.99750000000000005</v>
      </c>
      <c r="AI153" s="186"/>
      <c r="AJ153" s="186"/>
      <c r="AK153" s="225"/>
      <c r="AL153" s="224">
        <f>IFERROR(Table13[[#This Row],[RA (%)]]*9270*58,"")</f>
        <v>0</v>
      </c>
      <c r="AM153" s="225"/>
      <c r="AN153" s="238"/>
      <c r="AO153" s="240"/>
      <c r="AP153" s="240"/>
      <c r="AQ153" s="240"/>
      <c r="AR153" s="242">
        <f>IFERROR(_xlfn.XLOOKUP($D153,'Modelling New'!$D:$D,'Modelling New'!$N:$N),"")</f>
        <v>335.09100000000001</v>
      </c>
    </row>
    <row r="154" spans="1:44">
      <c r="A154" s="233">
        <f t="shared" si="11"/>
        <v>45897</v>
      </c>
      <c r="B154" s="228">
        <f>YEAR(Table13[[#This Row],[Date]])+IF(MONTH(Table13[[#This Row],[Date]])&gt;=4,1,0)</f>
        <v>2026</v>
      </c>
      <c r="C154" s="186">
        <f>YEAR(Table13[[#This Row],[Date]])</f>
        <v>2025</v>
      </c>
      <c r="D154" s="234">
        <f>Table13[[#This Row],[Date]]-DAY(Table13[[#This Row],[Date]])+1</f>
        <v>45870</v>
      </c>
      <c r="E154" s="186">
        <f t="shared" si="12"/>
        <v>31</v>
      </c>
      <c r="F154" s="235" t="str">
        <f>IFERROR(_xlfn.XLOOKUP($A154,'Raw_Data'!$B:$B,'Raw_Data'!$IX:$IX),"")</f>
        <v/>
      </c>
      <c r="G154" s="236" t="str">
        <f>IFERROR(_xlfn.XLOOKUP($A154,'Raw_Data'!$B:$B,'Raw_Data'!IY:IY),"")</f>
        <v/>
      </c>
      <c r="H154" s="236" t="str">
        <f>IFERROR(_xlfn.XLOOKUP($A154,'Raw_Data'!$B:$B,'Raw_Data'!IZ:IZ),"")</f>
        <v/>
      </c>
      <c r="I154" s="236" t="str">
        <f>IFERROR(_xlfn.XLOOKUP($A154,'Raw_Data'!$B:$B,'Raw_Data'!JA:JA),"")</f>
        <v/>
      </c>
      <c r="J154" s="236" t="str">
        <f>IFERROR(_xlfn.XLOOKUP($A154,'Raw_Data'!$B:$B,'Raw_Data'!JB:JB),"")</f>
        <v/>
      </c>
      <c r="K154" s="236" t="str">
        <f>IFERROR(_xlfn.XLOOKUP($A154,'Raw_Data'!$B:$B,'Raw_Data'!JE:JE),"")</f>
        <v/>
      </c>
      <c r="L154" s="236" t="str">
        <f>IFERROR(_xlfn.XLOOKUP($A154,'Raw_Data'!$B:$B,'Raw_Data'!JF:JF),"")</f>
        <v/>
      </c>
      <c r="M154" s="236" t="str">
        <f>IFERROR(_xlfn.XLOOKUP($A154,'Raw_Data'!$B:$B,'Raw_Data'!JG:JG),"")</f>
        <v/>
      </c>
      <c r="N154" s="236" t="str">
        <f>IFERROR(_xlfn.XLOOKUP($A154,'Raw_Data'!$B:$B,'Raw_Data'!JH:JH),"")</f>
        <v/>
      </c>
      <c r="O154" s="237" t="str">
        <f>IFERROR(1-SUMIF(PA!$B:$B,$A154,PA!$AL:$AL)/($AA154+SUMIF(PA!$B:$B,$A154,PA!$AL:$AL)),"")</f>
        <v/>
      </c>
      <c r="P154" s="238"/>
      <c r="Q154" s="239"/>
      <c r="R154" s="240" t="str">
        <f>IFERROR(1-SUMIF(GA!$C:$C,$A154,GA!$X:$X)/($AA154+SUMIF(GA!$C:$C,$A154,GA!$X:$X)),"")</f>
        <v/>
      </c>
      <c r="S154" s="186"/>
      <c r="T154" s="239"/>
      <c r="U154" s="237" t="str">
        <f t="shared" si="9"/>
        <v/>
      </c>
      <c r="V154" s="237" t="str">
        <f>IFERROR(_xlfn.XLOOKUP($A154,'Raw_Data'!$B:$B,'Raw_Data'!$JL:$JL),"")</f>
        <v/>
      </c>
      <c r="W154" s="240" t="str">
        <f t="shared" si="10"/>
        <v/>
      </c>
      <c r="X154" s="228" t="str">
        <f>IFERROR(_xlfn.XLOOKUP($A154,'Raw_Data'!$B:$B,'Raw_Data'!$JI:$JI),"")</f>
        <v/>
      </c>
      <c r="Y154" s="228" t="str">
        <f>IFERROR(_xlfn.XLOOKUP($A154,'Raw_Data'!$B:$B,'Raw_Data'!IT:IT),"")</f>
        <v/>
      </c>
      <c r="Z154" s="228" t="str">
        <f>IFERROR(_xlfn.XLOOKUP($A154,'Raw_Data'!$B:$B,'Raw_Data'!IU:IU),"")</f>
        <v/>
      </c>
      <c r="AA154" s="228" t="str">
        <f>IFERROR(_xlfn.XLOOKUP($A154,'Raw_Data'!$B:$B,'Raw_Data'!IW:IW),"")</f>
        <v/>
      </c>
      <c r="AB154" s="228" t="str">
        <f>IFERROR(_xlfn.XLOOKUP($A154,'Raw_Data'!$B:$B,'Raw_Data'!I:I)/1000,"")</f>
        <v/>
      </c>
      <c r="AC154" s="241">
        <f>IFERROR(_xlfn.XLOOKUP($D154,'Modelling New'!$D:$D,'Modelling New'!$P:$P),"")</f>
        <v>5.6193548387096772</v>
      </c>
      <c r="AD154" s="228">
        <f>IFERROR(_xlfn.XLOOKUP($D154,'Modelling New'!$D:$D,'Modelling New'!$T:$T)*1000,"")</f>
        <v>1561332.2879552036</v>
      </c>
      <c r="AE154" s="240">
        <f>IFERROR(_xlfn.XLOOKUP($D154,'Modelling New'!$D:$D,'Modelling New'!$O:$O),"")</f>
        <v>0.82917484930796836</v>
      </c>
      <c r="AF154" s="240">
        <f>IFERROR(_xlfn.XLOOKUP($D154,'Modelling New'!$D:$D,'Modelling New'!$W:$W),"")</f>
        <v>0.19414282089979581</v>
      </c>
      <c r="AG154" s="240">
        <f>IFERROR(_xlfn.XLOOKUP($D154,'Modelling New'!$D:$D,'Modelling New'!AE:AE),"")</f>
        <v>0.99750000000000005</v>
      </c>
      <c r="AH154" s="240">
        <f>IFERROR(_xlfn.XLOOKUP($D154,'Modelling New'!$D:$D,'Modelling New'!AF:AF),"")</f>
        <v>0.99750000000000005</v>
      </c>
      <c r="AI154" s="186"/>
      <c r="AJ154" s="186"/>
      <c r="AK154" s="225"/>
      <c r="AL154" s="224">
        <f>IFERROR(Table13[[#This Row],[RA (%)]]*9270*58,"")</f>
        <v>0</v>
      </c>
      <c r="AM154" s="225"/>
      <c r="AN154" s="238"/>
      <c r="AO154" s="240"/>
      <c r="AP154" s="240"/>
      <c r="AQ154" s="240"/>
      <c r="AR154" s="242">
        <f>IFERROR(_xlfn.XLOOKUP($D154,'Modelling New'!$D:$D,'Modelling New'!$N:$N),"")</f>
        <v>335.09100000000001</v>
      </c>
    </row>
    <row r="155" spans="1:44">
      <c r="A155" s="233">
        <f t="shared" si="11"/>
        <v>45898</v>
      </c>
      <c r="B155" s="228">
        <f>YEAR(Table13[[#This Row],[Date]])+IF(MONTH(Table13[[#This Row],[Date]])&gt;=4,1,0)</f>
        <v>2026</v>
      </c>
      <c r="C155" s="186">
        <f>YEAR(Table13[[#This Row],[Date]])</f>
        <v>2025</v>
      </c>
      <c r="D155" s="234">
        <f>Table13[[#This Row],[Date]]-DAY(Table13[[#This Row],[Date]])+1</f>
        <v>45870</v>
      </c>
      <c r="E155" s="186">
        <f t="shared" si="12"/>
        <v>31</v>
      </c>
      <c r="F155" s="235" t="str">
        <f>IFERROR(_xlfn.XLOOKUP($A155,'Raw_Data'!$B:$B,'Raw_Data'!$IX:$IX),"")</f>
        <v/>
      </c>
      <c r="G155" s="236" t="str">
        <f>IFERROR(_xlfn.XLOOKUP($A155,'Raw_Data'!$B:$B,'Raw_Data'!IY:IY),"")</f>
        <v/>
      </c>
      <c r="H155" s="236" t="str">
        <f>IFERROR(_xlfn.XLOOKUP($A155,'Raw_Data'!$B:$B,'Raw_Data'!IZ:IZ),"")</f>
        <v/>
      </c>
      <c r="I155" s="236" t="str">
        <f>IFERROR(_xlfn.XLOOKUP($A155,'Raw_Data'!$B:$B,'Raw_Data'!JA:JA),"")</f>
        <v/>
      </c>
      <c r="J155" s="236" t="str">
        <f>IFERROR(_xlfn.XLOOKUP($A155,'Raw_Data'!$B:$B,'Raw_Data'!JB:JB),"")</f>
        <v/>
      </c>
      <c r="K155" s="236" t="str">
        <f>IFERROR(_xlfn.XLOOKUP($A155,'Raw_Data'!$B:$B,'Raw_Data'!JE:JE),"")</f>
        <v/>
      </c>
      <c r="L155" s="236" t="str">
        <f>IFERROR(_xlfn.XLOOKUP($A155,'Raw_Data'!$B:$B,'Raw_Data'!JF:JF),"")</f>
        <v/>
      </c>
      <c r="M155" s="236" t="str">
        <f>IFERROR(_xlfn.XLOOKUP($A155,'Raw_Data'!$B:$B,'Raw_Data'!JG:JG),"")</f>
        <v/>
      </c>
      <c r="N155" s="236" t="str">
        <f>IFERROR(_xlfn.XLOOKUP($A155,'Raw_Data'!$B:$B,'Raw_Data'!JH:JH),"")</f>
        <v/>
      </c>
      <c r="O155" s="237" t="str">
        <f>IFERROR(1-SUMIF(PA!$B:$B,$A155,PA!$AL:$AL)/($AA155+SUMIF(PA!$B:$B,$A155,PA!$AL:$AL)),"")</f>
        <v/>
      </c>
      <c r="P155" s="238"/>
      <c r="Q155" s="239"/>
      <c r="R155" s="240" t="str">
        <f>IFERROR(1-SUMIF(GA!$C:$C,$A155,GA!$X:$X)/($AA155+SUMIF(GA!$C:$C,$A155,GA!$X:$X)),"")</f>
        <v/>
      </c>
      <c r="S155" s="186"/>
      <c r="T155" s="239"/>
      <c r="U155" s="237" t="str">
        <f t="shared" si="9"/>
        <v/>
      </c>
      <c r="V155" s="237" t="str">
        <f>IFERROR(_xlfn.XLOOKUP($A155,'Raw_Data'!$B:$B,'Raw_Data'!$JL:$JL),"")</f>
        <v/>
      </c>
      <c r="W155" s="240" t="str">
        <f t="shared" si="10"/>
        <v/>
      </c>
      <c r="X155" s="228" t="str">
        <f>IFERROR(_xlfn.XLOOKUP($A155,'Raw_Data'!$B:$B,'Raw_Data'!$JI:$JI),"")</f>
        <v/>
      </c>
      <c r="Y155" s="228" t="str">
        <f>IFERROR(_xlfn.XLOOKUP($A155,'Raw_Data'!$B:$B,'Raw_Data'!IT:IT),"")</f>
        <v/>
      </c>
      <c r="Z155" s="228" t="str">
        <f>IFERROR(_xlfn.XLOOKUP($A155,'Raw_Data'!$B:$B,'Raw_Data'!IU:IU),"")</f>
        <v/>
      </c>
      <c r="AA155" s="228" t="str">
        <f>IFERROR(_xlfn.XLOOKUP($A155,'Raw_Data'!$B:$B,'Raw_Data'!IW:IW),"")</f>
        <v/>
      </c>
      <c r="AB155" s="228" t="str">
        <f>IFERROR(_xlfn.XLOOKUP($A155,'Raw_Data'!$B:$B,'Raw_Data'!I:I)/1000,"")</f>
        <v/>
      </c>
      <c r="AC155" s="241">
        <f>IFERROR(_xlfn.XLOOKUP($D155,'Modelling New'!$D:$D,'Modelling New'!$P:$P),"")</f>
        <v>5.6193548387096772</v>
      </c>
      <c r="AD155" s="228">
        <f>IFERROR(_xlfn.XLOOKUP($D155,'Modelling New'!$D:$D,'Modelling New'!$T:$T)*1000,"")</f>
        <v>1561332.2879552036</v>
      </c>
      <c r="AE155" s="240">
        <f>IFERROR(_xlfn.XLOOKUP($D155,'Modelling New'!$D:$D,'Modelling New'!$O:$O),"")</f>
        <v>0.82917484930796836</v>
      </c>
      <c r="AF155" s="240">
        <f>IFERROR(_xlfn.XLOOKUP($D155,'Modelling New'!$D:$D,'Modelling New'!$W:$W),"")</f>
        <v>0.19414282089979581</v>
      </c>
      <c r="AG155" s="240">
        <f>IFERROR(_xlfn.XLOOKUP($D155,'Modelling New'!$D:$D,'Modelling New'!AE:AE),"")</f>
        <v>0.99750000000000005</v>
      </c>
      <c r="AH155" s="240">
        <f>IFERROR(_xlfn.XLOOKUP($D155,'Modelling New'!$D:$D,'Modelling New'!AF:AF),"")</f>
        <v>0.99750000000000005</v>
      </c>
      <c r="AI155" s="186"/>
      <c r="AJ155" s="186"/>
      <c r="AK155" s="225"/>
      <c r="AL155" s="224">
        <f>IFERROR(Table13[[#This Row],[RA (%)]]*9270*58,"")</f>
        <v>0</v>
      </c>
      <c r="AM155" s="225"/>
      <c r="AN155" s="238"/>
      <c r="AO155" s="240"/>
      <c r="AP155" s="240"/>
      <c r="AQ155" s="240"/>
      <c r="AR155" s="242">
        <f>IFERROR(_xlfn.XLOOKUP($D155,'Modelling New'!$D:$D,'Modelling New'!$N:$N),"")</f>
        <v>335.09100000000001</v>
      </c>
    </row>
    <row r="156" spans="1:44">
      <c r="A156" s="233">
        <f t="shared" si="11"/>
        <v>45899</v>
      </c>
      <c r="B156" s="228">
        <f>YEAR(Table13[[#This Row],[Date]])+IF(MONTH(Table13[[#This Row],[Date]])&gt;=4,1,0)</f>
        <v>2026</v>
      </c>
      <c r="C156" s="186">
        <f>YEAR(Table13[[#This Row],[Date]])</f>
        <v>2025</v>
      </c>
      <c r="D156" s="234">
        <f>Table13[[#This Row],[Date]]-DAY(Table13[[#This Row],[Date]])+1</f>
        <v>45870</v>
      </c>
      <c r="E156" s="186">
        <f t="shared" si="12"/>
        <v>31</v>
      </c>
      <c r="F156" s="235" t="str">
        <f>IFERROR(_xlfn.XLOOKUP($A156,'Raw_Data'!$B:$B,'Raw_Data'!$IX:$IX),"")</f>
        <v/>
      </c>
      <c r="G156" s="236" t="str">
        <f>IFERROR(_xlfn.XLOOKUP($A156,'Raw_Data'!$B:$B,'Raw_Data'!IY:IY),"")</f>
        <v/>
      </c>
      <c r="H156" s="236" t="str">
        <f>IFERROR(_xlfn.XLOOKUP($A156,'Raw_Data'!$B:$B,'Raw_Data'!IZ:IZ),"")</f>
        <v/>
      </c>
      <c r="I156" s="236" t="str">
        <f>IFERROR(_xlfn.XLOOKUP($A156,'Raw_Data'!$B:$B,'Raw_Data'!JA:JA),"")</f>
        <v/>
      </c>
      <c r="J156" s="236" t="str">
        <f>IFERROR(_xlfn.XLOOKUP($A156,'Raw_Data'!$B:$B,'Raw_Data'!JB:JB),"")</f>
        <v/>
      </c>
      <c r="K156" s="236" t="str">
        <f>IFERROR(_xlfn.XLOOKUP($A156,'Raw_Data'!$B:$B,'Raw_Data'!JE:JE),"")</f>
        <v/>
      </c>
      <c r="L156" s="236" t="str">
        <f>IFERROR(_xlfn.XLOOKUP($A156,'Raw_Data'!$B:$B,'Raw_Data'!JF:JF),"")</f>
        <v/>
      </c>
      <c r="M156" s="236" t="str">
        <f>IFERROR(_xlfn.XLOOKUP($A156,'Raw_Data'!$B:$B,'Raw_Data'!JG:JG),"")</f>
        <v/>
      </c>
      <c r="N156" s="236" t="str">
        <f>IFERROR(_xlfn.XLOOKUP($A156,'Raw_Data'!$B:$B,'Raw_Data'!JH:JH),"")</f>
        <v/>
      </c>
      <c r="O156" s="237" t="str">
        <f>IFERROR(1-SUMIF(PA!$B:$B,$A156,PA!$AL:$AL)/($AA156+SUMIF(PA!$B:$B,$A156,PA!$AL:$AL)),"")</f>
        <v/>
      </c>
      <c r="P156" s="238"/>
      <c r="Q156" s="239"/>
      <c r="R156" s="240" t="str">
        <f>IFERROR(1-SUMIF(GA!$C:$C,$A156,GA!$X:$X)/($AA156+SUMIF(GA!$C:$C,$A156,GA!$X:$X)),"")</f>
        <v/>
      </c>
      <c r="S156" s="186"/>
      <c r="T156" s="239"/>
      <c r="U156" s="237" t="str">
        <f t="shared" si="9"/>
        <v/>
      </c>
      <c r="V156" s="237" t="str">
        <f>IFERROR(_xlfn.XLOOKUP($A156,'Raw_Data'!$B:$B,'Raw_Data'!$JL:$JL),"")</f>
        <v/>
      </c>
      <c r="W156" s="240" t="str">
        <f t="shared" si="10"/>
        <v/>
      </c>
      <c r="X156" s="228" t="str">
        <f>IFERROR(_xlfn.XLOOKUP($A156,'Raw_Data'!$B:$B,'Raw_Data'!$JI:$JI),"")</f>
        <v/>
      </c>
      <c r="Y156" s="228" t="str">
        <f>IFERROR(_xlfn.XLOOKUP($A156,'Raw_Data'!$B:$B,'Raw_Data'!IT:IT),"")</f>
        <v/>
      </c>
      <c r="Z156" s="228" t="str">
        <f>IFERROR(_xlfn.XLOOKUP($A156,'Raw_Data'!$B:$B,'Raw_Data'!IU:IU),"")</f>
        <v/>
      </c>
      <c r="AA156" s="228" t="str">
        <f>IFERROR(_xlfn.XLOOKUP($A156,'Raw_Data'!$B:$B,'Raw_Data'!IW:IW),"")</f>
        <v/>
      </c>
      <c r="AB156" s="228" t="str">
        <f>IFERROR(_xlfn.XLOOKUP($A156,'Raw_Data'!$B:$B,'Raw_Data'!I:I)/1000,"")</f>
        <v/>
      </c>
      <c r="AC156" s="241">
        <f>IFERROR(_xlfn.XLOOKUP($D156,'Modelling New'!$D:$D,'Modelling New'!$P:$P),"")</f>
        <v>5.6193548387096772</v>
      </c>
      <c r="AD156" s="228">
        <f>IFERROR(_xlfn.XLOOKUP($D156,'Modelling New'!$D:$D,'Modelling New'!$T:$T)*1000,"")</f>
        <v>1561332.2879552036</v>
      </c>
      <c r="AE156" s="240">
        <f>IFERROR(_xlfn.XLOOKUP($D156,'Modelling New'!$D:$D,'Modelling New'!$O:$O),"")</f>
        <v>0.82917484930796836</v>
      </c>
      <c r="AF156" s="240">
        <f>IFERROR(_xlfn.XLOOKUP($D156,'Modelling New'!$D:$D,'Modelling New'!$W:$W),"")</f>
        <v>0.19414282089979581</v>
      </c>
      <c r="AG156" s="240">
        <f>IFERROR(_xlfn.XLOOKUP($D156,'Modelling New'!$D:$D,'Modelling New'!AE:AE),"")</f>
        <v>0.99750000000000005</v>
      </c>
      <c r="AH156" s="240">
        <f>IFERROR(_xlfn.XLOOKUP($D156,'Modelling New'!$D:$D,'Modelling New'!AF:AF),"")</f>
        <v>0.99750000000000005</v>
      </c>
      <c r="AI156" s="186"/>
      <c r="AJ156" s="186"/>
      <c r="AK156" s="225"/>
      <c r="AL156" s="224">
        <f>IFERROR(Table13[[#This Row],[RA (%)]]*9270*58,"")</f>
        <v>0</v>
      </c>
      <c r="AM156" s="225"/>
      <c r="AN156" s="238"/>
      <c r="AO156" s="240"/>
      <c r="AP156" s="240"/>
      <c r="AQ156" s="240"/>
      <c r="AR156" s="242">
        <f>IFERROR(_xlfn.XLOOKUP($D156,'Modelling New'!$D:$D,'Modelling New'!$N:$N),"")</f>
        <v>335.09100000000001</v>
      </c>
    </row>
    <row r="157" spans="1:44">
      <c r="A157" s="233">
        <f t="shared" si="11"/>
        <v>45900</v>
      </c>
      <c r="B157" s="228">
        <f>YEAR(Table13[[#This Row],[Date]])+IF(MONTH(Table13[[#This Row],[Date]])&gt;=4,1,0)</f>
        <v>2026</v>
      </c>
      <c r="C157" s="186">
        <f>YEAR(Table13[[#This Row],[Date]])</f>
        <v>2025</v>
      </c>
      <c r="D157" s="234">
        <f>Table13[[#This Row],[Date]]-DAY(Table13[[#This Row],[Date]])+1</f>
        <v>45870</v>
      </c>
      <c r="E157" s="186">
        <f t="shared" si="12"/>
        <v>31</v>
      </c>
      <c r="F157" s="235" t="str">
        <f>IFERROR(_xlfn.XLOOKUP($A157,'Raw_Data'!$B:$B,'Raw_Data'!$IX:$IX),"")</f>
        <v/>
      </c>
      <c r="G157" s="236" t="str">
        <f>IFERROR(_xlfn.XLOOKUP($A157,'Raw_Data'!$B:$B,'Raw_Data'!IY:IY),"")</f>
        <v/>
      </c>
      <c r="H157" s="236" t="str">
        <f>IFERROR(_xlfn.XLOOKUP($A157,'Raw_Data'!$B:$B,'Raw_Data'!IZ:IZ),"")</f>
        <v/>
      </c>
      <c r="I157" s="236" t="str">
        <f>IFERROR(_xlfn.XLOOKUP($A157,'Raw_Data'!$B:$B,'Raw_Data'!JA:JA),"")</f>
        <v/>
      </c>
      <c r="J157" s="236" t="str">
        <f>IFERROR(_xlfn.XLOOKUP($A157,'Raw_Data'!$B:$B,'Raw_Data'!JB:JB),"")</f>
        <v/>
      </c>
      <c r="K157" s="236" t="str">
        <f>IFERROR(_xlfn.XLOOKUP($A157,'Raw_Data'!$B:$B,'Raw_Data'!JE:JE),"")</f>
        <v/>
      </c>
      <c r="L157" s="236" t="str">
        <f>IFERROR(_xlfn.XLOOKUP($A157,'Raw_Data'!$B:$B,'Raw_Data'!JF:JF),"")</f>
        <v/>
      </c>
      <c r="M157" s="236" t="str">
        <f>IFERROR(_xlfn.XLOOKUP($A157,'Raw_Data'!$B:$B,'Raw_Data'!JG:JG),"")</f>
        <v/>
      </c>
      <c r="N157" s="236" t="str">
        <f>IFERROR(_xlfn.XLOOKUP($A157,'Raw_Data'!$B:$B,'Raw_Data'!JH:JH),"")</f>
        <v/>
      </c>
      <c r="O157" s="237" t="str">
        <f>IFERROR(1-SUMIF(PA!$B:$B,$A157,PA!$AL:$AL)/($AA157+SUMIF(PA!$B:$B,$A157,PA!$AL:$AL)),"")</f>
        <v/>
      </c>
      <c r="P157" s="238"/>
      <c r="Q157" s="239"/>
      <c r="R157" s="240" t="str">
        <f>IFERROR(1-SUMIF(GA!$C:$C,$A157,GA!$X:$X)/($AA157+SUMIF(GA!$C:$C,$A157,GA!$X:$X)),"")</f>
        <v/>
      </c>
      <c r="S157" s="186"/>
      <c r="T157" s="239"/>
      <c r="U157" s="237" t="str">
        <f t="shared" si="9"/>
        <v/>
      </c>
      <c r="V157" s="237" t="str">
        <f>IFERROR(_xlfn.XLOOKUP($A157,'Raw_Data'!$B:$B,'Raw_Data'!$JL:$JL),"")</f>
        <v/>
      </c>
      <c r="W157" s="240" t="str">
        <f t="shared" si="10"/>
        <v/>
      </c>
      <c r="X157" s="228" t="str">
        <f>IFERROR(_xlfn.XLOOKUP($A157,'Raw_Data'!$B:$B,'Raw_Data'!$JI:$JI),"")</f>
        <v/>
      </c>
      <c r="Y157" s="228" t="str">
        <f>IFERROR(_xlfn.XLOOKUP($A157,'Raw_Data'!$B:$B,'Raw_Data'!IT:IT),"")</f>
        <v/>
      </c>
      <c r="Z157" s="228" t="str">
        <f>IFERROR(_xlfn.XLOOKUP($A157,'Raw_Data'!$B:$B,'Raw_Data'!IU:IU),"")</f>
        <v/>
      </c>
      <c r="AA157" s="228" t="str">
        <f>IFERROR(_xlfn.XLOOKUP($A157,'Raw_Data'!$B:$B,'Raw_Data'!IW:IW),"")</f>
        <v/>
      </c>
      <c r="AB157" s="228" t="str">
        <f>IFERROR(_xlfn.XLOOKUP($A157,'Raw_Data'!$B:$B,'Raw_Data'!I:I)/1000,"")</f>
        <v/>
      </c>
      <c r="AC157" s="241">
        <f>IFERROR(_xlfn.XLOOKUP($D157,'Modelling New'!$D:$D,'Modelling New'!$P:$P),"")</f>
        <v>5.6193548387096772</v>
      </c>
      <c r="AD157" s="228">
        <f>IFERROR(_xlfn.XLOOKUP($D157,'Modelling New'!$D:$D,'Modelling New'!$T:$T)*1000,"")</f>
        <v>1561332.2879552036</v>
      </c>
      <c r="AE157" s="240">
        <f>IFERROR(_xlfn.XLOOKUP($D157,'Modelling New'!$D:$D,'Modelling New'!$O:$O),"")</f>
        <v>0.82917484930796836</v>
      </c>
      <c r="AF157" s="240">
        <f>IFERROR(_xlfn.XLOOKUP($D157,'Modelling New'!$D:$D,'Modelling New'!$W:$W),"")</f>
        <v>0.19414282089979581</v>
      </c>
      <c r="AG157" s="240">
        <f>IFERROR(_xlfn.XLOOKUP($D157,'Modelling New'!$D:$D,'Modelling New'!AE:AE),"")</f>
        <v>0.99750000000000005</v>
      </c>
      <c r="AH157" s="240">
        <f>IFERROR(_xlfn.XLOOKUP($D157,'Modelling New'!$D:$D,'Modelling New'!AF:AF),"")</f>
        <v>0.99750000000000005</v>
      </c>
      <c r="AI157" s="186"/>
      <c r="AJ157" s="186"/>
      <c r="AK157" s="225"/>
      <c r="AL157" s="224">
        <f>IFERROR(Table13[[#This Row],[RA (%)]]*9270*58,"")</f>
        <v>0</v>
      </c>
      <c r="AM157" s="225"/>
      <c r="AN157" s="238"/>
      <c r="AO157" s="240"/>
      <c r="AP157" s="240"/>
      <c r="AQ157" s="240"/>
      <c r="AR157" s="242">
        <f>IFERROR(_xlfn.XLOOKUP($D157,'Modelling New'!$D:$D,'Modelling New'!$N:$N),"")</f>
        <v>335.09100000000001</v>
      </c>
    </row>
    <row r="158" spans="1:44">
      <c r="A158" s="233">
        <f t="shared" si="11"/>
        <v>45901</v>
      </c>
      <c r="B158" s="228">
        <f>YEAR(Table13[[#This Row],[Date]])+IF(MONTH(Table13[[#This Row],[Date]])&gt;=4,1,0)</f>
        <v>2026</v>
      </c>
      <c r="C158" s="186">
        <f>YEAR(Table13[[#This Row],[Date]])</f>
        <v>2025</v>
      </c>
      <c r="D158" s="234">
        <f>Table13[[#This Row],[Date]]-DAY(Table13[[#This Row],[Date]])+1</f>
        <v>45901</v>
      </c>
      <c r="E158" s="186">
        <f t="shared" si="12"/>
        <v>30</v>
      </c>
      <c r="F158" s="235" t="str">
        <f>IFERROR(_xlfn.XLOOKUP($A158,'Raw_Data'!$B:$B,'Raw_Data'!$IX:$IX),"")</f>
        <v/>
      </c>
      <c r="G158" s="236" t="str">
        <f>IFERROR(_xlfn.XLOOKUP($A158,'Raw_Data'!$B:$B,'Raw_Data'!IY:IY),"")</f>
        <v/>
      </c>
      <c r="H158" s="236" t="str">
        <f>IFERROR(_xlfn.XLOOKUP($A158,'Raw_Data'!$B:$B,'Raw_Data'!IZ:IZ),"")</f>
        <v/>
      </c>
      <c r="I158" s="236" t="str">
        <f>IFERROR(_xlfn.XLOOKUP($A158,'Raw_Data'!$B:$B,'Raw_Data'!JA:JA),"")</f>
        <v/>
      </c>
      <c r="J158" s="236" t="str">
        <f>IFERROR(_xlfn.XLOOKUP($A158,'Raw_Data'!$B:$B,'Raw_Data'!JB:JB),"")</f>
        <v/>
      </c>
      <c r="K158" s="236" t="str">
        <f>IFERROR(_xlfn.XLOOKUP($A158,'Raw_Data'!$B:$B,'Raw_Data'!JE:JE),"")</f>
        <v/>
      </c>
      <c r="L158" s="236" t="str">
        <f>IFERROR(_xlfn.XLOOKUP($A158,'Raw_Data'!$B:$B,'Raw_Data'!JF:JF),"")</f>
        <v/>
      </c>
      <c r="M158" s="236" t="str">
        <f>IFERROR(_xlfn.XLOOKUP($A158,'Raw_Data'!$B:$B,'Raw_Data'!JG:JG),"")</f>
        <v/>
      </c>
      <c r="N158" s="236" t="str">
        <f>IFERROR(_xlfn.XLOOKUP($A158,'Raw_Data'!$B:$B,'Raw_Data'!JH:JH),"")</f>
        <v/>
      </c>
      <c r="O158" s="237" t="str">
        <f>IFERROR(1-SUMIF(PA!$B:$B,$A158,PA!$AL:$AL)/($AA158+SUMIF(PA!$B:$B,$A158,PA!$AL:$AL)),"")</f>
        <v/>
      </c>
      <c r="P158" s="238"/>
      <c r="Q158" s="239"/>
      <c r="R158" s="240" t="str">
        <f>IFERROR(1-SUMIF(GA!$C:$C,$A158,GA!$X:$X)/($AA158+SUMIF(GA!$C:$C,$A158,GA!$X:$X)),"")</f>
        <v/>
      </c>
      <c r="S158" s="186"/>
      <c r="T158" s="239"/>
      <c r="U158" s="237" t="str">
        <f t="shared" si="9"/>
        <v/>
      </c>
      <c r="V158" s="237" t="str">
        <f>IFERROR(_xlfn.XLOOKUP($A158,'Raw_Data'!$B:$B,'Raw_Data'!$JL:$JL),"")</f>
        <v/>
      </c>
      <c r="W158" s="240" t="str">
        <f t="shared" si="10"/>
        <v/>
      </c>
      <c r="X158" s="228" t="str">
        <f>IFERROR(_xlfn.XLOOKUP($A158,'Raw_Data'!$B:$B,'Raw_Data'!$JI:$JI),"")</f>
        <v/>
      </c>
      <c r="Y158" s="228" t="str">
        <f>IFERROR(_xlfn.XLOOKUP($A158,'Raw_Data'!$B:$B,'Raw_Data'!IT:IT),"")</f>
        <v/>
      </c>
      <c r="Z158" s="228" t="str">
        <f>IFERROR(_xlfn.XLOOKUP($A158,'Raw_Data'!$B:$B,'Raw_Data'!IU:IU),"")</f>
        <v/>
      </c>
      <c r="AA158" s="228" t="str">
        <f>IFERROR(_xlfn.XLOOKUP($A158,'Raw_Data'!$B:$B,'Raw_Data'!IW:IW),"")</f>
        <v/>
      </c>
      <c r="AB158" s="228" t="str">
        <f>IFERROR(_xlfn.XLOOKUP($A158,'Raw_Data'!$B:$B,'Raw_Data'!I:I)/1000,"")</f>
        <v/>
      </c>
      <c r="AC158" s="241">
        <f>IFERROR(_xlfn.XLOOKUP($D158,'Modelling New'!$D:$D,'Modelling New'!$P:$P),"")</f>
        <v>6.4033333333333333</v>
      </c>
      <c r="AD158" s="228">
        <f>IFERROR(_xlfn.XLOOKUP($D158,'Modelling New'!$D:$D,'Modelling New'!$T:$T)*1000,"")</f>
        <v>1755680.2929358287</v>
      </c>
      <c r="AE158" s="240">
        <f>IFERROR(_xlfn.XLOOKUP($D158,'Modelling New'!$D:$D,'Modelling New'!$O:$O),"")</f>
        <v>0.81823218922594398</v>
      </c>
      <c r="AF158" s="240">
        <f>IFERROR(_xlfn.XLOOKUP($D158,'Modelling New'!$D:$D,'Modelling New'!$W:$W),"")</f>
        <v>0.21830889381986643</v>
      </c>
      <c r="AG158" s="240">
        <f>IFERROR(_xlfn.XLOOKUP($D158,'Modelling New'!$D:$D,'Modelling New'!AE:AE),"")</f>
        <v>0.99750000000000005</v>
      </c>
      <c r="AH158" s="240">
        <f>IFERROR(_xlfn.XLOOKUP($D158,'Modelling New'!$D:$D,'Modelling New'!AF:AF),"")</f>
        <v>0.99750000000000005</v>
      </c>
      <c r="AI158" s="186"/>
      <c r="AJ158" s="186"/>
      <c r="AK158" s="225"/>
      <c r="AL158" s="224">
        <f>IFERROR(Table13[[#This Row],[RA (%)]]*9270*58,"")</f>
        <v>0</v>
      </c>
      <c r="AM158" s="225"/>
      <c r="AN158" s="238"/>
      <c r="AO158" s="240"/>
      <c r="AP158" s="240"/>
      <c r="AQ158" s="240"/>
      <c r="AR158" s="242">
        <f>IFERROR(_xlfn.XLOOKUP($D158,'Modelling New'!$D:$D,'Modelling New'!$N:$N),"")</f>
        <v>335.09100000000001</v>
      </c>
    </row>
    <row r="159" spans="1:44">
      <c r="A159" s="233">
        <f t="shared" si="11"/>
        <v>45902</v>
      </c>
      <c r="B159" s="228">
        <f>YEAR(Table13[[#This Row],[Date]])+IF(MONTH(Table13[[#This Row],[Date]])&gt;=4,1,0)</f>
        <v>2026</v>
      </c>
      <c r="C159" s="186">
        <f>YEAR(Table13[[#This Row],[Date]])</f>
        <v>2025</v>
      </c>
      <c r="D159" s="234">
        <f>Table13[[#This Row],[Date]]-DAY(Table13[[#This Row],[Date]])+1</f>
        <v>45901</v>
      </c>
      <c r="E159" s="186">
        <f t="shared" si="12"/>
        <v>30</v>
      </c>
      <c r="F159" s="235" t="str">
        <f>IFERROR(_xlfn.XLOOKUP($A159,'Raw_Data'!$B:$B,'Raw_Data'!$IX:$IX),"")</f>
        <v/>
      </c>
      <c r="G159" s="236" t="str">
        <f>IFERROR(_xlfn.XLOOKUP($A159,'Raw_Data'!$B:$B,'Raw_Data'!IY:IY),"")</f>
        <v/>
      </c>
      <c r="H159" s="236" t="str">
        <f>IFERROR(_xlfn.XLOOKUP($A159,'Raw_Data'!$B:$B,'Raw_Data'!IZ:IZ),"")</f>
        <v/>
      </c>
      <c r="I159" s="236" t="str">
        <f>IFERROR(_xlfn.XLOOKUP($A159,'Raw_Data'!$B:$B,'Raw_Data'!JA:JA),"")</f>
        <v/>
      </c>
      <c r="J159" s="236" t="str">
        <f>IFERROR(_xlfn.XLOOKUP($A159,'Raw_Data'!$B:$B,'Raw_Data'!JB:JB),"")</f>
        <v/>
      </c>
      <c r="K159" s="236" t="str">
        <f>IFERROR(_xlfn.XLOOKUP($A159,'Raw_Data'!$B:$B,'Raw_Data'!JE:JE),"")</f>
        <v/>
      </c>
      <c r="L159" s="236" t="str">
        <f>IFERROR(_xlfn.XLOOKUP($A159,'Raw_Data'!$B:$B,'Raw_Data'!JF:JF),"")</f>
        <v/>
      </c>
      <c r="M159" s="236" t="str">
        <f>IFERROR(_xlfn.XLOOKUP($A159,'Raw_Data'!$B:$B,'Raw_Data'!JG:JG),"")</f>
        <v/>
      </c>
      <c r="N159" s="236" t="str">
        <f>IFERROR(_xlfn.XLOOKUP($A159,'Raw_Data'!$B:$B,'Raw_Data'!JH:JH),"")</f>
        <v/>
      </c>
      <c r="O159" s="237" t="str">
        <f>IFERROR(1-SUMIF(PA!$B:$B,$A159,PA!$AL:$AL)/($AA159+SUMIF(PA!$B:$B,$A159,PA!$AL:$AL)),"")</f>
        <v/>
      </c>
      <c r="P159" s="238"/>
      <c r="Q159" s="239"/>
      <c r="R159" s="240" t="str">
        <f>IFERROR(1-SUMIF(GA!$C:$C,$A159,GA!$X:$X)/($AA159+SUMIF(GA!$C:$C,$A159,GA!$X:$X)),"")</f>
        <v/>
      </c>
      <c r="S159" s="186"/>
      <c r="T159" s="239"/>
      <c r="U159" s="237" t="str">
        <f t="shared" si="9"/>
        <v/>
      </c>
      <c r="V159" s="237" t="str">
        <f>IFERROR(_xlfn.XLOOKUP($A159,'Raw_Data'!$B:$B,'Raw_Data'!$JL:$JL),"")</f>
        <v/>
      </c>
      <c r="W159" s="240" t="str">
        <f t="shared" si="10"/>
        <v/>
      </c>
      <c r="X159" s="228" t="str">
        <f>IFERROR(_xlfn.XLOOKUP($A159,'Raw_Data'!$B:$B,'Raw_Data'!$JI:$JI),"")</f>
        <v/>
      </c>
      <c r="Y159" s="228" t="str">
        <f>IFERROR(_xlfn.XLOOKUP($A159,'Raw_Data'!$B:$B,'Raw_Data'!IT:IT),"")</f>
        <v/>
      </c>
      <c r="Z159" s="228" t="str">
        <f>IFERROR(_xlfn.XLOOKUP($A159,'Raw_Data'!$B:$B,'Raw_Data'!IU:IU),"")</f>
        <v/>
      </c>
      <c r="AA159" s="228" t="str">
        <f>IFERROR(_xlfn.XLOOKUP($A159,'Raw_Data'!$B:$B,'Raw_Data'!IW:IW),"")</f>
        <v/>
      </c>
      <c r="AB159" s="228" t="str">
        <f>IFERROR(_xlfn.XLOOKUP($A159,'Raw_Data'!$B:$B,'Raw_Data'!I:I)/1000,"")</f>
        <v/>
      </c>
      <c r="AC159" s="241">
        <f>IFERROR(_xlfn.XLOOKUP($D159,'Modelling New'!$D:$D,'Modelling New'!$P:$P),"")</f>
        <v>6.4033333333333333</v>
      </c>
      <c r="AD159" s="228">
        <f>IFERROR(_xlfn.XLOOKUP($D159,'Modelling New'!$D:$D,'Modelling New'!$T:$T)*1000,"")</f>
        <v>1755680.2929358287</v>
      </c>
      <c r="AE159" s="240">
        <f>IFERROR(_xlfn.XLOOKUP($D159,'Modelling New'!$D:$D,'Modelling New'!$O:$O),"")</f>
        <v>0.81823218922594398</v>
      </c>
      <c r="AF159" s="240">
        <f>IFERROR(_xlfn.XLOOKUP($D159,'Modelling New'!$D:$D,'Modelling New'!$W:$W),"")</f>
        <v>0.21830889381986643</v>
      </c>
      <c r="AG159" s="240">
        <f>IFERROR(_xlfn.XLOOKUP($D159,'Modelling New'!$D:$D,'Modelling New'!AE:AE),"")</f>
        <v>0.99750000000000005</v>
      </c>
      <c r="AH159" s="240">
        <f>IFERROR(_xlfn.XLOOKUP($D159,'Modelling New'!$D:$D,'Modelling New'!AF:AF),"")</f>
        <v>0.99750000000000005</v>
      </c>
      <c r="AI159" s="186"/>
      <c r="AJ159" s="186"/>
      <c r="AK159" s="225"/>
      <c r="AL159" s="224">
        <f>IFERROR(Table13[[#This Row],[RA (%)]]*9270*58,"")</f>
        <v>0</v>
      </c>
      <c r="AM159" s="225"/>
      <c r="AN159" s="238"/>
      <c r="AO159" s="240"/>
      <c r="AP159" s="240"/>
      <c r="AQ159" s="240"/>
      <c r="AR159" s="242">
        <f>IFERROR(_xlfn.XLOOKUP($D159,'Modelling New'!$D:$D,'Modelling New'!$N:$N),"")</f>
        <v>335.09100000000001</v>
      </c>
    </row>
    <row r="160" spans="1:44">
      <c r="A160" s="233">
        <f t="shared" si="11"/>
        <v>45903</v>
      </c>
      <c r="B160" s="228">
        <f>YEAR(Table13[[#This Row],[Date]])+IF(MONTH(Table13[[#This Row],[Date]])&gt;=4,1,0)</f>
        <v>2026</v>
      </c>
      <c r="C160" s="186">
        <f>YEAR(Table13[[#This Row],[Date]])</f>
        <v>2025</v>
      </c>
      <c r="D160" s="234">
        <f>Table13[[#This Row],[Date]]-DAY(Table13[[#This Row],[Date]])+1</f>
        <v>45901</v>
      </c>
      <c r="E160" s="186">
        <f t="shared" si="12"/>
        <v>30</v>
      </c>
      <c r="F160" s="235" t="str">
        <f>IFERROR(_xlfn.XLOOKUP($A160,'Raw_Data'!$B:$B,'Raw_Data'!$IX:$IX),"")</f>
        <v/>
      </c>
      <c r="G160" s="236" t="str">
        <f>IFERROR(_xlfn.XLOOKUP($A160,'Raw_Data'!$B:$B,'Raw_Data'!IY:IY),"")</f>
        <v/>
      </c>
      <c r="H160" s="236" t="str">
        <f>IFERROR(_xlfn.XLOOKUP($A160,'Raw_Data'!$B:$B,'Raw_Data'!IZ:IZ),"")</f>
        <v/>
      </c>
      <c r="I160" s="236" t="str">
        <f>IFERROR(_xlfn.XLOOKUP($A160,'Raw_Data'!$B:$B,'Raw_Data'!JA:JA),"")</f>
        <v/>
      </c>
      <c r="J160" s="236" t="str">
        <f>IFERROR(_xlfn.XLOOKUP($A160,'Raw_Data'!$B:$B,'Raw_Data'!JB:JB),"")</f>
        <v/>
      </c>
      <c r="K160" s="236" t="str">
        <f>IFERROR(_xlfn.XLOOKUP($A160,'Raw_Data'!$B:$B,'Raw_Data'!JE:JE),"")</f>
        <v/>
      </c>
      <c r="L160" s="236" t="str">
        <f>IFERROR(_xlfn.XLOOKUP($A160,'Raw_Data'!$B:$B,'Raw_Data'!JF:JF),"")</f>
        <v/>
      </c>
      <c r="M160" s="236" t="str">
        <f>IFERROR(_xlfn.XLOOKUP($A160,'Raw_Data'!$B:$B,'Raw_Data'!JG:JG),"")</f>
        <v/>
      </c>
      <c r="N160" s="236" t="str">
        <f>IFERROR(_xlfn.XLOOKUP($A160,'Raw_Data'!$B:$B,'Raw_Data'!JH:JH),"")</f>
        <v/>
      </c>
      <c r="O160" s="237" t="str">
        <f>IFERROR(1-SUMIF(PA!$B:$B,$A160,PA!$AL:$AL)/($AA160+SUMIF(PA!$B:$B,$A160,PA!$AL:$AL)),"")</f>
        <v/>
      </c>
      <c r="P160" s="238"/>
      <c r="Q160" s="239"/>
      <c r="R160" s="240" t="str">
        <f>IFERROR(1-SUMIF(GA!$C:$C,$A160,GA!$X:$X)/($AA160+SUMIF(GA!$C:$C,$A160,GA!$X:$X)),"")</f>
        <v/>
      </c>
      <c r="S160" s="186"/>
      <c r="T160" s="239"/>
      <c r="U160" s="237" t="str">
        <f t="shared" si="9"/>
        <v/>
      </c>
      <c r="V160" s="237" t="str">
        <f>IFERROR(_xlfn.XLOOKUP($A160,'Raw_Data'!$B:$B,'Raw_Data'!$JL:$JL),"")</f>
        <v/>
      </c>
      <c r="W160" s="240" t="str">
        <f t="shared" si="10"/>
        <v/>
      </c>
      <c r="X160" s="228" t="str">
        <f>IFERROR(_xlfn.XLOOKUP($A160,'Raw_Data'!$B:$B,'Raw_Data'!$JI:$JI),"")</f>
        <v/>
      </c>
      <c r="Y160" s="228" t="str">
        <f>IFERROR(_xlfn.XLOOKUP($A160,'Raw_Data'!$B:$B,'Raw_Data'!IT:IT),"")</f>
        <v/>
      </c>
      <c r="Z160" s="228" t="str">
        <f>IFERROR(_xlfn.XLOOKUP($A160,'Raw_Data'!$B:$B,'Raw_Data'!IU:IU),"")</f>
        <v/>
      </c>
      <c r="AA160" s="228" t="str">
        <f>IFERROR(_xlfn.XLOOKUP($A160,'Raw_Data'!$B:$B,'Raw_Data'!IW:IW),"")</f>
        <v/>
      </c>
      <c r="AB160" s="228" t="str">
        <f>IFERROR(_xlfn.XLOOKUP($A160,'Raw_Data'!$B:$B,'Raw_Data'!I:I)/1000,"")</f>
        <v/>
      </c>
      <c r="AC160" s="241">
        <f>IFERROR(_xlfn.XLOOKUP($D160,'Modelling New'!$D:$D,'Modelling New'!$P:$P),"")</f>
        <v>6.4033333333333333</v>
      </c>
      <c r="AD160" s="228">
        <f>IFERROR(_xlfn.XLOOKUP($D160,'Modelling New'!$D:$D,'Modelling New'!$T:$T)*1000,"")</f>
        <v>1755680.2929358287</v>
      </c>
      <c r="AE160" s="240">
        <f>IFERROR(_xlfn.XLOOKUP($D160,'Modelling New'!$D:$D,'Modelling New'!$O:$O),"")</f>
        <v>0.81823218922594398</v>
      </c>
      <c r="AF160" s="240">
        <f>IFERROR(_xlfn.XLOOKUP($D160,'Modelling New'!$D:$D,'Modelling New'!$W:$W),"")</f>
        <v>0.21830889381986643</v>
      </c>
      <c r="AG160" s="240">
        <f>IFERROR(_xlfn.XLOOKUP($D160,'Modelling New'!$D:$D,'Modelling New'!AE:AE),"")</f>
        <v>0.99750000000000005</v>
      </c>
      <c r="AH160" s="240">
        <f>IFERROR(_xlfn.XLOOKUP($D160,'Modelling New'!$D:$D,'Modelling New'!AF:AF),"")</f>
        <v>0.99750000000000005</v>
      </c>
      <c r="AI160" s="186"/>
      <c r="AJ160" s="186"/>
      <c r="AK160" s="225"/>
      <c r="AL160" s="224">
        <f>IFERROR(Table13[[#This Row],[RA (%)]]*9270*58,"")</f>
        <v>0</v>
      </c>
      <c r="AM160" s="225"/>
      <c r="AN160" s="238"/>
      <c r="AO160" s="240"/>
      <c r="AP160" s="240"/>
      <c r="AQ160" s="240"/>
      <c r="AR160" s="242">
        <f>IFERROR(_xlfn.XLOOKUP($D160,'Modelling New'!$D:$D,'Modelling New'!$N:$N),"")</f>
        <v>335.09100000000001</v>
      </c>
    </row>
    <row r="161" spans="1:44">
      <c r="A161" s="233">
        <f t="shared" si="11"/>
        <v>45904</v>
      </c>
      <c r="B161" s="228">
        <f>YEAR(Table13[[#This Row],[Date]])+IF(MONTH(Table13[[#This Row],[Date]])&gt;=4,1,0)</f>
        <v>2026</v>
      </c>
      <c r="C161" s="186">
        <f>YEAR(Table13[[#This Row],[Date]])</f>
        <v>2025</v>
      </c>
      <c r="D161" s="234">
        <f>Table13[[#This Row],[Date]]-DAY(Table13[[#This Row],[Date]])+1</f>
        <v>45901</v>
      </c>
      <c r="E161" s="186">
        <f t="shared" si="12"/>
        <v>30</v>
      </c>
      <c r="F161" s="235" t="str">
        <f>IFERROR(_xlfn.XLOOKUP($A161,'Raw_Data'!$B:$B,'Raw_Data'!$IX:$IX),"")</f>
        <v/>
      </c>
      <c r="G161" s="236" t="str">
        <f>IFERROR(_xlfn.XLOOKUP($A161,'Raw_Data'!$B:$B,'Raw_Data'!IY:IY),"")</f>
        <v/>
      </c>
      <c r="H161" s="236" t="str">
        <f>IFERROR(_xlfn.XLOOKUP($A161,'Raw_Data'!$B:$B,'Raw_Data'!IZ:IZ),"")</f>
        <v/>
      </c>
      <c r="I161" s="236" t="str">
        <f>IFERROR(_xlfn.XLOOKUP($A161,'Raw_Data'!$B:$B,'Raw_Data'!JA:JA),"")</f>
        <v/>
      </c>
      <c r="J161" s="236" t="str">
        <f>IFERROR(_xlfn.XLOOKUP($A161,'Raw_Data'!$B:$B,'Raw_Data'!JB:JB),"")</f>
        <v/>
      </c>
      <c r="K161" s="236" t="str">
        <f>IFERROR(_xlfn.XLOOKUP($A161,'Raw_Data'!$B:$B,'Raw_Data'!JE:JE),"")</f>
        <v/>
      </c>
      <c r="L161" s="236" t="str">
        <f>IFERROR(_xlfn.XLOOKUP($A161,'Raw_Data'!$B:$B,'Raw_Data'!JF:JF),"")</f>
        <v/>
      </c>
      <c r="M161" s="236" t="str">
        <f>IFERROR(_xlfn.XLOOKUP($A161,'Raw_Data'!$B:$B,'Raw_Data'!JG:JG),"")</f>
        <v/>
      </c>
      <c r="N161" s="236" t="str">
        <f>IFERROR(_xlfn.XLOOKUP($A161,'Raw_Data'!$B:$B,'Raw_Data'!JH:JH),"")</f>
        <v/>
      </c>
      <c r="O161" s="237" t="str">
        <f>IFERROR(1-SUMIF(PA!$B:$B,$A161,PA!$AL:$AL)/($AA161+SUMIF(PA!$B:$B,$A161,PA!$AL:$AL)),"")</f>
        <v/>
      </c>
      <c r="P161" s="238"/>
      <c r="Q161" s="239"/>
      <c r="R161" s="240" t="str">
        <f>IFERROR(1-SUMIF(GA!$C:$C,$A161,GA!$X:$X)/($AA161+SUMIF(GA!$C:$C,$A161,GA!$X:$X)),"")</f>
        <v/>
      </c>
      <c r="S161" s="186"/>
      <c r="T161" s="239"/>
      <c r="U161" s="237" t="str">
        <f t="shared" si="9"/>
        <v/>
      </c>
      <c r="V161" s="237" t="str">
        <f>IFERROR(_xlfn.XLOOKUP($A161,'Raw_Data'!$B:$B,'Raw_Data'!$JL:$JL),"")</f>
        <v/>
      </c>
      <c r="W161" s="240" t="str">
        <f t="shared" si="10"/>
        <v/>
      </c>
      <c r="X161" s="228" t="str">
        <f>IFERROR(_xlfn.XLOOKUP($A161,'Raw_Data'!$B:$B,'Raw_Data'!$JI:$JI),"")</f>
        <v/>
      </c>
      <c r="Y161" s="228" t="str">
        <f>IFERROR(_xlfn.XLOOKUP($A161,'Raw_Data'!$B:$B,'Raw_Data'!IT:IT),"")</f>
        <v/>
      </c>
      <c r="Z161" s="228" t="str">
        <f>IFERROR(_xlfn.XLOOKUP($A161,'Raw_Data'!$B:$B,'Raw_Data'!IU:IU),"")</f>
        <v/>
      </c>
      <c r="AA161" s="228" t="str">
        <f>IFERROR(_xlfn.XLOOKUP($A161,'Raw_Data'!$B:$B,'Raw_Data'!IW:IW),"")</f>
        <v/>
      </c>
      <c r="AB161" s="228" t="str">
        <f>IFERROR(_xlfn.XLOOKUP($A161,'Raw_Data'!$B:$B,'Raw_Data'!I:I)/1000,"")</f>
        <v/>
      </c>
      <c r="AC161" s="241">
        <f>IFERROR(_xlfn.XLOOKUP($D161,'Modelling New'!$D:$D,'Modelling New'!$P:$P),"")</f>
        <v>6.4033333333333333</v>
      </c>
      <c r="AD161" s="228">
        <f>IFERROR(_xlfn.XLOOKUP($D161,'Modelling New'!$D:$D,'Modelling New'!$T:$T)*1000,"")</f>
        <v>1755680.2929358287</v>
      </c>
      <c r="AE161" s="240">
        <f>IFERROR(_xlfn.XLOOKUP($D161,'Modelling New'!$D:$D,'Modelling New'!$O:$O),"")</f>
        <v>0.81823218922594398</v>
      </c>
      <c r="AF161" s="240">
        <f>IFERROR(_xlfn.XLOOKUP($D161,'Modelling New'!$D:$D,'Modelling New'!$W:$W),"")</f>
        <v>0.21830889381986643</v>
      </c>
      <c r="AG161" s="240">
        <f>IFERROR(_xlfn.XLOOKUP($D161,'Modelling New'!$D:$D,'Modelling New'!AE:AE),"")</f>
        <v>0.99750000000000005</v>
      </c>
      <c r="AH161" s="240">
        <f>IFERROR(_xlfn.XLOOKUP($D161,'Modelling New'!$D:$D,'Modelling New'!AF:AF),"")</f>
        <v>0.99750000000000005</v>
      </c>
      <c r="AI161" s="186"/>
      <c r="AJ161" s="186"/>
      <c r="AK161" s="225"/>
      <c r="AL161" s="224">
        <f>IFERROR(Table13[[#This Row],[RA (%)]]*9270*58,"")</f>
        <v>0</v>
      </c>
      <c r="AM161" s="225"/>
      <c r="AN161" s="238"/>
      <c r="AO161" s="240"/>
      <c r="AP161" s="240"/>
      <c r="AQ161" s="240"/>
      <c r="AR161" s="242">
        <f>IFERROR(_xlfn.XLOOKUP($D161,'Modelling New'!$D:$D,'Modelling New'!$N:$N),"")</f>
        <v>335.09100000000001</v>
      </c>
    </row>
    <row r="162" spans="1:44">
      <c r="A162" s="233">
        <f t="shared" si="11"/>
        <v>45905</v>
      </c>
      <c r="B162" s="228">
        <f>YEAR(Table13[[#This Row],[Date]])+IF(MONTH(Table13[[#This Row],[Date]])&gt;=4,1,0)</f>
        <v>2026</v>
      </c>
      <c r="C162" s="186">
        <f>YEAR(Table13[[#This Row],[Date]])</f>
        <v>2025</v>
      </c>
      <c r="D162" s="234">
        <f>Table13[[#This Row],[Date]]-DAY(Table13[[#This Row],[Date]])+1</f>
        <v>45901</v>
      </c>
      <c r="E162" s="186">
        <f t="shared" si="12"/>
        <v>30</v>
      </c>
      <c r="F162" s="235" t="str">
        <f>IFERROR(_xlfn.XLOOKUP($A162,'Raw_Data'!$B:$B,'Raw_Data'!$IX:$IX),"")</f>
        <v/>
      </c>
      <c r="G162" s="236" t="str">
        <f>IFERROR(_xlfn.XLOOKUP($A162,'Raw_Data'!$B:$B,'Raw_Data'!IY:IY),"")</f>
        <v/>
      </c>
      <c r="H162" s="236" t="str">
        <f>IFERROR(_xlfn.XLOOKUP($A162,'Raw_Data'!$B:$B,'Raw_Data'!IZ:IZ),"")</f>
        <v/>
      </c>
      <c r="I162" s="236" t="str">
        <f>IFERROR(_xlfn.XLOOKUP($A162,'Raw_Data'!$B:$B,'Raw_Data'!JA:JA),"")</f>
        <v/>
      </c>
      <c r="J162" s="236" t="str">
        <f>IFERROR(_xlfn.XLOOKUP($A162,'Raw_Data'!$B:$B,'Raw_Data'!JB:JB),"")</f>
        <v/>
      </c>
      <c r="K162" s="236" t="str">
        <f>IFERROR(_xlfn.XLOOKUP($A162,'Raw_Data'!$B:$B,'Raw_Data'!JE:JE),"")</f>
        <v/>
      </c>
      <c r="L162" s="236" t="str">
        <f>IFERROR(_xlfn.XLOOKUP($A162,'Raw_Data'!$B:$B,'Raw_Data'!JF:JF),"")</f>
        <v/>
      </c>
      <c r="M162" s="236" t="str">
        <f>IFERROR(_xlfn.XLOOKUP($A162,'Raw_Data'!$B:$B,'Raw_Data'!JG:JG),"")</f>
        <v/>
      </c>
      <c r="N162" s="236" t="str">
        <f>IFERROR(_xlfn.XLOOKUP($A162,'Raw_Data'!$B:$B,'Raw_Data'!JH:JH),"")</f>
        <v/>
      </c>
      <c r="O162" s="237" t="str">
        <f>IFERROR(1-SUMIF(PA!$B:$B,$A162,PA!$AL:$AL)/($AA162+SUMIF(PA!$B:$B,$A162,PA!$AL:$AL)),"")</f>
        <v/>
      </c>
      <c r="P162" s="238"/>
      <c r="Q162" s="239"/>
      <c r="R162" s="240" t="str">
        <f>IFERROR(1-SUMIF(GA!$C:$C,$A162,GA!$X:$X)/($AA162+SUMIF(GA!$C:$C,$A162,GA!$X:$X)),"")</f>
        <v/>
      </c>
      <c r="S162" s="186"/>
      <c r="T162" s="239"/>
      <c r="U162" s="237" t="str">
        <f t="shared" si="9"/>
        <v/>
      </c>
      <c r="V162" s="237" t="str">
        <f>IFERROR(_xlfn.XLOOKUP($A162,'Raw_Data'!$B:$B,'Raw_Data'!$JL:$JL),"")</f>
        <v/>
      </c>
      <c r="W162" s="240" t="str">
        <f t="shared" si="10"/>
        <v/>
      </c>
      <c r="X162" s="228" t="str">
        <f>IFERROR(_xlfn.XLOOKUP($A162,'Raw_Data'!$B:$B,'Raw_Data'!$JI:$JI),"")</f>
        <v/>
      </c>
      <c r="Y162" s="228" t="str">
        <f>IFERROR(_xlfn.XLOOKUP($A162,'Raw_Data'!$B:$B,'Raw_Data'!IT:IT),"")</f>
        <v/>
      </c>
      <c r="Z162" s="228" t="str">
        <f>IFERROR(_xlfn.XLOOKUP($A162,'Raw_Data'!$B:$B,'Raw_Data'!IU:IU),"")</f>
        <v/>
      </c>
      <c r="AA162" s="228" t="str">
        <f>IFERROR(_xlfn.XLOOKUP($A162,'Raw_Data'!$B:$B,'Raw_Data'!IW:IW),"")</f>
        <v/>
      </c>
      <c r="AB162" s="228" t="str">
        <f>IFERROR(_xlfn.XLOOKUP($A162,'Raw_Data'!$B:$B,'Raw_Data'!I:I)/1000,"")</f>
        <v/>
      </c>
      <c r="AC162" s="241">
        <f>IFERROR(_xlfn.XLOOKUP($D162,'Modelling New'!$D:$D,'Modelling New'!$P:$P),"")</f>
        <v>6.4033333333333333</v>
      </c>
      <c r="AD162" s="228">
        <f>IFERROR(_xlfn.XLOOKUP($D162,'Modelling New'!$D:$D,'Modelling New'!$T:$T)*1000,"")</f>
        <v>1755680.2929358287</v>
      </c>
      <c r="AE162" s="240">
        <f>IFERROR(_xlfn.XLOOKUP($D162,'Modelling New'!$D:$D,'Modelling New'!$O:$O),"")</f>
        <v>0.81823218922594398</v>
      </c>
      <c r="AF162" s="240">
        <f>IFERROR(_xlfn.XLOOKUP($D162,'Modelling New'!$D:$D,'Modelling New'!$W:$W),"")</f>
        <v>0.21830889381986643</v>
      </c>
      <c r="AG162" s="240">
        <f>IFERROR(_xlfn.XLOOKUP($D162,'Modelling New'!$D:$D,'Modelling New'!AE:AE),"")</f>
        <v>0.99750000000000005</v>
      </c>
      <c r="AH162" s="240">
        <f>IFERROR(_xlfn.XLOOKUP($D162,'Modelling New'!$D:$D,'Modelling New'!AF:AF),"")</f>
        <v>0.99750000000000005</v>
      </c>
      <c r="AI162" s="186"/>
      <c r="AJ162" s="186"/>
      <c r="AK162" s="225"/>
      <c r="AL162" s="224">
        <f>IFERROR(Table13[[#This Row],[RA (%)]]*9270*58,"")</f>
        <v>0</v>
      </c>
      <c r="AM162" s="225"/>
      <c r="AN162" s="238"/>
      <c r="AO162" s="240"/>
      <c r="AP162" s="240"/>
      <c r="AQ162" s="240"/>
      <c r="AR162" s="242">
        <f>IFERROR(_xlfn.XLOOKUP($D162,'Modelling New'!$D:$D,'Modelling New'!$N:$N),"")</f>
        <v>335.09100000000001</v>
      </c>
    </row>
    <row r="163" spans="1:44">
      <c r="A163" s="233">
        <f t="shared" si="11"/>
        <v>45906</v>
      </c>
      <c r="B163" s="228">
        <f>YEAR(Table13[[#This Row],[Date]])+IF(MONTH(Table13[[#This Row],[Date]])&gt;=4,1,0)</f>
        <v>2026</v>
      </c>
      <c r="C163" s="186">
        <f>YEAR(Table13[[#This Row],[Date]])</f>
        <v>2025</v>
      </c>
      <c r="D163" s="234">
        <f>Table13[[#This Row],[Date]]-DAY(Table13[[#This Row],[Date]])+1</f>
        <v>45901</v>
      </c>
      <c r="E163" s="186">
        <f t="shared" ref="E163:E196" si="13">DAY(EOMONTH(A163,0))</f>
        <v>30</v>
      </c>
      <c r="F163" s="235" t="str">
        <f>IFERROR(_xlfn.XLOOKUP($A163,'Raw_Data'!$B:$B,'Raw_Data'!$IX:$IX),"")</f>
        <v/>
      </c>
      <c r="G163" s="236" t="str">
        <f>IFERROR(_xlfn.XLOOKUP($A163,'Raw_Data'!$B:$B,'Raw_Data'!IY:IY),"")</f>
        <v/>
      </c>
      <c r="H163" s="236" t="str">
        <f>IFERROR(_xlfn.XLOOKUP($A163,'Raw_Data'!$B:$B,'Raw_Data'!IZ:IZ),"")</f>
        <v/>
      </c>
      <c r="I163" s="236" t="str">
        <f>IFERROR(_xlfn.XLOOKUP($A163,'Raw_Data'!$B:$B,'Raw_Data'!JA:JA),"")</f>
        <v/>
      </c>
      <c r="J163" s="236" t="str">
        <f>IFERROR(_xlfn.XLOOKUP($A163,'Raw_Data'!$B:$B,'Raw_Data'!JB:JB),"")</f>
        <v/>
      </c>
      <c r="K163" s="236" t="str">
        <f>IFERROR(_xlfn.XLOOKUP($A163,'Raw_Data'!$B:$B,'Raw_Data'!JE:JE),"")</f>
        <v/>
      </c>
      <c r="L163" s="236" t="str">
        <f>IFERROR(_xlfn.XLOOKUP($A163,'Raw_Data'!$B:$B,'Raw_Data'!JF:JF),"")</f>
        <v/>
      </c>
      <c r="M163" s="236" t="str">
        <f>IFERROR(_xlfn.XLOOKUP($A163,'Raw_Data'!$B:$B,'Raw_Data'!JG:JG),"")</f>
        <v/>
      </c>
      <c r="N163" s="236" t="str">
        <f>IFERROR(_xlfn.XLOOKUP($A163,'Raw_Data'!$B:$B,'Raw_Data'!JH:JH),"")</f>
        <v/>
      </c>
      <c r="O163" s="237" t="str">
        <f>IFERROR(1-SUMIF(PA!$B:$B,$A163,PA!$AL:$AL)/($AA163+SUMIF(PA!$B:$B,$A163,PA!$AL:$AL)),"")</f>
        <v/>
      </c>
      <c r="P163" s="238"/>
      <c r="Q163" s="239"/>
      <c r="R163" s="240" t="str">
        <f>IFERROR(1-SUMIF(GA!$C:$C,$A163,GA!$X:$X)/($AA163+SUMIF(GA!$C:$C,$A163,GA!$X:$X)),"")</f>
        <v/>
      </c>
      <c r="S163" s="186"/>
      <c r="T163" s="239"/>
      <c r="U163" s="237" t="str">
        <f t="shared" si="9"/>
        <v/>
      </c>
      <c r="V163" s="237" t="str">
        <f>IFERROR(_xlfn.XLOOKUP($A163,'Raw_Data'!$B:$B,'Raw_Data'!$JL:$JL),"")</f>
        <v/>
      </c>
      <c r="W163" s="240" t="str">
        <f t="shared" si="10"/>
        <v/>
      </c>
      <c r="X163" s="228" t="str">
        <f>IFERROR(_xlfn.XLOOKUP($A163,'Raw_Data'!$B:$B,'Raw_Data'!$JI:$JI),"")</f>
        <v/>
      </c>
      <c r="Y163" s="228" t="str">
        <f>IFERROR(_xlfn.XLOOKUP($A163,'Raw_Data'!$B:$B,'Raw_Data'!IT:IT),"")</f>
        <v/>
      </c>
      <c r="Z163" s="228" t="str">
        <f>IFERROR(_xlfn.XLOOKUP($A163,'Raw_Data'!$B:$B,'Raw_Data'!IU:IU),"")</f>
        <v/>
      </c>
      <c r="AA163" s="228" t="str">
        <f>IFERROR(_xlfn.XLOOKUP($A163,'Raw_Data'!$B:$B,'Raw_Data'!IW:IW),"")</f>
        <v/>
      </c>
      <c r="AB163" s="228" t="str">
        <f>IFERROR(_xlfn.XLOOKUP($A163,'Raw_Data'!$B:$B,'Raw_Data'!I:I)/1000,"")</f>
        <v/>
      </c>
      <c r="AC163" s="241">
        <f>IFERROR(_xlfn.XLOOKUP($D163,'Modelling New'!$D:$D,'Modelling New'!$P:$P),"")</f>
        <v>6.4033333333333333</v>
      </c>
      <c r="AD163" s="228">
        <f>IFERROR(_xlfn.XLOOKUP($D163,'Modelling New'!$D:$D,'Modelling New'!$T:$T)*1000,"")</f>
        <v>1755680.2929358287</v>
      </c>
      <c r="AE163" s="240">
        <f>IFERROR(_xlfn.XLOOKUP($D163,'Modelling New'!$D:$D,'Modelling New'!$O:$O),"")</f>
        <v>0.81823218922594398</v>
      </c>
      <c r="AF163" s="240">
        <f>IFERROR(_xlfn.XLOOKUP($D163,'Modelling New'!$D:$D,'Modelling New'!$W:$W),"")</f>
        <v>0.21830889381986643</v>
      </c>
      <c r="AG163" s="240">
        <f>IFERROR(_xlfn.XLOOKUP($D163,'Modelling New'!$D:$D,'Modelling New'!AE:AE),"")</f>
        <v>0.99750000000000005</v>
      </c>
      <c r="AH163" s="240">
        <f>IFERROR(_xlfn.XLOOKUP($D163,'Modelling New'!$D:$D,'Modelling New'!AF:AF),"")</f>
        <v>0.99750000000000005</v>
      </c>
      <c r="AI163" s="186"/>
      <c r="AJ163" s="186"/>
      <c r="AK163" s="225"/>
      <c r="AL163" s="224">
        <f>IFERROR(Table13[[#This Row],[RA (%)]]*9270*58,"")</f>
        <v>0</v>
      </c>
      <c r="AM163" s="225"/>
      <c r="AN163" s="238"/>
      <c r="AO163" s="240"/>
      <c r="AP163" s="240"/>
      <c r="AQ163" s="240"/>
      <c r="AR163" s="242">
        <f>IFERROR(_xlfn.XLOOKUP($D163,'Modelling New'!$D:$D,'Modelling New'!$N:$N),"")</f>
        <v>335.09100000000001</v>
      </c>
    </row>
    <row r="164" spans="1:44">
      <c r="A164" s="233">
        <f t="shared" si="11"/>
        <v>45907</v>
      </c>
      <c r="B164" s="228">
        <f>YEAR(Table13[[#This Row],[Date]])+IF(MONTH(Table13[[#This Row],[Date]])&gt;=4,1,0)</f>
        <v>2026</v>
      </c>
      <c r="C164" s="186">
        <f>YEAR(Table13[[#This Row],[Date]])</f>
        <v>2025</v>
      </c>
      <c r="D164" s="234">
        <f>Table13[[#This Row],[Date]]-DAY(Table13[[#This Row],[Date]])+1</f>
        <v>45901</v>
      </c>
      <c r="E164" s="186">
        <f t="shared" si="13"/>
        <v>30</v>
      </c>
      <c r="F164" s="235" t="str">
        <f>IFERROR(_xlfn.XLOOKUP($A164,'Raw_Data'!$B:$B,'Raw_Data'!$IX:$IX),"")</f>
        <v/>
      </c>
      <c r="G164" s="236" t="str">
        <f>IFERROR(_xlfn.XLOOKUP($A164,'Raw_Data'!$B:$B,'Raw_Data'!IY:IY),"")</f>
        <v/>
      </c>
      <c r="H164" s="236" t="str">
        <f>IFERROR(_xlfn.XLOOKUP($A164,'Raw_Data'!$B:$B,'Raw_Data'!IZ:IZ),"")</f>
        <v/>
      </c>
      <c r="I164" s="236" t="str">
        <f>IFERROR(_xlfn.XLOOKUP($A164,'Raw_Data'!$B:$B,'Raw_Data'!JA:JA),"")</f>
        <v/>
      </c>
      <c r="J164" s="236" t="str">
        <f>IFERROR(_xlfn.XLOOKUP($A164,'Raw_Data'!$B:$B,'Raw_Data'!JB:JB),"")</f>
        <v/>
      </c>
      <c r="K164" s="236" t="str">
        <f>IFERROR(_xlfn.XLOOKUP($A164,'Raw_Data'!$B:$B,'Raw_Data'!JE:JE),"")</f>
        <v/>
      </c>
      <c r="L164" s="236" t="str">
        <f>IFERROR(_xlfn.XLOOKUP($A164,'Raw_Data'!$B:$B,'Raw_Data'!JF:JF),"")</f>
        <v/>
      </c>
      <c r="M164" s="236" t="str">
        <f>IFERROR(_xlfn.XLOOKUP($A164,'Raw_Data'!$B:$B,'Raw_Data'!JG:JG),"")</f>
        <v/>
      </c>
      <c r="N164" s="236" t="str">
        <f>IFERROR(_xlfn.XLOOKUP($A164,'Raw_Data'!$B:$B,'Raw_Data'!JH:JH),"")</f>
        <v/>
      </c>
      <c r="O164" s="237" t="str">
        <f>IFERROR(1-SUMIF(PA!$B:$B,$A164,PA!$AL:$AL)/($AA164+SUMIF(PA!$B:$B,$A164,PA!$AL:$AL)),"")</f>
        <v/>
      </c>
      <c r="P164" s="238"/>
      <c r="Q164" s="239"/>
      <c r="R164" s="240" t="str">
        <f>IFERROR(1-SUMIF(GA!$C:$C,$A164,GA!$X:$X)/($AA164+SUMIF(GA!$C:$C,$A164,GA!$X:$X)),"")</f>
        <v/>
      </c>
      <c r="S164" s="186"/>
      <c r="T164" s="239"/>
      <c r="U164" s="237" t="str">
        <f t="shared" si="9"/>
        <v/>
      </c>
      <c r="V164" s="237" t="str">
        <f>IFERROR(_xlfn.XLOOKUP($A164,'Raw_Data'!$B:$B,'Raw_Data'!$JL:$JL),"")</f>
        <v/>
      </c>
      <c r="W164" s="240" t="str">
        <f t="shared" si="10"/>
        <v/>
      </c>
      <c r="X164" s="228" t="str">
        <f>IFERROR(_xlfn.XLOOKUP($A164,'Raw_Data'!$B:$B,'Raw_Data'!$JI:$JI),"")</f>
        <v/>
      </c>
      <c r="Y164" s="228" t="str">
        <f>IFERROR(_xlfn.XLOOKUP($A164,'Raw_Data'!$B:$B,'Raw_Data'!IT:IT),"")</f>
        <v/>
      </c>
      <c r="Z164" s="228" t="str">
        <f>IFERROR(_xlfn.XLOOKUP($A164,'Raw_Data'!$B:$B,'Raw_Data'!IU:IU),"")</f>
        <v/>
      </c>
      <c r="AA164" s="228" t="str">
        <f>IFERROR(_xlfn.XLOOKUP($A164,'Raw_Data'!$B:$B,'Raw_Data'!IW:IW),"")</f>
        <v/>
      </c>
      <c r="AB164" s="228" t="str">
        <f>IFERROR(_xlfn.XLOOKUP($A164,'Raw_Data'!$B:$B,'Raw_Data'!I:I)/1000,"")</f>
        <v/>
      </c>
      <c r="AC164" s="241">
        <f>IFERROR(_xlfn.XLOOKUP($D164,'Modelling New'!$D:$D,'Modelling New'!$P:$P),"")</f>
        <v>6.4033333333333333</v>
      </c>
      <c r="AD164" s="228">
        <f>IFERROR(_xlfn.XLOOKUP($D164,'Modelling New'!$D:$D,'Modelling New'!$T:$T)*1000,"")</f>
        <v>1755680.2929358287</v>
      </c>
      <c r="AE164" s="240">
        <f>IFERROR(_xlfn.XLOOKUP($D164,'Modelling New'!$D:$D,'Modelling New'!$O:$O),"")</f>
        <v>0.81823218922594398</v>
      </c>
      <c r="AF164" s="240">
        <f>IFERROR(_xlfn.XLOOKUP($D164,'Modelling New'!$D:$D,'Modelling New'!$W:$W),"")</f>
        <v>0.21830889381986643</v>
      </c>
      <c r="AG164" s="240">
        <f>IFERROR(_xlfn.XLOOKUP($D164,'Modelling New'!$D:$D,'Modelling New'!AE:AE),"")</f>
        <v>0.99750000000000005</v>
      </c>
      <c r="AH164" s="240">
        <f>IFERROR(_xlfn.XLOOKUP($D164,'Modelling New'!$D:$D,'Modelling New'!AF:AF),"")</f>
        <v>0.99750000000000005</v>
      </c>
      <c r="AI164" s="186"/>
      <c r="AJ164" s="186"/>
      <c r="AK164" s="225"/>
      <c r="AL164" s="224">
        <f>IFERROR(Table13[[#This Row],[RA (%)]]*9270*58,"")</f>
        <v>0</v>
      </c>
      <c r="AM164" s="225"/>
      <c r="AN164" s="238"/>
      <c r="AO164" s="240"/>
      <c r="AP164" s="240"/>
      <c r="AQ164" s="240"/>
      <c r="AR164" s="242">
        <f>IFERROR(_xlfn.XLOOKUP($D164,'Modelling New'!$D:$D,'Modelling New'!$N:$N),"")</f>
        <v>335.09100000000001</v>
      </c>
    </row>
    <row r="165" spans="1:44">
      <c r="A165" s="233">
        <f t="shared" si="11"/>
        <v>45908</v>
      </c>
      <c r="B165" s="228">
        <f>YEAR(Table13[[#This Row],[Date]])+IF(MONTH(Table13[[#This Row],[Date]])&gt;=4,1,0)</f>
        <v>2026</v>
      </c>
      <c r="C165" s="186">
        <f>YEAR(Table13[[#This Row],[Date]])</f>
        <v>2025</v>
      </c>
      <c r="D165" s="234">
        <f>Table13[[#This Row],[Date]]-DAY(Table13[[#This Row],[Date]])+1</f>
        <v>45901</v>
      </c>
      <c r="E165" s="186">
        <f t="shared" si="13"/>
        <v>30</v>
      </c>
      <c r="F165" s="235" t="str">
        <f>IFERROR(_xlfn.XLOOKUP($A165,'Raw_Data'!$B:$B,'Raw_Data'!$IX:$IX),"")</f>
        <v/>
      </c>
      <c r="G165" s="236" t="str">
        <f>IFERROR(_xlfn.XLOOKUP($A165,'Raw_Data'!$B:$B,'Raw_Data'!IY:IY),"")</f>
        <v/>
      </c>
      <c r="H165" s="236" t="str">
        <f>IFERROR(_xlfn.XLOOKUP($A165,'Raw_Data'!$B:$B,'Raw_Data'!IZ:IZ),"")</f>
        <v/>
      </c>
      <c r="I165" s="236" t="str">
        <f>IFERROR(_xlfn.XLOOKUP($A165,'Raw_Data'!$B:$B,'Raw_Data'!JA:JA),"")</f>
        <v/>
      </c>
      <c r="J165" s="236" t="str">
        <f>IFERROR(_xlfn.XLOOKUP($A165,'Raw_Data'!$B:$B,'Raw_Data'!JB:JB),"")</f>
        <v/>
      </c>
      <c r="K165" s="236" t="str">
        <f>IFERROR(_xlfn.XLOOKUP($A165,'Raw_Data'!$B:$B,'Raw_Data'!JE:JE),"")</f>
        <v/>
      </c>
      <c r="L165" s="236" t="str">
        <f>IFERROR(_xlfn.XLOOKUP($A165,'Raw_Data'!$B:$B,'Raw_Data'!JF:JF),"")</f>
        <v/>
      </c>
      <c r="M165" s="236" t="str">
        <f>IFERROR(_xlfn.XLOOKUP($A165,'Raw_Data'!$B:$B,'Raw_Data'!JG:JG),"")</f>
        <v/>
      </c>
      <c r="N165" s="236" t="str">
        <f>IFERROR(_xlfn.XLOOKUP($A165,'Raw_Data'!$B:$B,'Raw_Data'!JH:JH),"")</f>
        <v/>
      </c>
      <c r="O165" s="237" t="str">
        <f>IFERROR(1-SUMIF(PA!$B:$B,$A165,PA!$AL:$AL)/($AA165+SUMIF(PA!$B:$B,$A165,PA!$AL:$AL)),"")</f>
        <v/>
      </c>
      <c r="P165" s="238"/>
      <c r="Q165" s="239"/>
      <c r="R165" s="240" t="str">
        <f>IFERROR(1-SUMIF(GA!$C:$C,$A165,GA!$X:$X)/($AA165+SUMIF(GA!$C:$C,$A165,GA!$X:$X)),"")</f>
        <v/>
      </c>
      <c r="S165" s="186"/>
      <c r="T165" s="239"/>
      <c r="U165" s="237" t="str">
        <f t="shared" si="9"/>
        <v/>
      </c>
      <c r="V165" s="237" t="str">
        <f>IFERROR(_xlfn.XLOOKUP($A165,'Raw_Data'!$B:$B,'Raw_Data'!$JL:$JL),"")</f>
        <v/>
      </c>
      <c r="W165" s="240" t="str">
        <f t="shared" si="10"/>
        <v/>
      </c>
      <c r="X165" s="228" t="str">
        <f>IFERROR(_xlfn.XLOOKUP($A165,'Raw_Data'!$B:$B,'Raw_Data'!$JI:$JI),"")</f>
        <v/>
      </c>
      <c r="Y165" s="228" t="str">
        <f>IFERROR(_xlfn.XLOOKUP($A165,'Raw_Data'!$B:$B,'Raw_Data'!IT:IT),"")</f>
        <v/>
      </c>
      <c r="Z165" s="228" t="str">
        <f>IFERROR(_xlfn.XLOOKUP($A165,'Raw_Data'!$B:$B,'Raw_Data'!IU:IU),"")</f>
        <v/>
      </c>
      <c r="AA165" s="228" t="str">
        <f>IFERROR(_xlfn.XLOOKUP($A165,'Raw_Data'!$B:$B,'Raw_Data'!IW:IW),"")</f>
        <v/>
      </c>
      <c r="AB165" s="228" t="str">
        <f>IFERROR(_xlfn.XLOOKUP($A165,'Raw_Data'!$B:$B,'Raw_Data'!I:I)/1000,"")</f>
        <v/>
      </c>
      <c r="AC165" s="241">
        <f>IFERROR(_xlfn.XLOOKUP($D165,'Modelling New'!$D:$D,'Modelling New'!$P:$P),"")</f>
        <v>6.4033333333333333</v>
      </c>
      <c r="AD165" s="228">
        <f>IFERROR(_xlfn.XLOOKUP($D165,'Modelling New'!$D:$D,'Modelling New'!$T:$T)*1000,"")</f>
        <v>1755680.2929358287</v>
      </c>
      <c r="AE165" s="240">
        <f>IFERROR(_xlfn.XLOOKUP($D165,'Modelling New'!$D:$D,'Modelling New'!$O:$O),"")</f>
        <v>0.81823218922594398</v>
      </c>
      <c r="AF165" s="240">
        <f>IFERROR(_xlfn.XLOOKUP($D165,'Modelling New'!$D:$D,'Modelling New'!$W:$W),"")</f>
        <v>0.21830889381986643</v>
      </c>
      <c r="AG165" s="240">
        <f>IFERROR(_xlfn.XLOOKUP($D165,'Modelling New'!$D:$D,'Modelling New'!AE:AE),"")</f>
        <v>0.99750000000000005</v>
      </c>
      <c r="AH165" s="240">
        <f>IFERROR(_xlfn.XLOOKUP($D165,'Modelling New'!$D:$D,'Modelling New'!AF:AF),"")</f>
        <v>0.99750000000000005</v>
      </c>
      <c r="AI165" s="186"/>
      <c r="AJ165" s="186"/>
      <c r="AK165" s="225"/>
      <c r="AL165" s="224">
        <f>IFERROR(Table13[[#This Row],[RA (%)]]*9270*58,"")</f>
        <v>0</v>
      </c>
      <c r="AM165" s="225"/>
      <c r="AN165" s="238"/>
      <c r="AO165" s="240"/>
      <c r="AP165" s="240"/>
      <c r="AQ165" s="240"/>
      <c r="AR165" s="242">
        <f>IFERROR(_xlfn.XLOOKUP($D165,'Modelling New'!$D:$D,'Modelling New'!$N:$N),"")</f>
        <v>335.09100000000001</v>
      </c>
    </row>
    <row r="166" spans="1:44">
      <c r="A166" s="233">
        <f t="shared" si="11"/>
        <v>45909</v>
      </c>
      <c r="B166" s="228">
        <f>YEAR(Table13[[#This Row],[Date]])+IF(MONTH(Table13[[#This Row],[Date]])&gt;=4,1,0)</f>
        <v>2026</v>
      </c>
      <c r="C166" s="186">
        <f>YEAR(Table13[[#This Row],[Date]])</f>
        <v>2025</v>
      </c>
      <c r="D166" s="234">
        <f>Table13[[#This Row],[Date]]-DAY(Table13[[#This Row],[Date]])+1</f>
        <v>45901</v>
      </c>
      <c r="E166" s="186">
        <f t="shared" si="13"/>
        <v>30</v>
      </c>
      <c r="F166" s="235" t="str">
        <f>IFERROR(_xlfn.XLOOKUP($A166,'Raw_Data'!$B:$B,'Raw_Data'!$IX:$IX),"")</f>
        <v/>
      </c>
      <c r="G166" s="236" t="str">
        <f>IFERROR(_xlfn.XLOOKUP($A166,'Raw_Data'!$B:$B,'Raw_Data'!IY:IY),"")</f>
        <v/>
      </c>
      <c r="H166" s="236" t="str">
        <f>IFERROR(_xlfn.XLOOKUP($A166,'Raw_Data'!$B:$B,'Raw_Data'!IZ:IZ),"")</f>
        <v/>
      </c>
      <c r="I166" s="236" t="str">
        <f>IFERROR(_xlfn.XLOOKUP($A166,'Raw_Data'!$B:$B,'Raw_Data'!JA:JA),"")</f>
        <v/>
      </c>
      <c r="J166" s="236" t="str">
        <f>IFERROR(_xlfn.XLOOKUP($A166,'Raw_Data'!$B:$B,'Raw_Data'!JB:JB),"")</f>
        <v/>
      </c>
      <c r="K166" s="236" t="str">
        <f>IFERROR(_xlfn.XLOOKUP($A166,'Raw_Data'!$B:$B,'Raw_Data'!JE:JE),"")</f>
        <v/>
      </c>
      <c r="L166" s="236" t="str">
        <f>IFERROR(_xlfn.XLOOKUP($A166,'Raw_Data'!$B:$B,'Raw_Data'!JF:JF),"")</f>
        <v/>
      </c>
      <c r="M166" s="236" t="str">
        <f>IFERROR(_xlfn.XLOOKUP($A166,'Raw_Data'!$B:$B,'Raw_Data'!JG:JG),"")</f>
        <v/>
      </c>
      <c r="N166" s="236" t="str">
        <f>IFERROR(_xlfn.XLOOKUP($A166,'Raw_Data'!$B:$B,'Raw_Data'!JH:JH),"")</f>
        <v/>
      </c>
      <c r="O166" s="237" t="str">
        <f>IFERROR(1-SUMIF(PA!$B:$B,$A166,PA!$AL:$AL)/($AA166+SUMIF(PA!$B:$B,$A166,PA!$AL:$AL)),"")</f>
        <v/>
      </c>
      <c r="P166" s="238"/>
      <c r="Q166" s="239"/>
      <c r="R166" s="240" t="str">
        <f>IFERROR(1-SUMIF(GA!$C:$C,$A166,GA!$X:$X)/($AA166+SUMIF(GA!$C:$C,$A166,GA!$X:$X)),"")</f>
        <v/>
      </c>
      <c r="S166" s="186"/>
      <c r="T166" s="239"/>
      <c r="U166" s="237" t="str">
        <f t="shared" si="9"/>
        <v/>
      </c>
      <c r="V166" s="237" t="str">
        <f>IFERROR(_xlfn.XLOOKUP($A166,'Raw_Data'!$B:$B,'Raw_Data'!$JL:$JL),"")</f>
        <v/>
      </c>
      <c r="W166" s="240" t="str">
        <f t="shared" si="10"/>
        <v/>
      </c>
      <c r="X166" s="228" t="str">
        <f>IFERROR(_xlfn.XLOOKUP($A166,'Raw_Data'!$B:$B,'Raw_Data'!$JI:$JI),"")</f>
        <v/>
      </c>
      <c r="Y166" s="228" t="str">
        <f>IFERROR(_xlfn.XLOOKUP($A166,'Raw_Data'!$B:$B,'Raw_Data'!IT:IT),"")</f>
        <v/>
      </c>
      <c r="Z166" s="228" t="str">
        <f>IFERROR(_xlfn.XLOOKUP($A166,'Raw_Data'!$B:$B,'Raw_Data'!IU:IU),"")</f>
        <v/>
      </c>
      <c r="AA166" s="228" t="str">
        <f>IFERROR(_xlfn.XLOOKUP($A166,'Raw_Data'!$B:$B,'Raw_Data'!IW:IW),"")</f>
        <v/>
      </c>
      <c r="AB166" s="228" t="str">
        <f>IFERROR(_xlfn.XLOOKUP($A166,'Raw_Data'!$B:$B,'Raw_Data'!I:I)/1000,"")</f>
        <v/>
      </c>
      <c r="AC166" s="241">
        <f>IFERROR(_xlfn.XLOOKUP($D166,'Modelling New'!$D:$D,'Modelling New'!$P:$P),"")</f>
        <v>6.4033333333333333</v>
      </c>
      <c r="AD166" s="228">
        <f>IFERROR(_xlfn.XLOOKUP($D166,'Modelling New'!$D:$D,'Modelling New'!$T:$T)*1000,"")</f>
        <v>1755680.2929358287</v>
      </c>
      <c r="AE166" s="240">
        <f>IFERROR(_xlfn.XLOOKUP($D166,'Modelling New'!$D:$D,'Modelling New'!$O:$O),"")</f>
        <v>0.81823218922594398</v>
      </c>
      <c r="AF166" s="240">
        <f>IFERROR(_xlfn.XLOOKUP($D166,'Modelling New'!$D:$D,'Modelling New'!$W:$W),"")</f>
        <v>0.21830889381986643</v>
      </c>
      <c r="AG166" s="240">
        <f>IFERROR(_xlfn.XLOOKUP($D166,'Modelling New'!$D:$D,'Modelling New'!AE:AE),"")</f>
        <v>0.99750000000000005</v>
      </c>
      <c r="AH166" s="240">
        <f>IFERROR(_xlfn.XLOOKUP($D166,'Modelling New'!$D:$D,'Modelling New'!AF:AF),"")</f>
        <v>0.99750000000000005</v>
      </c>
      <c r="AI166" s="186"/>
      <c r="AJ166" s="186"/>
      <c r="AK166" s="225"/>
      <c r="AL166" s="224">
        <f>IFERROR(Table13[[#This Row],[RA (%)]]*9270*58,"")</f>
        <v>0</v>
      </c>
      <c r="AM166" s="225"/>
      <c r="AN166" s="238"/>
      <c r="AO166" s="240"/>
      <c r="AP166" s="240"/>
      <c r="AQ166" s="240"/>
      <c r="AR166" s="242">
        <f>IFERROR(_xlfn.XLOOKUP($D166,'Modelling New'!$D:$D,'Modelling New'!$N:$N),"")</f>
        <v>335.09100000000001</v>
      </c>
    </row>
    <row r="167" spans="1:44">
      <c r="A167" s="233">
        <f t="shared" si="11"/>
        <v>45910</v>
      </c>
      <c r="B167" s="228">
        <f>YEAR(Table13[[#This Row],[Date]])+IF(MONTH(Table13[[#This Row],[Date]])&gt;=4,1,0)</f>
        <v>2026</v>
      </c>
      <c r="C167" s="186">
        <f>YEAR(Table13[[#This Row],[Date]])</f>
        <v>2025</v>
      </c>
      <c r="D167" s="234">
        <f>Table13[[#This Row],[Date]]-DAY(Table13[[#This Row],[Date]])+1</f>
        <v>45901</v>
      </c>
      <c r="E167" s="186">
        <f t="shared" si="13"/>
        <v>30</v>
      </c>
      <c r="F167" s="235" t="str">
        <f>IFERROR(_xlfn.XLOOKUP($A167,'Raw_Data'!$B:$B,'Raw_Data'!$IX:$IX),"")</f>
        <v/>
      </c>
      <c r="G167" s="236" t="str">
        <f>IFERROR(_xlfn.XLOOKUP($A167,'Raw_Data'!$B:$B,'Raw_Data'!IY:IY),"")</f>
        <v/>
      </c>
      <c r="H167" s="236" t="str">
        <f>IFERROR(_xlfn.XLOOKUP($A167,'Raw_Data'!$B:$B,'Raw_Data'!IZ:IZ),"")</f>
        <v/>
      </c>
      <c r="I167" s="236" t="str">
        <f>IFERROR(_xlfn.XLOOKUP($A167,'Raw_Data'!$B:$B,'Raw_Data'!JA:JA),"")</f>
        <v/>
      </c>
      <c r="J167" s="236" t="str">
        <f>IFERROR(_xlfn.XLOOKUP($A167,'Raw_Data'!$B:$B,'Raw_Data'!JB:JB),"")</f>
        <v/>
      </c>
      <c r="K167" s="236" t="str">
        <f>IFERROR(_xlfn.XLOOKUP($A167,'Raw_Data'!$B:$B,'Raw_Data'!JE:JE),"")</f>
        <v/>
      </c>
      <c r="L167" s="236" t="str">
        <f>IFERROR(_xlfn.XLOOKUP($A167,'Raw_Data'!$B:$B,'Raw_Data'!JF:JF),"")</f>
        <v/>
      </c>
      <c r="M167" s="236" t="str">
        <f>IFERROR(_xlfn.XLOOKUP($A167,'Raw_Data'!$B:$B,'Raw_Data'!JG:JG),"")</f>
        <v/>
      </c>
      <c r="N167" s="236" t="str">
        <f>IFERROR(_xlfn.XLOOKUP($A167,'Raw_Data'!$B:$B,'Raw_Data'!JH:JH),"")</f>
        <v/>
      </c>
      <c r="O167" s="237" t="str">
        <f>IFERROR(1-SUMIF(PA!$B:$B,$A167,PA!$AL:$AL)/($AA167+SUMIF(PA!$B:$B,$A167,PA!$AL:$AL)),"")</f>
        <v/>
      </c>
      <c r="P167" s="238"/>
      <c r="Q167" s="239"/>
      <c r="R167" s="240" t="str">
        <f>IFERROR(1-SUMIF(GA!$C:$C,$A167,GA!$X:$X)/($AA167+SUMIF(GA!$C:$C,$A167,GA!$X:$X)),"")</f>
        <v/>
      </c>
      <c r="S167" s="186"/>
      <c r="T167" s="239"/>
      <c r="U167" s="237" t="str">
        <f t="shared" si="9"/>
        <v/>
      </c>
      <c r="V167" s="237" t="str">
        <f>IFERROR(_xlfn.XLOOKUP($A167,'Raw_Data'!$B:$B,'Raw_Data'!$JL:$JL),"")</f>
        <v/>
      </c>
      <c r="W167" s="240" t="str">
        <f t="shared" si="10"/>
        <v/>
      </c>
      <c r="X167" s="228" t="str">
        <f>IFERROR(_xlfn.XLOOKUP($A167,'Raw_Data'!$B:$B,'Raw_Data'!$JI:$JI),"")</f>
        <v/>
      </c>
      <c r="Y167" s="228" t="str">
        <f>IFERROR(_xlfn.XLOOKUP($A167,'Raw_Data'!$B:$B,'Raw_Data'!IT:IT),"")</f>
        <v/>
      </c>
      <c r="Z167" s="228" t="str">
        <f>IFERROR(_xlfn.XLOOKUP($A167,'Raw_Data'!$B:$B,'Raw_Data'!IU:IU),"")</f>
        <v/>
      </c>
      <c r="AA167" s="228" t="str">
        <f>IFERROR(_xlfn.XLOOKUP($A167,'Raw_Data'!$B:$B,'Raw_Data'!IW:IW),"")</f>
        <v/>
      </c>
      <c r="AB167" s="228" t="str">
        <f>IFERROR(_xlfn.XLOOKUP($A167,'Raw_Data'!$B:$B,'Raw_Data'!I:I)/1000,"")</f>
        <v/>
      </c>
      <c r="AC167" s="241">
        <f>IFERROR(_xlfn.XLOOKUP($D167,'Modelling New'!$D:$D,'Modelling New'!$P:$P),"")</f>
        <v>6.4033333333333333</v>
      </c>
      <c r="AD167" s="228">
        <f>IFERROR(_xlfn.XLOOKUP($D167,'Modelling New'!$D:$D,'Modelling New'!$T:$T)*1000,"")</f>
        <v>1755680.2929358287</v>
      </c>
      <c r="AE167" s="240">
        <f>IFERROR(_xlfn.XLOOKUP($D167,'Modelling New'!$D:$D,'Modelling New'!$O:$O),"")</f>
        <v>0.81823218922594398</v>
      </c>
      <c r="AF167" s="240">
        <f>IFERROR(_xlfn.XLOOKUP($D167,'Modelling New'!$D:$D,'Modelling New'!$W:$W),"")</f>
        <v>0.21830889381986643</v>
      </c>
      <c r="AG167" s="240">
        <f>IFERROR(_xlfn.XLOOKUP($D167,'Modelling New'!$D:$D,'Modelling New'!AE:AE),"")</f>
        <v>0.99750000000000005</v>
      </c>
      <c r="AH167" s="240">
        <f>IFERROR(_xlfn.XLOOKUP($D167,'Modelling New'!$D:$D,'Modelling New'!AF:AF),"")</f>
        <v>0.99750000000000005</v>
      </c>
      <c r="AI167" s="186"/>
      <c r="AJ167" s="186"/>
      <c r="AK167" s="225"/>
      <c r="AL167" s="224">
        <f>IFERROR(Table13[[#This Row],[RA (%)]]*9270*58,"")</f>
        <v>0</v>
      </c>
      <c r="AM167" s="225"/>
      <c r="AN167" s="238"/>
      <c r="AO167" s="240"/>
      <c r="AP167" s="240"/>
      <c r="AQ167" s="240"/>
      <c r="AR167" s="242">
        <f>IFERROR(_xlfn.XLOOKUP($D167,'Modelling New'!$D:$D,'Modelling New'!$N:$N),"")</f>
        <v>335.09100000000001</v>
      </c>
    </row>
    <row r="168" spans="1:44">
      <c r="A168" s="233">
        <f t="shared" si="11"/>
        <v>45911</v>
      </c>
      <c r="B168" s="228">
        <f>YEAR(Table13[[#This Row],[Date]])+IF(MONTH(Table13[[#This Row],[Date]])&gt;=4,1,0)</f>
        <v>2026</v>
      </c>
      <c r="C168" s="186">
        <f>YEAR(Table13[[#This Row],[Date]])</f>
        <v>2025</v>
      </c>
      <c r="D168" s="234">
        <f>Table13[[#This Row],[Date]]-DAY(Table13[[#This Row],[Date]])+1</f>
        <v>45901</v>
      </c>
      <c r="E168" s="186">
        <f t="shared" si="13"/>
        <v>30</v>
      </c>
      <c r="F168" s="235" t="str">
        <f>IFERROR(_xlfn.XLOOKUP($A168,'Raw_Data'!$B:$B,'Raw_Data'!$IX:$IX),"")</f>
        <v/>
      </c>
      <c r="G168" s="236" t="str">
        <f>IFERROR(_xlfn.XLOOKUP($A168,'Raw_Data'!$B:$B,'Raw_Data'!IY:IY),"")</f>
        <v/>
      </c>
      <c r="H168" s="236" t="str">
        <f>IFERROR(_xlfn.XLOOKUP($A168,'Raw_Data'!$B:$B,'Raw_Data'!IZ:IZ),"")</f>
        <v/>
      </c>
      <c r="I168" s="236" t="str">
        <f>IFERROR(_xlfn.XLOOKUP($A168,'Raw_Data'!$B:$B,'Raw_Data'!JA:JA),"")</f>
        <v/>
      </c>
      <c r="J168" s="236" t="str">
        <f>IFERROR(_xlfn.XLOOKUP($A168,'Raw_Data'!$B:$B,'Raw_Data'!JB:JB),"")</f>
        <v/>
      </c>
      <c r="K168" s="236" t="str">
        <f>IFERROR(_xlfn.XLOOKUP($A168,'Raw_Data'!$B:$B,'Raw_Data'!JE:JE),"")</f>
        <v/>
      </c>
      <c r="L168" s="236" t="str">
        <f>IFERROR(_xlfn.XLOOKUP($A168,'Raw_Data'!$B:$B,'Raw_Data'!JF:JF),"")</f>
        <v/>
      </c>
      <c r="M168" s="236" t="str">
        <f>IFERROR(_xlfn.XLOOKUP($A168,'Raw_Data'!$B:$B,'Raw_Data'!JG:JG),"")</f>
        <v/>
      </c>
      <c r="N168" s="236" t="str">
        <f>IFERROR(_xlfn.XLOOKUP($A168,'Raw_Data'!$B:$B,'Raw_Data'!JH:JH),"")</f>
        <v/>
      </c>
      <c r="O168" s="237" t="str">
        <f>IFERROR(1-SUMIF(PA!$B:$B,$A168,PA!$AL:$AL)/($AA168+SUMIF(PA!$B:$B,$A168,PA!$AL:$AL)),"")</f>
        <v/>
      </c>
      <c r="P168" s="238"/>
      <c r="Q168" s="239"/>
      <c r="R168" s="240" t="str">
        <f>IFERROR(1-SUMIF(GA!$C:$C,$A168,GA!$X:$X)/($AA168+SUMIF(GA!$C:$C,$A168,GA!$X:$X)),"")</f>
        <v/>
      </c>
      <c r="S168" s="186"/>
      <c r="T168" s="239"/>
      <c r="U168" s="237" t="str">
        <f t="shared" si="9"/>
        <v/>
      </c>
      <c r="V168" s="237" t="str">
        <f>IFERROR(_xlfn.XLOOKUP($A168,'Raw_Data'!$B:$B,'Raw_Data'!$JL:$JL),"")</f>
        <v/>
      </c>
      <c r="W168" s="240" t="str">
        <f t="shared" si="10"/>
        <v/>
      </c>
      <c r="X168" s="228" t="str">
        <f>IFERROR(_xlfn.XLOOKUP($A168,'Raw_Data'!$B:$B,'Raw_Data'!$JI:$JI),"")</f>
        <v/>
      </c>
      <c r="Y168" s="228" t="str">
        <f>IFERROR(_xlfn.XLOOKUP($A168,'Raw_Data'!$B:$B,'Raw_Data'!IT:IT),"")</f>
        <v/>
      </c>
      <c r="Z168" s="228" t="str">
        <f>IFERROR(_xlfn.XLOOKUP($A168,'Raw_Data'!$B:$B,'Raw_Data'!IU:IU),"")</f>
        <v/>
      </c>
      <c r="AA168" s="228" t="str">
        <f>IFERROR(_xlfn.XLOOKUP($A168,'Raw_Data'!$B:$B,'Raw_Data'!IW:IW),"")</f>
        <v/>
      </c>
      <c r="AB168" s="228" t="str">
        <f>IFERROR(_xlfn.XLOOKUP($A168,'Raw_Data'!$B:$B,'Raw_Data'!I:I)/1000,"")</f>
        <v/>
      </c>
      <c r="AC168" s="241">
        <f>IFERROR(_xlfn.XLOOKUP($D168,'Modelling New'!$D:$D,'Modelling New'!$P:$P),"")</f>
        <v>6.4033333333333333</v>
      </c>
      <c r="AD168" s="228">
        <f>IFERROR(_xlfn.XLOOKUP($D168,'Modelling New'!$D:$D,'Modelling New'!$T:$T)*1000,"")</f>
        <v>1755680.2929358287</v>
      </c>
      <c r="AE168" s="240">
        <f>IFERROR(_xlfn.XLOOKUP($D168,'Modelling New'!$D:$D,'Modelling New'!$O:$O),"")</f>
        <v>0.81823218922594398</v>
      </c>
      <c r="AF168" s="240">
        <f>IFERROR(_xlfn.XLOOKUP($D168,'Modelling New'!$D:$D,'Modelling New'!$W:$W),"")</f>
        <v>0.21830889381986643</v>
      </c>
      <c r="AG168" s="240">
        <f>IFERROR(_xlfn.XLOOKUP($D168,'Modelling New'!$D:$D,'Modelling New'!AE:AE),"")</f>
        <v>0.99750000000000005</v>
      </c>
      <c r="AH168" s="240">
        <f>IFERROR(_xlfn.XLOOKUP($D168,'Modelling New'!$D:$D,'Modelling New'!AF:AF),"")</f>
        <v>0.99750000000000005</v>
      </c>
      <c r="AI168" s="186"/>
      <c r="AJ168" s="186"/>
      <c r="AK168" s="225"/>
      <c r="AL168" s="224">
        <f>IFERROR(Table13[[#This Row],[RA (%)]]*9270*58,"")</f>
        <v>0</v>
      </c>
      <c r="AM168" s="225"/>
      <c r="AN168" s="238"/>
      <c r="AO168" s="240"/>
      <c r="AP168" s="240"/>
      <c r="AQ168" s="240"/>
      <c r="AR168" s="242">
        <f>IFERROR(_xlfn.XLOOKUP($D168,'Modelling New'!$D:$D,'Modelling New'!$N:$N),"")</f>
        <v>335.09100000000001</v>
      </c>
    </row>
    <row r="169" spans="1:44">
      <c r="A169" s="233">
        <f t="shared" si="11"/>
        <v>45912</v>
      </c>
      <c r="B169" s="228">
        <f>YEAR(Table13[[#This Row],[Date]])+IF(MONTH(Table13[[#This Row],[Date]])&gt;=4,1,0)</f>
        <v>2026</v>
      </c>
      <c r="C169" s="186">
        <f>YEAR(Table13[[#This Row],[Date]])</f>
        <v>2025</v>
      </c>
      <c r="D169" s="234">
        <f>Table13[[#This Row],[Date]]-DAY(Table13[[#This Row],[Date]])+1</f>
        <v>45901</v>
      </c>
      <c r="E169" s="186">
        <f t="shared" si="13"/>
        <v>30</v>
      </c>
      <c r="F169" s="235" t="str">
        <f>IFERROR(_xlfn.XLOOKUP($A169,'Raw_Data'!$B:$B,'Raw_Data'!$IX:$IX),"")</f>
        <v/>
      </c>
      <c r="G169" s="236" t="str">
        <f>IFERROR(_xlfn.XLOOKUP($A169,'Raw_Data'!$B:$B,'Raw_Data'!IY:IY),"")</f>
        <v/>
      </c>
      <c r="H169" s="236" t="str">
        <f>IFERROR(_xlfn.XLOOKUP($A169,'Raw_Data'!$B:$B,'Raw_Data'!IZ:IZ),"")</f>
        <v/>
      </c>
      <c r="I169" s="236" t="str">
        <f>IFERROR(_xlfn.XLOOKUP($A169,'Raw_Data'!$B:$B,'Raw_Data'!JA:JA),"")</f>
        <v/>
      </c>
      <c r="J169" s="236" t="str">
        <f>IFERROR(_xlfn.XLOOKUP($A169,'Raw_Data'!$B:$B,'Raw_Data'!JB:JB),"")</f>
        <v/>
      </c>
      <c r="K169" s="236" t="str">
        <f>IFERROR(_xlfn.XLOOKUP($A169,'Raw_Data'!$B:$B,'Raw_Data'!JE:JE),"")</f>
        <v/>
      </c>
      <c r="L169" s="236" t="str">
        <f>IFERROR(_xlfn.XLOOKUP($A169,'Raw_Data'!$B:$B,'Raw_Data'!JF:JF),"")</f>
        <v/>
      </c>
      <c r="M169" s="236" t="str">
        <f>IFERROR(_xlfn.XLOOKUP($A169,'Raw_Data'!$B:$B,'Raw_Data'!JG:JG),"")</f>
        <v/>
      </c>
      <c r="N169" s="236" t="str">
        <f>IFERROR(_xlfn.XLOOKUP($A169,'Raw_Data'!$B:$B,'Raw_Data'!JH:JH),"")</f>
        <v/>
      </c>
      <c r="O169" s="237" t="str">
        <f>IFERROR(1-SUMIF(PA!$B:$B,$A169,PA!$AL:$AL)/($AA169+SUMIF(PA!$B:$B,$A169,PA!$AL:$AL)),"")</f>
        <v/>
      </c>
      <c r="P169" s="238"/>
      <c r="Q169" s="239"/>
      <c r="R169" s="240" t="str">
        <f>IFERROR(1-SUMIF(GA!$C:$C,$A169,GA!$X:$X)/($AA169+SUMIF(GA!$C:$C,$A169,GA!$X:$X)),"")</f>
        <v/>
      </c>
      <c r="S169" s="186"/>
      <c r="T169" s="239"/>
      <c r="U169" s="237" t="str">
        <f t="shared" si="9"/>
        <v/>
      </c>
      <c r="V169" s="237" t="str">
        <f>IFERROR(_xlfn.XLOOKUP($A169,'Raw_Data'!$B:$B,'Raw_Data'!$JL:$JL),"")</f>
        <v/>
      </c>
      <c r="W169" s="240" t="str">
        <f t="shared" si="10"/>
        <v/>
      </c>
      <c r="X169" s="228" t="str">
        <f>IFERROR(_xlfn.XLOOKUP($A169,'Raw_Data'!$B:$B,'Raw_Data'!$JI:$JI),"")</f>
        <v/>
      </c>
      <c r="Y169" s="228" t="str">
        <f>IFERROR(_xlfn.XLOOKUP($A169,'Raw_Data'!$B:$B,'Raw_Data'!IT:IT),"")</f>
        <v/>
      </c>
      <c r="Z169" s="228" t="str">
        <f>IFERROR(_xlfn.XLOOKUP($A169,'Raw_Data'!$B:$B,'Raw_Data'!IU:IU),"")</f>
        <v/>
      </c>
      <c r="AA169" s="228" t="str">
        <f>IFERROR(_xlfn.XLOOKUP($A169,'Raw_Data'!$B:$B,'Raw_Data'!IW:IW),"")</f>
        <v/>
      </c>
      <c r="AB169" s="228" t="str">
        <f>IFERROR(_xlfn.XLOOKUP($A169,'Raw_Data'!$B:$B,'Raw_Data'!I:I)/1000,"")</f>
        <v/>
      </c>
      <c r="AC169" s="241">
        <f>IFERROR(_xlfn.XLOOKUP($D169,'Modelling New'!$D:$D,'Modelling New'!$P:$P),"")</f>
        <v>6.4033333333333333</v>
      </c>
      <c r="AD169" s="228">
        <f>IFERROR(_xlfn.XLOOKUP($D169,'Modelling New'!$D:$D,'Modelling New'!$T:$T)*1000,"")</f>
        <v>1755680.2929358287</v>
      </c>
      <c r="AE169" s="240">
        <f>IFERROR(_xlfn.XLOOKUP($D169,'Modelling New'!$D:$D,'Modelling New'!$O:$O),"")</f>
        <v>0.81823218922594398</v>
      </c>
      <c r="AF169" s="240">
        <f>IFERROR(_xlfn.XLOOKUP($D169,'Modelling New'!$D:$D,'Modelling New'!$W:$W),"")</f>
        <v>0.21830889381986643</v>
      </c>
      <c r="AG169" s="240">
        <f>IFERROR(_xlfn.XLOOKUP($D169,'Modelling New'!$D:$D,'Modelling New'!AE:AE),"")</f>
        <v>0.99750000000000005</v>
      </c>
      <c r="AH169" s="240">
        <f>IFERROR(_xlfn.XLOOKUP($D169,'Modelling New'!$D:$D,'Modelling New'!AF:AF),"")</f>
        <v>0.99750000000000005</v>
      </c>
      <c r="AI169" s="186"/>
      <c r="AJ169" s="186"/>
      <c r="AK169" s="225"/>
      <c r="AL169" s="224">
        <f>IFERROR(Table13[[#This Row],[RA (%)]]*9270*58,"")</f>
        <v>0</v>
      </c>
      <c r="AM169" s="225"/>
      <c r="AN169" s="238"/>
      <c r="AO169" s="240"/>
      <c r="AP169" s="240"/>
      <c r="AQ169" s="240"/>
      <c r="AR169" s="242">
        <f>IFERROR(_xlfn.XLOOKUP($D169,'Modelling New'!$D:$D,'Modelling New'!$N:$N),"")</f>
        <v>335.09100000000001</v>
      </c>
    </row>
    <row r="170" spans="1:44">
      <c r="A170" s="233">
        <f t="shared" si="11"/>
        <v>45913</v>
      </c>
      <c r="B170" s="228">
        <f>YEAR(Table13[[#This Row],[Date]])+IF(MONTH(Table13[[#This Row],[Date]])&gt;=4,1,0)</f>
        <v>2026</v>
      </c>
      <c r="C170" s="186">
        <f>YEAR(Table13[[#This Row],[Date]])</f>
        <v>2025</v>
      </c>
      <c r="D170" s="234">
        <f>Table13[[#This Row],[Date]]-DAY(Table13[[#This Row],[Date]])+1</f>
        <v>45901</v>
      </c>
      <c r="E170" s="186">
        <f t="shared" si="13"/>
        <v>30</v>
      </c>
      <c r="F170" s="235" t="str">
        <f>IFERROR(_xlfn.XLOOKUP($A170,'Raw_Data'!$B:$B,'Raw_Data'!$IX:$IX),"")</f>
        <v/>
      </c>
      <c r="G170" s="236" t="str">
        <f>IFERROR(_xlfn.XLOOKUP($A170,'Raw_Data'!$B:$B,'Raw_Data'!IY:IY),"")</f>
        <v/>
      </c>
      <c r="H170" s="236" t="str">
        <f>IFERROR(_xlfn.XLOOKUP($A170,'Raw_Data'!$B:$B,'Raw_Data'!IZ:IZ),"")</f>
        <v/>
      </c>
      <c r="I170" s="236" t="str">
        <f>IFERROR(_xlfn.XLOOKUP($A170,'Raw_Data'!$B:$B,'Raw_Data'!JA:JA),"")</f>
        <v/>
      </c>
      <c r="J170" s="236" t="str">
        <f>IFERROR(_xlfn.XLOOKUP($A170,'Raw_Data'!$B:$B,'Raw_Data'!JB:JB),"")</f>
        <v/>
      </c>
      <c r="K170" s="236" t="str">
        <f>IFERROR(_xlfn.XLOOKUP($A170,'Raw_Data'!$B:$B,'Raw_Data'!JE:JE),"")</f>
        <v/>
      </c>
      <c r="L170" s="236" t="str">
        <f>IFERROR(_xlfn.XLOOKUP($A170,'Raw_Data'!$B:$B,'Raw_Data'!JF:JF),"")</f>
        <v/>
      </c>
      <c r="M170" s="236" t="str">
        <f>IFERROR(_xlfn.XLOOKUP($A170,'Raw_Data'!$B:$B,'Raw_Data'!JG:JG),"")</f>
        <v/>
      </c>
      <c r="N170" s="236" t="str">
        <f>IFERROR(_xlfn.XLOOKUP($A170,'Raw_Data'!$B:$B,'Raw_Data'!JH:JH),"")</f>
        <v/>
      </c>
      <c r="O170" s="237" t="str">
        <f>IFERROR(1-SUMIF(PA!$B:$B,$A170,PA!$AL:$AL)/($AA170+SUMIF(PA!$B:$B,$A170,PA!$AL:$AL)),"")</f>
        <v/>
      </c>
      <c r="P170" s="238"/>
      <c r="Q170" s="239"/>
      <c r="R170" s="240" t="str">
        <f>IFERROR(1-SUMIF(GA!$C:$C,$A170,GA!$X:$X)/($AA170+SUMIF(GA!$C:$C,$A170,GA!$X:$X)),"")</f>
        <v/>
      </c>
      <c r="S170" s="186"/>
      <c r="T170" s="239"/>
      <c r="U170" s="237" t="str">
        <f t="shared" si="9"/>
        <v/>
      </c>
      <c r="V170" s="237" t="str">
        <f>IFERROR(_xlfn.XLOOKUP($A170,'Raw_Data'!$B:$B,'Raw_Data'!$JL:$JL),"")</f>
        <v/>
      </c>
      <c r="W170" s="240" t="str">
        <f t="shared" si="10"/>
        <v/>
      </c>
      <c r="X170" s="228" t="str">
        <f>IFERROR(_xlfn.XLOOKUP($A170,'Raw_Data'!$B:$B,'Raw_Data'!$JI:$JI),"")</f>
        <v/>
      </c>
      <c r="Y170" s="228" t="str">
        <f>IFERROR(_xlfn.XLOOKUP($A170,'Raw_Data'!$B:$B,'Raw_Data'!IT:IT),"")</f>
        <v/>
      </c>
      <c r="Z170" s="228" t="str">
        <f>IFERROR(_xlfn.XLOOKUP($A170,'Raw_Data'!$B:$B,'Raw_Data'!IU:IU),"")</f>
        <v/>
      </c>
      <c r="AA170" s="228" t="str">
        <f>IFERROR(_xlfn.XLOOKUP($A170,'Raw_Data'!$B:$B,'Raw_Data'!IW:IW),"")</f>
        <v/>
      </c>
      <c r="AB170" s="228" t="str">
        <f>IFERROR(_xlfn.XLOOKUP($A170,'Raw_Data'!$B:$B,'Raw_Data'!I:I)/1000,"")</f>
        <v/>
      </c>
      <c r="AC170" s="241">
        <f>IFERROR(_xlfn.XLOOKUP($D170,'Modelling New'!$D:$D,'Modelling New'!$P:$P),"")</f>
        <v>6.4033333333333333</v>
      </c>
      <c r="AD170" s="228">
        <f>IFERROR(_xlfn.XLOOKUP($D170,'Modelling New'!$D:$D,'Modelling New'!$T:$T)*1000,"")</f>
        <v>1755680.2929358287</v>
      </c>
      <c r="AE170" s="240">
        <f>IFERROR(_xlfn.XLOOKUP($D170,'Modelling New'!$D:$D,'Modelling New'!$O:$O),"")</f>
        <v>0.81823218922594398</v>
      </c>
      <c r="AF170" s="240">
        <f>IFERROR(_xlfn.XLOOKUP($D170,'Modelling New'!$D:$D,'Modelling New'!$W:$W),"")</f>
        <v>0.21830889381986643</v>
      </c>
      <c r="AG170" s="240">
        <f>IFERROR(_xlfn.XLOOKUP($D170,'Modelling New'!$D:$D,'Modelling New'!AE:AE),"")</f>
        <v>0.99750000000000005</v>
      </c>
      <c r="AH170" s="240">
        <f>IFERROR(_xlfn.XLOOKUP($D170,'Modelling New'!$D:$D,'Modelling New'!AF:AF),"")</f>
        <v>0.99750000000000005</v>
      </c>
      <c r="AI170" s="186"/>
      <c r="AJ170" s="186"/>
      <c r="AK170" s="225"/>
      <c r="AL170" s="224">
        <f>IFERROR(Table13[[#This Row],[RA (%)]]*9270*58,"")</f>
        <v>0</v>
      </c>
      <c r="AM170" s="225"/>
      <c r="AN170" s="238"/>
      <c r="AO170" s="240"/>
      <c r="AP170" s="240"/>
      <c r="AQ170" s="240"/>
      <c r="AR170" s="242">
        <f>IFERROR(_xlfn.XLOOKUP($D170,'Modelling New'!$D:$D,'Modelling New'!$N:$N),"")</f>
        <v>335.09100000000001</v>
      </c>
    </row>
    <row r="171" spans="1:44">
      <c r="A171" s="233">
        <f t="shared" si="11"/>
        <v>45914</v>
      </c>
      <c r="B171" s="228">
        <f>YEAR(Table13[[#This Row],[Date]])+IF(MONTH(Table13[[#This Row],[Date]])&gt;=4,1,0)</f>
        <v>2026</v>
      </c>
      <c r="C171" s="186">
        <f>YEAR(Table13[[#This Row],[Date]])</f>
        <v>2025</v>
      </c>
      <c r="D171" s="234">
        <f>Table13[[#This Row],[Date]]-DAY(Table13[[#This Row],[Date]])+1</f>
        <v>45901</v>
      </c>
      <c r="E171" s="186">
        <f t="shared" si="13"/>
        <v>30</v>
      </c>
      <c r="F171" s="235" t="str">
        <f>IFERROR(_xlfn.XLOOKUP($A171,'Raw_Data'!$B:$B,'Raw_Data'!$IX:$IX),"")</f>
        <v/>
      </c>
      <c r="G171" s="236" t="str">
        <f>IFERROR(_xlfn.XLOOKUP($A171,'Raw_Data'!$B:$B,'Raw_Data'!IY:IY),"")</f>
        <v/>
      </c>
      <c r="H171" s="236" t="str">
        <f>IFERROR(_xlfn.XLOOKUP($A171,'Raw_Data'!$B:$B,'Raw_Data'!IZ:IZ),"")</f>
        <v/>
      </c>
      <c r="I171" s="236" t="str">
        <f>IFERROR(_xlfn.XLOOKUP($A171,'Raw_Data'!$B:$B,'Raw_Data'!JA:JA),"")</f>
        <v/>
      </c>
      <c r="J171" s="236" t="str">
        <f>IFERROR(_xlfn.XLOOKUP($A171,'Raw_Data'!$B:$B,'Raw_Data'!JB:JB),"")</f>
        <v/>
      </c>
      <c r="K171" s="236" t="str">
        <f>IFERROR(_xlfn.XLOOKUP($A171,'Raw_Data'!$B:$B,'Raw_Data'!JE:JE),"")</f>
        <v/>
      </c>
      <c r="L171" s="236" t="str">
        <f>IFERROR(_xlfn.XLOOKUP($A171,'Raw_Data'!$B:$B,'Raw_Data'!JF:JF),"")</f>
        <v/>
      </c>
      <c r="M171" s="236" t="str">
        <f>IFERROR(_xlfn.XLOOKUP($A171,'Raw_Data'!$B:$B,'Raw_Data'!JG:JG),"")</f>
        <v/>
      </c>
      <c r="N171" s="236" t="str">
        <f>IFERROR(_xlfn.XLOOKUP($A171,'Raw_Data'!$B:$B,'Raw_Data'!JH:JH),"")</f>
        <v/>
      </c>
      <c r="O171" s="237" t="str">
        <f>IFERROR(1-SUMIF(PA!$B:$B,$A171,PA!$AL:$AL)/($AA171+SUMIF(PA!$B:$B,$A171,PA!$AL:$AL)),"")</f>
        <v/>
      </c>
      <c r="P171" s="238"/>
      <c r="Q171" s="239"/>
      <c r="R171" s="240" t="str">
        <f>IFERROR(1-SUMIF(GA!$C:$C,$A171,GA!$X:$X)/($AA171+SUMIF(GA!$C:$C,$A171,GA!$X:$X)),"")</f>
        <v/>
      </c>
      <c r="S171" s="186"/>
      <c r="T171" s="239"/>
      <c r="U171" s="237" t="str">
        <f t="shared" si="9"/>
        <v/>
      </c>
      <c r="V171" s="237" t="str">
        <f>IFERROR(_xlfn.XLOOKUP($A171,'Raw_Data'!$B:$B,'Raw_Data'!$JL:$JL),"")</f>
        <v/>
      </c>
      <c r="W171" s="240" t="str">
        <f t="shared" si="10"/>
        <v/>
      </c>
      <c r="X171" s="228" t="str">
        <f>IFERROR(_xlfn.XLOOKUP($A171,'Raw_Data'!$B:$B,'Raw_Data'!$JI:$JI),"")</f>
        <v/>
      </c>
      <c r="Y171" s="228" t="str">
        <f>IFERROR(_xlfn.XLOOKUP($A171,'Raw_Data'!$B:$B,'Raw_Data'!IT:IT),"")</f>
        <v/>
      </c>
      <c r="Z171" s="228" t="str">
        <f>IFERROR(_xlfn.XLOOKUP($A171,'Raw_Data'!$B:$B,'Raw_Data'!IU:IU),"")</f>
        <v/>
      </c>
      <c r="AA171" s="228" t="str">
        <f>IFERROR(_xlfn.XLOOKUP($A171,'Raw_Data'!$B:$B,'Raw_Data'!IW:IW),"")</f>
        <v/>
      </c>
      <c r="AB171" s="228" t="str">
        <f>IFERROR(_xlfn.XLOOKUP($A171,'Raw_Data'!$B:$B,'Raw_Data'!I:I)/1000,"")</f>
        <v/>
      </c>
      <c r="AC171" s="241">
        <f>IFERROR(_xlfn.XLOOKUP($D171,'Modelling New'!$D:$D,'Modelling New'!$P:$P),"")</f>
        <v>6.4033333333333333</v>
      </c>
      <c r="AD171" s="228">
        <f>IFERROR(_xlfn.XLOOKUP($D171,'Modelling New'!$D:$D,'Modelling New'!$T:$T)*1000,"")</f>
        <v>1755680.2929358287</v>
      </c>
      <c r="AE171" s="240">
        <f>IFERROR(_xlfn.XLOOKUP($D171,'Modelling New'!$D:$D,'Modelling New'!$O:$O),"")</f>
        <v>0.81823218922594398</v>
      </c>
      <c r="AF171" s="240">
        <f>IFERROR(_xlfn.XLOOKUP($D171,'Modelling New'!$D:$D,'Modelling New'!$W:$W),"")</f>
        <v>0.21830889381986643</v>
      </c>
      <c r="AG171" s="240">
        <f>IFERROR(_xlfn.XLOOKUP($D171,'Modelling New'!$D:$D,'Modelling New'!AE:AE),"")</f>
        <v>0.99750000000000005</v>
      </c>
      <c r="AH171" s="240">
        <f>IFERROR(_xlfn.XLOOKUP($D171,'Modelling New'!$D:$D,'Modelling New'!AF:AF),"")</f>
        <v>0.99750000000000005</v>
      </c>
      <c r="AI171" s="186"/>
      <c r="AJ171" s="186"/>
      <c r="AK171" s="225"/>
      <c r="AL171" s="224">
        <f>IFERROR(Table13[[#This Row],[RA (%)]]*9270*58,"")</f>
        <v>0</v>
      </c>
      <c r="AM171" s="225"/>
      <c r="AN171" s="238"/>
      <c r="AO171" s="240"/>
      <c r="AP171" s="240"/>
      <c r="AQ171" s="240"/>
      <c r="AR171" s="242">
        <f>IFERROR(_xlfn.XLOOKUP($D171,'Modelling New'!$D:$D,'Modelling New'!$N:$N),"")</f>
        <v>335.09100000000001</v>
      </c>
    </row>
    <row r="172" spans="1:44">
      <c r="A172" s="233">
        <f t="shared" si="11"/>
        <v>45915</v>
      </c>
      <c r="B172" s="228">
        <f>YEAR(Table13[[#This Row],[Date]])+IF(MONTH(Table13[[#This Row],[Date]])&gt;=4,1,0)</f>
        <v>2026</v>
      </c>
      <c r="C172" s="186">
        <f>YEAR(Table13[[#This Row],[Date]])</f>
        <v>2025</v>
      </c>
      <c r="D172" s="234">
        <f>Table13[[#This Row],[Date]]-DAY(Table13[[#This Row],[Date]])+1</f>
        <v>45901</v>
      </c>
      <c r="E172" s="186">
        <f t="shared" si="13"/>
        <v>30</v>
      </c>
      <c r="F172" s="235" t="str">
        <f>IFERROR(_xlfn.XLOOKUP($A172,'Raw_Data'!$B:$B,'Raw_Data'!$IX:$IX),"")</f>
        <v/>
      </c>
      <c r="G172" s="236" t="str">
        <f>IFERROR(_xlfn.XLOOKUP($A172,'Raw_Data'!$B:$B,'Raw_Data'!IY:IY),"")</f>
        <v/>
      </c>
      <c r="H172" s="236" t="str">
        <f>IFERROR(_xlfn.XLOOKUP($A172,'Raw_Data'!$B:$B,'Raw_Data'!IZ:IZ),"")</f>
        <v/>
      </c>
      <c r="I172" s="236" t="str">
        <f>IFERROR(_xlfn.XLOOKUP($A172,'Raw_Data'!$B:$B,'Raw_Data'!JA:JA),"")</f>
        <v/>
      </c>
      <c r="J172" s="236" t="str">
        <f>IFERROR(_xlfn.XLOOKUP($A172,'Raw_Data'!$B:$B,'Raw_Data'!JB:JB),"")</f>
        <v/>
      </c>
      <c r="K172" s="236" t="str">
        <f>IFERROR(_xlfn.XLOOKUP($A172,'Raw_Data'!$B:$B,'Raw_Data'!JE:JE),"")</f>
        <v/>
      </c>
      <c r="L172" s="236" t="str">
        <f>IFERROR(_xlfn.XLOOKUP($A172,'Raw_Data'!$B:$B,'Raw_Data'!JF:JF),"")</f>
        <v/>
      </c>
      <c r="M172" s="236" t="str">
        <f>IFERROR(_xlfn.XLOOKUP($A172,'Raw_Data'!$B:$B,'Raw_Data'!JG:JG),"")</f>
        <v/>
      </c>
      <c r="N172" s="236" t="str">
        <f>IFERROR(_xlfn.XLOOKUP($A172,'Raw_Data'!$B:$B,'Raw_Data'!JH:JH),"")</f>
        <v/>
      </c>
      <c r="O172" s="237" t="str">
        <f>IFERROR(1-SUMIF(PA!$B:$B,$A172,PA!$AL:$AL)/($AA172+SUMIF(PA!$B:$B,$A172,PA!$AL:$AL)),"")</f>
        <v/>
      </c>
      <c r="P172" s="238"/>
      <c r="Q172" s="239"/>
      <c r="R172" s="240" t="str">
        <f>IFERROR(1-SUMIF(GA!$C:$C,$A172,GA!$X:$X)/($AA172+SUMIF(GA!$C:$C,$A172,GA!$X:$X)),"")</f>
        <v/>
      </c>
      <c r="S172" s="186"/>
      <c r="T172" s="239"/>
      <c r="U172" s="237" t="str">
        <f t="shared" si="9"/>
        <v/>
      </c>
      <c r="V172" s="237" t="str">
        <f>IFERROR(_xlfn.XLOOKUP($A172,'Raw_Data'!$B:$B,'Raw_Data'!$JL:$JL),"")</f>
        <v/>
      </c>
      <c r="W172" s="240" t="str">
        <f t="shared" si="10"/>
        <v/>
      </c>
      <c r="X172" s="228" t="str">
        <f>IFERROR(_xlfn.XLOOKUP($A172,'Raw_Data'!$B:$B,'Raw_Data'!$JI:$JI),"")</f>
        <v/>
      </c>
      <c r="Y172" s="228" t="str">
        <f>IFERROR(_xlfn.XLOOKUP($A172,'Raw_Data'!$B:$B,'Raw_Data'!IT:IT),"")</f>
        <v/>
      </c>
      <c r="Z172" s="228" t="str">
        <f>IFERROR(_xlfn.XLOOKUP($A172,'Raw_Data'!$B:$B,'Raw_Data'!IU:IU),"")</f>
        <v/>
      </c>
      <c r="AA172" s="228" t="str">
        <f>IFERROR(_xlfn.XLOOKUP($A172,'Raw_Data'!$B:$B,'Raw_Data'!IW:IW),"")</f>
        <v/>
      </c>
      <c r="AB172" s="228" t="str">
        <f>IFERROR(_xlfn.XLOOKUP($A172,'Raw_Data'!$B:$B,'Raw_Data'!I:I)/1000,"")</f>
        <v/>
      </c>
      <c r="AC172" s="241">
        <f>IFERROR(_xlfn.XLOOKUP($D172,'Modelling New'!$D:$D,'Modelling New'!$P:$P),"")</f>
        <v>6.4033333333333333</v>
      </c>
      <c r="AD172" s="228">
        <f>IFERROR(_xlfn.XLOOKUP($D172,'Modelling New'!$D:$D,'Modelling New'!$T:$T)*1000,"")</f>
        <v>1755680.2929358287</v>
      </c>
      <c r="AE172" s="240">
        <f>IFERROR(_xlfn.XLOOKUP($D172,'Modelling New'!$D:$D,'Modelling New'!$O:$O),"")</f>
        <v>0.81823218922594398</v>
      </c>
      <c r="AF172" s="240">
        <f>IFERROR(_xlfn.XLOOKUP($D172,'Modelling New'!$D:$D,'Modelling New'!$W:$W),"")</f>
        <v>0.21830889381986643</v>
      </c>
      <c r="AG172" s="240">
        <f>IFERROR(_xlfn.XLOOKUP($D172,'Modelling New'!$D:$D,'Modelling New'!AE:AE),"")</f>
        <v>0.99750000000000005</v>
      </c>
      <c r="AH172" s="240">
        <f>IFERROR(_xlfn.XLOOKUP($D172,'Modelling New'!$D:$D,'Modelling New'!AF:AF),"")</f>
        <v>0.99750000000000005</v>
      </c>
      <c r="AI172" s="186"/>
      <c r="AJ172" s="186"/>
      <c r="AK172" s="225"/>
      <c r="AL172" s="224">
        <f>IFERROR(Table13[[#This Row],[RA (%)]]*9270*58,"")</f>
        <v>0</v>
      </c>
      <c r="AM172" s="225"/>
      <c r="AN172" s="238"/>
      <c r="AO172" s="240"/>
      <c r="AP172" s="240"/>
      <c r="AQ172" s="240"/>
      <c r="AR172" s="242">
        <f>IFERROR(_xlfn.XLOOKUP($D172,'Modelling New'!$D:$D,'Modelling New'!$N:$N),"")</f>
        <v>335.09100000000001</v>
      </c>
    </row>
    <row r="173" spans="1:44">
      <c r="A173" s="233">
        <f t="shared" si="11"/>
        <v>45916</v>
      </c>
      <c r="B173" s="228">
        <f>YEAR(Table13[[#This Row],[Date]])+IF(MONTH(Table13[[#This Row],[Date]])&gt;=4,1,0)</f>
        <v>2026</v>
      </c>
      <c r="C173" s="186">
        <f>YEAR(Table13[[#This Row],[Date]])</f>
        <v>2025</v>
      </c>
      <c r="D173" s="234">
        <f>Table13[[#This Row],[Date]]-DAY(Table13[[#This Row],[Date]])+1</f>
        <v>45901</v>
      </c>
      <c r="E173" s="186">
        <f t="shared" si="13"/>
        <v>30</v>
      </c>
      <c r="F173" s="235" t="str">
        <f>IFERROR(_xlfn.XLOOKUP($A173,'Raw_Data'!$B:$B,'Raw_Data'!$IX:$IX),"")</f>
        <v/>
      </c>
      <c r="G173" s="236" t="str">
        <f>IFERROR(_xlfn.XLOOKUP($A173,'Raw_Data'!$B:$B,'Raw_Data'!IY:IY),"")</f>
        <v/>
      </c>
      <c r="H173" s="236" t="str">
        <f>IFERROR(_xlfn.XLOOKUP($A173,'Raw_Data'!$B:$B,'Raw_Data'!IZ:IZ),"")</f>
        <v/>
      </c>
      <c r="I173" s="236" t="str">
        <f>IFERROR(_xlfn.XLOOKUP($A173,'Raw_Data'!$B:$B,'Raw_Data'!JA:JA),"")</f>
        <v/>
      </c>
      <c r="J173" s="236" t="str">
        <f>IFERROR(_xlfn.XLOOKUP($A173,'Raw_Data'!$B:$B,'Raw_Data'!JB:JB),"")</f>
        <v/>
      </c>
      <c r="K173" s="236" t="str">
        <f>IFERROR(_xlfn.XLOOKUP($A173,'Raw_Data'!$B:$B,'Raw_Data'!JE:JE),"")</f>
        <v/>
      </c>
      <c r="L173" s="236" t="str">
        <f>IFERROR(_xlfn.XLOOKUP($A173,'Raw_Data'!$B:$B,'Raw_Data'!JF:JF),"")</f>
        <v/>
      </c>
      <c r="M173" s="236" t="str">
        <f>IFERROR(_xlfn.XLOOKUP($A173,'Raw_Data'!$B:$B,'Raw_Data'!JG:JG),"")</f>
        <v/>
      </c>
      <c r="N173" s="236" t="str">
        <f>IFERROR(_xlfn.XLOOKUP($A173,'Raw_Data'!$B:$B,'Raw_Data'!JH:JH),"")</f>
        <v/>
      </c>
      <c r="O173" s="237" t="str">
        <f>IFERROR(1-SUMIF(PA!$B:$B,$A173,PA!$AL:$AL)/($AA173+SUMIF(PA!$B:$B,$A173,PA!$AL:$AL)),"")</f>
        <v/>
      </c>
      <c r="P173" s="238"/>
      <c r="Q173" s="239"/>
      <c r="R173" s="240" t="str">
        <f>IFERROR(1-SUMIF(GA!$C:$C,$A173,GA!$X:$X)/($AA173+SUMIF(GA!$C:$C,$A173,GA!$X:$X)),"")</f>
        <v/>
      </c>
      <c r="S173" s="186"/>
      <c r="T173" s="239"/>
      <c r="U173" s="237" t="str">
        <f t="shared" si="9"/>
        <v/>
      </c>
      <c r="V173" s="237" t="str">
        <f>IFERROR(_xlfn.XLOOKUP($A173,'Raw_Data'!$B:$B,'Raw_Data'!$JL:$JL),"")</f>
        <v/>
      </c>
      <c r="W173" s="240" t="str">
        <f t="shared" si="10"/>
        <v/>
      </c>
      <c r="X173" s="228" t="str">
        <f>IFERROR(_xlfn.XLOOKUP($A173,'Raw_Data'!$B:$B,'Raw_Data'!$JI:$JI),"")</f>
        <v/>
      </c>
      <c r="Y173" s="228" t="str">
        <f>IFERROR(_xlfn.XLOOKUP($A173,'Raw_Data'!$B:$B,'Raw_Data'!IT:IT),"")</f>
        <v/>
      </c>
      <c r="Z173" s="228" t="str">
        <f>IFERROR(_xlfn.XLOOKUP($A173,'Raw_Data'!$B:$B,'Raw_Data'!IU:IU),"")</f>
        <v/>
      </c>
      <c r="AA173" s="228" t="str">
        <f>IFERROR(_xlfn.XLOOKUP($A173,'Raw_Data'!$B:$B,'Raw_Data'!IW:IW),"")</f>
        <v/>
      </c>
      <c r="AB173" s="228" t="str">
        <f>IFERROR(_xlfn.XLOOKUP($A173,'Raw_Data'!$B:$B,'Raw_Data'!I:I)/1000,"")</f>
        <v/>
      </c>
      <c r="AC173" s="241">
        <f>IFERROR(_xlfn.XLOOKUP($D173,'Modelling New'!$D:$D,'Modelling New'!$P:$P),"")</f>
        <v>6.4033333333333333</v>
      </c>
      <c r="AD173" s="228">
        <f>IFERROR(_xlfn.XLOOKUP($D173,'Modelling New'!$D:$D,'Modelling New'!$T:$T)*1000,"")</f>
        <v>1755680.2929358287</v>
      </c>
      <c r="AE173" s="240">
        <f>IFERROR(_xlfn.XLOOKUP($D173,'Modelling New'!$D:$D,'Modelling New'!$O:$O),"")</f>
        <v>0.81823218922594398</v>
      </c>
      <c r="AF173" s="240">
        <f>IFERROR(_xlfn.XLOOKUP($D173,'Modelling New'!$D:$D,'Modelling New'!$W:$W),"")</f>
        <v>0.21830889381986643</v>
      </c>
      <c r="AG173" s="240">
        <f>IFERROR(_xlfn.XLOOKUP($D173,'Modelling New'!$D:$D,'Modelling New'!AE:AE),"")</f>
        <v>0.99750000000000005</v>
      </c>
      <c r="AH173" s="240">
        <f>IFERROR(_xlfn.XLOOKUP($D173,'Modelling New'!$D:$D,'Modelling New'!AF:AF),"")</f>
        <v>0.99750000000000005</v>
      </c>
      <c r="AI173" s="186"/>
      <c r="AJ173" s="186"/>
      <c r="AK173" s="225"/>
      <c r="AL173" s="224">
        <f>IFERROR(Table13[[#This Row],[RA (%)]]*9270*58,"")</f>
        <v>0</v>
      </c>
      <c r="AM173" s="225"/>
      <c r="AN173" s="238"/>
      <c r="AO173" s="240"/>
      <c r="AP173" s="240"/>
      <c r="AQ173" s="240"/>
      <c r="AR173" s="242">
        <f>IFERROR(_xlfn.XLOOKUP($D173,'Modelling New'!$D:$D,'Modelling New'!$N:$N),"")</f>
        <v>335.09100000000001</v>
      </c>
    </row>
    <row r="174" spans="1:44">
      <c r="A174" s="233">
        <f t="shared" si="11"/>
        <v>45917</v>
      </c>
      <c r="B174" s="228">
        <f>YEAR(Table13[[#This Row],[Date]])+IF(MONTH(Table13[[#This Row],[Date]])&gt;=4,1,0)</f>
        <v>2026</v>
      </c>
      <c r="C174" s="186">
        <f>YEAR(Table13[[#This Row],[Date]])</f>
        <v>2025</v>
      </c>
      <c r="D174" s="234">
        <f>Table13[[#This Row],[Date]]-DAY(Table13[[#This Row],[Date]])+1</f>
        <v>45901</v>
      </c>
      <c r="E174" s="186">
        <f t="shared" si="13"/>
        <v>30</v>
      </c>
      <c r="F174" s="235" t="str">
        <f>IFERROR(_xlfn.XLOOKUP($A174,'Raw_Data'!$B:$B,'Raw_Data'!$IX:$IX),"")</f>
        <v/>
      </c>
      <c r="G174" s="236" t="str">
        <f>IFERROR(_xlfn.XLOOKUP($A174,'Raw_Data'!$B:$B,'Raw_Data'!IY:IY),"")</f>
        <v/>
      </c>
      <c r="H174" s="236" t="str">
        <f>IFERROR(_xlfn.XLOOKUP($A174,'Raw_Data'!$B:$B,'Raw_Data'!IZ:IZ),"")</f>
        <v/>
      </c>
      <c r="I174" s="236" t="str">
        <f>IFERROR(_xlfn.XLOOKUP($A174,'Raw_Data'!$B:$B,'Raw_Data'!JA:JA),"")</f>
        <v/>
      </c>
      <c r="J174" s="236" t="str">
        <f>IFERROR(_xlfn.XLOOKUP($A174,'Raw_Data'!$B:$B,'Raw_Data'!JB:JB),"")</f>
        <v/>
      </c>
      <c r="K174" s="236" t="str">
        <f>IFERROR(_xlfn.XLOOKUP($A174,'Raw_Data'!$B:$B,'Raw_Data'!JE:JE),"")</f>
        <v/>
      </c>
      <c r="L174" s="236" t="str">
        <f>IFERROR(_xlfn.XLOOKUP($A174,'Raw_Data'!$B:$B,'Raw_Data'!JF:JF),"")</f>
        <v/>
      </c>
      <c r="M174" s="236" t="str">
        <f>IFERROR(_xlfn.XLOOKUP($A174,'Raw_Data'!$B:$B,'Raw_Data'!JG:JG),"")</f>
        <v/>
      </c>
      <c r="N174" s="236" t="str">
        <f>IFERROR(_xlfn.XLOOKUP($A174,'Raw_Data'!$B:$B,'Raw_Data'!JH:JH),"")</f>
        <v/>
      </c>
      <c r="O174" s="237" t="str">
        <f>IFERROR(1-SUMIF(PA!$B:$B,$A174,PA!$AL:$AL)/($AA174+SUMIF(PA!$B:$B,$A174,PA!$AL:$AL)),"")</f>
        <v/>
      </c>
      <c r="P174" s="238"/>
      <c r="Q174" s="239"/>
      <c r="R174" s="240" t="str">
        <f>IFERROR(1-SUMIF(GA!$C:$C,$A174,GA!$X:$X)/($AA174+SUMIF(GA!$C:$C,$A174,GA!$X:$X)),"")</f>
        <v/>
      </c>
      <c r="S174" s="186"/>
      <c r="T174" s="239"/>
      <c r="U174" s="237" t="str">
        <f t="shared" si="9"/>
        <v/>
      </c>
      <c r="V174" s="237" t="str">
        <f>IFERROR(_xlfn.XLOOKUP($A174,'Raw_Data'!$B:$B,'Raw_Data'!$JL:$JL),"")</f>
        <v/>
      </c>
      <c r="W174" s="240" t="str">
        <f t="shared" si="10"/>
        <v/>
      </c>
      <c r="X174" s="228" t="str">
        <f>IFERROR(_xlfn.XLOOKUP($A174,'Raw_Data'!$B:$B,'Raw_Data'!$JI:$JI),"")</f>
        <v/>
      </c>
      <c r="Y174" s="228" t="str">
        <f>IFERROR(_xlfn.XLOOKUP($A174,'Raw_Data'!$B:$B,'Raw_Data'!IT:IT),"")</f>
        <v/>
      </c>
      <c r="Z174" s="228" t="str">
        <f>IFERROR(_xlfn.XLOOKUP($A174,'Raw_Data'!$B:$B,'Raw_Data'!IU:IU),"")</f>
        <v/>
      </c>
      <c r="AA174" s="228" t="str">
        <f>IFERROR(_xlfn.XLOOKUP($A174,'Raw_Data'!$B:$B,'Raw_Data'!IW:IW),"")</f>
        <v/>
      </c>
      <c r="AB174" s="228" t="str">
        <f>IFERROR(_xlfn.XLOOKUP($A174,'Raw_Data'!$B:$B,'Raw_Data'!I:I)/1000,"")</f>
        <v/>
      </c>
      <c r="AC174" s="241">
        <f>IFERROR(_xlfn.XLOOKUP($D174,'Modelling New'!$D:$D,'Modelling New'!$P:$P),"")</f>
        <v>6.4033333333333333</v>
      </c>
      <c r="AD174" s="228">
        <f>IFERROR(_xlfn.XLOOKUP($D174,'Modelling New'!$D:$D,'Modelling New'!$T:$T)*1000,"")</f>
        <v>1755680.2929358287</v>
      </c>
      <c r="AE174" s="240">
        <f>IFERROR(_xlfn.XLOOKUP($D174,'Modelling New'!$D:$D,'Modelling New'!$O:$O),"")</f>
        <v>0.81823218922594398</v>
      </c>
      <c r="AF174" s="240">
        <f>IFERROR(_xlfn.XLOOKUP($D174,'Modelling New'!$D:$D,'Modelling New'!$W:$W),"")</f>
        <v>0.21830889381986643</v>
      </c>
      <c r="AG174" s="240">
        <f>IFERROR(_xlfn.XLOOKUP($D174,'Modelling New'!$D:$D,'Modelling New'!AE:AE),"")</f>
        <v>0.99750000000000005</v>
      </c>
      <c r="AH174" s="240">
        <f>IFERROR(_xlfn.XLOOKUP($D174,'Modelling New'!$D:$D,'Modelling New'!AF:AF),"")</f>
        <v>0.99750000000000005</v>
      </c>
      <c r="AI174" s="186"/>
      <c r="AJ174" s="186"/>
      <c r="AK174" s="225"/>
      <c r="AL174" s="224">
        <f>IFERROR(Table13[[#This Row],[RA (%)]]*9270*58,"")</f>
        <v>0</v>
      </c>
      <c r="AM174" s="225"/>
      <c r="AN174" s="238"/>
      <c r="AO174" s="240"/>
      <c r="AP174" s="240"/>
      <c r="AQ174" s="240"/>
      <c r="AR174" s="242">
        <f>IFERROR(_xlfn.XLOOKUP($D174,'Modelling New'!$D:$D,'Modelling New'!$N:$N),"")</f>
        <v>335.09100000000001</v>
      </c>
    </row>
    <row r="175" spans="1:44">
      <c r="A175" s="233">
        <f t="shared" si="11"/>
        <v>45918</v>
      </c>
      <c r="B175" s="228">
        <f>YEAR(Table13[[#This Row],[Date]])+IF(MONTH(Table13[[#This Row],[Date]])&gt;=4,1,0)</f>
        <v>2026</v>
      </c>
      <c r="C175" s="186">
        <f>YEAR(Table13[[#This Row],[Date]])</f>
        <v>2025</v>
      </c>
      <c r="D175" s="234">
        <f>Table13[[#This Row],[Date]]-DAY(Table13[[#This Row],[Date]])+1</f>
        <v>45901</v>
      </c>
      <c r="E175" s="186">
        <f t="shared" si="13"/>
        <v>30</v>
      </c>
      <c r="F175" s="235" t="str">
        <f>IFERROR(_xlfn.XLOOKUP($A175,'Raw_Data'!$B:$B,'Raw_Data'!$IX:$IX),"")</f>
        <v/>
      </c>
      <c r="G175" s="236" t="str">
        <f>IFERROR(_xlfn.XLOOKUP($A175,'Raw_Data'!$B:$B,'Raw_Data'!IY:IY),"")</f>
        <v/>
      </c>
      <c r="H175" s="236" t="str">
        <f>IFERROR(_xlfn.XLOOKUP($A175,'Raw_Data'!$B:$B,'Raw_Data'!IZ:IZ),"")</f>
        <v/>
      </c>
      <c r="I175" s="236" t="str">
        <f>IFERROR(_xlfn.XLOOKUP($A175,'Raw_Data'!$B:$B,'Raw_Data'!JA:JA),"")</f>
        <v/>
      </c>
      <c r="J175" s="236" t="str">
        <f>IFERROR(_xlfn.XLOOKUP($A175,'Raw_Data'!$B:$B,'Raw_Data'!JB:JB),"")</f>
        <v/>
      </c>
      <c r="K175" s="236" t="str">
        <f>IFERROR(_xlfn.XLOOKUP($A175,'Raw_Data'!$B:$B,'Raw_Data'!JE:JE),"")</f>
        <v/>
      </c>
      <c r="L175" s="236" t="str">
        <f>IFERROR(_xlfn.XLOOKUP($A175,'Raw_Data'!$B:$B,'Raw_Data'!JF:JF),"")</f>
        <v/>
      </c>
      <c r="M175" s="236" t="str">
        <f>IFERROR(_xlfn.XLOOKUP($A175,'Raw_Data'!$B:$B,'Raw_Data'!JG:JG),"")</f>
        <v/>
      </c>
      <c r="N175" s="236" t="str">
        <f>IFERROR(_xlfn.XLOOKUP($A175,'Raw_Data'!$B:$B,'Raw_Data'!JH:JH),"")</f>
        <v/>
      </c>
      <c r="O175" s="237" t="str">
        <f>IFERROR(1-SUMIF(PA!$B:$B,$A175,PA!$AL:$AL)/($AA175+SUMIF(PA!$B:$B,$A175,PA!$AL:$AL)),"")</f>
        <v/>
      </c>
      <c r="P175" s="238"/>
      <c r="Q175" s="239"/>
      <c r="R175" s="240" t="str">
        <f>IFERROR(1-SUMIF(GA!$C:$C,$A175,GA!$X:$X)/($AA175+SUMIF(GA!$C:$C,$A175,GA!$X:$X)),"")</f>
        <v/>
      </c>
      <c r="S175" s="186"/>
      <c r="T175" s="239"/>
      <c r="U175" s="237" t="str">
        <f t="shared" si="9"/>
        <v/>
      </c>
      <c r="V175" s="237" t="str">
        <f>IFERROR(_xlfn.XLOOKUP($A175,'Raw_Data'!$B:$B,'Raw_Data'!$JL:$JL),"")</f>
        <v/>
      </c>
      <c r="W175" s="240" t="str">
        <f t="shared" si="10"/>
        <v/>
      </c>
      <c r="X175" s="228" t="str">
        <f>IFERROR(_xlfn.XLOOKUP($A175,'Raw_Data'!$B:$B,'Raw_Data'!$JI:$JI),"")</f>
        <v/>
      </c>
      <c r="Y175" s="228" t="str">
        <f>IFERROR(_xlfn.XLOOKUP($A175,'Raw_Data'!$B:$B,'Raw_Data'!IT:IT),"")</f>
        <v/>
      </c>
      <c r="Z175" s="228" t="str">
        <f>IFERROR(_xlfn.XLOOKUP($A175,'Raw_Data'!$B:$B,'Raw_Data'!IU:IU),"")</f>
        <v/>
      </c>
      <c r="AA175" s="228" t="str">
        <f>IFERROR(_xlfn.XLOOKUP($A175,'Raw_Data'!$B:$B,'Raw_Data'!IW:IW),"")</f>
        <v/>
      </c>
      <c r="AB175" s="228" t="str">
        <f>IFERROR(_xlfn.XLOOKUP($A175,'Raw_Data'!$B:$B,'Raw_Data'!I:I)/1000,"")</f>
        <v/>
      </c>
      <c r="AC175" s="241">
        <f>IFERROR(_xlfn.XLOOKUP($D175,'Modelling New'!$D:$D,'Modelling New'!$P:$P),"")</f>
        <v>6.4033333333333333</v>
      </c>
      <c r="AD175" s="228">
        <f>IFERROR(_xlfn.XLOOKUP($D175,'Modelling New'!$D:$D,'Modelling New'!$T:$T)*1000,"")</f>
        <v>1755680.2929358287</v>
      </c>
      <c r="AE175" s="240">
        <f>IFERROR(_xlfn.XLOOKUP($D175,'Modelling New'!$D:$D,'Modelling New'!$O:$O),"")</f>
        <v>0.81823218922594398</v>
      </c>
      <c r="AF175" s="240">
        <f>IFERROR(_xlfn.XLOOKUP($D175,'Modelling New'!$D:$D,'Modelling New'!$W:$W),"")</f>
        <v>0.21830889381986643</v>
      </c>
      <c r="AG175" s="240">
        <f>IFERROR(_xlfn.XLOOKUP($D175,'Modelling New'!$D:$D,'Modelling New'!AE:AE),"")</f>
        <v>0.99750000000000005</v>
      </c>
      <c r="AH175" s="240">
        <f>IFERROR(_xlfn.XLOOKUP($D175,'Modelling New'!$D:$D,'Modelling New'!AF:AF),"")</f>
        <v>0.99750000000000005</v>
      </c>
      <c r="AI175" s="186"/>
      <c r="AJ175" s="186"/>
      <c r="AK175" s="225"/>
      <c r="AL175" s="224">
        <f>IFERROR(Table13[[#This Row],[RA (%)]]*9270*58,"")</f>
        <v>0</v>
      </c>
      <c r="AM175" s="225"/>
      <c r="AN175" s="238"/>
      <c r="AO175" s="240"/>
      <c r="AP175" s="240"/>
      <c r="AQ175" s="240"/>
      <c r="AR175" s="242">
        <f>IFERROR(_xlfn.XLOOKUP($D175,'Modelling New'!$D:$D,'Modelling New'!$N:$N),"")</f>
        <v>335.09100000000001</v>
      </c>
    </row>
    <row r="176" spans="1:44">
      <c r="A176" s="233">
        <f t="shared" si="11"/>
        <v>45919</v>
      </c>
      <c r="B176" s="228">
        <f>YEAR(Table13[[#This Row],[Date]])+IF(MONTH(Table13[[#This Row],[Date]])&gt;=4,1,0)</f>
        <v>2026</v>
      </c>
      <c r="C176" s="186">
        <f>YEAR(Table13[[#This Row],[Date]])</f>
        <v>2025</v>
      </c>
      <c r="D176" s="234">
        <f>Table13[[#This Row],[Date]]-DAY(Table13[[#This Row],[Date]])+1</f>
        <v>45901</v>
      </c>
      <c r="E176" s="186">
        <f t="shared" si="13"/>
        <v>30</v>
      </c>
      <c r="F176" s="235" t="str">
        <f>IFERROR(_xlfn.XLOOKUP($A176,'Raw_Data'!$B:$B,'Raw_Data'!$IX:$IX),"")</f>
        <v/>
      </c>
      <c r="G176" s="236" t="str">
        <f>IFERROR(_xlfn.XLOOKUP($A176,'Raw_Data'!$B:$B,'Raw_Data'!IY:IY),"")</f>
        <v/>
      </c>
      <c r="H176" s="236" t="str">
        <f>IFERROR(_xlfn.XLOOKUP($A176,'Raw_Data'!$B:$B,'Raw_Data'!IZ:IZ),"")</f>
        <v/>
      </c>
      <c r="I176" s="236" t="str">
        <f>IFERROR(_xlfn.XLOOKUP($A176,'Raw_Data'!$B:$B,'Raw_Data'!JA:JA),"")</f>
        <v/>
      </c>
      <c r="J176" s="236" t="str">
        <f>IFERROR(_xlfn.XLOOKUP($A176,'Raw_Data'!$B:$B,'Raw_Data'!JB:JB),"")</f>
        <v/>
      </c>
      <c r="K176" s="236" t="str">
        <f>IFERROR(_xlfn.XLOOKUP($A176,'Raw_Data'!$B:$B,'Raw_Data'!JE:JE),"")</f>
        <v/>
      </c>
      <c r="L176" s="236" t="str">
        <f>IFERROR(_xlfn.XLOOKUP($A176,'Raw_Data'!$B:$B,'Raw_Data'!JF:JF),"")</f>
        <v/>
      </c>
      <c r="M176" s="236" t="str">
        <f>IFERROR(_xlfn.XLOOKUP($A176,'Raw_Data'!$B:$B,'Raw_Data'!JG:JG),"")</f>
        <v/>
      </c>
      <c r="N176" s="236" t="str">
        <f>IFERROR(_xlfn.XLOOKUP($A176,'Raw_Data'!$B:$B,'Raw_Data'!JH:JH),"")</f>
        <v/>
      </c>
      <c r="O176" s="237" t="str">
        <f>IFERROR(1-SUMIF(PA!$B:$B,$A176,PA!$AL:$AL)/($AA176+SUMIF(PA!$B:$B,$A176,PA!$AL:$AL)),"")</f>
        <v/>
      </c>
      <c r="P176" s="238"/>
      <c r="Q176" s="239"/>
      <c r="R176" s="240" t="str">
        <f>IFERROR(1-SUMIF(GA!$C:$C,$A176,GA!$X:$X)/($AA176+SUMIF(GA!$C:$C,$A176,GA!$X:$X)),"")</f>
        <v/>
      </c>
      <c r="S176" s="186"/>
      <c r="T176" s="239"/>
      <c r="U176" s="237" t="str">
        <f t="shared" si="9"/>
        <v/>
      </c>
      <c r="V176" s="237" t="str">
        <f>IFERROR(_xlfn.XLOOKUP($A176,'Raw_Data'!$B:$B,'Raw_Data'!$JL:$JL),"")</f>
        <v/>
      </c>
      <c r="W176" s="240" t="str">
        <f t="shared" si="10"/>
        <v/>
      </c>
      <c r="X176" s="228" t="str">
        <f>IFERROR(_xlfn.XLOOKUP($A176,'Raw_Data'!$B:$B,'Raw_Data'!$JI:$JI),"")</f>
        <v/>
      </c>
      <c r="Y176" s="228" t="str">
        <f>IFERROR(_xlfn.XLOOKUP($A176,'Raw_Data'!$B:$B,'Raw_Data'!IT:IT),"")</f>
        <v/>
      </c>
      <c r="Z176" s="228" t="str">
        <f>IFERROR(_xlfn.XLOOKUP($A176,'Raw_Data'!$B:$B,'Raw_Data'!IU:IU),"")</f>
        <v/>
      </c>
      <c r="AA176" s="228" t="str">
        <f>IFERROR(_xlfn.XLOOKUP($A176,'Raw_Data'!$B:$B,'Raw_Data'!IW:IW),"")</f>
        <v/>
      </c>
      <c r="AB176" s="228" t="str">
        <f>IFERROR(_xlfn.XLOOKUP($A176,'Raw_Data'!$B:$B,'Raw_Data'!I:I)/1000,"")</f>
        <v/>
      </c>
      <c r="AC176" s="241">
        <f>IFERROR(_xlfn.XLOOKUP($D176,'Modelling New'!$D:$D,'Modelling New'!$P:$P),"")</f>
        <v>6.4033333333333333</v>
      </c>
      <c r="AD176" s="228">
        <f>IFERROR(_xlfn.XLOOKUP($D176,'Modelling New'!$D:$D,'Modelling New'!$T:$T)*1000,"")</f>
        <v>1755680.2929358287</v>
      </c>
      <c r="AE176" s="240">
        <f>IFERROR(_xlfn.XLOOKUP($D176,'Modelling New'!$D:$D,'Modelling New'!$O:$O),"")</f>
        <v>0.81823218922594398</v>
      </c>
      <c r="AF176" s="240">
        <f>IFERROR(_xlfn.XLOOKUP($D176,'Modelling New'!$D:$D,'Modelling New'!$W:$W),"")</f>
        <v>0.21830889381986643</v>
      </c>
      <c r="AG176" s="240">
        <f>IFERROR(_xlfn.XLOOKUP($D176,'Modelling New'!$D:$D,'Modelling New'!AE:AE),"")</f>
        <v>0.99750000000000005</v>
      </c>
      <c r="AH176" s="240">
        <f>IFERROR(_xlfn.XLOOKUP($D176,'Modelling New'!$D:$D,'Modelling New'!AF:AF),"")</f>
        <v>0.99750000000000005</v>
      </c>
      <c r="AI176" s="186"/>
      <c r="AJ176" s="186"/>
      <c r="AK176" s="225"/>
      <c r="AL176" s="224">
        <f>IFERROR(Table13[[#This Row],[RA (%)]]*9270*58,"")</f>
        <v>0</v>
      </c>
      <c r="AM176" s="225"/>
      <c r="AN176" s="238"/>
      <c r="AO176" s="240"/>
      <c r="AP176" s="240"/>
      <c r="AQ176" s="240"/>
      <c r="AR176" s="242">
        <f>IFERROR(_xlfn.XLOOKUP($D176,'Modelling New'!$D:$D,'Modelling New'!$N:$N),"")</f>
        <v>335.09100000000001</v>
      </c>
    </row>
    <row r="177" spans="1:44">
      <c r="A177" s="233">
        <f t="shared" si="11"/>
        <v>45920</v>
      </c>
      <c r="B177" s="228">
        <f>YEAR(Table13[[#This Row],[Date]])+IF(MONTH(Table13[[#This Row],[Date]])&gt;=4,1,0)</f>
        <v>2026</v>
      </c>
      <c r="C177" s="186">
        <f>YEAR(Table13[[#This Row],[Date]])</f>
        <v>2025</v>
      </c>
      <c r="D177" s="234">
        <f>Table13[[#This Row],[Date]]-DAY(Table13[[#This Row],[Date]])+1</f>
        <v>45901</v>
      </c>
      <c r="E177" s="186">
        <f t="shared" si="13"/>
        <v>30</v>
      </c>
      <c r="F177" s="235" t="str">
        <f>IFERROR(_xlfn.XLOOKUP($A177,'Raw_Data'!$B:$B,'Raw_Data'!$IX:$IX),"")</f>
        <v/>
      </c>
      <c r="G177" s="236" t="str">
        <f>IFERROR(_xlfn.XLOOKUP($A177,'Raw_Data'!$B:$B,'Raw_Data'!IY:IY),"")</f>
        <v/>
      </c>
      <c r="H177" s="236" t="str">
        <f>IFERROR(_xlfn.XLOOKUP($A177,'Raw_Data'!$B:$B,'Raw_Data'!IZ:IZ),"")</f>
        <v/>
      </c>
      <c r="I177" s="236" t="str">
        <f>IFERROR(_xlfn.XLOOKUP($A177,'Raw_Data'!$B:$B,'Raw_Data'!JA:JA),"")</f>
        <v/>
      </c>
      <c r="J177" s="236" t="str">
        <f>IFERROR(_xlfn.XLOOKUP($A177,'Raw_Data'!$B:$B,'Raw_Data'!JB:JB),"")</f>
        <v/>
      </c>
      <c r="K177" s="236" t="str">
        <f>IFERROR(_xlfn.XLOOKUP($A177,'Raw_Data'!$B:$B,'Raw_Data'!JE:JE),"")</f>
        <v/>
      </c>
      <c r="L177" s="236" t="str">
        <f>IFERROR(_xlfn.XLOOKUP($A177,'Raw_Data'!$B:$B,'Raw_Data'!JF:JF),"")</f>
        <v/>
      </c>
      <c r="M177" s="236" t="str">
        <f>IFERROR(_xlfn.XLOOKUP($A177,'Raw_Data'!$B:$B,'Raw_Data'!JG:JG),"")</f>
        <v/>
      </c>
      <c r="N177" s="236" t="str">
        <f>IFERROR(_xlfn.XLOOKUP($A177,'Raw_Data'!$B:$B,'Raw_Data'!JH:JH),"")</f>
        <v/>
      </c>
      <c r="O177" s="237" t="str">
        <f>IFERROR(1-SUMIF(PA!$B:$B,$A177,PA!$AL:$AL)/($AA177+SUMIF(PA!$B:$B,$A177,PA!$AL:$AL)),"")</f>
        <v/>
      </c>
      <c r="P177" s="238"/>
      <c r="Q177" s="239"/>
      <c r="R177" s="240" t="str">
        <f>IFERROR(1-SUMIF(GA!$C:$C,$A177,GA!$X:$X)/($AA177+SUMIF(GA!$C:$C,$A177,GA!$X:$X)),"")</f>
        <v/>
      </c>
      <c r="S177" s="186"/>
      <c r="T177" s="239"/>
      <c r="U177" s="237" t="str">
        <f t="shared" si="9"/>
        <v/>
      </c>
      <c r="V177" s="237" t="str">
        <f>IFERROR(_xlfn.XLOOKUP($A177,'Raw_Data'!$B:$B,'Raw_Data'!$JL:$JL),"")</f>
        <v/>
      </c>
      <c r="W177" s="240" t="str">
        <f t="shared" si="10"/>
        <v/>
      </c>
      <c r="X177" s="228" t="str">
        <f>IFERROR(_xlfn.XLOOKUP($A177,'Raw_Data'!$B:$B,'Raw_Data'!$JI:$JI),"")</f>
        <v/>
      </c>
      <c r="Y177" s="228" t="str">
        <f>IFERROR(_xlfn.XLOOKUP($A177,'Raw_Data'!$B:$B,'Raw_Data'!IT:IT),"")</f>
        <v/>
      </c>
      <c r="Z177" s="228" t="str">
        <f>IFERROR(_xlfn.XLOOKUP($A177,'Raw_Data'!$B:$B,'Raw_Data'!IU:IU),"")</f>
        <v/>
      </c>
      <c r="AA177" s="228" t="str">
        <f>IFERROR(_xlfn.XLOOKUP($A177,'Raw_Data'!$B:$B,'Raw_Data'!IW:IW),"")</f>
        <v/>
      </c>
      <c r="AB177" s="228" t="str">
        <f>IFERROR(_xlfn.XLOOKUP($A177,'Raw_Data'!$B:$B,'Raw_Data'!I:I)/1000,"")</f>
        <v/>
      </c>
      <c r="AC177" s="241">
        <f>IFERROR(_xlfn.XLOOKUP($D177,'Modelling New'!$D:$D,'Modelling New'!$P:$P),"")</f>
        <v>6.4033333333333333</v>
      </c>
      <c r="AD177" s="228">
        <f>IFERROR(_xlfn.XLOOKUP($D177,'Modelling New'!$D:$D,'Modelling New'!$T:$T)*1000,"")</f>
        <v>1755680.2929358287</v>
      </c>
      <c r="AE177" s="240">
        <f>IFERROR(_xlfn.XLOOKUP($D177,'Modelling New'!$D:$D,'Modelling New'!$O:$O),"")</f>
        <v>0.81823218922594398</v>
      </c>
      <c r="AF177" s="240">
        <f>IFERROR(_xlfn.XLOOKUP($D177,'Modelling New'!$D:$D,'Modelling New'!$W:$W),"")</f>
        <v>0.21830889381986643</v>
      </c>
      <c r="AG177" s="240">
        <f>IFERROR(_xlfn.XLOOKUP($D177,'Modelling New'!$D:$D,'Modelling New'!AE:AE),"")</f>
        <v>0.99750000000000005</v>
      </c>
      <c r="AH177" s="240">
        <f>IFERROR(_xlfn.XLOOKUP($D177,'Modelling New'!$D:$D,'Modelling New'!AF:AF),"")</f>
        <v>0.99750000000000005</v>
      </c>
      <c r="AI177" s="186"/>
      <c r="AJ177" s="186"/>
      <c r="AK177" s="225"/>
      <c r="AL177" s="224">
        <f>IFERROR(Table13[[#This Row],[RA (%)]]*9270*58,"")</f>
        <v>0</v>
      </c>
      <c r="AM177" s="225"/>
      <c r="AN177" s="238"/>
      <c r="AO177" s="240"/>
      <c r="AP177" s="240"/>
      <c r="AQ177" s="240"/>
      <c r="AR177" s="242">
        <f>IFERROR(_xlfn.XLOOKUP($D177,'Modelling New'!$D:$D,'Modelling New'!$N:$N),"")</f>
        <v>335.09100000000001</v>
      </c>
    </row>
    <row r="178" spans="1:44">
      <c r="A178" s="233">
        <f t="shared" si="11"/>
        <v>45921</v>
      </c>
      <c r="B178" s="228">
        <f>YEAR(Table13[[#This Row],[Date]])+IF(MONTH(Table13[[#This Row],[Date]])&gt;=4,1,0)</f>
        <v>2026</v>
      </c>
      <c r="C178" s="186">
        <f>YEAR(Table13[[#This Row],[Date]])</f>
        <v>2025</v>
      </c>
      <c r="D178" s="234">
        <f>Table13[[#This Row],[Date]]-DAY(Table13[[#This Row],[Date]])+1</f>
        <v>45901</v>
      </c>
      <c r="E178" s="186">
        <f t="shared" si="13"/>
        <v>30</v>
      </c>
      <c r="F178" s="235" t="str">
        <f>IFERROR(_xlfn.XLOOKUP($A178,'Raw_Data'!$B:$B,'Raw_Data'!$IX:$IX),"")</f>
        <v/>
      </c>
      <c r="G178" s="236" t="str">
        <f>IFERROR(_xlfn.XLOOKUP($A178,'Raw_Data'!$B:$B,'Raw_Data'!IY:IY),"")</f>
        <v/>
      </c>
      <c r="H178" s="236" t="str">
        <f>IFERROR(_xlfn.XLOOKUP($A178,'Raw_Data'!$B:$B,'Raw_Data'!IZ:IZ),"")</f>
        <v/>
      </c>
      <c r="I178" s="236" t="str">
        <f>IFERROR(_xlfn.XLOOKUP($A178,'Raw_Data'!$B:$B,'Raw_Data'!JA:JA),"")</f>
        <v/>
      </c>
      <c r="J178" s="236" t="str">
        <f>IFERROR(_xlfn.XLOOKUP($A178,'Raw_Data'!$B:$B,'Raw_Data'!JB:JB),"")</f>
        <v/>
      </c>
      <c r="K178" s="236" t="str">
        <f>IFERROR(_xlfn.XLOOKUP($A178,'Raw_Data'!$B:$B,'Raw_Data'!JE:JE),"")</f>
        <v/>
      </c>
      <c r="L178" s="236" t="str">
        <f>IFERROR(_xlfn.XLOOKUP($A178,'Raw_Data'!$B:$B,'Raw_Data'!JF:JF),"")</f>
        <v/>
      </c>
      <c r="M178" s="236" t="str">
        <f>IFERROR(_xlfn.XLOOKUP($A178,'Raw_Data'!$B:$B,'Raw_Data'!JG:JG),"")</f>
        <v/>
      </c>
      <c r="N178" s="236" t="str">
        <f>IFERROR(_xlfn.XLOOKUP($A178,'Raw_Data'!$B:$B,'Raw_Data'!JH:JH),"")</f>
        <v/>
      </c>
      <c r="O178" s="237" t="str">
        <f>IFERROR(1-SUMIF(PA!$B:$B,$A178,PA!$AL:$AL)/($AA178+SUMIF(PA!$B:$B,$A178,PA!$AL:$AL)),"")</f>
        <v/>
      </c>
      <c r="P178" s="238"/>
      <c r="Q178" s="239"/>
      <c r="R178" s="240" t="str">
        <f>IFERROR(1-SUMIF(GA!$C:$C,$A178,GA!$X:$X)/($AA178+SUMIF(GA!$C:$C,$A178,GA!$X:$X)),"")</f>
        <v/>
      </c>
      <c r="S178" s="186"/>
      <c r="T178" s="239"/>
      <c r="U178" s="237" t="str">
        <f t="shared" si="9"/>
        <v/>
      </c>
      <c r="V178" s="237" t="str">
        <f>IFERROR(_xlfn.XLOOKUP($A178,'Raw_Data'!$B:$B,'Raw_Data'!$JL:$JL),"")</f>
        <v/>
      </c>
      <c r="W178" s="240" t="str">
        <f t="shared" si="10"/>
        <v/>
      </c>
      <c r="X178" s="228" t="str">
        <f>IFERROR(_xlfn.XLOOKUP($A178,'Raw_Data'!$B:$B,'Raw_Data'!$JI:$JI),"")</f>
        <v/>
      </c>
      <c r="Y178" s="228" t="str">
        <f>IFERROR(_xlfn.XLOOKUP($A178,'Raw_Data'!$B:$B,'Raw_Data'!IT:IT),"")</f>
        <v/>
      </c>
      <c r="Z178" s="228" t="str">
        <f>IFERROR(_xlfn.XLOOKUP($A178,'Raw_Data'!$B:$B,'Raw_Data'!IU:IU),"")</f>
        <v/>
      </c>
      <c r="AA178" s="228" t="str">
        <f>IFERROR(_xlfn.XLOOKUP($A178,'Raw_Data'!$B:$B,'Raw_Data'!IW:IW),"")</f>
        <v/>
      </c>
      <c r="AB178" s="228" t="str">
        <f>IFERROR(_xlfn.XLOOKUP($A178,'Raw_Data'!$B:$B,'Raw_Data'!I:I)/1000,"")</f>
        <v/>
      </c>
      <c r="AC178" s="241">
        <f>IFERROR(_xlfn.XLOOKUP($D178,'Modelling New'!$D:$D,'Modelling New'!$P:$P),"")</f>
        <v>6.4033333333333333</v>
      </c>
      <c r="AD178" s="228">
        <f>IFERROR(_xlfn.XLOOKUP($D178,'Modelling New'!$D:$D,'Modelling New'!$T:$T)*1000,"")</f>
        <v>1755680.2929358287</v>
      </c>
      <c r="AE178" s="240">
        <f>IFERROR(_xlfn.XLOOKUP($D178,'Modelling New'!$D:$D,'Modelling New'!$O:$O),"")</f>
        <v>0.81823218922594398</v>
      </c>
      <c r="AF178" s="240">
        <f>IFERROR(_xlfn.XLOOKUP($D178,'Modelling New'!$D:$D,'Modelling New'!$W:$W),"")</f>
        <v>0.21830889381986643</v>
      </c>
      <c r="AG178" s="240">
        <f>IFERROR(_xlfn.XLOOKUP($D178,'Modelling New'!$D:$D,'Modelling New'!AE:AE),"")</f>
        <v>0.99750000000000005</v>
      </c>
      <c r="AH178" s="240">
        <f>IFERROR(_xlfn.XLOOKUP($D178,'Modelling New'!$D:$D,'Modelling New'!AF:AF),"")</f>
        <v>0.99750000000000005</v>
      </c>
      <c r="AI178" s="186"/>
      <c r="AJ178" s="186"/>
      <c r="AK178" s="225"/>
      <c r="AL178" s="224">
        <f>IFERROR(Table13[[#This Row],[RA (%)]]*9270*58,"")</f>
        <v>0</v>
      </c>
      <c r="AM178" s="225"/>
      <c r="AN178" s="238"/>
      <c r="AO178" s="240"/>
      <c r="AP178" s="240"/>
      <c r="AQ178" s="240"/>
      <c r="AR178" s="242">
        <f>IFERROR(_xlfn.XLOOKUP($D178,'Modelling New'!$D:$D,'Modelling New'!$N:$N),"")</f>
        <v>335.09100000000001</v>
      </c>
    </row>
    <row r="179" spans="1:44">
      <c r="A179" s="233">
        <f t="shared" si="11"/>
        <v>45922</v>
      </c>
      <c r="B179" s="228">
        <f>YEAR(Table13[[#This Row],[Date]])+IF(MONTH(Table13[[#This Row],[Date]])&gt;=4,1,0)</f>
        <v>2026</v>
      </c>
      <c r="C179" s="186">
        <f>YEAR(Table13[[#This Row],[Date]])</f>
        <v>2025</v>
      </c>
      <c r="D179" s="234">
        <f>Table13[[#This Row],[Date]]-DAY(Table13[[#This Row],[Date]])+1</f>
        <v>45901</v>
      </c>
      <c r="E179" s="186">
        <f t="shared" si="13"/>
        <v>30</v>
      </c>
      <c r="F179" s="235" t="str">
        <f>IFERROR(_xlfn.XLOOKUP($A179,'Raw_Data'!$B:$B,'Raw_Data'!$IX:$IX),"")</f>
        <v/>
      </c>
      <c r="G179" s="236" t="str">
        <f>IFERROR(_xlfn.XLOOKUP($A179,'Raw_Data'!$B:$B,'Raw_Data'!IY:IY),"")</f>
        <v/>
      </c>
      <c r="H179" s="236" t="str">
        <f>IFERROR(_xlfn.XLOOKUP($A179,'Raw_Data'!$B:$B,'Raw_Data'!IZ:IZ),"")</f>
        <v/>
      </c>
      <c r="I179" s="236" t="str">
        <f>IFERROR(_xlfn.XLOOKUP($A179,'Raw_Data'!$B:$B,'Raw_Data'!JA:JA),"")</f>
        <v/>
      </c>
      <c r="J179" s="236" t="str">
        <f>IFERROR(_xlfn.XLOOKUP($A179,'Raw_Data'!$B:$B,'Raw_Data'!JB:JB),"")</f>
        <v/>
      </c>
      <c r="K179" s="236" t="str">
        <f>IFERROR(_xlfn.XLOOKUP($A179,'Raw_Data'!$B:$B,'Raw_Data'!JE:JE),"")</f>
        <v/>
      </c>
      <c r="L179" s="236" t="str">
        <f>IFERROR(_xlfn.XLOOKUP($A179,'Raw_Data'!$B:$B,'Raw_Data'!JF:JF),"")</f>
        <v/>
      </c>
      <c r="M179" s="236" t="str">
        <f>IFERROR(_xlfn.XLOOKUP($A179,'Raw_Data'!$B:$B,'Raw_Data'!JG:JG),"")</f>
        <v/>
      </c>
      <c r="N179" s="236" t="str">
        <f>IFERROR(_xlfn.XLOOKUP($A179,'Raw_Data'!$B:$B,'Raw_Data'!JH:JH),"")</f>
        <v/>
      </c>
      <c r="O179" s="237" t="str">
        <f>IFERROR(1-SUMIF(PA!$B:$B,$A179,PA!$AL:$AL)/($AA179+SUMIF(PA!$B:$B,$A179,PA!$AL:$AL)),"")</f>
        <v/>
      </c>
      <c r="P179" s="238"/>
      <c r="Q179" s="239"/>
      <c r="R179" s="240" t="str">
        <f>IFERROR(1-SUMIF(GA!$C:$C,$A179,GA!$X:$X)/($AA179+SUMIF(GA!$C:$C,$A179,GA!$X:$X)),"")</f>
        <v/>
      </c>
      <c r="S179" s="186"/>
      <c r="T179" s="239"/>
      <c r="U179" s="237" t="str">
        <f t="shared" si="9"/>
        <v/>
      </c>
      <c r="V179" s="237" t="str">
        <f>IFERROR(_xlfn.XLOOKUP($A179,'Raw_Data'!$B:$B,'Raw_Data'!$JL:$JL),"")</f>
        <v/>
      </c>
      <c r="W179" s="240" t="str">
        <f t="shared" si="10"/>
        <v/>
      </c>
      <c r="X179" s="228" t="str">
        <f>IFERROR(_xlfn.XLOOKUP($A179,'Raw_Data'!$B:$B,'Raw_Data'!$JI:$JI),"")</f>
        <v/>
      </c>
      <c r="Y179" s="228" t="str">
        <f>IFERROR(_xlfn.XLOOKUP($A179,'Raw_Data'!$B:$B,'Raw_Data'!IT:IT),"")</f>
        <v/>
      </c>
      <c r="Z179" s="228" t="str">
        <f>IFERROR(_xlfn.XLOOKUP($A179,'Raw_Data'!$B:$B,'Raw_Data'!IU:IU),"")</f>
        <v/>
      </c>
      <c r="AA179" s="228" t="str">
        <f>IFERROR(_xlfn.XLOOKUP($A179,'Raw_Data'!$B:$B,'Raw_Data'!IW:IW),"")</f>
        <v/>
      </c>
      <c r="AB179" s="228" t="str">
        <f>IFERROR(_xlfn.XLOOKUP($A179,'Raw_Data'!$B:$B,'Raw_Data'!I:I)/1000,"")</f>
        <v/>
      </c>
      <c r="AC179" s="241">
        <f>IFERROR(_xlfn.XLOOKUP($D179,'Modelling New'!$D:$D,'Modelling New'!$P:$P),"")</f>
        <v>6.4033333333333333</v>
      </c>
      <c r="AD179" s="228">
        <f>IFERROR(_xlfn.XLOOKUP($D179,'Modelling New'!$D:$D,'Modelling New'!$T:$T)*1000,"")</f>
        <v>1755680.2929358287</v>
      </c>
      <c r="AE179" s="240">
        <f>IFERROR(_xlfn.XLOOKUP($D179,'Modelling New'!$D:$D,'Modelling New'!$O:$O),"")</f>
        <v>0.81823218922594398</v>
      </c>
      <c r="AF179" s="240">
        <f>IFERROR(_xlfn.XLOOKUP($D179,'Modelling New'!$D:$D,'Modelling New'!$W:$W),"")</f>
        <v>0.21830889381986643</v>
      </c>
      <c r="AG179" s="240">
        <f>IFERROR(_xlfn.XLOOKUP($D179,'Modelling New'!$D:$D,'Modelling New'!AE:AE),"")</f>
        <v>0.99750000000000005</v>
      </c>
      <c r="AH179" s="240">
        <f>IFERROR(_xlfn.XLOOKUP($D179,'Modelling New'!$D:$D,'Modelling New'!AF:AF),"")</f>
        <v>0.99750000000000005</v>
      </c>
      <c r="AI179" s="186"/>
      <c r="AJ179" s="186"/>
      <c r="AK179" s="225"/>
      <c r="AL179" s="224">
        <f>IFERROR(Table13[[#This Row],[RA (%)]]*9270*58,"")</f>
        <v>0</v>
      </c>
      <c r="AM179" s="225"/>
      <c r="AN179" s="238"/>
      <c r="AO179" s="240"/>
      <c r="AP179" s="240"/>
      <c r="AQ179" s="240"/>
      <c r="AR179" s="242">
        <f>IFERROR(_xlfn.XLOOKUP($D179,'Modelling New'!$D:$D,'Modelling New'!$N:$N),"")</f>
        <v>335.09100000000001</v>
      </c>
    </row>
    <row r="180" spans="1:44">
      <c r="A180" s="233">
        <f t="shared" si="11"/>
        <v>45923</v>
      </c>
      <c r="B180" s="228">
        <f>YEAR(Table13[[#This Row],[Date]])+IF(MONTH(Table13[[#This Row],[Date]])&gt;=4,1,0)</f>
        <v>2026</v>
      </c>
      <c r="C180" s="186">
        <f>YEAR(Table13[[#This Row],[Date]])</f>
        <v>2025</v>
      </c>
      <c r="D180" s="234">
        <f>Table13[[#This Row],[Date]]-DAY(Table13[[#This Row],[Date]])+1</f>
        <v>45901</v>
      </c>
      <c r="E180" s="186">
        <f t="shared" si="13"/>
        <v>30</v>
      </c>
      <c r="F180" s="235" t="str">
        <f>IFERROR(_xlfn.XLOOKUP($A180,'Raw_Data'!$B:$B,'Raw_Data'!$IX:$IX),"")</f>
        <v/>
      </c>
      <c r="G180" s="236" t="str">
        <f>IFERROR(_xlfn.XLOOKUP($A180,'Raw_Data'!$B:$B,'Raw_Data'!IY:IY),"")</f>
        <v/>
      </c>
      <c r="H180" s="236" t="str">
        <f>IFERROR(_xlfn.XLOOKUP($A180,'Raw_Data'!$B:$B,'Raw_Data'!IZ:IZ),"")</f>
        <v/>
      </c>
      <c r="I180" s="236" t="str">
        <f>IFERROR(_xlfn.XLOOKUP($A180,'Raw_Data'!$B:$B,'Raw_Data'!JA:JA),"")</f>
        <v/>
      </c>
      <c r="J180" s="236" t="str">
        <f>IFERROR(_xlfn.XLOOKUP($A180,'Raw_Data'!$B:$B,'Raw_Data'!JB:JB),"")</f>
        <v/>
      </c>
      <c r="K180" s="236" t="str">
        <f>IFERROR(_xlfn.XLOOKUP($A180,'Raw_Data'!$B:$B,'Raw_Data'!JE:JE),"")</f>
        <v/>
      </c>
      <c r="L180" s="236" t="str">
        <f>IFERROR(_xlfn.XLOOKUP($A180,'Raw_Data'!$B:$B,'Raw_Data'!JF:JF),"")</f>
        <v/>
      </c>
      <c r="M180" s="236" t="str">
        <f>IFERROR(_xlfn.XLOOKUP($A180,'Raw_Data'!$B:$B,'Raw_Data'!JG:JG),"")</f>
        <v/>
      </c>
      <c r="N180" s="236" t="str">
        <f>IFERROR(_xlfn.XLOOKUP($A180,'Raw_Data'!$B:$B,'Raw_Data'!JH:JH),"")</f>
        <v/>
      </c>
      <c r="O180" s="237" t="str">
        <f>IFERROR(1-SUMIF(PA!$B:$B,$A180,PA!$AL:$AL)/($AA180+SUMIF(PA!$B:$B,$A180,PA!$AL:$AL)),"")</f>
        <v/>
      </c>
      <c r="P180" s="238"/>
      <c r="Q180" s="239"/>
      <c r="R180" s="240" t="str">
        <f>IFERROR(1-SUMIF(GA!$C:$C,$A180,GA!$X:$X)/($AA180+SUMIF(GA!$C:$C,$A180,GA!$X:$X)),"")</f>
        <v/>
      </c>
      <c r="S180" s="186"/>
      <c r="T180" s="239"/>
      <c r="U180" s="237" t="str">
        <f t="shared" si="9"/>
        <v/>
      </c>
      <c r="V180" s="237" t="str">
        <f>IFERROR(_xlfn.XLOOKUP($A180,'Raw_Data'!$B:$B,'Raw_Data'!$JL:$JL),"")</f>
        <v/>
      </c>
      <c r="W180" s="240" t="str">
        <f t="shared" si="10"/>
        <v/>
      </c>
      <c r="X180" s="228" t="str">
        <f>IFERROR(_xlfn.XLOOKUP($A180,'Raw_Data'!$B:$B,'Raw_Data'!$JI:$JI),"")</f>
        <v/>
      </c>
      <c r="Y180" s="228" t="str">
        <f>IFERROR(_xlfn.XLOOKUP($A180,'Raw_Data'!$B:$B,'Raw_Data'!IT:IT),"")</f>
        <v/>
      </c>
      <c r="Z180" s="228" t="str">
        <f>IFERROR(_xlfn.XLOOKUP($A180,'Raw_Data'!$B:$B,'Raw_Data'!IU:IU),"")</f>
        <v/>
      </c>
      <c r="AA180" s="228" t="str">
        <f>IFERROR(_xlfn.XLOOKUP($A180,'Raw_Data'!$B:$B,'Raw_Data'!IW:IW),"")</f>
        <v/>
      </c>
      <c r="AB180" s="228" t="str">
        <f>IFERROR(_xlfn.XLOOKUP($A180,'Raw_Data'!$B:$B,'Raw_Data'!I:I)/1000,"")</f>
        <v/>
      </c>
      <c r="AC180" s="241">
        <f>IFERROR(_xlfn.XLOOKUP($D180,'Modelling New'!$D:$D,'Modelling New'!$P:$P),"")</f>
        <v>6.4033333333333333</v>
      </c>
      <c r="AD180" s="228">
        <f>IFERROR(_xlfn.XLOOKUP($D180,'Modelling New'!$D:$D,'Modelling New'!$T:$T)*1000,"")</f>
        <v>1755680.2929358287</v>
      </c>
      <c r="AE180" s="240">
        <f>IFERROR(_xlfn.XLOOKUP($D180,'Modelling New'!$D:$D,'Modelling New'!$O:$O),"")</f>
        <v>0.81823218922594398</v>
      </c>
      <c r="AF180" s="240">
        <f>IFERROR(_xlfn.XLOOKUP($D180,'Modelling New'!$D:$D,'Modelling New'!$W:$W),"")</f>
        <v>0.21830889381986643</v>
      </c>
      <c r="AG180" s="240">
        <f>IFERROR(_xlfn.XLOOKUP($D180,'Modelling New'!$D:$D,'Modelling New'!AE:AE),"")</f>
        <v>0.99750000000000005</v>
      </c>
      <c r="AH180" s="240">
        <f>IFERROR(_xlfn.XLOOKUP($D180,'Modelling New'!$D:$D,'Modelling New'!AF:AF),"")</f>
        <v>0.99750000000000005</v>
      </c>
      <c r="AI180" s="186"/>
      <c r="AJ180" s="186"/>
      <c r="AK180" s="225"/>
      <c r="AL180" s="224">
        <f>IFERROR(Table13[[#This Row],[RA (%)]]*9270*58,"")</f>
        <v>0</v>
      </c>
      <c r="AM180" s="225"/>
      <c r="AN180" s="238"/>
      <c r="AO180" s="240"/>
      <c r="AP180" s="240"/>
      <c r="AQ180" s="240"/>
      <c r="AR180" s="242">
        <f>IFERROR(_xlfn.XLOOKUP($D180,'Modelling New'!$D:$D,'Modelling New'!$N:$N),"")</f>
        <v>335.09100000000001</v>
      </c>
    </row>
    <row r="181" spans="1:44">
      <c r="A181" s="233">
        <f t="shared" si="11"/>
        <v>45924</v>
      </c>
      <c r="B181" s="228">
        <f>YEAR(Table13[[#This Row],[Date]])+IF(MONTH(Table13[[#This Row],[Date]])&gt;=4,1,0)</f>
        <v>2026</v>
      </c>
      <c r="C181" s="186">
        <f>YEAR(Table13[[#This Row],[Date]])</f>
        <v>2025</v>
      </c>
      <c r="D181" s="234">
        <f>Table13[[#This Row],[Date]]-DAY(Table13[[#This Row],[Date]])+1</f>
        <v>45901</v>
      </c>
      <c r="E181" s="186">
        <f t="shared" si="13"/>
        <v>30</v>
      </c>
      <c r="F181" s="235" t="str">
        <f>IFERROR(_xlfn.XLOOKUP($A181,'Raw_Data'!$B:$B,'Raw_Data'!$IX:$IX),"")</f>
        <v/>
      </c>
      <c r="G181" s="236" t="str">
        <f>IFERROR(_xlfn.XLOOKUP($A181,'Raw_Data'!$B:$B,'Raw_Data'!IY:IY),"")</f>
        <v/>
      </c>
      <c r="H181" s="236" t="str">
        <f>IFERROR(_xlfn.XLOOKUP($A181,'Raw_Data'!$B:$B,'Raw_Data'!IZ:IZ),"")</f>
        <v/>
      </c>
      <c r="I181" s="236" t="str">
        <f>IFERROR(_xlfn.XLOOKUP($A181,'Raw_Data'!$B:$B,'Raw_Data'!JA:JA),"")</f>
        <v/>
      </c>
      <c r="J181" s="236" t="str">
        <f>IFERROR(_xlfn.XLOOKUP($A181,'Raw_Data'!$B:$B,'Raw_Data'!JB:JB),"")</f>
        <v/>
      </c>
      <c r="K181" s="236" t="str">
        <f>IFERROR(_xlfn.XLOOKUP($A181,'Raw_Data'!$B:$B,'Raw_Data'!JE:JE),"")</f>
        <v/>
      </c>
      <c r="L181" s="236" t="str">
        <f>IFERROR(_xlfn.XLOOKUP($A181,'Raw_Data'!$B:$B,'Raw_Data'!JF:JF),"")</f>
        <v/>
      </c>
      <c r="M181" s="236" t="str">
        <f>IFERROR(_xlfn.XLOOKUP($A181,'Raw_Data'!$B:$B,'Raw_Data'!JG:JG),"")</f>
        <v/>
      </c>
      <c r="N181" s="236" t="str">
        <f>IFERROR(_xlfn.XLOOKUP($A181,'Raw_Data'!$B:$B,'Raw_Data'!JH:JH),"")</f>
        <v/>
      </c>
      <c r="O181" s="237" t="str">
        <f>IFERROR(1-SUMIF(PA!$B:$B,$A181,PA!$AL:$AL)/($AA181+SUMIF(PA!$B:$B,$A181,PA!$AL:$AL)),"")</f>
        <v/>
      </c>
      <c r="P181" s="238"/>
      <c r="Q181" s="239"/>
      <c r="R181" s="240" t="str">
        <f>IFERROR(1-SUMIF(GA!$C:$C,$A181,GA!$X:$X)/($AA181+SUMIF(GA!$C:$C,$A181,GA!$X:$X)),"")</f>
        <v/>
      </c>
      <c r="S181" s="186"/>
      <c r="T181" s="239"/>
      <c r="U181" s="237" t="str">
        <f t="shared" si="9"/>
        <v/>
      </c>
      <c r="V181" s="237" t="str">
        <f>IFERROR(_xlfn.XLOOKUP($A181,'Raw_Data'!$B:$B,'Raw_Data'!$JL:$JL),"")</f>
        <v/>
      </c>
      <c r="W181" s="240" t="str">
        <f t="shared" si="10"/>
        <v/>
      </c>
      <c r="X181" s="228" t="str">
        <f>IFERROR(_xlfn.XLOOKUP($A181,'Raw_Data'!$B:$B,'Raw_Data'!$JI:$JI),"")</f>
        <v/>
      </c>
      <c r="Y181" s="228" t="str">
        <f>IFERROR(_xlfn.XLOOKUP($A181,'Raw_Data'!$B:$B,'Raw_Data'!IT:IT),"")</f>
        <v/>
      </c>
      <c r="Z181" s="228" t="str">
        <f>IFERROR(_xlfn.XLOOKUP($A181,'Raw_Data'!$B:$B,'Raw_Data'!IU:IU),"")</f>
        <v/>
      </c>
      <c r="AA181" s="228" t="str">
        <f>IFERROR(_xlfn.XLOOKUP($A181,'Raw_Data'!$B:$B,'Raw_Data'!IW:IW),"")</f>
        <v/>
      </c>
      <c r="AB181" s="228" t="str">
        <f>IFERROR(_xlfn.XLOOKUP($A181,'Raw_Data'!$B:$B,'Raw_Data'!I:I)/1000,"")</f>
        <v/>
      </c>
      <c r="AC181" s="241">
        <f>IFERROR(_xlfn.XLOOKUP($D181,'Modelling New'!$D:$D,'Modelling New'!$P:$P),"")</f>
        <v>6.4033333333333333</v>
      </c>
      <c r="AD181" s="228">
        <f>IFERROR(_xlfn.XLOOKUP($D181,'Modelling New'!$D:$D,'Modelling New'!$T:$T)*1000,"")</f>
        <v>1755680.2929358287</v>
      </c>
      <c r="AE181" s="240">
        <f>IFERROR(_xlfn.XLOOKUP($D181,'Modelling New'!$D:$D,'Modelling New'!$O:$O),"")</f>
        <v>0.81823218922594398</v>
      </c>
      <c r="AF181" s="240">
        <f>IFERROR(_xlfn.XLOOKUP($D181,'Modelling New'!$D:$D,'Modelling New'!$W:$W),"")</f>
        <v>0.21830889381986643</v>
      </c>
      <c r="AG181" s="240">
        <f>IFERROR(_xlfn.XLOOKUP($D181,'Modelling New'!$D:$D,'Modelling New'!AE:AE),"")</f>
        <v>0.99750000000000005</v>
      </c>
      <c r="AH181" s="240">
        <f>IFERROR(_xlfn.XLOOKUP($D181,'Modelling New'!$D:$D,'Modelling New'!AF:AF),"")</f>
        <v>0.99750000000000005</v>
      </c>
      <c r="AI181" s="186"/>
      <c r="AJ181" s="186"/>
      <c r="AK181" s="225"/>
      <c r="AL181" s="224">
        <f>IFERROR(Table13[[#This Row],[RA (%)]]*9270*58,"")</f>
        <v>0</v>
      </c>
      <c r="AM181" s="225"/>
      <c r="AN181" s="238"/>
      <c r="AO181" s="240"/>
      <c r="AP181" s="240"/>
      <c r="AQ181" s="240"/>
      <c r="AR181" s="242">
        <f>IFERROR(_xlfn.XLOOKUP($D181,'Modelling New'!$D:$D,'Modelling New'!$N:$N),"")</f>
        <v>335.09100000000001</v>
      </c>
    </row>
    <row r="182" spans="1:44">
      <c r="A182" s="233">
        <f t="shared" si="11"/>
        <v>45925</v>
      </c>
      <c r="B182" s="228">
        <f>YEAR(Table13[[#This Row],[Date]])+IF(MONTH(Table13[[#This Row],[Date]])&gt;=4,1,0)</f>
        <v>2026</v>
      </c>
      <c r="C182" s="186">
        <f>YEAR(Table13[[#This Row],[Date]])</f>
        <v>2025</v>
      </c>
      <c r="D182" s="234">
        <f>Table13[[#This Row],[Date]]-DAY(Table13[[#This Row],[Date]])+1</f>
        <v>45901</v>
      </c>
      <c r="E182" s="186">
        <f t="shared" si="13"/>
        <v>30</v>
      </c>
      <c r="F182" s="235" t="str">
        <f>IFERROR(_xlfn.XLOOKUP($A182,'Raw_Data'!$B:$B,'Raw_Data'!$IX:$IX),"")</f>
        <v/>
      </c>
      <c r="G182" s="236" t="str">
        <f>IFERROR(_xlfn.XLOOKUP($A182,'Raw_Data'!$B:$B,'Raw_Data'!IY:IY),"")</f>
        <v/>
      </c>
      <c r="H182" s="236" t="str">
        <f>IFERROR(_xlfn.XLOOKUP($A182,'Raw_Data'!$B:$B,'Raw_Data'!IZ:IZ),"")</f>
        <v/>
      </c>
      <c r="I182" s="236" t="str">
        <f>IFERROR(_xlfn.XLOOKUP($A182,'Raw_Data'!$B:$B,'Raw_Data'!JA:JA),"")</f>
        <v/>
      </c>
      <c r="J182" s="236" t="str">
        <f>IFERROR(_xlfn.XLOOKUP($A182,'Raw_Data'!$B:$B,'Raw_Data'!JB:JB),"")</f>
        <v/>
      </c>
      <c r="K182" s="236" t="str">
        <f>IFERROR(_xlfn.XLOOKUP($A182,'Raw_Data'!$B:$B,'Raw_Data'!JE:JE),"")</f>
        <v/>
      </c>
      <c r="L182" s="236" t="str">
        <f>IFERROR(_xlfn.XLOOKUP($A182,'Raw_Data'!$B:$B,'Raw_Data'!JF:JF),"")</f>
        <v/>
      </c>
      <c r="M182" s="236" t="str">
        <f>IFERROR(_xlfn.XLOOKUP($A182,'Raw_Data'!$B:$B,'Raw_Data'!JG:JG),"")</f>
        <v/>
      </c>
      <c r="N182" s="236" t="str">
        <f>IFERROR(_xlfn.XLOOKUP($A182,'Raw_Data'!$B:$B,'Raw_Data'!JH:JH),"")</f>
        <v/>
      </c>
      <c r="O182" s="237" t="str">
        <f>IFERROR(1-SUMIF(PA!$B:$B,$A182,PA!$AL:$AL)/($AA182+SUMIF(PA!$B:$B,$A182,PA!$AL:$AL)),"")</f>
        <v/>
      </c>
      <c r="P182" s="238"/>
      <c r="Q182" s="239"/>
      <c r="R182" s="240" t="str">
        <f>IFERROR(1-SUMIF(GA!$C:$C,$A182,GA!$X:$X)/($AA182+SUMIF(GA!$C:$C,$A182,GA!$X:$X)),"")</f>
        <v/>
      </c>
      <c r="S182" s="186"/>
      <c r="T182" s="239"/>
      <c r="U182" s="237" t="str">
        <f t="shared" si="9"/>
        <v/>
      </c>
      <c r="V182" s="237" t="str">
        <f>IFERROR(_xlfn.XLOOKUP($A182,'Raw_Data'!$B:$B,'Raw_Data'!$JL:$JL),"")</f>
        <v/>
      </c>
      <c r="W182" s="240" t="str">
        <f t="shared" si="10"/>
        <v/>
      </c>
      <c r="X182" s="228" t="str">
        <f>IFERROR(_xlfn.XLOOKUP($A182,'Raw_Data'!$B:$B,'Raw_Data'!$JI:$JI),"")</f>
        <v/>
      </c>
      <c r="Y182" s="228" t="str">
        <f>IFERROR(_xlfn.XLOOKUP($A182,'Raw_Data'!$B:$B,'Raw_Data'!IT:IT),"")</f>
        <v/>
      </c>
      <c r="Z182" s="228" t="str">
        <f>IFERROR(_xlfn.XLOOKUP($A182,'Raw_Data'!$B:$B,'Raw_Data'!IU:IU),"")</f>
        <v/>
      </c>
      <c r="AA182" s="228" t="str">
        <f>IFERROR(_xlfn.XLOOKUP($A182,'Raw_Data'!$B:$B,'Raw_Data'!IW:IW),"")</f>
        <v/>
      </c>
      <c r="AB182" s="228" t="str">
        <f>IFERROR(_xlfn.XLOOKUP($A182,'Raw_Data'!$B:$B,'Raw_Data'!I:I)/1000,"")</f>
        <v/>
      </c>
      <c r="AC182" s="241">
        <f>IFERROR(_xlfn.XLOOKUP($D182,'Modelling New'!$D:$D,'Modelling New'!$P:$P),"")</f>
        <v>6.4033333333333333</v>
      </c>
      <c r="AD182" s="228">
        <f>IFERROR(_xlfn.XLOOKUP($D182,'Modelling New'!$D:$D,'Modelling New'!$T:$T)*1000,"")</f>
        <v>1755680.2929358287</v>
      </c>
      <c r="AE182" s="240">
        <f>IFERROR(_xlfn.XLOOKUP($D182,'Modelling New'!$D:$D,'Modelling New'!$O:$O),"")</f>
        <v>0.81823218922594398</v>
      </c>
      <c r="AF182" s="240">
        <f>IFERROR(_xlfn.XLOOKUP($D182,'Modelling New'!$D:$D,'Modelling New'!$W:$W),"")</f>
        <v>0.21830889381986643</v>
      </c>
      <c r="AG182" s="240">
        <f>IFERROR(_xlfn.XLOOKUP($D182,'Modelling New'!$D:$D,'Modelling New'!AE:AE),"")</f>
        <v>0.99750000000000005</v>
      </c>
      <c r="AH182" s="240">
        <f>IFERROR(_xlfn.XLOOKUP($D182,'Modelling New'!$D:$D,'Modelling New'!AF:AF),"")</f>
        <v>0.99750000000000005</v>
      </c>
      <c r="AI182" s="186"/>
      <c r="AJ182" s="186"/>
      <c r="AK182" s="225"/>
      <c r="AL182" s="224">
        <f>IFERROR(Table13[[#This Row],[RA (%)]]*9270*58,"")</f>
        <v>0</v>
      </c>
      <c r="AM182" s="225"/>
      <c r="AN182" s="238"/>
      <c r="AO182" s="240"/>
      <c r="AP182" s="240"/>
      <c r="AQ182" s="240"/>
      <c r="AR182" s="242">
        <f>IFERROR(_xlfn.XLOOKUP($D182,'Modelling New'!$D:$D,'Modelling New'!$N:$N),"")</f>
        <v>335.09100000000001</v>
      </c>
    </row>
    <row r="183" spans="1:44">
      <c r="A183" s="233">
        <f t="shared" si="11"/>
        <v>45926</v>
      </c>
      <c r="B183" s="228">
        <f>YEAR(Table13[[#This Row],[Date]])+IF(MONTH(Table13[[#This Row],[Date]])&gt;=4,1,0)</f>
        <v>2026</v>
      </c>
      <c r="C183" s="186">
        <f>YEAR(Table13[[#This Row],[Date]])</f>
        <v>2025</v>
      </c>
      <c r="D183" s="234">
        <f>Table13[[#This Row],[Date]]-DAY(Table13[[#This Row],[Date]])+1</f>
        <v>45901</v>
      </c>
      <c r="E183" s="186">
        <f t="shared" si="13"/>
        <v>30</v>
      </c>
      <c r="F183" s="235" t="str">
        <f>IFERROR(_xlfn.XLOOKUP($A183,'Raw_Data'!$B:$B,'Raw_Data'!$IX:$IX),"")</f>
        <v/>
      </c>
      <c r="G183" s="236" t="str">
        <f>IFERROR(_xlfn.XLOOKUP($A183,'Raw_Data'!$B:$B,'Raw_Data'!IY:IY),"")</f>
        <v/>
      </c>
      <c r="H183" s="236" t="str">
        <f>IFERROR(_xlfn.XLOOKUP($A183,'Raw_Data'!$B:$B,'Raw_Data'!IZ:IZ),"")</f>
        <v/>
      </c>
      <c r="I183" s="236" t="str">
        <f>IFERROR(_xlfn.XLOOKUP($A183,'Raw_Data'!$B:$B,'Raw_Data'!JA:JA),"")</f>
        <v/>
      </c>
      <c r="J183" s="236" t="str">
        <f>IFERROR(_xlfn.XLOOKUP($A183,'Raw_Data'!$B:$B,'Raw_Data'!JB:JB),"")</f>
        <v/>
      </c>
      <c r="K183" s="236" t="str">
        <f>IFERROR(_xlfn.XLOOKUP($A183,'Raw_Data'!$B:$B,'Raw_Data'!JE:JE),"")</f>
        <v/>
      </c>
      <c r="L183" s="236" t="str">
        <f>IFERROR(_xlfn.XLOOKUP($A183,'Raw_Data'!$B:$B,'Raw_Data'!JF:JF),"")</f>
        <v/>
      </c>
      <c r="M183" s="236" t="str">
        <f>IFERROR(_xlfn.XLOOKUP($A183,'Raw_Data'!$B:$B,'Raw_Data'!JG:JG),"")</f>
        <v/>
      </c>
      <c r="N183" s="236" t="str">
        <f>IFERROR(_xlfn.XLOOKUP($A183,'Raw_Data'!$B:$B,'Raw_Data'!JH:JH),"")</f>
        <v/>
      </c>
      <c r="O183" s="237" t="str">
        <f>IFERROR(1-SUMIF(PA!$B:$B,$A183,PA!$AL:$AL)/($AA183+SUMIF(PA!$B:$B,$A183,PA!$AL:$AL)),"")</f>
        <v/>
      </c>
      <c r="P183" s="238"/>
      <c r="Q183" s="239"/>
      <c r="R183" s="240" t="str">
        <f>IFERROR(1-SUMIF(GA!$C:$C,$A183,GA!$X:$X)/($AA183+SUMIF(GA!$C:$C,$A183,GA!$X:$X)),"")</f>
        <v/>
      </c>
      <c r="S183" s="186"/>
      <c r="T183" s="239"/>
      <c r="U183" s="237" t="str">
        <f t="shared" si="9"/>
        <v/>
      </c>
      <c r="V183" s="237" t="str">
        <f>IFERROR(_xlfn.XLOOKUP($A183,'Raw_Data'!$B:$B,'Raw_Data'!$JL:$JL),"")</f>
        <v/>
      </c>
      <c r="W183" s="240" t="str">
        <f t="shared" si="10"/>
        <v/>
      </c>
      <c r="X183" s="228" t="str">
        <f>IFERROR(_xlfn.XLOOKUP($A183,'Raw_Data'!$B:$B,'Raw_Data'!$JI:$JI),"")</f>
        <v/>
      </c>
      <c r="Y183" s="228" t="str">
        <f>IFERROR(_xlfn.XLOOKUP($A183,'Raw_Data'!$B:$B,'Raw_Data'!IT:IT),"")</f>
        <v/>
      </c>
      <c r="Z183" s="228" t="str">
        <f>IFERROR(_xlfn.XLOOKUP($A183,'Raw_Data'!$B:$B,'Raw_Data'!IU:IU),"")</f>
        <v/>
      </c>
      <c r="AA183" s="228" t="str">
        <f>IFERROR(_xlfn.XLOOKUP($A183,'Raw_Data'!$B:$B,'Raw_Data'!IW:IW),"")</f>
        <v/>
      </c>
      <c r="AB183" s="228" t="str">
        <f>IFERROR(_xlfn.XLOOKUP($A183,'Raw_Data'!$B:$B,'Raw_Data'!I:I)/1000,"")</f>
        <v/>
      </c>
      <c r="AC183" s="241">
        <f>IFERROR(_xlfn.XLOOKUP($D183,'Modelling New'!$D:$D,'Modelling New'!$P:$P),"")</f>
        <v>6.4033333333333333</v>
      </c>
      <c r="AD183" s="228">
        <f>IFERROR(_xlfn.XLOOKUP($D183,'Modelling New'!$D:$D,'Modelling New'!$T:$T)*1000,"")</f>
        <v>1755680.2929358287</v>
      </c>
      <c r="AE183" s="240">
        <f>IFERROR(_xlfn.XLOOKUP($D183,'Modelling New'!$D:$D,'Modelling New'!$O:$O),"")</f>
        <v>0.81823218922594398</v>
      </c>
      <c r="AF183" s="240">
        <f>IFERROR(_xlfn.XLOOKUP($D183,'Modelling New'!$D:$D,'Modelling New'!$W:$W),"")</f>
        <v>0.21830889381986643</v>
      </c>
      <c r="AG183" s="240">
        <f>IFERROR(_xlfn.XLOOKUP($D183,'Modelling New'!$D:$D,'Modelling New'!AE:AE),"")</f>
        <v>0.99750000000000005</v>
      </c>
      <c r="AH183" s="240">
        <f>IFERROR(_xlfn.XLOOKUP($D183,'Modelling New'!$D:$D,'Modelling New'!AF:AF),"")</f>
        <v>0.99750000000000005</v>
      </c>
      <c r="AI183" s="186"/>
      <c r="AJ183" s="186"/>
      <c r="AK183" s="225"/>
      <c r="AL183" s="224">
        <f>IFERROR(Table13[[#This Row],[RA (%)]]*9270*58,"")</f>
        <v>0</v>
      </c>
      <c r="AM183" s="225"/>
      <c r="AN183" s="238"/>
      <c r="AO183" s="240"/>
      <c r="AP183" s="240"/>
      <c r="AQ183" s="240"/>
      <c r="AR183" s="242">
        <f>IFERROR(_xlfn.XLOOKUP($D183,'Modelling New'!$D:$D,'Modelling New'!$N:$N),"")</f>
        <v>335.09100000000001</v>
      </c>
    </row>
    <row r="184" spans="1:44">
      <c r="A184" s="233">
        <f t="shared" si="11"/>
        <v>45927</v>
      </c>
      <c r="B184" s="228">
        <f>YEAR(Table13[[#This Row],[Date]])+IF(MONTH(Table13[[#This Row],[Date]])&gt;=4,1,0)</f>
        <v>2026</v>
      </c>
      <c r="C184" s="186">
        <f>YEAR(Table13[[#This Row],[Date]])</f>
        <v>2025</v>
      </c>
      <c r="D184" s="234">
        <f>Table13[[#This Row],[Date]]-DAY(Table13[[#This Row],[Date]])+1</f>
        <v>45901</v>
      </c>
      <c r="E184" s="186">
        <f t="shared" si="13"/>
        <v>30</v>
      </c>
      <c r="F184" s="235" t="str">
        <f>IFERROR(_xlfn.XLOOKUP($A184,'Raw_Data'!$B:$B,'Raw_Data'!$IX:$IX),"")</f>
        <v/>
      </c>
      <c r="G184" s="236" t="str">
        <f>IFERROR(_xlfn.XLOOKUP($A184,'Raw_Data'!$B:$B,'Raw_Data'!IY:IY),"")</f>
        <v/>
      </c>
      <c r="H184" s="236" t="str">
        <f>IFERROR(_xlfn.XLOOKUP($A184,'Raw_Data'!$B:$B,'Raw_Data'!IZ:IZ),"")</f>
        <v/>
      </c>
      <c r="I184" s="236" t="str">
        <f>IFERROR(_xlfn.XLOOKUP($A184,'Raw_Data'!$B:$B,'Raw_Data'!JA:JA),"")</f>
        <v/>
      </c>
      <c r="J184" s="236" t="str">
        <f>IFERROR(_xlfn.XLOOKUP($A184,'Raw_Data'!$B:$B,'Raw_Data'!JB:JB),"")</f>
        <v/>
      </c>
      <c r="K184" s="236" t="str">
        <f>IFERROR(_xlfn.XLOOKUP($A184,'Raw_Data'!$B:$B,'Raw_Data'!JE:JE),"")</f>
        <v/>
      </c>
      <c r="L184" s="236" t="str">
        <f>IFERROR(_xlfn.XLOOKUP($A184,'Raw_Data'!$B:$B,'Raw_Data'!JF:JF),"")</f>
        <v/>
      </c>
      <c r="M184" s="236" t="str">
        <f>IFERROR(_xlfn.XLOOKUP($A184,'Raw_Data'!$B:$B,'Raw_Data'!JG:JG),"")</f>
        <v/>
      </c>
      <c r="N184" s="236" t="str">
        <f>IFERROR(_xlfn.XLOOKUP($A184,'Raw_Data'!$B:$B,'Raw_Data'!JH:JH),"")</f>
        <v/>
      </c>
      <c r="O184" s="237" t="str">
        <f>IFERROR(1-SUMIF(PA!$B:$B,$A184,PA!$AL:$AL)/($AA184+SUMIF(PA!$B:$B,$A184,PA!$AL:$AL)),"")</f>
        <v/>
      </c>
      <c r="P184" s="238"/>
      <c r="Q184" s="239"/>
      <c r="R184" s="240" t="str">
        <f>IFERROR(1-SUMIF(GA!$C:$C,$A184,GA!$X:$X)/($AA184+SUMIF(GA!$C:$C,$A184,GA!$X:$X)),"")</f>
        <v/>
      </c>
      <c r="S184" s="186"/>
      <c r="T184" s="239"/>
      <c r="U184" s="237" t="str">
        <f t="shared" si="9"/>
        <v/>
      </c>
      <c r="V184" s="237" t="str">
        <f>IFERROR(_xlfn.XLOOKUP($A184,'Raw_Data'!$B:$B,'Raw_Data'!$JL:$JL),"")</f>
        <v/>
      </c>
      <c r="W184" s="240" t="str">
        <f t="shared" si="10"/>
        <v/>
      </c>
      <c r="X184" s="228" t="str">
        <f>IFERROR(_xlfn.XLOOKUP($A184,'Raw_Data'!$B:$B,'Raw_Data'!$JI:$JI),"")</f>
        <v/>
      </c>
      <c r="Y184" s="228" t="str">
        <f>IFERROR(_xlfn.XLOOKUP($A184,'Raw_Data'!$B:$B,'Raw_Data'!IT:IT),"")</f>
        <v/>
      </c>
      <c r="Z184" s="228" t="str">
        <f>IFERROR(_xlfn.XLOOKUP($A184,'Raw_Data'!$B:$B,'Raw_Data'!IU:IU),"")</f>
        <v/>
      </c>
      <c r="AA184" s="228" t="str">
        <f>IFERROR(_xlfn.XLOOKUP($A184,'Raw_Data'!$B:$B,'Raw_Data'!IW:IW),"")</f>
        <v/>
      </c>
      <c r="AB184" s="228" t="str">
        <f>IFERROR(_xlfn.XLOOKUP($A184,'Raw_Data'!$B:$B,'Raw_Data'!I:I)/1000,"")</f>
        <v/>
      </c>
      <c r="AC184" s="241">
        <f>IFERROR(_xlfn.XLOOKUP($D184,'Modelling New'!$D:$D,'Modelling New'!$P:$P),"")</f>
        <v>6.4033333333333333</v>
      </c>
      <c r="AD184" s="228">
        <f>IFERROR(_xlfn.XLOOKUP($D184,'Modelling New'!$D:$D,'Modelling New'!$T:$T)*1000,"")</f>
        <v>1755680.2929358287</v>
      </c>
      <c r="AE184" s="240">
        <f>IFERROR(_xlfn.XLOOKUP($D184,'Modelling New'!$D:$D,'Modelling New'!$O:$O),"")</f>
        <v>0.81823218922594398</v>
      </c>
      <c r="AF184" s="240">
        <f>IFERROR(_xlfn.XLOOKUP($D184,'Modelling New'!$D:$D,'Modelling New'!$W:$W),"")</f>
        <v>0.21830889381986643</v>
      </c>
      <c r="AG184" s="240">
        <f>IFERROR(_xlfn.XLOOKUP($D184,'Modelling New'!$D:$D,'Modelling New'!AE:AE),"")</f>
        <v>0.99750000000000005</v>
      </c>
      <c r="AH184" s="240">
        <f>IFERROR(_xlfn.XLOOKUP($D184,'Modelling New'!$D:$D,'Modelling New'!AF:AF),"")</f>
        <v>0.99750000000000005</v>
      </c>
      <c r="AI184" s="186"/>
      <c r="AJ184" s="186"/>
      <c r="AK184" s="225"/>
      <c r="AL184" s="224">
        <f>IFERROR(Table13[[#This Row],[RA (%)]]*9270*58,"")</f>
        <v>0</v>
      </c>
      <c r="AM184" s="225"/>
      <c r="AN184" s="238"/>
      <c r="AO184" s="240"/>
      <c r="AP184" s="240"/>
      <c r="AQ184" s="240"/>
      <c r="AR184" s="242">
        <f>IFERROR(_xlfn.XLOOKUP($D184,'Modelling New'!$D:$D,'Modelling New'!$N:$N),"")</f>
        <v>335.09100000000001</v>
      </c>
    </row>
    <row r="185" spans="1:44">
      <c r="A185" s="233">
        <f t="shared" si="11"/>
        <v>45928</v>
      </c>
      <c r="B185" s="228">
        <f>YEAR(Table13[[#This Row],[Date]])+IF(MONTH(Table13[[#This Row],[Date]])&gt;=4,1,0)</f>
        <v>2026</v>
      </c>
      <c r="C185" s="186">
        <f>YEAR(Table13[[#This Row],[Date]])</f>
        <v>2025</v>
      </c>
      <c r="D185" s="234">
        <f>Table13[[#This Row],[Date]]-DAY(Table13[[#This Row],[Date]])+1</f>
        <v>45901</v>
      </c>
      <c r="E185" s="186">
        <f t="shared" si="13"/>
        <v>30</v>
      </c>
      <c r="F185" s="235" t="str">
        <f>IFERROR(_xlfn.XLOOKUP($A185,'Raw_Data'!$B:$B,'Raw_Data'!$IX:$IX),"")</f>
        <v/>
      </c>
      <c r="G185" s="236" t="str">
        <f>IFERROR(_xlfn.XLOOKUP($A185,'Raw_Data'!$B:$B,'Raw_Data'!IY:IY),"")</f>
        <v/>
      </c>
      <c r="H185" s="236" t="str">
        <f>IFERROR(_xlfn.XLOOKUP($A185,'Raw_Data'!$B:$B,'Raw_Data'!IZ:IZ),"")</f>
        <v/>
      </c>
      <c r="I185" s="236" t="str">
        <f>IFERROR(_xlfn.XLOOKUP($A185,'Raw_Data'!$B:$B,'Raw_Data'!JA:JA),"")</f>
        <v/>
      </c>
      <c r="J185" s="236" t="str">
        <f>IFERROR(_xlfn.XLOOKUP($A185,'Raw_Data'!$B:$B,'Raw_Data'!JB:JB),"")</f>
        <v/>
      </c>
      <c r="K185" s="236" t="str">
        <f>IFERROR(_xlfn.XLOOKUP($A185,'Raw_Data'!$B:$B,'Raw_Data'!JE:JE),"")</f>
        <v/>
      </c>
      <c r="L185" s="236" t="str">
        <f>IFERROR(_xlfn.XLOOKUP($A185,'Raw_Data'!$B:$B,'Raw_Data'!JF:JF),"")</f>
        <v/>
      </c>
      <c r="M185" s="236" t="str">
        <f>IFERROR(_xlfn.XLOOKUP($A185,'Raw_Data'!$B:$B,'Raw_Data'!JG:JG),"")</f>
        <v/>
      </c>
      <c r="N185" s="236" t="str">
        <f>IFERROR(_xlfn.XLOOKUP($A185,'Raw_Data'!$B:$B,'Raw_Data'!JH:JH),"")</f>
        <v/>
      </c>
      <c r="O185" s="237" t="str">
        <f>IFERROR(1-SUMIF(PA!$B:$B,$A185,PA!$AL:$AL)/($AA185+SUMIF(PA!$B:$B,$A185,PA!$AL:$AL)),"")</f>
        <v/>
      </c>
      <c r="P185" s="238"/>
      <c r="Q185" s="239"/>
      <c r="R185" s="240" t="str">
        <f>IFERROR(1-SUMIF(GA!$C:$C,$A185,GA!$X:$X)/($AA185+SUMIF(GA!$C:$C,$A185,GA!$X:$X)),"")</f>
        <v/>
      </c>
      <c r="S185" s="186"/>
      <c r="T185" s="239"/>
      <c r="U185" s="237" t="str">
        <f t="shared" si="9"/>
        <v/>
      </c>
      <c r="V185" s="237" t="str">
        <f>IFERROR(_xlfn.XLOOKUP($A185,'Raw_Data'!$B:$B,'Raw_Data'!$JL:$JL),"")</f>
        <v/>
      </c>
      <c r="W185" s="240" t="str">
        <f t="shared" si="10"/>
        <v/>
      </c>
      <c r="X185" s="228" t="str">
        <f>IFERROR(_xlfn.XLOOKUP($A185,'Raw_Data'!$B:$B,'Raw_Data'!$JI:$JI),"")</f>
        <v/>
      </c>
      <c r="Y185" s="228" t="str">
        <f>IFERROR(_xlfn.XLOOKUP($A185,'Raw_Data'!$B:$B,'Raw_Data'!IT:IT),"")</f>
        <v/>
      </c>
      <c r="Z185" s="228" t="str">
        <f>IFERROR(_xlfn.XLOOKUP($A185,'Raw_Data'!$B:$B,'Raw_Data'!IU:IU),"")</f>
        <v/>
      </c>
      <c r="AA185" s="228" t="str">
        <f>IFERROR(_xlfn.XLOOKUP($A185,'Raw_Data'!$B:$B,'Raw_Data'!IW:IW),"")</f>
        <v/>
      </c>
      <c r="AB185" s="228" t="str">
        <f>IFERROR(_xlfn.XLOOKUP($A185,'Raw_Data'!$B:$B,'Raw_Data'!I:I)/1000,"")</f>
        <v/>
      </c>
      <c r="AC185" s="241">
        <f>IFERROR(_xlfn.XLOOKUP($D185,'Modelling New'!$D:$D,'Modelling New'!$P:$P),"")</f>
        <v>6.4033333333333333</v>
      </c>
      <c r="AD185" s="228">
        <f>IFERROR(_xlfn.XLOOKUP($D185,'Modelling New'!$D:$D,'Modelling New'!$T:$T)*1000,"")</f>
        <v>1755680.2929358287</v>
      </c>
      <c r="AE185" s="240">
        <f>IFERROR(_xlfn.XLOOKUP($D185,'Modelling New'!$D:$D,'Modelling New'!$O:$O),"")</f>
        <v>0.81823218922594398</v>
      </c>
      <c r="AF185" s="240">
        <f>IFERROR(_xlfn.XLOOKUP($D185,'Modelling New'!$D:$D,'Modelling New'!$W:$W),"")</f>
        <v>0.21830889381986643</v>
      </c>
      <c r="AG185" s="240">
        <f>IFERROR(_xlfn.XLOOKUP($D185,'Modelling New'!$D:$D,'Modelling New'!AE:AE),"")</f>
        <v>0.99750000000000005</v>
      </c>
      <c r="AH185" s="240">
        <f>IFERROR(_xlfn.XLOOKUP($D185,'Modelling New'!$D:$D,'Modelling New'!AF:AF),"")</f>
        <v>0.99750000000000005</v>
      </c>
      <c r="AI185" s="186"/>
      <c r="AJ185" s="186"/>
      <c r="AK185" s="225"/>
      <c r="AL185" s="224">
        <f>IFERROR(Table13[[#This Row],[RA (%)]]*9270*58,"")</f>
        <v>0</v>
      </c>
      <c r="AM185" s="225"/>
      <c r="AN185" s="238"/>
      <c r="AO185" s="240"/>
      <c r="AP185" s="240"/>
      <c r="AQ185" s="240"/>
      <c r="AR185" s="242">
        <f>IFERROR(_xlfn.XLOOKUP($D185,'Modelling New'!$D:$D,'Modelling New'!$N:$N),"")</f>
        <v>335.09100000000001</v>
      </c>
    </row>
    <row r="186" spans="1:44">
      <c r="A186" s="233">
        <f t="shared" si="11"/>
        <v>45929</v>
      </c>
      <c r="B186" s="228">
        <f>YEAR(Table13[[#This Row],[Date]])+IF(MONTH(Table13[[#This Row],[Date]])&gt;=4,1,0)</f>
        <v>2026</v>
      </c>
      <c r="C186" s="186">
        <f>YEAR(Table13[[#This Row],[Date]])</f>
        <v>2025</v>
      </c>
      <c r="D186" s="234">
        <f>Table13[[#This Row],[Date]]-DAY(Table13[[#This Row],[Date]])+1</f>
        <v>45901</v>
      </c>
      <c r="E186" s="186">
        <f t="shared" si="13"/>
        <v>30</v>
      </c>
      <c r="F186" s="235" t="str">
        <f>IFERROR(_xlfn.XLOOKUP($A186,'Raw_Data'!$B:$B,'Raw_Data'!$IX:$IX),"")</f>
        <v/>
      </c>
      <c r="G186" s="236" t="str">
        <f>IFERROR(_xlfn.XLOOKUP($A186,'Raw_Data'!$B:$B,'Raw_Data'!IY:IY),"")</f>
        <v/>
      </c>
      <c r="H186" s="236" t="str">
        <f>IFERROR(_xlfn.XLOOKUP($A186,'Raw_Data'!$B:$B,'Raw_Data'!IZ:IZ),"")</f>
        <v/>
      </c>
      <c r="I186" s="236" t="str">
        <f>IFERROR(_xlfn.XLOOKUP($A186,'Raw_Data'!$B:$B,'Raw_Data'!JA:JA),"")</f>
        <v/>
      </c>
      <c r="J186" s="236" t="str">
        <f>IFERROR(_xlfn.XLOOKUP($A186,'Raw_Data'!$B:$B,'Raw_Data'!JB:JB),"")</f>
        <v/>
      </c>
      <c r="K186" s="236" t="str">
        <f>IFERROR(_xlfn.XLOOKUP($A186,'Raw_Data'!$B:$B,'Raw_Data'!JE:JE),"")</f>
        <v/>
      </c>
      <c r="L186" s="236" t="str">
        <f>IFERROR(_xlfn.XLOOKUP($A186,'Raw_Data'!$B:$B,'Raw_Data'!JF:JF),"")</f>
        <v/>
      </c>
      <c r="M186" s="236" t="str">
        <f>IFERROR(_xlfn.XLOOKUP($A186,'Raw_Data'!$B:$B,'Raw_Data'!JG:JG),"")</f>
        <v/>
      </c>
      <c r="N186" s="236" t="str">
        <f>IFERROR(_xlfn.XLOOKUP($A186,'Raw_Data'!$B:$B,'Raw_Data'!JH:JH),"")</f>
        <v/>
      </c>
      <c r="O186" s="237" t="str">
        <f>IFERROR(1-SUMIF(PA!$B:$B,$A186,PA!$AL:$AL)/($AA186+SUMIF(PA!$B:$B,$A186,PA!$AL:$AL)),"")</f>
        <v/>
      </c>
      <c r="P186" s="238"/>
      <c r="Q186" s="239"/>
      <c r="R186" s="240" t="str">
        <f>IFERROR(1-SUMIF(GA!$C:$C,$A186,GA!$X:$X)/($AA186+SUMIF(GA!$C:$C,$A186,GA!$X:$X)),"")</f>
        <v/>
      </c>
      <c r="S186" s="186"/>
      <c r="T186" s="239"/>
      <c r="U186" s="237" t="str">
        <f t="shared" si="9"/>
        <v/>
      </c>
      <c r="V186" s="237" t="str">
        <f>IFERROR(_xlfn.XLOOKUP($A186,'Raw_Data'!$B:$B,'Raw_Data'!$JL:$JL),"")</f>
        <v/>
      </c>
      <c r="W186" s="240" t="str">
        <f t="shared" si="10"/>
        <v/>
      </c>
      <c r="X186" s="228" t="str">
        <f>IFERROR(_xlfn.XLOOKUP($A186,'Raw_Data'!$B:$B,'Raw_Data'!$JI:$JI),"")</f>
        <v/>
      </c>
      <c r="Y186" s="228" t="str">
        <f>IFERROR(_xlfn.XLOOKUP($A186,'Raw_Data'!$B:$B,'Raw_Data'!IT:IT),"")</f>
        <v/>
      </c>
      <c r="Z186" s="228" t="str">
        <f>IFERROR(_xlfn.XLOOKUP($A186,'Raw_Data'!$B:$B,'Raw_Data'!IU:IU),"")</f>
        <v/>
      </c>
      <c r="AA186" s="228" t="str">
        <f>IFERROR(_xlfn.XLOOKUP($A186,'Raw_Data'!$B:$B,'Raw_Data'!IW:IW),"")</f>
        <v/>
      </c>
      <c r="AB186" s="228" t="str">
        <f>IFERROR(_xlfn.XLOOKUP($A186,'Raw_Data'!$B:$B,'Raw_Data'!I:I)/1000,"")</f>
        <v/>
      </c>
      <c r="AC186" s="241">
        <f>IFERROR(_xlfn.XLOOKUP($D186,'Modelling New'!$D:$D,'Modelling New'!$P:$P),"")</f>
        <v>6.4033333333333333</v>
      </c>
      <c r="AD186" s="228">
        <f>IFERROR(_xlfn.XLOOKUP($D186,'Modelling New'!$D:$D,'Modelling New'!$T:$T)*1000,"")</f>
        <v>1755680.2929358287</v>
      </c>
      <c r="AE186" s="240">
        <f>IFERROR(_xlfn.XLOOKUP($D186,'Modelling New'!$D:$D,'Modelling New'!$O:$O),"")</f>
        <v>0.81823218922594398</v>
      </c>
      <c r="AF186" s="240">
        <f>IFERROR(_xlfn.XLOOKUP($D186,'Modelling New'!$D:$D,'Modelling New'!$W:$W),"")</f>
        <v>0.21830889381986643</v>
      </c>
      <c r="AG186" s="240">
        <f>IFERROR(_xlfn.XLOOKUP($D186,'Modelling New'!$D:$D,'Modelling New'!AE:AE),"")</f>
        <v>0.99750000000000005</v>
      </c>
      <c r="AH186" s="240">
        <f>IFERROR(_xlfn.XLOOKUP($D186,'Modelling New'!$D:$D,'Modelling New'!AF:AF),"")</f>
        <v>0.99750000000000005</v>
      </c>
      <c r="AI186" s="186"/>
      <c r="AJ186" s="186"/>
      <c r="AK186" s="225"/>
      <c r="AL186" s="224">
        <f>IFERROR(Table13[[#This Row],[RA (%)]]*9270*58,"")</f>
        <v>0</v>
      </c>
      <c r="AM186" s="225"/>
      <c r="AN186" s="238"/>
      <c r="AO186" s="240"/>
      <c r="AP186" s="240"/>
      <c r="AQ186" s="240"/>
      <c r="AR186" s="242">
        <f>IFERROR(_xlfn.XLOOKUP($D186,'Modelling New'!$D:$D,'Modelling New'!$N:$N),"")</f>
        <v>335.09100000000001</v>
      </c>
    </row>
    <row r="187" spans="1:44">
      <c r="A187" s="233">
        <f t="shared" si="11"/>
        <v>45930</v>
      </c>
      <c r="B187" s="228">
        <f>YEAR(Table13[[#This Row],[Date]])+IF(MONTH(Table13[[#This Row],[Date]])&gt;=4,1,0)</f>
        <v>2026</v>
      </c>
      <c r="C187" s="186">
        <f>YEAR(Table13[[#This Row],[Date]])</f>
        <v>2025</v>
      </c>
      <c r="D187" s="234">
        <f>Table13[[#This Row],[Date]]-DAY(Table13[[#This Row],[Date]])+1</f>
        <v>45901</v>
      </c>
      <c r="E187" s="186">
        <f t="shared" si="13"/>
        <v>30</v>
      </c>
      <c r="F187" s="235" t="str">
        <f>IFERROR(_xlfn.XLOOKUP($A187,'Raw_Data'!$B:$B,'Raw_Data'!$IX:$IX),"")</f>
        <v/>
      </c>
      <c r="G187" s="236" t="str">
        <f>IFERROR(_xlfn.XLOOKUP($A187,'Raw_Data'!$B:$B,'Raw_Data'!IY:IY),"")</f>
        <v/>
      </c>
      <c r="H187" s="236" t="str">
        <f>IFERROR(_xlfn.XLOOKUP($A187,'Raw_Data'!$B:$B,'Raw_Data'!IZ:IZ),"")</f>
        <v/>
      </c>
      <c r="I187" s="236" t="str">
        <f>IFERROR(_xlfn.XLOOKUP($A187,'Raw_Data'!$B:$B,'Raw_Data'!JA:JA),"")</f>
        <v/>
      </c>
      <c r="J187" s="236" t="str">
        <f>IFERROR(_xlfn.XLOOKUP($A187,'Raw_Data'!$B:$B,'Raw_Data'!JB:JB),"")</f>
        <v/>
      </c>
      <c r="K187" s="236" t="str">
        <f>IFERROR(_xlfn.XLOOKUP($A187,'Raw_Data'!$B:$B,'Raw_Data'!JE:JE),"")</f>
        <v/>
      </c>
      <c r="L187" s="236" t="str">
        <f>IFERROR(_xlfn.XLOOKUP($A187,'Raw_Data'!$B:$B,'Raw_Data'!JF:JF),"")</f>
        <v/>
      </c>
      <c r="M187" s="236" t="str">
        <f>IFERROR(_xlfn.XLOOKUP($A187,'Raw_Data'!$B:$B,'Raw_Data'!JG:JG),"")</f>
        <v/>
      </c>
      <c r="N187" s="236" t="str">
        <f>IFERROR(_xlfn.XLOOKUP($A187,'Raw_Data'!$B:$B,'Raw_Data'!JH:JH),"")</f>
        <v/>
      </c>
      <c r="O187" s="237" t="str">
        <f>IFERROR(1-SUMIF(PA!$B:$B,$A187,PA!$AL:$AL)/($AA187+SUMIF(PA!$B:$B,$A187,PA!$AL:$AL)),"")</f>
        <v/>
      </c>
      <c r="P187" s="238"/>
      <c r="Q187" s="239"/>
      <c r="R187" s="240" t="str">
        <f>IFERROR(1-SUMIF(GA!$C:$C,$A187,GA!$X:$X)/($AA187+SUMIF(GA!$C:$C,$A187,GA!$X:$X)),"")</f>
        <v/>
      </c>
      <c r="S187" s="186"/>
      <c r="T187" s="239"/>
      <c r="U187" s="237" t="str">
        <f t="shared" si="9"/>
        <v/>
      </c>
      <c r="V187" s="237" t="str">
        <f>IFERROR(_xlfn.XLOOKUP($A187,'Raw_Data'!$B:$B,'Raw_Data'!$JL:$JL),"")</f>
        <v/>
      </c>
      <c r="W187" s="240" t="str">
        <f t="shared" si="10"/>
        <v/>
      </c>
      <c r="X187" s="228" t="str">
        <f>IFERROR(_xlfn.XLOOKUP($A187,'Raw_Data'!$B:$B,'Raw_Data'!$JI:$JI),"")</f>
        <v/>
      </c>
      <c r="Y187" s="228" t="str">
        <f>IFERROR(_xlfn.XLOOKUP($A187,'Raw_Data'!$B:$B,'Raw_Data'!IT:IT),"")</f>
        <v/>
      </c>
      <c r="Z187" s="228" t="str">
        <f>IFERROR(_xlfn.XLOOKUP($A187,'Raw_Data'!$B:$B,'Raw_Data'!IU:IU),"")</f>
        <v/>
      </c>
      <c r="AA187" s="228" t="str">
        <f>IFERROR(_xlfn.XLOOKUP($A187,'Raw_Data'!$B:$B,'Raw_Data'!IW:IW),"")</f>
        <v/>
      </c>
      <c r="AB187" s="228" t="str">
        <f>IFERROR(_xlfn.XLOOKUP($A187,'Raw_Data'!$B:$B,'Raw_Data'!I:I)/1000,"")</f>
        <v/>
      </c>
      <c r="AC187" s="241">
        <f>IFERROR(_xlfn.XLOOKUP($D187,'Modelling New'!$D:$D,'Modelling New'!$P:$P),"")</f>
        <v>6.4033333333333333</v>
      </c>
      <c r="AD187" s="228">
        <f>IFERROR(_xlfn.XLOOKUP($D187,'Modelling New'!$D:$D,'Modelling New'!$T:$T)*1000,"")</f>
        <v>1755680.2929358287</v>
      </c>
      <c r="AE187" s="240">
        <f>IFERROR(_xlfn.XLOOKUP($D187,'Modelling New'!$D:$D,'Modelling New'!$O:$O),"")</f>
        <v>0.81823218922594398</v>
      </c>
      <c r="AF187" s="240">
        <f>IFERROR(_xlfn.XLOOKUP($D187,'Modelling New'!$D:$D,'Modelling New'!$W:$W),"")</f>
        <v>0.21830889381986643</v>
      </c>
      <c r="AG187" s="240">
        <f>IFERROR(_xlfn.XLOOKUP($D187,'Modelling New'!$D:$D,'Modelling New'!AE:AE),"")</f>
        <v>0.99750000000000005</v>
      </c>
      <c r="AH187" s="240">
        <f>IFERROR(_xlfn.XLOOKUP($D187,'Modelling New'!$D:$D,'Modelling New'!AF:AF),"")</f>
        <v>0.99750000000000005</v>
      </c>
      <c r="AI187" s="186"/>
      <c r="AJ187" s="186"/>
      <c r="AK187" s="225"/>
      <c r="AL187" s="224">
        <f>IFERROR(Table13[[#This Row],[RA (%)]]*9270*58,"")</f>
        <v>0</v>
      </c>
      <c r="AM187" s="225"/>
      <c r="AN187" s="238"/>
      <c r="AO187" s="240"/>
      <c r="AP187" s="240"/>
      <c r="AQ187" s="240"/>
      <c r="AR187" s="242">
        <f>IFERROR(_xlfn.XLOOKUP($D187,'Modelling New'!$D:$D,'Modelling New'!$N:$N),"")</f>
        <v>335.09100000000001</v>
      </c>
    </row>
    <row r="188" spans="1:44">
      <c r="A188" s="233">
        <f t="shared" si="11"/>
        <v>45931</v>
      </c>
      <c r="B188" s="228">
        <f>YEAR(Table13[[#This Row],[Date]])+IF(MONTH(Table13[[#This Row],[Date]])&gt;=4,1,0)</f>
        <v>2026</v>
      </c>
      <c r="C188" s="186">
        <f>YEAR(Table13[[#This Row],[Date]])</f>
        <v>2025</v>
      </c>
      <c r="D188" s="234">
        <f>Table13[[#This Row],[Date]]-DAY(Table13[[#This Row],[Date]])+1</f>
        <v>45931</v>
      </c>
      <c r="E188" s="186">
        <f t="shared" si="13"/>
        <v>31</v>
      </c>
      <c r="F188" s="235" t="str">
        <f>IFERROR(_xlfn.XLOOKUP($A188,'Raw_Data'!$B:$B,'Raw_Data'!$IX:$IX),"")</f>
        <v/>
      </c>
      <c r="G188" s="236" t="str">
        <f>IFERROR(_xlfn.XLOOKUP($A188,'Raw_Data'!$B:$B,'Raw_Data'!IY:IY),"")</f>
        <v/>
      </c>
      <c r="H188" s="236" t="str">
        <f>IFERROR(_xlfn.XLOOKUP($A188,'Raw_Data'!$B:$B,'Raw_Data'!IZ:IZ),"")</f>
        <v/>
      </c>
      <c r="I188" s="236" t="str">
        <f>IFERROR(_xlfn.XLOOKUP($A188,'Raw_Data'!$B:$B,'Raw_Data'!JA:JA),"")</f>
        <v/>
      </c>
      <c r="J188" s="236" t="str">
        <f>IFERROR(_xlfn.XLOOKUP($A188,'Raw_Data'!$B:$B,'Raw_Data'!JB:JB),"")</f>
        <v/>
      </c>
      <c r="K188" s="236" t="str">
        <f>IFERROR(_xlfn.XLOOKUP($A188,'Raw_Data'!$B:$B,'Raw_Data'!JE:JE),"")</f>
        <v/>
      </c>
      <c r="L188" s="236" t="str">
        <f>IFERROR(_xlfn.XLOOKUP($A188,'Raw_Data'!$B:$B,'Raw_Data'!JF:JF),"")</f>
        <v/>
      </c>
      <c r="M188" s="236" t="str">
        <f>IFERROR(_xlfn.XLOOKUP($A188,'Raw_Data'!$B:$B,'Raw_Data'!JG:JG),"")</f>
        <v/>
      </c>
      <c r="N188" s="236" t="str">
        <f>IFERROR(_xlfn.XLOOKUP($A188,'Raw_Data'!$B:$B,'Raw_Data'!JH:JH),"")</f>
        <v/>
      </c>
      <c r="O188" s="237" t="str">
        <f>IFERROR(1-SUMIF(PA!$B:$B,$A188,PA!$AL:$AL)/($AA188+SUMIF(PA!$B:$B,$A188,PA!$AL:$AL)),"")</f>
        <v/>
      </c>
      <c r="P188" s="238"/>
      <c r="Q188" s="239"/>
      <c r="R188" s="240" t="str">
        <f>IFERROR(1-SUMIF(GA!$C:$C,$A188,GA!$X:$X)/($AA188+SUMIF(GA!$C:$C,$A188,GA!$X:$X)),"")</f>
        <v/>
      </c>
      <c r="S188" s="186"/>
      <c r="T188" s="239"/>
      <c r="U188" s="237" t="str">
        <f t="shared" si="9"/>
        <v/>
      </c>
      <c r="V188" s="237" t="str">
        <f>IFERROR(_xlfn.XLOOKUP($A188,'Raw_Data'!$B:$B,'Raw_Data'!$JL:$JL),"")</f>
        <v/>
      </c>
      <c r="W188" s="240" t="str">
        <f t="shared" si="10"/>
        <v/>
      </c>
      <c r="X188" s="228" t="str">
        <f>IFERROR(_xlfn.XLOOKUP($A188,'Raw_Data'!$B:$B,'Raw_Data'!$JI:$JI),"")</f>
        <v/>
      </c>
      <c r="Y188" s="228" t="str">
        <f>IFERROR(_xlfn.XLOOKUP($A188,'Raw_Data'!$B:$B,'Raw_Data'!IT:IT),"")</f>
        <v/>
      </c>
      <c r="Z188" s="228" t="str">
        <f>IFERROR(_xlfn.XLOOKUP($A188,'Raw_Data'!$B:$B,'Raw_Data'!IU:IU),"")</f>
        <v/>
      </c>
      <c r="AA188" s="228" t="str">
        <f>IFERROR(_xlfn.XLOOKUP($A188,'Raw_Data'!$B:$B,'Raw_Data'!IW:IW),"")</f>
        <v/>
      </c>
      <c r="AB188" s="228" t="str">
        <f>IFERROR(_xlfn.XLOOKUP($A188,'Raw_Data'!$B:$B,'Raw_Data'!I:I)/1000,"")</f>
        <v/>
      </c>
      <c r="AC188" s="241">
        <f>IFERROR(_xlfn.XLOOKUP($D188,'Modelling New'!$D:$D,'Modelling New'!$P:$P),"")</f>
        <v>6.5258064516129037</v>
      </c>
      <c r="AD188" s="228">
        <f>IFERROR(_xlfn.XLOOKUP($D188,'Modelling New'!$D:$D,'Modelling New'!$T:$T)*1000,"")</f>
        <v>1782585.5948084679</v>
      </c>
      <c r="AE188" s="240">
        <f>IFERROR(_xlfn.XLOOKUP($D188,'Modelling New'!$D:$D,'Modelling New'!$O:$O),"")</f>
        <v>0.81517985773319568</v>
      </c>
      <c r="AF188" s="240">
        <f>IFERROR(_xlfn.XLOOKUP($D188,'Modelling New'!$D:$D,'Modelling New'!$W:$W),"")</f>
        <v>0.22165441561750737</v>
      </c>
      <c r="AG188" s="240">
        <f>IFERROR(_xlfn.XLOOKUP($D188,'Modelling New'!$D:$D,'Modelling New'!AE:AE),"")</f>
        <v>0.99750000000000005</v>
      </c>
      <c r="AH188" s="240">
        <f>IFERROR(_xlfn.XLOOKUP($D188,'Modelling New'!$D:$D,'Modelling New'!AF:AF),"")</f>
        <v>0.99750000000000005</v>
      </c>
      <c r="AI188" s="186"/>
      <c r="AJ188" s="186"/>
      <c r="AK188" s="225"/>
      <c r="AL188" s="224">
        <f>IFERROR(Table13[[#This Row],[RA (%)]]*9270*58,"")</f>
        <v>0</v>
      </c>
      <c r="AM188" s="225"/>
      <c r="AN188" s="238"/>
      <c r="AO188" s="240"/>
      <c r="AP188" s="240"/>
      <c r="AQ188" s="240"/>
      <c r="AR188" s="242">
        <f>IFERROR(_xlfn.XLOOKUP($D188,'Modelling New'!$D:$D,'Modelling New'!$N:$N),"")</f>
        <v>335.09100000000001</v>
      </c>
    </row>
    <row r="189" spans="1:44">
      <c r="A189" s="233">
        <f t="shared" si="11"/>
        <v>45932</v>
      </c>
      <c r="B189" s="228">
        <f>YEAR(Table13[[#This Row],[Date]])+IF(MONTH(Table13[[#This Row],[Date]])&gt;=4,1,0)</f>
        <v>2026</v>
      </c>
      <c r="C189" s="186">
        <f>YEAR(Table13[[#This Row],[Date]])</f>
        <v>2025</v>
      </c>
      <c r="D189" s="234">
        <f>Table13[[#This Row],[Date]]-DAY(Table13[[#This Row],[Date]])+1</f>
        <v>45931</v>
      </c>
      <c r="E189" s="186">
        <f t="shared" si="13"/>
        <v>31</v>
      </c>
      <c r="F189" s="235" t="str">
        <f>IFERROR(_xlfn.XLOOKUP($A189,'Raw_Data'!$B:$B,'Raw_Data'!$IX:$IX),"")</f>
        <v/>
      </c>
      <c r="G189" s="236" t="str">
        <f>IFERROR(_xlfn.XLOOKUP($A189,'Raw_Data'!$B:$B,'Raw_Data'!IY:IY),"")</f>
        <v/>
      </c>
      <c r="H189" s="236" t="str">
        <f>IFERROR(_xlfn.XLOOKUP($A189,'Raw_Data'!$B:$B,'Raw_Data'!IZ:IZ),"")</f>
        <v/>
      </c>
      <c r="I189" s="236" t="str">
        <f>IFERROR(_xlfn.XLOOKUP($A189,'Raw_Data'!$B:$B,'Raw_Data'!JA:JA),"")</f>
        <v/>
      </c>
      <c r="J189" s="236" t="str">
        <f>IFERROR(_xlfn.XLOOKUP($A189,'Raw_Data'!$B:$B,'Raw_Data'!JB:JB),"")</f>
        <v/>
      </c>
      <c r="K189" s="236" t="str">
        <f>IFERROR(_xlfn.XLOOKUP($A189,'Raw_Data'!$B:$B,'Raw_Data'!JE:JE),"")</f>
        <v/>
      </c>
      <c r="L189" s="236" t="str">
        <f>IFERROR(_xlfn.XLOOKUP($A189,'Raw_Data'!$B:$B,'Raw_Data'!JF:JF),"")</f>
        <v/>
      </c>
      <c r="M189" s="236" t="str">
        <f>IFERROR(_xlfn.XLOOKUP($A189,'Raw_Data'!$B:$B,'Raw_Data'!JG:JG),"")</f>
        <v/>
      </c>
      <c r="N189" s="236" t="str">
        <f>IFERROR(_xlfn.XLOOKUP($A189,'Raw_Data'!$B:$B,'Raw_Data'!JH:JH),"")</f>
        <v/>
      </c>
      <c r="O189" s="237" t="str">
        <f>IFERROR(1-SUMIF(PA!$B:$B,$A189,PA!$AL:$AL)/($AA189+SUMIF(PA!$B:$B,$A189,PA!$AL:$AL)),"")</f>
        <v/>
      </c>
      <c r="P189" s="238"/>
      <c r="Q189" s="239"/>
      <c r="R189" s="240" t="str">
        <f>IFERROR(1-SUMIF(GA!$C:$C,$A189,GA!$X:$X)/($AA189+SUMIF(GA!$C:$C,$A189,GA!$X:$X)),"")</f>
        <v/>
      </c>
      <c r="S189" s="186"/>
      <c r="T189" s="239"/>
      <c r="U189" s="237" t="str">
        <f t="shared" si="9"/>
        <v/>
      </c>
      <c r="V189" s="237" t="str">
        <f>IFERROR(_xlfn.XLOOKUP($A189,'Raw_Data'!$B:$B,'Raw_Data'!$JL:$JL),"")</f>
        <v/>
      </c>
      <c r="W189" s="240" t="str">
        <f t="shared" si="10"/>
        <v/>
      </c>
      <c r="X189" s="228" t="str">
        <f>IFERROR(_xlfn.XLOOKUP($A189,'Raw_Data'!$B:$B,'Raw_Data'!$JI:$JI),"")</f>
        <v/>
      </c>
      <c r="Y189" s="228" t="str">
        <f>IFERROR(_xlfn.XLOOKUP($A189,'Raw_Data'!$B:$B,'Raw_Data'!IT:IT),"")</f>
        <v/>
      </c>
      <c r="Z189" s="228" t="str">
        <f>IFERROR(_xlfn.XLOOKUP($A189,'Raw_Data'!$B:$B,'Raw_Data'!IU:IU),"")</f>
        <v/>
      </c>
      <c r="AA189" s="228" t="str">
        <f>IFERROR(_xlfn.XLOOKUP($A189,'Raw_Data'!$B:$B,'Raw_Data'!IW:IW),"")</f>
        <v/>
      </c>
      <c r="AB189" s="228" t="str">
        <f>IFERROR(_xlfn.XLOOKUP($A189,'Raw_Data'!$B:$B,'Raw_Data'!I:I)/1000,"")</f>
        <v/>
      </c>
      <c r="AC189" s="241">
        <f>IFERROR(_xlfn.XLOOKUP($D189,'Modelling New'!$D:$D,'Modelling New'!$P:$P),"")</f>
        <v>6.5258064516129037</v>
      </c>
      <c r="AD189" s="228">
        <f>IFERROR(_xlfn.XLOOKUP($D189,'Modelling New'!$D:$D,'Modelling New'!$T:$T)*1000,"")</f>
        <v>1782585.5948084679</v>
      </c>
      <c r="AE189" s="240">
        <f>IFERROR(_xlfn.XLOOKUP($D189,'Modelling New'!$D:$D,'Modelling New'!$O:$O),"")</f>
        <v>0.81517985773319568</v>
      </c>
      <c r="AF189" s="240">
        <f>IFERROR(_xlfn.XLOOKUP($D189,'Modelling New'!$D:$D,'Modelling New'!$W:$W),"")</f>
        <v>0.22165441561750737</v>
      </c>
      <c r="AG189" s="240">
        <f>IFERROR(_xlfn.XLOOKUP($D189,'Modelling New'!$D:$D,'Modelling New'!AE:AE),"")</f>
        <v>0.99750000000000005</v>
      </c>
      <c r="AH189" s="240">
        <f>IFERROR(_xlfn.XLOOKUP($D189,'Modelling New'!$D:$D,'Modelling New'!AF:AF),"")</f>
        <v>0.99750000000000005</v>
      </c>
      <c r="AI189" s="186"/>
      <c r="AJ189" s="186"/>
      <c r="AK189" s="225"/>
      <c r="AL189" s="224">
        <f>IFERROR(Table13[[#This Row],[RA (%)]]*9270*58,"")</f>
        <v>0</v>
      </c>
      <c r="AM189" s="225"/>
      <c r="AN189" s="238"/>
      <c r="AO189" s="240"/>
      <c r="AP189" s="240"/>
      <c r="AQ189" s="240"/>
      <c r="AR189" s="242">
        <f>IFERROR(_xlfn.XLOOKUP($D189,'Modelling New'!$D:$D,'Modelling New'!$N:$N),"")</f>
        <v>335.09100000000001</v>
      </c>
    </row>
    <row r="190" spans="1:44">
      <c r="A190" s="233">
        <f t="shared" si="11"/>
        <v>45933</v>
      </c>
      <c r="B190" s="228">
        <f>YEAR(Table13[[#This Row],[Date]])+IF(MONTH(Table13[[#This Row],[Date]])&gt;=4,1,0)</f>
        <v>2026</v>
      </c>
      <c r="C190" s="186">
        <f>YEAR(Table13[[#This Row],[Date]])</f>
        <v>2025</v>
      </c>
      <c r="D190" s="234">
        <f>Table13[[#This Row],[Date]]-DAY(Table13[[#This Row],[Date]])+1</f>
        <v>45931</v>
      </c>
      <c r="E190" s="186">
        <f t="shared" si="13"/>
        <v>31</v>
      </c>
      <c r="F190" s="235" t="str">
        <f>IFERROR(_xlfn.XLOOKUP($A190,'Raw_Data'!$B:$B,'Raw_Data'!$IX:$IX),"")</f>
        <v/>
      </c>
      <c r="G190" s="236" t="str">
        <f>IFERROR(_xlfn.XLOOKUP($A190,'Raw_Data'!$B:$B,'Raw_Data'!IY:IY),"")</f>
        <v/>
      </c>
      <c r="H190" s="236" t="str">
        <f>IFERROR(_xlfn.XLOOKUP($A190,'Raw_Data'!$B:$B,'Raw_Data'!IZ:IZ),"")</f>
        <v/>
      </c>
      <c r="I190" s="236" t="str">
        <f>IFERROR(_xlfn.XLOOKUP($A190,'Raw_Data'!$B:$B,'Raw_Data'!JA:JA),"")</f>
        <v/>
      </c>
      <c r="J190" s="236" t="str">
        <f>IFERROR(_xlfn.XLOOKUP($A190,'Raw_Data'!$B:$B,'Raw_Data'!JB:JB),"")</f>
        <v/>
      </c>
      <c r="K190" s="236" t="str">
        <f>IFERROR(_xlfn.XLOOKUP($A190,'Raw_Data'!$B:$B,'Raw_Data'!JE:JE),"")</f>
        <v/>
      </c>
      <c r="L190" s="236" t="str">
        <f>IFERROR(_xlfn.XLOOKUP($A190,'Raw_Data'!$B:$B,'Raw_Data'!JF:JF),"")</f>
        <v/>
      </c>
      <c r="M190" s="236" t="str">
        <f>IFERROR(_xlfn.XLOOKUP($A190,'Raw_Data'!$B:$B,'Raw_Data'!JG:JG),"")</f>
        <v/>
      </c>
      <c r="N190" s="236" t="str">
        <f>IFERROR(_xlfn.XLOOKUP($A190,'Raw_Data'!$B:$B,'Raw_Data'!JH:JH),"")</f>
        <v/>
      </c>
      <c r="O190" s="237" t="str">
        <f>IFERROR(1-SUMIF(PA!$B:$B,$A190,PA!$AL:$AL)/($AA190+SUMIF(PA!$B:$B,$A190,PA!$AL:$AL)),"")</f>
        <v/>
      </c>
      <c r="P190" s="238"/>
      <c r="Q190" s="239"/>
      <c r="R190" s="240" t="str">
        <f>IFERROR(1-SUMIF(GA!$C:$C,$A190,GA!$X:$X)/($AA190+SUMIF(GA!$C:$C,$A190,GA!$X:$X)),"")</f>
        <v/>
      </c>
      <c r="S190" s="186"/>
      <c r="T190" s="239"/>
      <c r="U190" s="237" t="str">
        <f t="shared" si="9"/>
        <v/>
      </c>
      <c r="V190" s="237" t="str">
        <f>IFERROR(_xlfn.XLOOKUP($A190,'Raw_Data'!$B:$B,'Raw_Data'!$JL:$JL),"")</f>
        <v/>
      </c>
      <c r="W190" s="240" t="str">
        <f t="shared" si="10"/>
        <v/>
      </c>
      <c r="X190" s="228" t="str">
        <f>IFERROR(_xlfn.XLOOKUP($A190,'Raw_Data'!$B:$B,'Raw_Data'!$JI:$JI),"")</f>
        <v/>
      </c>
      <c r="Y190" s="228" t="str">
        <f>IFERROR(_xlfn.XLOOKUP($A190,'Raw_Data'!$B:$B,'Raw_Data'!IT:IT),"")</f>
        <v/>
      </c>
      <c r="Z190" s="228" t="str">
        <f>IFERROR(_xlfn.XLOOKUP($A190,'Raw_Data'!$B:$B,'Raw_Data'!IU:IU),"")</f>
        <v/>
      </c>
      <c r="AA190" s="228" t="str">
        <f>IFERROR(_xlfn.XLOOKUP($A190,'Raw_Data'!$B:$B,'Raw_Data'!IW:IW),"")</f>
        <v/>
      </c>
      <c r="AB190" s="228" t="str">
        <f>IFERROR(_xlfn.XLOOKUP($A190,'Raw_Data'!$B:$B,'Raw_Data'!I:I)/1000,"")</f>
        <v/>
      </c>
      <c r="AC190" s="241">
        <f>IFERROR(_xlfn.XLOOKUP($D190,'Modelling New'!$D:$D,'Modelling New'!$P:$P),"")</f>
        <v>6.5258064516129037</v>
      </c>
      <c r="AD190" s="228">
        <f>IFERROR(_xlfn.XLOOKUP($D190,'Modelling New'!$D:$D,'Modelling New'!$T:$T)*1000,"")</f>
        <v>1782585.5948084679</v>
      </c>
      <c r="AE190" s="240">
        <f>IFERROR(_xlfn.XLOOKUP($D190,'Modelling New'!$D:$D,'Modelling New'!$O:$O),"")</f>
        <v>0.81517985773319568</v>
      </c>
      <c r="AF190" s="240">
        <f>IFERROR(_xlfn.XLOOKUP($D190,'Modelling New'!$D:$D,'Modelling New'!$W:$W),"")</f>
        <v>0.22165441561750737</v>
      </c>
      <c r="AG190" s="240">
        <f>IFERROR(_xlfn.XLOOKUP($D190,'Modelling New'!$D:$D,'Modelling New'!AE:AE),"")</f>
        <v>0.99750000000000005</v>
      </c>
      <c r="AH190" s="240">
        <f>IFERROR(_xlfn.XLOOKUP($D190,'Modelling New'!$D:$D,'Modelling New'!AF:AF),"")</f>
        <v>0.99750000000000005</v>
      </c>
      <c r="AI190" s="186"/>
      <c r="AJ190" s="186"/>
      <c r="AK190" s="225"/>
      <c r="AL190" s="224">
        <f>IFERROR(Table13[[#This Row],[RA (%)]]*9270*58,"")</f>
        <v>0</v>
      </c>
      <c r="AM190" s="225"/>
      <c r="AN190" s="238"/>
      <c r="AO190" s="240"/>
      <c r="AP190" s="240"/>
      <c r="AQ190" s="240"/>
      <c r="AR190" s="242">
        <f>IFERROR(_xlfn.XLOOKUP($D190,'Modelling New'!$D:$D,'Modelling New'!$N:$N),"")</f>
        <v>335.09100000000001</v>
      </c>
    </row>
    <row r="191" spans="1:44">
      <c r="A191" s="233">
        <f t="shared" si="11"/>
        <v>45934</v>
      </c>
      <c r="B191" s="228">
        <f>YEAR(Table13[[#This Row],[Date]])+IF(MONTH(Table13[[#This Row],[Date]])&gt;=4,1,0)</f>
        <v>2026</v>
      </c>
      <c r="C191" s="186">
        <f>YEAR(Table13[[#This Row],[Date]])</f>
        <v>2025</v>
      </c>
      <c r="D191" s="234">
        <f>Table13[[#This Row],[Date]]-DAY(Table13[[#This Row],[Date]])+1</f>
        <v>45931</v>
      </c>
      <c r="E191" s="186">
        <f t="shared" si="13"/>
        <v>31</v>
      </c>
      <c r="F191" s="235" t="str">
        <f>IFERROR(_xlfn.XLOOKUP($A191,'Raw_Data'!$B:$B,'Raw_Data'!$IX:$IX),"")</f>
        <v/>
      </c>
      <c r="G191" s="236" t="str">
        <f>IFERROR(_xlfn.XLOOKUP($A191,'Raw_Data'!$B:$B,'Raw_Data'!IY:IY),"")</f>
        <v/>
      </c>
      <c r="H191" s="236" t="str">
        <f>IFERROR(_xlfn.XLOOKUP($A191,'Raw_Data'!$B:$B,'Raw_Data'!IZ:IZ),"")</f>
        <v/>
      </c>
      <c r="I191" s="236" t="str">
        <f>IFERROR(_xlfn.XLOOKUP($A191,'Raw_Data'!$B:$B,'Raw_Data'!JA:JA),"")</f>
        <v/>
      </c>
      <c r="J191" s="236" t="str">
        <f>IFERROR(_xlfn.XLOOKUP($A191,'Raw_Data'!$B:$B,'Raw_Data'!JB:JB),"")</f>
        <v/>
      </c>
      <c r="K191" s="236" t="str">
        <f>IFERROR(_xlfn.XLOOKUP($A191,'Raw_Data'!$B:$B,'Raw_Data'!JE:JE),"")</f>
        <v/>
      </c>
      <c r="L191" s="236" t="str">
        <f>IFERROR(_xlfn.XLOOKUP($A191,'Raw_Data'!$B:$B,'Raw_Data'!JF:JF),"")</f>
        <v/>
      </c>
      <c r="M191" s="236" t="str">
        <f>IFERROR(_xlfn.XLOOKUP($A191,'Raw_Data'!$B:$B,'Raw_Data'!JG:JG),"")</f>
        <v/>
      </c>
      <c r="N191" s="236" t="str">
        <f>IFERROR(_xlfn.XLOOKUP($A191,'Raw_Data'!$B:$B,'Raw_Data'!JH:JH),"")</f>
        <v/>
      </c>
      <c r="O191" s="237" t="str">
        <f>IFERROR(1-SUMIF(PA!$B:$B,$A191,PA!$AL:$AL)/($AA191+SUMIF(PA!$B:$B,$A191,PA!$AL:$AL)),"")</f>
        <v/>
      </c>
      <c r="P191" s="238"/>
      <c r="Q191" s="239"/>
      <c r="R191" s="240" t="str">
        <f>IFERROR(1-SUMIF(GA!$C:$C,$A191,GA!$X:$X)/($AA191+SUMIF(GA!$C:$C,$A191,GA!$X:$X)),"")</f>
        <v/>
      </c>
      <c r="S191" s="186"/>
      <c r="T191" s="239"/>
      <c r="U191" s="237" t="str">
        <f t="shared" si="9"/>
        <v/>
      </c>
      <c r="V191" s="237" t="str">
        <f>IFERROR(_xlfn.XLOOKUP($A191,'Raw_Data'!$B:$B,'Raw_Data'!$JL:$JL),"")</f>
        <v/>
      </c>
      <c r="W191" s="240" t="str">
        <f t="shared" si="10"/>
        <v/>
      </c>
      <c r="X191" s="228" t="str">
        <f>IFERROR(_xlfn.XLOOKUP($A191,'Raw_Data'!$B:$B,'Raw_Data'!$JI:$JI),"")</f>
        <v/>
      </c>
      <c r="Y191" s="228" t="str">
        <f>IFERROR(_xlfn.XLOOKUP($A191,'Raw_Data'!$B:$B,'Raw_Data'!IT:IT),"")</f>
        <v/>
      </c>
      <c r="Z191" s="228" t="str">
        <f>IFERROR(_xlfn.XLOOKUP($A191,'Raw_Data'!$B:$B,'Raw_Data'!IU:IU),"")</f>
        <v/>
      </c>
      <c r="AA191" s="228" t="str">
        <f>IFERROR(_xlfn.XLOOKUP($A191,'Raw_Data'!$B:$B,'Raw_Data'!IW:IW),"")</f>
        <v/>
      </c>
      <c r="AB191" s="228" t="str">
        <f>IFERROR(_xlfn.XLOOKUP($A191,'Raw_Data'!$B:$B,'Raw_Data'!I:I)/1000,"")</f>
        <v/>
      </c>
      <c r="AC191" s="241">
        <f>IFERROR(_xlfn.XLOOKUP($D191,'Modelling New'!$D:$D,'Modelling New'!$P:$P),"")</f>
        <v>6.5258064516129037</v>
      </c>
      <c r="AD191" s="228">
        <f>IFERROR(_xlfn.XLOOKUP($D191,'Modelling New'!$D:$D,'Modelling New'!$T:$T)*1000,"")</f>
        <v>1782585.5948084679</v>
      </c>
      <c r="AE191" s="240">
        <f>IFERROR(_xlfn.XLOOKUP($D191,'Modelling New'!$D:$D,'Modelling New'!$O:$O),"")</f>
        <v>0.81517985773319568</v>
      </c>
      <c r="AF191" s="240">
        <f>IFERROR(_xlfn.XLOOKUP($D191,'Modelling New'!$D:$D,'Modelling New'!$W:$W),"")</f>
        <v>0.22165441561750737</v>
      </c>
      <c r="AG191" s="240">
        <f>IFERROR(_xlfn.XLOOKUP($D191,'Modelling New'!$D:$D,'Modelling New'!AE:AE),"")</f>
        <v>0.99750000000000005</v>
      </c>
      <c r="AH191" s="240">
        <f>IFERROR(_xlfn.XLOOKUP($D191,'Modelling New'!$D:$D,'Modelling New'!AF:AF),"")</f>
        <v>0.99750000000000005</v>
      </c>
      <c r="AI191" s="186"/>
      <c r="AJ191" s="186"/>
      <c r="AK191" s="225"/>
      <c r="AL191" s="224">
        <f>IFERROR(Table13[[#This Row],[RA (%)]]*9270*58,"")</f>
        <v>0</v>
      </c>
      <c r="AM191" s="225"/>
      <c r="AN191" s="238"/>
      <c r="AO191" s="240"/>
      <c r="AP191" s="240"/>
      <c r="AQ191" s="240"/>
      <c r="AR191" s="242">
        <f>IFERROR(_xlfn.XLOOKUP($D191,'Modelling New'!$D:$D,'Modelling New'!$N:$N),"")</f>
        <v>335.09100000000001</v>
      </c>
    </row>
    <row r="192" spans="1:44">
      <c r="A192" s="233">
        <f t="shared" si="11"/>
        <v>45935</v>
      </c>
      <c r="B192" s="228">
        <f>YEAR(Table13[[#This Row],[Date]])+IF(MONTH(Table13[[#This Row],[Date]])&gt;=4,1,0)</f>
        <v>2026</v>
      </c>
      <c r="C192" s="186">
        <f>YEAR(Table13[[#This Row],[Date]])</f>
        <v>2025</v>
      </c>
      <c r="D192" s="234">
        <f>Table13[[#This Row],[Date]]-DAY(Table13[[#This Row],[Date]])+1</f>
        <v>45931</v>
      </c>
      <c r="E192" s="186">
        <f t="shared" si="13"/>
        <v>31</v>
      </c>
      <c r="F192" s="235" t="str">
        <f>IFERROR(_xlfn.XLOOKUP($A192,'Raw_Data'!$B:$B,'Raw_Data'!$IX:$IX),"")</f>
        <v/>
      </c>
      <c r="G192" s="236" t="str">
        <f>IFERROR(_xlfn.XLOOKUP($A192,'Raw_Data'!$B:$B,'Raw_Data'!IY:IY),"")</f>
        <v/>
      </c>
      <c r="H192" s="236" t="str">
        <f>IFERROR(_xlfn.XLOOKUP($A192,'Raw_Data'!$B:$B,'Raw_Data'!IZ:IZ),"")</f>
        <v/>
      </c>
      <c r="I192" s="236" t="str">
        <f>IFERROR(_xlfn.XLOOKUP($A192,'Raw_Data'!$B:$B,'Raw_Data'!JA:JA),"")</f>
        <v/>
      </c>
      <c r="J192" s="236" t="str">
        <f>IFERROR(_xlfn.XLOOKUP($A192,'Raw_Data'!$B:$B,'Raw_Data'!JB:JB),"")</f>
        <v/>
      </c>
      <c r="K192" s="236" t="str">
        <f>IFERROR(_xlfn.XLOOKUP($A192,'Raw_Data'!$B:$B,'Raw_Data'!JE:JE),"")</f>
        <v/>
      </c>
      <c r="L192" s="236" t="str">
        <f>IFERROR(_xlfn.XLOOKUP($A192,'Raw_Data'!$B:$B,'Raw_Data'!JF:JF),"")</f>
        <v/>
      </c>
      <c r="M192" s="236" t="str">
        <f>IFERROR(_xlfn.XLOOKUP($A192,'Raw_Data'!$B:$B,'Raw_Data'!JG:JG),"")</f>
        <v/>
      </c>
      <c r="N192" s="236" t="str">
        <f>IFERROR(_xlfn.XLOOKUP($A192,'Raw_Data'!$B:$B,'Raw_Data'!JH:JH),"")</f>
        <v/>
      </c>
      <c r="O192" s="237" t="str">
        <f>IFERROR(1-SUMIF(PA!$B:$B,$A192,PA!$AL:$AL)/($AA192+SUMIF(PA!$B:$B,$A192,PA!$AL:$AL)),"")</f>
        <v/>
      </c>
      <c r="P192" s="238"/>
      <c r="Q192" s="239"/>
      <c r="R192" s="240" t="str">
        <f>IFERROR(1-SUMIF(GA!$C:$C,$A192,GA!$X:$X)/($AA192+SUMIF(GA!$C:$C,$A192,GA!$X:$X)),"")</f>
        <v/>
      </c>
      <c r="S192" s="186"/>
      <c r="T192" s="239"/>
      <c r="U192" s="237" t="str">
        <f t="shared" ref="U192:U255" si="14">IFERROR(AA192/I192/AR192/1000,"")</f>
        <v/>
      </c>
      <c r="V192" s="237" t="str">
        <f>IFERROR(_xlfn.XLOOKUP($A192,'Raw_Data'!$B:$B,'Raw_Data'!$JL:$JL),"")</f>
        <v/>
      </c>
      <c r="W192" s="240" t="str">
        <f t="shared" ref="W192:W255" si="15">IFERROR(AA192/(24*AR192*1000),"")</f>
        <v/>
      </c>
      <c r="X192" s="228" t="str">
        <f>IFERROR(_xlfn.XLOOKUP($A192,'Raw_Data'!$B:$B,'Raw_Data'!$JI:$JI),"")</f>
        <v/>
      </c>
      <c r="Y192" s="228" t="str">
        <f>IFERROR(_xlfn.XLOOKUP($A192,'Raw_Data'!$B:$B,'Raw_Data'!IT:IT),"")</f>
        <v/>
      </c>
      <c r="Z192" s="228" t="str">
        <f>IFERROR(_xlfn.XLOOKUP($A192,'Raw_Data'!$B:$B,'Raw_Data'!IU:IU),"")</f>
        <v/>
      </c>
      <c r="AA192" s="228" t="str">
        <f>IFERROR(_xlfn.XLOOKUP($A192,'Raw_Data'!$B:$B,'Raw_Data'!IW:IW),"")</f>
        <v/>
      </c>
      <c r="AB192" s="228" t="str">
        <f>IFERROR(_xlfn.XLOOKUP($A192,'Raw_Data'!$B:$B,'Raw_Data'!I:I)/1000,"")</f>
        <v/>
      </c>
      <c r="AC192" s="241">
        <f>IFERROR(_xlfn.XLOOKUP($D192,'Modelling New'!$D:$D,'Modelling New'!$P:$P),"")</f>
        <v>6.5258064516129037</v>
      </c>
      <c r="AD192" s="228">
        <f>IFERROR(_xlfn.XLOOKUP($D192,'Modelling New'!$D:$D,'Modelling New'!$T:$T)*1000,"")</f>
        <v>1782585.5948084679</v>
      </c>
      <c r="AE192" s="240">
        <f>IFERROR(_xlfn.XLOOKUP($D192,'Modelling New'!$D:$D,'Modelling New'!$O:$O),"")</f>
        <v>0.81517985773319568</v>
      </c>
      <c r="AF192" s="240">
        <f>IFERROR(_xlfn.XLOOKUP($D192,'Modelling New'!$D:$D,'Modelling New'!$W:$W),"")</f>
        <v>0.22165441561750737</v>
      </c>
      <c r="AG192" s="240">
        <f>IFERROR(_xlfn.XLOOKUP($D192,'Modelling New'!$D:$D,'Modelling New'!AE:AE),"")</f>
        <v>0.99750000000000005</v>
      </c>
      <c r="AH192" s="240">
        <f>IFERROR(_xlfn.XLOOKUP($D192,'Modelling New'!$D:$D,'Modelling New'!AF:AF),"")</f>
        <v>0.99750000000000005</v>
      </c>
      <c r="AI192" s="186"/>
      <c r="AJ192" s="186"/>
      <c r="AK192" s="225"/>
      <c r="AL192" s="224">
        <f>IFERROR(Table13[[#This Row],[RA (%)]]*9270*58,"")</f>
        <v>0</v>
      </c>
      <c r="AM192" s="225"/>
      <c r="AN192" s="238"/>
      <c r="AO192" s="240"/>
      <c r="AP192" s="240"/>
      <c r="AQ192" s="240"/>
      <c r="AR192" s="242">
        <f>IFERROR(_xlfn.XLOOKUP($D192,'Modelling New'!$D:$D,'Modelling New'!$N:$N),"")</f>
        <v>335.09100000000001</v>
      </c>
    </row>
    <row r="193" spans="1:44">
      <c r="A193" s="233">
        <f t="shared" si="11"/>
        <v>45936</v>
      </c>
      <c r="B193" s="228">
        <f>YEAR(Table13[[#This Row],[Date]])+IF(MONTH(Table13[[#This Row],[Date]])&gt;=4,1,0)</f>
        <v>2026</v>
      </c>
      <c r="C193" s="186">
        <f>YEAR(Table13[[#This Row],[Date]])</f>
        <v>2025</v>
      </c>
      <c r="D193" s="234">
        <f>Table13[[#This Row],[Date]]-DAY(Table13[[#This Row],[Date]])+1</f>
        <v>45931</v>
      </c>
      <c r="E193" s="186">
        <f t="shared" si="13"/>
        <v>31</v>
      </c>
      <c r="F193" s="235" t="str">
        <f>IFERROR(_xlfn.XLOOKUP($A193,'Raw_Data'!$B:$B,'Raw_Data'!$IX:$IX),"")</f>
        <v/>
      </c>
      <c r="G193" s="236" t="str">
        <f>IFERROR(_xlfn.XLOOKUP($A193,'Raw_Data'!$B:$B,'Raw_Data'!IY:IY),"")</f>
        <v/>
      </c>
      <c r="H193" s="236" t="str">
        <f>IFERROR(_xlfn.XLOOKUP($A193,'Raw_Data'!$B:$B,'Raw_Data'!IZ:IZ),"")</f>
        <v/>
      </c>
      <c r="I193" s="236" t="str">
        <f>IFERROR(_xlfn.XLOOKUP($A193,'Raw_Data'!$B:$B,'Raw_Data'!JA:JA),"")</f>
        <v/>
      </c>
      <c r="J193" s="236" t="str">
        <f>IFERROR(_xlfn.XLOOKUP($A193,'Raw_Data'!$B:$B,'Raw_Data'!JB:JB),"")</f>
        <v/>
      </c>
      <c r="K193" s="236" t="str">
        <f>IFERROR(_xlfn.XLOOKUP($A193,'Raw_Data'!$B:$B,'Raw_Data'!JE:JE),"")</f>
        <v/>
      </c>
      <c r="L193" s="236" t="str">
        <f>IFERROR(_xlfn.XLOOKUP($A193,'Raw_Data'!$B:$B,'Raw_Data'!JF:JF),"")</f>
        <v/>
      </c>
      <c r="M193" s="236" t="str">
        <f>IFERROR(_xlfn.XLOOKUP($A193,'Raw_Data'!$B:$B,'Raw_Data'!JG:JG),"")</f>
        <v/>
      </c>
      <c r="N193" s="236" t="str">
        <f>IFERROR(_xlfn.XLOOKUP($A193,'Raw_Data'!$B:$B,'Raw_Data'!JH:JH),"")</f>
        <v/>
      </c>
      <c r="O193" s="237" t="str">
        <f>IFERROR(1-SUMIF(PA!$B:$B,$A193,PA!$AL:$AL)/($AA193+SUMIF(PA!$B:$B,$A193,PA!$AL:$AL)),"")</f>
        <v/>
      </c>
      <c r="P193" s="238"/>
      <c r="Q193" s="239"/>
      <c r="R193" s="240" t="str">
        <f>IFERROR(1-SUMIF(GA!$C:$C,$A193,GA!$X:$X)/($AA193+SUMIF(GA!$C:$C,$A193,GA!$X:$X)),"")</f>
        <v/>
      </c>
      <c r="S193" s="186"/>
      <c r="T193" s="239"/>
      <c r="U193" s="237" t="str">
        <f t="shared" si="14"/>
        <v/>
      </c>
      <c r="V193" s="237" t="str">
        <f>IFERROR(_xlfn.XLOOKUP($A193,'Raw_Data'!$B:$B,'Raw_Data'!$JL:$JL),"")</f>
        <v/>
      </c>
      <c r="W193" s="240" t="str">
        <f t="shared" si="15"/>
        <v/>
      </c>
      <c r="X193" s="228" t="str">
        <f>IFERROR(_xlfn.XLOOKUP($A193,'Raw_Data'!$B:$B,'Raw_Data'!$JI:$JI),"")</f>
        <v/>
      </c>
      <c r="Y193" s="228" t="str">
        <f>IFERROR(_xlfn.XLOOKUP($A193,'Raw_Data'!$B:$B,'Raw_Data'!IT:IT),"")</f>
        <v/>
      </c>
      <c r="Z193" s="228" t="str">
        <f>IFERROR(_xlfn.XLOOKUP($A193,'Raw_Data'!$B:$B,'Raw_Data'!IU:IU),"")</f>
        <v/>
      </c>
      <c r="AA193" s="228" t="str">
        <f>IFERROR(_xlfn.XLOOKUP($A193,'Raw_Data'!$B:$B,'Raw_Data'!IW:IW),"")</f>
        <v/>
      </c>
      <c r="AB193" s="228" t="str">
        <f>IFERROR(_xlfn.XLOOKUP($A193,'Raw_Data'!$B:$B,'Raw_Data'!I:I)/1000,"")</f>
        <v/>
      </c>
      <c r="AC193" s="241">
        <f>IFERROR(_xlfn.XLOOKUP($D193,'Modelling New'!$D:$D,'Modelling New'!$P:$P),"")</f>
        <v>6.5258064516129037</v>
      </c>
      <c r="AD193" s="228">
        <f>IFERROR(_xlfn.XLOOKUP($D193,'Modelling New'!$D:$D,'Modelling New'!$T:$T)*1000,"")</f>
        <v>1782585.5948084679</v>
      </c>
      <c r="AE193" s="240">
        <f>IFERROR(_xlfn.XLOOKUP($D193,'Modelling New'!$D:$D,'Modelling New'!$O:$O),"")</f>
        <v>0.81517985773319568</v>
      </c>
      <c r="AF193" s="240">
        <f>IFERROR(_xlfn.XLOOKUP($D193,'Modelling New'!$D:$D,'Modelling New'!$W:$W),"")</f>
        <v>0.22165441561750737</v>
      </c>
      <c r="AG193" s="240">
        <f>IFERROR(_xlfn.XLOOKUP($D193,'Modelling New'!$D:$D,'Modelling New'!AE:AE),"")</f>
        <v>0.99750000000000005</v>
      </c>
      <c r="AH193" s="240">
        <f>IFERROR(_xlfn.XLOOKUP($D193,'Modelling New'!$D:$D,'Modelling New'!AF:AF),"")</f>
        <v>0.99750000000000005</v>
      </c>
      <c r="AI193" s="186"/>
      <c r="AJ193" s="186"/>
      <c r="AK193" s="225"/>
      <c r="AL193" s="224">
        <f>IFERROR(Table13[[#This Row],[RA (%)]]*9270*58,"")</f>
        <v>0</v>
      </c>
      <c r="AM193" s="225"/>
      <c r="AN193" s="238"/>
      <c r="AO193" s="240"/>
      <c r="AP193" s="240"/>
      <c r="AQ193" s="240"/>
      <c r="AR193" s="242">
        <f>IFERROR(_xlfn.XLOOKUP($D193,'Modelling New'!$D:$D,'Modelling New'!$N:$N),"")</f>
        <v>335.09100000000001</v>
      </c>
    </row>
    <row r="194" spans="1:44">
      <c r="A194" s="233">
        <f t="shared" ref="A194:A257" si="16">A193+1</f>
        <v>45937</v>
      </c>
      <c r="B194" s="228">
        <f>YEAR(Table13[[#This Row],[Date]])+IF(MONTH(Table13[[#This Row],[Date]])&gt;=4,1,0)</f>
        <v>2026</v>
      </c>
      <c r="C194" s="186">
        <f>YEAR(Table13[[#This Row],[Date]])</f>
        <v>2025</v>
      </c>
      <c r="D194" s="234">
        <f>Table13[[#This Row],[Date]]-DAY(Table13[[#This Row],[Date]])+1</f>
        <v>45931</v>
      </c>
      <c r="E194" s="186">
        <f t="shared" si="13"/>
        <v>31</v>
      </c>
      <c r="F194" s="235" t="str">
        <f>IFERROR(_xlfn.XLOOKUP($A194,'Raw_Data'!$B:$B,'Raw_Data'!$IX:$IX),"")</f>
        <v/>
      </c>
      <c r="G194" s="236" t="str">
        <f>IFERROR(_xlfn.XLOOKUP($A194,'Raw_Data'!$B:$B,'Raw_Data'!IY:IY),"")</f>
        <v/>
      </c>
      <c r="H194" s="236" t="str">
        <f>IFERROR(_xlfn.XLOOKUP($A194,'Raw_Data'!$B:$B,'Raw_Data'!IZ:IZ),"")</f>
        <v/>
      </c>
      <c r="I194" s="236" t="str">
        <f>IFERROR(_xlfn.XLOOKUP($A194,'Raw_Data'!$B:$B,'Raw_Data'!JA:JA),"")</f>
        <v/>
      </c>
      <c r="J194" s="236" t="str">
        <f>IFERROR(_xlfn.XLOOKUP($A194,'Raw_Data'!$B:$B,'Raw_Data'!JB:JB),"")</f>
        <v/>
      </c>
      <c r="K194" s="236" t="str">
        <f>IFERROR(_xlfn.XLOOKUP($A194,'Raw_Data'!$B:$B,'Raw_Data'!JE:JE),"")</f>
        <v/>
      </c>
      <c r="L194" s="236" t="str">
        <f>IFERROR(_xlfn.XLOOKUP($A194,'Raw_Data'!$B:$B,'Raw_Data'!JF:JF),"")</f>
        <v/>
      </c>
      <c r="M194" s="236" t="str">
        <f>IFERROR(_xlfn.XLOOKUP($A194,'Raw_Data'!$B:$B,'Raw_Data'!JG:JG),"")</f>
        <v/>
      </c>
      <c r="N194" s="236" t="str">
        <f>IFERROR(_xlfn.XLOOKUP($A194,'Raw_Data'!$B:$B,'Raw_Data'!JH:JH),"")</f>
        <v/>
      </c>
      <c r="O194" s="237" t="str">
        <f>IFERROR(1-SUMIF(PA!$B:$B,$A194,PA!$AL:$AL)/($AA194+SUMIF(PA!$B:$B,$A194,PA!$AL:$AL)),"")</f>
        <v/>
      </c>
      <c r="P194" s="238"/>
      <c r="Q194" s="239"/>
      <c r="R194" s="240" t="str">
        <f>IFERROR(1-SUMIF(GA!$C:$C,$A194,GA!$X:$X)/($AA194+SUMIF(GA!$C:$C,$A194,GA!$X:$X)),"")</f>
        <v/>
      </c>
      <c r="S194" s="186"/>
      <c r="T194" s="239"/>
      <c r="U194" s="237" t="str">
        <f t="shared" si="14"/>
        <v/>
      </c>
      <c r="V194" s="237" t="str">
        <f>IFERROR(_xlfn.XLOOKUP($A194,'Raw_Data'!$B:$B,'Raw_Data'!$JL:$JL),"")</f>
        <v/>
      </c>
      <c r="W194" s="240" t="str">
        <f t="shared" si="15"/>
        <v/>
      </c>
      <c r="X194" s="228" t="str">
        <f>IFERROR(_xlfn.XLOOKUP($A194,'Raw_Data'!$B:$B,'Raw_Data'!$JI:$JI),"")</f>
        <v/>
      </c>
      <c r="Y194" s="228" t="str">
        <f>IFERROR(_xlfn.XLOOKUP($A194,'Raw_Data'!$B:$B,'Raw_Data'!IT:IT),"")</f>
        <v/>
      </c>
      <c r="Z194" s="228" t="str">
        <f>IFERROR(_xlfn.XLOOKUP($A194,'Raw_Data'!$B:$B,'Raw_Data'!IU:IU),"")</f>
        <v/>
      </c>
      <c r="AA194" s="228" t="str">
        <f>IFERROR(_xlfn.XLOOKUP($A194,'Raw_Data'!$B:$B,'Raw_Data'!IW:IW),"")</f>
        <v/>
      </c>
      <c r="AB194" s="228" t="str">
        <f>IFERROR(_xlfn.XLOOKUP($A194,'Raw_Data'!$B:$B,'Raw_Data'!I:I)/1000,"")</f>
        <v/>
      </c>
      <c r="AC194" s="241">
        <f>IFERROR(_xlfn.XLOOKUP($D194,'Modelling New'!$D:$D,'Modelling New'!$P:$P),"")</f>
        <v>6.5258064516129037</v>
      </c>
      <c r="AD194" s="228">
        <f>IFERROR(_xlfn.XLOOKUP($D194,'Modelling New'!$D:$D,'Modelling New'!$T:$T)*1000,"")</f>
        <v>1782585.5948084679</v>
      </c>
      <c r="AE194" s="240">
        <f>IFERROR(_xlfn.XLOOKUP($D194,'Modelling New'!$D:$D,'Modelling New'!$O:$O),"")</f>
        <v>0.81517985773319568</v>
      </c>
      <c r="AF194" s="240">
        <f>IFERROR(_xlfn.XLOOKUP($D194,'Modelling New'!$D:$D,'Modelling New'!$W:$W),"")</f>
        <v>0.22165441561750737</v>
      </c>
      <c r="AG194" s="240">
        <f>IFERROR(_xlfn.XLOOKUP($D194,'Modelling New'!$D:$D,'Modelling New'!AE:AE),"")</f>
        <v>0.99750000000000005</v>
      </c>
      <c r="AH194" s="240">
        <f>IFERROR(_xlfn.XLOOKUP($D194,'Modelling New'!$D:$D,'Modelling New'!AF:AF),"")</f>
        <v>0.99750000000000005</v>
      </c>
      <c r="AI194" s="186"/>
      <c r="AJ194" s="186"/>
      <c r="AK194" s="225"/>
      <c r="AL194" s="224">
        <f>IFERROR(Table13[[#This Row],[RA (%)]]*9270*58,"")</f>
        <v>0</v>
      </c>
      <c r="AM194" s="225"/>
      <c r="AN194" s="238"/>
      <c r="AO194" s="240"/>
      <c r="AP194" s="240"/>
      <c r="AQ194" s="240"/>
      <c r="AR194" s="242">
        <f>IFERROR(_xlfn.XLOOKUP($D194,'Modelling New'!$D:$D,'Modelling New'!$N:$N),"")</f>
        <v>335.09100000000001</v>
      </c>
    </row>
    <row r="195" spans="1:44">
      <c r="A195" s="233">
        <f t="shared" si="16"/>
        <v>45938</v>
      </c>
      <c r="B195" s="228">
        <f>YEAR(Table13[[#This Row],[Date]])+IF(MONTH(Table13[[#This Row],[Date]])&gt;=4,1,0)</f>
        <v>2026</v>
      </c>
      <c r="C195" s="186">
        <f>YEAR(Table13[[#This Row],[Date]])</f>
        <v>2025</v>
      </c>
      <c r="D195" s="234">
        <f>Table13[[#This Row],[Date]]-DAY(Table13[[#This Row],[Date]])+1</f>
        <v>45931</v>
      </c>
      <c r="E195" s="186">
        <f t="shared" si="13"/>
        <v>31</v>
      </c>
      <c r="F195" s="235" t="str">
        <f>IFERROR(_xlfn.XLOOKUP($A195,'Raw_Data'!$B:$B,'Raw_Data'!$IX:$IX),"")</f>
        <v/>
      </c>
      <c r="G195" s="236" t="str">
        <f>IFERROR(_xlfn.XLOOKUP($A195,'Raw_Data'!$B:$B,'Raw_Data'!IY:IY),"")</f>
        <v/>
      </c>
      <c r="H195" s="236" t="str">
        <f>IFERROR(_xlfn.XLOOKUP($A195,'Raw_Data'!$B:$B,'Raw_Data'!IZ:IZ),"")</f>
        <v/>
      </c>
      <c r="I195" s="236" t="str">
        <f>IFERROR(_xlfn.XLOOKUP($A195,'Raw_Data'!$B:$B,'Raw_Data'!JA:JA),"")</f>
        <v/>
      </c>
      <c r="J195" s="236" t="str">
        <f>IFERROR(_xlfn.XLOOKUP($A195,'Raw_Data'!$B:$B,'Raw_Data'!JB:JB),"")</f>
        <v/>
      </c>
      <c r="K195" s="236" t="str">
        <f>IFERROR(_xlfn.XLOOKUP($A195,'Raw_Data'!$B:$B,'Raw_Data'!JE:JE),"")</f>
        <v/>
      </c>
      <c r="L195" s="236" t="str">
        <f>IFERROR(_xlfn.XLOOKUP($A195,'Raw_Data'!$B:$B,'Raw_Data'!JF:JF),"")</f>
        <v/>
      </c>
      <c r="M195" s="236" t="str">
        <f>IFERROR(_xlfn.XLOOKUP($A195,'Raw_Data'!$B:$B,'Raw_Data'!JG:JG),"")</f>
        <v/>
      </c>
      <c r="N195" s="236" t="str">
        <f>IFERROR(_xlfn.XLOOKUP($A195,'Raw_Data'!$B:$B,'Raw_Data'!JH:JH),"")</f>
        <v/>
      </c>
      <c r="O195" s="237" t="str">
        <f>IFERROR(1-SUMIF(PA!$B:$B,$A195,PA!$AL:$AL)/($AA195+SUMIF(PA!$B:$B,$A195,PA!$AL:$AL)),"")</f>
        <v/>
      </c>
      <c r="P195" s="238"/>
      <c r="Q195" s="239"/>
      <c r="R195" s="240" t="str">
        <f>IFERROR(1-SUMIF(GA!$C:$C,$A195,GA!$X:$X)/($AA195+SUMIF(GA!$C:$C,$A195,GA!$X:$X)),"")</f>
        <v/>
      </c>
      <c r="S195" s="186"/>
      <c r="T195" s="239"/>
      <c r="U195" s="237" t="str">
        <f t="shared" si="14"/>
        <v/>
      </c>
      <c r="V195" s="237" t="str">
        <f>IFERROR(_xlfn.XLOOKUP($A195,'Raw_Data'!$B:$B,'Raw_Data'!$JL:$JL),"")</f>
        <v/>
      </c>
      <c r="W195" s="240" t="str">
        <f t="shared" si="15"/>
        <v/>
      </c>
      <c r="X195" s="228" t="str">
        <f>IFERROR(_xlfn.XLOOKUP($A195,'Raw_Data'!$B:$B,'Raw_Data'!$JI:$JI),"")</f>
        <v/>
      </c>
      <c r="Y195" s="228" t="str">
        <f>IFERROR(_xlfn.XLOOKUP($A195,'Raw_Data'!$B:$B,'Raw_Data'!IT:IT),"")</f>
        <v/>
      </c>
      <c r="Z195" s="228" t="str">
        <f>IFERROR(_xlfn.XLOOKUP($A195,'Raw_Data'!$B:$B,'Raw_Data'!IU:IU),"")</f>
        <v/>
      </c>
      <c r="AA195" s="228" t="str">
        <f>IFERROR(_xlfn.XLOOKUP($A195,'Raw_Data'!$B:$B,'Raw_Data'!IW:IW),"")</f>
        <v/>
      </c>
      <c r="AB195" s="228" t="str">
        <f>IFERROR(_xlfn.XLOOKUP($A195,'Raw_Data'!$B:$B,'Raw_Data'!I:I)/1000,"")</f>
        <v/>
      </c>
      <c r="AC195" s="241">
        <f>IFERROR(_xlfn.XLOOKUP($D195,'Modelling New'!$D:$D,'Modelling New'!$P:$P),"")</f>
        <v>6.5258064516129037</v>
      </c>
      <c r="AD195" s="228">
        <f>IFERROR(_xlfn.XLOOKUP($D195,'Modelling New'!$D:$D,'Modelling New'!$T:$T)*1000,"")</f>
        <v>1782585.5948084679</v>
      </c>
      <c r="AE195" s="240">
        <f>IFERROR(_xlfn.XLOOKUP($D195,'Modelling New'!$D:$D,'Modelling New'!$O:$O),"")</f>
        <v>0.81517985773319568</v>
      </c>
      <c r="AF195" s="240">
        <f>IFERROR(_xlfn.XLOOKUP($D195,'Modelling New'!$D:$D,'Modelling New'!$W:$W),"")</f>
        <v>0.22165441561750737</v>
      </c>
      <c r="AG195" s="240">
        <f>IFERROR(_xlfn.XLOOKUP($D195,'Modelling New'!$D:$D,'Modelling New'!AE:AE),"")</f>
        <v>0.99750000000000005</v>
      </c>
      <c r="AH195" s="240">
        <f>IFERROR(_xlfn.XLOOKUP($D195,'Modelling New'!$D:$D,'Modelling New'!AF:AF),"")</f>
        <v>0.99750000000000005</v>
      </c>
      <c r="AI195" s="186"/>
      <c r="AJ195" s="186"/>
      <c r="AK195" s="225"/>
      <c r="AL195" s="224">
        <f>IFERROR(Table13[[#This Row],[RA (%)]]*9270*58,"")</f>
        <v>0</v>
      </c>
      <c r="AM195" s="225"/>
      <c r="AN195" s="238"/>
      <c r="AO195" s="240"/>
      <c r="AP195" s="240"/>
      <c r="AQ195" s="240"/>
      <c r="AR195" s="242">
        <f>IFERROR(_xlfn.XLOOKUP($D195,'Modelling New'!$D:$D,'Modelling New'!$N:$N),"")</f>
        <v>335.09100000000001</v>
      </c>
    </row>
    <row r="196" spans="1:44">
      <c r="A196" s="233">
        <f t="shared" si="16"/>
        <v>45939</v>
      </c>
      <c r="B196" s="228">
        <f>YEAR(Table13[[#This Row],[Date]])+IF(MONTH(Table13[[#This Row],[Date]])&gt;=4,1,0)</f>
        <v>2026</v>
      </c>
      <c r="C196" s="186">
        <f>YEAR(Table13[[#This Row],[Date]])</f>
        <v>2025</v>
      </c>
      <c r="D196" s="234">
        <f>Table13[[#This Row],[Date]]-DAY(Table13[[#This Row],[Date]])+1</f>
        <v>45931</v>
      </c>
      <c r="E196" s="186">
        <f t="shared" si="13"/>
        <v>31</v>
      </c>
      <c r="F196" s="235" t="str">
        <f>IFERROR(_xlfn.XLOOKUP($A196,'Raw_Data'!$B:$B,'Raw_Data'!$IX:$IX),"")</f>
        <v/>
      </c>
      <c r="G196" s="236" t="str">
        <f>IFERROR(_xlfn.XLOOKUP($A196,'Raw_Data'!$B:$B,'Raw_Data'!IY:IY),"")</f>
        <v/>
      </c>
      <c r="H196" s="236" t="str">
        <f>IFERROR(_xlfn.XLOOKUP($A196,'Raw_Data'!$B:$B,'Raw_Data'!IZ:IZ),"")</f>
        <v/>
      </c>
      <c r="I196" s="236" t="str">
        <f>IFERROR(_xlfn.XLOOKUP($A196,'Raw_Data'!$B:$B,'Raw_Data'!JA:JA),"")</f>
        <v/>
      </c>
      <c r="J196" s="236" t="str">
        <f>IFERROR(_xlfn.XLOOKUP($A196,'Raw_Data'!$B:$B,'Raw_Data'!JB:JB),"")</f>
        <v/>
      </c>
      <c r="K196" s="236" t="str">
        <f>IFERROR(_xlfn.XLOOKUP($A196,'Raw_Data'!$B:$B,'Raw_Data'!JE:JE),"")</f>
        <v/>
      </c>
      <c r="L196" s="236" t="str">
        <f>IFERROR(_xlfn.XLOOKUP($A196,'Raw_Data'!$B:$B,'Raw_Data'!JF:JF),"")</f>
        <v/>
      </c>
      <c r="M196" s="236" t="str">
        <f>IFERROR(_xlfn.XLOOKUP($A196,'Raw_Data'!$B:$B,'Raw_Data'!JG:JG),"")</f>
        <v/>
      </c>
      <c r="N196" s="236" t="str">
        <f>IFERROR(_xlfn.XLOOKUP($A196,'Raw_Data'!$B:$B,'Raw_Data'!JH:JH),"")</f>
        <v/>
      </c>
      <c r="O196" s="237" t="str">
        <f>IFERROR(1-SUMIF(PA!$B:$B,$A196,PA!$AL:$AL)/($AA196+SUMIF(PA!$B:$B,$A196,PA!$AL:$AL)),"")</f>
        <v/>
      </c>
      <c r="P196" s="238"/>
      <c r="Q196" s="239"/>
      <c r="R196" s="240" t="str">
        <f>IFERROR(1-SUMIF(GA!$C:$C,$A196,GA!$X:$X)/($AA196+SUMIF(GA!$C:$C,$A196,GA!$X:$X)),"")</f>
        <v/>
      </c>
      <c r="S196" s="186"/>
      <c r="T196" s="239"/>
      <c r="U196" s="237" t="str">
        <f t="shared" si="14"/>
        <v/>
      </c>
      <c r="V196" s="237" t="str">
        <f>IFERROR(_xlfn.XLOOKUP($A196,'Raw_Data'!$B:$B,'Raw_Data'!$JL:$JL),"")</f>
        <v/>
      </c>
      <c r="W196" s="240" t="str">
        <f t="shared" si="15"/>
        <v/>
      </c>
      <c r="X196" s="228" t="str">
        <f>IFERROR(_xlfn.XLOOKUP($A196,'Raw_Data'!$B:$B,'Raw_Data'!$JI:$JI),"")</f>
        <v/>
      </c>
      <c r="Y196" s="228" t="str">
        <f>IFERROR(_xlfn.XLOOKUP($A196,'Raw_Data'!$B:$B,'Raw_Data'!IT:IT),"")</f>
        <v/>
      </c>
      <c r="Z196" s="228" t="str">
        <f>IFERROR(_xlfn.XLOOKUP($A196,'Raw_Data'!$B:$B,'Raw_Data'!IU:IU),"")</f>
        <v/>
      </c>
      <c r="AA196" s="228" t="str">
        <f>IFERROR(_xlfn.XLOOKUP($A196,'Raw_Data'!$B:$B,'Raw_Data'!IW:IW),"")</f>
        <v/>
      </c>
      <c r="AB196" s="228" t="str">
        <f>IFERROR(_xlfn.XLOOKUP($A196,'Raw_Data'!$B:$B,'Raw_Data'!I:I)/1000,"")</f>
        <v/>
      </c>
      <c r="AC196" s="241">
        <f>IFERROR(_xlfn.XLOOKUP($D196,'Modelling New'!$D:$D,'Modelling New'!$P:$P),"")</f>
        <v>6.5258064516129037</v>
      </c>
      <c r="AD196" s="228">
        <f>IFERROR(_xlfn.XLOOKUP($D196,'Modelling New'!$D:$D,'Modelling New'!$T:$T)*1000,"")</f>
        <v>1782585.5948084679</v>
      </c>
      <c r="AE196" s="240">
        <f>IFERROR(_xlfn.XLOOKUP($D196,'Modelling New'!$D:$D,'Modelling New'!$O:$O),"")</f>
        <v>0.81517985773319568</v>
      </c>
      <c r="AF196" s="240">
        <f>IFERROR(_xlfn.XLOOKUP($D196,'Modelling New'!$D:$D,'Modelling New'!$W:$W),"")</f>
        <v>0.22165441561750737</v>
      </c>
      <c r="AG196" s="240">
        <f>IFERROR(_xlfn.XLOOKUP($D196,'Modelling New'!$D:$D,'Modelling New'!AE:AE),"")</f>
        <v>0.99750000000000005</v>
      </c>
      <c r="AH196" s="240">
        <f>IFERROR(_xlfn.XLOOKUP($D196,'Modelling New'!$D:$D,'Modelling New'!AF:AF),"")</f>
        <v>0.99750000000000005</v>
      </c>
      <c r="AI196" s="186"/>
      <c r="AJ196" s="186"/>
      <c r="AK196" s="225"/>
      <c r="AL196" s="224">
        <f>IFERROR(Table13[[#This Row],[RA (%)]]*9270*58,"")</f>
        <v>0</v>
      </c>
      <c r="AM196" s="225"/>
      <c r="AN196" s="238"/>
      <c r="AO196" s="240"/>
      <c r="AP196" s="240"/>
      <c r="AQ196" s="240"/>
      <c r="AR196" s="242">
        <f>IFERROR(_xlfn.XLOOKUP($D196,'Modelling New'!$D:$D,'Modelling New'!$N:$N),"")</f>
        <v>335.09100000000001</v>
      </c>
    </row>
    <row r="197" spans="1:44">
      <c r="A197" s="233">
        <f t="shared" si="16"/>
        <v>45940</v>
      </c>
      <c r="B197" s="228">
        <f>YEAR(Table13[[#This Row],[Date]])+IF(MONTH(Table13[[#This Row],[Date]])&gt;=4,1,0)</f>
        <v>2026</v>
      </c>
      <c r="C197" s="186">
        <f>YEAR(Table13[[#This Row],[Date]])</f>
        <v>2025</v>
      </c>
      <c r="D197" s="234">
        <f>Table13[[#This Row],[Date]]-DAY(Table13[[#This Row],[Date]])+1</f>
        <v>45931</v>
      </c>
      <c r="E197" s="186">
        <f t="shared" ref="E197:E260" si="17">DAY(EOMONTH(A197,0))</f>
        <v>31</v>
      </c>
      <c r="F197" s="235" t="str">
        <f>IFERROR(_xlfn.XLOOKUP($A197,'Raw_Data'!$B:$B,'Raw_Data'!$IX:$IX),"")</f>
        <v/>
      </c>
      <c r="G197" s="236" t="str">
        <f>IFERROR(_xlfn.XLOOKUP($A197,'Raw_Data'!$B:$B,'Raw_Data'!IY:IY),"")</f>
        <v/>
      </c>
      <c r="H197" s="236" t="str">
        <f>IFERROR(_xlfn.XLOOKUP($A197,'Raw_Data'!$B:$B,'Raw_Data'!IZ:IZ),"")</f>
        <v/>
      </c>
      <c r="I197" s="236" t="str">
        <f>IFERROR(_xlfn.XLOOKUP($A197,'Raw_Data'!$B:$B,'Raw_Data'!JA:JA),"")</f>
        <v/>
      </c>
      <c r="J197" s="236" t="str">
        <f>IFERROR(_xlfn.XLOOKUP($A197,'Raw_Data'!$B:$B,'Raw_Data'!JB:JB),"")</f>
        <v/>
      </c>
      <c r="K197" s="236" t="str">
        <f>IFERROR(_xlfn.XLOOKUP($A197,'Raw_Data'!$B:$B,'Raw_Data'!JE:JE),"")</f>
        <v/>
      </c>
      <c r="L197" s="236" t="str">
        <f>IFERROR(_xlfn.XLOOKUP($A197,'Raw_Data'!$B:$B,'Raw_Data'!JF:JF),"")</f>
        <v/>
      </c>
      <c r="M197" s="236" t="str">
        <f>IFERROR(_xlfn.XLOOKUP($A197,'Raw_Data'!$B:$B,'Raw_Data'!JG:JG),"")</f>
        <v/>
      </c>
      <c r="N197" s="236" t="str">
        <f>IFERROR(_xlfn.XLOOKUP($A197,'Raw_Data'!$B:$B,'Raw_Data'!JH:JH),"")</f>
        <v/>
      </c>
      <c r="O197" s="237" t="str">
        <f>IFERROR(1-SUMIF(PA!$B:$B,$A197,PA!$AL:$AL)/($AA197+SUMIF(PA!$B:$B,$A197,PA!$AL:$AL)),"")</f>
        <v/>
      </c>
      <c r="P197" s="238"/>
      <c r="Q197" s="239"/>
      <c r="R197" s="240" t="str">
        <f>IFERROR(1-SUMIF(GA!$C:$C,$A197,GA!$X:$X)/($AA197+SUMIF(GA!$C:$C,$A197,GA!$X:$X)),"")</f>
        <v/>
      </c>
      <c r="S197" s="186"/>
      <c r="T197" s="239"/>
      <c r="U197" s="237" t="str">
        <f t="shared" si="14"/>
        <v/>
      </c>
      <c r="V197" s="237" t="str">
        <f>IFERROR(_xlfn.XLOOKUP($A197,'Raw_Data'!$B:$B,'Raw_Data'!$JL:$JL),"")</f>
        <v/>
      </c>
      <c r="W197" s="240" t="str">
        <f t="shared" si="15"/>
        <v/>
      </c>
      <c r="X197" s="228" t="str">
        <f>IFERROR(_xlfn.XLOOKUP($A197,'Raw_Data'!$B:$B,'Raw_Data'!$JI:$JI),"")</f>
        <v/>
      </c>
      <c r="Y197" s="228" t="str">
        <f>IFERROR(_xlfn.XLOOKUP($A197,'Raw_Data'!$B:$B,'Raw_Data'!IT:IT),"")</f>
        <v/>
      </c>
      <c r="Z197" s="228" t="str">
        <f>IFERROR(_xlfn.XLOOKUP($A197,'Raw_Data'!$B:$B,'Raw_Data'!IU:IU),"")</f>
        <v/>
      </c>
      <c r="AA197" s="228" t="str">
        <f>IFERROR(_xlfn.XLOOKUP($A197,'Raw_Data'!$B:$B,'Raw_Data'!IW:IW),"")</f>
        <v/>
      </c>
      <c r="AB197" s="228" t="str">
        <f>IFERROR(_xlfn.XLOOKUP($A197,'Raw_Data'!$B:$B,'Raw_Data'!I:I)/1000,"")</f>
        <v/>
      </c>
      <c r="AC197" s="241">
        <f>IFERROR(_xlfn.XLOOKUP($D197,'Modelling New'!$D:$D,'Modelling New'!$P:$P),"")</f>
        <v>6.5258064516129037</v>
      </c>
      <c r="AD197" s="228">
        <f>IFERROR(_xlfn.XLOOKUP($D197,'Modelling New'!$D:$D,'Modelling New'!$T:$T)*1000,"")</f>
        <v>1782585.5948084679</v>
      </c>
      <c r="AE197" s="240">
        <f>IFERROR(_xlfn.XLOOKUP($D197,'Modelling New'!$D:$D,'Modelling New'!$O:$O),"")</f>
        <v>0.81517985773319568</v>
      </c>
      <c r="AF197" s="240">
        <f>IFERROR(_xlfn.XLOOKUP($D197,'Modelling New'!$D:$D,'Modelling New'!$W:$W),"")</f>
        <v>0.22165441561750737</v>
      </c>
      <c r="AG197" s="240">
        <f>IFERROR(_xlfn.XLOOKUP($D197,'Modelling New'!$D:$D,'Modelling New'!AE:AE),"")</f>
        <v>0.99750000000000005</v>
      </c>
      <c r="AH197" s="240">
        <f>IFERROR(_xlfn.XLOOKUP($D197,'Modelling New'!$D:$D,'Modelling New'!AF:AF),"")</f>
        <v>0.99750000000000005</v>
      </c>
      <c r="AI197" s="186"/>
      <c r="AJ197" s="186"/>
      <c r="AK197" s="225"/>
      <c r="AL197" s="224">
        <f>IFERROR(Table13[[#This Row],[RA (%)]]*9270*58,"")</f>
        <v>0</v>
      </c>
      <c r="AM197" s="225"/>
      <c r="AN197" s="238"/>
      <c r="AO197" s="240"/>
      <c r="AP197" s="240"/>
      <c r="AQ197" s="240"/>
      <c r="AR197" s="242">
        <f>IFERROR(_xlfn.XLOOKUP($D197,'Modelling New'!$D:$D,'Modelling New'!$N:$N),"")</f>
        <v>335.09100000000001</v>
      </c>
    </row>
    <row r="198" spans="1:44">
      <c r="A198" s="233">
        <f t="shared" si="16"/>
        <v>45941</v>
      </c>
      <c r="B198" s="228">
        <f>YEAR(Table13[[#This Row],[Date]])+IF(MONTH(Table13[[#This Row],[Date]])&gt;=4,1,0)</f>
        <v>2026</v>
      </c>
      <c r="C198" s="186">
        <f>YEAR(Table13[[#This Row],[Date]])</f>
        <v>2025</v>
      </c>
      <c r="D198" s="234">
        <f>Table13[[#This Row],[Date]]-DAY(Table13[[#This Row],[Date]])+1</f>
        <v>45931</v>
      </c>
      <c r="E198" s="186">
        <f t="shared" si="17"/>
        <v>31</v>
      </c>
      <c r="F198" s="235" t="str">
        <f>IFERROR(_xlfn.XLOOKUP($A198,'Raw_Data'!$B:$B,'Raw_Data'!$IX:$IX),"")</f>
        <v/>
      </c>
      <c r="G198" s="236" t="str">
        <f>IFERROR(_xlfn.XLOOKUP($A198,'Raw_Data'!$B:$B,'Raw_Data'!IY:IY),"")</f>
        <v/>
      </c>
      <c r="H198" s="236" t="str">
        <f>IFERROR(_xlfn.XLOOKUP($A198,'Raw_Data'!$B:$B,'Raw_Data'!IZ:IZ),"")</f>
        <v/>
      </c>
      <c r="I198" s="236" t="str">
        <f>IFERROR(_xlfn.XLOOKUP($A198,'Raw_Data'!$B:$B,'Raw_Data'!JA:JA),"")</f>
        <v/>
      </c>
      <c r="J198" s="236" t="str">
        <f>IFERROR(_xlfn.XLOOKUP($A198,'Raw_Data'!$B:$B,'Raw_Data'!JB:JB),"")</f>
        <v/>
      </c>
      <c r="K198" s="236" t="str">
        <f>IFERROR(_xlfn.XLOOKUP($A198,'Raw_Data'!$B:$B,'Raw_Data'!JE:JE),"")</f>
        <v/>
      </c>
      <c r="L198" s="236" t="str">
        <f>IFERROR(_xlfn.XLOOKUP($A198,'Raw_Data'!$B:$B,'Raw_Data'!JF:JF),"")</f>
        <v/>
      </c>
      <c r="M198" s="236" t="str">
        <f>IFERROR(_xlfn.XLOOKUP($A198,'Raw_Data'!$B:$B,'Raw_Data'!JG:JG),"")</f>
        <v/>
      </c>
      <c r="N198" s="236" t="str">
        <f>IFERROR(_xlfn.XLOOKUP($A198,'Raw_Data'!$B:$B,'Raw_Data'!JH:JH),"")</f>
        <v/>
      </c>
      <c r="O198" s="237" t="str">
        <f>IFERROR(1-SUMIF(PA!$B:$B,$A198,PA!$AL:$AL)/($AA198+SUMIF(PA!$B:$B,$A198,PA!$AL:$AL)),"")</f>
        <v/>
      </c>
      <c r="P198" s="238"/>
      <c r="Q198" s="239"/>
      <c r="R198" s="240" t="str">
        <f>IFERROR(1-SUMIF(GA!$C:$C,$A198,GA!$X:$X)/($AA198+SUMIF(GA!$C:$C,$A198,GA!$X:$X)),"")</f>
        <v/>
      </c>
      <c r="S198" s="186"/>
      <c r="T198" s="239"/>
      <c r="U198" s="237" t="str">
        <f t="shared" si="14"/>
        <v/>
      </c>
      <c r="V198" s="237" t="str">
        <f>IFERROR(_xlfn.XLOOKUP($A198,'Raw_Data'!$B:$B,'Raw_Data'!$JL:$JL),"")</f>
        <v/>
      </c>
      <c r="W198" s="240" t="str">
        <f t="shared" si="15"/>
        <v/>
      </c>
      <c r="X198" s="228" t="str">
        <f>IFERROR(_xlfn.XLOOKUP($A198,'Raw_Data'!$B:$B,'Raw_Data'!$JI:$JI),"")</f>
        <v/>
      </c>
      <c r="Y198" s="228" t="str">
        <f>IFERROR(_xlfn.XLOOKUP($A198,'Raw_Data'!$B:$B,'Raw_Data'!IT:IT),"")</f>
        <v/>
      </c>
      <c r="Z198" s="228" t="str">
        <f>IFERROR(_xlfn.XLOOKUP($A198,'Raw_Data'!$B:$B,'Raw_Data'!IU:IU),"")</f>
        <v/>
      </c>
      <c r="AA198" s="228" t="str">
        <f>IFERROR(_xlfn.XLOOKUP($A198,'Raw_Data'!$B:$B,'Raw_Data'!IW:IW),"")</f>
        <v/>
      </c>
      <c r="AB198" s="228" t="str">
        <f>IFERROR(_xlfn.XLOOKUP($A198,'Raw_Data'!$B:$B,'Raw_Data'!I:I)/1000,"")</f>
        <v/>
      </c>
      <c r="AC198" s="241">
        <f>IFERROR(_xlfn.XLOOKUP($D198,'Modelling New'!$D:$D,'Modelling New'!$P:$P),"")</f>
        <v>6.5258064516129037</v>
      </c>
      <c r="AD198" s="228">
        <f>IFERROR(_xlfn.XLOOKUP($D198,'Modelling New'!$D:$D,'Modelling New'!$T:$T)*1000,"")</f>
        <v>1782585.5948084679</v>
      </c>
      <c r="AE198" s="240">
        <f>IFERROR(_xlfn.XLOOKUP($D198,'Modelling New'!$D:$D,'Modelling New'!$O:$O),"")</f>
        <v>0.81517985773319568</v>
      </c>
      <c r="AF198" s="240">
        <f>IFERROR(_xlfn.XLOOKUP($D198,'Modelling New'!$D:$D,'Modelling New'!$W:$W),"")</f>
        <v>0.22165441561750737</v>
      </c>
      <c r="AG198" s="240">
        <f>IFERROR(_xlfn.XLOOKUP($D198,'Modelling New'!$D:$D,'Modelling New'!AE:AE),"")</f>
        <v>0.99750000000000005</v>
      </c>
      <c r="AH198" s="240">
        <f>IFERROR(_xlfn.XLOOKUP($D198,'Modelling New'!$D:$D,'Modelling New'!AF:AF),"")</f>
        <v>0.99750000000000005</v>
      </c>
      <c r="AI198" s="186"/>
      <c r="AJ198" s="186"/>
      <c r="AK198" s="225"/>
      <c r="AL198" s="224">
        <f>IFERROR(Table13[[#This Row],[RA (%)]]*9270*58,"")</f>
        <v>0</v>
      </c>
      <c r="AM198" s="225"/>
      <c r="AN198" s="238"/>
      <c r="AO198" s="240"/>
      <c r="AP198" s="240"/>
      <c r="AQ198" s="240"/>
      <c r="AR198" s="242">
        <f>IFERROR(_xlfn.XLOOKUP($D198,'Modelling New'!$D:$D,'Modelling New'!$N:$N),"")</f>
        <v>335.09100000000001</v>
      </c>
    </row>
    <row r="199" spans="1:44">
      <c r="A199" s="233">
        <f t="shared" si="16"/>
        <v>45942</v>
      </c>
      <c r="B199" s="228">
        <f>YEAR(Table13[[#This Row],[Date]])+IF(MONTH(Table13[[#This Row],[Date]])&gt;=4,1,0)</f>
        <v>2026</v>
      </c>
      <c r="C199" s="186">
        <f>YEAR(Table13[[#This Row],[Date]])</f>
        <v>2025</v>
      </c>
      <c r="D199" s="234">
        <f>Table13[[#This Row],[Date]]-DAY(Table13[[#This Row],[Date]])+1</f>
        <v>45931</v>
      </c>
      <c r="E199" s="186">
        <f t="shared" si="17"/>
        <v>31</v>
      </c>
      <c r="F199" s="235" t="str">
        <f>IFERROR(_xlfn.XLOOKUP($A199,'Raw_Data'!$B:$B,'Raw_Data'!$IX:$IX),"")</f>
        <v/>
      </c>
      <c r="G199" s="236" t="str">
        <f>IFERROR(_xlfn.XLOOKUP($A199,'Raw_Data'!$B:$B,'Raw_Data'!IY:IY),"")</f>
        <v/>
      </c>
      <c r="H199" s="236" t="str">
        <f>IFERROR(_xlfn.XLOOKUP($A199,'Raw_Data'!$B:$B,'Raw_Data'!IZ:IZ),"")</f>
        <v/>
      </c>
      <c r="I199" s="236" t="str">
        <f>IFERROR(_xlfn.XLOOKUP($A199,'Raw_Data'!$B:$B,'Raw_Data'!JA:JA),"")</f>
        <v/>
      </c>
      <c r="J199" s="236" t="str">
        <f>IFERROR(_xlfn.XLOOKUP($A199,'Raw_Data'!$B:$B,'Raw_Data'!JB:JB),"")</f>
        <v/>
      </c>
      <c r="K199" s="236" t="str">
        <f>IFERROR(_xlfn.XLOOKUP($A199,'Raw_Data'!$B:$B,'Raw_Data'!JE:JE),"")</f>
        <v/>
      </c>
      <c r="L199" s="236" t="str">
        <f>IFERROR(_xlfn.XLOOKUP($A199,'Raw_Data'!$B:$B,'Raw_Data'!JF:JF),"")</f>
        <v/>
      </c>
      <c r="M199" s="236" t="str">
        <f>IFERROR(_xlfn.XLOOKUP($A199,'Raw_Data'!$B:$B,'Raw_Data'!JG:JG),"")</f>
        <v/>
      </c>
      <c r="N199" s="236" t="str">
        <f>IFERROR(_xlfn.XLOOKUP($A199,'Raw_Data'!$B:$B,'Raw_Data'!JH:JH),"")</f>
        <v/>
      </c>
      <c r="O199" s="237" t="str">
        <f>IFERROR(1-SUMIF(PA!$B:$B,$A199,PA!$AL:$AL)/($AA199+SUMIF(PA!$B:$B,$A199,PA!$AL:$AL)),"")</f>
        <v/>
      </c>
      <c r="P199" s="238"/>
      <c r="Q199" s="239"/>
      <c r="R199" s="240" t="str">
        <f>IFERROR(1-SUMIF(GA!$C:$C,$A199,GA!$X:$X)/($AA199+SUMIF(GA!$C:$C,$A199,GA!$X:$X)),"")</f>
        <v/>
      </c>
      <c r="S199" s="186"/>
      <c r="T199" s="239"/>
      <c r="U199" s="237" t="str">
        <f t="shared" si="14"/>
        <v/>
      </c>
      <c r="V199" s="237" t="str">
        <f>IFERROR(_xlfn.XLOOKUP($A199,'Raw_Data'!$B:$B,'Raw_Data'!$JL:$JL),"")</f>
        <v/>
      </c>
      <c r="W199" s="240" t="str">
        <f t="shared" si="15"/>
        <v/>
      </c>
      <c r="X199" s="228" t="str">
        <f>IFERROR(_xlfn.XLOOKUP($A199,'Raw_Data'!$B:$B,'Raw_Data'!$JI:$JI),"")</f>
        <v/>
      </c>
      <c r="Y199" s="228" t="str">
        <f>IFERROR(_xlfn.XLOOKUP($A199,'Raw_Data'!$B:$B,'Raw_Data'!IT:IT),"")</f>
        <v/>
      </c>
      <c r="Z199" s="228" t="str">
        <f>IFERROR(_xlfn.XLOOKUP($A199,'Raw_Data'!$B:$B,'Raw_Data'!IU:IU),"")</f>
        <v/>
      </c>
      <c r="AA199" s="228" t="str">
        <f>IFERROR(_xlfn.XLOOKUP($A199,'Raw_Data'!$B:$B,'Raw_Data'!IW:IW),"")</f>
        <v/>
      </c>
      <c r="AB199" s="228" t="str">
        <f>IFERROR(_xlfn.XLOOKUP($A199,'Raw_Data'!$B:$B,'Raw_Data'!I:I)/1000,"")</f>
        <v/>
      </c>
      <c r="AC199" s="241">
        <f>IFERROR(_xlfn.XLOOKUP($D199,'Modelling New'!$D:$D,'Modelling New'!$P:$P),"")</f>
        <v>6.5258064516129037</v>
      </c>
      <c r="AD199" s="228">
        <f>IFERROR(_xlfn.XLOOKUP($D199,'Modelling New'!$D:$D,'Modelling New'!$T:$T)*1000,"")</f>
        <v>1782585.5948084679</v>
      </c>
      <c r="AE199" s="240">
        <f>IFERROR(_xlfn.XLOOKUP($D199,'Modelling New'!$D:$D,'Modelling New'!$O:$O),"")</f>
        <v>0.81517985773319568</v>
      </c>
      <c r="AF199" s="240">
        <f>IFERROR(_xlfn.XLOOKUP($D199,'Modelling New'!$D:$D,'Modelling New'!$W:$W),"")</f>
        <v>0.22165441561750737</v>
      </c>
      <c r="AG199" s="240">
        <f>IFERROR(_xlfn.XLOOKUP($D199,'Modelling New'!$D:$D,'Modelling New'!AE:AE),"")</f>
        <v>0.99750000000000005</v>
      </c>
      <c r="AH199" s="240">
        <f>IFERROR(_xlfn.XLOOKUP($D199,'Modelling New'!$D:$D,'Modelling New'!AF:AF),"")</f>
        <v>0.99750000000000005</v>
      </c>
      <c r="AI199" s="186"/>
      <c r="AJ199" s="186"/>
      <c r="AK199" s="225"/>
      <c r="AL199" s="224">
        <f>IFERROR(Table13[[#This Row],[RA (%)]]*9270*58,"")</f>
        <v>0</v>
      </c>
      <c r="AM199" s="225"/>
      <c r="AN199" s="238"/>
      <c r="AO199" s="240"/>
      <c r="AP199" s="240"/>
      <c r="AQ199" s="240"/>
      <c r="AR199" s="242">
        <f>IFERROR(_xlfn.XLOOKUP($D199,'Modelling New'!$D:$D,'Modelling New'!$N:$N),"")</f>
        <v>335.09100000000001</v>
      </c>
    </row>
    <row r="200" spans="1:44">
      <c r="A200" s="233">
        <f t="shared" si="16"/>
        <v>45943</v>
      </c>
      <c r="B200" s="228">
        <f>YEAR(Table13[[#This Row],[Date]])+IF(MONTH(Table13[[#This Row],[Date]])&gt;=4,1,0)</f>
        <v>2026</v>
      </c>
      <c r="C200" s="186">
        <f>YEAR(Table13[[#This Row],[Date]])</f>
        <v>2025</v>
      </c>
      <c r="D200" s="234">
        <f>Table13[[#This Row],[Date]]-DAY(Table13[[#This Row],[Date]])+1</f>
        <v>45931</v>
      </c>
      <c r="E200" s="186">
        <f t="shared" si="17"/>
        <v>31</v>
      </c>
      <c r="F200" s="235" t="str">
        <f>IFERROR(_xlfn.XLOOKUP($A200,'Raw_Data'!$B:$B,'Raw_Data'!$IX:$IX),"")</f>
        <v/>
      </c>
      <c r="G200" s="236" t="str">
        <f>IFERROR(_xlfn.XLOOKUP($A200,'Raw_Data'!$B:$B,'Raw_Data'!IY:IY),"")</f>
        <v/>
      </c>
      <c r="H200" s="236" t="str">
        <f>IFERROR(_xlfn.XLOOKUP($A200,'Raw_Data'!$B:$B,'Raw_Data'!IZ:IZ),"")</f>
        <v/>
      </c>
      <c r="I200" s="236" t="str">
        <f>IFERROR(_xlfn.XLOOKUP($A200,'Raw_Data'!$B:$B,'Raw_Data'!JA:JA),"")</f>
        <v/>
      </c>
      <c r="J200" s="236" t="str">
        <f>IFERROR(_xlfn.XLOOKUP($A200,'Raw_Data'!$B:$B,'Raw_Data'!JB:JB),"")</f>
        <v/>
      </c>
      <c r="K200" s="236" t="str">
        <f>IFERROR(_xlfn.XLOOKUP($A200,'Raw_Data'!$B:$B,'Raw_Data'!JE:JE),"")</f>
        <v/>
      </c>
      <c r="L200" s="236" t="str">
        <f>IFERROR(_xlfn.XLOOKUP($A200,'Raw_Data'!$B:$B,'Raw_Data'!JF:JF),"")</f>
        <v/>
      </c>
      <c r="M200" s="236" t="str">
        <f>IFERROR(_xlfn.XLOOKUP($A200,'Raw_Data'!$B:$B,'Raw_Data'!JG:JG),"")</f>
        <v/>
      </c>
      <c r="N200" s="236" t="str">
        <f>IFERROR(_xlfn.XLOOKUP($A200,'Raw_Data'!$B:$B,'Raw_Data'!JH:JH),"")</f>
        <v/>
      </c>
      <c r="O200" s="237" t="str">
        <f>IFERROR(1-SUMIF(PA!$B:$B,$A200,PA!$AL:$AL)/($AA200+SUMIF(PA!$B:$B,$A200,PA!$AL:$AL)),"")</f>
        <v/>
      </c>
      <c r="P200" s="238"/>
      <c r="Q200" s="239"/>
      <c r="R200" s="240" t="str">
        <f>IFERROR(1-SUMIF(GA!$C:$C,$A200,GA!$X:$X)/($AA200+SUMIF(GA!$C:$C,$A200,GA!$X:$X)),"")</f>
        <v/>
      </c>
      <c r="S200" s="186"/>
      <c r="T200" s="239"/>
      <c r="U200" s="237" t="str">
        <f t="shared" si="14"/>
        <v/>
      </c>
      <c r="V200" s="237" t="str">
        <f>IFERROR(_xlfn.XLOOKUP($A200,'Raw_Data'!$B:$B,'Raw_Data'!$JL:$JL),"")</f>
        <v/>
      </c>
      <c r="W200" s="240" t="str">
        <f t="shared" si="15"/>
        <v/>
      </c>
      <c r="X200" s="228" t="str">
        <f>IFERROR(_xlfn.XLOOKUP($A200,'Raw_Data'!$B:$B,'Raw_Data'!$JI:$JI),"")</f>
        <v/>
      </c>
      <c r="Y200" s="228" t="str">
        <f>IFERROR(_xlfn.XLOOKUP($A200,'Raw_Data'!$B:$B,'Raw_Data'!IT:IT),"")</f>
        <v/>
      </c>
      <c r="Z200" s="228" t="str">
        <f>IFERROR(_xlfn.XLOOKUP($A200,'Raw_Data'!$B:$B,'Raw_Data'!IU:IU),"")</f>
        <v/>
      </c>
      <c r="AA200" s="228" t="str">
        <f>IFERROR(_xlfn.XLOOKUP($A200,'Raw_Data'!$B:$B,'Raw_Data'!IW:IW),"")</f>
        <v/>
      </c>
      <c r="AB200" s="228" t="str">
        <f>IFERROR(_xlfn.XLOOKUP($A200,'Raw_Data'!$B:$B,'Raw_Data'!I:I)/1000,"")</f>
        <v/>
      </c>
      <c r="AC200" s="241">
        <f>IFERROR(_xlfn.XLOOKUP($D200,'Modelling New'!$D:$D,'Modelling New'!$P:$P),"")</f>
        <v>6.5258064516129037</v>
      </c>
      <c r="AD200" s="228">
        <f>IFERROR(_xlfn.XLOOKUP($D200,'Modelling New'!$D:$D,'Modelling New'!$T:$T)*1000,"")</f>
        <v>1782585.5948084679</v>
      </c>
      <c r="AE200" s="240">
        <f>IFERROR(_xlfn.XLOOKUP($D200,'Modelling New'!$D:$D,'Modelling New'!$O:$O),"")</f>
        <v>0.81517985773319568</v>
      </c>
      <c r="AF200" s="240">
        <f>IFERROR(_xlfn.XLOOKUP($D200,'Modelling New'!$D:$D,'Modelling New'!$W:$W),"")</f>
        <v>0.22165441561750737</v>
      </c>
      <c r="AG200" s="240">
        <f>IFERROR(_xlfn.XLOOKUP($D200,'Modelling New'!$D:$D,'Modelling New'!AE:AE),"")</f>
        <v>0.99750000000000005</v>
      </c>
      <c r="AH200" s="240">
        <f>IFERROR(_xlfn.XLOOKUP($D200,'Modelling New'!$D:$D,'Modelling New'!AF:AF),"")</f>
        <v>0.99750000000000005</v>
      </c>
      <c r="AI200" s="186"/>
      <c r="AJ200" s="186"/>
      <c r="AK200" s="225"/>
      <c r="AL200" s="224">
        <f>IFERROR(Table13[[#This Row],[RA (%)]]*9270*58,"")</f>
        <v>0</v>
      </c>
      <c r="AM200" s="225"/>
      <c r="AN200" s="238"/>
      <c r="AO200" s="240"/>
      <c r="AP200" s="240"/>
      <c r="AQ200" s="240"/>
      <c r="AR200" s="242">
        <f>IFERROR(_xlfn.XLOOKUP($D200,'Modelling New'!$D:$D,'Modelling New'!$N:$N),"")</f>
        <v>335.09100000000001</v>
      </c>
    </row>
    <row r="201" spans="1:44">
      <c r="A201" s="233">
        <f t="shared" si="16"/>
        <v>45944</v>
      </c>
      <c r="B201" s="228">
        <f>YEAR(Table13[[#This Row],[Date]])+IF(MONTH(Table13[[#This Row],[Date]])&gt;=4,1,0)</f>
        <v>2026</v>
      </c>
      <c r="C201" s="186">
        <f>YEAR(Table13[[#This Row],[Date]])</f>
        <v>2025</v>
      </c>
      <c r="D201" s="234">
        <f>Table13[[#This Row],[Date]]-DAY(Table13[[#This Row],[Date]])+1</f>
        <v>45931</v>
      </c>
      <c r="E201" s="186">
        <f t="shared" si="17"/>
        <v>31</v>
      </c>
      <c r="F201" s="235" t="str">
        <f>IFERROR(_xlfn.XLOOKUP($A201,'Raw_Data'!$B:$B,'Raw_Data'!$IX:$IX),"")</f>
        <v/>
      </c>
      <c r="G201" s="236" t="str">
        <f>IFERROR(_xlfn.XLOOKUP($A201,'Raw_Data'!$B:$B,'Raw_Data'!IY:IY),"")</f>
        <v/>
      </c>
      <c r="H201" s="236" t="str">
        <f>IFERROR(_xlfn.XLOOKUP($A201,'Raw_Data'!$B:$B,'Raw_Data'!IZ:IZ),"")</f>
        <v/>
      </c>
      <c r="I201" s="236" t="str">
        <f>IFERROR(_xlfn.XLOOKUP($A201,'Raw_Data'!$B:$B,'Raw_Data'!JA:JA),"")</f>
        <v/>
      </c>
      <c r="J201" s="236" t="str">
        <f>IFERROR(_xlfn.XLOOKUP($A201,'Raw_Data'!$B:$B,'Raw_Data'!JB:JB),"")</f>
        <v/>
      </c>
      <c r="K201" s="236" t="str">
        <f>IFERROR(_xlfn.XLOOKUP($A201,'Raw_Data'!$B:$B,'Raw_Data'!JE:JE),"")</f>
        <v/>
      </c>
      <c r="L201" s="236" t="str">
        <f>IFERROR(_xlfn.XLOOKUP($A201,'Raw_Data'!$B:$B,'Raw_Data'!JF:JF),"")</f>
        <v/>
      </c>
      <c r="M201" s="236" t="str">
        <f>IFERROR(_xlfn.XLOOKUP($A201,'Raw_Data'!$B:$B,'Raw_Data'!JG:JG),"")</f>
        <v/>
      </c>
      <c r="N201" s="236" t="str">
        <f>IFERROR(_xlfn.XLOOKUP($A201,'Raw_Data'!$B:$B,'Raw_Data'!JH:JH),"")</f>
        <v/>
      </c>
      <c r="O201" s="237" t="str">
        <f>IFERROR(1-SUMIF(PA!$B:$B,$A201,PA!$AL:$AL)/($AA201+SUMIF(PA!$B:$B,$A201,PA!$AL:$AL)),"")</f>
        <v/>
      </c>
      <c r="P201" s="238"/>
      <c r="Q201" s="239"/>
      <c r="R201" s="240" t="str">
        <f>IFERROR(1-SUMIF(GA!$C:$C,$A201,GA!$X:$X)/($AA201+SUMIF(GA!$C:$C,$A201,GA!$X:$X)),"")</f>
        <v/>
      </c>
      <c r="S201" s="186"/>
      <c r="T201" s="239"/>
      <c r="U201" s="237" t="str">
        <f t="shared" si="14"/>
        <v/>
      </c>
      <c r="V201" s="237" t="str">
        <f>IFERROR(_xlfn.XLOOKUP($A201,'Raw_Data'!$B:$B,'Raw_Data'!$JL:$JL),"")</f>
        <v/>
      </c>
      <c r="W201" s="240" t="str">
        <f t="shared" si="15"/>
        <v/>
      </c>
      <c r="X201" s="228" t="str">
        <f>IFERROR(_xlfn.XLOOKUP($A201,'Raw_Data'!$B:$B,'Raw_Data'!$JI:$JI),"")</f>
        <v/>
      </c>
      <c r="Y201" s="228" t="str">
        <f>IFERROR(_xlfn.XLOOKUP($A201,'Raw_Data'!$B:$B,'Raw_Data'!IT:IT),"")</f>
        <v/>
      </c>
      <c r="Z201" s="228" t="str">
        <f>IFERROR(_xlfn.XLOOKUP($A201,'Raw_Data'!$B:$B,'Raw_Data'!IU:IU),"")</f>
        <v/>
      </c>
      <c r="AA201" s="228" t="str">
        <f>IFERROR(_xlfn.XLOOKUP($A201,'Raw_Data'!$B:$B,'Raw_Data'!IW:IW),"")</f>
        <v/>
      </c>
      <c r="AB201" s="228" t="str">
        <f>IFERROR(_xlfn.XLOOKUP($A201,'Raw_Data'!$B:$B,'Raw_Data'!I:I)/1000,"")</f>
        <v/>
      </c>
      <c r="AC201" s="241">
        <f>IFERROR(_xlfn.XLOOKUP($D201,'Modelling New'!$D:$D,'Modelling New'!$P:$P),"")</f>
        <v>6.5258064516129037</v>
      </c>
      <c r="AD201" s="228">
        <f>IFERROR(_xlfn.XLOOKUP($D201,'Modelling New'!$D:$D,'Modelling New'!$T:$T)*1000,"")</f>
        <v>1782585.5948084679</v>
      </c>
      <c r="AE201" s="240">
        <f>IFERROR(_xlfn.XLOOKUP($D201,'Modelling New'!$D:$D,'Modelling New'!$O:$O),"")</f>
        <v>0.81517985773319568</v>
      </c>
      <c r="AF201" s="240">
        <f>IFERROR(_xlfn.XLOOKUP($D201,'Modelling New'!$D:$D,'Modelling New'!$W:$W),"")</f>
        <v>0.22165441561750737</v>
      </c>
      <c r="AG201" s="240">
        <f>IFERROR(_xlfn.XLOOKUP($D201,'Modelling New'!$D:$D,'Modelling New'!AE:AE),"")</f>
        <v>0.99750000000000005</v>
      </c>
      <c r="AH201" s="240">
        <f>IFERROR(_xlfn.XLOOKUP($D201,'Modelling New'!$D:$D,'Modelling New'!AF:AF),"")</f>
        <v>0.99750000000000005</v>
      </c>
      <c r="AI201" s="186"/>
      <c r="AJ201" s="186"/>
      <c r="AK201" s="225"/>
      <c r="AL201" s="224">
        <f>IFERROR(Table13[[#This Row],[RA (%)]]*9270*58,"")</f>
        <v>0</v>
      </c>
      <c r="AM201" s="225"/>
      <c r="AN201" s="238"/>
      <c r="AO201" s="240"/>
      <c r="AP201" s="240"/>
      <c r="AQ201" s="240"/>
      <c r="AR201" s="242">
        <f>IFERROR(_xlfn.XLOOKUP($D201,'Modelling New'!$D:$D,'Modelling New'!$N:$N),"")</f>
        <v>335.09100000000001</v>
      </c>
    </row>
    <row r="202" spans="1:44">
      <c r="A202" s="233">
        <f t="shared" si="16"/>
        <v>45945</v>
      </c>
      <c r="B202" s="228">
        <f>YEAR(Table13[[#This Row],[Date]])+IF(MONTH(Table13[[#This Row],[Date]])&gt;=4,1,0)</f>
        <v>2026</v>
      </c>
      <c r="C202" s="186">
        <f>YEAR(Table13[[#This Row],[Date]])</f>
        <v>2025</v>
      </c>
      <c r="D202" s="234">
        <f>Table13[[#This Row],[Date]]-DAY(Table13[[#This Row],[Date]])+1</f>
        <v>45931</v>
      </c>
      <c r="E202" s="186">
        <f t="shared" si="17"/>
        <v>31</v>
      </c>
      <c r="F202" s="235" t="str">
        <f>IFERROR(_xlfn.XLOOKUP($A202,'Raw_Data'!$B:$B,'Raw_Data'!$IX:$IX),"")</f>
        <v/>
      </c>
      <c r="G202" s="236" t="str">
        <f>IFERROR(_xlfn.XLOOKUP($A202,'Raw_Data'!$B:$B,'Raw_Data'!IY:IY),"")</f>
        <v/>
      </c>
      <c r="H202" s="236" t="str">
        <f>IFERROR(_xlfn.XLOOKUP($A202,'Raw_Data'!$B:$B,'Raw_Data'!IZ:IZ),"")</f>
        <v/>
      </c>
      <c r="I202" s="236" t="str">
        <f>IFERROR(_xlfn.XLOOKUP($A202,'Raw_Data'!$B:$B,'Raw_Data'!JA:JA),"")</f>
        <v/>
      </c>
      <c r="J202" s="236" t="str">
        <f>IFERROR(_xlfn.XLOOKUP($A202,'Raw_Data'!$B:$B,'Raw_Data'!JB:JB),"")</f>
        <v/>
      </c>
      <c r="K202" s="236" t="str">
        <f>IFERROR(_xlfn.XLOOKUP($A202,'Raw_Data'!$B:$B,'Raw_Data'!JE:JE),"")</f>
        <v/>
      </c>
      <c r="L202" s="236" t="str">
        <f>IFERROR(_xlfn.XLOOKUP($A202,'Raw_Data'!$B:$B,'Raw_Data'!JF:JF),"")</f>
        <v/>
      </c>
      <c r="M202" s="236" t="str">
        <f>IFERROR(_xlfn.XLOOKUP($A202,'Raw_Data'!$B:$B,'Raw_Data'!JG:JG),"")</f>
        <v/>
      </c>
      <c r="N202" s="236" t="str">
        <f>IFERROR(_xlfn.XLOOKUP($A202,'Raw_Data'!$B:$B,'Raw_Data'!JH:JH),"")</f>
        <v/>
      </c>
      <c r="O202" s="237" t="str">
        <f>IFERROR(1-SUMIF(PA!$B:$B,$A202,PA!$AL:$AL)/($AA202+SUMIF(PA!$B:$B,$A202,PA!$AL:$AL)),"")</f>
        <v/>
      </c>
      <c r="P202" s="238"/>
      <c r="Q202" s="239"/>
      <c r="R202" s="240" t="str">
        <f>IFERROR(1-SUMIF(GA!$C:$C,$A202,GA!$X:$X)/($AA202+SUMIF(GA!$C:$C,$A202,GA!$X:$X)),"")</f>
        <v/>
      </c>
      <c r="S202" s="186"/>
      <c r="T202" s="239"/>
      <c r="U202" s="237" t="str">
        <f t="shared" si="14"/>
        <v/>
      </c>
      <c r="V202" s="237" t="str">
        <f>IFERROR(_xlfn.XLOOKUP($A202,'Raw_Data'!$B:$B,'Raw_Data'!$JL:$JL),"")</f>
        <v/>
      </c>
      <c r="W202" s="240" t="str">
        <f t="shared" si="15"/>
        <v/>
      </c>
      <c r="X202" s="228" t="str">
        <f>IFERROR(_xlfn.XLOOKUP($A202,'Raw_Data'!$B:$B,'Raw_Data'!$JI:$JI),"")</f>
        <v/>
      </c>
      <c r="Y202" s="228" t="str">
        <f>IFERROR(_xlfn.XLOOKUP($A202,'Raw_Data'!$B:$B,'Raw_Data'!IT:IT),"")</f>
        <v/>
      </c>
      <c r="Z202" s="228" t="str">
        <f>IFERROR(_xlfn.XLOOKUP($A202,'Raw_Data'!$B:$B,'Raw_Data'!IU:IU),"")</f>
        <v/>
      </c>
      <c r="AA202" s="228" t="str">
        <f>IFERROR(_xlfn.XLOOKUP($A202,'Raw_Data'!$B:$B,'Raw_Data'!IW:IW),"")</f>
        <v/>
      </c>
      <c r="AB202" s="228" t="str">
        <f>IFERROR(_xlfn.XLOOKUP($A202,'Raw_Data'!$B:$B,'Raw_Data'!I:I)/1000,"")</f>
        <v/>
      </c>
      <c r="AC202" s="241">
        <f>IFERROR(_xlfn.XLOOKUP($D202,'Modelling New'!$D:$D,'Modelling New'!$P:$P),"")</f>
        <v>6.5258064516129037</v>
      </c>
      <c r="AD202" s="228">
        <f>IFERROR(_xlfn.XLOOKUP($D202,'Modelling New'!$D:$D,'Modelling New'!$T:$T)*1000,"")</f>
        <v>1782585.5948084679</v>
      </c>
      <c r="AE202" s="240">
        <f>IFERROR(_xlfn.XLOOKUP($D202,'Modelling New'!$D:$D,'Modelling New'!$O:$O),"")</f>
        <v>0.81517985773319568</v>
      </c>
      <c r="AF202" s="240">
        <f>IFERROR(_xlfn.XLOOKUP($D202,'Modelling New'!$D:$D,'Modelling New'!$W:$W),"")</f>
        <v>0.22165441561750737</v>
      </c>
      <c r="AG202" s="240">
        <f>IFERROR(_xlfn.XLOOKUP($D202,'Modelling New'!$D:$D,'Modelling New'!AE:AE),"")</f>
        <v>0.99750000000000005</v>
      </c>
      <c r="AH202" s="240">
        <f>IFERROR(_xlfn.XLOOKUP($D202,'Modelling New'!$D:$D,'Modelling New'!AF:AF),"")</f>
        <v>0.99750000000000005</v>
      </c>
      <c r="AI202" s="186"/>
      <c r="AJ202" s="186"/>
      <c r="AK202" s="225"/>
      <c r="AL202" s="224">
        <f>IFERROR(Table13[[#This Row],[RA (%)]]*9270*58,"")</f>
        <v>0</v>
      </c>
      <c r="AM202" s="225"/>
      <c r="AN202" s="238"/>
      <c r="AO202" s="240"/>
      <c r="AP202" s="240"/>
      <c r="AQ202" s="240"/>
      <c r="AR202" s="242">
        <f>IFERROR(_xlfn.XLOOKUP($D202,'Modelling New'!$D:$D,'Modelling New'!$N:$N),"")</f>
        <v>335.09100000000001</v>
      </c>
    </row>
    <row r="203" spans="1:44">
      <c r="A203" s="233">
        <f t="shared" si="16"/>
        <v>45946</v>
      </c>
      <c r="B203" s="228">
        <f>YEAR(Table13[[#This Row],[Date]])+IF(MONTH(Table13[[#This Row],[Date]])&gt;=4,1,0)</f>
        <v>2026</v>
      </c>
      <c r="C203" s="186">
        <f>YEAR(Table13[[#This Row],[Date]])</f>
        <v>2025</v>
      </c>
      <c r="D203" s="234">
        <f>Table13[[#This Row],[Date]]-DAY(Table13[[#This Row],[Date]])+1</f>
        <v>45931</v>
      </c>
      <c r="E203" s="186">
        <f t="shared" si="17"/>
        <v>31</v>
      </c>
      <c r="F203" s="235" t="str">
        <f>IFERROR(_xlfn.XLOOKUP($A203,'Raw_Data'!$B:$B,'Raw_Data'!$IX:$IX),"")</f>
        <v/>
      </c>
      <c r="G203" s="236" t="str">
        <f>IFERROR(_xlfn.XLOOKUP($A203,'Raw_Data'!$B:$B,'Raw_Data'!IY:IY),"")</f>
        <v/>
      </c>
      <c r="H203" s="236" t="str">
        <f>IFERROR(_xlfn.XLOOKUP($A203,'Raw_Data'!$B:$B,'Raw_Data'!IZ:IZ),"")</f>
        <v/>
      </c>
      <c r="I203" s="236" t="str">
        <f>IFERROR(_xlfn.XLOOKUP($A203,'Raw_Data'!$B:$B,'Raw_Data'!JA:JA),"")</f>
        <v/>
      </c>
      <c r="J203" s="236" t="str">
        <f>IFERROR(_xlfn.XLOOKUP($A203,'Raw_Data'!$B:$B,'Raw_Data'!JB:JB),"")</f>
        <v/>
      </c>
      <c r="K203" s="236" t="str">
        <f>IFERROR(_xlfn.XLOOKUP($A203,'Raw_Data'!$B:$B,'Raw_Data'!JE:JE),"")</f>
        <v/>
      </c>
      <c r="L203" s="236" t="str">
        <f>IFERROR(_xlfn.XLOOKUP($A203,'Raw_Data'!$B:$B,'Raw_Data'!JF:JF),"")</f>
        <v/>
      </c>
      <c r="M203" s="236" t="str">
        <f>IFERROR(_xlfn.XLOOKUP($A203,'Raw_Data'!$B:$B,'Raw_Data'!JG:JG),"")</f>
        <v/>
      </c>
      <c r="N203" s="236" t="str">
        <f>IFERROR(_xlfn.XLOOKUP($A203,'Raw_Data'!$B:$B,'Raw_Data'!JH:JH),"")</f>
        <v/>
      </c>
      <c r="O203" s="237" t="str">
        <f>IFERROR(1-SUMIF(PA!$B:$B,$A203,PA!$AL:$AL)/($AA203+SUMIF(PA!$B:$B,$A203,PA!$AL:$AL)),"")</f>
        <v/>
      </c>
      <c r="P203" s="238"/>
      <c r="Q203" s="239"/>
      <c r="R203" s="240" t="str">
        <f>IFERROR(1-SUMIF(GA!$C:$C,$A203,GA!$X:$X)/($AA203+SUMIF(GA!$C:$C,$A203,GA!$X:$X)),"")</f>
        <v/>
      </c>
      <c r="S203" s="186"/>
      <c r="T203" s="239"/>
      <c r="U203" s="237" t="str">
        <f t="shared" si="14"/>
        <v/>
      </c>
      <c r="V203" s="237" t="str">
        <f>IFERROR(_xlfn.XLOOKUP($A203,'Raw_Data'!$B:$B,'Raw_Data'!$JL:$JL),"")</f>
        <v/>
      </c>
      <c r="W203" s="240" t="str">
        <f t="shared" si="15"/>
        <v/>
      </c>
      <c r="X203" s="228" t="str">
        <f>IFERROR(_xlfn.XLOOKUP($A203,'Raw_Data'!$B:$B,'Raw_Data'!$JI:$JI),"")</f>
        <v/>
      </c>
      <c r="Y203" s="228" t="str">
        <f>IFERROR(_xlfn.XLOOKUP($A203,'Raw_Data'!$B:$B,'Raw_Data'!IT:IT),"")</f>
        <v/>
      </c>
      <c r="Z203" s="228" t="str">
        <f>IFERROR(_xlfn.XLOOKUP($A203,'Raw_Data'!$B:$B,'Raw_Data'!IU:IU),"")</f>
        <v/>
      </c>
      <c r="AA203" s="228" t="str">
        <f>IFERROR(_xlfn.XLOOKUP($A203,'Raw_Data'!$B:$B,'Raw_Data'!IW:IW),"")</f>
        <v/>
      </c>
      <c r="AB203" s="228" t="str">
        <f>IFERROR(_xlfn.XLOOKUP($A203,'Raw_Data'!$B:$B,'Raw_Data'!I:I)/1000,"")</f>
        <v/>
      </c>
      <c r="AC203" s="241">
        <f>IFERROR(_xlfn.XLOOKUP($D203,'Modelling New'!$D:$D,'Modelling New'!$P:$P),"")</f>
        <v>6.5258064516129037</v>
      </c>
      <c r="AD203" s="228">
        <f>IFERROR(_xlfn.XLOOKUP($D203,'Modelling New'!$D:$D,'Modelling New'!$T:$T)*1000,"")</f>
        <v>1782585.5948084679</v>
      </c>
      <c r="AE203" s="240">
        <f>IFERROR(_xlfn.XLOOKUP($D203,'Modelling New'!$D:$D,'Modelling New'!$O:$O),"")</f>
        <v>0.81517985773319568</v>
      </c>
      <c r="AF203" s="240">
        <f>IFERROR(_xlfn.XLOOKUP($D203,'Modelling New'!$D:$D,'Modelling New'!$W:$W),"")</f>
        <v>0.22165441561750737</v>
      </c>
      <c r="AG203" s="240">
        <f>IFERROR(_xlfn.XLOOKUP($D203,'Modelling New'!$D:$D,'Modelling New'!AE:AE),"")</f>
        <v>0.99750000000000005</v>
      </c>
      <c r="AH203" s="240">
        <f>IFERROR(_xlfn.XLOOKUP($D203,'Modelling New'!$D:$D,'Modelling New'!AF:AF),"")</f>
        <v>0.99750000000000005</v>
      </c>
      <c r="AI203" s="186"/>
      <c r="AJ203" s="186"/>
      <c r="AK203" s="225"/>
      <c r="AL203" s="224">
        <f>IFERROR(Table13[[#This Row],[RA (%)]]*9270*58,"")</f>
        <v>0</v>
      </c>
      <c r="AM203" s="225"/>
      <c r="AN203" s="238"/>
      <c r="AO203" s="240"/>
      <c r="AP203" s="240"/>
      <c r="AQ203" s="240"/>
      <c r="AR203" s="242">
        <f>IFERROR(_xlfn.XLOOKUP($D203,'Modelling New'!$D:$D,'Modelling New'!$N:$N),"")</f>
        <v>335.09100000000001</v>
      </c>
    </row>
    <row r="204" spans="1:44">
      <c r="A204" s="233">
        <f t="shared" si="16"/>
        <v>45947</v>
      </c>
      <c r="B204" s="228">
        <f>YEAR(Table13[[#This Row],[Date]])+IF(MONTH(Table13[[#This Row],[Date]])&gt;=4,1,0)</f>
        <v>2026</v>
      </c>
      <c r="C204" s="186">
        <f>YEAR(Table13[[#This Row],[Date]])</f>
        <v>2025</v>
      </c>
      <c r="D204" s="234">
        <f>Table13[[#This Row],[Date]]-DAY(Table13[[#This Row],[Date]])+1</f>
        <v>45931</v>
      </c>
      <c r="E204" s="186">
        <f t="shared" si="17"/>
        <v>31</v>
      </c>
      <c r="F204" s="235" t="str">
        <f>IFERROR(_xlfn.XLOOKUP($A204,'Raw_Data'!$B:$B,'Raw_Data'!$IX:$IX),"")</f>
        <v/>
      </c>
      <c r="G204" s="236" t="str">
        <f>IFERROR(_xlfn.XLOOKUP($A204,'Raw_Data'!$B:$B,'Raw_Data'!IY:IY),"")</f>
        <v/>
      </c>
      <c r="H204" s="236" t="str">
        <f>IFERROR(_xlfn.XLOOKUP($A204,'Raw_Data'!$B:$B,'Raw_Data'!IZ:IZ),"")</f>
        <v/>
      </c>
      <c r="I204" s="236" t="str">
        <f>IFERROR(_xlfn.XLOOKUP($A204,'Raw_Data'!$B:$B,'Raw_Data'!JA:JA),"")</f>
        <v/>
      </c>
      <c r="J204" s="236" t="str">
        <f>IFERROR(_xlfn.XLOOKUP($A204,'Raw_Data'!$B:$B,'Raw_Data'!JB:JB),"")</f>
        <v/>
      </c>
      <c r="K204" s="236" t="str">
        <f>IFERROR(_xlfn.XLOOKUP($A204,'Raw_Data'!$B:$B,'Raw_Data'!JE:JE),"")</f>
        <v/>
      </c>
      <c r="L204" s="236" t="str">
        <f>IFERROR(_xlfn.XLOOKUP($A204,'Raw_Data'!$B:$B,'Raw_Data'!JF:JF),"")</f>
        <v/>
      </c>
      <c r="M204" s="236" t="str">
        <f>IFERROR(_xlfn.XLOOKUP($A204,'Raw_Data'!$B:$B,'Raw_Data'!JG:JG),"")</f>
        <v/>
      </c>
      <c r="N204" s="236" t="str">
        <f>IFERROR(_xlfn.XLOOKUP($A204,'Raw_Data'!$B:$B,'Raw_Data'!JH:JH),"")</f>
        <v/>
      </c>
      <c r="O204" s="237" t="str">
        <f>IFERROR(1-SUMIF(PA!$B:$B,$A204,PA!$AL:$AL)/($AA204+SUMIF(PA!$B:$B,$A204,PA!$AL:$AL)),"")</f>
        <v/>
      </c>
      <c r="P204" s="238"/>
      <c r="Q204" s="239"/>
      <c r="R204" s="240" t="str">
        <f>IFERROR(1-SUMIF(GA!$C:$C,$A204,GA!$X:$X)/($AA204+SUMIF(GA!$C:$C,$A204,GA!$X:$X)),"")</f>
        <v/>
      </c>
      <c r="S204" s="186"/>
      <c r="T204" s="239"/>
      <c r="U204" s="237" t="str">
        <f t="shared" si="14"/>
        <v/>
      </c>
      <c r="V204" s="237" t="str">
        <f>IFERROR(_xlfn.XLOOKUP($A204,'Raw_Data'!$B:$B,'Raw_Data'!$JL:$JL),"")</f>
        <v/>
      </c>
      <c r="W204" s="240" t="str">
        <f t="shared" si="15"/>
        <v/>
      </c>
      <c r="X204" s="228" t="str">
        <f>IFERROR(_xlfn.XLOOKUP($A204,'Raw_Data'!$B:$B,'Raw_Data'!$JI:$JI),"")</f>
        <v/>
      </c>
      <c r="Y204" s="228" t="str">
        <f>IFERROR(_xlfn.XLOOKUP($A204,'Raw_Data'!$B:$B,'Raw_Data'!IT:IT),"")</f>
        <v/>
      </c>
      <c r="Z204" s="228" t="str">
        <f>IFERROR(_xlfn.XLOOKUP($A204,'Raw_Data'!$B:$B,'Raw_Data'!IU:IU),"")</f>
        <v/>
      </c>
      <c r="AA204" s="228" t="str">
        <f>IFERROR(_xlfn.XLOOKUP($A204,'Raw_Data'!$B:$B,'Raw_Data'!IW:IW),"")</f>
        <v/>
      </c>
      <c r="AB204" s="228" t="str">
        <f>IFERROR(_xlfn.XLOOKUP($A204,'Raw_Data'!$B:$B,'Raw_Data'!I:I)/1000,"")</f>
        <v/>
      </c>
      <c r="AC204" s="241">
        <f>IFERROR(_xlfn.XLOOKUP($D204,'Modelling New'!$D:$D,'Modelling New'!$P:$P),"")</f>
        <v>6.5258064516129037</v>
      </c>
      <c r="AD204" s="228">
        <f>IFERROR(_xlfn.XLOOKUP($D204,'Modelling New'!$D:$D,'Modelling New'!$T:$T)*1000,"")</f>
        <v>1782585.5948084679</v>
      </c>
      <c r="AE204" s="240">
        <f>IFERROR(_xlfn.XLOOKUP($D204,'Modelling New'!$D:$D,'Modelling New'!$O:$O),"")</f>
        <v>0.81517985773319568</v>
      </c>
      <c r="AF204" s="240">
        <f>IFERROR(_xlfn.XLOOKUP($D204,'Modelling New'!$D:$D,'Modelling New'!$W:$W),"")</f>
        <v>0.22165441561750737</v>
      </c>
      <c r="AG204" s="240">
        <f>IFERROR(_xlfn.XLOOKUP($D204,'Modelling New'!$D:$D,'Modelling New'!AE:AE),"")</f>
        <v>0.99750000000000005</v>
      </c>
      <c r="AH204" s="240">
        <f>IFERROR(_xlfn.XLOOKUP($D204,'Modelling New'!$D:$D,'Modelling New'!AF:AF),"")</f>
        <v>0.99750000000000005</v>
      </c>
      <c r="AI204" s="186"/>
      <c r="AJ204" s="186"/>
      <c r="AK204" s="225"/>
      <c r="AL204" s="224">
        <f>IFERROR(Table13[[#This Row],[RA (%)]]*9270*58,"")</f>
        <v>0</v>
      </c>
      <c r="AM204" s="225"/>
      <c r="AN204" s="238"/>
      <c r="AO204" s="240"/>
      <c r="AP204" s="240"/>
      <c r="AQ204" s="240"/>
      <c r="AR204" s="242">
        <f>IFERROR(_xlfn.XLOOKUP($D204,'Modelling New'!$D:$D,'Modelling New'!$N:$N),"")</f>
        <v>335.09100000000001</v>
      </c>
    </row>
    <row r="205" spans="1:44">
      <c r="A205" s="233">
        <f t="shared" si="16"/>
        <v>45948</v>
      </c>
      <c r="B205" s="228">
        <f>YEAR(Table13[[#This Row],[Date]])+IF(MONTH(Table13[[#This Row],[Date]])&gt;=4,1,0)</f>
        <v>2026</v>
      </c>
      <c r="C205" s="186">
        <f>YEAR(Table13[[#This Row],[Date]])</f>
        <v>2025</v>
      </c>
      <c r="D205" s="234">
        <f>Table13[[#This Row],[Date]]-DAY(Table13[[#This Row],[Date]])+1</f>
        <v>45931</v>
      </c>
      <c r="E205" s="186">
        <f t="shared" si="17"/>
        <v>31</v>
      </c>
      <c r="F205" s="235" t="str">
        <f>IFERROR(_xlfn.XLOOKUP($A205,'Raw_Data'!$B:$B,'Raw_Data'!$IX:$IX),"")</f>
        <v/>
      </c>
      <c r="G205" s="236" t="str">
        <f>IFERROR(_xlfn.XLOOKUP($A205,'Raw_Data'!$B:$B,'Raw_Data'!IY:IY),"")</f>
        <v/>
      </c>
      <c r="H205" s="236" t="str">
        <f>IFERROR(_xlfn.XLOOKUP($A205,'Raw_Data'!$B:$B,'Raw_Data'!IZ:IZ),"")</f>
        <v/>
      </c>
      <c r="I205" s="236" t="str">
        <f>IFERROR(_xlfn.XLOOKUP($A205,'Raw_Data'!$B:$B,'Raw_Data'!JA:JA),"")</f>
        <v/>
      </c>
      <c r="J205" s="236" t="str">
        <f>IFERROR(_xlfn.XLOOKUP($A205,'Raw_Data'!$B:$B,'Raw_Data'!JB:JB),"")</f>
        <v/>
      </c>
      <c r="K205" s="236" t="str">
        <f>IFERROR(_xlfn.XLOOKUP($A205,'Raw_Data'!$B:$B,'Raw_Data'!JE:JE),"")</f>
        <v/>
      </c>
      <c r="L205" s="236" t="str">
        <f>IFERROR(_xlfn.XLOOKUP($A205,'Raw_Data'!$B:$B,'Raw_Data'!JF:JF),"")</f>
        <v/>
      </c>
      <c r="M205" s="236" t="str">
        <f>IFERROR(_xlfn.XLOOKUP($A205,'Raw_Data'!$B:$B,'Raw_Data'!JG:JG),"")</f>
        <v/>
      </c>
      <c r="N205" s="236" t="str">
        <f>IFERROR(_xlfn.XLOOKUP($A205,'Raw_Data'!$B:$B,'Raw_Data'!JH:JH),"")</f>
        <v/>
      </c>
      <c r="O205" s="237" t="str">
        <f>IFERROR(1-SUMIF(PA!$B:$B,$A205,PA!$AL:$AL)/($AA205+SUMIF(PA!$B:$B,$A205,PA!$AL:$AL)),"")</f>
        <v/>
      </c>
      <c r="P205" s="238"/>
      <c r="Q205" s="239"/>
      <c r="R205" s="240" t="str">
        <f>IFERROR(1-SUMIF(GA!$C:$C,$A205,GA!$X:$X)/($AA205+SUMIF(GA!$C:$C,$A205,GA!$X:$X)),"")</f>
        <v/>
      </c>
      <c r="S205" s="186"/>
      <c r="T205" s="239"/>
      <c r="U205" s="237" t="str">
        <f t="shared" si="14"/>
        <v/>
      </c>
      <c r="V205" s="237" t="str">
        <f>IFERROR(_xlfn.XLOOKUP($A205,'Raw_Data'!$B:$B,'Raw_Data'!$JL:$JL),"")</f>
        <v/>
      </c>
      <c r="W205" s="240" t="str">
        <f t="shared" si="15"/>
        <v/>
      </c>
      <c r="X205" s="228" t="str">
        <f>IFERROR(_xlfn.XLOOKUP($A205,'Raw_Data'!$B:$B,'Raw_Data'!$JI:$JI),"")</f>
        <v/>
      </c>
      <c r="Y205" s="228" t="str">
        <f>IFERROR(_xlfn.XLOOKUP($A205,'Raw_Data'!$B:$B,'Raw_Data'!IT:IT),"")</f>
        <v/>
      </c>
      <c r="Z205" s="228" t="str">
        <f>IFERROR(_xlfn.XLOOKUP($A205,'Raw_Data'!$B:$B,'Raw_Data'!IU:IU),"")</f>
        <v/>
      </c>
      <c r="AA205" s="228" t="str">
        <f>IFERROR(_xlfn.XLOOKUP($A205,'Raw_Data'!$B:$B,'Raw_Data'!IW:IW),"")</f>
        <v/>
      </c>
      <c r="AB205" s="228" t="str">
        <f>IFERROR(_xlfn.XLOOKUP($A205,'Raw_Data'!$B:$B,'Raw_Data'!I:I)/1000,"")</f>
        <v/>
      </c>
      <c r="AC205" s="241">
        <f>IFERROR(_xlfn.XLOOKUP($D205,'Modelling New'!$D:$D,'Modelling New'!$P:$P),"")</f>
        <v>6.5258064516129037</v>
      </c>
      <c r="AD205" s="228">
        <f>IFERROR(_xlfn.XLOOKUP($D205,'Modelling New'!$D:$D,'Modelling New'!$T:$T)*1000,"")</f>
        <v>1782585.5948084679</v>
      </c>
      <c r="AE205" s="240">
        <f>IFERROR(_xlfn.XLOOKUP($D205,'Modelling New'!$D:$D,'Modelling New'!$O:$O),"")</f>
        <v>0.81517985773319568</v>
      </c>
      <c r="AF205" s="240">
        <f>IFERROR(_xlfn.XLOOKUP($D205,'Modelling New'!$D:$D,'Modelling New'!$W:$W),"")</f>
        <v>0.22165441561750737</v>
      </c>
      <c r="AG205" s="240">
        <f>IFERROR(_xlfn.XLOOKUP($D205,'Modelling New'!$D:$D,'Modelling New'!AE:AE),"")</f>
        <v>0.99750000000000005</v>
      </c>
      <c r="AH205" s="240">
        <f>IFERROR(_xlfn.XLOOKUP($D205,'Modelling New'!$D:$D,'Modelling New'!AF:AF),"")</f>
        <v>0.99750000000000005</v>
      </c>
      <c r="AI205" s="186"/>
      <c r="AJ205" s="186"/>
      <c r="AK205" s="225"/>
      <c r="AL205" s="224">
        <f>IFERROR(Table13[[#This Row],[RA (%)]]*9270*58,"")</f>
        <v>0</v>
      </c>
      <c r="AM205" s="225"/>
      <c r="AN205" s="238"/>
      <c r="AO205" s="240"/>
      <c r="AP205" s="240"/>
      <c r="AQ205" s="240"/>
      <c r="AR205" s="242">
        <f>IFERROR(_xlfn.XLOOKUP($D205,'Modelling New'!$D:$D,'Modelling New'!$N:$N),"")</f>
        <v>335.09100000000001</v>
      </c>
    </row>
    <row r="206" spans="1:44">
      <c r="A206" s="233">
        <f t="shared" si="16"/>
        <v>45949</v>
      </c>
      <c r="B206" s="228">
        <f>YEAR(Table13[[#This Row],[Date]])+IF(MONTH(Table13[[#This Row],[Date]])&gt;=4,1,0)</f>
        <v>2026</v>
      </c>
      <c r="C206" s="186">
        <f>YEAR(Table13[[#This Row],[Date]])</f>
        <v>2025</v>
      </c>
      <c r="D206" s="234">
        <f>Table13[[#This Row],[Date]]-DAY(Table13[[#This Row],[Date]])+1</f>
        <v>45931</v>
      </c>
      <c r="E206" s="186">
        <f t="shared" si="17"/>
        <v>31</v>
      </c>
      <c r="F206" s="235" t="str">
        <f>IFERROR(_xlfn.XLOOKUP($A206,'Raw_Data'!$B:$B,'Raw_Data'!$IX:$IX),"")</f>
        <v/>
      </c>
      <c r="G206" s="236" t="str">
        <f>IFERROR(_xlfn.XLOOKUP($A206,'Raw_Data'!$B:$B,'Raw_Data'!IY:IY),"")</f>
        <v/>
      </c>
      <c r="H206" s="236" t="str">
        <f>IFERROR(_xlfn.XLOOKUP($A206,'Raw_Data'!$B:$B,'Raw_Data'!IZ:IZ),"")</f>
        <v/>
      </c>
      <c r="I206" s="236" t="str">
        <f>IFERROR(_xlfn.XLOOKUP($A206,'Raw_Data'!$B:$B,'Raw_Data'!JA:JA),"")</f>
        <v/>
      </c>
      <c r="J206" s="236" t="str">
        <f>IFERROR(_xlfn.XLOOKUP($A206,'Raw_Data'!$B:$B,'Raw_Data'!JB:JB),"")</f>
        <v/>
      </c>
      <c r="K206" s="236" t="str">
        <f>IFERROR(_xlfn.XLOOKUP($A206,'Raw_Data'!$B:$B,'Raw_Data'!JE:JE),"")</f>
        <v/>
      </c>
      <c r="L206" s="236" t="str">
        <f>IFERROR(_xlfn.XLOOKUP($A206,'Raw_Data'!$B:$B,'Raw_Data'!JF:JF),"")</f>
        <v/>
      </c>
      <c r="M206" s="236" t="str">
        <f>IFERROR(_xlfn.XLOOKUP($A206,'Raw_Data'!$B:$B,'Raw_Data'!JG:JG),"")</f>
        <v/>
      </c>
      <c r="N206" s="236" t="str">
        <f>IFERROR(_xlfn.XLOOKUP($A206,'Raw_Data'!$B:$B,'Raw_Data'!JH:JH),"")</f>
        <v/>
      </c>
      <c r="O206" s="237" t="str">
        <f>IFERROR(1-SUMIF(PA!$B:$B,$A206,PA!$AL:$AL)/($AA206+SUMIF(PA!$B:$B,$A206,PA!$AL:$AL)),"")</f>
        <v/>
      </c>
      <c r="P206" s="238"/>
      <c r="Q206" s="239"/>
      <c r="R206" s="240" t="str">
        <f>IFERROR(1-SUMIF(GA!$C:$C,$A206,GA!$X:$X)/($AA206+SUMIF(GA!$C:$C,$A206,GA!$X:$X)),"")</f>
        <v/>
      </c>
      <c r="S206" s="186"/>
      <c r="T206" s="239"/>
      <c r="U206" s="237" t="str">
        <f t="shared" si="14"/>
        <v/>
      </c>
      <c r="V206" s="237" t="str">
        <f>IFERROR(_xlfn.XLOOKUP($A206,'Raw_Data'!$B:$B,'Raw_Data'!$JL:$JL),"")</f>
        <v/>
      </c>
      <c r="W206" s="240" t="str">
        <f t="shared" si="15"/>
        <v/>
      </c>
      <c r="X206" s="228" t="str">
        <f>IFERROR(_xlfn.XLOOKUP($A206,'Raw_Data'!$B:$B,'Raw_Data'!$JI:$JI),"")</f>
        <v/>
      </c>
      <c r="Y206" s="228" t="str">
        <f>IFERROR(_xlfn.XLOOKUP($A206,'Raw_Data'!$B:$B,'Raw_Data'!IT:IT),"")</f>
        <v/>
      </c>
      <c r="Z206" s="228" t="str">
        <f>IFERROR(_xlfn.XLOOKUP($A206,'Raw_Data'!$B:$B,'Raw_Data'!IU:IU),"")</f>
        <v/>
      </c>
      <c r="AA206" s="228" t="str">
        <f>IFERROR(_xlfn.XLOOKUP($A206,'Raw_Data'!$B:$B,'Raw_Data'!IW:IW),"")</f>
        <v/>
      </c>
      <c r="AB206" s="228" t="str">
        <f>IFERROR(_xlfn.XLOOKUP($A206,'Raw_Data'!$B:$B,'Raw_Data'!I:I)/1000,"")</f>
        <v/>
      </c>
      <c r="AC206" s="241">
        <f>IFERROR(_xlfn.XLOOKUP($D206,'Modelling New'!$D:$D,'Modelling New'!$P:$P),"")</f>
        <v>6.5258064516129037</v>
      </c>
      <c r="AD206" s="228">
        <f>IFERROR(_xlfn.XLOOKUP($D206,'Modelling New'!$D:$D,'Modelling New'!$T:$T)*1000,"")</f>
        <v>1782585.5948084679</v>
      </c>
      <c r="AE206" s="240">
        <f>IFERROR(_xlfn.XLOOKUP($D206,'Modelling New'!$D:$D,'Modelling New'!$O:$O),"")</f>
        <v>0.81517985773319568</v>
      </c>
      <c r="AF206" s="240">
        <f>IFERROR(_xlfn.XLOOKUP($D206,'Modelling New'!$D:$D,'Modelling New'!$W:$W),"")</f>
        <v>0.22165441561750737</v>
      </c>
      <c r="AG206" s="240">
        <f>IFERROR(_xlfn.XLOOKUP($D206,'Modelling New'!$D:$D,'Modelling New'!AE:AE),"")</f>
        <v>0.99750000000000005</v>
      </c>
      <c r="AH206" s="240">
        <f>IFERROR(_xlfn.XLOOKUP($D206,'Modelling New'!$D:$D,'Modelling New'!AF:AF),"")</f>
        <v>0.99750000000000005</v>
      </c>
      <c r="AI206" s="186"/>
      <c r="AJ206" s="186"/>
      <c r="AK206" s="225"/>
      <c r="AL206" s="224">
        <f>IFERROR(Table13[[#This Row],[RA (%)]]*9270*58,"")</f>
        <v>0</v>
      </c>
      <c r="AM206" s="225"/>
      <c r="AN206" s="238"/>
      <c r="AO206" s="240"/>
      <c r="AP206" s="240"/>
      <c r="AQ206" s="240"/>
      <c r="AR206" s="242">
        <f>IFERROR(_xlfn.XLOOKUP($D206,'Modelling New'!$D:$D,'Modelling New'!$N:$N),"")</f>
        <v>335.09100000000001</v>
      </c>
    </row>
    <row r="207" spans="1:44">
      <c r="A207" s="233">
        <f t="shared" si="16"/>
        <v>45950</v>
      </c>
      <c r="B207" s="228">
        <f>YEAR(Table13[[#This Row],[Date]])+IF(MONTH(Table13[[#This Row],[Date]])&gt;=4,1,0)</f>
        <v>2026</v>
      </c>
      <c r="C207" s="186">
        <f>YEAR(Table13[[#This Row],[Date]])</f>
        <v>2025</v>
      </c>
      <c r="D207" s="234">
        <f>Table13[[#This Row],[Date]]-DAY(Table13[[#This Row],[Date]])+1</f>
        <v>45931</v>
      </c>
      <c r="E207" s="186">
        <f t="shared" si="17"/>
        <v>31</v>
      </c>
      <c r="F207" s="235" t="str">
        <f>IFERROR(_xlfn.XLOOKUP($A207,'Raw_Data'!$B:$B,'Raw_Data'!$IX:$IX),"")</f>
        <v/>
      </c>
      <c r="G207" s="236" t="str">
        <f>IFERROR(_xlfn.XLOOKUP($A207,'Raw_Data'!$B:$B,'Raw_Data'!IY:IY),"")</f>
        <v/>
      </c>
      <c r="H207" s="236" t="str">
        <f>IFERROR(_xlfn.XLOOKUP($A207,'Raw_Data'!$B:$B,'Raw_Data'!IZ:IZ),"")</f>
        <v/>
      </c>
      <c r="I207" s="236" t="str">
        <f>IFERROR(_xlfn.XLOOKUP($A207,'Raw_Data'!$B:$B,'Raw_Data'!JA:JA),"")</f>
        <v/>
      </c>
      <c r="J207" s="236" t="str">
        <f>IFERROR(_xlfn.XLOOKUP($A207,'Raw_Data'!$B:$B,'Raw_Data'!JB:JB),"")</f>
        <v/>
      </c>
      <c r="K207" s="236" t="str">
        <f>IFERROR(_xlfn.XLOOKUP($A207,'Raw_Data'!$B:$B,'Raw_Data'!JE:JE),"")</f>
        <v/>
      </c>
      <c r="L207" s="236" t="str">
        <f>IFERROR(_xlfn.XLOOKUP($A207,'Raw_Data'!$B:$B,'Raw_Data'!JF:JF),"")</f>
        <v/>
      </c>
      <c r="M207" s="236" t="str">
        <f>IFERROR(_xlfn.XLOOKUP($A207,'Raw_Data'!$B:$B,'Raw_Data'!JG:JG),"")</f>
        <v/>
      </c>
      <c r="N207" s="236" t="str">
        <f>IFERROR(_xlfn.XLOOKUP($A207,'Raw_Data'!$B:$B,'Raw_Data'!JH:JH),"")</f>
        <v/>
      </c>
      <c r="O207" s="237" t="str">
        <f>IFERROR(1-SUMIF(PA!$B:$B,$A207,PA!$AL:$AL)/($AA207+SUMIF(PA!$B:$B,$A207,PA!$AL:$AL)),"")</f>
        <v/>
      </c>
      <c r="P207" s="238"/>
      <c r="Q207" s="239"/>
      <c r="R207" s="240" t="str">
        <f>IFERROR(1-SUMIF(GA!$C:$C,$A207,GA!$X:$X)/($AA207+SUMIF(GA!$C:$C,$A207,GA!$X:$X)),"")</f>
        <v/>
      </c>
      <c r="S207" s="186"/>
      <c r="T207" s="239"/>
      <c r="U207" s="237" t="str">
        <f t="shared" si="14"/>
        <v/>
      </c>
      <c r="V207" s="237" t="str">
        <f>IFERROR(_xlfn.XLOOKUP($A207,'Raw_Data'!$B:$B,'Raw_Data'!$JL:$JL),"")</f>
        <v/>
      </c>
      <c r="W207" s="240" t="str">
        <f t="shared" si="15"/>
        <v/>
      </c>
      <c r="X207" s="228" t="str">
        <f>IFERROR(_xlfn.XLOOKUP($A207,'Raw_Data'!$B:$B,'Raw_Data'!$JI:$JI),"")</f>
        <v/>
      </c>
      <c r="Y207" s="228" t="str">
        <f>IFERROR(_xlfn.XLOOKUP($A207,'Raw_Data'!$B:$B,'Raw_Data'!IT:IT),"")</f>
        <v/>
      </c>
      <c r="Z207" s="228" t="str">
        <f>IFERROR(_xlfn.XLOOKUP($A207,'Raw_Data'!$B:$B,'Raw_Data'!IU:IU),"")</f>
        <v/>
      </c>
      <c r="AA207" s="228" t="str">
        <f>IFERROR(_xlfn.XLOOKUP($A207,'Raw_Data'!$B:$B,'Raw_Data'!IW:IW),"")</f>
        <v/>
      </c>
      <c r="AB207" s="228" t="str">
        <f>IFERROR(_xlfn.XLOOKUP($A207,'Raw_Data'!$B:$B,'Raw_Data'!I:I)/1000,"")</f>
        <v/>
      </c>
      <c r="AC207" s="241">
        <f>IFERROR(_xlfn.XLOOKUP($D207,'Modelling New'!$D:$D,'Modelling New'!$P:$P),"")</f>
        <v>6.5258064516129037</v>
      </c>
      <c r="AD207" s="228">
        <f>IFERROR(_xlfn.XLOOKUP($D207,'Modelling New'!$D:$D,'Modelling New'!$T:$T)*1000,"")</f>
        <v>1782585.5948084679</v>
      </c>
      <c r="AE207" s="240">
        <f>IFERROR(_xlfn.XLOOKUP($D207,'Modelling New'!$D:$D,'Modelling New'!$O:$O),"")</f>
        <v>0.81517985773319568</v>
      </c>
      <c r="AF207" s="240">
        <f>IFERROR(_xlfn.XLOOKUP($D207,'Modelling New'!$D:$D,'Modelling New'!$W:$W),"")</f>
        <v>0.22165441561750737</v>
      </c>
      <c r="AG207" s="240">
        <f>IFERROR(_xlfn.XLOOKUP($D207,'Modelling New'!$D:$D,'Modelling New'!AE:AE),"")</f>
        <v>0.99750000000000005</v>
      </c>
      <c r="AH207" s="240">
        <f>IFERROR(_xlfn.XLOOKUP($D207,'Modelling New'!$D:$D,'Modelling New'!AF:AF),"")</f>
        <v>0.99750000000000005</v>
      </c>
      <c r="AI207" s="186"/>
      <c r="AJ207" s="186"/>
      <c r="AK207" s="225"/>
      <c r="AL207" s="224">
        <f>IFERROR(Table13[[#This Row],[RA (%)]]*9270*58,"")</f>
        <v>0</v>
      </c>
      <c r="AM207" s="225"/>
      <c r="AN207" s="238"/>
      <c r="AO207" s="240"/>
      <c r="AP207" s="240"/>
      <c r="AQ207" s="240"/>
      <c r="AR207" s="242">
        <f>IFERROR(_xlfn.XLOOKUP($D207,'Modelling New'!$D:$D,'Modelling New'!$N:$N),"")</f>
        <v>335.09100000000001</v>
      </c>
    </row>
    <row r="208" spans="1:44">
      <c r="A208" s="233">
        <f t="shared" si="16"/>
        <v>45951</v>
      </c>
      <c r="B208" s="228">
        <f>YEAR(Table13[[#This Row],[Date]])+IF(MONTH(Table13[[#This Row],[Date]])&gt;=4,1,0)</f>
        <v>2026</v>
      </c>
      <c r="C208" s="186">
        <f>YEAR(Table13[[#This Row],[Date]])</f>
        <v>2025</v>
      </c>
      <c r="D208" s="234">
        <f>Table13[[#This Row],[Date]]-DAY(Table13[[#This Row],[Date]])+1</f>
        <v>45931</v>
      </c>
      <c r="E208" s="186">
        <f t="shared" si="17"/>
        <v>31</v>
      </c>
      <c r="F208" s="235" t="str">
        <f>IFERROR(_xlfn.XLOOKUP($A208,'Raw_Data'!$B:$B,'Raw_Data'!$IX:$IX),"")</f>
        <v/>
      </c>
      <c r="G208" s="236" t="str">
        <f>IFERROR(_xlfn.XLOOKUP($A208,'Raw_Data'!$B:$B,'Raw_Data'!IY:IY),"")</f>
        <v/>
      </c>
      <c r="H208" s="236" t="str">
        <f>IFERROR(_xlfn.XLOOKUP($A208,'Raw_Data'!$B:$B,'Raw_Data'!IZ:IZ),"")</f>
        <v/>
      </c>
      <c r="I208" s="236" t="str">
        <f>IFERROR(_xlfn.XLOOKUP($A208,'Raw_Data'!$B:$B,'Raw_Data'!JA:JA),"")</f>
        <v/>
      </c>
      <c r="J208" s="236" t="str">
        <f>IFERROR(_xlfn.XLOOKUP($A208,'Raw_Data'!$B:$B,'Raw_Data'!JB:JB),"")</f>
        <v/>
      </c>
      <c r="K208" s="236" t="str">
        <f>IFERROR(_xlfn.XLOOKUP($A208,'Raw_Data'!$B:$B,'Raw_Data'!JE:JE),"")</f>
        <v/>
      </c>
      <c r="L208" s="236" t="str">
        <f>IFERROR(_xlfn.XLOOKUP($A208,'Raw_Data'!$B:$B,'Raw_Data'!JF:JF),"")</f>
        <v/>
      </c>
      <c r="M208" s="236" t="str">
        <f>IFERROR(_xlfn.XLOOKUP($A208,'Raw_Data'!$B:$B,'Raw_Data'!JG:JG),"")</f>
        <v/>
      </c>
      <c r="N208" s="236" t="str">
        <f>IFERROR(_xlfn.XLOOKUP($A208,'Raw_Data'!$B:$B,'Raw_Data'!JH:JH),"")</f>
        <v/>
      </c>
      <c r="O208" s="237" t="str">
        <f>IFERROR(1-SUMIF(PA!$B:$B,$A208,PA!$AL:$AL)/($AA208+SUMIF(PA!$B:$B,$A208,PA!$AL:$AL)),"")</f>
        <v/>
      </c>
      <c r="P208" s="238"/>
      <c r="Q208" s="239"/>
      <c r="R208" s="240" t="str">
        <f>IFERROR(1-SUMIF(GA!$C:$C,$A208,GA!$X:$X)/($AA208+SUMIF(GA!$C:$C,$A208,GA!$X:$X)),"")</f>
        <v/>
      </c>
      <c r="S208" s="186"/>
      <c r="T208" s="239"/>
      <c r="U208" s="237" t="str">
        <f t="shared" si="14"/>
        <v/>
      </c>
      <c r="V208" s="237" t="str">
        <f>IFERROR(_xlfn.XLOOKUP($A208,'Raw_Data'!$B:$B,'Raw_Data'!$JL:$JL),"")</f>
        <v/>
      </c>
      <c r="W208" s="240" t="str">
        <f t="shared" si="15"/>
        <v/>
      </c>
      <c r="X208" s="228" t="str">
        <f>IFERROR(_xlfn.XLOOKUP($A208,'Raw_Data'!$B:$B,'Raw_Data'!$JI:$JI),"")</f>
        <v/>
      </c>
      <c r="Y208" s="228" t="str">
        <f>IFERROR(_xlfn.XLOOKUP($A208,'Raw_Data'!$B:$B,'Raw_Data'!IT:IT),"")</f>
        <v/>
      </c>
      <c r="Z208" s="228" t="str">
        <f>IFERROR(_xlfn.XLOOKUP($A208,'Raw_Data'!$B:$B,'Raw_Data'!IU:IU),"")</f>
        <v/>
      </c>
      <c r="AA208" s="228" t="str">
        <f>IFERROR(_xlfn.XLOOKUP($A208,'Raw_Data'!$B:$B,'Raw_Data'!IW:IW),"")</f>
        <v/>
      </c>
      <c r="AB208" s="228" t="str">
        <f>IFERROR(_xlfn.XLOOKUP($A208,'Raw_Data'!$B:$B,'Raw_Data'!I:I)/1000,"")</f>
        <v/>
      </c>
      <c r="AC208" s="241">
        <f>IFERROR(_xlfn.XLOOKUP($D208,'Modelling New'!$D:$D,'Modelling New'!$P:$P),"")</f>
        <v>6.5258064516129037</v>
      </c>
      <c r="AD208" s="228">
        <f>IFERROR(_xlfn.XLOOKUP($D208,'Modelling New'!$D:$D,'Modelling New'!$T:$T)*1000,"")</f>
        <v>1782585.5948084679</v>
      </c>
      <c r="AE208" s="240">
        <f>IFERROR(_xlfn.XLOOKUP($D208,'Modelling New'!$D:$D,'Modelling New'!$O:$O),"")</f>
        <v>0.81517985773319568</v>
      </c>
      <c r="AF208" s="240">
        <f>IFERROR(_xlfn.XLOOKUP($D208,'Modelling New'!$D:$D,'Modelling New'!$W:$W),"")</f>
        <v>0.22165441561750737</v>
      </c>
      <c r="AG208" s="240">
        <f>IFERROR(_xlfn.XLOOKUP($D208,'Modelling New'!$D:$D,'Modelling New'!AE:AE),"")</f>
        <v>0.99750000000000005</v>
      </c>
      <c r="AH208" s="240">
        <f>IFERROR(_xlfn.XLOOKUP($D208,'Modelling New'!$D:$D,'Modelling New'!AF:AF),"")</f>
        <v>0.99750000000000005</v>
      </c>
      <c r="AI208" s="186"/>
      <c r="AJ208" s="186"/>
      <c r="AK208" s="225"/>
      <c r="AL208" s="224">
        <f>IFERROR(Table13[[#This Row],[RA (%)]]*9270*58,"")</f>
        <v>0</v>
      </c>
      <c r="AM208" s="225"/>
      <c r="AN208" s="238"/>
      <c r="AO208" s="240"/>
      <c r="AP208" s="240"/>
      <c r="AQ208" s="240"/>
      <c r="AR208" s="242">
        <f>IFERROR(_xlfn.XLOOKUP($D208,'Modelling New'!$D:$D,'Modelling New'!$N:$N),"")</f>
        <v>335.09100000000001</v>
      </c>
    </row>
    <row r="209" spans="1:44">
      <c r="A209" s="233">
        <f t="shared" si="16"/>
        <v>45952</v>
      </c>
      <c r="B209" s="228">
        <f>YEAR(Table13[[#This Row],[Date]])+IF(MONTH(Table13[[#This Row],[Date]])&gt;=4,1,0)</f>
        <v>2026</v>
      </c>
      <c r="C209" s="186">
        <f>YEAR(Table13[[#This Row],[Date]])</f>
        <v>2025</v>
      </c>
      <c r="D209" s="234">
        <f>Table13[[#This Row],[Date]]-DAY(Table13[[#This Row],[Date]])+1</f>
        <v>45931</v>
      </c>
      <c r="E209" s="186">
        <f t="shared" si="17"/>
        <v>31</v>
      </c>
      <c r="F209" s="235" t="str">
        <f>IFERROR(_xlfn.XLOOKUP($A209,'Raw_Data'!$B:$B,'Raw_Data'!$IX:$IX),"")</f>
        <v/>
      </c>
      <c r="G209" s="236" t="str">
        <f>IFERROR(_xlfn.XLOOKUP($A209,'Raw_Data'!$B:$B,'Raw_Data'!IY:IY),"")</f>
        <v/>
      </c>
      <c r="H209" s="236" t="str">
        <f>IFERROR(_xlfn.XLOOKUP($A209,'Raw_Data'!$B:$B,'Raw_Data'!IZ:IZ),"")</f>
        <v/>
      </c>
      <c r="I209" s="236" t="str">
        <f>IFERROR(_xlfn.XLOOKUP($A209,'Raw_Data'!$B:$B,'Raw_Data'!JA:JA),"")</f>
        <v/>
      </c>
      <c r="J209" s="236" t="str">
        <f>IFERROR(_xlfn.XLOOKUP($A209,'Raw_Data'!$B:$B,'Raw_Data'!JB:JB),"")</f>
        <v/>
      </c>
      <c r="K209" s="236" t="str">
        <f>IFERROR(_xlfn.XLOOKUP($A209,'Raw_Data'!$B:$B,'Raw_Data'!JE:JE),"")</f>
        <v/>
      </c>
      <c r="L209" s="236" t="str">
        <f>IFERROR(_xlfn.XLOOKUP($A209,'Raw_Data'!$B:$B,'Raw_Data'!JF:JF),"")</f>
        <v/>
      </c>
      <c r="M209" s="236" t="str">
        <f>IFERROR(_xlfn.XLOOKUP($A209,'Raw_Data'!$B:$B,'Raw_Data'!JG:JG),"")</f>
        <v/>
      </c>
      <c r="N209" s="236" t="str">
        <f>IFERROR(_xlfn.XLOOKUP($A209,'Raw_Data'!$B:$B,'Raw_Data'!JH:JH),"")</f>
        <v/>
      </c>
      <c r="O209" s="237" t="str">
        <f>IFERROR(1-SUMIF(PA!$B:$B,$A209,PA!$AL:$AL)/($AA209+SUMIF(PA!$B:$B,$A209,PA!$AL:$AL)),"")</f>
        <v/>
      </c>
      <c r="P209" s="238"/>
      <c r="Q209" s="239"/>
      <c r="R209" s="240" t="str">
        <f>IFERROR(1-SUMIF(GA!$C:$C,$A209,GA!$X:$X)/($AA209+SUMIF(GA!$C:$C,$A209,GA!$X:$X)),"")</f>
        <v/>
      </c>
      <c r="S209" s="186"/>
      <c r="T209" s="239"/>
      <c r="U209" s="237" t="str">
        <f t="shared" si="14"/>
        <v/>
      </c>
      <c r="V209" s="237" t="str">
        <f>IFERROR(_xlfn.XLOOKUP($A209,'Raw_Data'!$B:$B,'Raw_Data'!$JL:$JL),"")</f>
        <v/>
      </c>
      <c r="W209" s="240" t="str">
        <f t="shared" si="15"/>
        <v/>
      </c>
      <c r="X209" s="228" t="str">
        <f>IFERROR(_xlfn.XLOOKUP($A209,'Raw_Data'!$B:$B,'Raw_Data'!$JI:$JI),"")</f>
        <v/>
      </c>
      <c r="Y209" s="228" t="str">
        <f>IFERROR(_xlfn.XLOOKUP($A209,'Raw_Data'!$B:$B,'Raw_Data'!IT:IT),"")</f>
        <v/>
      </c>
      <c r="Z209" s="228" t="str">
        <f>IFERROR(_xlfn.XLOOKUP($A209,'Raw_Data'!$B:$B,'Raw_Data'!IU:IU),"")</f>
        <v/>
      </c>
      <c r="AA209" s="228" t="str">
        <f>IFERROR(_xlfn.XLOOKUP($A209,'Raw_Data'!$B:$B,'Raw_Data'!IW:IW),"")</f>
        <v/>
      </c>
      <c r="AB209" s="228" t="str">
        <f>IFERROR(_xlfn.XLOOKUP($A209,'Raw_Data'!$B:$B,'Raw_Data'!I:I)/1000,"")</f>
        <v/>
      </c>
      <c r="AC209" s="241">
        <f>IFERROR(_xlfn.XLOOKUP($D209,'Modelling New'!$D:$D,'Modelling New'!$P:$P),"")</f>
        <v>6.5258064516129037</v>
      </c>
      <c r="AD209" s="228">
        <f>IFERROR(_xlfn.XLOOKUP($D209,'Modelling New'!$D:$D,'Modelling New'!$T:$T)*1000,"")</f>
        <v>1782585.5948084679</v>
      </c>
      <c r="AE209" s="240">
        <f>IFERROR(_xlfn.XLOOKUP($D209,'Modelling New'!$D:$D,'Modelling New'!$O:$O),"")</f>
        <v>0.81517985773319568</v>
      </c>
      <c r="AF209" s="240">
        <f>IFERROR(_xlfn.XLOOKUP($D209,'Modelling New'!$D:$D,'Modelling New'!$W:$W),"")</f>
        <v>0.22165441561750737</v>
      </c>
      <c r="AG209" s="240">
        <f>IFERROR(_xlfn.XLOOKUP($D209,'Modelling New'!$D:$D,'Modelling New'!AE:AE),"")</f>
        <v>0.99750000000000005</v>
      </c>
      <c r="AH209" s="240">
        <f>IFERROR(_xlfn.XLOOKUP($D209,'Modelling New'!$D:$D,'Modelling New'!AF:AF),"")</f>
        <v>0.99750000000000005</v>
      </c>
      <c r="AI209" s="186"/>
      <c r="AJ209" s="186"/>
      <c r="AK209" s="225"/>
      <c r="AL209" s="224">
        <f>IFERROR(Table13[[#This Row],[RA (%)]]*9270*58,"")</f>
        <v>0</v>
      </c>
      <c r="AM209" s="225"/>
      <c r="AN209" s="238"/>
      <c r="AO209" s="240"/>
      <c r="AP209" s="240"/>
      <c r="AQ209" s="240"/>
      <c r="AR209" s="242">
        <f>IFERROR(_xlfn.XLOOKUP($D209,'Modelling New'!$D:$D,'Modelling New'!$N:$N),"")</f>
        <v>335.09100000000001</v>
      </c>
    </row>
    <row r="210" spans="1:44">
      <c r="A210" s="233">
        <f t="shared" si="16"/>
        <v>45953</v>
      </c>
      <c r="B210" s="228">
        <f>YEAR(Table13[[#This Row],[Date]])+IF(MONTH(Table13[[#This Row],[Date]])&gt;=4,1,0)</f>
        <v>2026</v>
      </c>
      <c r="C210" s="186">
        <f>YEAR(Table13[[#This Row],[Date]])</f>
        <v>2025</v>
      </c>
      <c r="D210" s="234">
        <f>Table13[[#This Row],[Date]]-DAY(Table13[[#This Row],[Date]])+1</f>
        <v>45931</v>
      </c>
      <c r="E210" s="186">
        <f t="shared" si="17"/>
        <v>31</v>
      </c>
      <c r="F210" s="235" t="str">
        <f>IFERROR(_xlfn.XLOOKUP($A210,'Raw_Data'!$B:$B,'Raw_Data'!$IX:$IX),"")</f>
        <v/>
      </c>
      <c r="G210" s="236" t="str">
        <f>IFERROR(_xlfn.XLOOKUP($A210,'Raw_Data'!$B:$B,'Raw_Data'!IY:IY),"")</f>
        <v/>
      </c>
      <c r="H210" s="236" t="str">
        <f>IFERROR(_xlfn.XLOOKUP($A210,'Raw_Data'!$B:$B,'Raw_Data'!IZ:IZ),"")</f>
        <v/>
      </c>
      <c r="I210" s="236" t="str">
        <f>IFERROR(_xlfn.XLOOKUP($A210,'Raw_Data'!$B:$B,'Raw_Data'!JA:JA),"")</f>
        <v/>
      </c>
      <c r="J210" s="236" t="str">
        <f>IFERROR(_xlfn.XLOOKUP($A210,'Raw_Data'!$B:$B,'Raw_Data'!JB:JB),"")</f>
        <v/>
      </c>
      <c r="K210" s="236" t="str">
        <f>IFERROR(_xlfn.XLOOKUP($A210,'Raw_Data'!$B:$B,'Raw_Data'!JE:JE),"")</f>
        <v/>
      </c>
      <c r="L210" s="236" t="str">
        <f>IFERROR(_xlfn.XLOOKUP($A210,'Raw_Data'!$B:$B,'Raw_Data'!JF:JF),"")</f>
        <v/>
      </c>
      <c r="M210" s="236" t="str">
        <f>IFERROR(_xlfn.XLOOKUP($A210,'Raw_Data'!$B:$B,'Raw_Data'!JG:JG),"")</f>
        <v/>
      </c>
      <c r="N210" s="236" t="str">
        <f>IFERROR(_xlfn.XLOOKUP($A210,'Raw_Data'!$B:$B,'Raw_Data'!JH:JH),"")</f>
        <v/>
      </c>
      <c r="O210" s="237" t="str">
        <f>IFERROR(1-SUMIF(PA!$B:$B,$A210,PA!$AL:$AL)/($AA210+SUMIF(PA!$B:$B,$A210,PA!$AL:$AL)),"")</f>
        <v/>
      </c>
      <c r="P210" s="238"/>
      <c r="Q210" s="239"/>
      <c r="R210" s="240" t="str">
        <f>IFERROR(1-SUMIF(GA!$C:$C,$A210,GA!$X:$X)/($AA210+SUMIF(GA!$C:$C,$A210,GA!$X:$X)),"")</f>
        <v/>
      </c>
      <c r="S210" s="186"/>
      <c r="T210" s="239"/>
      <c r="U210" s="237" t="str">
        <f t="shared" si="14"/>
        <v/>
      </c>
      <c r="V210" s="237" t="str">
        <f>IFERROR(_xlfn.XLOOKUP($A210,'Raw_Data'!$B:$B,'Raw_Data'!$JL:$JL),"")</f>
        <v/>
      </c>
      <c r="W210" s="240" t="str">
        <f t="shared" si="15"/>
        <v/>
      </c>
      <c r="X210" s="228" t="str">
        <f>IFERROR(_xlfn.XLOOKUP($A210,'Raw_Data'!$B:$B,'Raw_Data'!$JI:$JI),"")</f>
        <v/>
      </c>
      <c r="Y210" s="228" t="str">
        <f>IFERROR(_xlfn.XLOOKUP($A210,'Raw_Data'!$B:$B,'Raw_Data'!IT:IT),"")</f>
        <v/>
      </c>
      <c r="Z210" s="228" t="str">
        <f>IFERROR(_xlfn.XLOOKUP($A210,'Raw_Data'!$B:$B,'Raw_Data'!IU:IU),"")</f>
        <v/>
      </c>
      <c r="AA210" s="228" t="str">
        <f>IFERROR(_xlfn.XLOOKUP($A210,'Raw_Data'!$B:$B,'Raw_Data'!IW:IW),"")</f>
        <v/>
      </c>
      <c r="AB210" s="228" t="str">
        <f>IFERROR(_xlfn.XLOOKUP($A210,'Raw_Data'!$B:$B,'Raw_Data'!I:I)/1000,"")</f>
        <v/>
      </c>
      <c r="AC210" s="241">
        <f>IFERROR(_xlfn.XLOOKUP($D210,'Modelling New'!$D:$D,'Modelling New'!$P:$P),"")</f>
        <v>6.5258064516129037</v>
      </c>
      <c r="AD210" s="228">
        <f>IFERROR(_xlfn.XLOOKUP($D210,'Modelling New'!$D:$D,'Modelling New'!$T:$T)*1000,"")</f>
        <v>1782585.5948084679</v>
      </c>
      <c r="AE210" s="240">
        <f>IFERROR(_xlfn.XLOOKUP($D210,'Modelling New'!$D:$D,'Modelling New'!$O:$O),"")</f>
        <v>0.81517985773319568</v>
      </c>
      <c r="AF210" s="240">
        <f>IFERROR(_xlfn.XLOOKUP($D210,'Modelling New'!$D:$D,'Modelling New'!$W:$W),"")</f>
        <v>0.22165441561750737</v>
      </c>
      <c r="AG210" s="240">
        <f>IFERROR(_xlfn.XLOOKUP($D210,'Modelling New'!$D:$D,'Modelling New'!AE:AE),"")</f>
        <v>0.99750000000000005</v>
      </c>
      <c r="AH210" s="240">
        <f>IFERROR(_xlfn.XLOOKUP($D210,'Modelling New'!$D:$D,'Modelling New'!AF:AF),"")</f>
        <v>0.99750000000000005</v>
      </c>
      <c r="AI210" s="186"/>
      <c r="AJ210" s="186"/>
      <c r="AK210" s="225"/>
      <c r="AL210" s="224">
        <f>IFERROR(Table13[[#This Row],[RA (%)]]*9270*58,"")</f>
        <v>0</v>
      </c>
      <c r="AM210" s="225"/>
      <c r="AN210" s="238"/>
      <c r="AO210" s="240"/>
      <c r="AP210" s="240"/>
      <c r="AQ210" s="240"/>
      <c r="AR210" s="242">
        <f>IFERROR(_xlfn.XLOOKUP($D210,'Modelling New'!$D:$D,'Modelling New'!$N:$N),"")</f>
        <v>335.09100000000001</v>
      </c>
    </row>
    <row r="211" spans="1:44">
      <c r="A211" s="233">
        <f t="shared" si="16"/>
        <v>45954</v>
      </c>
      <c r="B211" s="228">
        <f>YEAR(Table13[[#This Row],[Date]])+IF(MONTH(Table13[[#This Row],[Date]])&gt;=4,1,0)</f>
        <v>2026</v>
      </c>
      <c r="C211" s="186">
        <f>YEAR(Table13[[#This Row],[Date]])</f>
        <v>2025</v>
      </c>
      <c r="D211" s="234">
        <f>Table13[[#This Row],[Date]]-DAY(Table13[[#This Row],[Date]])+1</f>
        <v>45931</v>
      </c>
      <c r="E211" s="186">
        <f t="shared" si="17"/>
        <v>31</v>
      </c>
      <c r="F211" s="235" t="str">
        <f>IFERROR(_xlfn.XLOOKUP($A211,'Raw_Data'!$B:$B,'Raw_Data'!$IX:$IX),"")</f>
        <v/>
      </c>
      <c r="G211" s="236" t="str">
        <f>IFERROR(_xlfn.XLOOKUP($A211,'Raw_Data'!$B:$B,'Raw_Data'!IY:IY),"")</f>
        <v/>
      </c>
      <c r="H211" s="236" t="str">
        <f>IFERROR(_xlfn.XLOOKUP($A211,'Raw_Data'!$B:$B,'Raw_Data'!IZ:IZ),"")</f>
        <v/>
      </c>
      <c r="I211" s="236" t="str">
        <f>IFERROR(_xlfn.XLOOKUP($A211,'Raw_Data'!$B:$B,'Raw_Data'!JA:JA),"")</f>
        <v/>
      </c>
      <c r="J211" s="236" t="str">
        <f>IFERROR(_xlfn.XLOOKUP($A211,'Raw_Data'!$B:$B,'Raw_Data'!JB:JB),"")</f>
        <v/>
      </c>
      <c r="K211" s="236" t="str">
        <f>IFERROR(_xlfn.XLOOKUP($A211,'Raw_Data'!$B:$B,'Raw_Data'!JE:JE),"")</f>
        <v/>
      </c>
      <c r="L211" s="236" t="str">
        <f>IFERROR(_xlfn.XLOOKUP($A211,'Raw_Data'!$B:$B,'Raw_Data'!JF:JF),"")</f>
        <v/>
      </c>
      <c r="M211" s="236" t="str">
        <f>IFERROR(_xlfn.XLOOKUP($A211,'Raw_Data'!$B:$B,'Raw_Data'!JG:JG),"")</f>
        <v/>
      </c>
      <c r="N211" s="236" t="str">
        <f>IFERROR(_xlfn.XLOOKUP($A211,'Raw_Data'!$B:$B,'Raw_Data'!JH:JH),"")</f>
        <v/>
      </c>
      <c r="O211" s="237" t="str">
        <f>IFERROR(1-SUMIF(PA!$B:$B,$A211,PA!$AL:$AL)/($AA211+SUMIF(PA!$B:$B,$A211,PA!$AL:$AL)),"")</f>
        <v/>
      </c>
      <c r="P211" s="238"/>
      <c r="Q211" s="239"/>
      <c r="R211" s="240" t="str">
        <f>IFERROR(1-SUMIF(GA!$C:$C,$A211,GA!$X:$X)/($AA211+SUMIF(GA!$C:$C,$A211,GA!$X:$X)),"")</f>
        <v/>
      </c>
      <c r="S211" s="186"/>
      <c r="T211" s="239"/>
      <c r="U211" s="237" t="str">
        <f t="shared" si="14"/>
        <v/>
      </c>
      <c r="V211" s="237" t="str">
        <f>IFERROR(_xlfn.XLOOKUP($A211,'Raw_Data'!$B:$B,'Raw_Data'!$JL:$JL),"")</f>
        <v/>
      </c>
      <c r="W211" s="240" t="str">
        <f t="shared" si="15"/>
        <v/>
      </c>
      <c r="X211" s="228" t="str">
        <f>IFERROR(_xlfn.XLOOKUP($A211,'Raw_Data'!$B:$B,'Raw_Data'!$JI:$JI),"")</f>
        <v/>
      </c>
      <c r="Y211" s="228" t="str">
        <f>IFERROR(_xlfn.XLOOKUP($A211,'Raw_Data'!$B:$B,'Raw_Data'!IT:IT),"")</f>
        <v/>
      </c>
      <c r="Z211" s="228" t="str">
        <f>IFERROR(_xlfn.XLOOKUP($A211,'Raw_Data'!$B:$B,'Raw_Data'!IU:IU),"")</f>
        <v/>
      </c>
      <c r="AA211" s="228" t="str">
        <f>IFERROR(_xlfn.XLOOKUP($A211,'Raw_Data'!$B:$B,'Raw_Data'!IW:IW),"")</f>
        <v/>
      </c>
      <c r="AB211" s="228" t="str">
        <f>IFERROR(_xlfn.XLOOKUP($A211,'Raw_Data'!$B:$B,'Raw_Data'!I:I)/1000,"")</f>
        <v/>
      </c>
      <c r="AC211" s="241">
        <f>IFERROR(_xlfn.XLOOKUP($D211,'Modelling New'!$D:$D,'Modelling New'!$P:$P),"")</f>
        <v>6.5258064516129037</v>
      </c>
      <c r="AD211" s="228">
        <f>IFERROR(_xlfn.XLOOKUP($D211,'Modelling New'!$D:$D,'Modelling New'!$T:$T)*1000,"")</f>
        <v>1782585.5948084679</v>
      </c>
      <c r="AE211" s="240">
        <f>IFERROR(_xlfn.XLOOKUP($D211,'Modelling New'!$D:$D,'Modelling New'!$O:$O),"")</f>
        <v>0.81517985773319568</v>
      </c>
      <c r="AF211" s="240">
        <f>IFERROR(_xlfn.XLOOKUP($D211,'Modelling New'!$D:$D,'Modelling New'!$W:$W),"")</f>
        <v>0.22165441561750737</v>
      </c>
      <c r="AG211" s="240">
        <f>IFERROR(_xlfn.XLOOKUP($D211,'Modelling New'!$D:$D,'Modelling New'!AE:AE),"")</f>
        <v>0.99750000000000005</v>
      </c>
      <c r="AH211" s="240">
        <f>IFERROR(_xlfn.XLOOKUP($D211,'Modelling New'!$D:$D,'Modelling New'!AF:AF),"")</f>
        <v>0.99750000000000005</v>
      </c>
      <c r="AI211" s="186"/>
      <c r="AJ211" s="186"/>
      <c r="AK211" s="225"/>
      <c r="AL211" s="224">
        <f>IFERROR(Table13[[#This Row],[RA (%)]]*9270*58,"")</f>
        <v>0</v>
      </c>
      <c r="AM211" s="225"/>
      <c r="AN211" s="238"/>
      <c r="AO211" s="240"/>
      <c r="AP211" s="240"/>
      <c r="AQ211" s="240"/>
      <c r="AR211" s="242">
        <f>IFERROR(_xlfn.XLOOKUP($D211,'Modelling New'!$D:$D,'Modelling New'!$N:$N),"")</f>
        <v>335.09100000000001</v>
      </c>
    </row>
    <row r="212" spans="1:44">
      <c r="A212" s="233">
        <f t="shared" si="16"/>
        <v>45955</v>
      </c>
      <c r="B212" s="228">
        <f>YEAR(Table13[[#This Row],[Date]])+IF(MONTH(Table13[[#This Row],[Date]])&gt;=4,1,0)</f>
        <v>2026</v>
      </c>
      <c r="C212" s="186">
        <f>YEAR(Table13[[#This Row],[Date]])</f>
        <v>2025</v>
      </c>
      <c r="D212" s="234">
        <f>Table13[[#This Row],[Date]]-DAY(Table13[[#This Row],[Date]])+1</f>
        <v>45931</v>
      </c>
      <c r="E212" s="186">
        <f t="shared" si="17"/>
        <v>31</v>
      </c>
      <c r="F212" s="235" t="str">
        <f>IFERROR(_xlfn.XLOOKUP($A212,'Raw_Data'!$B:$B,'Raw_Data'!$IX:$IX),"")</f>
        <v/>
      </c>
      <c r="G212" s="236" t="str">
        <f>IFERROR(_xlfn.XLOOKUP($A212,'Raw_Data'!$B:$B,'Raw_Data'!IY:IY),"")</f>
        <v/>
      </c>
      <c r="H212" s="236" t="str">
        <f>IFERROR(_xlfn.XLOOKUP($A212,'Raw_Data'!$B:$B,'Raw_Data'!IZ:IZ),"")</f>
        <v/>
      </c>
      <c r="I212" s="236" t="str">
        <f>IFERROR(_xlfn.XLOOKUP($A212,'Raw_Data'!$B:$B,'Raw_Data'!JA:JA),"")</f>
        <v/>
      </c>
      <c r="J212" s="236" t="str">
        <f>IFERROR(_xlfn.XLOOKUP($A212,'Raw_Data'!$B:$B,'Raw_Data'!JB:JB),"")</f>
        <v/>
      </c>
      <c r="K212" s="236" t="str">
        <f>IFERROR(_xlfn.XLOOKUP($A212,'Raw_Data'!$B:$B,'Raw_Data'!JE:JE),"")</f>
        <v/>
      </c>
      <c r="L212" s="236" t="str">
        <f>IFERROR(_xlfn.XLOOKUP($A212,'Raw_Data'!$B:$B,'Raw_Data'!JF:JF),"")</f>
        <v/>
      </c>
      <c r="M212" s="236" t="str">
        <f>IFERROR(_xlfn.XLOOKUP($A212,'Raw_Data'!$B:$B,'Raw_Data'!JG:JG),"")</f>
        <v/>
      </c>
      <c r="N212" s="236" t="str">
        <f>IFERROR(_xlfn.XLOOKUP($A212,'Raw_Data'!$B:$B,'Raw_Data'!JH:JH),"")</f>
        <v/>
      </c>
      <c r="O212" s="237" t="str">
        <f>IFERROR(1-SUMIF(PA!$B:$B,$A212,PA!$AL:$AL)/($AA212+SUMIF(PA!$B:$B,$A212,PA!$AL:$AL)),"")</f>
        <v/>
      </c>
      <c r="P212" s="238"/>
      <c r="Q212" s="239"/>
      <c r="R212" s="240" t="str">
        <f>IFERROR(1-SUMIF(GA!$C:$C,$A212,GA!$X:$X)/($AA212+SUMIF(GA!$C:$C,$A212,GA!$X:$X)),"")</f>
        <v/>
      </c>
      <c r="S212" s="186"/>
      <c r="T212" s="239"/>
      <c r="U212" s="237" t="str">
        <f t="shared" si="14"/>
        <v/>
      </c>
      <c r="V212" s="237" t="str">
        <f>IFERROR(_xlfn.XLOOKUP($A212,'Raw_Data'!$B:$B,'Raw_Data'!$JL:$JL),"")</f>
        <v/>
      </c>
      <c r="W212" s="240" t="str">
        <f t="shared" si="15"/>
        <v/>
      </c>
      <c r="X212" s="228" t="str">
        <f>IFERROR(_xlfn.XLOOKUP($A212,'Raw_Data'!$B:$B,'Raw_Data'!$JI:$JI),"")</f>
        <v/>
      </c>
      <c r="Y212" s="228" t="str">
        <f>IFERROR(_xlfn.XLOOKUP($A212,'Raw_Data'!$B:$B,'Raw_Data'!IT:IT),"")</f>
        <v/>
      </c>
      <c r="Z212" s="228" t="str">
        <f>IFERROR(_xlfn.XLOOKUP($A212,'Raw_Data'!$B:$B,'Raw_Data'!IU:IU),"")</f>
        <v/>
      </c>
      <c r="AA212" s="228" t="str">
        <f>IFERROR(_xlfn.XLOOKUP($A212,'Raw_Data'!$B:$B,'Raw_Data'!IW:IW),"")</f>
        <v/>
      </c>
      <c r="AB212" s="228" t="str">
        <f>IFERROR(_xlfn.XLOOKUP($A212,'Raw_Data'!$B:$B,'Raw_Data'!I:I)/1000,"")</f>
        <v/>
      </c>
      <c r="AC212" s="241">
        <f>IFERROR(_xlfn.XLOOKUP($D212,'Modelling New'!$D:$D,'Modelling New'!$P:$P),"")</f>
        <v>6.5258064516129037</v>
      </c>
      <c r="AD212" s="228">
        <f>IFERROR(_xlfn.XLOOKUP($D212,'Modelling New'!$D:$D,'Modelling New'!$T:$T)*1000,"")</f>
        <v>1782585.5948084679</v>
      </c>
      <c r="AE212" s="240">
        <f>IFERROR(_xlfn.XLOOKUP($D212,'Modelling New'!$D:$D,'Modelling New'!$O:$O),"")</f>
        <v>0.81517985773319568</v>
      </c>
      <c r="AF212" s="240">
        <f>IFERROR(_xlfn.XLOOKUP($D212,'Modelling New'!$D:$D,'Modelling New'!$W:$W),"")</f>
        <v>0.22165441561750737</v>
      </c>
      <c r="AG212" s="240">
        <f>IFERROR(_xlfn.XLOOKUP($D212,'Modelling New'!$D:$D,'Modelling New'!AE:AE),"")</f>
        <v>0.99750000000000005</v>
      </c>
      <c r="AH212" s="240">
        <f>IFERROR(_xlfn.XLOOKUP($D212,'Modelling New'!$D:$D,'Modelling New'!AF:AF),"")</f>
        <v>0.99750000000000005</v>
      </c>
      <c r="AI212" s="186"/>
      <c r="AJ212" s="186"/>
      <c r="AK212" s="225"/>
      <c r="AL212" s="224">
        <f>IFERROR(Table13[[#This Row],[RA (%)]]*9270*58,"")</f>
        <v>0</v>
      </c>
      <c r="AM212" s="225"/>
      <c r="AN212" s="238"/>
      <c r="AO212" s="240"/>
      <c r="AP212" s="240"/>
      <c r="AQ212" s="240"/>
      <c r="AR212" s="242">
        <f>IFERROR(_xlfn.XLOOKUP($D212,'Modelling New'!$D:$D,'Modelling New'!$N:$N),"")</f>
        <v>335.09100000000001</v>
      </c>
    </row>
    <row r="213" spans="1:44">
      <c r="A213" s="233">
        <f t="shared" si="16"/>
        <v>45956</v>
      </c>
      <c r="B213" s="228">
        <f>YEAR(Table13[[#This Row],[Date]])+IF(MONTH(Table13[[#This Row],[Date]])&gt;=4,1,0)</f>
        <v>2026</v>
      </c>
      <c r="C213" s="186">
        <f>YEAR(Table13[[#This Row],[Date]])</f>
        <v>2025</v>
      </c>
      <c r="D213" s="234">
        <f>Table13[[#This Row],[Date]]-DAY(Table13[[#This Row],[Date]])+1</f>
        <v>45931</v>
      </c>
      <c r="E213" s="186">
        <f t="shared" si="17"/>
        <v>31</v>
      </c>
      <c r="F213" s="235" t="str">
        <f>IFERROR(_xlfn.XLOOKUP($A213,'Raw_Data'!$B:$B,'Raw_Data'!$IX:$IX),"")</f>
        <v/>
      </c>
      <c r="G213" s="236" t="str">
        <f>IFERROR(_xlfn.XLOOKUP($A213,'Raw_Data'!$B:$B,'Raw_Data'!IY:IY),"")</f>
        <v/>
      </c>
      <c r="H213" s="236" t="str">
        <f>IFERROR(_xlfn.XLOOKUP($A213,'Raw_Data'!$B:$B,'Raw_Data'!IZ:IZ),"")</f>
        <v/>
      </c>
      <c r="I213" s="236" t="str">
        <f>IFERROR(_xlfn.XLOOKUP($A213,'Raw_Data'!$B:$B,'Raw_Data'!JA:JA),"")</f>
        <v/>
      </c>
      <c r="J213" s="236" t="str">
        <f>IFERROR(_xlfn.XLOOKUP($A213,'Raw_Data'!$B:$B,'Raw_Data'!JB:JB),"")</f>
        <v/>
      </c>
      <c r="K213" s="236" t="str">
        <f>IFERROR(_xlfn.XLOOKUP($A213,'Raw_Data'!$B:$B,'Raw_Data'!JE:JE),"")</f>
        <v/>
      </c>
      <c r="L213" s="236" t="str">
        <f>IFERROR(_xlfn.XLOOKUP($A213,'Raw_Data'!$B:$B,'Raw_Data'!JF:JF),"")</f>
        <v/>
      </c>
      <c r="M213" s="236" t="str">
        <f>IFERROR(_xlfn.XLOOKUP($A213,'Raw_Data'!$B:$B,'Raw_Data'!JG:JG),"")</f>
        <v/>
      </c>
      <c r="N213" s="236" t="str">
        <f>IFERROR(_xlfn.XLOOKUP($A213,'Raw_Data'!$B:$B,'Raw_Data'!JH:JH),"")</f>
        <v/>
      </c>
      <c r="O213" s="237" t="str">
        <f>IFERROR(1-SUMIF(PA!$B:$B,$A213,PA!$AL:$AL)/($AA213+SUMIF(PA!$B:$B,$A213,PA!$AL:$AL)),"")</f>
        <v/>
      </c>
      <c r="P213" s="238"/>
      <c r="Q213" s="239"/>
      <c r="R213" s="240" t="str">
        <f>IFERROR(1-SUMIF(GA!$C:$C,$A213,GA!$X:$X)/($AA213+SUMIF(GA!$C:$C,$A213,GA!$X:$X)),"")</f>
        <v/>
      </c>
      <c r="S213" s="186"/>
      <c r="T213" s="239"/>
      <c r="U213" s="237" t="str">
        <f t="shared" si="14"/>
        <v/>
      </c>
      <c r="V213" s="237" t="str">
        <f>IFERROR(_xlfn.XLOOKUP($A213,'Raw_Data'!$B:$B,'Raw_Data'!$JL:$JL),"")</f>
        <v/>
      </c>
      <c r="W213" s="240" t="str">
        <f t="shared" si="15"/>
        <v/>
      </c>
      <c r="X213" s="228" t="str">
        <f>IFERROR(_xlfn.XLOOKUP($A213,'Raw_Data'!$B:$B,'Raw_Data'!$JI:$JI),"")</f>
        <v/>
      </c>
      <c r="Y213" s="228" t="str">
        <f>IFERROR(_xlfn.XLOOKUP($A213,'Raw_Data'!$B:$B,'Raw_Data'!IT:IT),"")</f>
        <v/>
      </c>
      <c r="Z213" s="228" t="str">
        <f>IFERROR(_xlfn.XLOOKUP($A213,'Raw_Data'!$B:$B,'Raw_Data'!IU:IU),"")</f>
        <v/>
      </c>
      <c r="AA213" s="228" t="str">
        <f>IFERROR(_xlfn.XLOOKUP($A213,'Raw_Data'!$B:$B,'Raw_Data'!IW:IW),"")</f>
        <v/>
      </c>
      <c r="AB213" s="228" t="str">
        <f>IFERROR(_xlfn.XLOOKUP($A213,'Raw_Data'!$B:$B,'Raw_Data'!I:I)/1000,"")</f>
        <v/>
      </c>
      <c r="AC213" s="241">
        <f>IFERROR(_xlfn.XLOOKUP($D213,'Modelling New'!$D:$D,'Modelling New'!$P:$P),"")</f>
        <v>6.5258064516129037</v>
      </c>
      <c r="AD213" s="228">
        <f>IFERROR(_xlfn.XLOOKUP($D213,'Modelling New'!$D:$D,'Modelling New'!$T:$T)*1000,"")</f>
        <v>1782585.5948084679</v>
      </c>
      <c r="AE213" s="240">
        <f>IFERROR(_xlfn.XLOOKUP($D213,'Modelling New'!$D:$D,'Modelling New'!$O:$O),"")</f>
        <v>0.81517985773319568</v>
      </c>
      <c r="AF213" s="240">
        <f>IFERROR(_xlfn.XLOOKUP($D213,'Modelling New'!$D:$D,'Modelling New'!$W:$W),"")</f>
        <v>0.22165441561750737</v>
      </c>
      <c r="AG213" s="240">
        <f>IFERROR(_xlfn.XLOOKUP($D213,'Modelling New'!$D:$D,'Modelling New'!AE:AE),"")</f>
        <v>0.99750000000000005</v>
      </c>
      <c r="AH213" s="240">
        <f>IFERROR(_xlfn.XLOOKUP($D213,'Modelling New'!$D:$D,'Modelling New'!AF:AF),"")</f>
        <v>0.99750000000000005</v>
      </c>
      <c r="AI213" s="186"/>
      <c r="AJ213" s="186"/>
      <c r="AK213" s="225"/>
      <c r="AL213" s="224">
        <f>IFERROR(Table13[[#This Row],[RA (%)]]*9270*58,"")</f>
        <v>0</v>
      </c>
      <c r="AM213" s="225"/>
      <c r="AN213" s="238"/>
      <c r="AO213" s="240"/>
      <c r="AP213" s="240"/>
      <c r="AQ213" s="240"/>
      <c r="AR213" s="242">
        <f>IFERROR(_xlfn.XLOOKUP($D213,'Modelling New'!$D:$D,'Modelling New'!$N:$N),"")</f>
        <v>335.09100000000001</v>
      </c>
    </row>
    <row r="214" spans="1:44">
      <c r="A214" s="233">
        <f t="shared" si="16"/>
        <v>45957</v>
      </c>
      <c r="B214" s="228">
        <f>YEAR(Table13[[#This Row],[Date]])+IF(MONTH(Table13[[#This Row],[Date]])&gt;=4,1,0)</f>
        <v>2026</v>
      </c>
      <c r="C214" s="186">
        <f>YEAR(Table13[[#This Row],[Date]])</f>
        <v>2025</v>
      </c>
      <c r="D214" s="234">
        <f>Table13[[#This Row],[Date]]-DAY(Table13[[#This Row],[Date]])+1</f>
        <v>45931</v>
      </c>
      <c r="E214" s="186">
        <f t="shared" si="17"/>
        <v>31</v>
      </c>
      <c r="F214" s="235" t="str">
        <f>IFERROR(_xlfn.XLOOKUP($A214,'Raw_Data'!$B:$B,'Raw_Data'!$IX:$IX),"")</f>
        <v/>
      </c>
      <c r="G214" s="236" t="str">
        <f>IFERROR(_xlfn.XLOOKUP($A214,'Raw_Data'!$B:$B,'Raw_Data'!IY:IY),"")</f>
        <v/>
      </c>
      <c r="H214" s="236" t="str">
        <f>IFERROR(_xlfn.XLOOKUP($A214,'Raw_Data'!$B:$B,'Raw_Data'!IZ:IZ),"")</f>
        <v/>
      </c>
      <c r="I214" s="236" t="str">
        <f>IFERROR(_xlfn.XLOOKUP($A214,'Raw_Data'!$B:$B,'Raw_Data'!JA:JA),"")</f>
        <v/>
      </c>
      <c r="J214" s="236" t="str">
        <f>IFERROR(_xlfn.XLOOKUP($A214,'Raw_Data'!$B:$B,'Raw_Data'!JB:JB),"")</f>
        <v/>
      </c>
      <c r="K214" s="236" t="str">
        <f>IFERROR(_xlfn.XLOOKUP($A214,'Raw_Data'!$B:$B,'Raw_Data'!JE:JE),"")</f>
        <v/>
      </c>
      <c r="L214" s="236" t="str">
        <f>IFERROR(_xlfn.XLOOKUP($A214,'Raw_Data'!$B:$B,'Raw_Data'!JF:JF),"")</f>
        <v/>
      </c>
      <c r="M214" s="236" t="str">
        <f>IFERROR(_xlfn.XLOOKUP($A214,'Raw_Data'!$B:$B,'Raw_Data'!JG:JG),"")</f>
        <v/>
      </c>
      <c r="N214" s="236" t="str">
        <f>IFERROR(_xlfn.XLOOKUP($A214,'Raw_Data'!$B:$B,'Raw_Data'!JH:JH),"")</f>
        <v/>
      </c>
      <c r="O214" s="237" t="str">
        <f>IFERROR(1-SUMIF(PA!$B:$B,$A214,PA!$AL:$AL)/($AA214+SUMIF(PA!$B:$B,$A214,PA!$AL:$AL)),"")</f>
        <v/>
      </c>
      <c r="P214" s="238"/>
      <c r="Q214" s="239"/>
      <c r="R214" s="240" t="str">
        <f>IFERROR(1-SUMIF(GA!$C:$C,$A214,GA!$X:$X)/($AA214+SUMIF(GA!$C:$C,$A214,GA!$X:$X)),"")</f>
        <v/>
      </c>
      <c r="S214" s="186"/>
      <c r="T214" s="239"/>
      <c r="U214" s="237" t="str">
        <f t="shared" si="14"/>
        <v/>
      </c>
      <c r="V214" s="237" t="str">
        <f>IFERROR(_xlfn.XLOOKUP($A214,'Raw_Data'!$B:$B,'Raw_Data'!$JL:$JL),"")</f>
        <v/>
      </c>
      <c r="W214" s="240" t="str">
        <f t="shared" si="15"/>
        <v/>
      </c>
      <c r="X214" s="228" t="str">
        <f>IFERROR(_xlfn.XLOOKUP($A214,'Raw_Data'!$B:$B,'Raw_Data'!$JI:$JI),"")</f>
        <v/>
      </c>
      <c r="Y214" s="228" t="str">
        <f>IFERROR(_xlfn.XLOOKUP($A214,'Raw_Data'!$B:$B,'Raw_Data'!IT:IT),"")</f>
        <v/>
      </c>
      <c r="Z214" s="228" t="str">
        <f>IFERROR(_xlfn.XLOOKUP($A214,'Raw_Data'!$B:$B,'Raw_Data'!IU:IU),"")</f>
        <v/>
      </c>
      <c r="AA214" s="228" t="str">
        <f>IFERROR(_xlfn.XLOOKUP($A214,'Raw_Data'!$B:$B,'Raw_Data'!IW:IW),"")</f>
        <v/>
      </c>
      <c r="AB214" s="228" t="str">
        <f>IFERROR(_xlfn.XLOOKUP($A214,'Raw_Data'!$B:$B,'Raw_Data'!I:I)/1000,"")</f>
        <v/>
      </c>
      <c r="AC214" s="241">
        <f>IFERROR(_xlfn.XLOOKUP($D214,'Modelling New'!$D:$D,'Modelling New'!$P:$P),"")</f>
        <v>6.5258064516129037</v>
      </c>
      <c r="AD214" s="228">
        <f>IFERROR(_xlfn.XLOOKUP($D214,'Modelling New'!$D:$D,'Modelling New'!$T:$T)*1000,"")</f>
        <v>1782585.5948084679</v>
      </c>
      <c r="AE214" s="240">
        <f>IFERROR(_xlfn.XLOOKUP($D214,'Modelling New'!$D:$D,'Modelling New'!$O:$O),"")</f>
        <v>0.81517985773319568</v>
      </c>
      <c r="AF214" s="240">
        <f>IFERROR(_xlfn.XLOOKUP($D214,'Modelling New'!$D:$D,'Modelling New'!$W:$W),"")</f>
        <v>0.22165441561750737</v>
      </c>
      <c r="AG214" s="240">
        <f>IFERROR(_xlfn.XLOOKUP($D214,'Modelling New'!$D:$D,'Modelling New'!AE:AE),"")</f>
        <v>0.99750000000000005</v>
      </c>
      <c r="AH214" s="240">
        <f>IFERROR(_xlfn.XLOOKUP($D214,'Modelling New'!$D:$D,'Modelling New'!AF:AF),"")</f>
        <v>0.99750000000000005</v>
      </c>
      <c r="AI214" s="186"/>
      <c r="AJ214" s="186"/>
      <c r="AK214" s="225"/>
      <c r="AL214" s="224">
        <f>IFERROR(Table13[[#This Row],[RA (%)]]*9270*58,"")</f>
        <v>0</v>
      </c>
      <c r="AM214" s="225"/>
      <c r="AN214" s="238"/>
      <c r="AO214" s="240"/>
      <c r="AP214" s="240"/>
      <c r="AQ214" s="240"/>
      <c r="AR214" s="242">
        <f>IFERROR(_xlfn.XLOOKUP($D214,'Modelling New'!$D:$D,'Modelling New'!$N:$N),"")</f>
        <v>335.09100000000001</v>
      </c>
    </row>
    <row r="215" spans="1:44">
      <c r="A215" s="233">
        <f t="shared" si="16"/>
        <v>45958</v>
      </c>
      <c r="B215" s="228">
        <f>YEAR(Table13[[#This Row],[Date]])+IF(MONTH(Table13[[#This Row],[Date]])&gt;=4,1,0)</f>
        <v>2026</v>
      </c>
      <c r="C215" s="186">
        <f>YEAR(Table13[[#This Row],[Date]])</f>
        <v>2025</v>
      </c>
      <c r="D215" s="234">
        <f>Table13[[#This Row],[Date]]-DAY(Table13[[#This Row],[Date]])+1</f>
        <v>45931</v>
      </c>
      <c r="E215" s="186">
        <f t="shared" si="17"/>
        <v>31</v>
      </c>
      <c r="F215" s="235" t="str">
        <f>IFERROR(_xlfn.XLOOKUP($A215,'Raw_Data'!$B:$B,'Raw_Data'!$IX:$IX),"")</f>
        <v/>
      </c>
      <c r="G215" s="236" t="str">
        <f>IFERROR(_xlfn.XLOOKUP($A215,'Raw_Data'!$B:$B,'Raw_Data'!IY:IY),"")</f>
        <v/>
      </c>
      <c r="H215" s="236" t="str">
        <f>IFERROR(_xlfn.XLOOKUP($A215,'Raw_Data'!$B:$B,'Raw_Data'!IZ:IZ),"")</f>
        <v/>
      </c>
      <c r="I215" s="236" t="str">
        <f>IFERROR(_xlfn.XLOOKUP($A215,'Raw_Data'!$B:$B,'Raw_Data'!JA:JA),"")</f>
        <v/>
      </c>
      <c r="J215" s="236" t="str">
        <f>IFERROR(_xlfn.XLOOKUP($A215,'Raw_Data'!$B:$B,'Raw_Data'!JB:JB),"")</f>
        <v/>
      </c>
      <c r="K215" s="236" t="str">
        <f>IFERROR(_xlfn.XLOOKUP($A215,'Raw_Data'!$B:$B,'Raw_Data'!JE:JE),"")</f>
        <v/>
      </c>
      <c r="L215" s="236" t="str">
        <f>IFERROR(_xlfn.XLOOKUP($A215,'Raw_Data'!$B:$B,'Raw_Data'!JF:JF),"")</f>
        <v/>
      </c>
      <c r="M215" s="236" t="str">
        <f>IFERROR(_xlfn.XLOOKUP($A215,'Raw_Data'!$B:$B,'Raw_Data'!JG:JG),"")</f>
        <v/>
      </c>
      <c r="N215" s="236" t="str">
        <f>IFERROR(_xlfn.XLOOKUP($A215,'Raw_Data'!$B:$B,'Raw_Data'!JH:JH),"")</f>
        <v/>
      </c>
      <c r="O215" s="237" t="str">
        <f>IFERROR(1-SUMIF(PA!$B:$B,$A215,PA!$AL:$AL)/($AA215+SUMIF(PA!$B:$B,$A215,PA!$AL:$AL)),"")</f>
        <v/>
      </c>
      <c r="P215" s="238"/>
      <c r="Q215" s="239"/>
      <c r="R215" s="240" t="str">
        <f>IFERROR(1-SUMIF(GA!$C:$C,$A215,GA!$X:$X)/($AA215+SUMIF(GA!$C:$C,$A215,GA!$X:$X)),"")</f>
        <v/>
      </c>
      <c r="S215" s="186"/>
      <c r="T215" s="239"/>
      <c r="U215" s="237" t="str">
        <f t="shared" si="14"/>
        <v/>
      </c>
      <c r="V215" s="237" t="str">
        <f>IFERROR(_xlfn.XLOOKUP($A215,'Raw_Data'!$B:$B,'Raw_Data'!$JL:$JL),"")</f>
        <v/>
      </c>
      <c r="W215" s="240" t="str">
        <f t="shared" si="15"/>
        <v/>
      </c>
      <c r="X215" s="228" t="str">
        <f>IFERROR(_xlfn.XLOOKUP($A215,'Raw_Data'!$B:$B,'Raw_Data'!$JI:$JI),"")</f>
        <v/>
      </c>
      <c r="Y215" s="228" t="str">
        <f>IFERROR(_xlfn.XLOOKUP($A215,'Raw_Data'!$B:$B,'Raw_Data'!IT:IT),"")</f>
        <v/>
      </c>
      <c r="Z215" s="228" t="str">
        <f>IFERROR(_xlfn.XLOOKUP($A215,'Raw_Data'!$B:$B,'Raw_Data'!IU:IU),"")</f>
        <v/>
      </c>
      <c r="AA215" s="228" t="str">
        <f>IFERROR(_xlfn.XLOOKUP($A215,'Raw_Data'!$B:$B,'Raw_Data'!IW:IW),"")</f>
        <v/>
      </c>
      <c r="AB215" s="228" t="str">
        <f>IFERROR(_xlfn.XLOOKUP($A215,'Raw_Data'!$B:$B,'Raw_Data'!I:I)/1000,"")</f>
        <v/>
      </c>
      <c r="AC215" s="241">
        <f>IFERROR(_xlfn.XLOOKUP($D215,'Modelling New'!$D:$D,'Modelling New'!$P:$P),"")</f>
        <v>6.5258064516129037</v>
      </c>
      <c r="AD215" s="228">
        <f>IFERROR(_xlfn.XLOOKUP($D215,'Modelling New'!$D:$D,'Modelling New'!$T:$T)*1000,"")</f>
        <v>1782585.5948084679</v>
      </c>
      <c r="AE215" s="240">
        <f>IFERROR(_xlfn.XLOOKUP($D215,'Modelling New'!$D:$D,'Modelling New'!$O:$O),"")</f>
        <v>0.81517985773319568</v>
      </c>
      <c r="AF215" s="240">
        <f>IFERROR(_xlfn.XLOOKUP($D215,'Modelling New'!$D:$D,'Modelling New'!$W:$W),"")</f>
        <v>0.22165441561750737</v>
      </c>
      <c r="AG215" s="240">
        <f>IFERROR(_xlfn.XLOOKUP($D215,'Modelling New'!$D:$D,'Modelling New'!AE:AE),"")</f>
        <v>0.99750000000000005</v>
      </c>
      <c r="AH215" s="240">
        <f>IFERROR(_xlfn.XLOOKUP($D215,'Modelling New'!$D:$D,'Modelling New'!AF:AF),"")</f>
        <v>0.99750000000000005</v>
      </c>
      <c r="AI215" s="186"/>
      <c r="AJ215" s="186"/>
      <c r="AK215" s="225"/>
      <c r="AL215" s="224">
        <f>IFERROR(Table13[[#This Row],[RA (%)]]*9270*58,"")</f>
        <v>0</v>
      </c>
      <c r="AM215" s="225"/>
      <c r="AN215" s="238"/>
      <c r="AO215" s="240"/>
      <c r="AP215" s="240"/>
      <c r="AQ215" s="240"/>
      <c r="AR215" s="242">
        <f>IFERROR(_xlfn.XLOOKUP($D215,'Modelling New'!$D:$D,'Modelling New'!$N:$N),"")</f>
        <v>335.09100000000001</v>
      </c>
    </row>
    <row r="216" spans="1:44">
      <c r="A216" s="233">
        <f t="shared" si="16"/>
        <v>45959</v>
      </c>
      <c r="B216" s="228">
        <f>YEAR(Table13[[#This Row],[Date]])+IF(MONTH(Table13[[#This Row],[Date]])&gt;=4,1,0)</f>
        <v>2026</v>
      </c>
      <c r="C216" s="186">
        <f>YEAR(Table13[[#This Row],[Date]])</f>
        <v>2025</v>
      </c>
      <c r="D216" s="234">
        <f>Table13[[#This Row],[Date]]-DAY(Table13[[#This Row],[Date]])+1</f>
        <v>45931</v>
      </c>
      <c r="E216" s="186">
        <f t="shared" si="17"/>
        <v>31</v>
      </c>
      <c r="F216" s="235" t="str">
        <f>IFERROR(_xlfn.XLOOKUP($A216,'Raw_Data'!$B:$B,'Raw_Data'!$IX:$IX),"")</f>
        <v/>
      </c>
      <c r="G216" s="236" t="str">
        <f>IFERROR(_xlfn.XLOOKUP($A216,'Raw_Data'!$B:$B,'Raw_Data'!IY:IY),"")</f>
        <v/>
      </c>
      <c r="H216" s="236" t="str">
        <f>IFERROR(_xlfn.XLOOKUP($A216,'Raw_Data'!$B:$B,'Raw_Data'!IZ:IZ),"")</f>
        <v/>
      </c>
      <c r="I216" s="236" t="str">
        <f>IFERROR(_xlfn.XLOOKUP($A216,'Raw_Data'!$B:$B,'Raw_Data'!JA:JA),"")</f>
        <v/>
      </c>
      <c r="J216" s="236" t="str">
        <f>IFERROR(_xlfn.XLOOKUP($A216,'Raw_Data'!$B:$B,'Raw_Data'!JB:JB),"")</f>
        <v/>
      </c>
      <c r="K216" s="236" t="str">
        <f>IFERROR(_xlfn.XLOOKUP($A216,'Raw_Data'!$B:$B,'Raw_Data'!JE:JE),"")</f>
        <v/>
      </c>
      <c r="L216" s="236" t="str">
        <f>IFERROR(_xlfn.XLOOKUP($A216,'Raw_Data'!$B:$B,'Raw_Data'!JF:JF),"")</f>
        <v/>
      </c>
      <c r="M216" s="236" t="str">
        <f>IFERROR(_xlfn.XLOOKUP($A216,'Raw_Data'!$B:$B,'Raw_Data'!JG:JG),"")</f>
        <v/>
      </c>
      <c r="N216" s="236" t="str">
        <f>IFERROR(_xlfn.XLOOKUP($A216,'Raw_Data'!$B:$B,'Raw_Data'!JH:JH),"")</f>
        <v/>
      </c>
      <c r="O216" s="237" t="str">
        <f>IFERROR(1-SUMIF(PA!$B:$B,$A216,PA!$AL:$AL)/($AA216+SUMIF(PA!$B:$B,$A216,PA!$AL:$AL)),"")</f>
        <v/>
      </c>
      <c r="P216" s="238"/>
      <c r="Q216" s="239"/>
      <c r="R216" s="240" t="str">
        <f>IFERROR(1-SUMIF(GA!$C:$C,$A216,GA!$X:$X)/($AA216+SUMIF(GA!$C:$C,$A216,GA!$X:$X)),"")</f>
        <v/>
      </c>
      <c r="S216" s="186"/>
      <c r="T216" s="239"/>
      <c r="U216" s="237" t="str">
        <f t="shared" si="14"/>
        <v/>
      </c>
      <c r="V216" s="237" t="str">
        <f>IFERROR(_xlfn.XLOOKUP($A216,'Raw_Data'!$B:$B,'Raw_Data'!$JL:$JL),"")</f>
        <v/>
      </c>
      <c r="W216" s="240" t="str">
        <f t="shared" si="15"/>
        <v/>
      </c>
      <c r="X216" s="228" t="str">
        <f>IFERROR(_xlfn.XLOOKUP($A216,'Raw_Data'!$B:$B,'Raw_Data'!$JI:$JI),"")</f>
        <v/>
      </c>
      <c r="Y216" s="228" t="str">
        <f>IFERROR(_xlfn.XLOOKUP($A216,'Raw_Data'!$B:$B,'Raw_Data'!IT:IT),"")</f>
        <v/>
      </c>
      <c r="Z216" s="228" t="str">
        <f>IFERROR(_xlfn.XLOOKUP($A216,'Raw_Data'!$B:$B,'Raw_Data'!IU:IU),"")</f>
        <v/>
      </c>
      <c r="AA216" s="228" t="str">
        <f>IFERROR(_xlfn.XLOOKUP($A216,'Raw_Data'!$B:$B,'Raw_Data'!IW:IW),"")</f>
        <v/>
      </c>
      <c r="AB216" s="228" t="str">
        <f>IFERROR(_xlfn.XLOOKUP($A216,'Raw_Data'!$B:$B,'Raw_Data'!I:I)/1000,"")</f>
        <v/>
      </c>
      <c r="AC216" s="241">
        <f>IFERROR(_xlfn.XLOOKUP($D216,'Modelling New'!$D:$D,'Modelling New'!$P:$P),"")</f>
        <v>6.5258064516129037</v>
      </c>
      <c r="AD216" s="228">
        <f>IFERROR(_xlfn.XLOOKUP($D216,'Modelling New'!$D:$D,'Modelling New'!$T:$T)*1000,"")</f>
        <v>1782585.5948084679</v>
      </c>
      <c r="AE216" s="240">
        <f>IFERROR(_xlfn.XLOOKUP($D216,'Modelling New'!$D:$D,'Modelling New'!$O:$O),"")</f>
        <v>0.81517985773319568</v>
      </c>
      <c r="AF216" s="240">
        <f>IFERROR(_xlfn.XLOOKUP($D216,'Modelling New'!$D:$D,'Modelling New'!$W:$W),"")</f>
        <v>0.22165441561750737</v>
      </c>
      <c r="AG216" s="240">
        <f>IFERROR(_xlfn.XLOOKUP($D216,'Modelling New'!$D:$D,'Modelling New'!AE:AE),"")</f>
        <v>0.99750000000000005</v>
      </c>
      <c r="AH216" s="240">
        <f>IFERROR(_xlfn.XLOOKUP($D216,'Modelling New'!$D:$D,'Modelling New'!AF:AF),"")</f>
        <v>0.99750000000000005</v>
      </c>
      <c r="AI216" s="186"/>
      <c r="AJ216" s="186"/>
      <c r="AK216" s="225"/>
      <c r="AL216" s="224">
        <f>IFERROR(Table13[[#This Row],[RA (%)]]*9270*58,"")</f>
        <v>0</v>
      </c>
      <c r="AM216" s="225"/>
      <c r="AN216" s="238"/>
      <c r="AO216" s="240"/>
      <c r="AP216" s="240"/>
      <c r="AQ216" s="240"/>
      <c r="AR216" s="242">
        <f>IFERROR(_xlfn.XLOOKUP($D216,'Modelling New'!$D:$D,'Modelling New'!$N:$N),"")</f>
        <v>335.09100000000001</v>
      </c>
    </row>
    <row r="217" spans="1:44">
      <c r="A217" s="233">
        <f t="shared" si="16"/>
        <v>45960</v>
      </c>
      <c r="B217" s="228">
        <f>YEAR(Table13[[#This Row],[Date]])+IF(MONTH(Table13[[#This Row],[Date]])&gt;=4,1,0)</f>
        <v>2026</v>
      </c>
      <c r="C217" s="186">
        <f>YEAR(Table13[[#This Row],[Date]])</f>
        <v>2025</v>
      </c>
      <c r="D217" s="234">
        <f>Table13[[#This Row],[Date]]-DAY(Table13[[#This Row],[Date]])+1</f>
        <v>45931</v>
      </c>
      <c r="E217" s="186">
        <f t="shared" si="17"/>
        <v>31</v>
      </c>
      <c r="F217" s="235" t="str">
        <f>IFERROR(_xlfn.XLOOKUP($A217,'Raw_Data'!$B:$B,'Raw_Data'!$IX:$IX),"")</f>
        <v/>
      </c>
      <c r="G217" s="236" t="str">
        <f>IFERROR(_xlfn.XLOOKUP($A217,'Raw_Data'!$B:$B,'Raw_Data'!IY:IY),"")</f>
        <v/>
      </c>
      <c r="H217" s="236" t="str">
        <f>IFERROR(_xlfn.XLOOKUP($A217,'Raw_Data'!$B:$B,'Raw_Data'!IZ:IZ),"")</f>
        <v/>
      </c>
      <c r="I217" s="236" t="str">
        <f>IFERROR(_xlfn.XLOOKUP($A217,'Raw_Data'!$B:$B,'Raw_Data'!JA:JA),"")</f>
        <v/>
      </c>
      <c r="J217" s="236" t="str">
        <f>IFERROR(_xlfn.XLOOKUP($A217,'Raw_Data'!$B:$B,'Raw_Data'!JB:JB),"")</f>
        <v/>
      </c>
      <c r="K217" s="236" t="str">
        <f>IFERROR(_xlfn.XLOOKUP($A217,'Raw_Data'!$B:$B,'Raw_Data'!JE:JE),"")</f>
        <v/>
      </c>
      <c r="L217" s="236" t="str">
        <f>IFERROR(_xlfn.XLOOKUP($A217,'Raw_Data'!$B:$B,'Raw_Data'!JF:JF),"")</f>
        <v/>
      </c>
      <c r="M217" s="236" t="str">
        <f>IFERROR(_xlfn.XLOOKUP($A217,'Raw_Data'!$B:$B,'Raw_Data'!JG:JG),"")</f>
        <v/>
      </c>
      <c r="N217" s="236" t="str">
        <f>IFERROR(_xlfn.XLOOKUP($A217,'Raw_Data'!$B:$B,'Raw_Data'!JH:JH),"")</f>
        <v/>
      </c>
      <c r="O217" s="237" t="str">
        <f>IFERROR(1-SUMIF(PA!$B:$B,$A217,PA!$AL:$AL)/($AA217+SUMIF(PA!$B:$B,$A217,PA!$AL:$AL)),"")</f>
        <v/>
      </c>
      <c r="P217" s="238"/>
      <c r="Q217" s="239"/>
      <c r="R217" s="240" t="str">
        <f>IFERROR(1-SUMIF(GA!$C:$C,$A217,GA!$X:$X)/($AA217+SUMIF(GA!$C:$C,$A217,GA!$X:$X)),"")</f>
        <v/>
      </c>
      <c r="S217" s="186"/>
      <c r="T217" s="239"/>
      <c r="U217" s="237" t="str">
        <f t="shared" si="14"/>
        <v/>
      </c>
      <c r="V217" s="237" t="str">
        <f>IFERROR(_xlfn.XLOOKUP($A217,'Raw_Data'!$B:$B,'Raw_Data'!$JL:$JL),"")</f>
        <v/>
      </c>
      <c r="W217" s="240" t="str">
        <f t="shared" si="15"/>
        <v/>
      </c>
      <c r="X217" s="228" t="str">
        <f>IFERROR(_xlfn.XLOOKUP($A217,'Raw_Data'!$B:$B,'Raw_Data'!$JI:$JI),"")</f>
        <v/>
      </c>
      <c r="Y217" s="228" t="str">
        <f>IFERROR(_xlfn.XLOOKUP($A217,'Raw_Data'!$B:$B,'Raw_Data'!IT:IT),"")</f>
        <v/>
      </c>
      <c r="Z217" s="228" t="str">
        <f>IFERROR(_xlfn.XLOOKUP($A217,'Raw_Data'!$B:$B,'Raw_Data'!IU:IU),"")</f>
        <v/>
      </c>
      <c r="AA217" s="228" t="str">
        <f>IFERROR(_xlfn.XLOOKUP($A217,'Raw_Data'!$B:$B,'Raw_Data'!IW:IW),"")</f>
        <v/>
      </c>
      <c r="AB217" s="228" t="str">
        <f>IFERROR(_xlfn.XLOOKUP($A217,'Raw_Data'!$B:$B,'Raw_Data'!I:I)/1000,"")</f>
        <v/>
      </c>
      <c r="AC217" s="241">
        <f>IFERROR(_xlfn.XLOOKUP($D217,'Modelling New'!$D:$D,'Modelling New'!$P:$P),"")</f>
        <v>6.5258064516129037</v>
      </c>
      <c r="AD217" s="228">
        <f>IFERROR(_xlfn.XLOOKUP($D217,'Modelling New'!$D:$D,'Modelling New'!$T:$T)*1000,"")</f>
        <v>1782585.5948084679</v>
      </c>
      <c r="AE217" s="240">
        <f>IFERROR(_xlfn.XLOOKUP($D217,'Modelling New'!$D:$D,'Modelling New'!$O:$O),"")</f>
        <v>0.81517985773319568</v>
      </c>
      <c r="AF217" s="240">
        <f>IFERROR(_xlfn.XLOOKUP($D217,'Modelling New'!$D:$D,'Modelling New'!$W:$W),"")</f>
        <v>0.22165441561750737</v>
      </c>
      <c r="AG217" s="240">
        <f>IFERROR(_xlfn.XLOOKUP($D217,'Modelling New'!$D:$D,'Modelling New'!AE:AE),"")</f>
        <v>0.99750000000000005</v>
      </c>
      <c r="AH217" s="240">
        <f>IFERROR(_xlfn.XLOOKUP($D217,'Modelling New'!$D:$D,'Modelling New'!AF:AF),"")</f>
        <v>0.99750000000000005</v>
      </c>
      <c r="AI217" s="186"/>
      <c r="AJ217" s="186"/>
      <c r="AK217" s="225"/>
      <c r="AL217" s="224">
        <f>IFERROR(Table13[[#This Row],[RA (%)]]*9270*58,"")</f>
        <v>0</v>
      </c>
      <c r="AM217" s="225"/>
      <c r="AN217" s="238"/>
      <c r="AO217" s="240"/>
      <c r="AP217" s="240"/>
      <c r="AQ217" s="240"/>
      <c r="AR217" s="242">
        <f>IFERROR(_xlfn.XLOOKUP($D217,'Modelling New'!$D:$D,'Modelling New'!$N:$N),"")</f>
        <v>335.09100000000001</v>
      </c>
    </row>
    <row r="218" spans="1:44">
      <c r="A218" s="233">
        <f t="shared" si="16"/>
        <v>45961</v>
      </c>
      <c r="B218" s="228">
        <f>YEAR(Table13[[#This Row],[Date]])+IF(MONTH(Table13[[#This Row],[Date]])&gt;=4,1,0)</f>
        <v>2026</v>
      </c>
      <c r="C218" s="186">
        <f>YEAR(Table13[[#This Row],[Date]])</f>
        <v>2025</v>
      </c>
      <c r="D218" s="234">
        <f>Table13[[#This Row],[Date]]-DAY(Table13[[#This Row],[Date]])+1</f>
        <v>45931</v>
      </c>
      <c r="E218" s="186">
        <f t="shared" si="17"/>
        <v>31</v>
      </c>
      <c r="F218" s="235" t="str">
        <f>IFERROR(_xlfn.XLOOKUP($A218,'Raw_Data'!$B:$B,'Raw_Data'!$IX:$IX),"")</f>
        <v/>
      </c>
      <c r="G218" s="236" t="str">
        <f>IFERROR(_xlfn.XLOOKUP($A218,'Raw_Data'!$B:$B,'Raw_Data'!IY:IY),"")</f>
        <v/>
      </c>
      <c r="H218" s="236" t="str">
        <f>IFERROR(_xlfn.XLOOKUP($A218,'Raw_Data'!$B:$B,'Raw_Data'!IZ:IZ),"")</f>
        <v/>
      </c>
      <c r="I218" s="236" t="str">
        <f>IFERROR(_xlfn.XLOOKUP($A218,'Raw_Data'!$B:$B,'Raw_Data'!JA:JA),"")</f>
        <v/>
      </c>
      <c r="J218" s="236" t="str">
        <f>IFERROR(_xlfn.XLOOKUP($A218,'Raw_Data'!$B:$B,'Raw_Data'!JB:JB),"")</f>
        <v/>
      </c>
      <c r="K218" s="236" t="str">
        <f>IFERROR(_xlfn.XLOOKUP($A218,'Raw_Data'!$B:$B,'Raw_Data'!JE:JE),"")</f>
        <v/>
      </c>
      <c r="L218" s="236" t="str">
        <f>IFERROR(_xlfn.XLOOKUP($A218,'Raw_Data'!$B:$B,'Raw_Data'!JF:JF),"")</f>
        <v/>
      </c>
      <c r="M218" s="236" t="str">
        <f>IFERROR(_xlfn.XLOOKUP($A218,'Raw_Data'!$B:$B,'Raw_Data'!JG:JG),"")</f>
        <v/>
      </c>
      <c r="N218" s="236" t="str">
        <f>IFERROR(_xlfn.XLOOKUP($A218,'Raw_Data'!$B:$B,'Raw_Data'!JH:JH),"")</f>
        <v/>
      </c>
      <c r="O218" s="237" t="str">
        <f>IFERROR(1-SUMIF(PA!$B:$B,$A218,PA!$AL:$AL)/($AA218+SUMIF(PA!$B:$B,$A218,PA!$AL:$AL)),"")</f>
        <v/>
      </c>
      <c r="P218" s="238"/>
      <c r="Q218" s="239"/>
      <c r="R218" s="240" t="str">
        <f>IFERROR(1-SUMIF(GA!$C:$C,$A218,GA!$X:$X)/($AA218+SUMIF(GA!$C:$C,$A218,GA!$X:$X)),"")</f>
        <v/>
      </c>
      <c r="S218" s="186"/>
      <c r="T218" s="239"/>
      <c r="U218" s="237" t="str">
        <f t="shared" si="14"/>
        <v/>
      </c>
      <c r="V218" s="237" t="str">
        <f>IFERROR(_xlfn.XLOOKUP($A218,'Raw_Data'!$B:$B,'Raw_Data'!$JL:$JL),"")</f>
        <v/>
      </c>
      <c r="W218" s="240" t="str">
        <f t="shared" si="15"/>
        <v/>
      </c>
      <c r="X218" s="228" t="str">
        <f>IFERROR(_xlfn.XLOOKUP($A218,'Raw_Data'!$B:$B,'Raw_Data'!$JI:$JI),"")</f>
        <v/>
      </c>
      <c r="Y218" s="228" t="str">
        <f>IFERROR(_xlfn.XLOOKUP($A218,'Raw_Data'!$B:$B,'Raw_Data'!IT:IT),"")</f>
        <v/>
      </c>
      <c r="Z218" s="228" t="str">
        <f>IFERROR(_xlfn.XLOOKUP($A218,'Raw_Data'!$B:$B,'Raw_Data'!IU:IU),"")</f>
        <v/>
      </c>
      <c r="AA218" s="228" t="str">
        <f>IFERROR(_xlfn.XLOOKUP($A218,'Raw_Data'!$B:$B,'Raw_Data'!IW:IW),"")</f>
        <v/>
      </c>
      <c r="AB218" s="228" t="str">
        <f>IFERROR(_xlfn.XLOOKUP($A218,'Raw_Data'!$B:$B,'Raw_Data'!I:I)/1000,"")</f>
        <v/>
      </c>
      <c r="AC218" s="241">
        <f>IFERROR(_xlfn.XLOOKUP($D218,'Modelling New'!$D:$D,'Modelling New'!$P:$P),"")</f>
        <v>6.5258064516129037</v>
      </c>
      <c r="AD218" s="228">
        <f>IFERROR(_xlfn.XLOOKUP($D218,'Modelling New'!$D:$D,'Modelling New'!$T:$T)*1000,"")</f>
        <v>1782585.5948084679</v>
      </c>
      <c r="AE218" s="240">
        <f>IFERROR(_xlfn.XLOOKUP($D218,'Modelling New'!$D:$D,'Modelling New'!$O:$O),"")</f>
        <v>0.81517985773319568</v>
      </c>
      <c r="AF218" s="240">
        <f>IFERROR(_xlfn.XLOOKUP($D218,'Modelling New'!$D:$D,'Modelling New'!$W:$W),"")</f>
        <v>0.22165441561750737</v>
      </c>
      <c r="AG218" s="240">
        <f>IFERROR(_xlfn.XLOOKUP($D218,'Modelling New'!$D:$D,'Modelling New'!AE:AE),"")</f>
        <v>0.99750000000000005</v>
      </c>
      <c r="AH218" s="240">
        <f>IFERROR(_xlfn.XLOOKUP($D218,'Modelling New'!$D:$D,'Modelling New'!AF:AF),"")</f>
        <v>0.99750000000000005</v>
      </c>
      <c r="AI218" s="186"/>
      <c r="AJ218" s="186"/>
      <c r="AK218" s="225"/>
      <c r="AL218" s="224">
        <f>IFERROR(Table13[[#This Row],[RA (%)]]*9270*58,"")</f>
        <v>0</v>
      </c>
      <c r="AM218" s="225"/>
      <c r="AN218" s="238"/>
      <c r="AO218" s="240"/>
      <c r="AP218" s="240"/>
      <c r="AQ218" s="240"/>
      <c r="AR218" s="242">
        <f>IFERROR(_xlfn.XLOOKUP($D218,'Modelling New'!$D:$D,'Modelling New'!$N:$N),"")</f>
        <v>335.09100000000001</v>
      </c>
    </row>
    <row r="219" spans="1:44">
      <c r="A219" s="233">
        <f t="shared" si="16"/>
        <v>45962</v>
      </c>
      <c r="B219" s="228">
        <f>YEAR(Table13[[#This Row],[Date]])+IF(MONTH(Table13[[#This Row],[Date]])&gt;=4,1,0)</f>
        <v>2026</v>
      </c>
      <c r="C219" s="186">
        <f>YEAR(Table13[[#This Row],[Date]])</f>
        <v>2025</v>
      </c>
      <c r="D219" s="234">
        <f>Table13[[#This Row],[Date]]-DAY(Table13[[#This Row],[Date]])+1</f>
        <v>45962</v>
      </c>
      <c r="E219" s="186">
        <f t="shared" si="17"/>
        <v>30</v>
      </c>
      <c r="F219" s="235" t="str">
        <f>IFERROR(_xlfn.XLOOKUP($A219,'Raw_Data'!$B:$B,'Raw_Data'!$IX:$IX),"")</f>
        <v/>
      </c>
      <c r="G219" s="236" t="str">
        <f>IFERROR(_xlfn.XLOOKUP($A219,'Raw_Data'!$B:$B,'Raw_Data'!IY:IY),"")</f>
        <v/>
      </c>
      <c r="H219" s="236" t="str">
        <f>IFERROR(_xlfn.XLOOKUP($A219,'Raw_Data'!$B:$B,'Raw_Data'!IZ:IZ),"")</f>
        <v/>
      </c>
      <c r="I219" s="236" t="str">
        <f>IFERROR(_xlfn.XLOOKUP($A219,'Raw_Data'!$B:$B,'Raw_Data'!JA:JA),"")</f>
        <v/>
      </c>
      <c r="J219" s="236" t="str">
        <f>IFERROR(_xlfn.XLOOKUP($A219,'Raw_Data'!$B:$B,'Raw_Data'!JB:JB),"")</f>
        <v/>
      </c>
      <c r="K219" s="236" t="str">
        <f>IFERROR(_xlfn.XLOOKUP($A219,'Raw_Data'!$B:$B,'Raw_Data'!JE:JE),"")</f>
        <v/>
      </c>
      <c r="L219" s="236" t="str">
        <f>IFERROR(_xlfn.XLOOKUP($A219,'Raw_Data'!$B:$B,'Raw_Data'!JF:JF),"")</f>
        <v/>
      </c>
      <c r="M219" s="236" t="str">
        <f>IFERROR(_xlfn.XLOOKUP($A219,'Raw_Data'!$B:$B,'Raw_Data'!JG:JG),"")</f>
        <v/>
      </c>
      <c r="N219" s="236" t="str">
        <f>IFERROR(_xlfn.XLOOKUP($A219,'Raw_Data'!$B:$B,'Raw_Data'!JH:JH),"")</f>
        <v/>
      </c>
      <c r="O219" s="237" t="str">
        <f>IFERROR(1-SUMIF(PA!$B:$B,$A219,PA!$AL:$AL)/($AA219+SUMIF(PA!$B:$B,$A219,PA!$AL:$AL)),"")</f>
        <v/>
      </c>
      <c r="P219" s="238"/>
      <c r="Q219" s="239"/>
      <c r="R219" s="240" t="str">
        <f>IFERROR(1-SUMIF(GA!$C:$C,$A219,GA!$X:$X)/($AA219+SUMIF(GA!$C:$C,$A219,GA!$X:$X)),"")</f>
        <v/>
      </c>
      <c r="S219" s="186"/>
      <c r="T219" s="239"/>
      <c r="U219" s="237" t="str">
        <f t="shared" si="14"/>
        <v/>
      </c>
      <c r="V219" s="237" t="str">
        <f>IFERROR(_xlfn.XLOOKUP($A219,'Raw_Data'!$B:$B,'Raw_Data'!$JL:$JL),"")</f>
        <v/>
      </c>
      <c r="W219" s="240" t="str">
        <f t="shared" si="15"/>
        <v/>
      </c>
      <c r="X219" s="228" t="str">
        <f>IFERROR(_xlfn.XLOOKUP($A219,'Raw_Data'!$B:$B,'Raw_Data'!$JI:$JI),"")</f>
        <v/>
      </c>
      <c r="Y219" s="228" t="str">
        <f>IFERROR(_xlfn.XLOOKUP($A219,'Raw_Data'!$B:$B,'Raw_Data'!IT:IT),"")</f>
        <v/>
      </c>
      <c r="Z219" s="228" t="str">
        <f>IFERROR(_xlfn.XLOOKUP($A219,'Raw_Data'!$B:$B,'Raw_Data'!IU:IU),"")</f>
        <v/>
      </c>
      <c r="AA219" s="228" t="str">
        <f>IFERROR(_xlfn.XLOOKUP($A219,'Raw_Data'!$B:$B,'Raw_Data'!IW:IW),"")</f>
        <v/>
      </c>
      <c r="AB219" s="228" t="str">
        <f>IFERROR(_xlfn.XLOOKUP($A219,'Raw_Data'!$B:$B,'Raw_Data'!I:I)/1000,"")</f>
        <v/>
      </c>
      <c r="AC219" s="241">
        <f>IFERROR(_xlfn.XLOOKUP($D219,'Modelling New'!$D:$D,'Modelling New'!$P:$P),"")</f>
        <v>5.4300000000000006</v>
      </c>
      <c r="AD219" s="228">
        <f>IFERROR(_xlfn.XLOOKUP($D219,'Modelling New'!$D:$D,'Modelling New'!$T:$T)*1000,"")</f>
        <v>1560949.0571497723</v>
      </c>
      <c r="AE219" s="240">
        <f>IFERROR(_xlfn.XLOOKUP($D219,'Modelling New'!$D:$D,'Modelling New'!$O:$O),"")</f>
        <v>0.85787919699962001</v>
      </c>
      <c r="AF219" s="240">
        <f>IFERROR(_xlfn.XLOOKUP($D219,'Modelling New'!$D:$D,'Modelling New'!$W:$W),"")</f>
        <v>0.19409516832116402</v>
      </c>
      <c r="AG219" s="240">
        <f>IFERROR(_xlfn.XLOOKUP($D219,'Modelling New'!$D:$D,'Modelling New'!AE:AE),"")</f>
        <v>0.99750000000000005</v>
      </c>
      <c r="AH219" s="240">
        <f>IFERROR(_xlfn.XLOOKUP($D219,'Modelling New'!$D:$D,'Modelling New'!AF:AF),"")</f>
        <v>0.99750000000000005</v>
      </c>
      <c r="AI219" s="186"/>
      <c r="AJ219" s="186"/>
      <c r="AK219" s="225"/>
      <c r="AL219" s="224">
        <f>IFERROR(Table13[[#This Row],[RA (%)]]*9270*58,"")</f>
        <v>0</v>
      </c>
      <c r="AM219" s="225"/>
      <c r="AN219" s="238"/>
      <c r="AO219" s="240"/>
      <c r="AP219" s="240"/>
      <c r="AQ219" s="240"/>
      <c r="AR219" s="242">
        <f>IFERROR(_xlfn.XLOOKUP($D219,'Modelling New'!$D:$D,'Modelling New'!$N:$N),"")</f>
        <v>335.09100000000001</v>
      </c>
    </row>
    <row r="220" spans="1:44">
      <c r="A220" s="233">
        <f t="shared" si="16"/>
        <v>45963</v>
      </c>
      <c r="B220" s="228">
        <f>YEAR(Table13[[#This Row],[Date]])+IF(MONTH(Table13[[#This Row],[Date]])&gt;=4,1,0)</f>
        <v>2026</v>
      </c>
      <c r="C220" s="186">
        <f>YEAR(Table13[[#This Row],[Date]])</f>
        <v>2025</v>
      </c>
      <c r="D220" s="234">
        <f>Table13[[#This Row],[Date]]-DAY(Table13[[#This Row],[Date]])+1</f>
        <v>45962</v>
      </c>
      <c r="E220" s="186">
        <f t="shared" si="17"/>
        <v>30</v>
      </c>
      <c r="F220" s="235" t="str">
        <f>IFERROR(_xlfn.XLOOKUP($A220,'Raw_Data'!$B:$B,'Raw_Data'!$IX:$IX),"")</f>
        <v/>
      </c>
      <c r="G220" s="236" t="str">
        <f>IFERROR(_xlfn.XLOOKUP($A220,'Raw_Data'!$B:$B,'Raw_Data'!IY:IY),"")</f>
        <v/>
      </c>
      <c r="H220" s="236" t="str">
        <f>IFERROR(_xlfn.XLOOKUP($A220,'Raw_Data'!$B:$B,'Raw_Data'!IZ:IZ),"")</f>
        <v/>
      </c>
      <c r="I220" s="236" t="str">
        <f>IFERROR(_xlfn.XLOOKUP($A220,'Raw_Data'!$B:$B,'Raw_Data'!JA:JA),"")</f>
        <v/>
      </c>
      <c r="J220" s="236" t="str">
        <f>IFERROR(_xlfn.XLOOKUP($A220,'Raw_Data'!$B:$B,'Raw_Data'!JB:JB),"")</f>
        <v/>
      </c>
      <c r="K220" s="236" t="str">
        <f>IFERROR(_xlfn.XLOOKUP($A220,'Raw_Data'!$B:$B,'Raw_Data'!JE:JE),"")</f>
        <v/>
      </c>
      <c r="L220" s="236" t="str">
        <f>IFERROR(_xlfn.XLOOKUP($A220,'Raw_Data'!$B:$B,'Raw_Data'!JF:JF),"")</f>
        <v/>
      </c>
      <c r="M220" s="236" t="str">
        <f>IFERROR(_xlfn.XLOOKUP($A220,'Raw_Data'!$B:$B,'Raw_Data'!JG:JG),"")</f>
        <v/>
      </c>
      <c r="N220" s="236" t="str">
        <f>IFERROR(_xlfn.XLOOKUP($A220,'Raw_Data'!$B:$B,'Raw_Data'!JH:JH),"")</f>
        <v/>
      </c>
      <c r="O220" s="237" t="str">
        <f>IFERROR(1-SUMIF(PA!$B:$B,$A220,PA!$AL:$AL)/($AA220+SUMIF(PA!$B:$B,$A220,PA!$AL:$AL)),"")</f>
        <v/>
      </c>
      <c r="P220" s="238"/>
      <c r="Q220" s="239"/>
      <c r="R220" s="240" t="str">
        <f>IFERROR(1-SUMIF(GA!$C:$C,$A220,GA!$X:$X)/($AA220+SUMIF(GA!$C:$C,$A220,GA!$X:$X)),"")</f>
        <v/>
      </c>
      <c r="S220" s="186"/>
      <c r="T220" s="239"/>
      <c r="U220" s="237" t="str">
        <f t="shared" si="14"/>
        <v/>
      </c>
      <c r="V220" s="237" t="str">
        <f>IFERROR(_xlfn.XLOOKUP($A220,'Raw_Data'!$B:$B,'Raw_Data'!$JL:$JL),"")</f>
        <v/>
      </c>
      <c r="W220" s="240" t="str">
        <f t="shared" si="15"/>
        <v/>
      </c>
      <c r="X220" s="228" t="str">
        <f>IFERROR(_xlfn.XLOOKUP($A220,'Raw_Data'!$B:$B,'Raw_Data'!$JI:$JI),"")</f>
        <v/>
      </c>
      <c r="Y220" s="228" t="str">
        <f>IFERROR(_xlfn.XLOOKUP($A220,'Raw_Data'!$B:$B,'Raw_Data'!IT:IT),"")</f>
        <v/>
      </c>
      <c r="Z220" s="228" t="str">
        <f>IFERROR(_xlfn.XLOOKUP($A220,'Raw_Data'!$B:$B,'Raw_Data'!IU:IU),"")</f>
        <v/>
      </c>
      <c r="AA220" s="228" t="str">
        <f>IFERROR(_xlfn.XLOOKUP($A220,'Raw_Data'!$B:$B,'Raw_Data'!IW:IW),"")</f>
        <v/>
      </c>
      <c r="AB220" s="228" t="str">
        <f>IFERROR(_xlfn.XLOOKUP($A220,'Raw_Data'!$B:$B,'Raw_Data'!I:I)/1000,"")</f>
        <v/>
      </c>
      <c r="AC220" s="241">
        <f>IFERROR(_xlfn.XLOOKUP($D220,'Modelling New'!$D:$D,'Modelling New'!$P:$P),"")</f>
        <v>5.4300000000000006</v>
      </c>
      <c r="AD220" s="228">
        <f>IFERROR(_xlfn.XLOOKUP($D220,'Modelling New'!$D:$D,'Modelling New'!$T:$T)*1000,"")</f>
        <v>1560949.0571497723</v>
      </c>
      <c r="AE220" s="240">
        <f>IFERROR(_xlfn.XLOOKUP($D220,'Modelling New'!$D:$D,'Modelling New'!$O:$O),"")</f>
        <v>0.85787919699962001</v>
      </c>
      <c r="AF220" s="240">
        <f>IFERROR(_xlfn.XLOOKUP($D220,'Modelling New'!$D:$D,'Modelling New'!$W:$W),"")</f>
        <v>0.19409516832116402</v>
      </c>
      <c r="AG220" s="240">
        <f>IFERROR(_xlfn.XLOOKUP($D220,'Modelling New'!$D:$D,'Modelling New'!AE:AE),"")</f>
        <v>0.99750000000000005</v>
      </c>
      <c r="AH220" s="240">
        <f>IFERROR(_xlfn.XLOOKUP($D220,'Modelling New'!$D:$D,'Modelling New'!AF:AF),"")</f>
        <v>0.99750000000000005</v>
      </c>
      <c r="AI220" s="186"/>
      <c r="AJ220" s="186"/>
      <c r="AK220" s="225"/>
      <c r="AL220" s="224">
        <f>IFERROR(Table13[[#This Row],[RA (%)]]*9270*58,"")</f>
        <v>0</v>
      </c>
      <c r="AM220" s="225"/>
      <c r="AN220" s="238"/>
      <c r="AO220" s="240"/>
      <c r="AP220" s="240"/>
      <c r="AQ220" s="240"/>
      <c r="AR220" s="242">
        <f>IFERROR(_xlfn.XLOOKUP($D220,'Modelling New'!$D:$D,'Modelling New'!$N:$N),"")</f>
        <v>335.09100000000001</v>
      </c>
    </row>
    <row r="221" spans="1:44">
      <c r="A221" s="233">
        <f t="shared" si="16"/>
        <v>45964</v>
      </c>
      <c r="B221" s="228">
        <f>YEAR(Table13[[#This Row],[Date]])+IF(MONTH(Table13[[#This Row],[Date]])&gt;=4,1,0)</f>
        <v>2026</v>
      </c>
      <c r="C221" s="186">
        <f>YEAR(Table13[[#This Row],[Date]])</f>
        <v>2025</v>
      </c>
      <c r="D221" s="234">
        <f>Table13[[#This Row],[Date]]-DAY(Table13[[#This Row],[Date]])+1</f>
        <v>45962</v>
      </c>
      <c r="E221" s="186">
        <f t="shared" si="17"/>
        <v>30</v>
      </c>
      <c r="F221" s="235" t="str">
        <f>IFERROR(_xlfn.XLOOKUP($A221,'Raw_Data'!$B:$B,'Raw_Data'!$IX:$IX),"")</f>
        <v/>
      </c>
      <c r="G221" s="236" t="str">
        <f>IFERROR(_xlfn.XLOOKUP($A221,'Raw_Data'!$B:$B,'Raw_Data'!IY:IY),"")</f>
        <v/>
      </c>
      <c r="H221" s="236" t="str">
        <f>IFERROR(_xlfn.XLOOKUP($A221,'Raw_Data'!$B:$B,'Raw_Data'!IZ:IZ),"")</f>
        <v/>
      </c>
      <c r="I221" s="236" t="str">
        <f>IFERROR(_xlfn.XLOOKUP($A221,'Raw_Data'!$B:$B,'Raw_Data'!JA:JA),"")</f>
        <v/>
      </c>
      <c r="J221" s="236" t="str">
        <f>IFERROR(_xlfn.XLOOKUP($A221,'Raw_Data'!$B:$B,'Raw_Data'!JB:JB),"")</f>
        <v/>
      </c>
      <c r="K221" s="236" t="str">
        <f>IFERROR(_xlfn.XLOOKUP($A221,'Raw_Data'!$B:$B,'Raw_Data'!JE:JE),"")</f>
        <v/>
      </c>
      <c r="L221" s="236" t="str">
        <f>IFERROR(_xlfn.XLOOKUP($A221,'Raw_Data'!$B:$B,'Raw_Data'!JF:JF),"")</f>
        <v/>
      </c>
      <c r="M221" s="236" t="str">
        <f>IFERROR(_xlfn.XLOOKUP($A221,'Raw_Data'!$B:$B,'Raw_Data'!JG:JG),"")</f>
        <v/>
      </c>
      <c r="N221" s="236" t="str">
        <f>IFERROR(_xlfn.XLOOKUP($A221,'Raw_Data'!$B:$B,'Raw_Data'!JH:JH),"")</f>
        <v/>
      </c>
      <c r="O221" s="237" t="str">
        <f>IFERROR(1-SUMIF(PA!$B:$B,$A221,PA!$AL:$AL)/($AA221+SUMIF(PA!$B:$B,$A221,PA!$AL:$AL)),"")</f>
        <v/>
      </c>
      <c r="P221" s="238"/>
      <c r="Q221" s="239"/>
      <c r="R221" s="240" t="str">
        <f>IFERROR(1-SUMIF(GA!$C:$C,$A221,GA!$X:$X)/($AA221+SUMIF(GA!$C:$C,$A221,GA!$X:$X)),"")</f>
        <v/>
      </c>
      <c r="S221" s="186"/>
      <c r="T221" s="239"/>
      <c r="U221" s="237" t="str">
        <f t="shared" si="14"/>
        <v/>
      </c>
      <c r="V221" s="237" t="str">
        <f>IFERROR(_xlfn.XLOOKUP($A221,'Raw_Data'!$B:$B,'Raw_Data'!$JL:$JL),"")</f>
        <v/>
      </c>
      <c r="W221" s="240" t="str">
        <f t="shared" si="15"/>
        <v/>
      </c>
      <c r="X221" s="228" t="str">
        <f>IFERROR(_xlfn.XLOOKUP($A221,'Raw_Data'!$B:$B,'Raw_Data'!$JI:$JI),"")</f>
        <v/>
      </c>
      <c r="Y221" s="228" t="str">
        <f>IFERROR(_xlfn.XLOOKUP($A221,'Raw_Data'!$B:$B,'Raw_Data'!IT:IT),"")</f>
        <v/>
      </c>
      <c r="Z221" s="228" t="str">
        <f>IFERROR(_xlfn.XLOOKUP($A221,'Raw_Data'!$B:$B,'Raw_Data'!IU:IU),"")</f>
        <v/>
      </c>
      <c r="AA221" s="228" t="str">
        <f>IFERROR(_xlfn.XLOOKUP($A221,'Raw_Data'!$B:$B,'Raw_Data'!IW:IW),"")</f>
        <v/>
      </c>
      <c r="AB221" s="228" t="str">
        <f>IFERROR(_xlfn.XLOOKUP($A221,'Raw_Data'!$B:$B,'Raw_Data'!I:I)/1000,"")</f>
        <v/>
      </c>
      <c r="AC221" s="241">
        <f>IFERROR(_xlfn.XLOOKUP($D221,'Modelling New'!$D:$D,'Modelling New'!$P:$P),"")</f>
        <v>5.4300000000000006</v>
      </c>
      <c r="AD221" s="228">
        <f>IFERROR(_xlfn.XLOOKUP($D221,'Modelling New'!$D:$D,'Modelling New'!$T:$T)*1000,"")</f>
        <v>1560949.0571497723</v>
      </c>
      <c r="AE221" s="240">
        <f>IFERROR(_xlfn.XLOOKUP($D221,'Modelling New'!$D:$D,'Modelling New'!$O:$O),"")</f>
        <v>0.85787919699962001</v>
      </c>
      <c r="AF221" s="240">
        <f>IFERROR(_xlfn.XLOOKUP($D221,'Modelling New'!$D:$D,'Modelling New'!$W:$W),"")</f>
        <v>0.19409516832116402</v>
      </c>
      <c r="AG221" s="240">
        <f>IFERROR(_xlfn.XLOOKUP($D221,'Modelling New'!$D:$D,'Modelling New'!AE:AE),"")</f>
        <v>0.99750000000000005</v>
      </c>
      <c r="AH221" s="240">
        <f>IFERROR(_xlfn.XLOOKUP($D221,'Modelling New'!$D:$D,'Modelling New'!AF:AF),"")</f>
        <v>0.99750000000000005</v>
      </c>
      <c r="AI221" s="186"/>
      <c r="AJ221" s="186"/>
      <c r="AK221" s="225"/>
      <c r="AL221" s="224">
        <f>IFERROR(Table13[[#This Row],[RA (%)]]*9270*58,"")</f>
        <v>0</v>
      </c>
      <c r="AM221" s="225"/>
      <c r="AN221" s="238"/>
      <c r="AO221" s="240"/>
      <c r="AP221" s="240"/>
      <c r="AQ221" s="240"/>
      <c r="AR221" s="242">
        <f>IFERROR(_xlfn.XLOOKUP($D221,'Modelling New'!$D:$D,'Modelling New'!$N:$N),"")</f>
        <v>335.09100000000001</v>
      </c>
    </row>
    <row r="222" spans="1:44">
      <c r="A222" s="233">
        <f t="shared" si="16"/>
        <v>45965</v>
      </c>
      <c r="B222" s="228">
        <f>YEAR(Table13[[#This Row],[Date]])+IF(MONTH(Table13[[#This Row],[Date]])&gt;=4,1,0)</f>
        <v>2026</v>
      </c>
      <c r="C222" s="186">
        <f>YEAR(Table13[[#This Row],[Date]])</f>
        <v>2025</v>
      </c>
      <c r="D222" s="234">
        <f>Table13[[#This Row],[Date]]-DAY(Table13[[#This Row],[Date]])+1</f>
        <v>45962</v>
      </c>
      <c r="E222" s="186">
        <f t="shared" si="17"/>
        <v>30</v>
      </c>
      <c r="F222" s="235" t="str">
        <f>IFERROR(_xlfn.XLOOKUP($A222,'Raw_Data'!$B:$B,'Raw_Data'!$IX:$IX),"")</f>
        <v/>
      </c>
      <c r="G222" s="236" t="str">
        <f>IFERROR(_xlfn.XLOOKUP($A222,'Raw_Data'!$B:$B,'Raw_Data'!IY:IY),"")</f>
        <v/>
      </c>
      <c r="H222" s="236" t="str">
        <f>IFERROR(_xlfn.XLOOKUP($A222,'Raw_Data'!$B:$B,'Raw_Data'!IZ:IZ),"")</f>
        <v/>
      </c>
      <c r="I222" s="236" t="str">
        <f>IFERROR(_xlfn.XLOOKUP($A222,'Raw_Data'!$B:$B,'Raw_Data'!JA:JA),"")</f>
        <v/>
      </c>
      <c r="J222" s="236" t="str">
        <f>IFERROR(_xlfn.XLOOKUP($A222,'Raw_Data'!$B:$B,'Raw_Data'!JB:JB),"")</f>
        <v/>
      </c>
      <c r="K222" s="236" t="str">
        <f>IFERROR(_xlfn.XLOOKUP($A222,'Raw_Data'!$B:$B,'Raw_Data'!JE:JE),"")</f>
        <v/>
      </c>
      <c r="L222" s="236" t="str">
        <f>IFERROR(_xlfn.XLOOKUP($A222,'Raw_Data'!$B:$B,'Raw_Data'!JF:JF),"")</f>
        <v/>
      </c>
      <c r="M222" s="236" t="str">
        <f>IFERROR(_xlfn.XLOOKUP($A222,'Raw_Data'!$B:$B,'Raw_Data'!JG:JG),"")</f>
        <v/>
      </c>
      <c r="N222" s="236" t="str">
        <f>IFERROR(_xlfn.XLOOKUP($A222,'Raw_Data'!$B:$B,'Raw_Data'!JH:JH),"")</f>
        <v/>
      </c>
      <c r="O222" s="237" t="str">
        <f>IFERROR(1-SUMIF(PA!$B:$B,$A222,PA!$AL:$AL)/($AA222+SUMIF(PA!$B:$B,$A222,PA!$AL:$AL)),"")</f>
        <v/>
      </c>
      <c r="P222" s="238"/>
      <c r="Q222" s="239"/>
      <c r="R222" s="240" t="str">
        <f>IFERROR(1-SUMIF(GA!$C:$C,$A222,GA!$X:$X)/($AA222+SUMIF(GA!$C:$C,$A222,GA!$X:$X)),"")</f>
        <v/>
      </c>
      <c r="S222" s="186"/>
      <c r="T222" s="239"/>
      <c r="U222" s="237" t="str">
        <f t="shared" si="14"/>
        <v/>
      </c>
      <c r="V222" s="237" t="str">
        <f>IFERROR(_xlfn.XLOOKUP($A222,'Raw_Data'!$B:$B,'Raw_Data'!$JL:$JL),"")</f>
        <v/>
      </c>
      <c r="W222" s="240" t="str">
        <f t="shared" si="15"/>
        <v/>
      </c>
      <c r="X222" s="228" t="str">
        <f>IFERROR(_xlfn.XLOOKUP($A222,'Raw_Data'!$B:$B,'Raw_Data'!$JI:$JI),"")</f>
        <v/>
      </c>
      <c r="Y222" s="228" t="str">
        <f>IFERROR(_xlfn.XLOOKUP($A222,'Raw_Data'!$B:$B,'Raw_Data'!IT:IT),"")</f>
        <v/>
      </c>
      <c r="Z222" s="228" t="str">
        <f>IFERROR(_xlfn.XLOOKUP($A222,'Raw_Data'!$B:$B,'Raw_Data'!IU:IU),"")</f>
        <v/>
      </c>
      <c r="AA222" s="228" t="str">
        <f>IFERROR(_xlfn.XLOOKUP($A222,'Raw_Data'!$B:$B,'Raw_Data'!IW:IW),"")</f>
        <v/>
      </c>
      <c r="AB222" s="228" t="str">
        <f>IFERROR(_xlfn.XLOOKUP($A222,'Raw_Data'!$B:$B,'Raw_Data'!I:I)/1000,"")</f>
        <v/>
      </c>
      <c r="AC222" s="241">
        <f>IFERROR(_xlfn.XLOOKUP($D222,'Modelling New'!$D:$D,'Modelling New'!$P:$P),"")</f>
        <v>5.4300000000000006</v>
      </c>
      <c r="AD222" s="228">
        <f>IFERROR(_xlfn.XLOOKUP($D222,'Modelling New'!$D:$D,'Modelling New'!$T:$T)*1000,"")</f>
        <v>1560949.0571497723</v>
      </c>
      <c r="AE222" s="240">
        <f>IFERROR(_xlfn.XLOOKUP($D222,'Modelling New'!$D:$D,'Modelling New'!$O:$O),"")</f>
        <v>0.85787919699962001</v>
      </c>
      <c r="AF222" s="240">
        <f>IFERROR(_xlfn.XLOOKUP($D222,'Modelling New'!$D:$D,'Modelling New'!$W:$W),"")</f>
        <v>0.19409516832116402</v>
      </c>
      <c r="AG222" s="240">
        <f>IFERROR(_xlfn.XLOOKUP($D222,'Modelling New'!$D:$D,'Modelling New'!AE:AE),"")</f>
        <v>0.99750000000000005</v>
      </c>
      <c r="AH222" s="240">
        <f>IFERROR(_xlfn.XLOOKUP($D222,'Modelling New'!$D:$D,'Modelling New'!AF:AF),"")</f>
        <v>0.99750000000000005</v>
      </c>
      <c r="AI222" s="186"/>
      <c r="AJ222" s="186"/>
      <c r="AK222" s="225"/>
      <c r="AL222" s="224">
        <f>IFERROR(Table13[[#This Row],[RA (%)]]*9270*58,"")</f>
        <v>0</v>
      </c>
      <c r="AM222" s="225"/>
      <c r="AN222" s="238"/>
      <c r="AO222" s="240"/>
      <c r="AP222" s="240"/>
      <c r="AQ222" s="240"/>
      <c r="AR222" s="242">
        <f>IFERROR(_xlfn.XLOOKUP($D222,'Modelling New'!$D:$D,'Modelling New'!$N:$N),"")</f>
        <v>335.09100000000001</v>
      </c>
    </row>
    <row r="223" spans="1:44">
      <c r="A223" s="233">
        <f t="shared" si="16"/>
        <v>45966</v>
      </c>
      <c r="B223" s="228">
        <f>YEAR(Table13[[#This Row],[Date]])+IF(MONTH(Table13[[#This Row],[Date]])&gt;=4,1,0)</f>
        <v>2026</v>
      </c>
      <c r="C223" s="186">
        <f>YEAR(Table13[[#This Row],[Date]])</f>
        <v>2025</v>
      </c>
      <c r="D223" s="234">
        <f>Table13[[#This Row],[Date]]-DAY(Table13[[#This Row],[Date]])+1</f>
        <v>45962</v>
      </c>
      <c r="E223" s="186">
        <f t="shared" si="17"/>
        <v>30</v>
      </c>
      <c r="F223" s="235" t="str">
        <f>IFERROR(_xlfn.XLOOKUP($A223,'Raw_Data'!$B:$B,'Raw_Data'!$IX:$IX),"")</f>
        <v/>
      </c>
      <c r="G223" s="236" t="str">
        <f>IFERROR(_xlfn.XLOOKUP($A223,'Raw_Data'!$B:$B,'Raw_Data'!IY:IY),"")</f>
        <v/>
      </c>
      <c r="H223" s="236" t="str">
        <f>IFERROR(_xlfn.XLOOKUP($A223,'Raw_Data'!$B:$B,'Raw_Data'!IZ:IZ),"")</f>
        <v/>
      </c>
      <c r="I223" s="236" t="str">
        <f>IFERROR(_xlfn.XLOOKUP($A223,'Raw_Data'!$B:$B,'Raw_Data'!JA:JA),"")</f>
        <v/>
      </c>
      <c r="J223" s="236" t="str">
        <f>IFERROR(_xlfn.XLOOKUP($A223,'Raw_Data'!$B:$B,'Raw_Data'!JB:JB),"")</f>
        <v/>
      </c>
      <c r="K223" s="236" t="str">
        <f>IFERROR(_xlfn.XLOOKUP($A223,'Raw_Data'!$B:$B,'Raw_Data'!JE:JE),"")</f>
        <v/>
      </c>
      <c r="L223" s="236" t="str">
        <f>IFERROR(_xlfn.XLOOKUP($A223,'Raw_Data'!$B:$B,'Raw_Data'!JF:JF),"")</f>
        <v/>
      </c>
      <c r="M223" s="236" t="str">
        <f>IFERROR(_xlfn.XLOOKUP($A223,'Raw_Data'!$B:$B,'Raw_Data'!JG:JG),"")</f>
        <v/>
      </c>
      <c r="N223" s="236" t="str">
        <f>IFERROR(_xlfn.XLOOKUP($A223,'Raw_Data'!$B:$B,'Raw_Data'!JH:JH),"")</f>
        <v/>
      </c>
      <c r="O223" s="237" t="str">
        <f>IFERROR(1-SUMIF(PA!$B:$B,$A223,PA!$AL:$AL)/($AA223+SUMIF(PA!$B:$B,$A223,PA!$AL:$AL)),"")</f>
        <v/>
      </c>
      <c r="P223" s="238"/>
      <c r="Q223" s="239"/>
      <c r="R223" s="240" t="str">
        <f>IFERROR(1-SUMIF(GA!$C:$C,$A223,GA!$X:$X)/($AA223+SUMIF(GA!$C:$C,$A223,GA!$X:$X)),"")</f>
        <v/>
      </c>
      <c r="S223" s="186"/>
      <c r="T223" s="239"/>
      <c r="U223" s="237" t="str">
        <f t="shared" si="14"/>
        <v/>
      </c>
      <c r="V223" s="237" t="str">
        <f>IFERROR(_xlfn.XLOOKUP($A223,'Raw_Data'!$B:$B,'Raw_Data'!$JL:$JL),"")</f>
        <v/>
      </c>
      <c r="W223" s="240" t="str">
        <f t="shared" si="15"/>
        <v/>
      </c>
      <c r="X223" s="228" t="str">
        <f>IFERROR(_xlfn.XLOOKUP($A223,'Raw_Data'!$B:$B,'Raw_Data'!$JI:$JI),"")</f>
        <v/>
      </c>
      <c r="Y223" s="228" t="str">
        <f>IFERROR(_xlfn.XLOOKUP($A223,'Raw_Data'!$B:$B,'Raw_Data'!IT:IT),"")</f>
        <v/>
      </c>
      <c r="Z223" s="228" t="str">
        <f>IFERROR(_xlfn.XLOOKUP($A223,'Raw_Data'!$B:$B,'Raw_Data'!IU:IU),"")</f>
        <v/>
      </c>
      <c r="AA223" s="228" t="str">
        <f>IFERROR(_xlfn.XLOOKUP($A223,'Raw_Data'!$B:$B,'Raw_Data'!IW:IW),"")</f>
        <v/>
      </c>
      <c r="AB223" s="228" t="str">
        <f>IFERROR(_xlfn.XLOOKUP($A223,'Raw_Data'!$B:$B,'Raw_Data'!I:I)/1000,"")</f>
        <v/>
      </c>
      <c r="AC223" s="241">
        <f>IFERROR(_xlfn.XLOOKUP($D223,'Modelling New'!$D:$D,'Modelling New'!$P:$P),"")</f>
        <v>5.4300000000000006</v>
      </c>
      <c r="AD223" s="228">
        <f>IFERROR(_xlfn.XLOOKUP($D223,'Modelling New'!$D:$D,'Modelling New'!$T:$T)*1000,"")</f>
        <v>1560949.0571497723</v>
      </c>
      <c r="AE223" s="240">
        <f>IFERROR(_xlfn.XLOOKUP($D223,'Modelling New'!$D:$D,'Modelling New'!$O:$O),"")</f>
        <v>0.85787919699962001</v>
      </c>
      <c r="AF223" s="240">
        <f>IFERROR(_xlfn.XLOOKUP($D223,'Modelling New'!$D:$D,'Modelling New'!$W:$W),"")</f>
        <v>0.19409516832116402</v>
      </c>
      <c r="AG223" s="240">
        <f>IFERROR(_xlfn.XLOOKUP($D223,'Modelling New'!$D:$D,'Modelling New'!AE:AE),"")</f>
        <v>0.99750000000000005</v>
      </c>
      <c r="AH223" s="240">
        <f>IFERROR(_xlfn.XLOOKUP($D223,'Modelling New'!$D:$D,'Modelling New'!AF:AF),"")</f>
        <v>0.99750000000000005</v>
      </c>
      <c r="AI223" s="186"/>
      <c r="AJ223" s="186"/>
      <c r="AK223" s="225"/>
      <c r="AL223" s="224">
        <f>IFERROR(Table13[[#This Row],[RA (%)]]*9270*58,"")</f>
        <v>0</v>
      </c>
      <c r="AM223" s="225"/>
      <c r="AN223" s="238"/>
      <c r="AO223" s="240"/>
      <c r="AP223" s="240"/>
      <c r="AQ223" s="240"/>
      <c r="AR223" s="242">
        <f>IFERROR(_xlfn.XLOOKUP($D223,'Modelling New'!$D:$D,'Modelling New'!$N:$N),"")</f>
        <v>335.09100000000001</v>
      </c>
    </row>
    <row r="224" spans="1:44">
      <c r="A224" s="233">
        <f t="shared" si="16"/>
        <v>45967</v>
      </c>
      <c r="B224" s="228">
        <f>YEAR(Table13[[#This Row],[Date]])+IF(MONTH(Table13[[#This Row],[Date]])&gt;=4,1,0)</f>
        <v>2026</v>
      </c>
      <c r="C224" s="186">
        <f>YEAR(Table13[[#This Row],[Date]])</f>
        <v>2025</v>
      </c>
      <c r="D224" s="234">
        <f>Table13[[#This Row],[Date]]-DAY(Table13[[#This Row],[Date]])+1</f>
        <v>45962</v>
      </c>
      <c r="E224" s="186">
        <f t="shared" si="17"/>
        <v>30</v>
      </c>
      <c r="F224" s="235" t="str">
        <f>IFERROR(_xlfn.XLOOKUP($A224,'Raw_Data'!$B:$B,'Raw_Data'!$IX:$IX),"")</f>
        <v/>
      </c>
      <c r="G224" s="236" t="str">
        <f>IFERROR(_xlfn.XLOOKUP($A224,'Raw_Data'!$B:$B,'Raw_Data'!IY:IY),"")</f>
        <v/>
      </c>
      <c r="H224" s="236" t="str">
        <f>IFERROR(_xlfn.XLOOKUP($A224,'Raw_Data'!$B:$B,'Raw_Data'!IZ:IZ),"")</f>
        <v/>
      </c>
      <c r="I224" s="236" t="str">
        <f>IFERROR(_xlfn.XLOOKUP($A224,'Raw_Data'!$B:$B,'Raw_Data'!JA:JA),"")</f>
        <v/>
      </c>
      <c r="J224" s="236" t="str">
        <f>IFERROR(_xlfn.XLOOKUP($A224,'Raw_Data'!$B:$B,'Raw_Data'!JB:JB),"")</f>
        <v/>
      </c>
      <c r="K224" s="236" t="str">
        <f>IFERROR(_xlfn.XLOOKUP($A224,'Raw_Data'!$B:$B,'Raw_Data'!JE:JE),"")</f>
        <v/>
      </c>
      <c r="L224" s="236" t="str">
        <f>IFERROR(_xlfn.XLOOKUP($A224,'Raw_Data'!$B:$B,'Raw_Data'!JF:JF),"")</f>
        <v/>
      </c>
      <c r="M224" s="236" t="str">
        <f>IFERROR(_xlfn.XLOOKUP($A224,'Raw_Data'!$B:$B,'Raw_Data'!JG:JG),"")</f>
        <v/>
      </c>
      <c r="N224" s="236" t="str">
        <f>IFERROR(_xlfn.XLOOKUP($A224,'Raw_Data'!$B:$B,'Raw_Data'!JH:JH),"")</f>
        <v/>
      </c>
      <c r="O224" s="237" t="str">
        <f>IFERROR(1-SUMIF(PA!$B:$B,$A224,PA!$AL:$AL)/($AA224+SUMIF(PA!$B:$B,$A224,PA!$AL:$AL)),"")</f>
        <v/>
      </c>
      <c r="P224" s="238"/>
      <c r="Q224" s="239"/>
      <c r="R224" s="240" t="str">
        <f>IFERROR(1-SUMIF(GA!$C:$C,$A224,GA!$X:$X)/($AA224+SUMIF(GA!$C:$C,$A224,GA!$X:$X)),"")</f>
        <v/>
      </c>
      <c r="S224" s="186"/>
      <c r="T224" s="239"/>
      <c r="U224" s="237" t="str">
        <f t="shared" si="14"/>
        <v/>
      </c>
      <c r="V224" s="237" t="str">
        <f>IFERROR(_xlfn.XLOOKUP($A224,'Raw_Data'!$B:$B,'Raw_Data'!$JL:$JL),"")</f>
        <v/>
      </c>
      <c r="W224" s="240" t="str">
        <f t="shared" si="15"/>
        <v/>
      </c>
      <c r="X224" s="228" t="str">
        <f>IFERROR(_xlfn.XLOOKUP($A224,'Raw_Data'!$B:$B,'Raw_Data'!$JI:$JI),"")</f>
        <v/>
      </c>
      <c r="Y224" s="228" t="str">
        <f>IFERROR(_xlfn.XLOOKUP($A224,'Raw_Data'!$B:$B,'Raw_Data'!IT:IT),"")</f>
        <v/>
      </c>
      <c r="Z224" s="228" t="str">
        <f>IFERROR(_xlfn.XLOOKUP($A224,'Raw_Data'!$B:$B,'Raw_Data'!IU:IU),"")</f>
        <v/>
      </c>
      <c r="AA224" s="228" t="str">
        <f>IFERROR(_xlfn.XLOOKUP($A224,'Raw_Data'!$B:$B,'Raw_Data'!IW:IW),"")</f>
        <v/>
      </c>
      <c r="AB224" s="228" t="str">
        <f>IFERROR(_xlfn.XLOOKUP($A224,'Raw_Data'!$B:$B,'Raw_Data'!I:I)/1000,"")</f>
        <v/>
      </c>
      <c r="AC224" s="241">
        <f>IFERROR(_xlfn.XLOOKUP($D224,'Modelling New'!$D:$D,'Modelling New'!$P:$P),"")</f>
        <v>5.4300000000000006</v>
      </c>
      <c r="AD224" s="228">
        <f>IFERROR(_xlfn.XLOOKUP($D224,'Modelling New'!$D:$D,'Modelling New'!$T:$T)*1000,"")</f>
        <v>1560949.0571497723</v>
      </c>
      <c r="AE224" s="240">
        <f>IFERROR(_xlfn.XLOOKUP($D224,'Modelling New'!$D:$D,'Modelling New'!$O:$O),"")</f>
        <v>0.85787919699962001</v>
      </c>
      <c r="AF224" s="240">
        <f>IFERROR(_xlfn.XLOOKUP($D224,'Modelling New'!$D:$D,'Modelling New'!$W:$W),"")</f>
        <v>0.19409516832116402</v>
      </c>
      <c r="AG224" s="240">
        <f>IFERROR(_xlfn.XLOOKUP($D224,'Modelling New'!$D:$D,'Modelling New'!AE:AE),"")</f>
        <v>0.99750000000000005</v>
      </c>
      <c r="AH224" s="240">
        <f>IFERROR(_xlfn.XLOOKUP($D224,'Modelling New'!$D:$D,'Modelling New'!AF:AF),"")</f>
        <v>0.99750000000000005</v>
      </c>
      <c r="AI224" s="186"/>
      <c r="AJ224" s="186"/>
      <c r="AK224" s="225"/>
      <c r="AL224" s="224">
        <f>IFERROR(Table13[[#This Row],[RA (%)]]*9270*58,"")</f>
        <v>0</v>
      </c>
      <c r="AM224" s="225"/>
      <c r="AN224" s="238"/>
      <c r="AO224" s="240"/>
      <c r="AP224" s="240"/>
      <c r="AQ224" s="240"/>
      <c r="AR224" s="242">
        <f>IFERROR(_xlfn.XLOOKUP($D224,'Modelling New'!$D:$D,'Modelling New'!$N:$N),"")</f>
        <v>335.09100000000001</v>
      </c>
    </row>
    <row r="225" spans="1:44">
      <c r="A225" s="233">
        <f t="shared" si="16"/>
        <v>45968</v>
      </c>
      <c r="B225" s="228">
        <f>YEAR(Table13[[#This Row],[Date]])+IF(MONTH(Table13[[#This Row],[Date]])&gt;=4,1,0)</f>
        <v>2026</v>
      </c>
      <c r="C225" s="186">
        <f>YEAR(Table13[[#This Row],[Date]])</f>
        <v>2025</v>
      </c>
      <c r="D225" s="234">
        <f>Table13[[#This Row],[Date]]-DAY(Table13[[#This Row],[Date]])+1</f>
        <v>45962</v>
      </c>
      <c r="E225" s="186">
        <f t="shared" si="17"/>
        <v>30</v>
      </c>
      <c r="F225" s="235" t="str">
        <f>IFERROR(_xlfn.XLOOKUP($A225,'Raw_Data'!$B:$B,'Raw_Data'!$IX:$IX),"")</f>
        <v/>
      </c>
      <c r="G225" s="236" t="str">
        <f>IFERROR(_xlfn.XLOOKUP($A225,'Raw_Data'!$B:$B,'Raw_Data'!IY:IY),"")</f>
        <v/>
      </c>
      <c r="H225" s="236" t="str">
        <f>IFERROR(_xlfn.XLOOKUP($A225,'Raw_Data'!$B:$B,'Raw_Data'!IZ:IZ),"")</f>
        <v/>
      </c>
      <c r="I225" s="236" t="str">
        <f>IFERROR(_xlfn.XLOOKUP($A225,'Raw_Data'!$B:$B,'Raw_Data'!JA:JA),"")</f>
        <v/>
      </c>
      <c r="J225" s="236" t="str">
        <f>IFERROR(_xlfn.XLOOKUP($A225,'Raw_Data'!$B:$B,'Raw_Data'!JB:JB),"")</f>
        <v/>
      </c>
      <c r="K225" s="236" t="str">
        <f>IFERROR(_xlfn.XLOOKUP($A225,'Raw_Data'!$B:$B,'Raw_Data'!JE:JE),"")</f>
        <v/>
      </c>
      <c r="L225" s="236" t="str">
        <f>IFERROR(_xlfn.XLOOKUP($A225,'Raw_Data'!$B:$B,'Raw_Data'!JF:JF),"")</f>
        <v/>
      </c>
      <c r="M225" s="236" t="str">
        <f>IFERROR(_xlfn.XLOOKUP($A225,'Raw_Data'!$B:$B,'Raw_Data'!JG:JG),"")</f>
        <v/>
      </c>
      <c r="N225" s="236" t="str">
        <f>IFERROR(_xlfn.XLOOKUP($A225,'Raw_Data'!$B:$B,'Raw_Data'!JH:JH),"")</f>
        <v/>
      </c>
      <c r="O225" s="237" t="str">
        <f>IFERROR(1-SUMIF(PA!$B:$B,$A225,PA!$AL:$AL)/($AA225+SUMIF(PA!$B:$B,$A225,PA!$AL:$AL)),"")</f>
        <v/>
      </c>
      <c r="P225" s="238"/>
      <c r="Q225" s="239"/>
      <c r="R225" s="240" t="str">
        <f>IFERROR(1-SUMIF(GA!$C:$C,$A225,GA!$X:$X)/($AA225+SUMIF(GA!$C:$C,$A225,GA!$X:$X)),"")</f>
        <v/>
      </c>
      <c r="S225" s="186"/>
      <c r="T225" s="239"/>
      <c r="U225" s="237" t="str">
        <f t="shared" si="14"/>
        <v/>
      </c>
      <c r="V225" s="237" t="str">
        <f>IFERROR(_xlfn.XLOOKUP($A225,'Raw_Data'!$B:$B,'Raw_Data'!$JL:$JL),"")</f>
        <v/>
      </c>
      <c r="W225" s="240" t="str">
        <f t="shared" si="15"/>
        <v/>
      </c>
      <c r="X225" s="228" t="str">
        <f>IFERROR(_xlfn.XLOOKUP($A225,'Raw_Data'!$B:$B,'Raw_Data'!$JI:$JI),"")</f>
        <v/>
      </c>
      <c r="Y225" s="228" t="str">
        <f>IFERROR(_xlfn.XLOOKUP($A225,'Raw_Data'!$B:$B,'Raw_Data'!IT:IT),"")</f>
        <v/>
      </c>
      <c r="Z225" s="228" t="str">
        <f>IFERROR(_xlfn.XLOOKUP($A225,'Raw_Data'!$B:$B,'Raw_Data'!IU:IU),"")</f>
        <v/>
      </c>
      <c r="AA225" s="228" t="str">
        <f>IFERROR(_xlfn.XLOOKUP($A225,'Raw_Data'!$B:$B,'Raw_Data'!IW:IW),"")</f>
        <v/>
      </c>
      <c r="AB225" s="228" t="str">
        <f>IFERROR(_xlfn.XLOOKUP($A225,'Raw_Data'!$B:$B,'Raw_Data'!I:I)/1000,"")</f>
        <v/>
      </c>
      <c r="AC225" s="241">
        <f>IFERROR(_xlfn.XLOOKUP($D225,'Modelling New'!$D:$D,'Modelling New'!$P:$P),"")</f>
        <v>5.4300000000000006</v>
      </c>
      <c r="AD225" s="228">
        <f>IFERROR(_xlfn.XLOOKUP($D225,'Modelling New'!$D:$D,'Modelling New'!$T:$T)*1000,"")</f>
        <v>1560949.0571497723</v>
      </c>
      <c r="AE225" s="240">
        <f>IFERROR(_xlfn.XLOOKUP($D225,'Modelling New'!$D:$D,'Modelling New'!$O:$O),"")</f>
        <v>0.85787919699962001</v>
      </c>
      <c r="AF225" s="240">
        <f>IFERROR(_xlfn.XLOOKUP($D225,'Modelling New'!$D:$D,'Modelling New'!$W:$W),"")</f>
        <v>0.19409516832116402</v>
      </c>
      <c r="AG225" s="240">
        <f>IFERROR(_xlfn.XLOOKUP($D225,'Modelling New'!$D:$D,'Modelling New'!AE:AE),"")</f>
        <v>0.99750000000000005</v>
      </c>
      <c r="AH225" s="240">
        <f>IFERROR(_xlfn.XLOOKUP($D225,'Modelling New'!$D:$D,'Modelling New'!AF:AF),"")</f>
        <v>0.99750000000000005</v>
      </c>
      <c r="AI225" s="186"/>
      <c r="AJ225" s="186"/>
      <c r="AK225" s="225"/>
      <c r="AL225" s="224">
        <f>IFERROR(Table13[[#This Row],[RA (%)]]*9270*58,"")</f>
        <v>0</v>
      </c>
      <c r="AM225" s="225"/>
      <c r="AN225" s="238"/>
      <c r="AO225" s="240"/>
      <c r="AP225" s="240"/>
      <c r="AQ225" s="240"/>
      <c r="AR225" s="242">
        <f>IFERROR(_xlfn.XLOOKUP($D225,'Modelling New'!$D:$D,'Modelling New'!$N:$N),"")</f>
        <v>335.09100000000001</v>
      </c>
    </row>
    <row r="226" spans="1:44">
      <c r="A226" s="233">
        <f t="shared" si="16"/>
        <v>45969</v>
      </c>
      <c r="B226" s="228">
        <f>YEAR(Table13[[#This Row],[Date]])+IF(MONTH(Table13[[#This Row],[Date]])&gt;=4,1,0)</f>
        <v>2026</v>
      </c>
      <c r="C226" s="186">
        <f>YEAR(Table13[[#This Row],[Date]])</f>
        <v>2025</v>
      </c>
      <c r="D226" s="234">
        <f>Table13[[#This Row],[Date]]-DAY(Table13[[#This Row],[Date]])+1</f>
        <v>45962</v>
      </c>
      <c r="E226" s="186">
        <f t="shared" si="17"/>
        <v>30</v>
      </c>
      <c r="F226" s="235" t="str">
        <f>IFERROR(_xlfn.XLOOKUP($A226,'Raw_Data'!$B:$B,'Raw_Data'!$IX:$IX),"")</f>
        <v/>
      </c>
      <c r="G226" s="236" t="str">
        <f>IFERROR(_xlfn.XLOOKUP($A226,'Raw_Data'!$B:$B,'Raw_Data'!IY:IY),"")</f>
        <v/>
      </c>
      <c r="H226" s="236" t="str">
        <f>IFERROR(_xlfn.XLOOKUP($A226,'Raw_Data'!$B:$B,'Raw_Data'!IZ:IZ),"")</f>
        <v/>
      </c>
      <c r="I226" s="236" t="str">
        <f>IFERROR(_xlfn.XLOOKUP($A226,'Raw_Data'!$B:$B,'Raw_Data'!JA:JA),"")</f>
        <v/>
      </c>
      <c r="J226" s="236" t="str">
        <f>IFERROR(_xlfn.XLOOKUP($A226,'Raw_Data'!$B:$B,'Raw_Data'!JB:JB),"")</f>
        <v/>
      </c>
      <c r="K226" s="236" t="str">
        <f>IFERROR(_xlfn.XLOOKUP($A226,'Raw_Data'!$B:$B,'Raw_Data'!JE:JE),"")</f>
        <v/>
      </c>
      <c r="L226" s="236" t="str">
        <f>IFERROR(_xlfn.XLOOKUP($A226,'Raw_Data'!$B:$B,'Raw_Data'!JF:JF),"")</f>
        <v/>
      </c>
      <c r="M226" s="236" t="str">
        <f>IFERROR(_xlfn.XLOOKUP($A226,'Raw_Data'!$B:$B,'Raw_Data'!JG:JG),"")</f>
        <v/>
      </c>
      <c r="N226" s="236" t="str">
        <f>IFERROR(_xlfn.XLOOKUP($A226,'Raw_Data'!$B:$B,'Raw_Data'!JH:JH),"")</f>
        <v/>
      </c>
      <c r="O226" s="237" t="str">
        <f>IFERROR(1-SUMIF(PA!$B:$B,$A226,PA!$AL:$AL)/($AA226+SUMIF(PA!$B:$B,$A226,PA!$AL:$AL)),"")</f>
        <v/>
      </c>
      <c r="P226" s="238"/>
      <c r="Q226" s="239"/>
      <c r="R226" s="240" t="str">
        <f>IFERROR(1-SUMIF(GA!$C:$C,$A226,GA!$X:$X)/($AA226+SUMIF(GA!$C:$C,$A226,GA!$X:$X)),"")</f>
        <v/>
      </c>
      <c r="S226" s="186"/>
      <c r="T226" s="239"/>
      <c r="U226" s="237" t="str">
        <f t="shared" si="14"/>
        <v/>
      </c>
      <c r="V226" s="237" t="str">
        <f>IFERROR(_xlfn.XLOOKUP($A226,'Raw_Data'!$B:$B,'Raw_Data'!$JL:$JL),"")</f>
        <v/>
      </c>
      <c r="W226" s="240" t="str">
        <f t="shared" si="15"/>
        <v/>
      </c>
      <c r="X226" s="228" t="str">
        <f>IFERROR(_xlfn.XLOOKUP($A226,'Raw_Data'!$B:$B,'Raw_Data'!$JI:$JI),"")</f>
        <v/>
      </c>
      <c r="Y226" s="228" t="str">
        <f>IFERROR(_xlfn.XLOOKUP($A226,'Raw_Data'!$B:$B,'Raw_Data'!IT:IT),"")</f>
        <v/>
      </c>
      <c r="Z226" s="228" t="str">
        <f>IFERROR(_xlfn.XLOOKUP($A226,'Raw_Data'!$B:$B,'Raw_Data'!IU:IU),"")</f>
        <v/>
      </c>
      <c r="AA226" s="228" t="str">
        <f>IFERROR(_xlfn.XLOOKUP($A226,'Raw_Data'!$B:$B,'Raw_Data'!IW:IW),"")</f>
        <v/>
      </c>
      <c r="AB226" s="228" t="str">
        <f>IFERROR(_xlfn.XLOOKUP($A226,'Raw_Data'!$B:$B,'Raw_Data'!I:I)/1000,"")</f>
        <v/>
      </c>
      <c r="AC226" s="241">
        <f>IFERROR(_xlfn.XLOOKUP($D226,'Modelling New'!$D:$D,'Modelling New'!$P:$P),"")</f>
        <v>5.4300000000000006</v>
      </c>
      <c r="AD226" s="228">
        <f>IFERROR(_xlfn.XLOOKUP($D226,'Modelling New'!$D:$D,'Modelling New'!$T:$T)*1000,"")</f>
        <v>1560949.0571497723</v>
      </c>
      <c r="AE226" s="240">
        <f>IFERROR(_xlfn.XLOOKUP($D226,'Modelling New'!$D:$D,'Modelling New'!$O:$O),"")</f>
        <v>0.85787919699962001</v>
      </c>
      <c r="AF226" s="240">
        <f>IFERROR(_xlfn.XLOOKUP($D226,'Modelling New'!$D:$D,'Modelling New'!$W:$W),"")</f>
        <v>0.19409516832116402</v>
      </c>
      <c r="AG226" s="240">
        <f>IFERROR(_xlfn.XLOOKUP($D226,'Modelling New'!$D:$D,'Modelling New'!AE:AE),"")</f>
        <v>0.99750000000000005</v>
      </c>
      <c r="AH226" s="240">
        <f>IFERROR(_xlfn.XLOOKUP($D226,'Modelling New'!$D:$D,'Modelling New'!AF:AF),"")</f>
        <v>0.99750000000000005</v>
      </c>
      <c r="AI226" s="186"/>
      <c r="AJ226" s="186"/>
      <c r="AK226" s="225"/>
      <c r="AL226" s="224">
        <f>IFERROR(Table13[[#This Row],[RA (%)]]*9270*58,"")</f>
        <v>0</v>
      </c>
      <c r="AM226" s="225"/>
      <c r="AN226" s="238"/>
      <c r="AO226" s="240"/>
      <c r="AP226" s="240"/>
      <c r="AQ226" s="240"/>
      <c r="AR226" s="242">
        <f>IFERROR(_xlfn.XLOOKUP($D226,'Modelling New'!$D:$D,'Modelling New'!$N:$N),"")</f>
        <v>335.09100000000001</v>
      </c>
    </row>
    <row r="227" spans="1:44">
      <c r="A227" s="233">
        <f t="shared" si="16"/>
        <v>45970</v>
      </c>
      <c r="B227" s="228">
        <f>YEAR(Table13[[#This Row],[Date]])+IF(MONTH(Table13[[#This Row],[Date]])&gt;=4,1,0)</f>
        <v>2026</v>
      </c>
      <c r="C227" s="186">
        <f>YEAR(Table13[[#This Row],[Date]])</f>
        <v>2025</v>
      </c>
      <c r="D227" s="234">
        <f>Table13[[#This Row],[Date]]-DAY(Table13[[#This Row],[Date]])+1</f>
        <v>45962</v>
      </c>
      <c r="E227" s="186">
        <f t="shared" si="17"/>
        <v>30</v>
      </c>
      <c r="F227" s="235" t="str">
        <f>IFERROR(_xlfn.XLOOKUP($A227,'Raw_Data'!$B:$B,'Raw_Data'!$IX:$IX),"")</f>
        <v/>
      </c>
      <c r="G227" s="236" t="str">
        <f>IFERROR(_xlfn.XLOOKUP($A227,'Raw_Data'!$B:$B,'Raw_Data'!IY:IY),"")</f>
        <v/>
      </c>
      <c r="H227" s="236" t="str">
        <f>IFERROR(_xlfn.XLOOKUP($A227,'Raw_Data'!$B:$B,'Raw_Data'!IZ:IZ),"")</f>
        <v/>
      </c>
      <c r="I227" s="236" t="str">
        <f>IFERROR(_xlfn.XLOOKUP($A227,'Raw_Data'!$B:$B,'Raw_Data'!JA:JA),"")</f>
        <v/>
      </c>
      <c r="J227" s="236" t="str">
        <f>IFERROR(_xlfn.XLOOKUP($A227,'Raw_Data'!$B:$B,'Raw_Data'!JB:JB),"")</f>
        <v/>
      </c>
      <c r="K227" s="236" t="str">
        <f>IFERROR(_xlfn.XLOOKUP($A227,'Raw_Data'!$B:$B,'Raw_Data'!JE:JE),"")</f>
        <v/>
      </c>
      <c r="L227" s="236" t="str">
        <f>IFERROR(_xlfn.XLOOKUP($A227,'Raw_Data'!$B:$B,'Raw_Data'!JF:JF),"")</f>
        <v/>
      </c>
      <c r="M227" s="236" t="str">
        <f>IFERROR(_xlfn.XLOOKUP($A227,'Raw_Data'!$B:$B,'Raw_Data'!JG:JG),"")</f>
        <v/>
      </c>
      <c r="N227" s="236" t="str">
        <f>IFERROR(_xlfn.XLOOKUP($A227,'Raw_Data'!$B:$B,'Raw_Data'!JH:JH),"")</f>
        <v/>
      </c>
      <c r="O227" s="237" t="str">
        <f>IFERROR(1-SUMIF(PA!$B:$B,$A227,PA!$AL:$AL)/($AA227+SUMIF(PA!$B:$B,$A227,PA!$AL:$AL)),"")</f>
        <v/>
      </c>
      <c r="P227" s="238"/>
      <c r="Q227" s="239"/>
      <c r="R227" s="240" t="str">
        <f>IFERROR(1-SUMIF(GA!$C:$C,$A227,GA!$X:$X)/($AA227+SUMIF(GA!$C:$C,$A227,GA!$X:$X)),"")</f>
        <v/>
      </c>
      <c r="S227" s="186"/>
      <c r="T227" s="239"/>
      <c r="U227" s="237" t="str">
        <f t="shared" si="14"/>
        <v/>
      </c>
      <c r="V227" s="237" t="str">
        <f>IFERROR(_xlfn.XLOOKUP($A227,'Raw_Data'!$B:$B,'Raw_Data'!$JL:$JL),"")</f>
        <v/>
      </c>
      <c r="W227" s="240" t="str">
        <f t="shared" si="15"/>
        <v/>
      </c>
      <c r="X227" s="228" t="str">
        <f>IFERROR(_xlfn.XLOOKUP($A227,'Raw_Data'!$B:$B,'Raw_Data'!$JI:$JI),"")</f>
        <v/>
      </c>
      <c r="Y227" s="228" t="str">
        <f>IFERROR(_xlfn.XLOOKUP($A227,'Raw_Data'!$B:$B,'Raw_Data'!IT:IT),"")</f>
        <v/>
      </c>
      <c r="Z227" s="228" t="str">
        <f>IFERROR(_xlfn.XLOOKUP($A227,'Raw_Data'!$B:$B,'Raw_Data'!IU:IU),"")</f>
        <v/>
      </c>
      <c r="AA227" s="228" t="str">
        <f>IFERROR(_xlfn.XLOOKUP($A227,'Raw_Data'!$B:$B,'Raw_Data'!IW:IW),"")</f>
        <v/>
      </c>
      <c r="AB227" s="228" t="str">
        <f>IFERROR(_xlfn.XLOOKUP($A227,'Raw_Data'!$B:$B,'Raw_Data'!I:I)/1000,"")</f>
        <v/>
      </c>
      <c r="AC227" s="241">
        <f>IFERROR(_xlfn.XLOOKUP($D227,'Modelling New'!$D:$D,'Modelling New'!$P:$P),"")</f>
        <v>5.4300000000000006</v>
      </c>
      <c r="AD227" s="228">
        <f>IFERROR(_xlfn.XLOOKUP($D227,'Modelling New'!$D:$D,'Modelling New'!$T:$T)*1000,"")</f>
        <v>1560949.0571497723</v>
      </c>
      <c r="AE227" s="240">
        <f>IFERROR(_xlfn.XLOOKUP($D227,'Modelling New'!$D:$D,'Modelling New'!$O:$O),"")</f>
        <v>0.85787919699962001</v>
      </c>
      <c r="AF227" s="240">
        <f>IFERROR(_xlfn.XLOOKUP($D227,'Modelling New'!$D:$D,'Modelling New'!$W:$W),"")</f>
        <v>0.19409516832116402</v>
      </c>
      <c r="AG227" s="240">
        <f>IFERROR(_xlfn.XLOOKUP($D227,'Modelling New'!$D:$D,'Modelling New'!AE:AE),"")</f>
        <v>0.99750000000000005</v>
      </c>
      <c r="AH227" s="240">
        <f>IFERROR(_xlfn.XLOOKUP($D227,'Modelling New'!$D:$D,'Modelling New'!AF:AF),"")</f>
        <v>0.99750000000000005</v>
      </c>
      <c r="AI227" s="186"/>
      <c r="AJ227" s="186"/>
      <c r="AK227" s="225"/>
      <c r="AL227" s="224">
        <f>IFERROR(Table13[[#This Row],[RA (%)]]*9270*58,"")</f>
        <v>0</v>
      </c>
      <c r="AM227" s="225"/>
      <c r="AN227" s="238"/>
      <c r="AO227" s="240"/>
      <c r="AP227" s="240"/>
      <c r="AQ227" s="240"/>
      <c r="AR227" s="242">
        <f>IFERROR(_xlfn.XLOOKUP($D227,'Modelling New'!$D:$D,'Modelling New'!$N:$N),"")</f>
        <v>335.09100000000001</v>
      </c>
    </row>
    <row r="228" spans="1:44">
      <c r="A228" s="233">
        <f t="shared" si="16"/>
        <v>45971</v>
      </c>
      <c r="B228" s="228">
        <f>YEAR(Table13[[#This Row],[Date]])+IF(MONTH(Table13[[#This Row],[Date]])&gt;=4,1,0)</f>
        <v>2026</v>
      </c>
      <c r="C228" s="186">
        <f>YEAR(Table13[[#This Row],[Date]])</f>
        <v>2025</v>
      </c>
      <c r="D228" s="234">
        <f>Table13[[#This Row],[Date]]-DAY(Table13[[#This Row],[Date]])+1</f>
        <v>45962</v>
      </c>
      <c r="E228" s="186">
        <f t="shared" si="17"/>
        <v>30</v>
      </c>
      <c r="F228" s="235" t="str">
        <f>IFERROR(_xlfn.XLOOKUP($A228,'Raw_Data'!$B:$B,'Raw_Data'!$IX:$IX),"")</f>
        <v/>
      </c>
      <c r="G228" s="236" t="str">
        <f>IFERROR(_xlfn.XLOOKUP($A228,'Raw_Data'!$B:$B,'Raw_Data'!IY:IY),"")</f>
        <v/>
      </c>
      <c r="H228" s="236" t="str">
        <f>IFERROR(_xlfn.XLOOKUP($A228,'Raw_Data'!$B:$B,'Raw_Data'!IZ:IZ),"")</f>
        <v/>
      </c>
      <c r="I228" s="236" t="str">
        <f>IFERROR(_xlfn.XLOOKUP($A228,'Raw_Data'!$B:$B,'Raw_Data'!JA:JA),"")</f>
        <v/>
      </c>
      <c r="J228" s="236" t="str">
        <f>IFERROR(_xlfn.XLOOKUP($A228,'Raw_Data'!$B:$B,'Raw_Data'!JB:JB),"")</f>
        <v/>
      </c>
      <c r="K228" s="236" t="str">
        <f>IFERROR(_xlfn.XLOOKUP($A228,'Raw_Data'!$B:$B,'Raw_Data'!JE:JE),"")</f>
        <v/>
      </c>
      <c r="L228" s="236" t="str">
        <f>IFERROR(_xlfn.XLOOKUP($A228,'Raw_Data'!$B:$B,'Raw_Data'!JF:JF),"")</f>
        <v/>
      </c>
      <c r="M228" s="236" t="str">
        <f>IFERROR(_xlfn.XLOOKUP($A228,'Raw_Data'!$B:$B,'Raw_Data'!JG:JG),"")</f>
        <v/>
      </c>
      <c r="N228" s="236" t="str">
        <f>IFERROR(_xlfn.XLOOKUP($A228,'Raw_Data'!$B:$B,'Raw_Data'!JH:JH),"")</f>
        <v/>
      </c>
      <c r="O228" s="237" t="str">
        <f>IFERROR(1-SUMIF(PA!$B:$B,$A228,PA!$AL:$AL)/($AA228+SUMIF(PA!$B:$B,$A228,PA!$AL:$AL)),"")</f>
        <v/>
      </c>
      <c r="P228" s="238"/>
      <c r="Q228" s="239"/>
      <c r="R228" s="240" t="str">
        <f>IFERROR(1-SUMIF(GA!$C:$C,$A228,GA!$X:$X)/($AA228+SUMIF(GA!$C:$C,$A228,GA!$X:$X)),"")</f>
        <v/>
      </c>
      <c r="S228" s="186"/>
      <c r="T228" s="239"/>
      <c r="U228" s="237" t="str">
        <f t="shared" si="14"/>
        <v/>
      </c>
      <c r="V228" s="237" t="str">
        <f>IFERROR(_xlfn.XLOOKUP($A228,'Raw_Data'!$B:$B,'Raw_Data'!$JL:$JL),"")</f>
        <v/>
      </c>
      <c r="W228" s="240" t="str">
        <f t="shared" si="15"/>
        <v/>
      </c>
      <c r="X228" s="228" t="str">
        <f>IFERROR(_xlfn.XLOOKUP($A228,'Raw_Data'!$B:$B,'Raw_Data'!$JI:$JI),"")</f>
        <v/>
      </c>
      <c r="Y228" s="228" t="str">
        <f>IFERROR(_xlfn.XLOOKUP($A228,'Raw_Data'!$B:$B,'Raw_Data'!IT:IT),"")</f>
        <v/>
      </c>
      <c r="Z228" s="228" t="str">
        <f>IFERROR(_xlfn.XLOOKUP($A228,'Raw_Data'!$B:$B,'Raw_Data'!IU:IU),"")</f>
        <v/>
      </c>
      <c r="AA228" s="228" t="str">
        <f>IFERROR(_xlfn.XLOOKUP($A228,'Raw_Data'!$B:$B,'Raw_Data'!IW:IW),"")</f>
        <v/>
      </c>
      <c r="AB228" s="228" t="str">
        <f>IFERROR(_xlfn.XLOOKUP($A228,'Raw_Data'!$B:$B,'Raw_Data'!I:I)/1000,"")</f>
        <v/>
      </c>
      <c r="AC228" s="241">
        <f>IFERROR(_xlfn.XLOOKUP($D228,'Modelling New'!$D:$D,'Modelling New'!$P:$P),"")</f>
        <v>5.4300000000000006</v>
      </c>
      <c r="AD228" s="228">
        <f>IFERROR(_xlfn.XLOOKUP($D228,'Modelling New'!$D:$D,'Modelling New'!$T:$T)*1000,"")</f>
        <v>1560949.0571497723</v>
      </c>
      <c r="AE228" s="240">
        <f>IFERROR(_xlfn.XLOOKUP($D228,'Modelling New'!$D:$D,'Modelling New'!$O:$O),"")</f>
        <v>0.85787919699962001</v>
      </c>
      <c r="AF228" s="240">
        <f>IFERROR(_xlfn.XLOOKUP($D228,'Modelling New'!$D:$D,'Modelling New'!$W:$W),"")</f>
        <v>0.19409516832116402</v>
      </c>
      <c r="AG228" s="240">
        <f>IFERROR(_xlfn.XLOOKUP($D228,'Modelling New'!$D:$D,'Modelling New'!AE:AE),"")</f>
        <v>0.99750000000000005</v>
      </c>
      <c r="AH228" s="240">
        <f>IFERROR(_xlfn.XLOOKUP($D228,'Modelling New'!$D:$D,'Modelling New'!AF:AF),"")</f>
        <v>0.99750000000000005</v>
      </c>
      <c r="AI228" s="186"/>
      <c r="AJ228" s="186"/>
      <c r="AK228" s="225"/>
      <c r="AL228" s="224">
        <f>IFERROR(Table13[[#This Row],[RA (%)]]*9270*58,"")</f>
        <v>0</v>
      </c>
      <c r="AM228" s="225"/>
      <c r="AN228" s="238"/>
      <c r="AO228" s="240"/>
      <c r="AP228" s="240"/>
      <c r="AQ228" s="240"/>
      <c r="AR228" s="242">
        <f>IFERROR(_xlfn.XLOOKUP($D228,'Modelling New'!$D:$D,'Modelling New'!$N:$N),"")</f>
        <v>335.09100000000001</v>
      </c>
    </row>
    <row r="229" spans="1:44">
      <c r="A229" s="233">
        <f t="shared" si="16"/>
        <v>45972</v>
      </c>
      <c r="B229" s="228">
        <f>YEAR(Table13[[#This Row],[Date]])+IF(MONTH(Table13[[#This Row],[Date]])&gt;=4,1,0)</f>
        <v>2026</v>
      </c>
      <c r="C229" s="186">
        <f>YEAR(Table13[[#This Row],[Date]])</f>
        <v>2025</v>
      </c>
      <c r="D229" s="234">
        <f>Table13[[#This Row],[Date]]-DAY(Table13[[#This Row],[Date]])+1</f>
        <v>45962</v>
      </c>
      <c r="E229" s="186">
        <f t="shared" si="17"/>
        <v>30</v>
      </c>
      <c r="F229" s="235" t="str">
        <f>IFERROR(_xlfn.XLOOKUP($A229,'Raw_Data'!$B:$B,'Raw_Data'!$IX:$IX),"")</f>
        <v/>
      </c>
      <c r="G229" s="236" t="str">
        <f>IFERROR(_xlfn.XLOOKUP($A229,'Raw_Data'!$B:$B,'Raw_Data'!IY:IY),"")</f>
        <v/>
      </c>
      <c r="H229" s="236" t="str">
        <f>IFERROR(_xlfn.XLOOKUP($A229,'Raw_Data'!$B:$B,'Raw_Data'!IZ:IZ),"")</f>
        <v/>
      </c>
      <c r="I229" s="236" t="str">
        <f>IFERROR(_xlfn.XLOOKUP($A229,'Raw_Data'!$B:$B,'Raw_Data'!JA:JA),"")</f>
        <v/>
      </c>
      <c r="J229" s="236" t="str">
        <f>IFERROR(_xlfn.XLOOKUP($A229,'Raw_Data'!$B:$B,'Raw_Data'!JB:JB),"")</f>
        <v/>
      </c>
      <c r="K229" s="236" t="str">
        <f>IFERROR(_xlfn.XLOOKUP($A229,'Raw_Data'!$B:$B,'Raw_Data'!JE:JE),"")</f>
        <v/>
      </c>
      <c r="L229" s="236" t="str">
        <f>IFERROR(_xlfn.XLOOKUP($A229,'Raw_Data'!$B:$B,'Raw_Data'!JF:JF),"")</f>
        <v/>
      </c>
      <c r="M229" s="236" t="str">
        <f>IFERROR(_xlfn.XLOOKUP($A229,'Raw_Data'!$B:$B,'Raw_Data'!JG:JG),"")</f>
        <v/>
      </c>
      <c r="N229" s="236" t="str">
        <f>IFERROR(_xlfn.XLOOKUP($A229,'Raw_Data'!$B:$B,'Raw_Data'!JH:JH),"")</f>
        <v/>
      </c>
      <c r="O229" s="237" t="str">
        <f>IFERROR(1-SUMIF(PA!$B:$B,$A229,PA!$AL:$AL)/($AA229+SUMIF(PA!$B:$B,$A229,PA!$AL:$AL)),"")</f>
        <v/>
      </c>
      <c r="P229" s="238"/>
      <c r="Q229" s="239"/>
      <c r="R229" s="240" t="str">
        <f>IFERROR(1-SUMIF(GA!$C:$C,$A229,GA!$X:$X)/($AA229+SUMIF(GA!$C:$C,$A229,GA!$X:$X)),"")</f>
        <v/>
      </c>
      <c r="S229" s="186"/>
      <c r="T229" s="239"/>
      <c r="U229" s="237" t="str">
        <f t="shared" si="14"/>
        <v/>
      </c>
      <c r="V229" s="237" t="str">
        <f>IFERROR(_xlfn.XLOOKUP($A229,'Raw_Data'!$B:$B,'Raw_Data'!$JL:$JL),"")</f>
        <v/>
      </c>
      <c r="W229" s="240" t="str">
        <f t="shared" si="15"/>
        <v/>
      </c>
      <c r="X229" s="228" t="str">
        <f>IFERROR(_xlfn.XLOOKUP($A229,'Raw_Data'!$B:$B,'Raw_Data'!$JI:$JI),"")</f>
        <v/>
      </c>
      <c r="Y229" s="228" t="str">
        <f>IFERROR(_xlfn.XLOOKUP($A229,'Raw_Data'!$B:$B,'Raw_Data'!IT:IT),"")</f>
        <v/>
      </c>
      <c r="Z229" s="228" t="str">
        <f>IFERROR(_xlfn.XLOOKUP($A229,'Raw_Data'!$B:$B,'Raw_Data'!IU:IU),"")</f>
        <v/>
      </c>
      <c r="AA229" s="228" t="str">
        <f>IFERROR(_xlfn.XLOOKUP($A229,'Raw_Data'!$B:$B,'Raw_Data'!IW:IW),"")</f>
        <v/>
      </c>
      <c r="AB229" s="228" t="str">
        <f>IFERROR(_xlfn.XLOOKUP($A229,'Raw_Data'!$B:$B,'Raw_Data'!I:I)/1000,"")</f>
        <v/>
      </c>
      <c r="AC229" s="241">
        <f>IFERROR(_xlfn.XLOOKUP($D229,'Modelling New'!$D:$D,'Modelling New'!$P:$P),"")</f>
        <v>5.4300000000000006</v>
      </c>
      <c r="AD229" s="228">
        <f>IFERROR(_xlfn.XLOOKUP($D229,'Modelling New'!$D:$D,'Modelling New'!$T:$T)*1000,"")</f>
        <v>1560949.0571497723</v>
      </c>
      <c r="AE229" s="240">
        <f>IFERROR(_xlfn.XLOOKUP($D229,'Modelling New'!$D:$D,'Modelling New'!$O:$O),"")</f>
        <v>0.85787919699962001</v>
      </c>
      <c r="AF229" s="240">
        <f>IFERROR(_xlfn.XLOOKUP($D229,'Modelling New'!$D:$D,'Modelling New'!$W:$W),"")</f>
        <v>0.19409516832116402</v>
      </c>
      <c r="AG229" s="240">
        <f>IFERROR(_xlfn.XLOOKUP($D229,'Modelling New'!$D:$D,'Modelling New'!AE:AE),"")</f>
        <v>0.99750000000000005</v>
      </c>
      <c r="AH229" s="240">
        <f>IFERROR(_xlfn.XLOOKUP($D229,'Modelling New'!$D:$D,'Modelling New'!AF:AF),"")</f>
        <v>0.99750000000000005</v>
      </c>
      <c r="AI229" s="186"/>
      <c r="AJ229" s="186"/>
      <c r="AK229" s="225"/>
      <c r="AL229" s="224">
        <f>IFERROR(Table13[[#This Row],[RA (%)]]*9270*58,"")</f>
        <v>0</v>
      </c>
      <c r="AM229" s="225"/>
      <c r="AN229" s="238"/>
      <c r="AO229" s="240"/>
      <c r="AP229" s="240"/>
      <c r="AQ229" s="240"/>
      <c r="AR229" s="242">
        <f>IFERROR(_xlfn.XLOOKUP($D229,'Modelling New'!$D:$D,'Modelling New'!$N:$N),"")</f>
        <v>335.09100000000001</v>
      </c>
    </row>
    <row r="230" spans="1:44">
      <c r="A230" s="233">
        <f t="shared" si="16"/>
        <v>45973</v>
      </c>
      <c r="B230" s="228">
        <f>YEAR(Table13[[#This Row],[Date]])+IF(MONTH(Table13[[#This Row],[Date]])&gt;=4,1,0)</f>
        <v>2026</v>
      </c>
      <c r="C230" s="186">
        <f>YEAR(Table13[[#This Row],[Date]])</f>
        <v>2025</v>
      </c>
      <c r="D230" s="234">
        <f>Table13[[#This Row],[Date]]-DAY(Table13[[#This Row],[Date]])+1</f>
        <v>45962</v>
      </c>
      <c r="E230" s="186">
        <f t="shared" si="17"/>
        <v>30</v>
      </c>
      <c r="F230" s="235" t="str">
        <f>IFERROR(_xlfn.XLOOKUP($A230,'Raw_Data'!$B:$B,'Raw_Data'!$IX:$IX),"")</f>
        <v/>
      </c>
      <c r="G230" s="236" t="str">
        <f>IFERROR(_xlfn.XLOOKUP($A230,'Raw_Data'!$B:$B,'Raw_Data'!IY:IY),"")</f>
        <v/>
      </c>
      <c r="H230" s="236" t="str">
        <f>IFERROR(_xlfn.XLOOKUP($A230,'Raw_Data'!$B:$B,'Raw_Data'!IZ:IZ),"")</f>
        <v/>
      </c>
      <c r="I230" s="236" t="str">
        <f>IFERROR(_xlfn.XLOOKUP($A230,'Raw_Data'!$B:$B,'Raw_Data'!JA:JA),"")</f>
        <v/>
      </c>
      <c r="J230" s="236" t="str">
        <f>IFERROR(_xlfn.XLOOKUP($A230,'Raw_Data'!$B:$B,'Raw_Data'!JB:JB),"")</f>
        <v/>
      </c>
      <c r="K230" s="236" t="str">
        <f>IFERROR(_xlfn.XLOOKUP($A230,'Raw_Data'!$B:$B,'Raw_Data'!JE:JE),"")</f>
        <v/>
      </c>
      <c r="L230" s="236" t="str">
        <f>IFERROR(_xlfn.XLOOKUP($A230,'Raw_Data'!$B:$B,'Raw_Data'!JF:JF),"")</f>
        <v/>
      </c>
      <c r="M230" s="236" t="str">
        <f>IFERROR(_xlfn.XLOOKUP($A230,'Raw_Data'!$B:$B,'Raw_Data'!JG:JG),"")</f>
        <v/>
      </c>
      <c r="N230" s="236" t="str">
        <f>IFERROR(_xlfn.XLOOKUP($A230,'Raw_Data'!$B:$B,'Raw_Data'!JH:JH),"")</f>
        <v/>
      </c>
      <c r="O230" s="237" t="str">
        <f>IFERROR(1-SUMIF(PA!$B:$B,$A230,PA!$AL:$AL)/($AA230+SUMIF(PA!$B:$B,$A230,PA!$AL:$AL)),"")</f>
        <v/>
      </c>
      <c r="P230" s="238"/>
      <c r="Q230" s="239"/>
      <c r="R230" s="240" t="str">
        <f>IFERROR(1-SUMIF(GA!$C:$C,$A230,GA!$X:$X)/($AA230+SUMIF(GA!$C:$C,$A230,GA!$X:$X)),"")</f>
        <v/>
      </c>
      <c r="S230" s="186"/>
      <c r="T230" s="239"/>
      <c r="U230" s="237" t="str">
        <f t="shared" si="14"/>
        <v/>
      </c>
      <c r="V230" s="237" t="str">
        <f>IFERROR(_xlfn.XLOOKUP($A230,'Raw_Data'!$B:$B,'Raw_Data'!$JL:$JL),"")</f>
        <v/>
      </c>
      <c r="W230" s="240" t="str">
        <f t="shared" si="15"/>
        <v/>
      </c>
      <c r="X230" s="228" t="str">
        <f>IFERROR(_xlfn.XLOOKUP($A230,'Raw_Data'!$B:$B,'Raw_Data'!$JI:$JI),"")</f>
        <v/>
      </c>
      <c r="Y230" s="228" t="str">
        <f>IFERROR(_xlfn.XLOOKUP($A230,'Raw_Data'!$B:$B,'Raw_Data'!IT:IT),"")</f>
        <v/>
      </c>
      <c r="Z230" s="228" t="str">
        <f>IFERROR(_xlfn.XLOOKUP($A230,'Raw_Data'!$B:$B,'Raw_Data'!IU:IU),"")</f>
        <v/>
      </c>
      <c r="AA230" s="228" t="str">
        <f>IFERROR(_xlfn.XLOOKUP($A230,'Raw_Data'!$B:$B,'Raw_Data'!IW:IW),"")</f>
        <v/>
      </c>
      <c r="AB230" s="228" t="str">
        <f>IFERROR(_xlfn.XLOOKUP($A230,'Raw_Data'!$B:$B,'Raw_Data'!I:I)/1000,"")</f>
        <v/>
      </c>
      <c r="AC230" s="241">
        <f>IFERROR(_xlfn.XLOOKUP($D230,'Modelling New'!$D:$D,'Modelling New'!$P:$P),"")</f>
        <v>5.4300000000000006</v>
      </c>
      <c r="AD230" s="228">
        <f>IFERROR(_xlfn.XLOOKUP($D230,'Modelling New'!$D:$D,'Modelling New'!$T:$T)*1000,"")</f>
        <v>1560949.0571497723</v>
      </c>
      <c r="AE230" s="240">
        <f>IFERROR(_xlfn.XLOOKUP($D230,'Modelling New'!$D:$D,'Modelling New'!$O:$O),"")</f>
        <v>0.85787919699962001</v>
      </c>
      <c r="AF230" s="240">
        <f>IFERROR(_xlfn.XLOOKUP($D230,'Modelling New'!$D:$D,'Modelling New'!$W:$W),"")</f>
        <v>0.19409516832116402</v>
      </c>
      <c r="AG230" s="240">
        <f>IFERROR(_xlfn.XLOOKUP($D230,'Modelling New'!$D:$D,'Modelling New'!AE:AE),"")</f>
        <v>0.99750000000000005</v>
      </c>
      <c r="AH230" s="240">
        <f>IFERROR(_xlfn.XLOOKUP($D230,'Modelling New'!$D:$D,'Modelling New'!AF:AF),"")</f>
        <v>0.99750000000000005</v>
      </c>
      <c r="AI230" s="186"/>
      <c r="AJ230" s="186"/>
      <c r="AK230" s="225"/>
      <c r="AL230" s="224">
        <f>IFERROR(Table13[[#This Row],[RA (%)]]*9270*58,"")</f>
        <v>0</v>
      </c>
      <c r="AM230" s="225"/>
      <c r="AN230" s="238"/>
      <c r="AO230" s="240"/>
      <c r="AP230" s="240"/>
      <c r="AQ230" s="240"/>
      <c r="AR230" s="242">
        <f>IFERROR(_xlfn.XLOOKUP($D230,'Modelling New'!$D:$D,'Modelling New'!$N:$N),"")</f>
        <v>335.09100000000001</v>
      </c>
    </row>
    <row r="231" spans="1:44">
      <c r="A231" s="233">
        <f t="shared" si="16"/>
        <v>45974</v>
      </c>
      <c r="B231" s="228">
        <f>YEAR(Table13[[#This Row],[Date]])+IF(MONTH(Table13[[#This Row],[Date]])&gt;=4,1,0)</f>
        <v>2026</v>
      </c>
      <c r="C231" s="186">
        <f>YEAR(Table13[[#This Row],[Date]])</f>
        <v>2025</v>
      </c>
      <c r="D231" s="234">
        <f>Table13[[#This Row],[Date]]-DAY(Table13[[#This Row],[Date]])+1</f>
        <v>45962</v>
      </c>
      <c r="E231" s="186">
        <f t="shared" si="17"/>
        <v>30</v>
      </c>
      <c r="F231" s="235" t="str">
        <f>IFERROR(_xlfn.XLOOKUP($A231,'Raw_Data'!$B:$B,'Raw_Data'!$IX:$IX),"")</f>
        <v/>
      </c>
      <c r="G231" s="236" t="str">
        <f>IFERROR(_xlfn.XLOOKUP($A231,'Raw_Data'!$B:$B,'Raw_Data'!IY:IY),"")</f>
        <v/>
      </c>
      <c r="H231" s="236" t="str">
        <f>IFERROR(_xlfn.XLOOKUP($A231,'Raw_Data'!$B:$B,'Raw_Data'!IZ:IZ),"")</f>
        <v/>
      </c>
      <c r="I231" s="236" t="str">
        <f>IFERROR(_xlfn.XLOOKUP($A231,'Raw_Data'!$B:$B,'Raw_Data'!JA:JA),"")</f>
        <v/>
      </c>
      <c r="J231" s="236" t="str">
        <f>IFERROR(_xlfn.XLOOKUP($A231,'Raw_Data'!$B:$B,'Raw_Data'!JB:JB),"")</f>
        <v/>
      </c>
      <c r="K231" s="236" t="str">
        <f>IFERROR(_xlfn.XLOOKUP($A231,'Raw_Data'!$B:$B,'Raw_Data'!JE:JE),"")</f>
        <v/>
      </c>
      <c r="L231" s="236" t="str">
        <f>IFERROR(_xlfn.XLOOKUP($A231,'Raw_Data'!$B:$B,'Raw_Data'!JF:JF),"")</f>
        <v/>
      </c>
      <c r="M231" s="236" t="str">
        <f>IFERROR(_xlfn.XLOOKUP($A231,'Raw_Data'!$B:$B,'Raw_Data'!JG:JG),"")</f>
        <v/>
      </c>
      <c r="N231" s="236" t="str">
        <f>IFERROR(_xlfn.XLOOKUP($A231,'Raw_Data'!$B:$B,'Raw_Data'!JH:JH),"")</f>
        <v/>
      </c>
      <c r="O231" s="237" t="str">
        <f>IFERROR(1-SUMIF(PA!$B:$B,$A231,PA!$AL:$AL)/($AA231+SUMIF(PA!$B:$B,$A231,PA!$AL:$AL)),"")</f>
        <v/>
      </c>
      <c r="P231" s="238"/>
      <c r="Q231" s="239"/>
      <c r="R231" s="240" t="str">
        <f>IFERROR(1-SUMIF(GA!$C:$C,$A231,GA!$X:$X)/($AA231+SUMIF(GA!$C:$C,$A231,GA!$X:$X)),"")</f>
        <v/>
      </c>
      <c r="S231" s="186"/>
      <c r="T231" s="239"/>
      <c r="U231" s="237" t="str">
        <f t="shared" si="14"/>
        <v/>
      </c>
      <c r="V231" s="237" t="str">
        <f>IFERROR(_xlfn.XLOOKUP($A231,'Raw_Data'!$B:$B,'Raw_Data'!$JL:$JL),"")</f>
        <v/>
      </c>
      <c r="W231" s="240" t="str">
        <f t="shared" si="15"/>
        <v/>
      </c>
      <c r="X231" s="228" t="str">
        <f>IFERROR(_xlfn.XLOOKUP($A231,'Raw_Data'!$B:$B,'Raw_Data'!$JI:$JI),"")</f>
        <v/>
      </c>
      <c r="Y231" s="228" t="str">
        <f>IFERROR(_xlfn.XLOOKUP($A231,'Raw_Data'!$B:$B,'Raw_Data'!IT:IT),"")</f>
        <v/>
      </c>
      <c r="Z231" s="228" t="str">
        <f>IFERROR(_xlfn.XLOOKUP($A231,'Raw_Data'!$B:$B,'Raw_Data'!IU:IU),"")</f>
        <v/>
      </c>
      <c r="AA231" s="228" t="str">
        <f>IFERROR(_xlfn.XLOOKUP($A231,'Raw_Data'!$B:$B,'Raw_Data'!IW:IW),"")</f>
        <v/>
      </c>
      <c r="AB231" s="228" t="str">
        <f>IFERROR(_xlfn.XLOOKUP($A231,'Raw_Data'!$B:$B,'Raw_Data'!I:I)/1000,"")</f>
        <v/>
      </c>
      <c r="AC231" s="241">
        <f>IFERROR(_xlfn.XLOOKUP($D231,'Modelling New'!$D:$D,'Modelling New'!$P:$P),"")</f>
        <v>5.4300000000000006</v>
      </c>
      <c r="AD231" s="228">
        <f>IFERROR(_xlfn.XLOOKUP($D231,'Modelling New'!$D:$D,'Modelling New'!$T:$T)*1000,"")</f>
        <v>1560949.0571497723</v>
      </c>
      <c r="AE231" s="240">
        <f>IFERROR(_xlfn.XLOOKUP($D231,'Modelling New'!$D:$D,'Modelling New'!$O:$O),"")</f>
        <v>0.85787919699962001</v>
      </c>
      <c r="AF231" s="240">
        <f>IFERROR(_xlfn.XLOOKUP($D231,'Modelling New'!$D:$D,'Modelling New'!$W:$W),"")</f>
        <v>0.19409516832116402</v>
      </c>
      <c r="AG231" s="240">
        <f>IFERROR(_xlfn.XLOOKUP($D231,'Modelling New'!$D:$D,'Modelling New'!AE:AE),"")</f>
        <v>0.99750000000000005</v>
      </c>
      <c r="AH231" s="240">
        <f>IFERROR(_xlfn.XLOOKUP($D231,'Modelling New'!$D:$D,'Modelling New'!AF:AF),"")</f>
        <v>0.99750000000000005</v>
      </c>
      <c r="AI231" s="186"/>
      <c r="AJ231" s="186"/>
      <c r="AK231" s="225"/>
      <c r="AL231" s="224">
        <f>IFERROR(Table13[[#This Row],[RA (%)]]*9270*58,"")</f>
        <v>0</v>
      </c>
      <c r="AM231" s="225"/>
      <c r="AN231" s="238"/>
      <c r="AO231" s="240"/>
      <c r="AP231" s="240"/>
      <c r="AQ231" s="240"/>
      <c r="AR231" s="242">
        <f>IFERROR(_xlfn.XLOOKUP($D231,'Modelling New'!$D:$D,'Modelling New'!$N:$N),"")</f>
        <v>335.09100000000001</v>
      </c>
    </row>
    <row r="232" spans="1:44">
      <c r="A232" s="233">
        <f t="shared" si="16"/>
        <v>45975</v>
      </c>
      <c r="B232" s="228">
        <f>YEAR(Table13[[#This Row],[Date]])+IF(MONTH(Table13[[#This Row],[Date]])&gt;=4,1,0)</f>
        <v>2026</v>
      </c>
      <c r="C232" s="186">
        <f>YEAR(Table13[[#This Row],[Date]])</f>
        <v>2025</v>
      </c>
      <c r="D232" s="234">
        <f>Table13[[#This Row],[Date]]-DAY(Table13[[#This Row],[Date]])+1</f>
        <v>45962</v>
      </c>
      <c r="E232" s="186">
        <f t="shared" si="17"/>
        <v>30</v>
      </c>
      <c r="F232" s="235" t="str">
        <f>IFERROR(_xlfn.XLOOKUP($A232,'Raw_Data'!$B:$B,'Raw_Data'!$IX:$IX),"")</f>
        <v/>
      </c>
      <c r="G232" s="236" t="str">
        <f>IFERROR(_xlfn.XLOOKUP($A232,'Raw_Data'!$B:$B,'Raw_Data'!IY:IY),"")</f>
        <v/>
      </c>
      <c r="H232" s="236" t="str">
        <f>IFERROR(_xlfn.XLOOKUP($A232,'Raw_Data'!$B:$B,'Raw_Data'!IZ:IZ),"")</f>
        <v/>
      </c>
      <c r="I232" s="236" t="str">
        <f>IFERROR(_xlfn.XLOOKUP($A232,'Raw_Data'!$B:$B,'Raw_Data'!JA:JA),"")</f>
        <v/>
      </c>
      <c r="J232" s="236" t="str">
        <f>IFERROR(_xlfn.XLOOKUP($A232,'Raw_Data'!$B:$B,'Raw_Data'!JB:JB),"")</f>
        <v/>
      </c>
      <c r="K232" s="236" t="str">
        <f>IFERROR(_xlfn.XLOOKUP($A232,'Raw_Data'!$B:$B,'Raw_Data'!JE:JE),"")</f>
        <v/>
      </c>
      <c r="L232" s="236" t="str">
        <f>IFERROR(_xlfn.XLOOKUP($A232,'Raw_Data'!$B:$B,'Raw_Data'!JF:JF),"")</f>
        <v/>
      </c>
      <c r="M232" s="236" t="str">
        <f>IFERROR(_xlfn.XLOOKUP($A232,'Raw_Data'!$B:$B,'Raw_Data'!JG:JG),"")</f>
        <v/>
      </c>
      <c r="N232" s="236" t="str">
        <f>IFERROR(_xlfn.XLOOKUP($A232,'Raw_Data'!$B:$B,'Raw_Data'!JH:JH),"")</f>
        <v/>
      </c>
      <c r="O232" s="237" t="str">
        <f>IFERROR(1-SUMIF(PA!$B:$B,$A232,PA!$AL:$AL)/($AA232+SUMIF(PA!$B:$B,$A232,PA!$AL:$AL)),"")</f>
        <v/>
      </c>
      <c r="P232" s="238"/>
      <c r="Q232" s="239"/>
      <c r="R232" s="240" t="str">
        <f>IFERROR(1-SUMIF(GA!$C:$C,$A232,GA!$X:$X)/($AA232+SUMIF(GA!$C:$C,$A232,GA!$X:$X)),"")</f>
        <v/>
      </c>
      <c r="S232" s="186"/>
      <c r="T232" s="239"/>
      <c r="U232" s="237" t="str">
        <f t="shared" si="14"/>
        <v/>
      </c>
      <c r="V232" s="237" t="str">
        <f>IFERROR(_xlfn.XLOOKUP($A232,'Raw_Data'!$B:$B,'Raw_Data'!$JL:$JL),"")</f>
        <v/>
      </c>
      <c r="W232" s="240" t="str">
        <f t="shared" si="15"/>
        <v/>
      </c>
      <c r="X232" s="228" t="str">
        <f>IFERROR(_xlfn.XLOOKUP($A232,'Raw_Data'!$B:$B,'Raw_Data'!$JI:$JI),"")</f>
        <v/>
      </c>
      <c r="Y232" s="228" t="str">
        <f>IFERROR(_xlfn.XLOOKUP($A232,'Raw_Data'!$B:$B,'Raw_Data'!IT:IT),"")</f>
        <v/>
      </c>
      <c r="Z232" s="228" t="str">
        <f>IFERROR(_xlfn.XLOOKUP($A232,'Raw_Data'!$B:$B,'Raw_Data'!IU:IU),"")</f>
        <v/>
      </c>
      <c r="AA232" s="228" t="str">
        <f>IFERROR(_xlfn.XLOOKUP($A232,'Raw_Data'!$B:$B,'Raw_Data'!IW:IW),"")</f>
        <v/>
      </c>
      <c r="AB232" s="228" t="str">
        <f>IFERROR(_xlfn.XLOOKUP($A232,'Raw_Data'!$B:$B,'Raw_Data'!I:I)/1000,"")</f>
        <v/>
      </c>
      <c r="AC232" s="241">
        <f>IFERROR(_xlfn.XLOOKUP($D232,'Modelling New'!$D:$D,'Modelling New'!$P:$P),"")</f>
        <v>5.4300000000000006</v>
      </c>
      <c r="AD232" s="228">
        <f>IFERROR(_xlfn.XLOOKUP($D232,'Modelling New'!$D:$D,'Modelling New'!$T:$T)*1000,"")</f>
        <v>1560949.0571497723</v>
      </c>
      <c r="AE232" s="240">
        <f>IFERROR(_xlfn.XLOOKUP($D232,'Modelling New'!$D:$D,'Modelling New'!$O:$O),"")</f>
        <v>0.85787919699962001</v>
      </c>
      <c r="AF232" s="240">
        <f>IFERROR(_xlfn.XLOOKUP($D232,'Modelling New'!$D:$D,'Modelling New'!$W:$W),"")</f>
        <v>0.19409516832116402</v>
      </c>
      <c r="AG232" s="240">
        <f>IFERROR(_xlfn.XLOOKUP($D232,'Modelling New'!$D:$D,'Modelling New'!AE:AE),"")</f>
        <v>0.99750000000000005</v>
      </c>
      <c r="AH232" s="240">
        <f>IFERROR(_xlfn.XLOOKUP($D232,'Modelling New'!$D:$D,'Modelling New'!AF:AF),"")</f>
        <v>0.99750000000000005</v>
      </c>
      <c r="AI232" s="186"/>
      <c r="AJ232" s="186"/>
      <c r="AK232" s="225"/>
      <c r="AL232" s="224">
        <f>IFERROR(Table13[[#This Row],[RA (%)]]*9270*58,"")</f>
        <v>0</v>
      </c>
      <c r="AM232" s="225"/>
      <c r="AN232" s="238"/>
      <c r="AO232" s="240"/>
      <c r="AP232" s="240"/>
      <c r="AQ232" s="240"/>
      <c r="AR232" s="242">
        <f>IFERROR(_xlfn.XLOOKUP($D232,'Modelling New'!$D:$D,'Modelling New'!$N:$N),"")</f>
        <v>335.09100000000001</v>
      </c>
    </row>
    <row r="233" spans="1:44">
      <c r="A233" s="233">
        <f t="shared" si="16"/>
        <v>45976</v>
      </c>
      <c r="B233" s="228">
        <f>YEAR(Table13[[#This Row],[Date]])+IF(MONTH(Table13[[#This Row],[Date]])&gt;=4,1,0)</f>
        <v>2026</v>
      </c>
      <c r="C233" s="186">
        <f>YEAR(Table13[[#This Row],[Date]])</f>
        <v>2025</v>
      </c>
      <c r="D233" s="234">
        <f>Table13[[#This Row],[Date]]-DAY(Table13[[#This Row],[Date]])+1</f>
        <v>45962</v>
      </c>
      <c r="E233" s="186">
        <f t="shared" si="17"/>
        <v>30</v>
      </c>
      <c r="F233" s="235" t="str">
        <f>IFERROR(_xlfn.XLOOKUP($A233,'Raw_Data'!$B:$B,'Raw_Data'!$IX:$IX),"")</f>
        <v/>
      </c>
      <c r="G233" s="236" t="str">
        <f>IFERROR(_xlfn.XLOOKUP($A233,'Raw_Data'!$B:$B,'Raw_Data'!IY:IY),"")</f>
        <v/>
      </c>
      <c r="H233" s="236" t="str">
        <f>IFERROR(_xlfn.XLOOKUP($A233,'Raw_Data'!$B:$B,'Raw_Data'!IZ:IZ),"")</f>
        <v/>
      </c>
      <c r="I233" s="236" t="str">
        <f>IFERROR(_xlfn.XLOOKUP($A233,'Raw_Data'!$B:$B,'Raw_Data'!JA:JA),"")</f>
        <v/>
      </c>
      <c r="J233" s="236" t="str">
        <f>IFERROR(_xlfn.XLOOKUP($A233,'Raw_Data'!$B:$B,'Raw_Data'!JB:JB),"")</f>
        <v/>
      </c>
      <c r="K233" s="236" t="str">
        <f>IFERROR(_xlfn.XLOOKUP($A233,'Raw_Data'!$B:$B,'Raw_Data'!JE:JE),"")</f>
        <v/>
      </c>
      <c r="L233" s="236" t="str">
        <f>IFERROR(_xlfn.XLOOKUP($A233,'Raw_Data'!$B:$B,'Raw_Data'!JF:JF),"")</f>
        <v/>
      </c>
      <c r="M233" s="236" t="str">
        <f>IFERROR(_xlfn.XLOOKUP($A233,'Raw_Data'!$B:$B,'Raw_Data'!JG:JG),"")</f>
        <v/>
      </c>
      <c r="N233" s="236" t="str">
        <f>IFERROR(_xlfn.XLOOKUP($A233,'Raw_Data'!$B:$B,'Raw_Data'!JH:JH),"")</f>
        <v/>
      </c>
      <c r="O233" s="237" t="str">
        <f>IFERROR(1-SUMIF(PA!$B:$B,$A233,PA!$AL:$AL)/($AA233+SUMIF(PA!$B:$B,$A233,PA!$AL:$AL)),"")</f>
        <v/>
      </c>
      <c r="P233" s="238"/>
      <c r="Q233" s="239"/>
      <c r="R233" s="240" t="str">
        <f>IFERROR(1-SUMIF(GA!$C:$C,$A233,GA!$X:$X)/($AA233+SUMIF(GA!$C:$C,$A233,GA!$X:$X)),"")</f>
        <v/>
      </c>
      <c r="S233" s="186"/>
      <c r="T233" s="239"/>
      <c r="U233" s="237" t="str">
        <f t="shared" si="14"/>
        <v/>
      </c>
      <c r="V233" s="237" t="str">
        <f>IFERROR(_xlfn.XLOOKUP($A233,'Raw_Data'!$B:$B,'Raw_Data'!$JL:$JL),"")</f>
        <v/>
      </c>
      <c r="W233" s="240" t="str">
        <f t="shared" si="15"/>
        <v/>
      </c>
      <c r="X233" s="228" t="str">
        <f>IFERROR(_xlfn.XLOOKUP($A233,'Raw_Data'!$B:$B,'Raw_Data'!$JI:$JI),"")</f>
        <v/>
      </c>
      <c r="Y233" s="228" t="str">
        <f>IFERROR(_xlfn.XLOOKUP($A233,'Raw_Data'!$B:$B,'Raw_Data'!IT:IT),"")</f>
        <v/>
      </c>
      <c r="Z233" s="228" t="str">
        <f>IFERROR(_xlfn.XLOOKUP($A233,'Raw_Data'!$B:$B,'Raw_Data'!IU:IU),"")</f>
        <v/>
      </c>
      <c r="AA233" s="228" t="str">
        <f>IFERROR(_xlfn.XLOOKUP($A233,'Raw_Data'!$B:$B,'Raw_Data'!IW:IW),"")</f>
        <v/>
      </c>
      <c r="AB233" s="228" t="str">
        <f>IFERROR(_xlfn.XLOOKUP($A233,'Raw_Data'!$B:$B,'Raw_Data'!I:I)/1000,"")</f>
        <v/>
      </c>
      <c r="AC233" s="241">
        <f>IFERROR(_xlfn.XLOOKUP($D233,'Modelling New'!$D:$D,'Modelling New'!$P:$P),"")</f>
        <v>5.4300000000000006</v>
      </c>
      <c r="AD233" s="228">
        <f>IFERROR(_xlfn.XLOOKUP($D233,'Modelling New'!$D:$D,'Modelling New'!$T:$T)*1000,"")</f>
        <v>1560949.0571497723</v>
      </c>
      <c r="AE233" s="240">
        <f>IFERROR(_xlfn.XLOOKUP($D233,'Modelling New'!$D:$D,'Modelling New'!$O:$O),"")</f>
        <v>0.85787919699962001</v>
      </c>
      <c r="AF233" s="240">
        <f>IFERROR(_xlfn.XLOOKUP($D233,'Modelling New'!$D:$D,'Modelling New'!$W:$W),"")</f>
        <v>0.19409516832116402</v>
      </c>
      <c r="AG233" s="240">
        <f>IFERROR(_xlfn.XLOOKUP($D233,'Modelling New'!$D:$D,'Modelling New'!AE:AE),"")</f>
        <v>0.99750000000000005</v>
      </c>
      <c r="AH233" s="240">
        <f>IFERROR(_xlfn.XLOOKUP($D233,'Modelling New'!$D:$D,'Modelling New'!AF:AF),"")</f>
        <v>0.99750000000000005</v>
      </c>
      <c r="AI233" s="186"/>
      <c r="AJ233" s="186"/>
      <c r="AK233" s="225"/>
      <c r="AL233" s="224">
        <f>IFERROR(Table13[[#This Row],[RA (%)]]*9270*58,"")</f>
        <v>0</v>
      </c>
      <c r="AM233" s="225"/>
      <c r="AN233" s="238"/>
      <c r="AO233" s="240"/>
      <c r="AP233" s="240"/>
      <c r="AQ233" s="240"/>
      <c r="AR233" s="242">
        <f>IFERROR(_xlfn.XLOOKUP($D233,'Modelling New'!$D:$D,'Modelling New'!$N:$N),"")</f>
        <v>335.09100000000001</v>
      </c>
    </row>
    <row r="234" spans="1:44">
      <c r="A234" s="233">
        <f t="shared" si="16"/>
        <v>45977</v>
      </c>
      <c r="B234" s="228">
        <f>YEAR(Table13[[#This Row],[Date]])+IF(MONTH(Table13[[#This Row],[Date]])&gt;=4,1,0)</f>
        <v>2026</v>
      </c>
      <c r="C234" s="186">
        <f>YEAR(Table13[[#This Row],[Date]])</f>
        <v>2025</v>
      </c>
      <c r="D234" s="234">
        <f>Table13[[#This Row],[Date]]-DAY(Table13[[#This Row],[Date]])+1</f>
        <v>45962</v>
      </c>
      <c r="E234" s="186">
        <f t="shared" si="17"/>
        <v>30</v>
      </c>
      <c r="F234" s="235" t="str">
        <f>IFERROR(_xlfn.XLOOKUP($A234,'Raw_Data'!$B:$B,'Raw_Data'!$IX:$IX),"")</f>
        <v/>
      </c>
      <c r="G234" s="236" t="str">
        <f>IFERROR(_xlfn.XLOOKUP($A234,'Raw_Data'!$B:$B,'Raw_Data'!IY:IY),"")</f>
        <v/>
      </c>
      <c r="H234" s="236" t="str">
        <f>IFERROR(_xlfn.XLOOKUP($A234,'Raw_Data'!$B:$B,'Raw_Data'!IZ:IZ),"")</f>
        <v/>
      </c>
      <c r="I234" s="236" t="str">
        <f>IFERROR(_xlfn.XLOOKUP($A234,'Raw_Data'!$B:$B,'Raw_Data'!JA:JA),"")</f>
        <v/>
      </c>
      <c r="J234" s="236" t="str">
        <f>IFERROR(_xlfn.XLOOKUP($A234,'Raw_Data'!$B:$B,'Raw_Data'!JB:JB),"")</f>
        <v/>
      </c>
      <c r="K234" s="236" t="str">
        <f>IFERROR(_xlfn.XLOOKUP($A234,'Raw_Data'!$B:$B,'Raw_Data'!JE:JE),"")</f>
        <v/>
      </c>
      <c r="L234" s="236" t="str">
        <f>IFERROR(_xlfn.XLOOKUP($A234,'Raw_Data'!$B:$B,'Raw_Data'!JF:JF),"")</f>
        <v/>
      </c>
      <c r="M234" s="236" t="str">
        <f>IFERROR(_xlfn.XLOOKUP($A234,'Raw_Data'!$B:$B,'Raw_Data'!JG:JG),"")</f>
        <v/>
      </c>
      <c r="N234" s="236" t="str">
        <f>IFERROR(_xlfn.XLOOKUP($A234,'Raw_Data'!$B:$B,'Raw_Data'!JH:JH),"")</f>
        <v/>
      </c>
      <c r="O234" s="237" t="str">
        <f>IFERROR(1-SUMIF(PA!$B:$B,$A234,PA!$AL:$AL)/($AA234+SUMIF(PA!$B:$B,$A234,PA!$AL:$AL)),"")</f>
        <v/>
      </c>
      <c r="P234" s="238"/>
      <c r="Q234" s="239"/>
      <c r="R234" s="240" t="str">
        <f>IFERROR(1-SUMIF(GA!$C:$C,$A234,GA!$X:$X)/($AA234+SUMIF(GA!$C:$C,$A234,GA!$X:$X)),"")</f>
        <v/>
      </c>
      <c r="S234" s="186"/>
      <c r="T234" s="239"/>
      <c r="U234" s="237" t="str">
        <f t="shared" si="14"/>
        <v/>
      </c>
      <c r="V234" s="237" t="str">
        <f>IFERROR(_xlfn.XLOOKUP($A234,'Raw_Data'!$B:$B,'Raw_Data'!$JL:$JL),"")</f>
        <v/>
      </c>
      <c r="W234" s="240" t="str">
        <f t="shared" si="15"/>
        <v/>
      </c>
      <c r="X234" s="228" t="str">
        <f>IFERROR(_xlfn.XLOOKUP($A234,'Raw_Data'!$B:$B,'Raw_Data'!$JI:$JI),"")</f>
        <v/>
      </c>
      <c r="Y234" s="228" t="str">
        <f>IFERROR(_xlfn.XLOOKUP($A234,'Raw_Data'!$B:$B,'Raw_Data'!IT:IT),"")</f>
        <v/>
      </c>
      <c r="Z234" s="228" t="str">
        <f>IFERROR(_xlfn.XLOOKUP($A234,'Raw_Data'!$B:$B,'Raw_Data'!IU:IU),"")</f>
        <v/>
      </c>
      <c r="AA234" s="228" t="str">
        <f>IFERROR(_xlfn.XLOOKUP($A234,'Raw_Data'!$B:$B,'Raw_Data'!IW:IW),"")</f>
        <v/>
      </c>
      <c r="AB234" s="228" t="str">
        <f>IFERROR(_xlfn.XLOOKUP($A234,'Raw_Data'!$B:$B,'Raw_Data'!I:I)/1000,"")</f>
        <v/>
      </c>
      <c r="AC234" s="241">
        <f>IFERROR(_xlfn.XLOOKUP($D234,'Modelling New'!$D:$D,'Modelling New'!$P:$P),"")</f>
        <v>5.4300000000000006</v>
      </c>
      <c r="AD234" s="228">
        <f>IFERROR(_xlfn.XLOOKUP($D234,'Modelling New'!$D:$D,'Modelling New'!$T:$T)*1000,"")</f>
        <v>1560949.0571497723</v>
      </c>
      <c r="AE234" s="240">
        <f>IFERROR(_xlfn.XLOOKUP($D234,'Modelling New'!$D:$D,'Modelling New'!$O:$O),"")</f>
        <v>0.85787919699962001</v>
      </c>
      <c r="AF234" s="240">
        <f>IFERROR(_xlfn.XLOOKUP($D234,'Modelling New'!$D:$D,'Modelling New'!$W:$W),"")</f>
        <v>0.19409516832116402</v>
      </c>
      <c r="AG234" s="240">
        <f>IFERROR(_xlfn.XLOOKUP($D234,'Modelling New'!$D:$D,'Modelling New'!AE:AE),"")</f>
        <v>0.99750000000000005</v>
      </c>
      <c r="AH234" s="240">
        <f>IFERROR(_xlfn.XLOOKUP($D234,'Modelling New'!$D:$D,'Modelling New'!AF:AF),"")</f>
        <v>0.99750000000000005</v>
      </c>
      <c r="AI234" s="186"/>
      <c r="AJ234" s="186"/>
      <c r="AK234" s="225"/>
      <c r="AL234" s="224">
        <f>IFERROR(Table13[[#This Row],[RA (%)]]*9270*58,"")</f>
        <v>0</v>
      </c>
      <c r="AM234" s="225"/>
      <c r="AN234" s="238"/>
      <c r="AO234" s="240"/>
      <c r="AP234" s="240"/>
      <c r="AQ234" s="240"/>
      <c r="AR234" s="242">
        <f>IFERROR(_xlfn.XLOOKUP($D234,'Modelling New'!$D:$D,'Modelling New'!$N:$N),"")</f>
        <v>335.09100000000001</v>
      </c>
    </row>
    <row r="235" spans="1:44">
      <c r="A235" s="233">
        <f t="shared" si="16"/>
        <v>45978</v>
      </c>
      <c r="B235" s="228">
        <f>YEAR(Table13[[#This Row],[Date]])+IF(MONTH(Table13[[#This Row],[Date]])&gt;=4,1,0)</f>
        <v>2026</v>
      </c>
      <c r="C235" s="186">
        <f>YEAR(Table13[[#This Row],[Date]])</f>
        <v>2025</v>
      </c>
      <c r="D235" s="234">
        <f>Table13[[#This Row],[Date]]-DAY(Table13[[#This Row],[Date]])+1</f>
        <v>45962</v>
      </c>
      <c r="E235" s="186">
        <f t="shared" si="17"/>
        <v>30</v>
      </c>
      <c r="F235" s="235" t="str">
        <f>IFERROR(_xlfn.XLOOKUP($A235,'Raw_Data'!$B:$B,'Raw_Data'!$IX:$IX),"")</f>
        <v/>
      </c>
      <c r="G235" s="236" t="str">
        <f>IFERROR(_xlfn.XLOOKUP($A235,'Raw_Data'!$B:$B,'Raw_Data'!IY:IY),"")</f>
        <v/>
      </c>
      <c r="H235" s="236" t="str">
        <f>IFERROR(_xlfn.XLOOKUP($A235,'Raw_Data'!$B:$B,'Raw_Data'!IZ:IZ),"")</f>
        <v/>
      </c>
      <c r="I235" s="236" t="str">
        <f>IFERROR(_xlfn.XLOOKUP($A235,'Raw_Data'!$B:$B,'Raw_Data'!JA:JA),"")</f>
        <v/>
      </c>
      <c r="J235" s="236" t="str">
        <f>IFERROR(_xlfn.XLOOKUP($A235,'Raw_Data'!$B:$B,'Raw_Data'!JB:JB),"")</f>
        <v/>
      </c>
      <c r="K235" s="236" t="str">
        <f>IFERROR(_xlfn.XLOOKUP($A235,'Raw_Data'!$B:$B,'Raw_Data'!JE:JE),"")</f>
        <v/>
      </c>
      <c r="L235" s="236" t="str">
        <f>IFERROR(_xlfn.XLOOKUP($A235,'Raw_Data'!$B:$B,'Raw_Data'!JF:JF),"")</f>
        <v/>
      </c>
      <c r="M235" s="236" t="str">
        <f>IFERROR(_xlfn.XLOOKUP($A235,'Raw_Data'!$B:$B,'Raw_Data'!JG:JG),"")</f>
        <v/>
      </c>
      <c r="N235" s="236" t="str">
        <f>IFERROR(_xlfn.XLOOKUP($A235,'Raw_Data'!$B:$B,'Raw_Data'!JH:JH),"")</f>
        <v/>
      </c>
      <c r="O235" s="237" t="str">
        <f>IFERROR(1-SUMIF(PA!$B:$B,$A235,PA!$AL:$AL)/($AA235+SUMIF(PA!$B:$B,$A235,PA!$AL:$AL)),"")</f>
        <v/>
      </c>
      <c r="P235" s="238"/>
      <c r="Q235" s="239"/>
      <c r="R235" s="240" t="str">
        <f>IFERROR(1-SUMIF(GA!$C:$C,$A235,GA!$X:$X)/($AA235+SUMIF(GA!$C:$C,$A235,GA!$X:$X)),"")</f>
        <v/>
      </c>
      <c r="S235" s="186"/>
      <c r="T235" s="239"/>
      <c r="U235" s="237" t="str">
        <f t="shared" si="14"/>
        <v/>
      </c>
      <c r="V235" s="237" t="str">
        <f>IFERROR(_xlfn.XLOOKUP($A235,'Raw_Data'!$B:$B,'Raw_Data'!$JL:$JL),"")</f>
        <v/>
      </c>
      <c r="W235" s="240" t="str">
        <f t="shared" si="15"/>
        <v/>
      </c>
      <c r="X235" s="228" t="str">
        <f>IFERROR(_xlfn.XLOOKUP($A235,'Raw_Data'!$B:$B,'Raw_Data'!$JI:$JI),"")</f>
        <v/>
      </c>
      <c r="Y235" s="228" t="str">
        <f>IFERROR(_xlfn.XLOOKUP($A235,'Raw_Data'!$B:$B,'Raw_Data'!IT:IT),"")</f>
        <v/>
      </c>
      <c r="Z235" s="228" t="str">
        <f>IFERROR(_xlfn.XLOOKUP($A235,'Raw_Data'!$B:$B,'Raw_Data'!IU:IU),"")</f>
        <v/>
      </c>
      <c r="AA235" s="228" t="str">
        <f>IFERROR(_xlfn.XLOOKUP($A235,'Raw_Data'!$B:$B,'Raw_Data'!IW:IW),"")</f>
        <v/>
      </c>
      <c r="AB235" s="228" t="str">
        <f>IFERROR(_xlfn.XLOOKUP($A235,'Raw_Data'!$B:$B,'Raw_Data'!I:I)/1000,"")</f>
        <v/>
      </c>
      <c r="AC235" s="241">
        <f>IFERROR(_xlfn.XLOOKUP($D235,'Modelling New'!$D:$D,'Modelling New'!$P:$P),"")</f>
        <v>5.4300000000000006</v>
      </c>
      <c r="AD235" s="228">
        <f>IFERROR(_xlfn.XLOOKUP($D235,'Modelling New'!$D:$D,'Modelling New'!$T:$T)*1000,"")</f>
        <v>1560949.0571497723</v>
      </c>
      <c r="AE235" s="240">
        <f>IFERROR(_xlfn.XLOOKUP($D235,'Modelling New'!$D:$D,'Modelling New'!$O:$O),"")</f>
        <v>0.85787919699962001</v>
      </c>
      <c r="AF235" s="240">
        <f>IFERROR(_xlfn.XLOOKUP($D235,'Modelling New'!$D:$D,'Modelling New'!$W:$W),"")</f>
        <v>0.19409516832116402</v>
      </c>
      <c r="AG235" s="240">
        <f>IFERROR(_xlfn.XLOOKUP($D235,'Modelling New'!$D:$D,'Modelling New'!AE:AE),"")</f>
        <v>0.99750000000000005</v>
      </c>
      <c r="AH235" s="240">
        <f>IFERROR(_xlfn.XLOOKUP($D235,'Modelling New'!$D:$D,'Modelling New'!AF:AF),"")</f>
        <v>0.99750000000000005</v>
      </c>
      <c r="AI235" s="186"/>
      <c r="AJ235" s="186"/>
      <c r="AK235" s="225"/>
      <c r="AL235" s="224">
        <f>IFERROR(Table13[[#This Row],[RA (%)]]*9270*58,"")</f>
        <v>0</v>
      </c>
      <c r="AM235" s="225"/>
      <c r="AN235" s="238"/>
      <c r="AO235" s="240"/>
      <c r="AP235" s="240"/>
      <c r="AQ235" s="240"/>
      <c r="AR235" s="242">
        <f>IFERROR(_xlfn.XLOOKUP($D235,'Modelling New'!$D:$D,'Modelling New'!$N:$N),"")</f>
        <v>335.09100000000001</v>
      </c>
    </row>
    <row r="236" spans="1:44">
      <c r="A236" s="233">
        <f t="shared" si="16"/>
        <v>45979</v>
      </c>
      <c r="B236" s="228">
        <f>YEAR(Table13[[#This Row],[Date]])+IF(MONTH(Table13[[#This Row],[Date]])&gt;=4,1,0)</f>
        <v>2026</v>
      </c>
      <c r="C236" s="186">
        <f>YEAR(Table13[[#This Row],[Date]])</f>
        <v>2025</v>
      </c>
      <c r="D236" s="234">
        <f>Table13[[#This Row],[Date]]-DAY(Table13[[#This Row],[Date]])+1</f>
        <v>45962</v>
      </c>
      <c r="E236" s="186">
        <f t="shared" si="17"/>
        <v>30</v>
      </c>
      <c r="F236" s="235" t="str">
        <f>IFERROR(_xlfn.XLOOKUP($A236,'Raw_Data'!$B:$B,'Raw_Data'!$IX:$IX),"")</f>
        <v/>
      </c>
      <c r="G236" s="236" t="str">
        <f>IFERROR(_xlfn.XLOOKUP($A236,'Raw_Data'!$B:$B,'Raw_Data'!IY:IY),"")</f>
        <v/>
      </c>
      <c r="H236" s="236" t="str">
        <f>IFERROR(_xlfn.XLOOKUP($A236,'Raw_Data'!$B:$B,'Raw_Data'!IZ:IZ),"")</f>
        <v/>
      </c>
      <c r="I236" s="236" t="str">
        <f>IFERROR(_xlfn.XLOOKUP($A236,'Raw_Data'!$B:$B,'Raw_Data'!JA:JA),"")</f>
        <v/>
      </c>
      <c r="J236" s="236" t="str">
        <f>IFERROR(_xlfn.XLOOKUP($A236,'Raw_Data'!$B:$B,'Raw_Data'!JB:JB),"")</f>
        <v/>
      </c>
      <c r="K236" s="236" t="str">
        <f>IFERROR(_xlfn.XLOOKUP($A236,'Raw_Data'!$B:$B,'Raw_Data'!JE:JE),"")</f>
        <v/>
      </c>
      <c r="L236" s="236" t="str">
        <f>IFERROR(_xlfn.XLOOKUP($A236,'Raw_Data'!$B:$B,'Raw_Data'!JF:JF),"")</f>
        <v/>
      </c>
      <c r="M236" s="236" t="str">
        <f>IFERROR(_xlfn.XLOOKUP($A236,'Raw_Data'!$B:$B,'Raw_Data'!JG:JG),"")</f>
        <v/>
      </c>
      <c r="N236" s="236" t="str">
        <f>IFERROR(_xlfn.XLOOKUP($A236,'Raw_Data'!$B:$B,'Raw_Data'!JH:JH),"")</f>
        <v/>
      </c>
      <c r="O236" s="237" t="str">
        <f>IFERROR(1-SUMIF(PA!$B:$B,$A236,PA!$AL:$AL)/($AA236+SUMIF(PA!$B:$B,$A236,PA!$AL:$AL)),"")</f>
        <v/>
      </c>
      <c r="P236" s="238"/>
      <c r="Q236" s="239"/>
      <c r="R236" s="240" t="str">
        <f>IFERROR(1-SUMIF(GA!$C:$C,$A236,GA!$X:$X)/($AA236+SUMIF(GA!$C:$C,$A236,GA!$X:$X)),"")</f>
        <v/>
      </c>
      <c r="S236" s="186"/>
      <c r="T236" s="239"/>
      <c r="U236" s="237" t="str">
        <f t="shared" si="14"/>
        <v/>
      </c>
      <c r="V236" s="237" t="str">
        <f>IFERROR(_xlfn.XLOOKUP($A236,'Raw_Data'!$B:$B,'Raw_Data'!$JL:$JL),"")</f>
        <v/>
      </c>
      <c r="W236" s="240" t="str">
        <f t="shared" si="15"/>
        <v/>
      </c>
      <c r="X236" s="228" t="str">
        <f>IFERROR(_xlfn.XLOOKUP($A236,'Raw_Data'!$B:$B,'Raw_Data'!$JI:$JI),"")</f>
        <v/>
      </c>
      <c r="Y236" s="228" t="str">
        <f>IFERROR(_xlfn.XLOOKUP($A236,'Raw_Data'!$B:$B,'Raw_Data'!IT:IT),"")</f>
        <v/>
      </c>
      <c r="Z236" s="228" t="str">
        <f>IFERROR(_xlfn.XLOOKUP($A236,'Raw_Data'!$B:$B,'Raw_Data'!IU:IU),"")</f>
        <v/>
      </c>
      <c r="AA236" s="228" t="str">
        <f>IFERROR(_xlfn.XLOOKUP($A236,'Raw_Data'!$B:$B,'Raw_Data'!IW:IW),"")</f>
        <v/>
      </c>
      <c r="AB236" s="228" t="str">
        <f>IFERROR(_xlfn.XLOOKUP($A236,'Raw_Data'!$B:$B,'Raw_Data'!I:I)/1000,"")</f>
        <v/>
      </c>
      <c r="AC236" s="241">
        <f>IFERROR(_xlfn.XLOOKUP($D236,'Modelling New'!$D:$D,'Modelling New'!$P:$P),"")</f>
        <v>5.4300000000000006</v>
      </c>
      <c r="AD236" s="228">
        <f>IFERROR(_xlfn.XLOOKUP($D236,'Modelling New'!$D:$D,'Modelling New'!$T:$T)*1000,"")</f>
        <v>1560949.0571497723</v>
      </c>
      <c r="AE236" s="240">
        <f>IFERROR(_xlfn.XLOOKUP($D236,'Modelling New'!$D:$D,'Modelling New'!$O:$O),"")</f>
        <v>0.85787919699962001</v>
      </c>
      <c r="AF236" s="240">
        <f>IFERROR(_xlfn.XLOOKUP($D236,'Modelling New'!$D:$D,'Modelling New'!$W:$W),"")</f>
        <v>0.19409516832116402</v>
      </c>
      <c r="AG236" s="240">
        <f>IFERROR(_xlfn.XLOOKUP($D236,'Modelling New'!$D:$D,'Modelling New'!AE:AE),"")</f>
        <v>0.99750000000000005</v>
      </c>
      <c r="AH236" s="240">
        <f>IFERROR(_xlfn.XLOOKUP($D236,'Modelling New'!$D:$D,'Modelling New'!AF:AF),"")</f>
        <v>0.99750000000000005</v>
      </c>
      <c r="AI236" s="186"/>
      <c r="AJ236" s="186"/>
      <c r="AK236" s="225"/>
      <c r="AL236" s="224">
        <f>IFERROR(Table13[[#This Row],[RA (%)]]*9270*58,"")</f>
        <v>0</v>
      </c>
      <c r="AM236" s="225"/>
      <c r="AN236" s="238"/>
      <c r="AO236" s="240"/>
      <c r="AP236" s="240"/>
      <c r="AQ236" s="240"/>
      <c r="AR236" s="242">
        <f>IFERROR(_xlfn.XLOOKUP($D236,'Modelling New'!$D:$D,'Modelling New'!$N:$N),"")</f>
        <v>335.09100000000001</v>
      </c>
    </row>
    <row r="237" spans="1:44">
      <c r="A237" s="233">
        <f t="shared" si="16"/>
        <v>45980</v>
      </c>
      <c r="B237" s="228">
        <f>YEAR(Table13[[#This Row],[Date]])+IF(MONTH(Table13[[#This Row],[Date]])&gt;=4,1,0)</f>
        <v>2026</v>
      </c>
      <c r="C237" s="186">
        <f>YEAR(Table13[[#This Row],[Date]])</f>
        <v>2025</v>
      </c>
      <c r="D237" s="234">
        <f>Table13[[#This Row],[Date]]-DAY(Table13[[#This Row],[Date]])+1</f>
        <v>45962</v>
      </c>
      <c r="E237" s="186">
        <f t="shared" si="17"/>
        <v>30</v>
      </c>
      <c r="F237" s="235" t="str">
        <f>IFERROR(_xlfn.XLOOKUP($A237,'Raw_Data'!$B:$B,'Raw_Data'!$IX:$IX),"")</f>
        <v/>
      </c>
      <c r="G237" s="236" t="str">
        <f>IFERROR(_xlfn.XLOOKUP($A237,'Raw_Data'!$B:$B,'Raw_Data'!IY:IY),"")</f>
        <v/>
      </c>
      <c r="H237" s="236" t="str">
        <f>IFERROR(_xlfn.XLOOKUP($A237,'Raw_Data'!$B:$B,'Raw_Data'!IZ:IZ),"")</f>
        <v/>
      </c>
      <c r="I237" s="236" t="str">
        <f>IFERROR(_xlfn.XLOOKUP($A237,'Raw_Data'!$B:$B,'Raw_Data'!JA:JA),"")</f>
        <v/>
      </c>
      <c r="J237" s="236" t="str">
        <f>IFERROR(_xlfn.XLOOKUP($A237,'Raw_Data'!$B:$B,'Raw_Data'!JB:JB),"")</f>
        <v/>
      </c>
      <c r="K237" s="236" t="str">
        <f>IFERROR(_xlfn.XLOOKUP($A237,'Raw_Data'!$B:$B,'Raw_Data'!JE:JE),"")</f>
        <v/>
      </c>
      <c r="L237" s="236" t="str">
        <f>IFERROR(_xlfn.XLOOKUP($A237,'Raw_Data'!$B:$B,'Raw_Data'!JF:JF),"")</f>
        <v/>
      </c>
      <c r="M237" s="236" t="str">
        <f>IFERROR(_xlfn.XLOOKUP($A237,'Raw_Data'!$B:$B,'Raw_Data'!JG:JG),"")</f>
        <v/>
      </c>
      <c r="N237" s="236" t="str">
        <f>IFERROR(_xlfn.XLOOKUP($A237,'Raw_Data'!$B:$B,'Raw_Data'!JH:JH),"")</f>
        <v/>
      </c>
      <c r="O237" s="237" t="str">
        <f>IFERROR(1-SUMIF(PA!$B:$B,$A237,PA!$AL:$AL)/($AA237+SUMIF(PA!$B:$B,$A237,PA!$AL:$AL)),"")</f>
        <v/>
      </c>
      <c r="P237" s="238"/>
      <c r="Q237" s="239"/>
      <c r="R237" s="240" t="str">
        <f>IFERROR(1-SUMIF(GA!$C:$C,$A237,GA!$X:$X)/($AA237+SUMIF(GA!$C:$C,$A237,GA!$X:$X)),"")</f>
        <v/>
      </c>
      <c r="S237" s="186"/>
      <c r="T237" s="239"/>
      <c r="U237" s="237" t="str">
        <f t="shared" si="14"/>
        <v/>
      </c>
      <c r="V237" s="237" t="str">
        <f>IFERROR(_xlfn.XLOOKUP($A237,'Raw_Data'!$B:$B,'Raw_Data'!$JL:$JL),"")</f>
        <v/>
      </c>
      <c r="W237" s="240" t="str">
        <f t="shared" si="15"/>
        <v/>
      </c>
      <c r="X237" s="228" t="str">
        <f>IFERROR(_xlfn.XLOOKUP($A237,'Raw_Data'!$B:$B,'Raw_Data'!$JI:$JI),"")</f>
        <v/>
      </c>
      <c r="Y237" s="228" t="str">
        <f>IFERROR(_xlfn.XLOOKUP($A237,'Raw_Data'!$B:$B,'Raw_Data'!IT:IT),"")</f>
        <v/>
      </c>
      <c r="Z237" s="228" t="str">
        <f>IFERROR(_xlfn.XLOOKUP($A237,'Raw_Data'!$B:$B,'Raw_Data'!IU:IU),"")</f>
        <v/>
      </c>
      <c r="AA237" s="228" t="str">
        <f>IFERROR(_xlfn.XLOOKUP($A237,'Raw_Data'!$B:$B,'Raw_Data'!IW:IW),"")</f>
        <v/>
      </c>
      <c r="AB237" s="228" t="str">
        <f>IFERROR(_xlfn.XLOOKUP($A237,'Raw_Data'!$B:$B,'Raw_Data'!I:I)/1000,"")</f>
        <v/>
      </c>
      <c r="AC237" s="241">
        <f>IFERROR(_xlfn.XLOOKUP($D237,'Modelling New'!$D:$D,'Modelling New'!$P:$P),"")</f>
        <v>5.4300000000000006</v>
      </c>
      <c r="AD237" s="228">
        <f>IFERROR(_xlfn.XLOOKUP($D237,'Modelling New'!$D:$D,'Modelling New'!$T:$T)*1000,"")</f>
        <v>1560949.0571497723</v>
      </c>
      <c r="AE237" s="240">
        <f>IFERROR(_xlfn.XLOOKUP($D237,'Modelling New'!$D:$D,'Modelling New'!$O:$O),"")</f>
        <v>0.85787919699962001</v>
      </c>
      <c r="AF237" s="240">
        <f>IFERROR(_xlfn.XLOOKUP($D237,'Modelling New'!$D:$D,'Modelling New'!$W:$W),"")</f>
        <v>0.19409516832116402</v>
      </c>
      <c r="AG237" s="240">
        <f>IFERROR(_xlfn.XLOOKUP($D237,'Modelling New'!$D:$D,'Modelling New'!AE:AE),"")</f>
        <v>0.99750000000000005</v>
      </c>
      <c r="AH237" s="240">
        <f>IFERROR(_xlfn.XLOOKUP($D237,'Modelling New'!$D:$D,'Modelling New'!AF:AF),"")</f>
        <v>0.99750000000000005</v>
      </c>
      <c r="AI237" s="186"/>
      <c r="AJ237" s="186"/>
      <c r="AK237" s="225"/>
      <c r="AL237" s="224">
        <f>IFERROR(Table13[[#This Row],[RA (%)]]*9270*58,"")</f>
        <v>0</v>
      </c>
      <c r="AM237" s="225"/>
      <c r="AN237" s="238"/>
      <c r="AO237" s="240"/>
      <c r="AP237" s="240"/>
      <c r="AQ237" s="240"/>
      <c r="AR237" s="242">
        <f>IFERROR(_xlfn.XLOOKUP($D237,'Modelling New'!$D:$D,'Modelling New'!$N:$N),"")</f>
        <v>335.09100000000001</v>
      </c>
    </row>
    <row r="238" spans="1:44">
      <c r="A238" s="233">
        <f t="shared" si="16"/>
        <v>45981</v>
      </c>
      <c r="B238" s="228">
        <f>YEAR(Table13[[#This Row],[Date]])+IF(MONTH(Table13[[#This Row],[Date]])&gt;=4,1,0)</f>
        <v>2026</v>
      </c>
      <c r="C238" s="186">
        <f>YEAR(Table13[[#This Row],[Date]])</f>
        <v>2025</v>
      </c>
      <c r="D238" s="234">
        <f>Table13[[#This Row],[Date]]-DAY(Table13[[#This Row],[Date]])+1</f>
        <v>45962</v>
      </c>
      <c r="E238" s="186">
        <f t="shared" si="17"/>
        <v>30</v>
      </c>
      <c r="F238" s="235" t="str">
        <f>IFERROR(_xlfn.XLOOKUP($A238,'Raw_Data'!$B:$B,'Raw_Data'!$IX:$IX),"")</f>
        <v/>
      </c>
      <c r="G238" s="236" t="str">
        <f>IFERROR(_xlfn.XLOOKUP($A238,'Raw_Data'!$B:$B,'Raw_Data'!IY:IY),"")</f>
        <v/>
      </c>
      <c r="H238" s="236" t="str">
        <f>IFERROR(_xlfn.XLOOKUP($A238,'Raw_Data'!$B:$B,'Raw_Data'!IZ:IZ),"")</f>
        <v/>
      </c>
      <c r="I238" s="236" t="str">
        <f>IFERROR(_xlfn.XLOOKUP($A238,'Raw_Data'!$B:$B,'Raw_Data'!JA:JA),"")</f>
        <v/>
      </c>
      <c r="J238" s="236" t="str">
        <f>IFERROR(_xlfn.XLOOKUP($A238,'Raw_Data'!$B:$B,'Raw_Data'!JB:JB),"")</f>
        <v/>
      </c>
      <c r="K238" s="236" t="str">
        <f>IFERROR(_xlfn.XLOOKUP($A238,'Raw_Data'!$B:$B,'Raw_Data'!JE:JE),"")</f>
        <v/>
      </c>
      <c r="L238" s="236" t="str">
        <f>IFERROR(_xlfn.XLOOKUP($A238,'Raw_Data'!$B:$B,'Raw_Data'!JF:JF),"")</f>
        <v/>
      </c>
      <c r="M238" s="236" t="str">
        <f>IFERROR(_xlfn.XLOOKUP($A238,'Raw_Data'!$B:$B,'Raw_Data'!JG:JG),"")</f>
        <v/>
      </c>
      <c r="N238" s="236" t="str">
        <f>IFERROR(_xlfn.XLOOKUP($A238,'Raw_Data'!$B:$B,'Raw_Data'!JH:JH),"")</f>
        <v/>
      </c>
      <c r="O238" s="237" t="str">
        <f>IFERROR(1-SUMIF(PA!$B:$B,$A238,PA!$AL:$AL)/($AA238+SUMIF(PA!$B:$B,$A238,PA!$AL:$AL)),"")</f>
        <v/>
      </c>
      <c r="P238" s="238"/>
      <c r="Q238" s="239"/>
      <c r="R238" s="240" t="str">
        <f>IFERROR(1-SUMIF(GA!$C:$C,$A238,GA!$X:$X)/($AA238+SUMIF(GA!$C:$C,$A238,GA!$X:$X)),"")</f>
        <v/>
      </c>
      <c r="S238" s="186"/>
      <c r="T238" s="239"/>
      <c r="U238" s="237" t="str">
        <f t="shared" si="14"/>
        <v/>
      </c>
      <c r="V238" s="237" t="str">
        <f>IFERROR(_xlfn.XLOOKUP($A238,'Raw_Data'!$B:$B,'Raw_Data'!$JL:$JL),"")</f>
        <v/>
      </c>
      <c r="W238" s="240" t="str">
        <f t="shared" si="15"/>
        <v/>
      </c>
      <c r="X238" s="228" t="str">
        <f>IFERROR(_xlfn.XLOOKUP($A238,'Raw_Data'!$B:$B,'Raw_Data'!$JI:$JI),"")</f>
        <v/>
      </c>
      <c r="Y238" s="228" t="str">
        <f>IFERROR(_xlfn.XLOOKUP($A238,'Raw_Data'!$B:$B,'Raw_Data'!IT:IT),"")</f>
        <v/>
      </c>
      <c r="Z238" s="228" t="str">
        <f>IFERROR(_xlfn.XLOOKUP($A238,'Raw_Data'!$B:$B,'Raw_Data'!IU:IU),"")</f>
        <v/>
      </c>
      <c r="AA238" s="228" t="str">
        <f>IFERROR(_xlfn.XLOOKUP($A238,'Raw_Data'!$B:$B,'Raw_Data'!IW:IW),"")</f>
        <v/>
      </c>
      <c r="AB238" s="228" t="str">
        <f>IFERROR(_xlfn.XLOOKUP($A238,'Raw_Data'!$B:$B,'Raw_Data'!I:I)/1000,"")</f>
        <v/>
      </c>
      <c r="AC238" s="241">
        <f>IFERROR(_xlfn.XLOOKUP($D238,'Modelling New'!$D:$D,'Modelling New'!$P:$P),"")</f>
        <v>5.4300000000000006</v>
      </c>
      <c r="AD238" s="228">
        <f>IFERROR(_xlfn.XLOOKUP($D238,'Modelling New'!$D:$D,'Modelling New'!$T:$T)*1000,"")</f>
        <v>1560949.0571497723</v>
      </c>
      <c r="AE238" s="240">
        <f>IFERROR(_xlfn.XLOOKUP($D238,'Modelling New'!$D:$D,'Modelling New'!$O:$O),"")</f>
        <v>0.85787919699962001</v>
      </c>
      <c r="AF238" s="240">
        <f>IFERROR(_xlfn.XLOOKUP($D238,'Modelling New'!$D:$D,'Modelling New'!$W:$W),"")</f>
        <v>0.19409516832116402</v>
      </c>
      <c r="AG238" s="240">
        <f>IFERROR(_xlfn.XLOOKUP($D238,'Modelling New'!$D:$D,'Modelling New'!AE:AE),"")</f>
        <v>0.99750000000000005</v>
      </c>
      <c r="AH238" s="240">
        <f>IFERROR(_xlfn.XLOOKUP($D238,'Modelling New'!$D:$D,'Modelling New'!AF:AF),"")</f>
        <v>0.99750000000000005</v>
      </c>
      <c r="AI238" s="186"/>
      <c r="AJ238" s="186"/>
      <c r="AK238" s="225"/>
      <c r="AL238" s="224">
        <f>IFERROR(Table13[[#This Row],[RA (%)]]*9270*58,"")</f>
        <v>0</v>
      </c>
      <c r="AM238" s="225"/>
      <c r="AN238" s="238"/>
      <c r="AO238" s="240"/>
      <c r="AP238" s="240"/>
      <c r="AQ238" s="240"/>
      <c r="AR238" s="242">
        <f>IFERROR(_xlfn.XLOOKUP($D238,'Modelling New'!$D:$D,'Modelling New'!$N:$N),"")</f>
        <v>335.09100000000001</v>
      </c>
    </row>
    <row r="239" spans="1:44">
      <c r="A239" s="233">
        <f t="shared" si="16"/>
        <v>45982</v>
      </c>
      <c r="B239" s="228">
        <f>YEAR(Table13[[#This Row],[Date]])+IF(MONTH(Table13[[#This Row],[Date]])&gt;=4,1,0)</f>
        <v>2026</v>
      </c>
      <c r="C239" s="186">
        <f>YEAR(Table13[[#This Row],[Date]])</f>
        <v>2025</v>
      </c>
      <c r="D239" s="234">
        <f>Table13[[#This Row],[Date]]-DAY(Table13[[#This Row],[Date]])+1</f>
        <v>45962</v>
      </c>
      <c r="E239" s="186">
        <f t="shared" si="17"/>
        <v>30</v>
      </c>
      <c r="F239" s="235" t="str">
        <f>IFERROR(_xlfn.XLOOKUP($A239,'Raw_Data'!$B:$B,'Raw_Data'!$IX:$IX),"")</f>
        <v/>
      </c>
      <c r="G239" s="236" t="str">
        <f>IFERROR(_xlfn.XLOOKUP($A239,'Raw_Data'!$B:$B,'Raw_Data'!IY:IY),"")</f>
        <v/>
      </c>
      <c r="H239" s="236" t="str">
        <f>IFERROR(_xlfn.XLOOKUP($A239,'Raw_Data'!$B:$B,'Raw_Data'!IZ:IZ),"")</f>
        <v/>
      </c>
      <c r="I239" s="236" t="str">
        <f>IFERROR(_xlfn.XLOOKUP($A239,'Raw_Data'!$B:$B,'Raw_Data'!JA:JA),"")</f>
        <v/>
      </c>
      <c r="J239" s="236" t="str">
        <f>IFERROR(_xlfn.XLOOKUP($A239,'Raw_Data'!$B:$B,'Raw_Data'!JB:JB),"")</f>
        <v/>
      </c>
      <c r="K239" s="236" t="str">
        <f>IFERROR(_xlfn.XLOOKUP($A239,'Raw_Data'!$B:$B,'Raw_Data'!JE:JE),"")</f>
        <v/>
      </c>
      <c r="L239" s="236" t="str">
        <f>IFERROR(_xlfn.XLOOKUP($A239,'Raw_Data'!$B:$B,'Raw_Data'!JF:JF),"")</f>
        <v/>
      </c>
      <c r="M239" s="236" t="str">
        <f>IFERROR(_xlfn.XLOOKUP($A239,'Raw_Data'!$B:$B,'Raw_Data'!JG:JG),"")</f>
        <v/>
      </c>
      <c r="N239" s="236" t="str">
        <f>IFERROR(_xlfn.XLOOKUP($A239,'Raw_Data'!$B:$B,'Raw_Data'!JH:JH),"")</f>
        <v/>
      </c>
      <c r="O239" s="237" t="str">
        <f>IFERROR(1-SUMIF(PA!$B:$B,$A239,PA!$AL:$AL)/($AA239+SUMIF(PA!$B:$B,$A239,PA!$AL:$AL)),"")</f>
        <v/>
      </c>
      <c r="P239" s="238"/>
      <c r="Q239" s="239"/>
      <c r="R239" s="240" t="str">
        <f>IFERROR(1-SUMIF(GA!$C:$C,$A239,GA!$X:$X)/($AA239+SUMIF(GA!$C:$C,$A239,GA!$X:$X)),"")</f>
        <v/>
      </c>
      <c r="S239" s="186"/>
      <c r="T239" s="239"/>
      <c r="U239" s="237" t="str">
        <f t="shared" si="14"/>
        <v/>
      </c>
      <c r="V239" s="237" t="str">
        <f>IFERROR(_xlfn.XLOOKUP($A239,'Raw_Data'!$B:$B,'Raw_Data'!$JL:$JL),"")</f>
        <v/>
      </c>
      <c r="W239" s="240" t="str">
        <f t="shared" si="15"/>
        <v/>
      </c>
      <c r="X239" s="228" t="str">
        <f>IFERROR(_xlfn.XLOOKUP($A239,'Raw_Data'!$B:$B,'Raw_Data'!$JI:$JI),"")</f>
        <v/>
      </c>
      <c r="Y239" s="228" t="str">
        <f>IFERROR(_xlfn.XLOOKUP($A239,'Raw_Data'!$B:$B,'Raw_Data'!IT:IT),"")</f>
        <v/>
      </c>
      <c r="Z239" s="228" t="str">
        <f>IFERROR(_xlfn.XLOOKUP($A239,'Raw_Data'!$B:$B,'Raw_Data'!IU:IU),"")</f>
        <v/>
      </c>
      <c r="AA239" s="228" t="str">
        <f>IFERROR(_xlfn.XLOOKUP($A239,'Raw_Data'!$B:$B,'Raw_Data'!IW:IW),"")</f>
        <v/>
      </c>
      <c r="AB239" s="228" t="str">
        <f>IFERROR(_xlfn.XLOOKUP($A239,'Raw_Data'!$B:$B,'Raw_Data'!I:I)/1000,"")</f>
        <v/>
      </c>
      <c r="AC239" s="241">
        <f>IFERROR(_xlfn.XLOOKUP($D239,'Modelling New'!$D:$D,'Modelling New'!$P:$P),"")</f>
        <v>5.4300000000000006</v>
      </c>
      <c r="AD239" s="228">
        <f>IFERROR(_xlfn.XLOOKUP($D239,'Modelling New'!$D:$D,'Modelling New'!$T:$T)*1000,"")</f>
        <v>1560949.0571497723</v>
      </c>
      <c r="AE239" s="240">
        <f>IFERROR(_xlfn.XLOOKUP($D239,'Modelling New'!$D:$D,'Modelling New'!$O:$O),"")</f>
        <v>0.85787919699962001</v>
      </c>
      <c r="AF239" s="240">
        <f>IFERROR(_xlfn.XLOOKUP($D239,'Modelling New'!$D:$D,'Modelling New'!$W:$W),"")</f>
        <v>0.19409516832116402</v>
      </c>
      <c r="AG239" s="240">
        <f>IFERROR(_xlfn.XLOOKUP($D239,'Modelling New'!$D:$D,'Modelling New'!AE:AE),"")</f>
        <v>0.99750000000000005</v>
      </c>
      <c r="AH239" s="240">
        <f>IFERROR(_xlfn.XLOOKUP($D239,'Modelling New'!$D:$D,'Modelling New'!AF:AF),"")</f>
        <v>0.99750000000000005</v>
      </c>
      <c r="AI239" s="186"/>
      <c r="AJ239" s="186"/>
      <c r="AK239" s="225"/>
      <c r="AL239" s="224">
        <f>IFERROR(Table13[[#This Row],[RA (%)]]*9270*58,"")</f>
        <v>0</v>
      </c>
      <c r="AM239" s="225"/>
      <c r="AN239" s="238"/>
      <c r="AO239" s="240"/>
      <c r="AP239" s="240"/>
      <c r="AQ239" s="240"/>
      <c r="AR239" s="242">
        <f>IFERROR(_xlfn.XLOOKUP($D239,'Modelling New'!$D:$D,'Modelling New'!$N:$N),"")</f>
        <v>335.09100000000001</v>
      </c>
    </row>
    <row r="240" spans="1:44">
      <c r="A240" s="233">
        <f t="shared" si="16"/>
        <v>45983</v>
      </c>
      <c r="B240" s="228">
        <f>YEAR(Table13[[#This Row],[Date]])+IF(MONTH(Table13[[#This Row],[Date]])&gt;=4,1,0)</f>
        <v>2026</v>
      </c>
      <c r="C240" s="186">
        <f>YEAR(Table13[[#This Row],[Date]])</f>
        <v>2025</v>
      </c>
      <c r="D240" s="234">
        <f>Table13[[#This Row],[Date]]-DAY(Table13[[#This Row],[Date]])+1</f>
        <v>45962</v>
      </c>
      <c r="E240" s="186">
        <f t="shared" si="17"/>
        <v>30</v>
      </c>
      <c r="F240" s="235" t="str">
        <f>IFERROR(_xlfn.XLOOKUP($A240,'Raw_Data'!$B:$B,'Raw_Data'!$IX:$IX),"")</f>
        <v/>
      </c>
      <c r="G240" s="236" t="str">
        <f>IFERROR(_xlfn.XLOOKUP($A240,'Raw_Data'!$B:$B,'Raw_Data'!IY:IY),"")</f>
        <v/>
      </c>
      <c r="H240" s="236" t="str">
        <f>IFERROR(_xlfn.XLOOKUP($A240,'Raw_Data'!$B:$B,'Raw_Data'!IZ:IZ),"")</f>
        <v/>
      </c>
      <c r="I240" s="236" t="str">
        <f>IFERROR(_xlfn.XLOOKUP($A240,'Raw_Data'!$B:$B,'Raw_Data'!JA:JA),"")</f>
        <v/>
      </c>
      <c r="J240" s="236" t="str">
        <f>IFERROR(_xlfn.XLOOKUP($A240,'Raw_Data'!$B:$B,'Raw_Data'!JB:JB),"")</f>
        <v/>
      </c>
      <c r="K240" s="236" t="str">
        <f>IFERROR(_xlfn.XLOOKUP($A240,'Raw_Data'!$B:$B,'Raw_Data'!JE:JE),"")</f>
        <v/>
      </c>
      <c r="L240" s="236" t="str">
        <f>IFERROR(_xlfn.XLOOKUP($A240,'Raw_Data'!$B:$B,'Raw_Data'!JF:JF),"")</f>
        <v/>
      </c>
      <c r="M240" s="236" t="str">
        <f>IFERROR(_xlfn.XLOOKUP($A240,'Raw_Data'!$B:$B,'Raw_Data'!JG:JG),"")</f>
        <v/>
      </c>
      <c r="N240" s="236" t="str">
        <f>IFERROR(_xlfn.XLOOKUP($A240,'Raw_Data'!$B:$B,'Raw_Data'!JH:JH),"")</f>
        <v/>
      </c>
      <c r="O240" s="237" t="str">
        <f>IFERROR(1-SUMIF(PA!$B:$B,$A240,PA!$AL:$AL)/($AA240+SUMIF(PA!$B:$B,$A240,PA!$AL:$AL)),"")</f>
        <v/>
      </c>
      <c r="P240" s="238"/>
      <c r="Q240" s="239"/>
      <c r="R240" s="240" t="str">
        <f>IFERROR(1-SUMIF(GA!$C:$C,$A240,GA!$X:$X)/($AA240+SUMIF(GA!$C:$C,$A240,GA!$X:$X)),"")</f>
        <v/>
      </c>
      <c r="S240" s="186"/>
      <c r="T240" s="239"/>
      <c r="U240" s="237" t="str">
        <f t="shared" si="14"/>
        <v/>
      </c>
      <c r="V240" s="237" t="str">
        <f>IFERROR(_xlfn.XLOOKUP($A240,'Raw_Data'!$B:$B,'Raw_Data'!$JL:$JL),"")</f>
        <v/>
      </c>
      <c r="W240" s="240" t="str">
        <f t="shared" si="15"/>
        <v/>
      </c>
      <c r="X240" s="228" t="str">
        <f>IFERROR(_xlfn.XLOOKUP($A240,'Raw_Data'!$B:$B,'Raw_Data'!$JI:$JI),"")</f>
        <v/>
      </c>
      <c r="Y240" s="228" t="str">
        <f>IFERROR(_xlfn.XLOOKUP($A240,'Raw_Data'!$B:$B,'Raw_Data'!IT:IT),"")</f>
        <v/>
      </c>
      <c r="Z240" s="228" t="str">
        <f>IFERROR(_xlfn.XLOOKUP($A240,'Raw_Data'!$B:$B,'Raw_Data'!IU:IU),"")</f>
        <v/>
      </c>
      <c r="AA240" s="228" t="str">
        <f>IFERROR(_xlfn.XLOOKUP($A240,'Raw_Data'!$B:$B,'Raw_Data'!IW:IW),"")</f>
        <v/>
      </c>
      <c r="AB240" s="228" t="str">
        <f>IFERROR(_xlfn.XLOOKUP($A240,'Raw_Data'!$B:$B,'Raw_Data'!I:I)/1000,"")</f>
        <v/>
      </c>
      <c r="AC240" s="241">
        <f>IFERROR(_xlfn.XLOOKUP($D240,'Modelling New'!$D:$D,'Modelling New'!$P:$P),"")</f>
        <v>5.4300000000000006</v>
      </c>
      <c r="AD240" s="228">
        <f>IFERROR(_xlfn.XLOOKUP($D240,'Modelling New'!$D:$D,'Modelling New'!$T:$T)*1000,"")</f>
        <v>1560949.0571497723</v>
      </c>
      <c r="AE240" s="240">
        <f>IFERROR(_xlfn.XLOOKUP($D240,'Modelling New'!$D:$D,'Modelling New'!$O:$O),"")</f>
        <v>0.85787919699962001</v>
      </c>
      <c r="AF240" s="240">
        <f>IFERROR(_xlfn.XLOOKUP($D240,'Modelling New'!$D:$D,'Modelling New'!$W:$W),"")</f>
        <v>0.19409516832116402</v>
      </c>
      <c r="AG240" s="240">
        <f>IFERROR(_xlfn.XLOOKUP($D240,'Modelling New'!$D:$D,'Modelling New'!AE:AE),"")</f>
        <v>0.99750000000000005</v>
      </c>
      <c r="AH240" s="240">
        <f>IFERROR(_xlfn.XLOOKUP($D240,'Modelling New'!$D:$D,'Modelling New'!AF:AF),"")</f>
        <v>0.99750000000000005</v>
      </c>
      <c r="AI240" s="186"/>
      <c r="AJ240" s="186"/>
      <c r="AK240" s="225"/>
      <c r="AL240" s="224">
        <f>IFERROR(Table13[[#This Row],[RA (%)]]*9270*58,"")</f>
        <v>0</v>
      </c>
      <c r="AM240" s="225"/>
      <c r="AN240" s="238"/>
      <c r="AO240" s="240"/>
      <c r="AP240" s="240"/>
      <c r="AQ240" s="240"/>
      <c r="AR240" s="242">
        <f>IFERROR(_xlfn.XLOOKUP($D240,'Modelling New'!$D:$D,'Modelling New'!$N:$N),"")</f>
        <v>335.09100000000001</v>
      </c>
    </row>
    <row r="241" spans="1:44">
      <c r="A241" s="233">
        <f t="shared" si="16"/>
        <v>45984</v>
      </c>
      <c r="B241" s="228">
        <f>YEAR(Table13[[#This Row],[Date]])+IF(MONTH(Table13[[#This Row],[Date]])&gt;=4,1,0)</f>
        <v>2026</v>
      </c>
      <c r="C241" s="186">
        <f>YEAR(Table13[[#This Row],[Date]])</f>
        <v>2025</v>
      </c>
      <c r="D241" s="234">
        <f>Table13[[#This Row],[Date]]-DAY(Table13[[#This Row],[Date]])+1</f>
        <v>45962</v>
      </c>
      <c r="E241" s="186">
        <f t="shared" si="17"/>
        <v>30</v>
      </c>
      <c r="F241" s="235" t="str">
        <f>IFERROR(_xlfn.XLOOKUP($A241,'Raw_Data'!$B:$B,'Raw_Data'!$IX:$IX),"")</f>
        <v/>
      </c>
      <c r="G241" s="236" t="str">
        <f>IFERROR(_xlfn.XLOOKUP($A241,'Raw_Data'!$B:$B,'Raw_Data'!IY:IY),"")</f>
        <v/>
      </c>
      <c r="H241" s="236" t="str">
        <f>IFERROR(_xlfn.XLOOKUP($A241,'Raw_Data'!$B:$B,'Raw_Data'!IZ:IZ),"")</f>
        <v/>
      </c>
      <c r="I241" s="236" t="str">
        <f>IFERROR(_xlfn.XLOOKUP($A241,'Raw_Data'!$B:$B,'Raw_Data'!JA:JA),"")</f>
        <v/>
      </c>
      <c r="J241" s="236" t="str">
        <f>IFERROR(_xlfn.XLOOKUP($A241,'Raw_Data'!$B:$B,'Raw_Data'!JB:JB),"")</f>
        <v/>
      </c>
      <c r="K241" s="236" t="str">
        <f>IFERROR(_xlfn.XLOOKUP($A241,'Raw_Data'!$B:$B,'Raw_Data'!JE:JE),"")</f>
        <v/>
      </c>
      <c r="L241" s="236" t="str">
        <f>IFERROR(_xlfn.XLOOKUP($A241,'Raw_Data'!$B:$B,'Raw_Data'!JF:JF),"")</f>
        <v/>
      </c>
      <c r="M241" s="236" t="str">
        <f>IFERROR(_xlfn.XLOOKUP($A241,'Raw_Data'!$B:$B,'Raw_Data'!JG:JG),"")</f>
        <v/>
      </c>
      <c r="N241" s="236" t="str">
        <f>IFERROR(_xlfn.XLOOKUP($A241,'Raw_Data'!$B:$B,'Raw_Data'!JH:JH),"")</f>
        <v/>
      </c>
      <c r="O241" s="237" t="str">
        <f>IFERROR(1-SUMIF(PA!$B:$B,$A241,PA!$AL:$AL)/($AA241+SUMIF(PA!$B:$B,$A241,PA!$AL:$AL)),"")</f>
        <v/>
      </c>
      <c r="P241" s="238"/>
      <c r="Q241" s="239"/>
      <c r="R241" s="240" t="str">
        <f>IFERROR(1-SUMIF(GA!$C:$C,$A241,GA!$X:$X)/($AA241+SUMIF(GA!$C:$C,$A241,GA!$X:$X)),"")</f>
        <v/>
      </c>
      <c r="S241" s="186"/>
      <c r="T241" s="239"/>
      <c r="U241" s="237" t="str">
        <f t="shared" si="14"/>
        <v/>
      </c>
      <c r="V241" s="237" t="str">
        <f>IFERROR(_xlfn.XLOOKUP($A241,'Raw_Data'!$B:$B,'Raw_Data'!$JL:$JL),"")</f>
        <v/>
      </c>
      <c r="W241" s="240" t="str">
        <f t="shared" si="15"/>
        <v/>
      </c>
      <c r="X241" s="228" t="str">
        <f>IFERROR(_xlfn.XLOOKUP($A241,'Raw_Data'!$B:$B,'Raw_Data'!$JI:$JI),"")</f>
        <v/>
      </c>
      <c r="Y241" s="228" t="str">
        <f>IFERROR(_xlfn.XLOOKUP($A241,'Raw_Data'!$B:$B,'Raw_Data'!IT:IT),"")</f>
        <v/>
      </c>
      <c r="Z241" s="228" t="str">
        <f>IFERROR(_xlfn.XLOOKUP($A241,'Raw_Data'!$B:$B,'Raw_Data'!IU:IU),"")</f>
        <v/>
      </c>
      <c r="AA241" s="228" t="str">
        <f>IFERROR(_xlfn.XLOOKUP($A241,'Raw_Data'!$B:$B,'Raw_Data'!IW:IW),"")</f>
        <v/>
      </c>
      <c r="AB241" s="228" t="str">
        <f>IFERROR(_xlfn.XLOOKUP($A241,'Raw_Data'!$B:$B,'Raw_Data'!I:I)/1000,"")</f>
        <v/>
      </c>
      <c r="AC241" s="241">
        <f>IFERROR(_xlfn.XLOOKUP($D241,'Modelling New'!$D:$D,'Modelling New'!$P:$P),"")</f>
        <v>5.4300000000000006</v>
      </c>
      <c r="AD241" s="228">
        <f>IFERROR(_xlfn.XLOOKUP($D241,'Modelling New'!$D:$D,'Modelling New'!$T:$T)*1000,"")</f>
        <v>1560949.0571497723</v>
      </c>
      <c r="AE241" s="240">
        <f>IFERROR(_xlfn.XLOOKUP($D241,'Modelling New'!$D:$D,'Modelling New'!$O:$O),"")</f>
        <v>0.85787919699962001</v>
      </c>
      <c r="AF241" s="240">
        <f>IFERROR(_xlfn.XLOOKUP($D241,'Modelling New'!$D:$D,'Modelling New'!$W:$W),"")</f>
        <v>0.19409516832116402</v>
      </c>
      <c r="AG241" s="240">
        <f>IFERROR(_xlfn.XLOOKUP($D241,'Modelling New'!$D:$D,'Modelling New'!AE:AE),"")</f>
        <v>0.99750000000000005</v>
      </c>
      <c r="AH241" s="240">
        <f>IFERROR(_xlfn.XLOOKUP($D241,'Modelling New'!$D:$D,'Modelling New'!AF:AF),"")</f>
        <v>0.99750000000000005</v>
      </c>
      <c r="AI241" s="186"/>
      <c r="AJ241" s="186"/>
      <c r="AK241" s="225"/>
      <c r="AL241" s="224">
        <f>IFERROR(Table13[[#This Row],[RA (%)]]*9270*58,"")</f>
        <v>0</v>
      </c>
      <c r="AM241" s="225"/>
      <c r="AN241" s="238"/>
      <c r="AO241" s="240"/>
      <c r="AP241" s="240"/>
      <c r="AQ241" s="240"/>
      <c r="AR241" s="242">
        <f>IFERROR(_xlfn.XLOOKUP($D241,'Modelling New'!$D:$D,'Modelling New'!$N:$N),"")</f>
        <v>335.09100000000001</v>
      </c>
    </row>
    <row r="242" spans="1:44">
      <c r="A242" s="233">
        <f t="shared" si="16"/>
        <v>45985</v>
      </c>
      <c r="B242" s="228">
        <f>YEAR(Table13[[#This Row],[Date]])+IF(MONTH(Table13[[#This Row],[Date]])&gt;=4,1,0)</f>
        <v>2026</v>
      </c>
      <c r="C242" s="186">
        <f>YEAR(Table13[[#This Row],[Date]])</f>
        <v>2025</v>
      </c>
      <c r="D242" s="234">
        <f>Table13[[#This Row],[Date]]-DAY(Table13[[#This Row],[Date]])+1</f>
        <v>45962</v>
      </c>
      <c r="E242" s="186">
        <f t="shared" si="17"/>
        <v>30</v>
      </c>
      <c r="F242" s="235" t="str">
        <f>IFERROR(_xlfn.XLOOKUP($A242,'Raw_Data'!$B:$B,'Raw_Data'!$IX:$IX),"")</f>
        <v/>
      </c>
      <c r="G242" s="236" t="str">
        <f>IFERROR(_xlfn.XLOOKUP($A242,'Raw_Data'!$B:$B,'Raw_Data'!IY:IY),"")</f>
        <v/>
      </c>
      <c r="H242" s="236" t="str">
        <f>IFERROR(_xlfn.XLOOKUP($A242,'Raw_Data'!$B:$B,'Raw_Data'!IZ:IZ),"")</f>
        <v/>
      </c>
      <c r="I242" s="236" t="str">
        <f>IFERROR(_xlfn.XLOOKUP($A242,'Raw_Data'!$B:$B,'Raw_Data'!JA:JA),"")</f>
        <v/>
      </c>
      <c r="J242" s="236" t="str">
        <f>IFERROR(_xlfn.XLOOKUP($A242,'Raw_Data'!$B:$B,'Raw_Data'!JB:JB),"")</f>
        <v/>
      </c>
      <c r="K242" s="236" t="str">
        <f>IFERROR(_xlfn.XLOOKUP($A242,'Raw_Data'!$B:$B,'Raw_Data'!JE:JE),"")</f>
        <v/>
      </c>
      <c r="L242" s="236" t="str">
        <f>IFERROR(_xlfn.XLOOKUP($A242,'Raw_Data'!$B:$B,'Raw_Data'!JF:JF),"")</f>
        <v/>
      </c>
      <c r="M242" s="236" t="str">
        <f>IFERROR(_xlfn.XLOOKUP($A242,'Raw_Data'!$B:$B,'Raw_Data'!JG:JG),"")</f>
        <v/>
      </c>
      <c r="N242" s="236" t="str">
        <f>IFERROR(_xlfn.XLOOKUP($A242,'Raw_Data'!$B:$B,'Raw_Data'!JH:JH),"")</f>
        <v/>
      </c>
      <c r="O242" s="237" t="str">
        <f>IFERROR(1-SUMIF(PA!$B:$B,$A242,PA!$AL:$AL)/($AA242+SUMIF(PA!$B:$B,$A242,PA!$AL:$AL)),"")</f>
        <v/>
      </c>
      <c r="P242" s="238"/>
      <c r="Q242" s="239"/>
      <c r="R242" s="240" t="str">
        <f>IFERROR(1-SUMIF(GA!$C:$C,$A242,GA!$X:$X)/($AA242+SUMIF(GA!$C:$C,$A242,GA!$X:$X)),"")</f>
        <v/>
      </c>
      <c r="S242" s="186"/>
      <c r="T242" s="239"/>
      <c r="U242" s="237" t="str">
        <f t="shared" si="14"/>
        <v/>
      </c>
      <c r="V242" s="237" t="str">
        <f>IFERROR(_xlfn.XLOOKUP($A242,'Raw_Data'!$B:$B,'Raw_Data'!$JL:$JL),"")</f>
        <v/>
      </c>
      <c r="W242" s="240" t="str">
        <f t="shared" si="15"/>
        <v/>
      </c>
      <c r="X242" s="228" t="str">
        <f>IFERROR(_xlfn.XLOOKUP($A242,'Raw_Data'!$B:$B,'Raw_Data'!$JI:$JI),"")</f>
        <v/>
      </c>
      <c r="Y242" s="228" t="str">
        <f>IFERROR(_xlfn.XLOOKUP($A242,'Raw_Data'!$B:$B,'Raw_Data'!IT:IT),"")</f>
        <v/>
      </c>
      <c r="Z242" s="228" t="str">
        <f>IFERROR(_xlfn.XLOOKUP($A242,'Raw_Data'!$B:$B,'Raw_Data'!IU:IU),"")</f>
        <v/>
      </c>
      <c r="AA242" s="228" t="str">
        <f>IFERROR(_xlfn.XLOOKUP($A242,'Raw_Data'!$B:$B,'Raw_Data'!IW:IW),"")</f>
        <v/>
      </c>
      <c r="AB242" s="228" t="str">
        <f>IFERROR(_xlfn.XLOOKUP($A242,'Raw_Data'!$B:$B,'Raw_Data'!I:I)/1000,"")</f>
        <v/>
      </c>
      <c r="AC242" s="241">
        <f>IFERROR(_xlfn.XLOOKUP($D242,'Modelling New'!$D:$D,'Modelling New'!$P:$P),"")</f>
        <v>5.4300000000000006</v>
      </c>
      <c r="AD242" s="228">
        <f>IFERROR(_xlfn.XLOOKUP($D242,'Modelling New'!$D:$D,'Modelling New'!$T:$T)*1000,"")</f>
        <v>1560949.0571497723</v>
      </c>
      <c r="AE242" s="240">
        <f>IFERROR(_xlfn.XLOOKUP($D242,'Modelling New'!$D:$D,'Modelling New'!$O:$O),"")</f>
        <v>0.85787919699962001</v>
      </c>
      <c r="AF242" s="240">
        <f>IFERROR(_xlfn.XLOOKUP($D242,'Modelling New'!$D:$D,'Modelling New'!$W:$W),"")</f>
        <v>0.19409516832116402</v>
      </c>
      <c r="AG242" s="240">
        <f>IFERROR(_xlfn.XLOOKUP($D242,'Modelling New'!$D:$D,'Modelling New'!AE:AE),"")</f>
        <v>0.99750000000000005</v>
      </c>
      <c r="AH242" s="240">
        <f>IFERROR(_xlfn.XLOOKUP($D242,'Modelling New'!$D:$D,'Modelling New'!AF:AF),"")</f>
        <v>0.99750000000000005</v>
      </c>
      <c r="AI242" s="186"/>
      <c r="AJ242" s="186"/>
      <c r="AK242" s="225"/>
      <c r="AL242" s="224">
        <f>IFERROR(Table13[[#This Row],[RA (%)]]*9270*58,"")</f>
        <v>0</v>
      </c>
      <c r="AM242" s="225"/>
      <c r="AN242" s="238"/>
      <c r="AO242" s="240"/>
      <c r="AP242" s="240"/>
      <c r="AQ242" s="240"/>
      <c r="AR242" s="242">
        <f>IFERROR(_xlfn.XLOOKUP($D242,'Modelling New'!$D:$D,'Modelling New'!$N:$N),"")</f>
        <v>335.09100000000001</v>
      </c>
    </row>
    <row r="243" spans="1:44">
      <c r="A243" s="233">
        <f t="shared" si="16"/>
        <v>45986</v>
      </c>
      <c r="B243" s="228">
        <f>YEAR(Table13[[#This Row],[Date]])+IF(MONTH(Table13[[#This Row],[Date]])&gt;=4,1,0)</f>
        <v>2026</v>
      </c>
      <c r="C243" s="186">
        <f>YEAR(Table13[[#This Row],[Date]])</f>
        <v>2025</v>
      </c>
      <c r="D243" s="234">
        <f>Table13[[#This Row],[Date]]-DAY(Table13[[#This Row],[Date]])+1</f>
        <v>45962</v>
      </c>
      <c r="E243" s="186">
        <f t="shared" si="17"/>
        <v>30</v>
      </c>
      <c r="F243" s="235" t="str">
        <f>IFERROR(_xlfn.XLOOKUP($A243,'Raw_Data'!$B:$B,'Raw_Data'!$IX:$IX),"")</f>
        <v/>
      </c>
      <c r="G243" s="236" t="str">
        <f>IFERROR(_xlfn.XLOOKUP($A243,'Raw_Data'!$B:$B,'Raw_Data'!IY:IY),"")</f>
        <v/>
      </c>
      <c r="H243" s="236" t="str">
        <f>IFERROR(_xlfn.XLOOKUP($A243,'Raw_Data'!$B:$B,'Raw_Data'!IZ:IZ),"")</f>
        <v/>
      </c>
      <c r="I243" s="236" t="str">
        <f>IFERROR(_xlfn.XLOOKUP($A243,'Raw_Data'!$B:$B,'Raw_Data'!JA:JA),"")</f>
        <v/>
      </c>
      <c r="J243" s="236" t="str">
        <f>IFERROR(_xlfn.XLOOKUP($A243,'Raw_Data'!$B:$B,'Raw_Data'!JB:JB),"")</f>
        <v/>
      </c>
      <c r="K243" s="236" t="str">
        <f>IFERROR(_xlfn.XLOOKUP($A243,'Raw_Data'!$B:$B,'Raw_Data'!JE:JE),"")</f>
        <v/>
      </c>
      <c r="L243" s="236" t="str">
        <f>IFERROR(_xlfn.XLOOKUP($A243,'Raw_Data'!$B:$B,'Raw_Data'!JF:JF),"")</f>
        <v/>
      </c>
      <c r="M243" s="236" t="str">
        <f>IFERROR(_xlfn.XLOOKUP($A243,'Raw_Data'!$B:$B,'Raw_Data'!JG:JG),"")</f>
        <v/>
      </c>
      <c r="N243" s="236" t="str">
        <f>IFERROR(_xlfn.XLOOKUP($A243,'Raw_Data'!$B:$B,'Raw_Data'!JH:JH),"")</f>
        <v/>
      </c>
      <c r="O243" s="237" t="str">
        <f>IFERROR(1-SUMIF(PA!$B:$B,$A243,PA!$AL:$AL)/($AA243+SUMIF(PA!$B:$B,$A243,PA!$AL:$AL)),"")</f>
        <v/>
      </c>
      <c r="P243" s="238"/>
      <c r="Q243" s="239"/>
      <c r="R243" s="240" t="str">
        <f>IFERROR(1-SUMIF(GA!$C:$C,$A243,GA!$X:$X)/($AA243+SUMIF(GA!$C:$C,$A243,GA!$X:$X)),"")</f>
        <v/>
      </c>
      <c r="S243" s="186"/>
      <c r="T243" s="239"/>
      <c r="U243" s="237" t="str">
        <f t="shared" si="14"/>
        <v/>
      </c>
      <c r="V243" s="237" t="str">
        <f>IFERROR(_xlfn.XLOOKUP($A243,'Raw_Data'!$B:$B,'Raw_Data'!$JL:$JL),"")</f>
        <v/>
      </c>
      <c r="W243" s="240" t="str">
        <f t="shared" si="15"/>
        <v/>
      </c>
      <c r="X243" s="228" t="str">
        <f>IFERROR(_xlfn.XLOOKUP($A243,'Raw_Data'!$B:$B,'Raw_Data'!$JI:$JI),"")</f>
        <v/>
      </c>
      <c r="Y243" s="228" t="str">
        <f>IFERROR(_xlfn.XLOOKUP($A243,'Raw_Data'!$B:$B,'Raw_Data'!IT:IT),"")</f>
        <v/>
      </c>
      <c r="Z243" s="228" t="str">
        <f>IFERROR(_xlfn.XLOOKUP($A243,'Raw_Data'!$B:$B,'Raw_Data'!IU:IU),"")</f>
        <v/>
      </c>
      <c r="AA243" s="228" t="str">
        <f>IFERROR(_xlfn.XLOOKUP($A243,'Raw_Data'!$B:$B,'Raw_Data'!IW:IW),"")</f>
        <v/>
      </c>
      <c r="AB243" s="228" t="str">
        <f>IFERROR(_xlfn.XLOOKUP($A243,'Raw_Data'!$B:$B,'Raw_Data'!I:I)/1000,"")</f>
        <v/>
      </c>
      <c r="AC243" s="241">
        <f>IFERROR(_xlfn.XLOOKUP($D243,'Modelling New'!$D:$D,'Modelling New'!$P:$P),"")</f>
        <v>5.4300000000000006</v>
      </c>
      <c r="AD243" s="228">
        <f>IFERROR(_xlfn.XLOOKUP($D243,'Modelling New'!$D:$D,'Modelling New'!$T:$T)*1000,"")</f>
        <v>1560949.0571497723</v>
      </c>
      <c r="AE243" s="240">
        <f>IFERROR(_xlfn.XLOOKUP($D243,'Modelling New'!$D:$D,'Modelling New'!$O:$O),"")</f>
        <v>0.85787919699962001</v>
      </c>
      <c r="AF243" s="240">
        <f>IFERROR(_xlfn.XLOOKUP($D243,'Modelling New'!$D:$D,'Modelling New'!$W:$W),"")</f>
        <v>0.19409516832116402</v>
      </c>
      <c r="AG243" s="240">
        <f>IFERROR(_xlfn.XLOOKUP($D243,'Modelling New'!$D:$D,'Modelling New'!AE:AE),"")</f>
        <v>0.99750000000000005</v>
      </c>
      <c r="AH243" s="240">
        <f>IFERROR(_xlfn.XLOOKUP($D243,'Modelling New'!$D:$D,'Modelling New'!AF:AF),"")</f>
        <v>0.99750000000000005</v>
      </c>
      <c r="AI243" s="186"/>
      <c r="AJ243" s="186"/>
      <c r="AK243" s="225"/>
      <c r="AL243" s="224">
        <f>IFERROR(Table13[[#This Row],[RA (%)]]*9270*58,"")</f>
        <v>0</v>
      </c>
      <c r="AM243" s="225"/>
      <c r="AN243" s="238"/>
      <c r="AO243" s="240"/>
      <c r="AP243" s="240"/>
      <c r="AQ243" s="240"/>
      <c r="AR243" s="242">
        <f>IFERROR(_xlfn.XLOOKUP($D243,'Modelling New'!$D:$D,'Modelling New'!$N:$N),"")</f>
        <v>335.09100000000001</v>
      </c>
    </row>
    <row r="244" spans="1:44">
      <c r="A244" s="233">
        <f t="shared" si="16"/>
        <v>45987</v>
      </c>
      <c r="B244" s="228">
        <f>YEAR(Table13[[#This Row],[Date]])+IF(MONTH(Table13[[#This Row],[Date]])&gt;=4,1,0)</f>
        <v>2026</v>
      </c>
      <c r="C244" s="186">
        <f>YEAR(Table13[[#This Row],[Date]])</f>
        <v>2025</v>
      </c>
      <c r="D244" s="234">
        <f>Table13[[#This Row],[Date]]-DAY(Table13[[#This Row],[Date]])+1</f>
        <v>45962</v>
      </c>
      <c r="E244" s="186">
        <f t="shared" si="17"/>
        <v>30</v>
      </c>
      <c r="F244" s="235" t="str">
        <f>IFERROR(_xlfn.XLOOKUP($A244,'Raw_Data'!$B:$B,'Raw_Data'!$IX:$IX),"")</f>
        <v/>
      </c>
      <c r="G244" s="236" t="str">
        <f>IFERROR(_xlfn.XLOOKUP($A244,'Raw_Data'!$B:$B,'Raw_Data'!IY:IY),"")</f>
        <v/>
      </c>
      <c r="H244" s="236" t="str">
        <f>IFERROR(_xlfn.XLOOKUP($A244,'Raw_Data'!$B:$B,'Raw_Data'!IZ:IZ),"")</f>
        <v/>
      </c>
      <c r="I244" s="236" t="str">
        <f>IFERROR(_xlfn.XLOOKUP($A244,'Raw_Data'!$B:$B,'Raw_Data'!JA:JA),"")</f>
        <v/>
      </c>
      <c r="J244" s="236" t="str">
        <f>IFERROR(_xlfn.XLOOKUP($A244,'Raw_Data'!$B:$B,'Raw_Data'!JB:JB),"")</f>
        <v/>
      </c>
      <c r="K244" s="236" t="str">
        <f>IFERROR(_xlfn.XLOOKUP($A244,'Raw_Data'!$B:$B,'Raw_Data'!JE:JE),"")</f>
        <v/>
      </c>
      <c r="L244" s="236" t="str">
        <f>IFERROR(_xlfn.XLOOKUP($A244,'Raw_Data'!$B:$B,'Raw_Data'!JF:JF),"")</f>
        <v/>
      </c>
      <c r="M244" s="236" t="str">
        <f>IFERROR(_xlfn.XLOOKUP($A244,'Raw_Data'!$B:$B,'Raw_Data'!JG:JG),"")</f>
        <v/>
      </c>
      <c r="N244" s="236" t="str">
        <f>IFERROR(_xlfn.XLOOKUP($A244,'Raw_Data'!$B:$B,'Raw_Data'!JH:JH),"")</f>
        <v/>
      </c>
      <c r="O244" s="237" t="str">
        <f>IFERROR(1-SUMIF(PA!$B:$B,$A244,PA!$AL:$AL)/($AA244+SUMIF(PA!$B:$B,$A244,PA!$AL:$AL)),"")</f>
        <v/>
      </c>
      <c r="P244" s="238"/>
      <c r="Q244" s="239"/>
      <c r="R244" s="240" t="str">
        <f>IFERROR(1-SUMIF(GA!$C:$C,$A244,GA!$X:$X)/($AA244+SUMIF(GA!$C:$C,$A244,GA!$X:$X)),"")</f>
        <v/>
      </c>
      <c r="S244" s="186"/>
      <c r="T244" s="239"/>
      <c r="U244" s="237" t="str">
        <f t="shared" si="14"/>
        <v/>
      </c>
      <c r="V244" s="237" t="str">
        <f>IFERROR(_xlfn.XLOOKUP($A244,'Raw_Data'!$B:$B,'Raw_Data'!$JL:$JL),"")</f>
        <v/>
      </c>
      <c r="W244" s="240" t="str">
        <f t="shared" si="15"/>
        <v/>
      </c>
      <c r="X244" s="228" t="str">
        <f>IFERROR(_xlfn.XLOOKUP($A244,'Raw_Data'!$B:$B,'Raw_Data'!$JI:$JI),"")</f>
        <v/>
      </c>
      <c r="Y244" s="228" t="str">
        <f>IFERROR(_xlfn.XLOOKUP($A244,'Raw_Data'!$B:$B,'Raw_Data'!IT:IT),"")</f>
        <v/>
      </c>
      <c r="Z244" s="228" t="str">
        <f>IFERROR(_xlfn.XLOOKUP($A244,'Raw_Data'!$B:$B,'Raw_Data'!IU:IU),"")</f>
        <v/>
      </c>
      <c r="AA244" s="228" t="str">
        <f>IFERROR(_xlfn.XLOOKUP($A244,'Raw_Data'!$B:$B,'Raw_Data'!IW:IW),"")</f>
        <v/>
      </c>
      <c r="AB244" s="228" t="str">
        <f>IFERROR(_xlfn.XLOOKUP($A244,'Raw_Data'!$B:$B,'Raw_Data'!I:I)/1000,"")</f>
        <v/>
      </c>
      <c r="AC244" s="241">
        <f>IFERROR(_xlfn.XLOOKUP($D244,'Modelling New'!$D:$D,'Modelling New'!$P:$P),"")</f>
        <v>5.4300000000000006</v>
      </c>
      <c r="AD244" s="228">
        <f>IFERROR(_xlfn.XLOOKUP($D244,'Modelling New'!$D:$D,'Modelling New'!$T:$T)*1000,"")</f>
        <v>1560949.0571497723</v>
      </c>
      <c r="AE244" s="240">
        <f>IFERROR(_xlfn.XLOOKUP($D244,'Modelling New'!$D:$D,'Modelling New'!$O:$O),"")</f>
        <v>0.85787919699962001</v>
      </c>
      <c r="AF244" s="240">
        <f>IFERROR(_xlfn.XLOOKUP($D244,'Modelling New'!$D:$D,'Modelling New'!$W:$W),"")</f>
        <v>0.19409516832116402</v>
      </c>
      <c r="AG244" s="240">
        <f>IFERROR(_xlfn.XLOOKUP($D244,'Modelling New'!$D:$D,'Modelling New'!AE:AE),"")</f>
        <v>0.99750000000000005</v>
      </c>
      <c r="AH244" s="240">
        <f>IFERROR(_xlfn.XLOOKUP($D244,'Modelling New'!$D:$D,'Modelling New'!AF:AF),"")</f>
        <v>0.99750000000000005</v>
      </c>
      <c r="AI244" s="186"/>
      <c r="AJ244" s="186"/>
      <c r="AK244" s="225"/>
      <c r="AL244" s="224">
        <f>IFERROR(Table13[[#This Row],[RA (%)]]*9270*58,"")</f>
        <v>0</v>
      </c>
      <c r="AM244" s="225"/>
      <c r="AN244" s="238"/>
      <c r="AO244" s="240"/>
      <c r="AP244" s="240"/>
      <c r="AQ244" s="240"/>
      <c r="AR244" s="242">
        <f>IFERROR(_xlfn.XLOOKUP($D244,'Modelling New'!$D:$D,'Modelling New'!$N:$N),"")</f>
        <v>335.09100000000001</v>
      </c>
    </row>
    <row r="245" spans="1:44">
      <c r="A245" s="233">
        <f t="shared" si="16"/>
        <v>45988</v>
      </c>
      <c r="B245" s="228">
        <f>YEAR(Table13[[#This Row],[Date]])+IF(MONTH(Table13[[#This Row],[Date]])&gt;=4,1,0)</f>
        <v>2026</v>
      </c>
      <c r="C245" s="186">
        <f>YEAR(Table13[[#This Row],[Date]])</f>
        <v>2025</v>
      </c>
      <c r="D245" s="234">
        <f>Table13[[#This Row],[Date]]-DAY(Table13[[#This Row],[Date]])+1</f>
        <v>45962</v>
      </c>
      <c r="E245" s="186">
        <f t="shared" si="17"/>
        <v>30</v>
      </c>
      <c r="F245" s="235" t="str">
        <f>IFERROR(_xlfn.XLOOKUP($A245,'Raw_Data'!$B:$B,'Raw_Data'!$IX:$IX),"")</f>
        <v/>
      </c>
      <c r="G245" s="236" t="str">
        <f>IFERROR(_xlfn.XLOOKUP($A245,'Raw_Data'!$B:$B,'Raw_Data'!IY:IY),"")</f>
        <v/>
      </c>
      <c r="H245" s="236" t="str">
        <f>IFERROR(_xlfn.XLOOKUP($A245,'Raw_Data'!$B:$B,'Raw_Data'!IZ:IZ),"")</f>
        <v/>
      </c>
      <c r="I245" s="236" t="str">
        <f>IFERROR(_xlfn.XLOOKUP($A245,'Raw_Data'!$B:$B,'Raw_Data'!JA:JA),"")</f>
        <v/>
      </c>
      <c r="J245" s="236" t="str">
        <f>IFERROR(_xlfn.XLOOKUP($A245,'Raw_Data'!$B:$B,'Raw_Data'!JB:JB),"")</f>
        <v/>
      </c>
      <c r="K245" s="236" t="str">
        <f>IFERROR(_xlfn.XLOOKUP($A245,'Raw_Data'!$B:$B,'Raw_Data'!JE:JE),"")</f>
        <v/>
      </c>
      <c r="L245" s="236" t="str">
        <f>IFERROR(_xlfn.XLOOKUP($A245,'Raw_Data'!$B:$B,'Raw_Data'!JF:JF),"")</f>
        <v/>
      </c>
      <c r="M245" s="236" t="str">
        <f>IFERROR(_xlfn.XLOOKUP($A245,'Raw_Data'!$B:$B,'Raw_Data'!JG:JG),"")</f>
        <v/>
      </c>
      <c r="N245" s="236" t="str">
        <f>IFERROR(_xlfn.XLOOKUP($A245,'Raw_Data'!$B:$B,'Raw_Data'!JH:JH),"")</f>
        <v/>
      </c>
      <c r="O245" s="237" t="str">
        <f>IFERROR(1-SUMIF(PA!$B:$B,$A245,PA!$AL:$AL)/($AA245+SUMIF(PA!$B:$B,$A245,PA!$AL:$AL)),"")</f>
        <v/>
      </c>
      <c r="P245" s="238"/>
      <c r="Q245" s="239"/>
      <c r="R245" s="240" t="str">
        <f>IFERROR(1-SUMIF(GA!$C:$C,$A245,GA!$X:$X)/($AA245+SUMIF(GA!$C:$C,$A245,GA!$X:$X)),"")</f>
        <v/>
      </c>
      <c r="S245" s="186"/>
      <c r="T245" s="239"/>
      <c r="U245" s="237" t="str">
        <f t="shared" si="14"/>
        <v/>
      </c>
      <c r="V245" s="237" t="str">
        <f>IFERROR(_xlfn.XLOOKUP($A245,'Raw_Data'!$B:$B,'Raw_Data'!$JL:$JL),"")</f>
        <v/>
      </c>
      <c r="W245" s="240" t="str">
        <f t="shared" si="15"/>
        <v/>
      </c>
      <c r="X245" s="228" t="str">
        <f>IFERROR(_xlfn.XLOOKUP($A245,'Raw_Data'!$B:$B,'Raw_Data'!$JI:$JI),"")</f>
        <v/>
      </c>
      <c r="Y245" s="228" t="str">
        <f>IFERROR(_xlfn.XLOOKUP($A245,'Raw_Data'!$B:$B,'Raw_Data'!IT:IT),"")</f>
        <v/>
      </c>
      <c r="Z245" s="228" t="str">
        <f>IFERROR(_xlfn.XLOOKUP($A245,'Raw_Data'!$B:$B,'Raw_Data'!IU:IU),"")</f>
        <v/>
      </c>
      <c r="AA245" s="228" t="str">
        <f>IFERROR(_xlfn.XLOOKUP($A245,'Raw_Data'!$B:$B,'Raw_Data'!IW:IW),"")</f>
        <v/>
      </c>
      <c r="AB245" s="228" t="str">
        <f>IFERROR(_xlfn.XLOOKUP($A245,'Raw_Data'!$B:$B,'Raw_Data'!I:I)/1000,"")</f>
        <v/>
      </c>
      <c r="AC245" s="241">
        <f>IFERROR(_xlfn.XLOOKUP($D245,'Modelling New'!$D:$D,'Modelling New'!$P:$P),"")</f>
        <v>5.4300000000000006</v>
      </c>
      <c r="AD245" s="228">
        <f>IFERROR(_xlfn.XLOOKUP($D245,'Modelling New'!$D:$D,'Modelling New'!$T:$T)*1000,"")</f>
        <v>1560949.0571497723</v>
      </c>
      <c r="AE245" s="240">
        <f>IFERROR(_xlfn.XLOOKUP($D245,'Modelling New'!$D:$D,'Modelling New'!$O:$O),"")</f>
        <v>0.85787919699962001</v>
      </c>
      <c r="AF245" s="240">
        <f>IFERROR(_xlfn.XLOOKUP($D245,'Modelling New'!$D:$D,'Modelling New'!$W:$W),"")</f>
        <v>0.19409516832116402</v>
      </c>
      <c r="AG245" s="240">
        <f>IFERROR(_xlfn.XLOOKUP($D245,'Modelling New'!$D:$D,'Modelling New'!AE:AE),"")</f>
        <v>0.99750000000000005</v>
      </c>
      <c r="AH245" s="240">
        <f>IFERROR(_xlfn.XLOOKUP($D245,'Modelling New'!$D:$D,'Modelling New'!AF:AF),"")</f>
        <v>0.99750000000000005</v>
      </c>
      <c r="AI245" s="186"/>
      <c r="AJ245" s="186"/>
      <c r="AK245" s="225"/>
      <c r="AL245" s="224">
        <f>IFERROR(Table13[[#This Row],[RA (%)]]*9270*58,"")</f>
        <v>0</v>
      </c>
      <c r="AM245" s="225"/>
      <c r="AN245" s="238"/>
      <c r="AO245" s="240"/>
      <c r="AP245" s="240"/>
      <c r="AQ245" s="240"/>
      <c r="AR245" s="242">
        <f>IFERROR(_xlfn.XLOOKUP($D245,'Modelling New'!$D:$D,'Modelling New'!$N:$N),"")</f>
        <v>335.09100000000001</v>
      </c>
    </row>
    <row r="246" spans="1:44">
      <c r="A246" s="233">
        <f t="shared" si="16"/>
        <v>45989</v>
      </c>
      <c r="B246" s="228">
        <f>YEAR(Table13[[#This Row],[Date]])+IF(MONTH(Table13[[#This Row],[Date]])&gt;=4,1,0)</f>
        <v>2026</v>
      </c>
      <c r="C246" s="186">
        <f>YEAR(Table13[[#This Row],[Date]])</f>
        <v>2025</v>
      </c>
      <c r="D246" s="234">
        <f>Table13[[#This Row],[Date]]-DAY(Table13[[#This Row],[Date]])+1</f>
        <v>45962</v>
      </c>
      <c r="E246" s="186">
        <f t="shared" si="17"/>
        <v>30</v>
      </c>
      <c r="F246" s="235" t="str">
        <f>IFERROR(_xlfn.XLOOKUP($A246,'Raw_Data'!$B:$B,'Raw_Data'!$IX:$IX),"")</f>
        <v/>
      </c>
      <c r="G246" s="236" t="str">
        <f>IFERROR(_xlfn.XLOOKUP($A246,'Raw_Data'!$B:$B,'Raw_Data'!IY:IY),"")</f>
        <v/>
      </c>
      <c r="H246" s="236" t="str">
        <f>IFERROR(_xlfn.XLOOKUP($A246,'Raw_Data'!$B:$B,'Raw_Data'!IZ:IZ),"")</f>
        <v/>
      </c>
      <c r="I246" s="236" t="str">
        <f>IFERROR(_xlfn.XLOOKUP($A246,'Raw_Data'!$B:$B,'Raw_Data'!JA:JA),"")</f>
        <v/>
      </c>
      <c r="J246" s="236" t="str">
        <f>IFERROR(_xlfn.XLOOKUP($A246,'Raw_Data'!$B:$B,'Raw_Data'!JB:JB),"")</f>
        <v/>
      </c>
      <c r="K246" s="236" t="str">
        <f>IFERROR(_xlfn.XLOOKUP($A246,'Raw_Data'!$B:$B,'Raw_Data'!JE:JE),"")</f>
        <v/>
      </c>
      <c r="L246" s="236" t="str">
        <f>IFERROR(_xlfn.XLOOKUP($A246,'Raw_Data'!$B:$B,'Raw_Data'!JF:JF),"")</f>
        <v/>
      </c>
      <c r="M246" s="236" t="str">
        <f>IFERROR(_xlfn.XLOOKUP($A246,'Raw_Data'!$B:$B,'Raw_Data'!JG:JG),"")</f>
        <v/>
      </c>
      <c r="N246" s="236" t="str">
        <f>IFERROR(_xlfn.XLOOKUP($A246,'Raw_Data'!$B:$B,'Raw_Data'!JH:JH),"")</f>
        <v/>
      </c>
      <c r="O246" s="237" t="str">
        <f>IFERROR(1-SUMIF(PA!$B:$B,$A246,PA!$AL:$AL)/($AA246+SUMIF(PA!$B:$B,$A246,PA!$AL:$AL)),"")</f>
        <v/>
      </c>
      <c r="P246" s="238"/>
      <c r="Q246" s="239"/>
      <c r="R246" s="240" t="str">
        <f>IFERROR(1-SUMIF(GA!$C:$C,$A246,GA!$X:$X)/($AA246+SUMIF(GA!$C:$C,$A246,GA!$X:$X)),"")</f>
        <v/>
      </c>
      <c r="S246" s="186"/>
      <c r="T246" s="239"/>
      <c r="U246" s="237" t="str">
        <f t="shared" si="14"/>
        <v/>
      </c>
      <c r="V246" s="237" t="str">
        <f>IFERROR(_xlfn.XLOOKUP($A246,'Raw_Data'!$B:$B,'Raw_Data'!$JL:$JL),"")</f>
        <v/>
      </c>
      <c r="W246" s="240" t="str">
        <f t="shared" si="15"/>
        <v/>
      </c>
      <c r="X246" s="228" t="str">
        <f>IFERROR(_xlfn.XLOOKUP($A246,'Raw_Data'!$B:$B,'Raw_Data'!$JI:$JI),"")</f>
        <v/>
      </c>
      <c r="Y246" s="228" t="str">
        <f>IFERROR(_xlfn.XLOOKUP($A246,'Raw_Data'!$B:$B,'Raw_Data'!IT:IT),"")</f>
        <v/>
      </c>
      <c r="Z246" s="228" t="str">
        <f>IFERROR(_xlfn.XLOOKUP($A246,'Raw_Data'!$B:$B,'Raw_Data'!IU:IU),"")</f>
        <v/>
      </c>
      <c r="AA246" s="228" t="str">
        <f>IFERROR(_xlfn.XLOOKUP($A246,'Raw_Data'!$B:$B,'Raw_Data'!IW:IW),"")</f>
        <v/>
      </c>
      <c r="AB246" s="228" t="str">
        <f>IFERROR(_xlfn.XLOOKUP($A246,'Raw_Data'!$B:$B,'Raw_Data'!I:I)/1000,"")</f>
        <v/>
      </c>
      <c r="AC246" s="241">
        <f>IFERROR(_xlfn.XLOOKUP($D246,'Modelling New'!$D:$D,'Modelling New'!$P:$P),"")</f>
        <v>5.4300000000000006</v>
      </c>
      <c r="AD246" s="228">
        <f>IFERROR(_xlfn.XLOOKUP($D246,'Modelling New'!$D:$D,'Modelling New'!$T:$T)*1000,"")</f>
        <v>1560949.0571497723</v>
      </c>
      <c r="AE246" s="240">
        <f>IFERROR(_xlfn.XLOOKUP($D246,'Modelling New'!$D:$D,'Modelling New'!$O:$O),"")</f>
        <v>0.85787919699962001</v>
      </c>
      <c r="AF246" s="240">
        <f>IFERROR(_xlfn.XLOOKUP($D246,'Modelling New'!$D:$D,'Modelling New'!$W:$W),"")</f>
        <v>0.19409516832116402</v>
      </c>
      <c r="AG246" s="240">
        <f>IFERROR(_xlfn.XLOOKUP($D246,'Modelling New'!$D:$D,'Modelling New'!AE:AE),"")</f>
        <v>0.99750000000000005</v>
      </c>
      <c r="AH246" s="240">
        <f>IFERROR(_xlfn.XLOOKUP($D246,'Modelling New'!$D:$D,'Modelling New'!AF:AF),"")</f>
        <v>0.99750000000000005</v>
      </c>
      <c r="AI246" s="186"/>
      <c r="AJ246" s="186"/>
      <c r="AK246" s="225"/>
      <c r="AL246" s="224">
        <f>IFERROR(Table13[[#This Row],[RA (%)]]*9270*58,"")</f>
        <v>0</v>
      </c>
      <c r="AM246" s="225"/>
      <c r="AN246" s="238"/>
      <c r="AO246" s="240"/>
      <c r="AP246" s="240"/>
      <c r="AQ246" s="240"/>
      <c r="AR246" s="242">
        <f>IFERROR(_xlfn.XLOOKUP($D246,'Modelling New'!$D:$D,'Modelling New'!$N:$N),"")</f>
        <v>335.09100000000001</v>
      </c>
    </row>
    <row r="247" spans="1:44">
      <c r="A247" s="233">
        <f t="shared" si="16"/>
        <v>45990</v>
      </c>
      <c r="B247" s="228">
        <f>YEAR(Table13[[#This Row],[Date]])+IF(MONTH(Table13[[#This Row],[Date]])&gt;=4,1,0)</f>
        <v>2026</v>
      </c>
      <c r="C247" s="186">
        <f>YEAR(Table13[[#This Row],[Date]])</f>
        <v>2025</v>
      </c>
      <c r="D247" s="234">
        <f>Table13[[#This Row],[Date]]-DAY(Table13[[#This Row],[Date]])+1</f>
        <v>45962</v>
      </c>
      <c r="E247" s="186">
        <f t="shared" si="17"/>
        <v>30</v>
      </c>
      <c r="F247" s="235" t="str">
        <f>IFERROR(_xlfn.XLOOKUP($A247,'Raw_Data'!$B:$B,'Raw_Data'!$IX:$IX),"")</f>
        <v/>
      </c>
      <c r="G247" s="236" t="str">
        <f>IFERROR(_xlfn.XLOOKUP($A247,'Raw_Data'!$B:$B,'Raw_Data'!IY:IY),"")</f>
        <v/>
      </c>
      <c r="H247" s="236" t="str">
        <f>IFERROR(_xlfn.XLOOKUP($A247,'Raw_Data'!$B:$B,'Raw_Data'!IZ:IZ),"")</f>
        <v/>
      </c>
      <c r="I247" s="236" t="str">
        <f>IFERROR(_xlfn.XLOOKUP($A247,'Raw_Data'!$B:$B,'Raw_Data'!JA:JA),"")</f>
        <v/>
      </c>
      <c r="J247" s="236" t="str">
        <f>IFERROR(_xlfn.XLOOKUP($A247,'Raw_Data'!$B:$B,'Raw_Data'!JB:JB),"")</f>
        <v/>
      </c>
      <c r="K247" s="236" t="str">
        <f>IFERROR(_xlfn.XLOOKUP($A247,'Raw_Data'!$B:$B,'Raw_Data'!JE:JE),"")</f>
        <v/>
      </c>
      <c r="L247" s="236" t="str">
        <f>IFERROR(_xlfn.XLOOKUP($A247,'Raw_Data'!$B:$B,'Raw_Data'!JF:JF),"")</f>
        <v/>
      </c>
      <c r="M247" s="236" t="str">
        <f>IFERROR(_xlfn.XLOOKUP($A247,'Raw_Data'!$B:$B,'Raw_Data'!JG:JG),"")</f>
        <v/>
      </c>
      <c r="N247" s="236" t="str">
        <f>IFERROR(_xlfn.XLOOKUP($A247,'Raw_Data'!$B:$B,'Raw_Data'!JH:JH),"")</f>
        <v/>
      </c>
      <c r="O247" s="237" t="str">
        <f>IFERROR(1-SUMIF(PA!$B:$B,$A247,PA!$AL:$AL)/($AA247+SUMIF(PA!$B:$B,$A247,PA!$AL:$AL)),"")</f>
        <v/>
      </c>
      <c r="P247" s="238"/>
      <c r="Q247" s="239"/>
      <c r="R247" s="240" t="str">
        <f>IFERROR(1-SUMIF(GA!$C:$C,$A247,GA!$X:$X)/($AA247+SUMIF(GA!$C:$C,$A247,GA!$X:$X)),"")</f>
        <v/>
      </c>
      <c r="S247" s="186"/>
      <c r="T247" s="239"/>
      <c r="U247" s="237" t="str">
        <f t="shared" si="14"/>
        <v/>
      </c>
      <c r="V247" s="237" t="str">
        <f>IFERROR(_xlfn.XLOOKUP($A247,'Raw_Data'!$B:$B,'Raw_Data'!$JL:$JL),"")</f>
        <v/>
      </c>
      <c r="W247" s="240" t="str">
        <f t="shared" si="15"/>
        <v/>
      </c>
      <c r="X247" s="228" t="str">
        <f>IFERROR(_xlfn.XLOOKUP($A247,'Raw_Data'!$B:$B,'Raw_Data'!$JI:$JI),"")</f>
        <v/>
      </c>
      <c r="Y247" s="228" t="str">
        <f>IFERROR(_xlfn.XLOOKUP($A247,'Raw_Data'!$B:$B,'Raw_Data'!IT:IT),"")</f>
        <v/>
      </c>
      <c r="Z247" s="228" t="str">
        <f>IFERROR(_xlfn.XLOOKUP($A247,'Raw_Data'!$B:$B,'Raw_Data'!IU:IU),"")</f>
        <v/>
      </c>
      <c r="AA247" s="228" t="str">
        <f>IFERROR(_xlfn.XLOOKUP($A247,'Raw_Data'!$B:$B,'Raw_Data'!IW:IW),"")</f>
        <v/>
      </c>
      <c r="AB247" s="228" t="str">
        <f>IFERROR(_xlfn.XLOOKUP($A247,'Raw_Data'!$B:$B,'Raw_Data'!I:I)/1000,"")</f>
        <v/>
      </c>
      <c r="AC247" s="241">
        <f>IFERROR(_xlfn.XLOOKUP($D247,'Modelling New'!$D:$D,'Modelling New'!$P:$P),"")</f>
        <v>5.4300000000000006</v>
      </c>
      <c r="AD247" s="228">
        <f>IFERROR(_xlfn.XLOOKUP($D247,'Modelling New'!$D:$D,'Modelling New'!$T:$T)*1000,"")</f>
        <v>1560949.0571497723</v>
      </c>
      <c r="AE247" s="240">
        <f>IFERROR(_xlfn.XLOOKUP($D247,'Modelling New'!$D:$D,'Modelling New'!$O:$O),"")</f>
        <v>0.85787919699962001</v>
      </c>
      <c r="AF247" s="240">
        <f>IFERROR(_xlfn.XLOOKUP($D247,'Modelling New'!$D:$D,'Modelling New'!$W:$W),"")</f>
        <v>0.19409516832116402</v>
      </c>
      <c r="AG247" s="240">
        <f>IFERROR(_xlfn.XLOOKUP($D247,'Modelling New'!$D:$D,'Modelling New'!AE:AE),"")</f>
        <v>0.99750000000000005</v>
      </c>
      <c r="AH247" s="240">
        <f>IFERROR(_xlfn.XLOOKUP($D247,'Modelling New'!$D:$D,'Modelling New'!AF:AF),"")</f>
        <v>0.99750000000000005</v>
      </c>
      <c r="AI247" s="186"/>
      <c r="AJ247" s="186"/>
      <c r="AK247" s="225"/>
      <c r="AL247" s="224">
        <f>IFERROR(Table13[[#This Row],[RA (%)]]*9270*58,"")</f>
        <v>0</v>
      </c>
      <c r="AM247" s="225"/>
      <c r="AN247" s="238"/>
      <c r="AO247" s="240"/>
      <c r="AP247" s="240"/>
      <c r="AQ247" s="240"/>
      <c r="AR247" s="242">
        <f>IFERROR(_xlfn.XLOOKUP($D247,'Modelling New'!$D:$D,'Modelling New'!$N:$N),"")</f>
        <v>335.09100000000001</v>
      </c>
    </row>
    <row r="248" spans="1:44">
      <c r="A248" s="233">
        <f t="shared" si="16"/>
        <v>45991</v>
      </c>
      <c r="B248" s="228">
        <f>YEAR(Table13[[#This Row],[Date]])+IF(MONTH(Table13[[#This Row],[Date]])&gt;=4,1,0)</f>
        <v>2026</v>
      </c>
      <c r="C248" s="186">
        <f>YEAR(Table13[[#This Row],[Date]])</f>
        <v>2025</v>
      </c>
      <c r="D248" s="234">
        <f>Table13[[#This Row],[Date]]-DAY(Table13[[#This Row],[Date]])+1</f>
        <v>45962</v>
      </c>
      <c r="E248" s="186">
        <f t="shared" si="17"/>
        <v>30</v>
      </c>
      <c r="F248" s="235" t="str">
        <f>IFERROR(_xlfn.XLOOKUP($A248,'Raw_Data'!$B:$B,'Raw_Data'!$IX:$IX),"")</f>
        <v/>
      </c>
      <c r="G248" s="236" t="str">
        <f>IFERROR(_xlfn.XLOOKUP($A248,'Raw_Data'!$B:$B,'Raw_Data'!IY:IY),"")</f>
        <v/>
      </c>
      <c r="H248" s="236" t="str">
        <f>IFERROR(_xlfn.XLOOKUP($A248,'Raw_Data'!$B:$B,'Raw_Data'!IZ:IZ),"")</f>
        <v/>
      </c>
      <c r="I248" s="236" t="str">
        <f>IFERROR(_xlfn.XLOOKUP($A248,'Raw_Data'!$B:$B,'Raw_Data'!JA:JA),"")</f>
        <v/>
      </c>
      <c r="J248" s="236" t="str">
        <f>IFERROR(_xlfn.XLOOKUP($A248,'Raw_Data'!$B:$B,'Raw_Data'!JB:JB),"")</f>
        <v/>
      </c>
      <c r="K248" s="236" t="str">
        <f>IFERROR(_xlfn.XLOOKUP($A248,'Raw_Data'!$B:$B,'Raw_Data'!JE:JE),"")</f>
        <v/>
      </c>
      <c r="L248" s="236" t="str">
        <f>IFERROR(_xlfn.XLOOKUP($A248,'Raw_Data'!$B:$B,'Raw_Data'!JF:JF),"")</f>
        <v/>
      </c>
      <c r="M248" s="236" t="str">
        <f>IFERROR(_xlfn.XLOOKUP($A248,'Raw_Data'!$B:$B,'Raw_Data'!JG:JG),"")</f>
        <v/>
      </c>
      <c r="N248" s="236" t="str">
        <f>IFERROR(_xlfn.XLOOKUP($A248,'Raw_Data'!$B:$B,'Raw_Data'!JH:JH),"")</f>
        <v/>
      </c>
      <c r="O248" s="237" t="str">
        <f>IFERROR(1-SUMIF(PA!$B:$B,$A248,PA!$AL:$AL)/($AA248+SUMIF(PA!$B:$B,$A248,PA!$AL:$AL)),"")</f>
        <v/>
      </c>
      <c r="P248" s="238"/>
      <c r="Q248" s="239"/>
      <c r="R248" s="240" t="str">
        <f>IFERROR(1-SUMIF(GA!$C:$C,$A248,GA!$X:$X)/($AA248+SUMIF(GA!$C:$C,$A248,GA!$X:$X)),"")</f>
        <v/>
      </c>
      <c r="S248" s="186"/>
      <c r="T248" s="239"/>
      <c r="U248" s="237" t="str">
        <f t="shared" si="14"/>
        <v/>
      </c>
      <c r="V248" s="237" t="str">
        <f>IFERROR(_xlfn.XLOOKUP($A248,'Raw_Data'!$B:$B,'Raw_Data'!$JL:$JL),"")</f>
        <v/>
      </c>
      <c r="W248" s="240" t="str">
        <f t="shared" si="15"/>
        <v/>
      </c>
      <c r="X248" s="228" t="str">
        <f>IFERROR(_xlfn.XLOOKUP($A248,'Raw_Data'!$B:$B,'Raw_Data'!$JI:$JI),"")</f>
        <v/>
      </c>
      <c r="Y248" s="228" t="str">
        <f>IFERROR(_xlfn.XLOOKUP($A248,'Raw_Data'!$B:$B,'Raw_Data'!IT:IT),"")</f>
        <v/>
      </c>
      <c r="Z248" s="228" t="str">
        <f>IFERROR(_xlfn.XLOOKUP($A248,'Raw_Data'!$B:$B,'Raw_Data'!IU:IU),"")</f>
        <v/>
      </c>
      <c r="AA248" s="228" t="str">
        <f>IFERROR(_xlfn.XLOOKUP($A248,'Raw_Data'!$B:$B,'Raw_Data'!IW:IW),"")</f>
        <v/>
      </c>
      <c r="AB248" s="228" t="str">
        <f>IFERROR(_xlfn.XLOOKUP($A248,'Raw_Data'!$B:$B,'Raw_Data'!I:I)/1000,"")</f>
        <v/>
      </c>
      <c r="AC248" s="241">
        <f>IFERROR(_xlfn.XLOOKUP($D248,'Modelling New'!$D:$D,'Modelling New'!$P:$P),"")</f>
        <v>5.4300000000000006</v>
      </c>
      <c r="AD248" s="228">
        <f>IFERROR(_xlfn.XLOOKUP($D248,'Modelling New'!$D:$D,'Modelling New'!$T:$T)*1000,"")</f>
        <v>1560949.0571497723</v>
      </c>
      <c r="AE248" s="240">
        <f>IFERROR(_xlfn.XLOOKUP($D248,'Modelling New'!$D:$D,'Modelling New'!$O:$O),"")</f>
        <v>0.85787919699962001</v>
      </c>
      <c r="AF248" s="240">
        <f>IFERROR(_xlfn.XLOOKUP($D248,'Modelling New'!$D:$D,'Modelling New'!$W:$W),"")</f>
        <v>0.19409516832116402</v>
      </c>
      <c r="AG248" s="240">
        <f>IFERROR(_xlfn.XLOOKUP($D248,'Modelling New'!$D:$D,'Modelling New'!AE:AE),"")</f>
        <v>0.99750000000000005</v>
      </c>
      <c r="AH248" s="240">
        <f>IFERROR(_xlfn.XLOOKUP($D248,'Modelling New'!$D:$D,'Modelling New'!AF:AF),"")</f>
        <v>0.99750000000000005</v>
      </c>
      <c r="AI248" s="186"/>
      <c r="AJ248" s="186"/>
      <c r="AK248" s="225"/>
      <c r="AL248" s="224">
        <f>IFERROR(Table13[[#This Row],[RA (%)]]*9270*58,"")</f>
        <v>0</v>
      </c>
      <c r="AM248" s="225"/>
      <c r="AN248" s="238"/>
      <c r="AO248" s="240"/>
      <c r="AP248" s="240"/>
      <c r="AQ248" s="240"/>
      <c r="AR248" s="242">
        <f>IFERROR(_xlfn.XLOOKUP($D248,'Modelling New'!$D:$D,'Modelling New'!$N:$N),"")</f>
        <v>335.09100000000001</v>
      </c>
    </row>
    <row r="249" spans="1:44">
      <c r="A249" s="233">
        <f t="shared" si="16"/>
        <v>45992</v>
      </c>
      <c r="B249" s="228">
        <f>YEAR(Table13[[#This Row],[Date]])+IF(MONTH(Table13[[#This Row],[Date]])&gt;=4,1,0)</f>
        <v>2026</v>
      </c>
      <c r="C249" s="186">
        <f>YEAR(Table13[[#This Row],[Date]])</f>
        <v>2025</v>
      </c>
      <c r="D249" s="234">
        <f>Table13[[#This Row],[Date]]-DAY(Table13[[#This Row],[Date]])+1</f>
        <v>45992</v>
      </c>
      <c r="E249" s="186">
        <f t="shared" si="17"/>
        <v>31</v>
      </c>
      <c r="F249" s="235" t="str">
        <f>IFERROR(_xlfn.XLOOKUP($A249,'Raw_Data'!$B:$B,'Raw_Data'!$IX:$IX),"")</f>
        <v/>
      </c>
      <c r="G249" s="236" t="str">
        <f>IFERROR(_xlfn.XLOOKUP($A249,'Raw_Data'!$B:$B,'Raw_Data'!IY:IY),"")</f>
        <v/>
      </c>
      <c r="H249" s="236" t="str">
        <f>IFERROR(_xlfn.XLOOKUP($A249,'Raw_Data'!$B:$B,'Raw_Data'!IZ:IZ),"")</f>
        <v/>
      </c>
      <c r="I249" s="236" t="str">
        <f>IFERROR(_xlfn.XLOOKUP($A249,'Raw_Data'!$B:$B,'Raw_Data'!JA:JA),"")</f>
        <v/>
      </c>
      <c r="J249" s="236" t="str">
        <f>IFERROR(_xlfn.XLOOKUP($A249,'Raw_Data'!$B:$B,'Raw_Data'!JB:JB),"")</f>
        <v/>
      </c>
      <c r="K249" s="236" t="str">
        <f>IFERROR(_xlfn.XLOOKUP($A249,'Raw_Data'!$B:$B,'Raw_Data'!JE:JE),"")</f>
        <v/>
      </c>
      <c r="L249" s="236" t="str">
        <f>IFERROR(_xlfn.XLOOKUP($A249,'Raw_Data'!$B:$B,'Raw_Data'!JF:JF),"")</f>
        <v/>
      </c>
      <c r="M249" s="236" t="str">
        <f>IFERROR(_xlfn.XLOOKUP($A249,'Raw_Data'!$B:$B,'Raw_Data'!JG:JG),"")</f>
        <v/>
      </c>
      <c r="N249" s="236" t="str">
        <f>IFERROR(_xlfn.XLOOKUP($A249,'Raw_Data'!$B:$B,'Raw_Data'!JH:JH),"")</f>
        <v/>
      </c>
      <c r="O249" s="237" t="str">
        <f>IFERROR(1-SUMIF(PA!$B:$B,$A249,PA!$AL:$AL)/($AA249+SUMIF(PA!$B:$B,$A249,PA!$AL:$AL)),"")</f>
        <v/>
      </c>
      <c r="P249" s="238"/>
      <c r="Q249" s="239"/>
      <c r="R249" s="240" t="str">
        <f>IFERROR(1-SUMIF(GA!$C:$C,$A249,GA!$X:$X)/($AA249+SUMIF(GA!$C:$C,$A249,GA!$X:$X)),"")</f>
        <v/>
      </c>
      <c r="S249" s="186"/>
      <c r="T249" s="239"/>
      <c r="U249" s="237" t="str">
        <f t="shared" si="14"/>
        <v/>
      </c>
      <c r="V249" s="237" t="str">
        <f>IFERROR(_xlfn.XLOOKUP($A249,'Raw_Data'!$B:$B,'Raw_Data'!$JL:$JL),"")</f>
        <v/>
      </c>
      <c r="W249" s="240" t="str">
        <f t="shared" si="15"/>
        <v/>
      </c>
      <c r="X249" s="228" t="str">
        <f>IFERROR(_xlfn.XLOOKUP($A249,'Raw_Data'!$B:$B,'Raw_Data'!$JI:$JI),"")</f>
        <v/>
      </c>
      <c r="Y249" s="228" t="str">
        <f>IFERROR(_xlfn.XLOOKUP($A249,'Raw_Data'!$B:$B,'Raw_Data'!IT:IT),"")</f>
        <v/>
      </c>
      <c r="Z249" s="228" t="str">
        <f>IFERROR(_xlfn.XLOOKUP($A249,'Raw_Data'!$B:$B,'Raw_Data'!IU:IU),"")</f>
        <v/>
      </c>
      <c r="AA249" s="228" t="str">
        <f>IFERROR(_xlfn.XLOOKUP($A249,'Raw_Data'!$B:$B,'Raw_Data'!IW:IW),"")</f>
        <v/>
      </c>
      <c r="AB249" s="228" t="str">
        <f>IFERROR(_xlfn.XLOOKUP($A249,'Raw_Data'!$B:$B,'Raw_Data'!I:I)/1000,"")</f>
        <v/>
      </c>
      <c r="AC249" s="241">
        <f>IFERROR(_xlfn.XLOOKUP($D249,'Modelling New'!$D:$D,'Modelling New'!$P:$P),"")</f>
        <v>5.1161290322580646</v>
      </c>
      <c r="AD249" s="228">
        <f>IFERROR(_xlfn.XLOOKUP($D249,'Modelling New'!$D:$D,'Modelling New'!$T:$T)*1000,"")</f>
        <v>1504722.433109381</v>
      </c>
      <c r="AE249" s="240">
        <f>IFERROR(_xlfn.XLOOKUP($D249,'Modelling New'!$D:$D,'Modelling New'!$O:$O),"")</f>
        <v>0.87771221616494688</v>
      </c>
      <c r="AF249" s="240">
        <f>IFERROR(_xlfn.XLOOKUP($D249,'Modelling New'!$D:$D,'Modelling New'!$W:$W),"")</f>
        <v>0.18710370629537709</v>
      </c>
      <c r="AG249" s="240">
        <f>IFERROR(_xlfn.XLOOKUP($D249,'Modelling New'!$D:$D,'Modelling New'!AE:AE),"")</f>
        <v>0.99750000000000005</v>
      </c>
      <c r="AH249" s="240">
        <f>IFERROR(_xlfn.XLOOKUP($D249,'Modelling New'!$D:$D,'Modelling New'!AF:AF),"")</f>
        <v>0.99750000000000005</v>
      </c>
      <c r="AI249" s="186"/>
      <c r="AJ249" s="186"/>
      <c r="AK249" s="225"/>
      <c r="AL249" s="224">
        <f>IFERROR(Table13[[#This Row],[RA (%)]]*9270*58,"")</f>
        <v>0</v>
      </c>
      <c r="AM249" s="225"/>
      <c r="AN249" s="238"/>
      <c r="AO249" s="240"/>
      <c r="AP249" s="240"/>
      <c r="AQ249" s="240"/>
      <c r="AR249" s="242">
        <f>IFERROR(_xlfn.XLOOKUP($D249,'Modelling New'!$D:$D,'Modelling New'!$N:$N),"")</f>
        <v>335.09100000000001</v>
      </c>
    </row>
    <row r="250" spans="1:44">
      <c r="A250" s="233">
        <f t="shared" si="16"/>
        <v>45993</v>
      </c>
      <c r="B250" s="228">
        <f>YEAR(Table13[[#This Row],[Date]])+IF(MONTH(Table13[[#This Row],[Date]])&gt;=4,1,0)</f>
        <v>2026</v>
      </c>
      <c r="C250" s="186">
        <f>YEAR(Table13[[#This Row],[Date]])</f>
        <v>2025</v>
      </c>
      <c r="D250" s="234">
        <f>Table13[[#This Row],[Date]]-DAY(Table13[[#This Row],[Date]])+1</f>
        <v>45992</v>
      </c>
      <c r="E250" s="186">
        <f t="shared" si="17"/>
        <v>31</v>
      </c>
      <c r="F250" s="235" t="str">
        <f>IFERROR(_xlfn.XLOOKUP($A250,'Raw_Data'!$B:$B,'Raw_Data'!$IX:$IX),"")</f>
        <v/>
      </c>
      <c r="G250" s="236" t="str">
        <f>IFERROR(_xlfn.XLOOKUP($A250,'Raw_Data'!$B:$B,'Raw_Data'!IY:IY),"")</f>
        <v/>
      </c>
      <c r="H250" s="236" t="str">
        <f>IFERROR(_xlfn.XLOOKUP($A250,'Raw_Data'!$B:$B,'Raw_Data'!IZ:IZ),"")</f>
        <v/>
      </c>
      <c r="I250" s="236" t="str">
        <f>IFERROR(_xlfn.XLOOKUP($A250,'Raw_Data'!$B:$B,'Raw_Data'!JA:JA),"")</f>
        <v/>
      </c>
      <c r="J250" s="236" t="str">
        <f>IFERROR(_xlfn.XLOOKUP($A250,'Raw_Data'!$B:$B,'Raw_Data'!JB:JB),"")</f>
        <v/>
      </c>
      <c r="K250" s="236" t="str">
        <f>IFERROR(_xlfn.XLOOKUP($A250,'Raw_Data'!$B:$B,'Raw_Data'!JE:JE),"")</f>
        <v/>
      </c>
      <c r="L250" s="236" t="str">
        <f>IFERROR(_xlfn.XLOOKUP($A250,'Raw_Data'!$B:$B,'Raw_Data'!JF:JF),"")</f>
        <v/>
      </c>
      <c r="M250" s="236" t="str">
        <f>IFERROR(_xlfn.XLOOKUP($A250,'Raw_Data'!$B:$B,'Raw_Data'!JG:JG),"")</f>
        <v/>
      </c>
      <c r="N250" s="236" t="str">
        <f>IFERROR(_xlfn.XLOOKUP($A250,'Raw_Data'!$B:$B,'Raw_Data'!JH:JH),"")</f>
        <v/>
      </c>
      <c r="O250" s="237" t="str">
        <f>IFERROR(1-SUMIF(PA!$B:$B,$A250,PA!$AL:$AL)/($AA250+SUMIF(PA!$B:$B,$A250,PA!$AL:$AL)),"")</f>
        <v/>
      </c>
      <c r="P250" s="238"/>
      <c r="Q250" s="239"/>
      <c r="R250" s="240" t="str">
        <f>IFERROR(1-SUMIF(GA!$C:$C,$A250,GA!$X:$X)/($AA250+SUMIF(GA!$C:$C,$A250,GA!$X:$X)),"")</f>
        <v/>
      </c>
      <c r="S250" s="186"/>
      <c r="T250" s="239"/>
      <c r="U250" s="237" t="str">
        <f t="shared" si="14"/>
        <v/>
      </c>
      <c r="V250" s="237" t="str">
        <f>IFERROR(_xlfn.XLOOKUP($A250,'Raw_Data'!$B:$B,'Raw_Data'!$JL:$JL),"")</f>
        <v/>
      </c>
      <c r="W250" s="240" t="str">
        <f t="shared" si="15"/>
        <v/>
      </c>
      <c r="X250" s="228" t="str">
        <f>IFERROR(_xlfn.XLOOKUP($A250,'Raw_Data'!$B:$B,'Raw_Data'!$JI:$JI),"")</f>
        <v/>
      </c>
      <c r="Y250" s="228" t="str">
        <f>IFERROR(_xlfn.XLOOKUP($A250,'Raw_Data'!$B:$B,'Raw_Data'!IT:IT),"")</f>
        <v/>
      </c>
      <c r="Z250" s="228" t="str">
        <f>IFERROR(_xlfn.XLOOKUP($A250,'Raw_Data'!$B:$B,'Raw_Data'!IU:IU),"")</f>
        <v/>
      </c>
      <c r="AA250" s="228" t="str">
        <f>IFERROR(_xlfn.XLOOKUP($A250,'Raw_Data'!$B:$B,'Raw_Data'!IW:IW),"")</f>
        <v/>
      </c>
      <c r="AB250" s="228" t="str">
        <f>IFERROR(_xlfn.XLOOKUP($A250,'Raw_Data'!$B:$B,'Raw_Data'!I:I)/1000,"")</f>
        <v/>
      </c>
      <c r="AC250" s="241">
        <f>IFERROR(_xlfn.XLOOKUP($D250,'Modelling New'!$D:$D,'Modelling New'!$P:$P),"")</f>
        <v>5.1161290322580646</v>
      </c>
      <c r="AD250" s="228">
        <f>IFERROR(_xlfn.XLOOKUP($D250,'Modelling New'!$D:$D,'Modelling New'!$T:$T)*1000,"")</f>
        <v>1504722.433109381</v>
      </c>
      <c r="AE250" s="240">
        <f>IFERROR(_xlfn.XLOOKUP($D250,'Modelling New'!$D:$D,'Modelling New'!$O:$O),"")</f>
        <v>0.87771221616494688</v>
      </c>
      <c r="AF250" s="240">
        <f>IFERROR(_xlfn.XLOOKUP($D250,'Modelling New'!$D:$D,'Modelling New'!$W:$W),"")</f>
        <v>0.18710370629537709</v>
      </c>
      <c r="AG250" s="240">
        <f>IFERROR(_xlfn.XLOOKUP($D250,'Modelling New'!$D:$D,'Modelling New'!AE:AE),"")</f>
        <v>0.99750000000000005</v>
      </c>
      <c r="AH250" s="240">
        <f>IFERROR(_xlfn.XLOOKUP($D250,'Modelling New'!$D:$D,'Modelling New'!AF:AF),"")</f>
        <v>0.99750000000000005</v>
      </c>
      <c r="AI250" s="186"/>
      <c r="AJ250" s="186"/>
      <c r="AK250" s="225"/>
      <c r="AL250" s="224">
        <f>IFERROR(Table13[[#This Row],[RA (%)]]*9270*58,"")</f>
        <v>0</v>
      </c>
      <c r="AM250" s="225"/>
      <c r="AN250" s="238"/>
      <c r="AO250" s="240"/>
      <c r="AP250" s="240"/>
      <c r="AQ250" s="240"/>
      <c r="AR250" s="242">
        <f>IFERROR(_xlfn.XLOOKUP($D250,'Modelling New'!$D:$D,'Modelling New'!$N:$N),"")</f>
        <v>335.09100000000001</v>
      </c>
    </row>
    <row r="251" spans="1:44">
      <c r="A251" s="233">
        <f t="shared" si="16"/>
        <v>45994</v>
      </c>
      <c r="B251" s="228">
        <f>YEAR(Table13[[#This Row],[Date]])+IF(MONTH(Table13[[#This Row],[Date]])&gt;=4,1,0)</f>
        <v>2026</v>
      </c>
      <c r="C251" s="186">
        <f>YEAR(Table13[[#This Row],[Date]])</f>
        <v>2025</v>
      </c>
      <c r="D251" s="234">
        <f>Table13[[#This Row],[Date]]-DAY(Table13[[#This Row],[Date]])+1</f>
        <v>45992</v>
      </c>
      <c r="E251" s="186">
        <f t="shared" si="17"/>
        <v>31</v>
      </c>
      <c r="F251" s="235" t="str">
        <f>IFERROR(_xlfn.XLOOKUP($A251,'Raw_Data'!$B:$B,'Raw_Data'!$IX:$IX),"")</f>
        <v/>
      </c>
      <c r="G251" s="236" t="str">
        <f>IFERROR(_xlfn.XLOOKUP($A251,'Raw_Data'!$B:$B,'Raw_Data'!IY:IY),"")</f>
        <v/>
      </c>
      <c r="H251" s="236" t="str">
        <f>IFERROR(_xlfn.XLOOKUP($A251,'Raw_Data'!$B:$B,'Raw_Data'!IZ:IZ),"")</f>
        <v/>
      </c>
      <c r="I251" s="236" t="str">
        <f>IFERROR(_xlfn.XLOOKUP($A251,'Raw_Data'!$B:$B,'Raw_Data'!JA:JA),"")</f>
        <v/>
      </c>
      <c r="J251" s="236" t="str">
        <f>IFERROR(_xlfn.XLOOKUP($A251,'Raw_Data'!$B:$B,'Raw_Data'!JB:JB),"")</f>
        <v/>
      </c>
      <c r="K251" s="236" t="str">
        <f>IFERROR(_xlfn.XLOOKUP($A251,'Raw_Data'!$B:$B,'Raw_Data'!JE:JE),"")</f>
        <v/>
      </c>
      <c r="L251" s="236" t="str">
        <f>IFERROR(_xlfn.XLOOKUP($A251,'Raw_Data'!$B:$B,'Raw_Data'!JF:JF),"")</f>
        <v/>
      </c>
      <c r="M251" s="236" t="str">
        <f>IFERROR(_xlfn.XLOOKUP($A251,'Raw_Data'!$B:$B,'Raw_Data'!JG:JG),"")</f>
        <v/>
      </c>
      <c r="N251" s="236" t="str">
        <f>IFERROR(_xlfn.XLOOKUP($A251,'Raw_Data'!$B:$B,'Raw_Data'!JH:JH),"")</f>
        <v/>
      </c>
      <c r="O251" s="237" t="str">
        <f>IFERROR(1-SUMIF(PA!$B:$B,$A251,PA!$AL:$AL)/($AA251+SUMIF(PA!$B:$B,$A251,PA!$AL:$AL)),"")</f>
        <v/>
      </c>
      <c r="P251" s="238"/>
      <c r="Q251" s="239"/>
      <c r="R251" s="240" t="str">
        <f>IFERROR(1-SUMIF(GA!$C:$C,$A251,GA!$X:$X)/($AA251+SUMIF(GA!$C:$C,$A251,GA!$X:$X)),"")</f>
        <v/>
      </c>
      <c r="S251" s="186"/>
      <c r="T251" s="239"/>
      <c r="U251" s="237" t="str">
        <f t="shared" si="14"/>
        <v/>
      </c>
      <c r="V251" s="237" t="str">
        <f>IFERROR(_xlfn.XLOOKUP($A251,'Raw_Data'!$B:$B,'Raw_Data'!$JL:$JL),"")</f>
        <v/>
      </c>
      <c r="W251" s="240" t="str">
        <f t="shared" si="15"/>
        <v/>
      </c>
      <c r="X251" s="228" t="str">
        <f>IFERROR(_xlfn.XLOOKUP($A251,'Raw_Data'!$B:$B,'Raw_Data'!$JI:$JI),"")</f>
        <v/>
      </c>
      <c r="Y251" s="228" t="str">
        <f>IFERROR(_xlfn.XLOOKUP($A251,'Raw_Data'!$B:$B,'Raw_Data'!IT:IT),"")</f>
        <v/>
      </c>
      <c r="Z251" s="228" t="str">
        <f>IFERROR(_xlfn.XLOOKUP($A251,'Raw_Data'!$B:$B,'Raw_Data'!IU:IU),"")</f>
        <v/>
      </c>
      <c r="AA251" s="228" t="str">
        <f>IFERROR(_xlfn.XLOOKUP($A251,'Raw_Data'!$B:$B,'Raw_Data'!IW:IW),"")</f>
        <v/>
      </c>
      <c r="AB251" s="228" t="str">
        <f>IFERROR(_xlfn.XLOOKUP($A251,'Raw_Data'!$B:$B,'Raw_Data'!I:I)/1000,"")</f>
        <v/>
      </c>
      <c r="AC251" s="241">
        <f>IFERROR(_xlfn.XLOOKUP($D251,'Modelling New'!$D:$D,'Modelling New'!$P:$P),"")</f>
        <v>5.1161290322580646</v>
      </c>
      <c r="AD251" s="228">
        <f>IFERROR(_xlfn.XLOOKUP($D251,'Modelling New'!$D:$D,'Modelling New'!$T:$T)*1000,"")</f>
        <v>1504722.433109381</v>
      </c>
      <c r="AE251" s="240">
        <f>IFERROR(_xlfn.XLOOKUP($D251,'Modelling New'!$D:$D,'Modelling New'!$O:$O),"")</f>
        <v>0.87771221616494688</v>
      </c>
      <c r="AF251" s="240">
        <f>IFERROR(_xlfn.XLOOKUP($D251,'Modelling New'!$D:$D,'Modelling New'!$W:$W),"")</f>
        <v>0.18710370629537709</v>
      </c>
      <c r="AG251" s="240">
        <f>IFERROR(_xlfn.XLOOKUP($D251,'Modelling New'!$D:$D,'Modelling New'!AE:AE),"")</f>
        <v>0.99750000000000005</v>
      </c>
      <c r="AH251" s="240">
        <f>IFERROR(_xlfn.XLOOKUP($D251,'Modelling New'!$D:$D,'Modelling New'!AF:AF),"")</f>
        <v>0.99750000000000005</v>
      </c>
      <c r="AI251" s="186"/>
      <c r="AJ251" s="186"/>
      <c r="AK251" s="225"/>
      <c r="AL251" s="224">
        <f>IFERROR(Table13[[#This Row],[RA (%)]]*9270*58,"")</f>
        <v>0</v>
      </c>
      <c r="AM251" s="225"/>
      <c r="AN251" s="238"/>
      <c r="AO251" s="240"/>
      <c r="AP251" s="240"/>
      <c r="AQ251" s="240"/>
      <c r="AR251" s="242">
        <f>IFERROR(_xlfn.XLOOKUP($D251,'Modelling New'!$D:$D,'Modelling New'!$N:$N),"")</f>
        <v>335.09100000000001</v>
      </c>
    </row>
    <row r="252" spans="1:44">
      <c r="A252" s="233">
        <f t="shared" si="16"/>
        <v>45995</v>
      </c>
      <c r="B252" s="228">
        <f>YEAR(Table13[[#This Row],[Date]])+IF(MONTH(Table13[[#This Row],[Date]])&gt;=4,1,0)</f>
        <v>2026</v>
      </c>
      <c r="C252" s="186">
        <f>YEAR(Table13[[#This Row],[Date]])</f>
        <v>2025</v>
      </c>
      <c r="D252" s="234">
        <f>Table13[[#This Row],[Date]]-DAY(Table13[[#This Row],[Date]])+1</f>
        <v>45992</v>
      </c>
      <c r="E252" s="186">
        <f t="shared" si="17"/>
        <v>31</v>
      </c>
      <c r="F252" s="235" t="str">
        <f>IFERROR(_xlfn.XLOOKUP($A252,'Raw_Data'!$B:$B,'Raw_Data'!$IX:$IX),"")</f>
        <v/>
      </c>
      <c r="G252" s="236" t="str">
        <f>IFERROR(_xlfn.XLOOKUP($A252,'Raw_Data'!$B:$B,'Raw_Data'!IY:IY),"")</f>
        <v/>
      </c>
      <c r="H252" s="236" t="str">
        <f>IFERROR(_xlfn.XLOOKUP($A252,'Raw_Data'!$B:$B,'Raw_Data'!IZ:IZ),"")</f>
        <v/>
      </c>
      <c r="I252" s="236" t="str">
        <f>IFERROR(_xlfn.XLOOKUP($A252,'Raw_Data'!$B:$B,'Raw_Data'!JA:JA),"")</f>
        <v/>
      </c>
      <c r="J252" s="236" t="str">
        <f>IFERROR(_xlfn.XLOOKUP($A252,'Raw_Data'!$B:$B,'Raw_Data'!JB:JB),"")</f>
        <v/>
      </c>
      <c r="K252" s="236" t="str">
        <f>IFERROR(_xlfn.XLOOKUP($A252,'Raw_Data'!$B:$B,'Raw_Data'!JE:JE),"")</f>
        <v/>
      </c>
      <c r="L252" s="236" t="str">
        <f>IFERROR(_xlfn.XLOOKUP($A252,'Raw_Data'!$B:$B,'Raw_Data'!JF:JF),"")</f>
        <v/>
      </c>
      <c r="M252" s="236" t="str">
        <f>IFERROR(_xlfn.XLOOKUP($A252,'Raw_Data'!$B:$B,'Raw_Data'!JG:JG),"")</f>
        <v/>
      </c>
      <c r="N252" s="236" t="str">
        <f>IFERROR(_xlfn.XLOOKUP($A252,'Raw_Data'!$B:$B,'Raw_Data'!JH:JH),"")</f>
        <v/>
      </c>
      <c r="O252" s="237" t="str">
        <f>IFERROR(1-SUMIF(PA!$B:$B,$A252,PA!$AL:$AL)/($AA252+SUMIF(PA!$B:$B,$A252,PA!$AL:$AL)),"")</f>
        <v/>
      </c>
      <c r="P252" s="238"/>
      <c r="Q252" s="239"/>
      <c r="R252" s="240" t="str">
        <f>IFERROR(1-SUMIF(GA!$C:$C,$A252,GA!$X:$X)/($AA252+SUMIF(GA!$C:$C,$A252,GA!$X:$X)),"")</f>
        <v/>
      </c>
      <c r="S252" s="186"/>
      <c r="T252" s="239"/>
      <c r="U252" s="237" t="str">
        <f t="shared" si="14"/>
        <v/>
      </c>
      <c r="V252" s="237" t="str">
        <f>IFERROR(_xlfn.XLOOKUP($A252,'Raw_Data'!$B:$B,'Raw_Data'!$JL:$JL),"")</f>
        <v/>
      </c>
      <c r="W252" s="240" t="str">
        <f t="shared" si="15"/>
        <v/>
      </c>
      <c r="X252" s="228" t="str">
        <f>IFERROR(_xlfn.XLOOKUP($A252,'Raw_Data'!$B:$B,'Raw_Data'!$JI:$JI),"")</f>
        <v/>
      </c>
      <c r="Y252" s="228" t="str">
        <f>IFERROR(_xlfn.XLOOKUP($A252,'Raw_Data'!$B:$B,'Raw_Data'!IT:IT),"")</f>
        <v/>
      </c>
      <c r="Z252" s="228" t="str">
        <f>IFERROR(_xlfn.XLOOKUP($A252,'Raw_Data'!$B:$B,'Raw_Data'!IU:IU),"")</f>
        <v/>
      </c>
      <c r="AA252" s="228" t="str">
        <f>IFERROR(_xlfn.XLOOKUP($A252,'Raw_Data'!$B:$B,'Raw_Data'!IW:IW),"")</f>
        <v/>
      </c>
      <c r="AB252" s="228" t="str">
        <f>IFERROR(_xlfn.XLOOKUP($A252,'Raw_Data'!$B:$B,'Raw_Data'!I:I)/1000,"")</f>
        <v/>
      </c>
      <c r="AC252" s="241">
        <f>IFERROR(_xlfn.XLOOKUP($D252,'Modelling New'!$D:$D,'Modelling New'!$P:$P),"")</f>
        <v>5.1161290322580646</v>
      </c>
      <c r="AD252" s="228">
        <f>IFERROR(_xlfn.XLOOKUP($D252,'Modelling New'!$D:$D,'Modelling New'!$T:$T)*1000,"")</f>
        <v>1504722.433109381</v>
      </c>
      <c r="AE252" s="240">
        <f>IFERROR(_xlfn.XLOOKUP($D252,'Modelling New'!$D:$D,'Modelling New'!$O:$O),"")</f>
        <v>0.87771221616494688</v>
      </c>
      <c r="AF252" s="240">
        <f>IFERROR(_xlfn.XLOOKUP($D252,'Modelling New'!$D:$D,'Modelling New'!$W:$W),"")</f>
        <v>0.18710370629537709</v>
      </c>
      <c r="AG252" s="240">
        <f>IFERROR(_xlfn.XLOOKUP($D252,'Modelling New'!$D:$D,'Modelling New'!AE:AE),"")</f>
        <v>0.99750000000000005</v>
      </c>
      <c r="AH252" s="240">
        <f>IFERROR(_xlfn.XLOOKUP($D252,'Modelling New'!$D:$D,'Modelling New'!AF:AF),"")</f>
        <v>0.99750000000000005</v>
      </c>
      <c r="AI252" s="186"/>
      <c r="AJ252" s="186"/>
      <c r="AK252" s="225"/>
      <c r="AL252" s="224">
        <f>IFERROR(Table13[[#This Row],[RA (%)]]*9270*58,"")</f>
        <v>0</v>
      </c>
      <c r="AM252" s="225"/>
      <c r="AN252" s="238"/>
      <c r="AO252" s="240"/>
      <c r="AP252" s="240"/>
      <c r="AQ252" s="240"/>
      <c r="AR252" s="242">
        <f>IFERROR(_xlfn.XLOOKUP($D252,'Modelling New'!$D:$D,'Modelling New'!$N:$N),"")</f>
        <v>335.09100000000001</v>
      </c>
    </row>
    <row r="253" spans="1:44">
      <c r="A253" s="233">
        <f t="shared" si="16"/>
        <v>45996</v>
      </c>
      <c r="B253" s="228">
        <f>YEAR(Table13[[#This Row],[Date]])+IF(MONTH(Table13[[#This Row],[Date]])&gt;=4,1,0)</f>
        <v>2026</v>
      </c>
      <c r="C253" s="186">
        <f>YEAR(Table13[[#This Row],[Date]])</f>
        <v>2025</v>
      </c>
      <c r="D253" s="234">
        <f>Table13[[#This Row],[Date]]-DAY(Table13[[#This Row],[Date]])+1</f>
        <v>45992</v>
      </c>
      <c r="E253" s="186">
        <f t="shared" si="17"/>
        <v>31</v>
      </c>
      <c r="F253" s="235" t="str">
        <f>IFERROR(_xlfn.XLOOKUP($A253,'Raw_Data'!$B:$B,'Raw_Data'!$IX:$IX),"")</f>
        <v/>
      </c>
      <c r="G253" s="236" t="str">
        <f>IFERROR(_xlfn.XLOOKUP($A253,'Raw_Data'!$B:$B,'Raw_Data'!IY:IY),"")</f>
        <v/>
      </c>
      <c r="H253" s="236" t="str">
        <f>IFERROR(_xlfn.XLOOKUP($A253,'Raw_Data'!$B:$B,'Raw_Data'!IZ:IZ),"")</f>
        <v/>
      </c>
      <c r="I253" s="236" t="str">
        <f>IFERROR(_xlfn.XLOOKUP($A253,'Raw_Data'!$B:$B,'Raw_Data'!JA:JA),"")</f>
        <v/>
      </c>
      <c r="J253" s="236" t="str">
        <f>IFERROR(_xlfn.XLOOKUP($A253,'Raw_Data'!$B:$B,'Raw_Data'!JB:JB),"")</f>
        <v/>
      </c>
      <c r="K253" s="236" t="str">
        <f>IFERROR(_xlfn.XLOOKUP($A253,'Raw_Data'!$B:$B,'Raw_Data'!JE:JE),"")</f>
        <v/>
      </c>
      <c r="L253" s="236" t="str">
        <f>IFERROR(_xlfn.XLOOKUP($A253,'Raw_Data'!$B:$B,'Raw_Data'!JF:JF),"")</f>
        <v/>
      </c>
      <c r="M253" s="236" t="str">
        <f>IFERROR(_xlfn.XLOOKUP($A253,'Raw_Data'!$B:$B,'Raw_Data'!JG:JG),"")</f>
        <v/>
      </c>
      <c r="N253" s="236" t="str">
        <f>IFERROR(_xlfn.XLOOKUP($A253,'Raw_Data'!$B:$B,'Raw_Data'!JH:JH),"")</f>
        <v/>
      </c>
      <c r="O253" s="237" t="str">
        <f>IFERROR(1-SUMIF(PA!$B:$B,$A253,PA!$AL:$AL)/($AA253+SUMIF(PA!$B:$B,$A253,PA!$AL:$AL)),"")</f>
        <v/>
      </c>
      <c r="P253" s="238"/>
      <c r="Q253" s="239"/>
      <c r="R253" s="240" t="str">
        <f>IFERROR(1-SUMIF(GA!$C:$C,$A253,GA!$X:$X)/($AA253+SUMIF(GA!$C:$C,$A253,GA!$X:$X)),"")</f>
        <v/>
      </c>
      <c r="S253" s="186"/>
      <c r="T253" s="239"/>
      <c r="U253" s="237" t="str">
        <f t="shared" si="14"/>
        <v/>
      </c>
      <c r="V253" s="237" t="str">
        <f>IFERROR(_xlfn.XLOOKUP($A253,'Raw_Data'!$B:$B,'Raw_Data'!$JL:$JL),"")</f>
        <v/>
      </c>
      <c r="W253" s="240" t="str">
        <f t="shared" si="15"/>
        <v/>
      </c>
      <c r="X253" s="228" t="str">
        <f>IFERROR(_xlfn.XLOOKUP($A253,'Raw_Data'!$B:$B,'Raw_Data'!$JI:$JI),"")</f>
        <v/>
      </c>
      <c r="Y253" s="228" t="str">
        <f>IFERROR(_xlfn.XLOOKUP($A253,'Raw_Data'!$B:$B,'Raw_Data'!IT:IT),"")</f>
        <v/>
      </c>
      <c r="Z253" s="228" t="str">
        <f>IFERROR(_xlfn.XLOOKUP($A253,'Raw_Data'!$B:$B,'Raw_Data'!IU:IU),"")</f>
        <v/>
      </c>
      <c r="AA253" s="228" t="str">
        <f>IFERROR(_xlfn.XLOOKUP($A253,'Raw_Data'!$B:$B,'Raw_Data'!IW:IW),"")</f>
        <v/>
      </c>
      <c r="AB253" s="228" t="str">
        <f>IFERROR(_xlfn.XLOOKUP($A253,'Raw_Data'!$B:$B,'Raw_Data'!I:I)/1000,"")</f>
        <v/>
      </c>
      <c r="AC253" s="241">
        <f>IFERROR(_xlfn.XLOOKUP($D253,'Modelling New'!$D:$D,'Modelling New'!$P:$P),"")</f>
        <v>5.1161290322580646</v>
      </c>
      <c r="AD253" s="228">
        <f>IFERROR(_xlfn.XLOOKUP($D253,'Modelling New'!$D:$D,'Modelling New'!$T:$T)*1000,"")</f>
        <v>1504722.433109381</v>
      </c>
      <c r="AE253" s="240">
        <f>IFERROR(_xlfn.XLOOKUP($D253,'Modelling New'!$D:$D,'Modelling New'!$O:$O),"")</f>
        <v>0.87771221616494688</v>
      </c>
      <c r="AF253" s="240">
        <f>IFERROR(_xlfn.XLOOKUP($D253,'Modelling New'!$D:$D,'Modelling New'!$W:$W),"")</f>
        <v>0.18710370629537709</v>
      </c>
      <c r="AG253" s="240">
        <f>IFERROR(_xlfn.XLOOKUP($D253,'Modelling New'!$D:$D,'Modelling New'!AE:AE),"")</f>
        <v>0.99750000000000005</v>
      </c>
      <c r="AH253" s="240">
        <f>IFERROR(_xlfn.XLOOKUP($D253,'Modelling New'!$D:$D,'Modelling New'!AF:AF),"")</f>
        <v>0.99750000000000005</v>
      </c>
      <c r="AI253" s="186"/>
      <c r="AJ253" s="186"/>
      <c r="AK253" s="225"/>
      <c r="AL253" s="224">
        <f>IFERROR(Table13[[#This Row],[RA (%)]]*9270*58,"")</f>
        <v>0</v>
      </c>
      <c r="AM253" s="225"/>
      <c r="AN253" s="238"/>
      <c r="AO253" s="240"/>
      <c r="AP253" s="240"/>
      <c r="AQ253" s="240"/>
      <c r="AR253" s="242">
        <f>IFERROR(_xlfn.XLOOKUP($D253,'Modelling New'!$D:$D,'Modelling New'!$N:$N),"")</f>
        <v>335.09100000000001</v>
      </c>
    </row>
    <row r="254" spans="1:44">
      <c r="A254" s="233">
        <f t="shared" si="16"/>
        <v>45997</v>
      </c>
      <c r="B254" s="228">
        <f>YEAR(Table13[[#This Row],[Date]])+IF(MONTH(Table13[[#This Row],[Date]])&gt;=4,1,0)</f>
        <v>2026</v>
      </c>
      <c r="C254" s="186">
        <f>YEAR(Table13[[#This Row],[Date]])</f>
        <v>2025</v>
      </c>
      <c r="D254" s="234">
        <f>Table13[[#This Row],[Date]]-DAY(Table13[[#This Row],[Date]])+1</f>
        <v>45992</v>
      </c>
      <c r="E254" s="186">
        <f t="shared" si="17"/>
        <v>31</v>
      </c>
      <c r="F254" s="235" t="str">
        <f>IFERROR(_xlfn.XLOOKUP($A254,'Raw_Data'!$B:$B,'Raw_Data'!$IX:$IX),"")</f>
        <v/>
      </c>
      <c r="G254" s="236" t="str">
        <f>IFERROR(_xlfn.XLOOKUP($A254,'Raw_Data'!$B:$B,'Raw_Data'!IY:IY),"")</f>
        <v/>
      </c>
      <c r="H254" s="236" t="str">
        <f>IFERROR(_xlfn.XLOOKUP($A254,'Raw_Data'!$B:$B,'Raw_Data'!IZ:IZ),"")</f>
        <v/>
      </c>
      <c r="I254" s="236" t="str">
        <f>IFERROR(_xlfn.XLOOKUP($A254,'Raw_Data'!$B:$B,'Raw_Data'!JA:JA),"")</f>
        <v/>
      </c>
      <c r="J254" s="236" t="str">
        <f>IFERROR(_xlfn.XLOOKUP($A254,'Raw_Data'!$B:$B,'Raw_Data'!JB:JB),"")</f>
        <v/>
      </c>
      <c r="K254" s="236" t="str">
        <f>IFERROR(_xlfn.XLOOKUP($A254,'Raw_Data'!$B:$B,'Raw_Data'!JE:JE),"")</f>
        <v/>
      </c>
      <c r="L254" s="236" t="str">
        <f>IFERROR(_xlfn.XLOOKUP($A254,'Raw_Data'!$B:$B,'Raw_Data'!JF:JF),"")</f>
        <v/>
      </c>
      <c r="M254" s="236" t="str">
        <f>IFERROR(_xlfn.XLOOKUP($A254,'Raw_Data'!$B:$B,'Raw_Data'!JG:JG),"")</f>
        <v/>
      </c>
      <c r="N254" s="236" t="str">
        <f>IFERROR(_xlfn.XLOOKUP($A254,'Raw_Data'!$B:$B,'Raw_Data'!JH:JH),"")</f>
        <v/>
      </c>
      <c r="O254" s="237" t="str">
        <f>IFERROR(1-SUMIF(PA!$B:$B,$A254,PA!$AL:$AL)/($AA254+SUMIF(PA!$B:$B,$A254,PA!$AL:$AL)),"")</f>
        <v/>
      </c>
      <c r="P254" s="238"/>
      <c r="Q254" s="239"/>
      <c r="R254" s="240" t="str">
        <f>IFERROR(1-SUMIF(GA!$C:$C,$A254,GA!$X:$X)/($AA254+SUMIF(GA!$C:$C,$A254,GA!$X:$X)),"")</f>
        <v/>
      </c>
      <c r="S254" s="186"/>
      <c r="T254" s="239"/>
      <c r="U254" s="237" t="str">
        <f t="shared" si="14"/>
        <v/>
      </c>
      <c r="V254" s="237" t="str">
        <f>IFERROR(_xlfn.XLOOKUP($A254,'Raw_Data'!$B:$B,'Raw_Data'!$JL:$JL),"")</f>
        <v/>
      </c>
      <c r="W254" s="240" t="str">
        <f t="shared" si="15"/>
        <v/>
      </c>
      <c r="X254" s="228" t="str">
        <f>IFERROR(_xlfn.XLOOKUP($A254,'Raw_Data'!$B:$B,'Raw_Data'!$JI:$JI),"")</f>
        <v/>
      </c>
      <c r="Y254" s="228" t="str">
        <f>IFERROR(_xlfn.XLOOKUP($A254,'Raw_Data'!$B:$B,'Raw_Data'!IT:IT),"")</f>
        <v/>
      </c>
      <c r="Z254" s="228" t="str">
        <f>IFERROR(_xlfn.XLOOKUP($A254,'Raw_Data'!$B:$B,'Raw_Data'!IU:IU),"")</f>
        <v/>
      </c>
      <c r="AA254" s="228" t="str">
        <f>IFERROR(_xlfn.XLOOKUP($A254,'Raw_Data'!$B:$B,'Raw_Data'!IW:IW),"")</f>
        <v/>
      </c>
      <c r="AB254" s="228" t="str">
        <f>IFERROR(_xlfn.XLOOKUP($A254,'Raw_Data'!$B:$B,'Raw_Data'!I:I)/1000,"")</f>
        <v/>
      </c>
      <c r="AC254" s="241">
        <f>IFERROR(_xlfn.XLOOKUP($D254,'Modelling New'!$D:$D,'Modelling New'!$P:$P),"")</f>
        <v>5.1161290322580646</v>
      </c>
      <c r="AD254" s="228">
        <f>IFERROR(_xlfn.XLOOKUP($D254,'Modelling New'!$D:$D,'Modelling New'!$T:$T)*1000,"")</f>
        <v>1504722.433109381</v>
      </c>
      <c r="AE254" s="240">
        <f>IFERROR(_xlfn.XLOOKUP($D254,'Modelling New'!$D:$D,'Modelling New'!$O:$O),"")</f>
        <v>0.87771221616494688</v>
      </c>
      <c r="AF254" s="240">
        <f>IFERROR(_xlfn.XLOOKUP($D254,'Modelling New'!$D:$D,'Modelling New'!$W:$W),"")</f>
        <v>0.18710370629537709</v>
      </c>
      <c r="AG254" s="240">
        <f>IFERROR(_xlfn.XLOOKUP($D254,'Modelling New'!$D:$D,'Modelling New'!AE:AE),"")</f>
        <v>0.99750000000000005</v>
      </c>
      <c r="AH254" s="240">
        <f>IFERROR(_xlfn.XLOOKUP($D254,'Modelling New'!$D:$D,'Modelling New'!AF:AF),"")</f>
        <v>0.99750000000000005</v>
      </c>
      <c r="AI254" s="186"/>
      <c r="AJ254" s="186"/>
      <c r="AK254" s="225"/>
      <c r="AL254" s="224">
        <f>IFERROR(Table13[[#This Row],[RA (%)]]*9270*58,"")</f>
        <v>0</v>
      </c>
      <c r="AM254" s="225"/>
      <c r="AN254" s="238"/>
      <c r="AO254" s="240"/>
      <c r="AP254" s="240"/>
      <c r="AQ254" s="240"/>
      <c r="AR254" s="242">
        <f>IFERROR(_xlfn.XLOOKUP($D254,'Modelling New'!$D:$D,'Modelling New'!$N:$N),"")</f>
        <v>335.09100000000001</v>
      </c>
    </row>
    <row r="255" spans="1:44">
      <c r="A255" s="233">
        <f t="shared" si="16"/>
        <v>45998</v>
      </c>
      <c r="B255" s="228">
        <f>YEAR(Table13[[#This Row],[Date]])+IF(MONTH(Table13[[#This Row],[Date]])&gt;=4,1,0)</f>
        <v>2026</v>
      </c>
      <c r="C255" s="186">
        <f>YEAR(Table13[[#This Row],[Date]])</f>
        <v>2025</v>
      </c>
      <c r="D255" s="234">
        <f>Table13[[#This Row],[Date]]-DAY(Table13[[#This Row],[Date]])+1</f>
        <v>45992</v>
      </c>
      <c r="E255" s="186">
        <f t="shared" si="17"/>
        <v>31</v>
      </c>
      <c r="F255" s="235" t="str">
        <f>IFERROR(_xlfn.XLOOKUP($A255,'Raw_Data'!$B:$B,'Raw_Data'!$IX:$IX),"")</f>
        <v/>
      </c>
      <c r="G255" s="236" t="str">
        <f>IFERROR(_xlfn.XLOOKUP($A255,'Raw_Data'!$B:$B,'Raw_Data'!IY:IY),"")</f>
        <v/>
      </c>
      <c r="H255" s="236" t="str">
        <f>IFERROR(_xlfn.XLOOKUP($A255,'Raw_Data'!$B:$B,'Raw_Data'!IZ:IZ),"")</f>
        <v/>
      </c>
      <c r="I255" s="236" t="str">
        <f>IFERROR(_xlfn.XLOOKUP($A255,'Raw_Data'!$B:$B,'Raw_Data'!JA:JA),"")</f>
        <v/>
      </c>
      <c r="J255" s="236" t="str">
        <f>IFERROR(_xlfn.XLOOKUP($A255,'Raw_Data'!$B:$B,'Raw_Data'!JB:JB),"")</f>
        <v/>
      </c>
      <c r="K255" s="236" t="str">
        <f>IFERROR(_xlfn.XLOOKUP($A255,'Raw_Data'!$B:$B,'Raw_Data'!JE:JE),"")</f>
        <v/>
      </c>
      <c r="L255" s="236" t="str">
        <f>IFERROR(_xlfn.XLOOKUP($A255,'Raw_Data'!$B:$B,'Raw_Data'!JF:JF),"")</f>
        <v/>
      </c>
      <c r="M255" s="236" t="str">
        <f>IFERROR(_xlfn.XLOOKUP($A255,'Raw_Data'!$B:$B,'Raw_Data'!JG:JG),"")</f>
        <v/>
      </c>
      <c r="N255" s="236" t="str">
        <f>IFERROR(_xlfn.XLOOKUP($A255,'Raw_Data'!$B:$B,'Raw_Data'!JH:JH),"")</f>
        <v/>
      </c>
      <c r="O255" s="237" t="str">
        <f>IFERROR(1-SUMIF(PA!$B:$B,$A255,PA!$AL:$AL)/($AA255+SUMIF(PA!$B:$B,$A255,PA!$AL:$AL)),"")</f>
        <v/>
      </c>
      <c r="P255" s="238"/>
      <c r="Q255" s="239"/>
      <c r="R255" s="240" t="str">
        <f>IFERROR(1-SUMIF(GA!$C:$C,$A255,GA!$X:$X)/($AA255+SUMIF(GA!$C:$C,$A255,GA!$X:$X)),"")</f>
        <v/>
      </c>
      <c r="S255" s="186"/>
      <c r="T255" s="239"/>
      <c r="U255" s="237" t="str">
        <f t="shared" si="14"/>
        <v/>
      </c>
      <c r="V255" s="237" t="str">
        <f>IFERROR(_xlfn.XLOOKUP($A255,'Raw_Data'!$B:$B,'Raw_Data'!$JL:$JL),"")</f>
        <v/>
      </c>
      <c r="W255" s="240" t="str">
        <f t="shared" si="15"/>
        <v/>
      </c>
      <c r="X255" s="228" t="str">
        <f>IFERROR(_xlfn.XLOOKUP($A255,'Raw_Data'!$B:$B,'Raw_Data'!$JI:$JI),"")</f>
        <v/>
      </c>
      <c r="Y255" s="228" t="str">
        <f>IFERROR(_xlfn.XLOOKUP($A255,'Raw_Data'!$B:$B,'Raw_Data'!IT:IT),"")</f>
        <v/>
      </c>
      <c r="Z255" s="228" t="str">
        <f>IFERROR(_xlfn.XLOOKUP($A255,'Raw_Data'!$B:$B,'Raw_Data'!IU:IU),"")</f>
        <v/>
      </c>
      <c r="AA255" s="228" t="str">
        <f>IFERROR(_xlfn.XLOOKUP($A255,'Raw_Data'!$B:$B,'Raw_Data'!IW:IW),"")</f>
        <v/>
      </c>
      <c r="AB255" s="228" t="str">
        <f>IFERROR(_xlfn.XLOOKUP($A255,'Raw_Data'!$B:$B,'Raw_Data'!I:I)/1000,"")</f>
        <v/>
      </c>
      <c r="AC255" s="241">
        <f>IFERROR(_xlfn.XLOOKUP($D255,'Modelling New'!$D:$D,'Modelling New'!$P:$P),"")</f>
        <v>5.1161290322580646</v>
      </c>
      <c r="AD255" s="228">
        <f>IFERROR(_xlfn.XLOOKUP($D255,'Modelling New'!$D:$D,'Modelling New'!$T:$T)*1000,"")</f>
        <v>1504722.433109381</v>
      </c>
      <c r="AE255" s="240">
        <f>IFERROR(_xlfn.XLOOKUP($D255,'Modelling New'!$D:$D,'Modelling New'!$O:$O),"")</f>
        <v>0.87771221616494688</v>
      </c>
      <c r="AF255" s="240">
        <f>IFERROR(_xlfn.XLOOKUP($D255,'Modelling New'!$D:$D,'Modelling New'!$W:$W),"")</f>
        <v>0.18710370629537709</v>
      </c>
      <c r="AG255" s="240">
        <f>IFERROR(_xlfn.XLOOKUP($D255,'Modelling New'!$D:$D,'Modelling New'!AE:AE),"")</f>
        <v>0.99750000000000005</v>
      </c>
      <c r="AH255" s="240">
        <f>IFERROR(_xlfn.XLOOKUP($D255,'Modelling New'!$D:$D,'Modelling New'!AF:AF),"")</f>
        <v>0.99750000000000005</v>
      </c>
      <c r="AI255" s="186"/>
      <c r="AJ255" s="186"/>
      <c r="AK255" s="225"/>
      <c r="AL255" s="224">
        <f>IFERROR(Table13[[#This Row],[RA (%)]]*9270*58,"")</f>
        <v>0</v>
      </c>
      <c r="AM255" s="225"/>
      <c r="AN255" s="238"/>
      <c r="AO255" s="240"/>
      <c r="AP255" s="240"/>
      <c r="AQ255" s="240"/>
      <c r="AR255" s="242">
        <f>IFERROR(_xlfn.XLOOKUP($D255,'Modelling New'!$D:$D,'Modelling New'!$N:$N),"")</f>
        <v>335.09100000000001</v>
      </c>
    </row>
    <row r="256" spans="1:44">
      <c r="A256" s="233">
        <f t="shared" si="16"/>
        <v>45999</v>
      </c>
      <c r="B256" s="228">
        <f>YEAR(Table13[[#This Row],[Date]])+IF(MONTH(Table13[[#This Row],[Date]])&gt;=4,1,0)</f>
        <v>2026</v>
      </c>
      <c r="C256" s="186">
        <f>YEAR(Table13[[#This Row],[Date]])</f>
        <v>2025</v>
      </c>
      <c r="D256" s="234">
        <f>Table13[[#This Row],[Date]]-DAY(Table13[[#This Row],[Date]])+1</f>
        <v>45992</v>
      </c>
      <c r="E256" s="186">
        <f t="shared" si="17"/>
        <v>31</v>
      </c>
      <c r="F256" s="235" t="str">
        <f>IFERROR(_xlfn.XLOOKUP($A256,'Raw_Data'!$B:$B,'Raw_Data'!$IX:$IX),"")</f>
        <v/>
      </c>
      <c r="G256" s="236" t="str">
        <f>IFERROR(_xlfn.XLOOKUP($A256,'Raw_Data'!$B:$B,'Raw_Data'!IY:IY),"")</f>
        <v/>
      </c>
      <c r="H256" s="236" t="str">
        <f>IFERROR(_xlfn.XLOOKUP($A256,'Raw_Data'!$B:$B,'Raw_Data'!IZ:IZ),"")</f>
        <v/>
      </c>
      <c r="I256" s="236" t="str">
        <f>IFERROR(_xlfn.XLOOKUP($A256,'Raw_Data'!$B:$B,'Raw_Data'!JA:JA),"")</f>
        <v/>
      </c>
      <c r="J256" s="236" t="str">
        <f>IFERROR(_xlfn.XLOOKUP($A256,'Raw_Data'!$B:$B,'Raw_Data'!JB:JB),"")</f>
        <v/>
      </c>
      <c r="K256" s="236" t="str">
        <f>IFERROR(_xlfn.XLOOKUP($A256,'Raw_Data'!$B:$B,'Raw_Data'!JE:JE),"")</f>
        <v/>
      </c>
      <c r="L256" s="236" t="str">
        <f>IFERROR(_xlfn.XLOOKUP($A256,'Raw_Data'!$B:$B,'Raw_Data'!JF:JF),"")</f>
        <v/>
      </c>
      <c r="M256" s="236" t="str">
        <f>IFERROR(_xlfn.XLOOKUP($A256,'Raw_Data'!$B:$B,'Raw_Data'!JG:JG),"")</f>
        <v/>
      </c>
      <c r="N256" s="236" t="str">
        <f>IFERROR(_xlfn.XLOOKUP($A256,'Raw_Data'!$B:$B,'Raw_Data'!JH:JH),"")</f>
        <v/>
      </c>
      <c r="O256" s="237" t="str">
        <f>IFERROR(1-SUMIF(PA!$B:$B,$A256,PA!$AL:$AL)/($AA256+SUMIF(PA!$B:$B,$A256,PA!$AL:$AL)),"")</f>
        <v/>
      </c>
      <c r="P256" s="238"/>
      <c r="Q256" s="239"/>
      <c r="R256" s="240" t="str">
        <f>IFERROR(1-SUMIF(GA!$C:$C,$A256,GA!$X:$X)/($AA256+SUMIF(GA!$C:$C,$A256,GA!$X:$X)),"")</f>
        <v/>
      </c>
      <c r="S256" s="186"/>
      <c r="T256" s="239"/>
      <c r="U256" s="237" t="str">
        <f t="shared" ref="U256:U319" si="18">IFERROR(AA256/I256/AR256/1000,"")</f>
        <v/>
      </c>
      <c r="V256" s="237" t="str">
        <f>IFERROR(_xlfn.XLOOKUP($A256,'Raw_Data'!$B:$B,'Raw_Data'!$JL:$JL),"")</f>
        <v/>
      </c>
      <c r="W256" s="240" t="str">
        <f t="shared" ref="W256:W319" si="19">IFERROR(AA256/(24*AR256*1000),"")</f>
        <v/>
      </c>
      <c r="X256" s="228" t="str">
        <f>IFERROR(_xlfn.XLOOKUP($A256,'Raw_Data'!$B:$B,'Raw_Data'!$JI:$JI),"")</f>
        <v/>
      </c>
      <c r="Y256" s="228" t="str">
        <f>IFERROR(_xlfn.XLOOKUP($A256,'Raw_Data'!$B:$B,'Raw_Data'!IT:IT),"")</f>
        <v/>
      </c>
      <c r="Z256" s="228" t="str">
        <f>IFERROR(_xlfn.XLOOKUP($A256,'Raw_Data'!$B:$B,'Raw_Data'!IU:IU),"")</f>
        <v/>
      </c>
      <c r="AA256" s="228" t="str">
        <f>IFERROR(_xlfn.XLOOKUP($A256,'Raw_Data'!$B:$B,'Raw_Data'!IW:IW),"")</f>
        <v/>
      </c>
      <c r="AB256" s="228" t="str">
        <f>IFERROR(_xlfn.XLOOKUP($A256,'Raw_Data'!$B:$B,'Raw_Data'!I:I)/1000,"")</f>
        <v/>
      </c>
      <c r="AC256" s="241">
        <f>IFERROR(_xlfn.XLOOKUP($D256,'Modelling New'!$D:$D,'Modelling New'!$P:$P),"")</f>
        <v>5.1161290322580646</v>
      </c>
      <c r="AD256" s="228">
        <f>IFERROR(_xlfn.XLOOKUP($D256,'Modelling New'!$D:$D,'Modelling New'!$T:$T)*1000,"")</f>
        <v>1504722.433109381</v>
      </c>
      <c r="AE256" s="240">
        <f>IFERROR(_xlfn.XLOOKUP($D256,'Modelling New'!$D:$D,'Modelling New'!$O:$O),"")</f>
        <v>0.87771221616494688</v>
      </c>
      <c r="AF256" s="240">
        <f>IFERROR(_xlfn.XLOOKUP($D256,'Modelling New'!$D:$D,'Modelling New'!$W:$W),"")</f>
        <v>0.18710370629537709</v>
      </c>
      <c r="AG256" s="240">
        <f>IFERROR(_xlfn.XLOOKUP($D256,'Modelling New'!$D:$D,'Modelling New'!AE:AE),"")</f>
        <v>0.99750000000000005</v>
      </c>
      <c r="AH256" s="240">
        <f>IFERROR(_xlfn.XLOOKUP($D256,'Modelling New'!$D:$D,'Modelling New'!AF:AF),"")</f>
        <v>0.99750000000000005</v>
      </c>
      <c r="AI256" s="186"/>
      <c r="AJ256" s="186"/>
      <c r="AK256" s="225"/>
      <c r="AL256" s="224">
        <f>IFERROR(Table13[[#This Row],[RA (%)]]*9270*58,"")</f>
        <v>0</v>
      </c>
      <c r="AM256" s="225"/>
      <c r="AN256" s="238"/>
      <c r="AO256" s="240"/>
      <c r="AP256" s="240"/>
      <c r="AQ256" s="240"/>
      <c r="AR256" s="242">
        <f>IFERROR(_xlfn.XLOOKUP($D256,'Modelling New'!$D:$D,'Modelling New'!$N:$N),"")</f>
        <v>335.09100000000001</v>
      </c>
    </row>
    <row r="257" spans="1:44">
      <c r="A257" s="233">
        <f t="shared" si="16"/>
        <v>46000</v>
      </c>
      <c r="B257" s="228">
        <f>YEAR(Table13[[#This Row],[Date]])+IF(MONTH(Table13[[#This Row],[Date]])&gt;=4,1,0)</f>
        <v>2026</v>
      </c>
      <c r="C257" s="186">
        <f>YEAR(Table13[[#This Row],[Date]])</f>
        <v>2025</v>
      </c>
      <c r="D257" s="234">
        <f>Table13[[#This Row],[Date]]-DAY(Table13[[#This Row],[Date]])+1</f>
        <v>45992</v>
      </c>
      <c r="E257" s="186">
        <f t="shared" si="17"/>
        <v>31</v>
      </c>
      <c r="F257" s="235" t="str">
        <f>IFERROR(_xlfn.XLOOKUP($A257,'Raw_Data'!$B:$B,'Raw_Data'!$IX:$IX),"")</f>
        <v/>
      </c>
      <c r="G257" s="236" t="str">
        <f>IFERROR(_xlfn.XLOOKUP($A257,'Raw_Data'!$B:$B,'Raw_Data'!IY:IY),"")</f>
        <v/>
      </c>
      <c r="H257" s="236" t="str">
        <f>IFERROR(_xlfn.XLOOKUP($A257,'Raw_Data'!$B:$B,'Raw_Data'!IZ:IZ),"")</f>
        <v/>
      </c>
      <c r="I257" s="236" t="str">
        <f>IFERROR(_xlfn.XLOOKUP($A257,'Raw_Data'!$B:$B,'Raw_Data'!JA:JA),"")</f>
        <v/>
      </c>
      <c r="J257" s="236" t="str">
        <f>IFERROR(_xlfn.XLOOKUP($A257,'Raw_Data'!$B:$B,'Raw_Data'!JB:JB),"")</f>
        <v/>
      </c>
      <c r="K257" s="236" t="str">
        <f>IFERROR(_xlfn.XLOOKUP($A257,'Raw_Data'!$B:$B,'Raw_Data'!JE:JE),"")</f>
        <v/>
      </c>
      <c r="L257" s="236" t="str">
        <f>IFERROR(_xlfn.XLOOKUP($A257,'Raw_Data'!$B:$B,'Raw_Data'!JF:JF),"")</f>
        <v/>
      </c>
      <c r="M257" s="236" t="str">
        <f>IFERROR(_xlfn.XLOOKUP($A257,'Raw_Data'!$B:$B,'Raw_Data'!JG:JG),"")</f>
        <v/>
      </c>
      <c r="N257" s="236" t="str">
        <f>IFERROR(_xlfn.XLOOKUP($A257,'Raw_Data'!$B:$B,'Raw_Data'!JH:JH),"")</f>
        <v/>
      </c>
      <c r="O257" s="237" t="str">
        <f>IFERROR(1-SUMIF(PA!$B:$B,$A257,PA!$AL:$AL)/($AA257+SUMIF(PA!$B:$B,$A257,PA!$AL:$AL)),"")</f>
        <v/>
      </c>
      <c r="P257" s="238"/>
      <c r="Q257" s="239"/>
      <c r="R257" s="240" t="str">
        <f>IFERROR(1-SUMIF(GA!$C:$C,$A257,GA!$X:$X)/($AA257+SUMIF(GA!$C:$C,$A257,GA!$X:$X)),"")</f>
        <v/>
      </c>
      <c r="S257" s="186"/>
      <c r="T257" s="239"/>
      <c r="U257" s="237" t="str">
        <f t="shared" si="18"/>
        <v/>
      </c>
      <c r="V257" s="237" t="str">
        <f>IFERROR(_xlfn.XLOOKUP($A257,'Raw_Data'!$B:$B,'Raw_Data'!$JL:$JL),"")</f>
        <v/>
      </c>
      <c r="W257" s="240" t="str">
        <f t="shared" si="19"/>
        <v/>
      </c>
      <c r="X257" s="228" t="str">
        <f>IFERROR(_xlfn.XLOOKUP($A257,'Raw_Data'!$B:$B,'Raw_Data'!$JI:$JI),"")</f>
        <v/>
      </c>
      <c r="Y257" s="228" t="str">
        <f>IFERROR(_xlfn.XLOOKUP($A257,'Raw_Data'!$B:$B,'Raw_Data'!IT:IT),"")</f>
        <v/>
      </c>
      <c r="Z257" s="228" t="str">
        <f>IFERROR(_xlfn.XLOOKUP($A257,'Raw_Data'!$B:$B,'Raw_Data'!IU:IU),"")</f>
        <v/>
      </c>
      <c r="AA257" s="228" t="str">
        <f>IFERROR(_xlfn.XLOOKUP($A257,'Raw_Data'!$B:$B,'Raw_Data'!IW:IW),"")</f>
        <v/>
      </c>
      <c r="AB257" s="228" t="str">
        <f>IFERROR(_xlfn.XLOOKUP($A257,'Raw_Data'!$B:$B,'Raw_Data'!I:I)/1000,"")</f>
        <v/>
      </c>
      <c r="AC257" s="241">
        <f>IFERROR(_xlfn.XLOOKUP($D257,'Modelling New'!$D:$D,'Modelling New'!$P:$P),"")</f>
        <v>5.1161290322580646</v>
      </c>
      <c r="AD257" s="228">
        <f>IFERROR(_xlfn.XLOOKUP($D257,'Modelling New'!$D:$D,'Modelling New'!$T:$T)*1000,"")</f>
        <v>1504722.433109381</v>
      </c>
      <c r="AE257" s="240">
        <f>IFERROR(_xlfn.XLOOKUP($D257,'Modelling New'!$D:$D,'Modelling New'!$O:$O),"")</f>
        <v>0.87771221616494688</v>
      </c>
      <c r="AF257" s="240">
        <f>IFERROR(_xlfn.XLOOKUP($D257,'Modelling New'!$D:$D,'Modelling New'!$W:$W),"")</f>
        <v>0.18710370629537709</v>
      </c>
      <c r="AG257" s="240">
        <f>IFERROR(_xlfn.XLOOKUP($D257,'Modelling New'!$D:$D,'Modelling New'!AE:AE),"")</f>
        <v>0.99750000000000005</v>
      </c>
      <c r="AH257" s="240">
        <f>IFERROR(_xlfn.XLOOKUP($D257,'Modelling New'!$D:$D,'Modelling New'!AF:AF),"")</f>
        <v>0.99750000000000005</v>
      </c>
      <c r="AI257" s="186"/>
      <c r="AJ257" s="186"/>
      <c r="AK257" s="225"/>
      <c r="AL257" s="224">
        <f>IFERROR(Table13[[#This Row],[RA (%)]]*9270*58,"")</f>
        <v>0</v>
      </c>
      <c r="AM257" s="225"/>
      <c r="AN257" s="238"/>
      <c r="AO257" s="240"/>
      <c r="AP257" s="240"/>
      <c r="AQ257" s="240"/>
      <c r="AR257" s="242">
        <f>IFERROR(_xlfn.XLOOKUP($D257,'Modelling New'!$D:$D,'Modelling New'!$N:$N),"")</f>
        <v>335.09100000000001</v>
      </c>
    </row>
    <row r="258" spans="1:44">
      <c r="A258" s="233">
        <f t="shared" ref="A258:A321" si="20">A257+1</f>
        <v>46001</v>
      </c>
      <c r="B258" s="228">
        <f>YEAR(Table13[[#This Row],[Date]])+IF(MONTH(Table13[[#This Row],[Date]])&gt;=4,1,0)</f>
        <v>2026</v>
      </c>
      <c r="C258" s="186">
        <f>YEAR(Table13[[#This Row],[Date]])</f>
        <v>2025</v>
      </c>
      <c r="D258" s="234">
        <f>Table13[[#This Row],[Date]]-DAY(Table13[[#This Row],[Date]])+1</f>
        <v>45992</v>
      </c>
      <c r="E258" s="186">
        <f t="shared" si="17"/>
        <v>31</v>
      </c>
      <c r="F258" s="235" t="str">
        <f>IFERROR(_xlfn.XLOOKUP($A258,'Raw_Data'!$B:$B,'Raw_Data'!$IX:$IX),"")</f>
        <v/>
      </c>
      <c r="G258" s="236" t="str">
        <f>IFERROR(_xlfn.XLOOKUP($A258,'Raw_Data'!$B:$B,'Raw_Data'!IY:IY),"")</f>
        <v/>
      </c>
      <c r="H258" s="236" t="str">
        <f>IFERROR(_xlfn.XLOOKUP($A258,'Raw_Data'!$B:$B,'Raw_Data'!IZ:IZ),"")</f>
        <v/>
      </c>
      <c r="I258" s="236" t="str">
        <f>IFERROR(_xlfn.XLOOKUP($A258,'Raw_Data'!$B:$B,'Raw_Data'!JA:JA),"")</f>
        <v/>
      </c>
      <c r="J258" s="236" t="str">
        <f>IFERROR(_xlfn.XLOOKUP($A258,'Raw_Data'!$B:$B,'Raw_Data'!JB:JB),"")</f>
        <v/>
      </c>
      <c r="K258" s="236" t="str">
        <f>IFERROR(_xlfn.XLOOKUP($A258,'Raw_Data'!$B:$B,'Raw_Data'!JE:JE),"")</f>
        <v/>
      </c>
      <c r="L258" s="236" t="str">
        <f>IFERROR(_xlfn.XLOOKUP($A258,'Raw_Data'!$B:$B,'Raw_Data'!JF:JF),"")</f>
        <v/>
      </c>
      <c r="M258" s="236" t="str">
        <f>IFERROR(_xlfn.XLOOKUP($A258,'Raw_Data'!$B:$B,'Raw_Data'!JG:JG),"")</f>
        <v/>
      </c>
      <c r="N258" s="236" t="str">
        <f>IFERROR(_xlfn.XLOOKUP($A258,'Raw_Data'!$B:$B,'Raw_Data'!JH:JH),"")</f>
        <v/>
      </c>
      <c r="O258" s="237" t="str">
        <f>IFERROR(1-SUMIF(PA!$B:$B,$A258,PA!$AL:$AL)/($AA258+SUMIF(PA!$B:$B,$A258,PA!$AL:$AL)),"")</f>
        <v/>
      </c>
      <c r="P258" s="238"/>
      <c r="Q258" s="239"/>
      <c r="R258" s="240" t="str">
        <f>IFERROR(1-SUMIF(GA!$C:$C,$A258,GA!$X:$X)/($AA258+SUMIF(GA!$C:$C,$A258,GA!$X:$X)),"")</f>
        <v/>
      </c>
      <c r="S258" s="186"/>
      <c r="T258" s="239"/>
      <c r="U258" s="237" t="str">
        <f t="shared" si="18"/>
        <v/>
      </c>
      <c r="V258" s="237" t="str">
        <f>IFERROR(_xlfn.XLOOKUP($A258,'Raw_Data'!$B:$B,'Raw_Data'!$JL:$JL),"")</f>
        <v/>
      </c>
      <c r="W258" s="240" t="str">
        <f t="shared" si="19"/>
        <v/>
      </c>
      <c r="X258" s="228" t="str">
        <f>IFERROR(_xlfn.XLOOKUP($A258,'Raw_Data'!$B:$B,'Raw_Data'!$JI:$JI),"")</f>
        <v/>
      </c>
      <c r="Y258" s="228" t="str">
        <f>IFERROR(_xlfn.XLOOKUP($A258,'Raw_Data'!$B:$B,'Raw_Data'!IT:IT),"")</f>
        <v/>
      </c>
      <c r="Z258" s="228" t="str">
        <f>IFERROR(_xlfn.XLOOKUP($A258,'Raw_Data'!$B:$B,'Raw_Data'!IU:IU),"")</f>
        <v/>
      </c>
      <c r="AA258" s="228" t="str">
        <f>IFERROR(_xlfn.XLOOKUP($A258,'Raw_Data'!$B:$B,'Raw_Data'!IW:IW),"")</f>
        <v/>
      </c>
      <c r="AB258" s="228" t="str">
        <f>IFERROR(_xlfn.XLOOKUP($A258,'Raw_Data'!$B:$B,'Raw_Data'!I:I)/1000,"")</f>
        <v/>
      </c>
      <c r="AC258" s="241">
        <f>IFERROR(_xlfn.XLOOKUP($D258,'Modelling New'!$D:$D,'Modelling New'!$P:$P),"")</f>
        <v>5.1161290322580646</v>
      </c>
      <c r="AD258" s="228">
        <f>IFERROR(_xlfn.XLOOKUP($D258,'Modelling New'!$D:$D,'Modelling New'!$T:$T)*1000,"")</f>
        <v>1504722.433109381</v>
      </c>
      <c r="AE258" s="240">
        <f>IFERROR(_xlfn.XLOOKUP($D258,'Modelling New'!$D:$D,'Modelling New'!$O:$O),"")</f>
        <v>0.87771221616494688</v>
      </c>
      <c r="AF258" s="240">
        <f>IFERROR(_xlfn.XLOOKUP($D258,'Modelling New'!$D:$D,'Modelling New'!$W:$W),"")</f>
        <v>0.18710370629537709</v>
      </c>
      <c r="AG258" s="240">
        <f>IFERROR(_xlfn.XLOOKUP($D258,'Modelling New'!$D:$D,'Modelling New'!AE:AE),"")</f>
        <v>0.99750000000000005</v>
      </c>
      <c r="AH258" s="240">
        <f>IFERROR(_xlfn.XLOOKUP($D258,'Modelling New'!$D:$D,'Modelling New'!AF:AF),"")</f>
        <v>0.99750000000000005</v>
      </c>
      <c r="AI258" s="186"/>
      <c r="AJ258" s="186"/>
      <c r="AK258" s="225"/>
      <c r="AL258" s="224">
        <f>IFERROR(Table13[[#This Row],[RA (%)]]*9270*58,"")</f>
        <v>0</v>
      </c>
      <c r="AM258" s="225"/>
      <c r="AN258" s="238"/>
      <c r="AO258" s="240"/>
      <c r="AP258" s="240"/>
      <c r="AQ258" s="240"/>
      <c r="AR258" s="242">
        <f>IFERROR(_xlfn.XLOOKUP($D258,'Modelling New'!$D:$D,'Modelling New'!$N:$N),"")</f>
        <v>335.09100000000001</v>
      </c>
    </row>
    <row r="259" spans="1:44">
      <c r="A259" s="233">
        <f t="shared" si="20"/>
        <v>46002</v>
      </c>
      <c r="B259" s="228">
        <f>YEAR(Table13[[#This Row],[Date]])+IF(MONTH(Table13[[#This Row],[Date]])&gt;=4,1,0)</f>
        <v>2026</v>
      </c>
      <c r="C259" s="186">
        <f>YEAR(Table13[[#This Row],[Date]])</f>
        <v>2025</v>
      </c>
      <c r="D259" s="234">
        <f>Table13[[#This Row],[Date]]-DAY(Table13[[#This Row],[Date]])+1</f>
        <v>45992</v>
      </c>
      <c r="E259" s="186">
        <f t="shared" si="17"/>
        <v>31</v>
      </c>
      <c r="F259" s="235" t="str">
        <f>IFERROR(_xlfn.XLOOKUP($A259,'Raw_Data'!$B:$B,'Raw_Data'!$IX:$IX),"")</f>
        <v/>
      </c>
      <c r="G259" s="236" t="str">
        <f>IFERROR(_xlfn.XLOOKUP($A259,'Raw_Data'!$B:$B,'Raw_Data'!IY:IY),"")</f>
        <v/>
      </c>
      <c r="H259" s="236" t="str">
        <f>IFERROR(_xlfn.XLOOKUP($A259,'Raw_Data'!$B:$B,'Raw_Data'!IZ:IZ),"")</f>
        <v/>
      </c>
      <c r="I259" s="236" t="str">
        <f>IFERROR(_xlfn.XLOOKUP($A259,'Raw_Data'!$B:$B,'Raw_Data'!JA:JA),"")</f>
        <v/>
      </c>
      <c r="J259" s="236" t="str">
        <f>IFERROR(_xlfn.XLOOKUP($A259,'Raw_Data'!$B:$B,'Raw_Data'!JB:JB),"")</f>
        <v/>
      </c>
      <c r="K259" s="236" t="str">
        <f>IFERROR(_xlfn.XLOOKUP($A259,'Raw_Data'!$B:$B,'Raw_Data'!JE:JE),"")</f>
        <v/>
      </c>
      <c r="L259" s="236" t="str">
        <f>IFERROR(_xlfn.XLOOKUP($A259,'Raw_Data'!$B:$B,'Raw_Data'!JF:JF),"")</f>
        <v/>
      </c>
      <c r="M259" s="236" t="str">
        <f>IFERROR(_xlfn.XLOOKUP($A259,'Raw_Data'!$B:$B,'Raw_Data'!JG:JG),"")</f>
        <v/>
      </c>
      <c r="N259" s="236" t="str">
        <f>IFERROR(_xlfn.XLOOKUP($A259,'Raw_Data'!$B:$B,'Raw_Data'!JH:JH),"")</f>
        <v/>
      </c>
      <c r="O259" s="237" t="str">
        <f>IFERROR(1-SUMIF(PA!$B:$B,$A259,PA!$AL:$AL)/($AA259+SUMIF(PA!$B:$B,$A259,PA!$AL:$AL)),"")</f>
        <v/>
      </c>
      <c r="P259" s="238"/>
      <c r="Q259" s="239"/>
      <c r="R259" s="240" t="str">
        <f>IFERROR(1-SUMIF(GA!$C:$C,$A259,GA!$X:$X)/($AA259+SUMIF(GA!$C:$C,$A259,GA!$X:$X)),"")</f>
        <v/>
      </c>
      <c r="S259" s="186"/>
      <c r="T259" s="239"/>
      <c r="U259" s="237" t="str">
        <f t="shared" si="18"/>
        <v/>
      </c>
      <c r="V259" s="237" t="str">
        <f>IFERROR(_xlfn.XLOOKUP($A259,'Raw_Data'!$B:$B,'Raw_Data'!$JL:$JL),"")</f>
        <v/>
      </c>
      <c r="W259" s="240" t="str">
        <f t="shared" si="19"/>
        <v/>
      </c>
      <c r="X259" s="228" t="str">
        <f>IFERROR(_xlfn.XLOOKUP($A259,'Raw_Data'!$B:$B,'Raw_Data'!$JI:$JI),"")</f>
        <v/>
      </c>
      <c r="Y259" s="228" t="str">
        <f>IFERROR(_xlfn.XLOOKUP($A259,'Raw_Data'!$B:$B,'Raw_Data'!IT:IT),"")</f>
        <v/>
      </c>
      <c r="Z259" s="228" t="str">
        <f>IFERROR(_xlfn.XLOOKUP($A259,'Raw_Data'!$B:$B,'Raw_Data'!IU:IU),"")</f>
        <v/>
      </c>
      <c r="AA259" s="228" t="str">
        <f>IFERROR(_xlfn.XLOOKUP($A259,'Raw_Data'!$B:$B,'Raw_Data'!IW:IW),"")</f>
        <v/>
      </c>
      <c r="AB259" s="228" t="str">
        <f>IFERROR(_xlfn.XLOOKUP($A259,'Raw_Data'!$B:$B,'Raw_Data'!I:I)/1000,"")</f>
        <v/>
      </c>
      <c r="AC259" s="241">
        <f>IFERROR(_xlfn.XLOOKUP($D259,'Modelling New'!$D:$D,'Modelling New'!$P:$P),"")</f>
        <v>5.1161290322580646</v>
      </c>
      <c r="AD259" s="228">
        <f>IFERROR(_xlfn.XLOOKUP($D259,'Modelling New'!$D:$D,'Modelling New'!$T:$T)*1000,"")</f>
        <v>1504722.433109381</v>
      </c>
      <c r="AE259" s="240">
        <f>IFERROR(_xlfn.XLOOKUP($D259,'Modelling New'!$D:$D,'Modelling New'!$O:$O),"")</f>
        <v>0.87771221616494688</v>
      </c>
      <c r="AF259" s="240">
        <f>IFERROR(_xlfn.XLOOKUP($D259,'Modelling New'!$D:$D,'Modelling New'!$W:$W),"")</f>
        <v>0.18710370629537709</v>
      </c>
      <c r="AG259" s="240">
        <f>IFERROR(_xlfn.XLOOKUP($D259,'Modelling New'!$D:$D,'Modelling New'!AE:AE),"")</f>
        <v>0.99750000000000005</v>
      </c>
      <c r="AH259" s="240">
        <f>IFERROR(_xlfn.XLOOKUP($D259,'Modelling New'!$D:$D,'Modelling New'!AF:AF),"")</f>
        <v>0.99750000000000005</v>
      </c>
      <c r="AI259" s="186"/>
      <c r="AJ259" s="186"/>
      <c r="AK259" s="225"/>
      <c r="AL259" s="224">
        <f>IFERROR(Table13[[#This Row],[RA (%)]]*9270*58,"")</f>
        <v>0</v>
      </c>
      <c r="AM259" s="225"/>
      <c r="AN259" s="238"/>
      <c r="AO259" s="240"/>
      <c r="AP259" s="240"/>
      <c r="AQ259" s="240"/>
      <c r="AR259" s="242">
        <f>IFERROR(_xlfn.XLOOKUP($D259,'Modelling New'!$D:$D,'Modelling New'!$N:$N),"")</f>
        <v>335.09100000000001</v>
      </c>
    </row>
    <row r="260" spans="1:44">
      <c r="A260" s="233">
        <f t="shared" si="20"/>
        <v>46003</v>
      </c>
      <c r="B260" s="228">
        <f>YEAR(Table13[[#This Row],[Date]])+IF(MONTH(Table13[[#This Row],[Date]])&gt;=4,1,0)</f>
        <v>2026</v>
      </c>
      <c r="C260" s="186">
        <f>YEAR(Table13[[#This Row],[Date]])</f>
        <v>2025</v>
      </c>
      <c r="D260" s="234">
        <f>Table13[[#This Row],[Date]]-DAY(Table13[[#This Row],[Date]])+1</f>
        <v>45992</v>
      </c>
      <c r="E260" s="186">
        <f t="shared" si="17"/>
        <v>31</v>
      </c>
      <c r="F260" s="235" t="str">
        <f>IFERROR(_xlfn.XLOOKUP($A260,'Raw_Data'!$B:$B,'Raw_Data'!$IX:$IX),"")</f>
        <v/>
      </c>
      <c r="G260" s="236" t="str">
        <f>IFERROR(_xlfn.XLOOKUP($A260,'Raw_Data'!$B:$B,'Raw_Data'!IY:IY),"")</f>
        <v/>
      </c>
      <c r="H260" s="236" t="str">
        <f>IFERROR(_xlfn.XLOOKUP($A260,'Raw_Data'!$B:$B,'Raw_Data'!IZ:IZ),"")</f>
        <v/>
      </c>
      <c r="I260" s="236" t="str">
        <f>IFERROR(_xlfn.XLOOKUP($A260,'Raw_Data'!$B:$B,'Raw_Data'!JA:JA),"")</f>
        <v/>
      </c>
      <c r="J260" s="236" t="str">
        <f>IFERROR(_xlfn.XLOOKUP($A260,'Raw_Data'!$B:$B,'Raw_Data'!JB:JB),"")</f>
        <v/>
      </c>
      <c r="K260" s="236" t="str">
        <f>IFERROR(_xlfn.XLOOKUP($A260,'Raw_Data'!$B:$B,'Raw_Data'!JE:JE),"")</f>
        <v/>
      </c>
      <c r="L260" s="236" t="str">
        <f>IFERROR(_xlfn.XLOOKUP($A260,'Raw_Data'!$B:$B,'Raw_Data'!JF:JF),"")</f>
        <v/>
      </c>
      <c r="M260" s="236" t="str">
        <f>IFERROR(_xlfn.XLOOKUP($A260,'Raw_Data'!$B:$B,'Raw_Data'!JG:JG),"")</f>
        <v/>
      </c>
      <c r="N260" s="236" t="str">
        <f>IFERROR(_xlfn.XLOOKUP($A260,'Raw_Data'!$B:$B,'Raw_Data'!JH:JH),"")</f>
        <v/>
      </c>
      <c r="O260" s="237" t="str">
        <f>IFERROR(1-SUMIF(PA!$B:$B,$A260,PA!$AL:$AL)/($AA260+SUMIF(PA!$B:$B,$A260,PA!$AL:$AL)),"")</f>
        <v/>
      </c>
      <c r="P260" s="238"/>
      <c r="Q260" s="239"/>
      <c r="R260" s="240" t="str">
        <f>IFERROR(1-SUMIF(GA!$C:$C,$A260,GA!$X:$X)/($AA260+SUMIF(GA!$C:$C,$A260,GA!$X:$X)),"")</f>
        <v/>
      </c>
      <c r="S260" s="186"/>
      <c r="T260" s="239"/>
      <c r="U260" s="237" t="str">
        <f t="shared" si="18"/>
        <v/>
      </c>
      <c r="V260" s="237" t="str">
        <f>IFERROR(_xlfn.XLOOKUP($A260,'Raw_Data'!$B:$B,'Raw_Data'!$JL:$JL),"")</f>
        <v/>
      </c>
      <c r="W260" s="240" t="str">
        <f t="shared" si="19"/>
        <v/>
      </c>
      <c r="X260" s="228" t="str">
        <f>IFERROR(_xlfn.XLOOKUP($A260,'Raw_Data'!$B:$B,'Raw_Data'!$JI:$JI),"")</f>
        <v/>
      </c>
      <c r="Y260" s="228" t="str">
        <f>IFERROR(_xlfn.XLOOKUP($A260,'Raw_Data'!$B:$B,'Raw_Data'!IT:IT),"")</f>
        <v/>
      </c>
      <c r="Z260" s="228" t="str">
        <f>IFERROR(_xlfn.XLOOKUP($A260,'Raw_Data'!$B:$B,'Raw_Data'!IU:IU),"")</f>
        <v/>
      </c>
      <c r="AA260" s="228" t="str">
        <f>IFERROR(_xlfn.XLOOKUP($A260,'Raw_Data'!$B:$B,'Raw_Data'!IW:IW),"")</f>
        <v/>
      </c>
      <c r="AB260" s="228" t="str">
        <f>IFERROR(_xlfn.XLOOKUP($A260,'Raw_Data'!$B:$B,'Raw_Data'!I:I)/1000,"")</f>
        <v/>
      </c>
      <c r="AC260" s="241">
        <f>IFERROR(_xlfn.XLOOKUP($D260,'Modelling New'!$D:$D,'Modelling New'!$P:$P),"")</f>
        <v>5.1161290322580646</v>
      </c>
      <c r="AD260" s="228">
        <f>IFERROR(_xlfn.XLOOKUP($D260,'Modelling New'!$D:$D,'Modelling New'!$T:$T)*1000,"")</f>
        <v>1504722.433109381</v>
      </c>
      <c r="AE260" s="240">
        <f>IFERROR(_xlfn.XLOOKUP($D260,'Modelling New'!$D:$D,'Modelling New'!$O:$O),"")</f>
        <v>0.87771221616494688</v>
      </c>
      <c r="AF260" s="240">
        <f>IFERROR(_xlfn.XLOOKUP($D260,'Modelling New'!$D:$D,'Modelling New'!$W:$W),"")</f>
        <v>0.18710370629537709</v>
      </c>
      <c r="AG260" s="240">
        <f>IFERROR(_xlfn.XLOOKUP($D260,'Modelling New'!$D:$D,'Modelling New'!AE:AE),"")</f>
        <v>0.99750000000000005</v>
      </c>
      <c r="AH260" s="240">
        <f>IFERROR(_xlfn.XLOOKUP($D260,'Modelling New'!$D:$D,'Modelling New'!AF:AF),"")</f>
        <v>0.99750000000000005</v>
      </c>
      <c r="AI260" s="186"/>
      <c r="AJ260" s="186"/>
      <c r="AK260" s="225"/>
      <c r="AL260" s="224">
        <f>IFERROR(Table13[[#This Row],[RA (%)]]*9270*58,"")</f>
        <v>0</v>
      </c>
      <c r="AM260" s="225"/>
      <c r="AN260" s="238"/>
      <c r="AO260" s="240"/>
      <c r="AP260" s="240"/>
      <c r="AQ260" s="240"/>
      <c r="AR260" s="242">
        <f>IFERROR(_xlfn.XLOOKUP($D260,'Modelling New'!$D:$D,'Modelling New'!$N:$N),"")</f>
        <v>335.09100000000001</v>
      </c>
    </row>
    <row r="261" spans="1:44">
      <c r="A261" s="233">
        <f t="shared" si="20"/>
        <v>46004</v>
      </c>
      <c r="B261" s="228">
        <f>YEAR(Table13[[#This Row],[Date]])+IF(MONTH(Table13[[#This Row],[Date]])&gt;=4,1,0)</f>
        <v>2026</v>
      </c>
      <c r="C261" s="186">
        <f>YEAR(Table13[[#This Row],[Date]])</f>
        <v>2025</v>
      </c>
      <c r="D261" s="234">
        <f>Table13[[#This Row],[Date]]-DAY(Table13[[#This Row],[Date]])+1</f>
        <v>45992</v>
      </c>
      <c r="E261" s="186">
        <f t="shared" ref="E261:E324" si="21">DAY(EOMONTH(A261,0))</f>
        <v>31</v>
      </c>
      <c r="F261" s="235" t="str">
        <f>IFERROR(_xlfn.XLOOKUP($A261,'Raw_Data'!$B:$B,'Raw_Data'!$IX:$IX),"")</f>
        <v/>
      </c>
      <c r="G261" s="236" t="str">
        <f>IFERROR(_xlfn.XLOOKUP($A261,'Raw_Data'!$B:$B,'Raw_Data'!IY:IY),"")</f>
        <v/>
      </c>
      <c r="H261" s="236" t="str">
        <f>IFERROR(_xlfn.XLOOKUP($A261,'Raw_Data'!$B:$B,'Raw_Data'!IZ:IZ),"")</f>
        <v/>
      </c>
      <c r="I261" s="236" t="str">
        <f>IFERROR(_xlfn.XLOOKUP($A261,'Raw_Data'!$B:$B,'Raw_Data'!JA:JA),"")</f>
        <v/>
      </c>
      <c r="J261" s="236" t="str">
        <f>IFERROR(_xlfn.XLOOKUP($A261,'Raw_Data'!$B:$B,'Raw_Data'!JB:JB),"")</f>
        <v/>
      </c>
      <c r="K261" s="236" t="str">
        <f>IFERROR(_xlfn.XLOOKUP($A261,'Raw_Data'!$B:$B,'Raw_Data'!JE:JE),"")</f>
        <v/>
      </c>
      <c r="L261" s="236" t="str">
        <f>IFERROR(_xlfn.XLOOKUP($A261,'Raw_Data'!$B:$B,'Raw_Data'!JF:JF),"")</f>
        <v/>
      </c>
      <c r="M261" s="236" t="str">
        <f>IFERROR(_xlfn.XLOOKUP($A261,'Raw_Data'!$B:$B,'Raw_Data'!JG:JG),"")</f>
        <v/>
      </c>
      <c r="N261" s="236" t="str">
        <f>IFERROR(_xlfn.XLOOKUP($A261,'Raw_Data'!$B:$B,'Raw_Data'!JH:JH),"")</f>
        <v/>
      </c>
      <c r="O261" s="237" t="str">
        <f>IFERROR(1-SUMIF(PA!$B:$B,$A261,PA!$AL:$AL)/($AA261+SUMIF(PA!$B:$B,$A261,PA!$AL:$AL)),"")</f>
        <v/>
      </c>
      <c r="P261" s="238"/>
      <c r="Q261" s="239"/>
      <c r="R261" s="240" t="str">
        <f>IFERROR(1-SUMIF(GA!$C:$C,$A261,GA!$X:$X)/($AA261+SUMIF(GA!$C:$C,$A261,GA!$X:$X)),"")</f>
        <v/>
      </c>
      <c r="S261" s="186"/>
      <c r="T261" s="239"/>
      <c r="U261" s="237" t="str">
        <f t="shared" si="18"/>
        <v/>
      </c>
      <c r="V261" s="237" t="str">
        <f>IFERROR(_xlfn.XLOOKUP($A261,'Raw_Data'!$B:$B,'Raw_Data'!$JL:$JL),"")</f>
        <v/>
      </c>
      <c r="W261" s="240" t="str">
        <f t="shared" si="19"/>
        <v/>
      </c>
      <c r="X261" s="228" t="str">
        <f>IFERROR(_xlfn.XLOOKUP($A261,'Raw_Data'!$B:$B,'Raw_Data'!$JI:$JI),"")</f>
        <v/>
      </c>
      <c r="Y261" s="228" t="str">
        <f>IFERROR(_xlfn.XLOOKUP($A261,'Raw_Data'!$B:$B,'Raw_Data'!IT:IT),"")</f>
        <v/>
      </c>
      <c r="Z261" s="228" t="str">
        <f>IFERROR(_xlfn.XLOOKUP($A261,'Raw_Data'!$B:$B,'Raw_Data'!IU:IU),"")</f>
        <v/>
      </c>
      <c r="AA261" s="228" t="str">
        <f>IFERROR(_xlfn.XLOOKUP($A261,'Raw_Data'!$B:$B,'Raw_Data'!IW:IW),"")</f>
        <v/>
      </c>
      <c r="AB261" s="228" t="str">
        <f>IFERROR(_xlfn.XLOOKUP($A261,'Raw_Data'!$B:$B,'Raw_Data'!I:I)/1000,"")</f>
        <v/>
      </c>
      <c r="AC261" s="241">
        <f>IFERROR(_xlfn.XLOOKUP($D261,'Modelling New'!$D:$D,'Modelling New'!$P:$P),"")</f>
        <v>5.1161290322580646</v>
      </c>
      <c r="AD261" s="228">
        <f>IFERROR(_xlfn.XLOOKUP($D261,'Modelling New'!$D:$D,'Modelling New'!$T:$T)*1000,"")</f>
        <v>1504722.433109381</v>
      </c>
      <c r="AE261" s="240">
        <f>IFERROR(_xlfn.XLOOKUP($D261,'Modelling New'!$D:$D,'Modelling New'!$O:$O),"")</f>
        <v>0.87771221616494688</v>
      </c>
      <c r="AF261" s="240">
        <f>IFERROR(_xlfn.XLOOKUP($D261,'Modelling New'!$D:$D,'Modelling New'!$W:$W),"")</f>
        <v>0.18710370629537709</v>
      </c>
      <c r="AG261" s="240">
        <f>IFERROR(_xlfn.XLOOKUP($D261,'Modelling New'!$D:$D,'Modelling New'!AE:AE),"")</f>
        <v>0.99750000000000005</v>
      </c>
      <c r="AH261" s="240">
        <f>IFERROR(_xlfn.XLOOKUP($D261,'Modelling New'!$D:$D,'Modelling New'!AF:AF),"")</f>
        <v>0.99750000000000005</v>
      </c>
      <c r="AI261" s="186"/>
      <c r="AJ261" s="186"/>
      <c r="AK261" s="225"/>
      <c r="AL261" s="224">
        <f>IFERROR(Table13[[#This Row],[RA (%)]]*9270*58,"")</f>
        <v>0</v>
      </c>
      <c r="AM261" s="225"/>
      <c r="AN261" s="238"/>
      <c r="AO261" s="240"/>
      <c r="AP261" s="240"/>
      <c r="AQ261" s="240"/>
      <c r="AR261" s="242">
        <f>IFERROR(_xlfn.XLOOKUP($D261,'Modelling New'!$D:$D,'Modelling New'!$N:$N),"")</f>
        <v>335.09100000000001</v>
      </c>
    </row>
    <row r="262" spans="1:44">
      <c r="A262" s="233">
        <f t="shared" si="20"/>
        <v>46005</v>
      </c>
      <c r="B262" s="228">
        <f>YEAR(Table13[[#This Row],[Date]])+IF(MONTH(Table13[[#This Row],[Date]])&gt;=4,1,0)</f>
        <v>2026</v>
      </c>
      <c r="C262" s="186">
        <f>YEAR(Table13[[#This Row],[Date]])</f>
        <v>2025</v>
      </c>
      <c r="D262" s="234">
        <f>Table13[[#This Row],[Date]]-DAY(Table13[[#This Row],[Date]])+1</f>
        <v>45992</v>
      </c>
      <c r="E262" s="186">
        <f t="shared" si="21"/>
        <v>31</v>
      </c>
      <c r="F262" s="235" t="str">
        <f>IFERROR(_xlfn.XLOOKUP($A262,'Raw_Data'!$B:$B,'Raw_Data'!$IX:$IX),"")</f>
        <v/>
      </c>
      <c r="G262" s="236" t="str">
        <f>IFERROR(_xlfn.XLOOKUP($A262,'Raw_Data'!$B:$B,'Raw_Data'!IY:IY),"")</f>
        <v/>
      </c>
      <c r="H262" s="236" t="str">
        <f>IFERROR(_xlfn.XLOOKUP($A262,'Raw_Data'!$B:$B,'Raw_Data'!IZ:IZ),"")</f>
        <v/>
      </c>
      <c r="I262" s="236" t="str">
        <f>IFERROR(_xlfn.XLOOKUP($A262,'Raw_Data'!$B:$B,'Raw_Data'!JA:JA),"")</f>
        <v/>
      </c>
      <c r="J262" s="236" t="str">
        <f>IFERROR(_xlfn.XLOOKUP($A262,'Raw_Data'!$B:$B,'Raw_Data'!JB:JB),"")</f>
        <v/>
      </c>
      <c r="K262" s="236" t="str">
        <f>IFERROR(_xlfn.XLOOKUP($A262,'Raw_Data'!$B:$B,'Raw_Data'!JE:JE),"")</f>
        <v/>
      </c>
      <c r="L262" s="236" t="str">
        <f>IFERROR(_xlfn.XLOOKUP($A262,'Raw_Data'!$B:$B,'Raw_Data'!JF:JF),"")</f>
        <v/>
      </c>
      <c r="M262" s="236" t="str">
        <f>IFERROR(_xlfn.XLOOKUP($A262,'Raw_Data'!$B:$B,'Raw_Data'!JG:JG),"")</f>
        <v/>
      </c>
      <c r="N262" s="236" t="str">
        <f>IFERROR(_xlfn.XLOOKUP($A262,'Raw_Data'!$B:$B,'Raw_Data'!JH:JH),"")</f>
        <v/>
      </c>
      <c r="O262" s="237" t="str">
        <f>IFERROR(1-SUMIF(PA!$B:$B,$A262,PA!$AL:$AL)/($AA262+SUMIF(PA!$B:$B,$A262,PA!$AL:$AL)),"")</f>
        <v/>
      </c>
      <c r="P262" s="238"/>
      <c r="Q262" s="239"/>
      <c r="R262" s="240" t="str">
        <f>IFERROR(1-SUMIF(GA!$C:$C,$A262,GA!$X:$X)/($AA262+SUMIF(GA!$C:$C,$A262,GA!$X:$X)),"")</f>
        <v/>
      </c>
      <c r="S262" s="186"/>
      <c r="T262" s="239"/>
      <c r="U262" s="237" t="str">
        <f t="shared" si="18"/>
        <v/>
      </c>
      <c r="V262" s="237" t="str">
        <f>IFERROR(_xlfn.XLOOKUP($A262,'Raw_Data'!$B:$B,'Raw_Data'!$JL:$JL),"")</f>
        <v/>
      </c>
      <c r="W262" s="240" t="str">
        <f t="shared" si="19"/>
        <v/>
      </c>
      <c r="X262" s="228" t="str">
        <f>IFERROR(_xlfn.XLOOKUP($A262,'Raw_Data'!$B:$B,'Raw_Data'!$JI:$JI),"")</f>
        <v/>
      </c>
      <c r="Y262" s="228" t="str">
        <f>IFERROR(_xlfn.XLOOKUP($A262,'Raw_Data'!$B:$B,'Raw_Data'!IT:IT),"")</f>
        <v/>
      </c>
      <c r="Z262" s="228" t="str">
        <f>IFERROR(_xlfn.XLOOKUP($A262,'Raw_Data'!$B:$B,'Raw_Data'!IU:IU),"")</f>
        <v/>
      </c>
      <c r="AA262" s="228" t="str">
        <f>IFERROR(_xlfn.XLOOKUP($A262,'Raw_Data'!$B:$B,'Raw_Data'!IW:IW),"")</f>
        <v/>
      </c>
      <c r="AB262" s="228" t="str">
        <f>IFERROR(_xlfn.XLOOKUP($A262,'Raw_Data'!$B:$B,'Raw_Data'!I:I)/1000,"")</f>
        <v/>
      </c>
      <c r="AC262" s="241">
        <f>IFERROR(_xlfn.XLOOKUP($D262,'Modelling New'!$D:$D,'Modelling New'!$P:$P),"")</f>
        <v>5.1161290322580646</v>
      </c>
      <c r="AD262" s="228">
        <f>IFERROR(_xlfn.XLOOKUP($D262,'Modelling New'!$D:$D,'Modelling New'!$T:$T)*1000,"")</f>
        <v>1504722.433109381</v>
      </c>
      <c r="AE262" s="240">
        <f>IFERROR(_xlfn.XLOOKUP($D262,'Modelling New'!$D:$D,'Modelling New'!$O:$O),"")</f>
        <v>0.87771221616494688</v>
      </c>
      <c r="AF262" s="240">
        <f>IFERROR(_xlfn.XLOOKUP($D262,'Modelling New'!$D:$D,'Modelling New'!$W:$W),"")</f>
        <v>0.18710370629537709</v>
      </c>
      <c r="AG262" s="240">
        <f>IFERROR(_xlfn.XLOOKUP($D262,'Modelling New'!$D:$D,'Modelling New'!AE:AE),"")</f>
        <v>0.99750000000000005</v>
      </c>
      <c r="AH262" s="240">
        <f>IFERROR(_xlfn.XLOOKUP($D262,'Modelling New'!$D:$D,'Modelling New'!AF:AF),"")</f>
        <v>0.99750000000000005</v>
      </c>
      <c r="AI262" s="186"/>
      <c r="AJ262" s="186"/>
      <c r="AK262" s="225"/>
      <c r="AL262" s="224">
        <f>IFERROR(Table13[[#This Row],[RA (%)]]*9270*58,"")</f>
        <v>0</v>
      </c>
      <c r="AM262" s="225"/>
      <c r="AN262" s="238"/>
      <c r="AO262" s="240"/>
      <c r="AP262" s="240"/>
      <c r="AQ262" s="240"/>
      <c r="AR262" s="242">
        <f>IFERROR(_xlfn.XLOOKUP($D262,'Modelling New'!$D:$D,'Modelling New'!$N:$N),"")</f>
        <v>335.09100000000001</v>
      </c>
    </row>
    <row r="263" spans="1:44">
      <c r="A263" s="233">
        <f t="shared" si="20"/>
        <v>46006</v>
      </c>
      <c r="B263" s="228">
        <f>YEAR(Table13[[#This Row],[Date]])+IF(MONTH(Table13[[#This Row],[Date]])&gt;=4,1,0)</f>
        <v>2026</v>
      </c>
      <c r="C263" s="186">
        <f>YEAR(Table13[[#This Row],[Date]])</f>
        <v>2025</v>
      </c>
      <c r="D263" s="234">
        <f>Table13[[#This Row],[Date]]-DAY(Table13[[#This Row],[Date]])+1</f>
        <v>45992</v>
      </c>
      <c r="E263" s="186">
        <f t="shared" si="21"/>
        <v>31</v>
      </c>
      <c r="F263" s="235" t="str">
        <f>IFERROR(_xlfn.XLOOKUP($A263,'Raw_Data'!$B:$B,'Raw_Data'!$IX:$IX),"")</f>
        <v/>
      </c>
      <c r="G263" s="236" t="str">
        <f>IFERROR(_xlfn.XLOOKUP($A263,'Raw_Data'!$B:$B,'Raw_Data'!IY:IY),"")</f>
        <v/>
      </c>
      <c r="H263" s="236" t="str">
        <f>IFERROR(_xlfn.XLOOKUP($A263,'Raw_Data'!$B:$B,'Raw_Data'!IZ:IZ),"")</f>
        <v/>
      </c>
      <c r="I263" s="236" t="str">
        <f>IFERROR(_xlfn.XLOOKUP($A263,'Raw_Data'!$B:$B,'Raw_Data'!JA:JA),"")</f>
        <v/>
      </c>
      <c r="J263" s="236" t="str">
        <f>IFERROR(_xlfn.XLOOKUP($A263,'Raw_Data'!$B:$B,'Raw_Data'!JB:JB),"")</f>
        <v/>
      </c>
      <c r="K263" s="236" t="str">
        <f>IFERROR(_xlfn.XLOOKUP($A263,'Raw_Data'!$B:$B,'Raw_Data'!JE:JE),"")</f>
        <v/>
      </c>
      <c r="L263" s="236" t="str">
        <f>IFERROR(_xlfn.XLOOKUP($A263,'Raw_Data'!$B:$B,'Raw_Data'!JF:JF),"")</f>
        <v/>
      </c>
      <c r="M263" s="236" t="str">
        <f>IFERROR(_xlfn.XLOOKUP($A263,'Raw_Data'!$B:$B,'Raw_Data'!JG:JG),"")</f>
        <v/>
      </c>
      <c r="N263" s="236" t="str">
        <f>IFERROR(_xlfn.XLOOKUP($A263,'Raw_Data'!$B:$B,'Raw_Data'!JH:JH),"")</f>
        <v/>
      </c>
      <c r="O263" s="237" t="str">
        <f>IFERROR(1-SUMIF(PA!$B:$B,$A263,PA!$AL:$AL)/($AA263+SUMIF(PA!$B:$B,$A263,PA!$AL:$AL)),"")</f>
        <v/>
      </c>
      <c r="P263" s="238"/>
      <c r="Q263" s="239"/>
      <c r="R263" s="240" t="str">
        <f>IFERROR(1-SUMIF(GA!$C:$C,$A263,GA!$X:$X)/($AA263+SUMIF(GA!$C:$C,$A263,GA!$X:$X)),"")</f>
        <v/>
      </c>
      <c r="S263" s="186"/>
      <c r="T263" s="239"/>
      <c r="U263" s="237" t="str">
        <f t="shared" si="18"/>
        <v/>
      </c>
      <c r="V263" s="237" t="str">
        <f>IFERROR(_xlfn.XLOOKUP($A263,'Raw_Data'!$B:$B,'Raw_Data'!$JL:$JL),"")</f>
        <v/>
      </c>
      <c r="W263" s="240" t="str">
        <f t="shared" si="19"/>
        <v/>
      </c>
      <c r="X263" s="228" t="str">
        <f>IFERROR(_xlfn.XLOOKUP($A263,'Raw_Data'!$B:$B,'Raw_Data'!$JI:$JI),"")</f>
        <v/>
      </c>
      <c r="Y263" s="228" t="str">
        <f>IFERROR(_xlfn.XLOOKUP($A263,'Raw_Data'!$B:$B,'Raw_Data'!IT:IT),"")</f>
        <v/>
      </c>
      <c r="Z263" s="228" t="str">
        <f>IFERROR(_xlfn.XLOOKUP($A263,'Raw_Data'!$B:$B,'Raw_Data'!IU:IU),"")</f>
        <v/>
      </c>
      <c r="AA263" s="228" t="str">
        <f>IFERROR(_xlfn.XLOOKUP($A263,'Raw_Data'!$B:$B,'Raw_Data'!IW:IW),"")</f>
        <v/>
      </c>
      <c r="AB263" s="228" t="str">
        <f>IFERROR(_xlfn.XLOOKUP($A263,'Raw_Data'!$B:$B,'Raw_Data'!I:I)/1000,"")</f>
        <v/>
      </c>
      <c r="AC263" s="241">
        <f>IFERROR(_xlfn.XLOOKUP($D263,'Modelling New'!$D:$D,'Modelling New'!$P:$P),"")</f>
        <v>5.1161290322580646</v>
      </c>
      <c r="AD263" s="228">
        <f>IFERROR(_xlfn.XLOOKUP($D263,'Modelling New'!$D:$D,'Modelling New'!$T:$T)*1000,"")</f>
        <v>1504722.433109381</v>
      </c>
      <c r="AE263" s="240">
        <f>IFERROR(_xlfn.XLOOKUP($D263,'Modelling New'!$D:$D,'Modelling New'!$O:$O),"")</f>
        <v>0.87771221616494688</v>
      </c>
      <c r="AF263" s="240">
        <f>IFERROR(_xlfn.XLOOKUP($D263,'Modelling New'!$D:$D,'Modelling New'!$W:$W),"")</f>
        <v>0.18710370629537709</v>
      </c>
      <c r="AG263" s="240">
        <f>IFERROR(_xlfn.XLOOKUP($D263,'Modelling New'!$D:$D,'Modelling New'!AE:AE),"")</f>
        <v>0.99750000000000005</v>
      </c>
      <c r="AH263" s="240">
        <f>IFERROR(_xlfn.XLOOKUP($D263,'Modelling New'!$D:$D,'Modelling New'!AF:AF),"")</f>
        <v>0.99750000000000005</v>
      </c>
      <c r="AI263" s="186"/>
      <c r="AJ263" s="186"/>
      <c r="AK263" s="225"/>
      <c r="AL263" s="224">
        <f>IFERROR(Table13[[#This Row],[RA (%)]]*9270*58,"")</f>
        <v>0</v>
      </c>
      <c r="AM263" s="225"/>
      <c r="AN263" s="238"/>
      <c r="AO263" s="240"/>
      <c r="AP263" s="240"/>
      <c r="AQ263" s="240"/>
      <c r="AR263" s="242">
        <f>IFERROR(_xlfn.XLOOKUP($D263,'Modelling New'!$D:$D,'Modelling New'!$N:$N),"")</f>
        <v>335.09100000000001</v>
      </c>
    </row>
    <row r="264" spans="1:44">
      <c r="A264" s="233">
        <f t="shared" si="20"/>
        <v>46007</v>
      </c>
      <c r="B264" s="228">
        <f>YEAR(Table13[[#This Row],[Date]])+IF(MONTH(Table13[[#This Row],[Date]])&gt;=4,1,0)</f>
        <v>2026</v>
      </c>
      <c r="C264" s="186">
        <f>YEAR(Table13[[#This Row],[Date]])</f>
        <v>2025</v>
      </c>
      <c r="D264" s="234">
        <f>Table13[[#This Row],[Date]]-DAY(Table13[[#This Row],[Date]])+1</f>
        <v>45992</v>
      </c>
      <c r="E264" s="186">
        <f t="shared" si="21"/>
        <v>31</v>
      </c>
      <c r="F264" s="235" t="str">
        <f>IFERROR(_xlfn.XLOOKUP($A264,'Raw_Data'!$B:$B,'Raw_Data'!$IX:$IX),"")</f>
        <v/>
      </c>
      <c r="G264" s="236" t="str">
        <f>IFERROR(_xlfn.XLOOKUP($A264,'Raw_Data'!$B:$B,'Raw_Data'!IY:IY),"")</f>
        <v/>
      </c>
      <c r="H264" s="236" t="str">
        <f>IFERROR(_xlfn.XLOOKUP($A264,'Raw_Data'!$B:$B,'Raw_Data'!IZ:IZ),"")</f>
        <v/>
      </c>
      <c r="I264" s="236" t="str">
        <f>IFERROR(_xlfn.XLOOKUP($A264,'Raw_Data'!$B:$B,'Raw_Data'!JA:JA),"")</f>
        <v/>
      </c>
      <c r="J264" s="236" t="str">
        <f>IFERROR(_xlfn.XLOOKUP($A264,'Raw_Data'!$B:$B,'Raw_Data'!JB:JB),"")</f>
        <v/>
      </c>
      <c r="K264" s="236" t="str">
        <f>IFERROR(_xlfn.XLOOKUP($A264,'Raw_Data'!$B:$B,'Raw_Data'!JE:JE),"")</f>
        <v/>
      </c>
      <c r="L264" s="236" t="str">
        <f>IFERROR(_xlfn.XLOOKUP($A264,'Raw_Data'!$B:$B,'Raw_Data'!JF:JF),"")</f>
        <v/>
      </c>
      <c r="M264" s="236" t="str">
        <f>IFERROR(_xlfn.XLOOKUP($A264,'Raw_Data'!$B:$B,'Raw_Data'!JG:JG),"")</f>
        <v/>
      </c>
      <c r="N264" s="236" t="str">
        <f>IFERROR(_xlfn.XLOOKUP($A264,'Raw_Data'!$B:$B,'Raw_Data'!JH:JH),"")</f>
        <v/>
      </c>
      <c r="O264" s="237" t="str">
        <f>IFERROR(1-SUMIF(PA!$B:$B,$A264,PA!$AL:$AL)/($AA264+SUMIF(PA!$B:$B,$A264,PA!$AL:$AL)),"")</f>
        <v/>
      </c>
      <c r="P264" s="238"/>
      <c r="Q264" s="239"/>
      <c r="R264" s="240" t="str">
        <f>IFERROR(1-SUMIF(GA!$C:$C,$A264,GA!$X:$X)/($AA264+SUMIF(GA!$C:$C,$A264,GA!$X:$X)),"")</f>
        <v/>
      </c>
      <c r="S264" s="186"/>
      <c r="T264" s="239"/>
      <c r="U264" s="237" t="str">
        <f t="shared" si="18"/>
        <v/>
      </c>
      <c r="V264" s="237" t="str">
        <f>IFERROR(_xlfn.XLOOKUP($A264,'Raw_Data'!$B:$B,'Raw_Data'!$JL:$JL),"")</f>
        <v/>
      </c>
      <c r="W264" s="240" t="str">
        <f t="shared" si="19"/>
        <v/>
      </c>
      <c r="X264" s="228" t="str">
        <f>IFERROR(_xlfn.XLOOKUP($A264,'Raw_Data'!$B:$B,'Raw_Data'!$JI:$JI),"")</f>
        <v/>
      </c>
      <c r="Y264" s="228" t="str">
        <f>IFERROR(_xlfn.XLOOKUP($A264,'Raw_Data'!$B:$B,'Raw_Data'!IT:IT),"")</f>
        <v/>
      </c>
      <c r="Z264" s="228" t="str">
        <f>IFERROR(_xlfn.XLOOKUP($A264,'Raw_Data'!$B:$B,'Raw_Data'!IU:IU),"")</f>
        <v/>
      </c>
      <c r="AA264" s="228" t="str">
        <f>IFERROR(_xlfn.XLOOKUP($A264,'Raw_Data'!$B:$B,'Raw_Data'!IW:IW),"")</f>
        <v/>
      </c>
      <c r="AB264" s="228" t="str">
        <f>IFERROR(_xlfn.XLOOKUP($A264,'Raw_Data'!$B:$B,'Raw_Data'!I:I)/1000,"")</f>
        <v/>
      </c>
      <c r="AC264" s="241">
        <f>IFERROR(_xlfn.XLOOKUP($D264,'Modelling New'!$D:$D,'Modelling New'!$P:$P),"")</f>
        <v>5.1161290322580646</v>
      </c>
      <c r="AD264" s="228">
        <f>IFERROR(_xlfn.XLOOKUP($D264,'Modelling New'!$D:$D,'Modelling New'!$T:$T)*1000,"")</f>
        <v>1504722.433109381</v>
      </c>
      <c r="AE264" s="240">
        <f>IFERROR(_xlfn.XLOOKUP($D264,'Modelling New'!$D:$D,'Modelling New'!$O:$O),"")</f>
        <v>0.87771221616494688</v>
      </c>
      <c r="AF264" s="240">
        <f>IFERROR(_xlfn.XLOOKUP($D264,'Modelling New'!$D:$D,'Modelling New'!$W:$W),"")</f>
        <v>0.18710370629537709</v>
      </c>
      <c r="AG264" s="240">
        <f>IFERROR(_xlfn.XLOOKUP($D264,'Modelling New'!$D:$D,'Modelling New'!AE:AE),"")</f>
        <v>0.99750000000000005</v>
      </c>
      <c r="AH264" s="240">
        <f>IFERROR(_xlfn.XLOOKUP($D264,'Modelling New'!$D:$D,'Modelling New'!AF:AF),"")</f>
        <v>0.99750000000000005</v>
      </c>
      <c r="AI264" s="186"/>
      <c r="AJ264" s="186"/>
      <c r="AK264" s="225"/>
      <c r="AL264" s="224">
        <f>IFERROR(Table13[[#This Row],[RA (%)]]*9270*58,"")</f>
        <v>0</v>
      </c>
      <c r="AM264" s="225"/>
      <c r="AN264" s="238"/>
      <c r="AO264" s="240"/>
      <c r="AP264" s="240"/>
      <c r="AQ264" s="240"/>
      <c r="AR264" s="242">
        <f>IFERROR(_xlfn.XLOOKUP($D264,'Modelling New'!$D:$D,'Modelling New'!$N:$N),"")</f>
        <v>335.09100000000001</v>
      </c>
    </row>
    <row r="265" spans="1:44">
      <c r="A265" s="233">
        <f t="shared" si="20"/>
        <v>46008</v>
      </c>
      <c r="B265" s="228">
        <f>YEAR(Table13[[#This Row],[Date]])+IF(MONTH(Table13[[#This Row],[Date]])&gt;=4,1,0)</f>
        <v>2026</v>
      </c>
      <c r="C265" s="186">
        <f>YEAR(Table13[[#This Row],[Date]])</f>
        <v>2025</v>
      </c>
      <c r="D265" s="234">
        <f>Table13[[#This Row],[Date]]-DAY(Table13[[#This Row],[Date]])+1</f>
        <v>45992</v>
      </c>
      <c r="E265" s="186">
        <f t="shared" si="21"/>
        <v>31</v>
      </c>
      <c r="F265" s="235" t="str">
        <f>IFERROR(_xlfn.XLOOKUP($A265,'Raw_Data'!$B:$B,'Raw_Data'!$IX:$IX),"")</f>
        <v/>
      </c>
      <c r="G265" s="236" t="str">
        <f>IFERROR(_xlfn.XLOOKUP($A265,'Raw_Data'!$B:$B,'Raw_Data'!IY:IY),"")</f>
        <v/>
      </c>
      <c r="H265" s="236" t="str">
        <f>IFERROR(_xlfn.XLOOKUP($A265,'Raw_Data'!$B:$B,'Raw_Data'!IZ:IZ),"")</f>
        <v/>
      </c>
      <c r="I265" s="236" t="str">
        <f>IFERROR(_xlfn.XLOOKUP($A265,'Raw_Data'!$B:$B,'Raw_Data'!JA:JA),"")</f>
        <v/>
      </c>
      <c r="J265" s="236" t="str">
        <f>IFERROR(_xlfn.XLOOKUP($A265,'Raw_Data'!$B:$B,'Raw_Data'!JB:JB),"")</f>
        <v/>
      </c>
      <c r="K265" s="236" t="str">
        <f>IFERROR(_xlfn.XLOOKUP($A265,'Raw_Data'!$B:$B,'Raw_Data'!JE:JE),"")</f>
        <v/>
      </c>
      <c r="L265" s="236" t="str">
        <f>IFERROR(_xlfn.XLOOKUP($A265,'Raw_Data'!$B:$B,'Raw_Data'!JF:JF),"")</f>
        <v/>
      </c>
      <c r="M265" s="236" t="str">
        <f>IFERROR(_xlfn.XLOOKUP($A265,'Raw_Data'!$B:$B,'Raw_Data'!JG:JG),"")</f>
        <v/>
      </c>
      <c r="N265" s="236" t="str">
        <f>IFERROR(_xlfn.XLOOKUP($A265,'Raw_Data'!$B:$B,'Raw_Data'!JH:JH),"")</f>
        <v/>
      </c>
      <c r="O265" s="237" t="str">
        <f>IFERROR(1-SUMIF(PA!$B:$B,$A265,PA!$AL:$AL)/($AA265+SUMIF(PA!$B:$B,$A265,PA!$AL:$AL)),"")</f>
        <v/>
      </c>
      <c r="P265" s="238"/>
      <c r="Q265" s="239"/>
      <c r="R265" s="240" t="str">
        <f>IFERROR(1-SUMIF(GA!$C:$C,$A265,GA!$X:$X)/($AA265+SUMIF(GA!$C:$C,$A265,GA!$X:$X)),"")</f>
        <v/>
      </c>
      <c r="S265" s="186"/>
      <c r="T265" s="239"/>
      <c r="U265" s="237" t="str">
        <f t="shared" si="18"/>
        <v/>
      </c>
      <c r="V265" s="237" t="str">
        <f>IFERROR(_xlfn.XLOOKUP($A265,'Raw_Data'!$B:$B,'Raw_Data'!$JL:$JL),"")</f>
        <v/>
      </c>
      <c r="W265" s="240" t="str">
        <f t="shared" si="19"/>
        <v/>
      </c>
      <c r="X265" s="228" t="str">
        <f>IFERROR(_xlfn.XLOOKUP($A265,'Raw_Data'!$B:$B,'Raw_Data'!$JI:$JI),"")</f>
        <v/>
      </c>
      <c r="Y265" s="228" t="str">
        <f>IFERROR(_xlfn.XLOOKUP($A265,'Raw_Data'!$B:$B,'Raw_Data'!IT:IT),"")</f>
        <v/>
      </c>
      <c r="Z265" s="228" t="str">
        <f>IFERROR(_xlfn.XLOOKUP($A265,'Raw_Data'!$B:$B,'Raw_Data'!IU:IU),"")</f>
        <v/>
      </c>
      <c r="AA265" s="228" t="str">
        <f>IFERROR(_xlfn.XLOOKUP($A265,'Raw_Data'!$B:$B,'Raw_Data'!IW:IW),"")</f>
        <v/>
      </c>
      <c r="AB265" s="228" t="str">
        <f>IFERROR(_xlfn.XLOOKUP($A265,'Raw_Data'!$B:$B,'Raw_Data'!I:I)/1000,"")</f>
        <v/>
      </c>
      <c r="AC265" s="241">
        <f>IFERROR(_xlfn.XLOOKUP($D265,'Modelling New'!$D:$D,'Modelling New'!$P:$P),"")</f>
        <v>5.1161290322580646</v>
      </c>
      <c r="AD265" s="228">
        <f>IFERROR(_xlfn.XLOOKUP($D265,'Modelling New'!$D:$D,'Modelling New'!$T:$T)*1000,"")</f>
        <v>1504722.433109381</v>
      </c>
      <c r="AE265" s="240">
        <f>IFERROR(_xlfn.XLOOKUP($D265,'Modelling New'!$D:$D,'Modelling New'!$O:$O),"")</f>
        <v>0.87771221616494688</v>
      </c>
      <c r="AF265" s="240">
        <f>IFERROR(_xlfn.XLOOKUP($D265,'Modelling New'!$D:$D,'Modelling New'!$W:$W),"")</f>
        <v>0.18710370629537709</v>
      </c>
      <c r="AG265" s="240">
        <f>IFERROR(_xlfn.XLOOKUP($D265,'Modelling New'!$D:$D,'Modelling New'!AE:AE),"")</f>
        <v>0.99750000000000005</v>
      </c>
      <c r="AH265" s="240">
        <f>IFERROR(_xlfn.XLOOKUP($D265,'Modelling New'!$D:$D,'Modelling New'!AF:AF),"")</f>
        <v>0.99750000000000005</v>
      </c>
      <c r="AI265" s="186"/>
      <c r="AJ265" s="186"/>
      <c r="AK265" s="225"/>
      <c r="AL265" s="224">
        <f>IFERROR(Table13[[#This Row],[RA (%)]]*9270*58,"")</f>
        <v>0</v>
      </c>
      <c r="AM265" s="225"/>
      <c r="AN265" s="238"/>
      <c r="AO265" s="240"/>
      <c r="AP265" s="240"/>
      <c r="AQ265" s="240"/>
      <c r="AR265" s="242">
        <f>IFERROR(_xlfn.XLOOKUP($D265,'Modelling New'!$D:$D,'Modelling New'!$N:$N),"")</f>
        <v>335.09100000000001</v>
      </c>
    </row>
    <row r="266" spans="1:44">
      <c r="A266" s="233">
        <f t="shared" si="20"/>
        <v>46009</v>
      </c>
      <c r="B266" s="228">
        <f>YEAR(Table13[[#This Row],[Date]])+IF(MONTH(Table13[[#This Row],[Date]])&gt;=4,1,0)</f>
        <v>2026</v>
      </c>
      <c r="C266" s="186">
        <f>YEAR(Table13[[#This Row],[Date]])</f>
        <v>2025</v>
      </c>
      <c r="D266" s="234">
        <f>Table13[[#This Row],[Date]]-DAY(Table13[[#This Row],[Date]])+1</f>
        <v>45992</v>
      </c>
      <c r="E266" s="186">
        <f t="shared" si="21"/>
        <v>31</v>
      </c>
      <c r="F266" s="235" t="str">
        <f>IFERROR(_xlfn.XLOOKUP($A266,'Raw_Data'!$B:$B,'Raw_Data'!$IX:$IX),"")</f>
        <v/>
      </c>
      <c r="G266" s="236" t="str">
        <f>IFERROR(_xlfn.XLOOKUP($A266,'Raw_Data'!$B:$B,'Raw_Data'!IY:IY),"")</f>
        <v/>
      </c>
      <c r="H266" s="236" t="str">
        <f>IFERROR(_xlfn.XLOOKUP($A266,'Raw_Data'!$B:$B,'Raw_Data'!IZ:IZ),"")</f>
        <v/>
      </c>
      <c r="I266" s="236" t="str">
        <f>IFERROR(_xlfn.XLOOKUP($A266,'Raw_Data'!$B:$B,'Raw_Data'!JA:JA),"")</f>
        <v/>
      </c>
      <c r="J266" s="236" t="str">
        <f>IFERROR(_xlfn.XLOOKUP($A266,'Raw_Data'!$B:$B,'Raw_Data'!JB:JB),"")</f>
        <v/>
      </c>
      <c r="K266" s="236" t="str">
        <f>IFERROR(_xlfn.XLOOKUP($A266,'Raw_Data'!$B:$B,'Raw_Data'!JE:JE),"")</f>
        <v/>
      </c>
      <c r="L266" s="236" t="str">
        <f>IFERROR(_xlfn.XLOOKUP($A266,'Raw_Data'!$B:$B,'Raw_Data'!JF:JF),"")</f>
        <v/>
      </c>
      <c r="M266" s="236" t="str">
        <f>IFERROR(_xlfn.XLOOKUP($A266,'Raw_Data'!$B:$B,'Raw_Data'!JG:JG),"")</f>
        <v/>
      </c>
      <c r="N266" s="236" t="str">
        <f>IFERROR(_xlfn.XLOOKUP($A266,'Raw_Data'!$B:$B,'Raw_Data'!JH:JH),"")</f>
        <v/>
      </c>
      <c r="O266" s="237" t="str">
        <f>IFERROR(1-SUMIF(PA!$B:$B,$A266,PA!$AL:$AL)/($AA266+SUMIF(PA!$B:$B,$A266,PA!$AL:$AL)),"")</f>
        <v/>
      </c>
      <c r="P266" s="238"/>
      <c r="Q266" s="239"/>
      <c r="R266" s="240" t="str">
        <f>IFERROR(1-SUMIF(GA!$C:$C,$A266,GA!$X:$X)/($AA266+SUMIF(GA!$C:$C,$A266,GA!$X:$X)),"")</f>
        <v/>
      </c>
      <c r="S266" s="186"/>
      <c r="T266" s="239"/>
      <c r="U266" s="237" t="str">
        <f t="shared" si="18"/>
        <v/>
      </c>
      <c r="V266" s="237" t="str">
        <f>IFERROR(_xlfn.XLOOKUP($A266,'Raw_Data'!$B:$B,'Raw_Data'!$JL:$JL),"")</f>
        <v/>
      </c>
      <c r="W266" s="240" t="str">
        <f t="shared" si="19"/>
        <v/>
      </c>
      <c r="X266" s="228" t="str">
        <f>IFERROR(_xlfn.XLOOKUP($A266,'Raw_Data'!$B:$B,'Raw_Data'!$JI:$JI),"")</f>
        <v/>
      </c>
      <c r="Y266" s="228" t="str">
        <f>IFERROR(_xlfn.XLOOKUP($A266,'Raw_Data'!$B:$B,'Raw_Data'!IT:IT),"")</f>
        <v/>
      </c>
      <c r="Z266" s="228" t="str">
        <f>IFERROR(_xlfn.XLOOKUP($A266,'Raw_Data'!$B:$B,'Raw_Data'!IU:IU),"")</f>
        <v/>
      </c>
      <c r="AA266" s="228" t="str">
        <f>IFERROR(_xlfn.XLOOKUP($A266,'Raw_Data'!$B:$B,'Raw_Data'!IW:IW),"")</f>
        <v/>
      </c>
      <c r="AB266" s="228" t="str">
        <f>IFERROR(_xlfn.XLOOKUP($A266,'Raw_Data'!$B:$B,'Raw_Data'!I:I)/1000,"")</f>
        <v/>
      </c>
      <c r="AC266" s="241">
        <f>IFERROR(_xlfn.XLOOKUP($D266,'Modelling New'!$D:$D,'Modelling New'!$P:$P),"")</f>
        <v>5.1161290322580646</v>
      </c>
      <c r="AD266" s="228">
        <f>IFERROR(_xlfn.XLOOKUP($D266,'Modelling New'!$D:$D,'Modelling New'!$T:$T)*1000,"")</f>
        <v>1504722.433109381</v>
      </c>
      <c r="AE266" s="240">
        <f>IFERROR(_xlfn.XLOOKUP($D266,'Modelling New'!$D:$D,'Modelling New'!$O:$O),"")</f>
        <v>0.87771221616494688</v>
      </c>
      <c r="AF266" s="240">
        <f>IFERROR(_xlfn.XLOOKUP($D266,'Modelling New'!$D:$D,'Modelling New'!$W:$W),"")</f>
        <v>0.18710370629537709</v>
      </c>
      <c r="AG266" s="240">
        <f>IFERROR(_xlfn.XLOOKUP($D266,'Modelling New'!$D:$D,'Modelling New'!AE:AE),"")</f>
        <v>0.99750000000000005</v>
      </c>
      <c r="AH266" s="240">
        <f>IFERROR(_xlfn.XLOOKUP($D266,'Modelling New'!$D:$D,'Modelling New'!AF:AF),"")</f>
        <v>0.99750000000000005</v>
      </c>
      <c r="AI266" s="186"/>
      <c r="AJ266" s="186"/>
      <c r="AK266" s="225"/>
      <c r="AL266" s="224">
        <f>IFERROR(Table13[[#This Row],[RA (%)]]*9270*58,"")</f>
        <v>0</v>
      </c>
      <c r="AM266" s="225"/>
      <c r="AN266" s="238"/>
      <c r="AO266" s="240"/>
      <c r="AP266" s="240"/>
      <c r="AQ266" s="240"/>
      <c r="AR266" s="242">
        <f>IFERROR(_xlfn.XLOOKUP($D266,'Modelling New'!$D:$D,'Modelling New'!$N:$N),"")</f>
        <v>335.09100000000001</v>
      </c>
    </row>
    <row r="267" spans="1:44">
      <c r="A267" s="233">
        <f t="shared" si="20"/>
        <v>46010</v>
      </c>
      <c r="B267" s="228">
        <f>YEAR(Table13[[#This Row],[Date]])+IF(MONTH(Table13[[#This Row],[Date]])&gt;=4,1,0)</f>
        <v>2026</v>
      </c>
      <c r="C267" s="186">
        <f>YEAR(Table13[[#This Row],[Date]])</f>
        <v>2025</v>
      </c>
      <c r="D267" s="234">
        <f>Table13[[#This Row],[Date]]-DAY(Table13[[#This Row],[Date]])+1</f>
        <v>45992</v>
      </c>
      <c r="E267" s="186">
        <f t="shared" si="21"/>
        <v>31</v>
      </c>
      <c r="F267" s="235" t="str">
        <f>IFERROR(_xlfn.XLOOKUP($A267,'Raw_Data'!$B:$B,'Raw_Data'!$IX:$IX),"")</f>
        <v/>
      </c>
      <c r="G267" s="236" t="str">
        <f>IFERROR(_xlfn.XLOOKUP($A267,'Raw_Data'!$B:$B,'Raw_Data'!IY:IY),"")</f>
        <v/>
      </c>
      <c r="H267" s="236" t="str">
        <f>IFERROR(_xlfn.XLOOKUP($A267,'Raw_Data'!$B:$B,'Raw_Data'!IZ:IZ),"")</f>
        <v/>
      </c>
      <c r="I267" s="236" t="str">
        <f>IFERROR(_xlfn.XLOOKUP($A267,'Raw_Data'!$B:$B,'Raw_Data'!JA:JA),"")</f>
        <v/>
      </c>
      <c r="J267" s="236" t="str">
        <f>IFERROR(_xlfn.XLOOKUP($A267,'Raw_Data'!$B:$B,'Raw_Data'!JB:JB),"")</f>
        <v/>
      </c>
      <c r="K267" s="236" t="str">
        <f>IFERROR(_xlfn.XLOOKUP($A267,'Raw_Data'!$B:$B,'Raw_Data'!JE:JE),"")</f>
        <v/>
      </c>
      <c r="L267" s="236" t="str">
        <f>IFERROR(_xlfn.XLOOKUP($A267,'Raw_Data'!$B:$B,'Raw_Data'!JF:JF),"")</f>
        <v/>
      </c>
      <c r="M267" s="236" t="str">
        <f>IFERROR(_xlfn.XLOOKUP($A267,'Raw_Data'!$B:$B,'Raw_Data'!JG:JG),"")</f>
        <v/>
      </c>
      <c r="N267" s="236" t="str">
        <f>IFERROR(_xlfn.XLOOKUP($A267,'Raw_Data'!$B:$B,'Raw_Data'!JH:JH),"")</f>
        <v/>
      </c>
      <c r="O267" s="237" t="str">
        <f>IFERROR(1-SUMIF(PA!$B:$B,$A267,PA!$AL:$AL)/($AA267+SUMIF(PA!$B:$B,$A267,PA!$AL:$AL)),"")</f>
        <v/>
      </c>
      <c r="P267" s="238"/>
      <c r="Q267" s="239"/>
      <c r="R267" s="240" t="str">
        <f>IFERROR(1-SUMIF(GA!$C:$C,$A267,GA!$X:$X)/($AA267+SUMIF(GA!$C:$C,$A267,GA!$X:$X)),"")</f>
        <v/>
      </c>
      <c r="S267" s="186"/>
      <c r="T267" s="239"/>
      <c r="U267" s="237" t="str">
        <f t="shared" si="18"/>
        <v/>
      </c>
      <c r="V267" s="237" t="str">
        <f>IFERROR(_xlfn.XLOOKUP($A267,'Raw_Data'!$B:$B,'Raw_Data'!$JL:$JL),"")</f>
        <v/>
      </c>
      <c r="W267" s="240" t="str">
        <f t="shared" si="19"/>
        <v/>
      </c>
      <c r="X267" s="228" t="str">
        <f>IFERROR(_xlfn.XLOOKUP($A267,'Raw_Data'!$B:$B,'Raw_Data'!$JI:$JI),"")</f>
        <v/>
      </c>
      <c r="Y267" s="228" t="str">
        <f>IFERROR(_xlfn.XLOOKUP($A267,'Raw_Data'!$B:$B,'Raw_Data'!IT:IT),"")</f>
        <v/>
      </c>
      <c r="Z267" s="228" t="str">
        <f>IFERROR(_xlfn.XLOOKUP($A267,'Raw_Data'!$B:$B,'Raw_Data'!IU:IU),"")</f>
        <v/>
      </c>
      <c r="AA267" s="228" t="str">
        <f>IFERROR(_xlfn.XLOOKUP($A267,'Raw_Data'!$B:$B,'Raw_Data'!IW:IW),"")</f>
        <v/>
      </c>
      <c r="AB267" s="228" t="str">
        <f>IFERROR(_xlfn.XLOOKUP($A267,'Raw_Data'!$B:$B,'Raw_Data'!I:I)/1000,"")</f>
        <v/>
      </c>
      <c r="AC267" s="241">
        <f>IFERROR(_xlfn.XLOOKUP($D267,'Modelling New'!$D:$D,'Modelling New'!$P:$P),"")</f>
        <v>5.1161290322580646</v>
      </c>
      <c r="AD267" s="228">
        <f>IFERROR(_xlfn.XLOOKUP($D267,'Modelling New'!$D:$D,'Modelling New'!$T:$T)*1000,"")</f>
        <v>1504722.433109381</v>
      </c>
      <c r="AE267" s="240">
        <f>IFERROR(_xlfn.XLOOKUP($D267,'Modelling New'!$D:$D,'Modelling New'!$O:$O),"")</f>
        <v>0.87771221616494688</v>
      </c>
      <c r="AF267" s="240">
        <f>IFERROR(_xlfn.XLOOKUP($D267,'Modelling New'!$D:$D,'Modelling New'!$W:$W),"")</f>
        <v>0.18710370629537709</v>
      </c>
      <c r="AG267" s="240">
        <f>IFERROR(_xlfn.XLOOKUP($D267,'Modelling New'!$D:$D,'Modelling New'!AE:AE),"")</f>
        <v>0.99750000000000005</v>
      </c>
      <c r="AH267" s="240">
        <f>IFERROR(_xlfn.XLOOKUP($D267,'Modelling New'!$D:$D,'Modelling New'!AF:AF),"")</f>
        <v>0.99750000000000005</v>
      </c>
      <c r="AI267" s="186"/>
      <c r="AJ267" s="186"/>
      <c r="AK267" s="225"/>
      <c r="AL267" s="224">
        <f>IFERROR(Table13[[#This Row],[RA (%)]]*9270*58,"")</f>
        <v>0</v>
      </c>
      <c r="AM267" s="225"/>
      <c r="AN267" s="238"/>
      <c r="AO267" s="240"/>
      <c r="AP267" s="240"/>
      <c r="AQ267" s="240"/>
      <c r="AR267" s="242">
        <f>IFERROR(_xlfn.XLOOKUP($D267,'Modelling New'!$D:$D,'Modelling New'!$N:$N),"")</f>
        <v>335.09100000000001</v>
      </c>
    </row>
    <row r="268" spans="1:44">
      <c r="A268" s="233">
        <f t="shared" si="20"/>
        <v>46011</v>
      </c>
      <c r="B268" s="228">
        <f>YEAR(Table13[[#This Row],[Date]])+IF(MONTH(Table13[[#This Row],[Date]])&gt;=4,1,0)</f>
        <v>2026</v>
      </c>
      <c r="C268" s="186">
        <f>YEAR(Table13[[#This Row],[Date]])</f>
        <v>2025</v>
      </c>
      <c r="D268" s="234">
        <f>Table13[[#This Row],[Date]]-DAY(Table13[[#This Row],[Date]])+1</f>
        <v>45992</v>
      </c>
      <c r="E268" s="186">
        <f t="shared" si="21"/>
        <v>31</v>
      </c>
      <c r="F268" s="235" t="str">
        <f>IFERROR(_xlfn.XLOOKUP($A268,'Raw_Data'!$B:$B,'Raw_Data'!$IX:$IX),"")</f>
        <v/>
      </c>
      <c r="G268" s="236" t="str">
        <f>IFERROR(_xlfn.XLOOKUP($A268,'Raw_Data'!$B:$B,'Raw_Data'!IY:IY),"")</f>
        <v/>
      </c>
      <c r="H268" s="236" t="str">
        <f>IFERROR(_xlfn.XLOOKUP($A268,'Raw_Data'!$B:$B,'Raw_Data'!IZ:IZ),"")</f>
        <v/>
      </c>
      <c r="I268" s="236" t="str">
        <f>IFERROR(_xlfn.XLOOKUP($A268,'Raw_Data'!$B:$B,'Raw_Data'!JA:JA),"")</f>
        <v/>
      </c>
      <c r="J268" s="236" t="str">
        <f>IFERROR(_xlfn.XLOOKUP($A268,'Raw_Data'!$B:$B,'Raw_Data'!JB:JB),"")</f>
        <v/>
      </c>
      <c r="K268" s="236" t="str">
        <f>IFERROR(_xlfn.XLOOKUP($A268,'Raw_Data'!$B:$B,'Raw_Data'!JE:JE),"")</f>
        <v/>
      </c>
      <c r="L268" s="236" t="str">
        <f>IFERROR(_xlfn.XLOOKUP($A268,'Raw_Data'!$B:$B,'Raw_Data'!JF:JF),"")</f>
        <v/>
      </c>
      <c r="M268" s="236" t="str">
        <f>IFERROR(_xlfn.XLOOKUP($A268,'Raw_Data'!$B:$B,'Raw_Data'!JG:JG),"")</f>
        <v/>
      </c>
      <c r="N268" s="236" t="str">
        <f>IFERROR(_xlfn.XLOOKUP($A268,'Raw_Data'!$B:$B,'Raw_Data'!JH:JH),"")</f>
        <v/>
      </c>
      <c r="O268" s="237" t="str">
        <f>IFERROR(1-SUMIF(PA!$B:$B,$A268,PA!$AL:$AL)/($AA268+SUMIF(PA!$B:$B,$A268,PA!$AL:$AL)),"")</f>
        <v/>
      </c>
      <c r="P268" s="238"/>
      <c r="Q268" s="239"/>
      <c r="R268" s="240" t="str">
        <f>IFERROR(1-SUMIF(GA!$C:$C,$A268,GA!$X:$X)/($AA268+SUMIF(GA!$C:$C,$A268,GA!$X:$X)),"")</f>
        <v/>
      </c>
      <c r="S268" s="186"/>
      <c r="T268" s="239"/>
      <c r="U268" s="237" t="str">
        <f t="shared" si="18"/>
        <v/>
      </c>
      <c r="V268" s="237" t="str">
        <f>IFERROR(_xlfn.XLOOKUP($A268,'Raw_Data'!$B:$B,'Raw_Data'!$JL:$JL),"")</f>
        <v/>
      </c>
      <c r="W268" s="240" t="str">
        <f t="shared" si="19"/>
        <v/>
      </c>
      <c r="X268" s="228" t="str">
        <f>IFERROR(_xlfn.XLOOKUP($A268,'Raw_Data'!$B:$B,'Raw_Data'!$JI:$JI),"")</f>
        <v/>
      </c>
      <c r="Y268" s="228" t="str">
        <f>IFERROR(_xlfn.XLOOKUP($A268,'Raw_Data'!$B:$B,'Raw_Data'!IT:IT),"")</f>
        <v/>
      </c>
      <c r="Z268" s="228" t="str">
        <f>IFERROR(_xlfn.XLOOKUP($A268,'Raw_Data'!$B:$B,'Raw_Data'!IU:IU),"")</f>
        <v/>
      </c>
      <c r="AA268" s="228" t="str">
        <f>IFERROR(_xlfn.XLOOKUP($A268,'Raw_Data'!$B:$B,'Raw_Data'!IW:IW),"")</f>
        <v/>
      </c>
      <c r="AB268" s="228" t="str">
        <f>IFERROR(_xlfn.XLOOKUP($A268,'Raw_Data'!$B:$B,'Raw_Data'!I:I)/1000,"")</f>
        <v/>
      </c>
      <c r="AC268" s="241">
        <f>IFERROR(_xlfn.XLOOKUP($D268,'Modelling New'!$D:$D,'Modelling New'!$P:$P),"")</f>
        <v>5.1161290322580646</v>
      </c>
      <c r="AD268" s="228">
        <f>IFERROR(_xlfn.XLOOKUP($D268,'Modelling New'!$D:$D,'Modelling New'!$T:$T)*1000,"")</f>
        <v>1504722.433109381</v>
      </c>
      <c r="AE268" s="240">
        <f>IFERROR(_xlfn.XLOOKUP($D268,'Modelling New'!$D:$D,'Modelling New'!$O:$O),"")</f>
        <v>0.87771221616494688</v>
      </c>
      <c r="AF268" s="240">
        <f>IFERROR(_xlfn.XLOOKUP($D268,'Modelling New'!$D:$D,'Modelling New'!$W:$W),"")</f>
        <v>0.18710370629537709</v>
      </c>
      <c r="AG268" s="240">
        <f>IFERROR(_xlfn.XLOOKUP($D268,'Modelling New'!$D:$D,'Modelling New'!AE:AE),"")</f>
        <v>0.99750000000000005</v>
      </c>
      <c r="AH268" s="240">
        <f>IFERROR(_xlfn.XLOOKUP($D268,'Modelling New'!$D:$D,'Modelling New'!AF:AF),"")</f>
        <v>0.99750000000000005</v>
      </c>
      <c r="AI268" s="186"/>
      <c r="AJ268" s="186"/>
      <c r="AK268" s="225"/>
      <c r="AL268" s="224">
        <f>IFERROR(Table13[[#This Row],[RA (%)]]*9270*58,"")</f>
        <v>0</v>
      </c>
      <c r="AM268" s="225"/>
      <c r="AN268" s="238"/>
      <c r="AO268" s="240"/>
      <c r="AP268" s="240"/>
      <c r="AQ268" s="240"/>
      <c r="AR268" s="242">
        <f>IFERROR(_xlfn.XLOOKUP($D268,'Modelling New'!$D:$D,'Modelling New'!$N:$N),"")</f>
        <v>335.09100000000001</v>
      </c>
    </row>
    <row r="269" spans="1:44">
      <c r="A269" s="233">
        <f t="shared" si="20"/>
        <v>46012</v>
      </c>
      <c r="B269" s="228">
        <f>YEAR(Table13[[#This Row],[Date]])+IF(MONTH(Table13[[#This Row],[Date]])&gt;=4,1,0)</f>
        <v>2026</v>
      </c>
      <c r="C269" s="186">
        <f>YEAR(Table13[[#This Row],[Date]])</f>
        <v>2025</v>
      </c>
      <c r="D269" s="234">
        <f>Table13[[#This Row],[Date]]-DAY(Table13[[#This Row],[Date]])+1</f>
        <v>45992</v>
      </c>
      <c r="E269" s="186">
        <f t="shared" si="21"/>
        <v>31</v>
      </c>
      <c r="F269" s="235" t="str">
        <f>IFERROR(_xlfn.XLOOKUP($A269,'Raw_Data'!$B:$B,'Raw_Data'!$IX:$IX),"")</f>
        <v/>
      </c>
      <c r="G269" s="236" t="str">
        <f>IFERROR(_xlfn.XLOOKUP($A269,'Raw_Data'!$B:$B,'Raw_Data'!IY:IY),"")</f>
        <v/>
      </c>
      <c r="H269" s="236" t="str">
        <f>IFERROR(_xlfn.XLOOKUP($A269,'Raw_Data'!$B:$B,'Raw_Data'!IZ:IZ),"")</f>
        <v/>
      </c>
      <c r="I269" s="236" t="str">
        <f>IFERROR(_xlfn.XLOOKUP($A269,'Raw_Data'!$B:$B,'Raw_Data'!JA:JA),"")</f>
        <v/>
      </c>
      <c r="J269" s="236" t="str">
        <f>IFERROR(_xlfn.XLOOKUP($A269,'Raw_Data'!$B:$B,'Raw_Data'!JB:JB),"")</f>
        <v/>
      </c>
      <c r="K269" s="236" t="str">
        <f>IFERROR(_xlfn.XLOOKUP($A269,'Raw_Data'!$B:$B,'Raw_Data'!JE:JE),"")</f>
        <v/>
      </c>
      <c r="L269" s="236" t="str">
        <f>IFERROR(_xlfn.XLOOKUP($A269,'Raw_Data'!$B:$B,'Raw_Data'!JF:JF),"")</f>
        <v/>
      </c>
      <c r="M269" s="236" t="str">
        <f>IFERROR(_xlfn.XLOOKUP($A269,'Raw_Data'!$B:$B,'Raw_Data'!JG:JG),"")</f>
        <v/>
      </c>
      <c r="N269" s="236" t="str">
        <f>IFERROR(_xlfn.XLOOKUP($A269,'Raw_Data'!$B:$B,'Raw_Data'!JH:JH),"")</f>
        <v/>
      </c>
      <c r="O269" s="237" t="str">
        <f>IFERROR(1-SUMIF(PA!$B:$B,$A269,PA!$AL:$AL)/($AA269+SUMIF(PA!$B:$B,$A269,PA!$AL:$AL)),"")</f>
        <v/>
      </c>
      <c r="P269" s="238"/>
      <c r="Q269" s="239"/>
      <c r="R269" s="240" t="str">
        <f>IFERROR(1-SUMIF(GA!$C:$C,$A269,GA!$X:$X)/($AA269+SUMIF(GA!$C:$C,$A269,GA!$X:$X)),"")</f>
        <v/>
      </c>
      <c r="S269" s="186"/>
      <c r="T269" s="239"/>
      <c r="U269" s="237" t="str">
        <f t="shared" si="18"/>
        <v/>
      </c>
      <c r="V269" s="237" t="str">
        <f>IFERROR(_xlfn.XLOOKUP($A269,'Raw_Data'!$B:$B,'Raw_Data'!$JL:$JL),"")</f>
        <v/>
      </c>
      <c r="W269" s="240" t="str">
        <f t="shared" si="19"/>
        <v/>
      </c>
      <c r="X269" s="228" t="str">
        <f>IFERROR(_xlfn.XLOOKUP($A269,'Raw_Data'!$B:$B,'Raw_Data'!$JI:$JI),"")</f>
        <v/>
      </c>
      <c r="Y269" s="228" t="str">
        <f>IFERROR(_xlfn.XLOOKUP($A269,'Raw_Data'!$B:$B,'Raw_Data'!IT:IT),"")</f>
        <v/>
      </c>
      <c r="Z269" s="228" t="str">
        <f>IFERROR(_xlfn.XLOOKUP($A269,'Raw_Data'!$B:$B,'Raw_Data'!IU:IU),"")</f>
        <v/>
      </c>
      <c r="AA269" s="228" t="str">
        <f>IFERROR(_xlfn.XLOOKUP($A269,'Raw_Data'!$B:$B,'Raw_Data'!IW:IW),"")</f>
        <v/>
      </c>
      <c r="AB269" s="228" t="str">
        <f>IFERROR(_xlfn.XLOOKUP($A269,'Raw_Data'!$B:$B,'Raw_Data'!I:I)/1000,"")</f>
        <v/>
      </c>
      <c r="AC269" s="241">
        <f>IFERROR(_xlfn.XLOOKUP($D269,'Modelling New'!$D:$D,'Modelling New'!$P:$P),"")</f>
        <v>5.1161290322580646</v>
      </c>
      <c r="AD269" s="228">
        <f>IFERROR(_xlfn.XLOOKUP($D269,'Modelling New'!$D:$D,'Modelling New'!$T:$T)*1000,"")</f>
        <v>1504722.433109381</v>
      </c>
      <c r="AE269" s="240">
        <f>IFERROR(_xlfn.XLOOKUP($D269,'Modelling New'!$D:$D,'Modelling New'!$O:$O),"")</f>
        <v>0.87771221616494688</v>
      </c>
      <c r="AF269" s="240">
        <f>IFERROR(_xlfn.XLOOKUP($D269,'Modelling New'!$D:$D,'Modelling New'!$W:$W),"")</f>
        <v>0.18710370629537709</v>
      </c>
      <c r="AG269" s="240">
        <f>IFERROR(_xlfn.XLOOKUP($D269,'Modelling New'!$D:$D,'Modelling New'!AE:AE),"")</f>
        <v>0.99750000000000005</v>
      </c>
      <c r="AH269" s="240">
        <f>IFERROR(_xlfn.XLOOKUP($D269,'Modelling New'!$D:$D,'Modelling New'!AF:AF),"")</f>
        <v>0.99750000000000005</v>
      </c>
      <c r="AI269" s="186"/>
      <c r="AJ269" s="186"/>
      <c r="AK269" s="225"/>
      <c r="AL269" s="224">
        <f>IFERROR(Table13[[#This Row],[RA (%)]]*9270*58,"")</f>
        <v>0</v>
      </c>
      <c r="AM269" s="225"/>
      <c r="AN269" s="238"/>
      <c r="AO269" s="240"/>
      <c r="AP269" s="240"/>
      <c r="AQ269" s="240"/>
      <c r="AR269" s="242">
        <f>IFERROR(_xlfn.XLOOKUP($D269,'Modelling New'!$D:$D,'Modelling New'!$N:$N),"")</f>
        <v>335.09100000000001</v>
      </c>
    </row>
    <row r="270" spans="1:44">
      <c r="A270" s="233">
        <f t="shared" si="20"/>
        <v>46013</v>
      </c>
      <c r="B270" s="228">
        <f>YEAR(Table13[[#This Row],[Date]])+IF(MONTH(Table13[[#This Row],[Date]])&gt;=4,1,0)</f>
        <v>2026</v>
      </c>
      <c r="C270" s="186">
        <f>YEAR(Table13[[#This Row],[Date]])</f>
        <v>2025</v>
      </c>
      <c r="D270" s="234">
        <f>Table13[[#This Row],[Date]]-DAY(Table13[[#This Row],[Date]])+1</f>
        <v>45992</v>
      </c>
      <c r="E270" s="186">
        <f t="shared" si="21"/>
        <v>31</v>
      </c>
      <c r="F270" s="235" t="str">
        <f>IFERROR(_xlfn.XLOOKUP($A270,'Raw_Data'!$B:$B,'Raw_Data'!$IX:$IX),"")</f>
        <v/>
      </c>
      <c r="G270" s="236" t="str">
        <f>IFERROR(_xlfn.XLOOKUP($A270,'Raw_Data'!$B:$B,'Raw_Data'!IY:IY),"")</f>
        <v/>
      </c>
      <c r="H270" s="236" t="str">
        <f>IFERROR(_xlfn.XLOOKUP($A270,'Raw_Data'!$B:$B,'Raw_Data'!IZ:IZ),"")</f>
        <v/>
      </c>
      <c r="I270" s="236" t="str">
        <f>IFERROR(_xlfn.XLOOKUP($A270,'Raw_Data'!$B:$B,'Raw_Data'!JA:JA),"")</f>
        <v/>
      </c>
      <c r="J270" s="236" t="str">
        <f>IFERROR(_xlfn.XLOOKUP($A270,'Raw_Data'!$B:$B,'Raw_Data'!JB:JB),"")</f>
        <v/>
      </c>
      <c r="K270" s="236" t="str">
        <f>IFERROR(_xlfn.XLOOKUP($A270,'Raw_Data'!$B:$B,'Raw_Data'!JE:JE),"")</f>
        <v/>
      </c>
      <c r="L270" s="236" t="str">
        <f>IFERROR(_xlfn.XLOOKUP($A270,'Raw_Data'!$B:$B,'Raw_Data'!JF:JF),"")</f>
        <v/>
      </c>
      <c r="M270" s="236" t="str">
        <f>IFERROR(_xlfn.XLOOKUP($A270,'Raw_Data'!$B:$B,'Raw_Data'!JG:JG),"")</f>
        <v/>
      </c>
      <c r="N270" s="236" t="str">
        <f>IFERROR(_xlfn.XLOOKUP($A270,'Raw_Data'!$B:$B,'Raw_Data'!JH:JH),"")</f>
        <v/>
      </c>
      <c r="O270" s="237" t="str">
        <f>IFERROR(1-SUMIF(PA!$B:$B,$A270,PA!$AL:$AL)/($AA270+SUMIF(PA!$B:$B,$A270,PA!$AL:$AL)),"")</f>
        <v/>
      </c>
      <c r="P270" s="238"/>
      <c r="Q270" s="239"/>
      <c r="R270" s="240" t="str">
        <f>IFERROR(1-SUMIF(GA!$C:$C,$A270,GA!$X:$X)/($AA270+SUMIF(GA!$C:$C,$A270,GA!$X:$X)),"")</f>
        <v/>
      </c>
      <c r="S270" s="186"/>
      <c r="T270" s="239"/>
      <c r="U270" s="237" t="str">
        <f t="shared" si="18"/>
        <v/>
      </c>
      <c r="V270" s="237" t="str">
        <f>IFERROR(_xlfn.XLOOKUP($A270,'Raw_Data'!$B:$B,'Raw_Data'!$JL:$JL),"")</f>
        <v/>
      </c>
      <c r="W270" s="240" t="str">
        <f t="shared" si="19"/>
        <v/>
      </c>
      <c r="X270" s="228" t="str">
        <f>IFERROR(_xlfn.XLOOKUP($A270,'Raw_Data'!$B:$B,'Raw_Data'!$JI:$JI),"")</f>
        <v/>
      </c>
      <c r="Y270" s="228" t="str">
        <f>IFERROR(_xlfn.XLOOKUP($A270,'Raw_Data'!$B:$B,'Raw_Data'!IT:IT),"")</f>
        <v/>
      </c>
      <c r="Z270" s="228" t="str">
        <f>IFERROR(_xlfn.XLOOKUP($A270,'Raw_Data'!$B:$B,'Raw_Data'!IU:IU),"")</f>
        <v/>
      </c>
      <c r="AA270" s="228" t="str">
        <f>IFERROR(_xlfn.XLOOKUP($A270,'Raw_Data'!$B:$B,'Raw_Data'!IW:IW),"")</f>
        <v/>
      </c>
      <c r="AB270" s="228" t="str">
        <f>IFERROR(_xlfn.XLOOKUP($A270,'Raw_Data'!$B:$B,'Raw_Data'!I:I)/1000,"")</f>
        <v/>
      </c>
      <c r="AC270" s="241">
        <f>IFERROR(_xlfn.XLOOKUP($D270,'Modelling New'!$D:$D,'Modelling New'!$P:$P),"")</f>
        <v>5.1161290322580646</v>
      </c>
      <c r="AD270" s="228">
        <f>IFERROR(_xlfn.XLOOKUP($D270,'Modelling New'!$D:$D,'Modelling New'!$T:$T)*1000,"")</f>
        <v>1504722.433109381</v>
      </c>
      <c r="AE270" s="240">
        <f>IFERROR(_xlfn.XLOOKUP($D270,'Modelling New'!$D:$D,'Modelling New'!$O:$O),"")</f>
        <v>0.87771221616494688</v>
      </c>
      <c r="AF270" s="240">
        <f>IFERROR(_xlfn.XLOOKUP($D270,'Modelling New'!$D:$D,'Modelling New'!$W:$W),"")</f>
        <v>0.18710370629537709</v>
      </c>
      <c r="AG270" s="240">
        <f>IFERROR(_xlfn.XLOOKUP($D270,'Modelling New'!$D:$D,'Modelling New'!AE:AE),"")</f>
        <v>0.99750000000000005</v>
      </c>
      <c r="AH270" s="240">
        <f>IFERROR(_xlfn.XLOOKUP($D270,'Modelling New'!$D:$D,'Modelling New'!AF:AF),"")</f>
        <v>0.99750000000000005</v>
      </c>
      <c r="AI270" s="186"/>
      <c r="AJ270" s="186"/>
      <c r="AK270" s="225"/>
      <c r="AL270" s="224">
        <f>IFERROR(Table13[[#This Row],[RA (%)]]*9270*58,"")</f>
        <v>0</v>
      </c>
      <c r="AM270" s="225"/>
      <c r="AN270" s="238"/>
      <c r="AO270" s="240"/>
      <c r="AP270" s="240"/>
      <c r="AQ270" s="240"/>
      <c r="AR270" s="242">
        <f>IFERROR(_xlfn.XLOOKUP($D270,'Modelling New'!$D:$D,'Modelling New'!$N:$N),"")</f>
        <v>335.09100000000001</v>
      </c>
    </row>
    <row r="271" spans="1:44">
      <c r="A271" s="233">
        <f t="shared" si="20"/>
        <v>46014</v>
      </c>
      <c r="B271" s="228">
        <f>YEAR(Table13[[#This Row],[Date]])+IF(MONTH(Table13[[#This Row],[Date]])&gt;=4,1,0)</f>
        <v>2026</v>
      </c>
      <c r="C271" s="186">
        <f>YEAR(Table13[[#This Row],[Date]])</f>
        <v>2025</v>
      </c>
      <c r="D271" s="234">
        <f>Table13[[#This Row],[Date]]-DAY(Table13[[#This Row],[Date]])+1</f>
        <v>45992</v>
      </c>
      <c r="E271" s="186">
        <f t="shared" si="21"/>
        <v>31</v>
      </c>
      <c r="F271" s="235" t="str">
        <f>IFERROR(_xlfn.XLOOKUP($A271,'Raw_Data'!$B:$B,'Raw_Data'!$IX:$IX),"")</f>
        <v/>
      </c>
      <c r="G271" s="236" t="str">
        <f>IFERROR(_xlfn.XLOOKUP($A271,'Raw_Data'!$B:$B,'Raw_Data'!IY:IY),"")</f>
        <v/>
      </c>
      <c r="H271" s="236" t="str">
        <f>IFERROR(_xlfn.XLOOKUP($A271,'Raw_Data'!$B:$B,'Raw_Data'!IZ:IZ),"")</f>
        <v/>
      </c>
      <c r="I271" s="236" t="str">
        <f>IFERROR(_xlfn.XLOOKUP($A271,'Raw_Data'!$B:$B,'Raw_Data'!JA:JA),"")</f>
        <v/>
      </c>
      <c r="J271" s="236" t="str">
        <f>IFERROR(_xlfn.XLOOKUP($A271,'Raw_Data'!$B:$B,'Raw_Data'!JB:JB),"")</f>
        <v/>
      </c>
      <c r="K271" s="236" t="str">
        <f>IFERROR(_xlfn.XLOOKUP($A271,'Raw_Data'!$B:$B,'Raw_Data'!JE:JE),"")</f>
        <v/>
      </c>
      <c r="L271" s="236" t="str">
        <f>IFERROR(_xlfn.XLOOKUP($A271,'Raw_Data'!$B:$B,'Raw_Data'!JF:JF),"")</f>
        <v/>
      </c>
      <c r="M271" s="236" t="str">
        <f>IFERROR(_xlfn.XLOOKUP($A271,'Raw_Data'!$B:$B,'Raw_Data'!JG:JG),"")</f>
        <v/>
      </c>
      <c r="N271" s="236" t="str">
        <f>IFERROR(_xlfn.XLOOKUP($A271,'Raw_Data'!$B:$B,'Raw_Data'!JH:JH),"")</f>
        <v/>
      </c>
      <c r="O271" s="237" t="str">
        <f>IFERROR(1-SUMIF(PA!$B:$B,$A271,PA!$AL:$AL)/($AA271+SUMIF(PA!$B:$B,$A271,PA!$AL:$AL)),"")</f>
        <v/>
      </c>
      <c r="P271" s="238"/>
      <c r="Q271" s="239"/>
      <c r="R271" s="240" t="str">
        <f>IFERROR(1-SUMIF(GA!$C:$C,$A271,GA!$X:$X)/($AA271+SUMIF(GA!$C:$C,$A271,GA!$X:$X)),"")</f>
        <v/>
      </c>
      <c r="S271" s="186"/>
      <c r="T271" s="239"/>
      <c r="U271" s="237" t="str">
        <f t="shared" si="18"/>
        <v/>
      </c>
      <c r="V271" s="237" t="str">
        <f>IFERROR(_xlfn.XLOOKUP($A271,'Raw_Data'!$B:$B,'Raw_Data'!$JL:$JL),"")</f>
        <v/>
      </c>
      <c r="W271" s="240" t="str">
        <f t="shared" si="19"/>
        <v/>
      </c>
      <c r="X271" s="228" t="str">
        <f>IFERROR(_xlfn.XLOOKUP($A271,'Raw_Data'!$B:$B,'Raw_Data'!$JI:$JI),"")</f>
        <v/>
      </c>
      <c r="Y271" s="228" t="str">
        <f>IFERROR(_xlfn.XLOOKUP($A271,'Raw_Data'!$B:$B,'Raw_Data'!IT:IT),"")</f>
        <v/>
      </c>
      <c r="Z271" s="228" t="str">
        <f>IFERROR(_xlfn.XLOOKUP($A271,'Raw_Data'!$B:$B,'Raw_Data'!IU:IU),"")</f>
        <v/>
      </c>
      <c r="AA271" s="228" t="str">
        <f>IFERROR(_xlfn.XLOOKUP($A271,'Raw_Data'!$B:$B,'Raw_Data'!IW:IW),"")</f>
        <v/>
      </c>
      <c r="AB271" s="228" t="str">
        <f>IFERROR(_xlfn.XLOOKUP($A271,'Raw_Data'!$B:$B,'Raw_Data'!I:I)/1000,"")</f>
        <v/>
      </c>
      <c r="AC271" s="241">
        <f>IFERROR(_xlfn.XLOOKUP($D271,'Modelling New'!$D:$D,'Modelling New'!$P:$P),"")</f>
        <v>5.1161290322580646</v>
      </c>
      <c r="AD271" s="228">
        <f>IFERROR(_xlfn.XLOOKUP($D271,'Modelling New'!$D:$D,'Modelling New'!$T:$T)*1000,"")</f>
        <v>1504722.433109381</v>
      </c>
      <c r="AE271" s="240">
        <f>IFERROR(_xlfn.XLOOKUP($D271,'Modelling New'!$D:$D,'Modelling New'!$O:$O),"")</f>
        <v>0.87771221616494688</v>
      </c>
      <c r="AF271" s="240">
        <f>IFERROR(_xlfn.XLOOKUP($D271,'Modelling New'!$D:$D,'Modelling New'!$W:$W),"")</f>
        <v>0.18710370629537709</v>
      </c>
      <c r="AG271" s="240">
        <f>IFERROR(_xlfn.XLOOKUP($D271,'Modelling New'!$D:$D,'Modelling New'!AE:AE),"")</f>
        <v>0.99750000000000005</v>
      </c>
      <c r="AH271" s="240">
        <f>IFERROR(_xlfn.XLOOKUP($D271,'Modelling New'!$D:$D,'Modelling New'!AF:AF),"")</f>
        <v>0.99750000000000005</v>
      </c>
      <c r="AI271" s="186"/>
      <c r="AJ271" s="186"/>
      <c r="AK271" s="225"/>
      <c r="AL271" s="224">
        <f>IFERROR(Table13[[#This Row],[RA (%)]]*9270*58,"")</f>
        <v>0</v>
      </c>
      <c r="AM271" s="225"/>
      <c r="AN271" s="238"/>
      <c r="AO271" s="240"/>
      <c r="AP271" s="240"/>
      <c r="AQ271" s="240"/>
      <c r="AR271" s="242">
        <f>IFERROR(_xlfn.XLOOKUP($D271,'Modelling New'!$D:$D,'Modelling New'!$N:$N),"")</f>
        <v>335.09100000000001</v>
      </c>
    </row>
    <row r="272" spans="1:44">
      <c r="A272" s="233">
        <f t="shared" si="20"/>
        <v>46015</v>
      </c>
      <c r="B272" s="228">
        <f>YEAR(Table13[[#This Row],[Date]])+IF(MONTH(Table13[[#This Row],[Date]])&gt;=4,1,0)</f>
        <v>2026</v>
      </c>
      <c r="C272" s="186">
        <f>YEAR(Table13[[#This Row],[Date]])</f>
        <v>2025</v>
      </c>
      <c r="D272" s="234">
        <f>Table13[[#This Row],[Date]]-DAY(Table13[[#This Row],[Date]])+1</f>
        <v>45992</v>
      </c>
      <c r="E272" s="186">
        <f t="shared" si="21"/>
        <v>31</v>
      </c>
      <c r="F272" s="235" t="str">
        <f>IFERROR(_xlfn.XLOOKUP($A272,'Raw_Data'!$B:$B,'Raw_Data'!$IX:$IX),"")</f>
        <v/>
      </c>
      <c r="G272" s="236" t="str">
        <f>IFERROR(_xlfn.XLOOKUP($A272,'Raw_Data'!$B:$B,'Raw_Data'!IY:IY),"")</f>
        <v/>
      </c>
      <c r="H272" s="236" t="str">
        <f>IFERROR(_xlfn.XLOOKUP($A272,'Raw_Data'!$B:$B,'Raw_Data'!IZ:IZ),"")</f>
        <v/>
      </c>
      <c r="I272" s="236" t="str">
        <f>IFERROR(_xlfn.XLOOKUP($A272,'Raw_Data'!$B:$B,'Raw_Data'!JA:JA),"")</f>
        <v/>
      </c>
      <c r="J272" s="236" t="str">
        <f>IFERROR(_xlfn.XLOOKUP($A272,'Raw_Data'!$B:$B,'Raw_Data'!JB:JB),"")</f>
        <v/>
      </c>
      <c r="K272" s="236" t="str">
        <f>IFERROR(_xlfn.XLOOKUP($A272,'Raw_Data'!$B:$B,'Raw_Data'!JE:JE),"")</f>
        <v/>
      </c>
      <c r="L272" s="236" t="str">
        <f>IFERROR(_xlfn.XLOOKUP($A272,'Raw_Data'!$B:$B,'Raw_Data'!JF:JF),"")</f>
        <v/>
      </c>
      <c r="M272" s="236" t="str">
        <f>IFERROR(_xlfn.XLOOKUP($A272,'Raw_Data'!$B:$B,'Raw_Data'!JG:JG),"")</f>
        <v/>
      </c>
      <c r="N272" s="236" t="str">
        <f>IFERROR(_xlfn.XLOOKUP($A272,'Raw_Data'!$B:$B,'Raw_Data'!JH:JH),"")</f>
        <v/>
      </c>
      <c r="O272" s="237" t="str">
        <f>IFERROR(1-SUMIF(PA!$B:$B,$A272,PA!$AL:$AL)/($AA272+SUMIF(PA!$B:$B,$A272,PA!$AL:$AL)),"")</f>
        <v/>
      </c>
      <c r="P272" s="238"/>
      <c r="Q272" s="239"/>
      <c r="R272" s="240" t="str">
        <f>IFERROR(1-SUMIF(GA!$C:$C,$A272,GA!$X:$X)/($AA272+SUMIF(GA!$C:$C,$A272,GA!$X:$X)),"")</f>
        <v/>
      </c>
      <c r="S272" s="186"/>
      <c r="T272" s="239"/>
      <c r="U272" s="237" t="str">
        <f t="shared" si="18"/>
        <v/>
      </c>
      <c r="V272" s="237" t="str">
        <f>IFERROR(_xlfn.XLOOKUP($A272,'Raw_Data'!$B:$B,'Raw_Data'!$JL:$JL),"")</f>
        <v/>
      </c>
      <c r="W272" s="240" t="str">
        <f t="shared" si="19"/>
        <v/>
      </c>
      <c r="X272" s="228" t="str">
        <f>IFERROR(_xlfn.XLOOKUP($A272,'Raw_Data'!$B:$B,'Raw_Data'!$JI:$JI),"")</f>
        <v/>
      </c>
      <c r="Y272" s="228" t="str">
        <f>IFERROR(_xlfn.XLOOKUP($A272,'Raw_Data'!$B:$B,'Raw_Data'!IT:IT),"")</f>
        <v/>
      </c>
      <c r="Z272" s="228" t="str">
        <f>IFERROR(_xlfn.XLOOKUP($A272,'Raw_Data'!$B:$B,'Raw_Data'!IU:IU),"")</f>
        <v/>
      </c>
      <c r="AA272" s="228" t="str">
        <f>IFERROR(_xlfn.XLOOKUP($A272,'Raw_Data'!$B:$B,'Raw_Data'!IW:IW),"")</f>
        <v/>
      </c>
      <c r="AB272" s="228" t="str">
        <f>IFERROR(_xlfn.XLOOKUP($A272,'Raw_Data'!$B:$B,'Raw_Data'!I:I)/1000,"")</f>
        <v/>
      </c>
      <c r="AC272" s="241">
        <f>IFERROR(_xlfn.XLOOKUP($D272,'Modelling New'!$D:$D,'Modelling New'!$P:$P),"")</f>
        <v>5.1161290322580646</v>
      </c>
      <c r="AD272" s="228">
        <f>IFERROR(_xlfn.XLOOKUP($D272,'Modelling New'!$D:$D,'Modelling New'!$T:$T)*1000,"")</f>
        <v>1504722.433109381</v>
      </c>
      <c r="AE272" s="240">
        <f>IFERROR(_xlfn.XLOOKUP($D272,'Modelling New'!$D:$D,'Modelling New'!$O:$O),"")</f>
        <v>0.87771221616494688</v>
      </c>
      <c r="AF272" s="240">
        <f>IFERROR(_xlfn.XLOOKUP($D272,'Modelling New'!$D:$D,'Modelling New'!$W:$W),"")</f>
        <v>0.18710370629537709</v>
      </c>
      <c r="AG272" s="240">
        <f>IFERROR(_xlfn.XLOOKUP($D272,'Modelling New'!$D:$D,'Modelling New'!AE:AE),"")</f>
        <v>0.99750000000000005</v>
      </c>
      <c r="AH272" s="240">
        <f>IFERROR(_xlfn.XLOOKUP($D272,'Modelling New'!$D:$D,'Modelling New'!AF:AF),"")</f>
        <v>0.99750000000000005</v>
      </c>
      <c r="AI272" s="186"/>
      <c r="AJ272" s="186"/>
      <c r="AK272" s="225"/>
      <c r="AL272" s="224">
        <f>IFERROR(Table13[[#This Row],[RA (%)]]*9270*58,"")</f>
        <v>0</v>
      </c>
      <c r="AM272" s="225"/>
      <c r="AN272" s="238"/>
      <c r="AO272" s="240"/>
      <c r="AP272" s="240"/>
      <c r="AQ272" s="240"/>
      <c r="AR272" s="242">
        <f>IFERROR(_xlfn.XLOOKUP($D272,'Modelling New'!$D:$D,'Modelling New'!$N:$N),"")</f>
        <v>335.09100000000001</v>
      </c>
    </row>
    <row r="273" spans="1:44">
      <c r="A273" s="233">
        <f t="shared" si="20"/>
        <v>46016</v>
      </c>
      <c r="B273" s="228">
        <f>YEAR(Table13[[#This Row],[Date]])+IF(MONTH(Table13[[#This Row],[Date]])&gt;=4,1,0)</f>
        <v>2026</v>
      </c>
      <c r="C273" s="186">
        <f>YEAR(Table13[[#This Row],[Date]])</f>
        <v>2025</v>
      </c>
      <c r="D273" s="234">
        <f>Table13[[#This Row],[Date]]-DAY(Table13[[#This Row],[Date]])+1</f>
        <v>45992</v>
      </c>
      <c r="E273" s="186">
        <f t="shared" si="21"/>
        <v>31</v>
      </c>
      <c r="F273" s="235" t="str">
        <f>IFERROR(_xlfn.XLOOKUP($A273,'Raw_Data'!$B:$B,'Raw_Data'!$IX:$IX),"")</f>
        <v/>
      </c>
      <c r="G273" s="236" t="str">
        <f>IFERROR(_xlfn.XLOOKUP($A273,'Raw_Data'!$B:$B,'Raw_Data'!IY:IY),"")</f>
        <v/>
      </c>
      <c r="H273" s="236" t="str">
        <f>IFERROR(_xlfn.XLOOKUP($A273,'Raw_Data'!$B:$B,'Raw_Data'!IZ:IZ),"")</f>
        <v/>
      </c>
      <c r="I273" s="236" t="str">
        <f>IFERROR(_xlfn.XLOOKUP($A273,'Raw_Data'!$B:$B,'Raw_Data'!JA:JA),"")</f>
        <v/>
      </c>
      <c r="J273" s="236" t="str">
        <f>IFERROR(_xlfn.XLOOKUP($A273,'Raw_Data'!$B:$B,'Raw_Data'!JB:JB),"")</f>
        <v/>
      </c>
      <c r="K273" s="236" t="str">
        <f>IFERROR(_xlfn.XLOOKUP($A273,'Raw_Data'!$B:$B,'Raw_Data'!JE:JE),"")</f>
        <v/>
      </c>
      <c r="L273" s="236" t="str">
        <f>IFERROR(_xlfn.XLOOKUP($A273,'Raw_Data'!$B:$B,'Raw_Data'!JF:JF),"")</f>
        <v/>
      </c>
      <c r="M273" s="236" t="str">
        <f>IFERROR(_xlfn.XLOOKUP($A273,'Raw_Data'!$B:$B,'Raw_Data'!JG:JG),"")</f>
        <v/>
      </c>
      <c r="N273" s="236" t="str">
        <f>IFERROR(_xlfn.XLOOKUP($A273,'Raw_Data'!$B:$B,'Raw_Data'!JH:JH),"")</f>
        <v/>
      </c>
      <c r="O273" s="237" t="str">
        <f>IFERROR(1-SUMIF(PA!$B:$B,$A273,PA!$AL:$AL)/($AA273+SUMIF(PA!$B:$B,$A273,PA!$AL:$AL)),"")</f>
        <v/>
      </c>
      <c r="P273" s="238"/>
      <c r="Q273" s="239"/>
      <c r="R273" s="240" t="str">
        <f>IFERROR(1-SUMIF(GA!$C:$C,$A273,GA!$X:$X)/($AA273+SUMIF(GA!$C:$C,$A273,GA!$X:$X)),"")</f>
        <v/>
      </c>
      <c r="S273" s="186"/>
      <c r="T273" s="239"/>
      <c r="U273" s="237" t="str">
        <f t="shared" si="18"/>
        <v/>
      </c>
      <c r="V273" s="237" t="str">
        <f>IFERROR(_xlfn.XLOOKUP($A273,'Raw_Data'!$B:$B,'Raw_Data'!$JL:$JL),"")</f>
        <v/>
      </c>
      <c r="W273" s="240" t="str">
        <f t="shared" si="19"/>
        <v/>
      </c>
      <c r="X273" s="228" t="str">
        <f>IFERROR(_xlfn.XLOOKUP($A273,'Raw_Data'!$B:$B,'Raw_Data'!$JI:$JI),"")</f>
        <v/>
      </c>
      <c r="Y273" s="228" t="str">
        <f>IFERROR(_xlfn.XLOOKUP($A273,'Raw_Data'!$B:$B,'Raw_Data'!IT:IT),"")</f>
        <v/>
      </c>
      <c r="Z273" s="228" t="str">
        <f>IFERROR(_xlfn.XLOOKUP($A273,'Raw_Data'!$B:$B,'Raw_Data'!IU:IU),"")</f>
        <v/>
      </c>
      <c r="AA273" s="228" t="str">
        <f>IFERROR(_xlfn.XLOOKUP($A273,'Raw_Data'!$B:$B,'Raw_Data'!IW:IW),"")</f>
        <v/>
      </c>
      <c r="AB273" s="228" t="str">
        <f>IFERROR(_xlfn.XLOOKUP($A273,'Raw_Data'!$B:$B,'Raw_Data'!I:I)/1000,"")</f>
        <v/>
      </c>
      <c r="AC273" s="241">
        <f>IFERROR(_xlfn.XLOOKUP($D273,'Modelling New'!$D:$D,'Modelling New'!$P:$P),"")</f>
        <v>5.1161290322580646</v>
      </c>
      <c r="AD273" s="228">
        <f>IFERROR(_xlfn.XLOOKUP($D273,'Modelling New'!$D:$D,'Modelling New'!$T:$T)*1000,"")</f>
        <v>1504722.433109381</v>
      </c>
      <c r="AE273" s="240">
        <f>IFERROR(_xlfn.XLOOKUP($D273,'Modelling New'!$D:$D,'Modelling New'!$O:$O),"")</f>
        <v>0.87771221616494688</v>
      </c>
      <c r="AF273" s="240">
        <f>IFERROR(_xlfn.XLOOKUP($D273,'Modelling New'!$D:$D,'Modelling New'!$W:$W),"")</f>
        <v>0.18710370629537709</v>
      </c>
      <c r="AG273" s="240">
        <f>IFERROR(_xlfn.XLOOKUP($D273,'Modelling New'!$D:$D,'Modelling New'!AE:AE),"")</f>
        <v>0.99750000000000005</v>
      </c>
      <c r="AH273" s="240">
        <f>IFERROR(_xlfn.XLOOKUP($D273,'Modelling New'!$D:$D,'Modelling New'!AF:AF),"")</f>
        <v>0.99750000000000005</v>
      </c>
      <c r="AI273" s="186"/>
      <c r="AJ273" s="186"/>
      <c r="AK273" s="225"/>
      <c r="AL273" s="224">
        <f>IFERROR(Table13[[#This Row],[RA (%)]]*9270*58,"")</f>
        <v>0</v>
      </c>
      <c r="AM273" s="225"/>
      <c r="AN273" s="238"/>
      <c r="AO273" s="240"/>
      <c r="AP273" s="240"/>
      <c r="AQ273" s="240"/>
      <c r="AR273" s="242">
        <f>IFERROR(_xlfn.XLOOKUP($D273,'Modelling New'!$D:$D,'Modelling New'!$N:$N),"")</f>
        <v>335.09100000000001</v>
      </c>
    </row>
    <row r="274" spans="1:44">
      <c r="A274" s="233">
        <f t="shared" si="20"/>
        <v>46017</v>
      </c>
      <c r="B274" s="228">
        <f>YEAR(Table13[[#This Row],[Date]])+IF(MONTH(Table13[[#This Row],[Date]])&gt;=4,1,0)</f>
        <v>2026</v>
      </c>
      <c r="C274" s="186">
        <f>YEAR(Table13[[#This Row],[Date]])</f>
        <v>2025</v>
      </c>
      <c r="D274" s="234">
        <f>Table13[[#This Row],[Date]]-DAY(Table13[[#This Row],[Date]])+1</f>
        <v>45992</v>
      </c>
      <c r="E274" s="186">
        <f t="shared" si="21"/>
        <v>31</v>
      </c>
      <c r="F274" s="235" t="str">
        <f>IFERROR(_xlfn.XLOOKUP($A274,'Raw_Data'!$B:$B,'Raw_Data'!$IX:$IX),"")</f>
        <v/>
      </c>
      <c r="G274" s="236" t="str">
        <f>IFERROR(_xlfn.XLOOKUP($A274,'Raw_Data'!$B:$B,'Raw_Data'!IY:IY),"")</f>
        <v/>
      </c>
      <c r="H274" s="236" t="str">
        <f>IFERROR(_xlfn.XLOOKUP($A274,'Raw_Data'!$B:$B,'Raw_Data'!IZ:IZ),"")</f>
        <v/>
      </c>
      <c r="I274" s="236" t="str">
        <f>IFERROR(_xlfn.XLOOKUP($A274,'Raw_Data'!$B:$B,'Raw_Data'!JA:JA),"")</f>
        <v/>
      </c>
      <c r="J274" s="236" t="str">
        <f>IFERROR(_xlfn.XLOOKUP($A274,'Raw_Data'!$B:$B,'Raw_Data'!JB:JB),"")</f>
        <v/>
      </c>
      <c r="K274" s="236" t="str">
        <f>IFERROR(_xlfn.XLOOKUP($A274,'Raw_Data'!$B:$B,'Raw_Data'!JE:JE),"")</f>
        <v/>
      </c>
      <c r="L274" s="236" t="str">
        <f>IFERROR(_xlfn.XLOOKUP($A274,'Raw_Data'!$B:$B,'Raw_Data'!JF:JF),"")</f>
        <v/>
      </c>
      <c r="M274" s="236" t="str">
        <f>IFERROR(_xlfn.XLOOKUP($A274,'Raw_Data'!$B:$B,'Raw_Data'!JG:JG),"")</f>
        <v/>
      </c>
      <c r="N274" s="236" t="str">
        <f>IFERROR(_xlfn.XLOOKUP($A274,'Raw_Data'!$B:$B,'Raw_Data'!JH:JH),"")</f>
        <v/>
      </c>
      <c r="O274" s="237" t="str">
        <f>IFERROR(1-SUMIF(PA!$B:$B,$A274,PA!$AL:$AL)/($AA274+SUMIF(PA!$B:$B,$A274,PA!$AL:$AL)),"")</f>
        <v/>
      </c>
      <c r="P274" s="238"/>
      <c r="Q274" s="239"/>
      <c r="R274" s="240" t="str">
        <f>IFERROR(1-SUMIF(GA!$C:$C,$A274,GA!$X:$X)/($AA274+SUMIF(GA!$C:$C,$A274,GA!$X:$X)),"")</f>
        <v/>
      </c>
      <c r="S274" s="186"/>
      <c r="T274" s="239"/>
      <c r="U274" s="237" t="str">
        <f t="shared" si="18"/>
        <v/>
      </c>
      <c r="V274" s="237" t="str">
        <f>IFERROR(_xlfn.XLOOKUP($A274,'Raw_Data'!$B:$B,'Raw_Data'!$JL:$JL),"")</f>
        <v/>
      </c>
      <c r="W274" s="240" t="str">
        <f t="shared" si="19"/>
        <v/>
      </c>
      <c r="X274" s="228" t="str">
        <f>IFERROR(_xlfn.XLOOKUP($A274,'Raw_Data'!$B:$B,'Raw_Data'!$JI:$JI),"")</f>
        <v/>
      </c>
      <c r="Y274" s="228" t="str">
        <f>IFERROR(_xlfn.XLOOKUP($A274,'Raw_Data'!$B:$B,'Raw_Data'!IT:IT),"")</f>
        <v/>
      </c>
      <c r="Z274" s="228" t="str">
        <f>IFERROR(_xlfn.XLOOKUP($A274,'Raw_Data'!$B:$B,'Raw_Data'!IU:IU),"")</f>
        <v/>
      </c>
      <c r="AA274" s="228" t="str">
        <f>IFERROR(_xlfn.XLOOKUP($A274,'Raw_Data'!$B:$B,'Raw_Data'!IW:IW),"")</f>
        <v/>
      </c>
      <c r="AB274" s="228" t="str">
        <f>IFERROR(_xlfn.XLOOKUP($A274,'Raw_Data'!$B:$B,'Raw_Data'!I:I)/1000,"")</f>
        <v/>
      </c>
      <c r="AC274" s="241">
        <f>IFERROR(_xlfn.XLOOKUP($D274,'Modelling New'!$D:$D,'Modelling New'!$P:$P),"")</f>
        <v>5.1161290322580646</v>
      </c>
      <c r="AD274" s="228">
        <f>IFERROR(_xlfn.XLOOKUP($D274,'Modelling New'!$D:$D,'Modelling New'!$T:$T)*1000,"")</f>
        <v>1504722.433109381</v>
      </c>
      <c r="AE274" s="240">
        <f>IFERROR(_xlfn.XLOOKUP($D274,'Modelling New'!$D:$D,'Modelling New'!$O:$O),"")</f>
        <v>0.87771221616494688</v>
      </c>
      <c r="AF274" s="240">
        <f>IFERROR(_xlfn.XLOOKUP($D274,'Modelling New'!$D:$D,'Modelling New'!$W:$W),"")</f>
        <v>0.18710370629537709</v>
      </c>
      <c r="AG274" s="240">
        <f>IFERROR(_xlfn.XLOOKUP($D274,'Modelling New'!$D:$D,'Modelling New'!AE:AE),"")</f>
        <v>0.99750000000000005</v>
      </c>
      <c r="AH274" s="240">
        <f>IFERROR(_xlfn.XLOOKUP($D274,'Modelling New'!$D:$D,'Modelling New'!AF:AF),"")</f>
        <v>0.99750000000000005</v>
      </c>
      <c r="AI274" s="186"/>
      <c r="AJ274" s="186"/>
      <c r="AK274" s="225"/>
      <c r="AL274" s="224">
        <f>IFERROR(Table13[[#This Row],[RA (%)]]*9270*58,"")</f>
        <v>0</v>
      </c>
      <c r="AM274" s="225"/>
      <c r="AN274" s="238"/>
      <c r="AO274" s="240"/>
      <c r="AP274" s="240"/>
      <c r="AQ274" s="240"/>
      <c r="AR274" s="242">
        <f>IFERROR(_xlfn.XLOOKUP($D274,'Modelling New'!$D:$D,'Modelling New'!$N:$N),"")</f>
        <v>335.09100000000001</v>
      </c>
    </row>
    <row r="275" spans="1:44">
      <c r="A275" s="233">
        <f t="shared" si="20"/>
        <v>46018</v>
      </c>
      <c r="B275" s="228">
        <f>YEAR(Table13[[#This Row],[Date]])+IF(MONTH(Table13[[#This Row],[Date]])&gt;=4,1,0)</f>
        <v>2026</v>
      </c>
      <c r="C275" s="186">
        <f>YEAR(Table13[[#This Row],[Date]])</f>
        <v>2025</v>
      </c>
      <c r="D275" s="234">
        <f>Table13[[#This Row],[Date]]-DAY(Table13[[#This Row],[Date]])+1</f>
        <v>45992</v>
      </c>
      <c r="E275" s="186">
        <f t="shared" si="21"/>
        <v>31</v>
      </c>
      <c r="F275" s="235" t="str">
        <f>IFERROR(_xlfn.XLOOKUP($A275,'Raw_Data'!$B:$B,'Raw_Data'!$IX:$IX),"")</f>
        <v/>
      </c>
      <c r="G275" s="236" t="str">
        <f>IFERROR(_xlfn.XLOOKUP($A275,'Raw_Data'!$B:$B,'Raw_Data'!IY:IY),"")</f>
        <v/>
      </c>
      <c r="H275" s="236" t="str">
        <f>IFERROR(_xlfn.XLOOKUP($A275,'Raw_Data'!$B:$B,'Raw_Data'!IZ:IZ),"")</f>
        <v/>
      </c>
      <c r="I275" s="236" t="str">
        <f>IFERROR(_xlfn.XLOOKUP($A275,'Raw_Data'!$B:$B,'Raw_Data'!JA:JA),"")</f>
        <v/>
      </c>
      <c r="J275" s="236" t="str">
        <f>IFERROR(_xlfn.XLOOKUP($A275,'Raw_Data'!$B:$B,'Raw_Data'!JB:JB),"")</f>
        <v/>
      </c>
      <c r="K275" s="236" t="str">
        <f>IFERROR(_xlfn.XLOOKUP($A275,'Raw_Data'!$B:$B,'Raw_Data'!JE:JE),"")</f>
        <v/>
      </c>
      <c r="L275" s="236" t="str">
        <f>IFERROR(_xlfn.XLOOKUP($A275,'Raw_Data'!$B:$B,'Raw_Data'!JF:JF),"")</f>
        <v/>
      </c>
      <c r="M275" s="236" t="str">
        <f>IFERROR(_xlfn.XLOOKUP($A275,'Raw_Data'!$B:$B,'Raw_Data'!JG:JG),"")</f>
        <v/>
      </c>
      <c r="N275" s="236" t="str">
        <f>IFERROR(_xlfn.XLOOKUP($A275,'Raw_Data'!$B:$B,'Raw_Data'!JH:JH),"")</f>
        <v/>
      </c>
      <c r="O275" s="237" t="str">
        <f>IFERROR(1-SUMIF(PA!$B:$B,$A275,PA!$AL:$AL)/($AA275+SUMIF(PA!$B:$B,$A275,PA!$AL:$AL)),"")</f>
        <v/>
      </c>
      <c r="P275" s="238"/>
      <c r="Q275" s="239"/>
      <c r="R275" s="240" t="str">
        <f>IFERROR(1-SUMIF(GA!$C:$C,$A275,GA!$X:$X)/($AA275+SUMIF(GA!$C:$C,$A275,GA!$X:$X)),"")</f>
        <v/>
      </c>
      <c r="S275" s="186"/>
      <c r="T275" s="239"/>
      <c r="U275" s="237" t="str">
        <f t="shared" si="18"/>
        <v/>
      </c>
      <c r="V275" s="237" t="str">
        <f>IFERROR(_xlfn.XLOOKUP($A275,'Raw_Data'!$B:$B,'Raw_Data'!$JL:$JL),"")</f>
        <v/>
      </c>
      <c r="W275" s="240" t="str">
        <f t="shared" si="19"/>
        <v/>
      </c>
      <c r="X275" s="228" t="str">
        <f>IFERROR(_xlfn.XLOOKUP($A275,'Raw_Data'!$B:$B,'Raw_Data'!$JI:$JI),"")</f>
        <v/>
      </c>
      <c r="Y275" s="228" t="str">
        <f>IFERROR(_xlfn.XLOOKUP($A275,'Raw_Data'!$B:$B,'Raw_Data'!IT:IT),"")</f>
        <v/>
      </c>
      <c r="Z275" s="228" t="str">
        <f>IFERROR(_xlfn.XLOOKUP($A275,'Raw_Data'!$B:$B,'Raw_Data'!IU:IU),"")</f>
        <v/>
      </c>
      <c r="AA275" s="228" t="str">
        <f>IFERROR(_xlfn.XLOOKUP($A275,'Raw_Data'!$B:$B,'Raw_Data'!IW:IW),"")</f>
        <v/>
      </c>
      <c r="AB275" s="228" t="str">
        <f>IFERROR(_xlfn.XLOOKUP($A275,'Raw_Data'!$B:$B,'Raw_Data'!I:I)/1000,"")</f>
        <v/>
      </c>
      <c r="AC275" s="241">
        <f>IFERROR(_xlfn.XLOOKUP($D275,'Modelling New'!$D:$D,'Modelling New'!$P:$P),"")</f>
        <v>5.1161290322580646</v>
      </c>
      <c r="AD275" s="228">
        <f>IFERROR(_xlfn.XLOOKUP($D275,'Modelling New'!$D:$D,'Modelling New'!$T:$T)*1000,"")</f>
        <v>1504722.433109381</v>
      </c>
      <c r="AE275" s="240">
        <f>IFERROR(_xlfn.XLOOKUP($D275,'Modelling New'!$D:$D,'Modelling New'!$O:$O),"")</f>
        <v>0.87771221616494688</v>
      </c>
      <c r="AF275" s="240">
        <f>IFERROR(_xlfn.XLOOKUP($D275,'Modelling New'!$D:$D,'Modelling New'!$W:$W),"")</f>
        <v>0.18710370629537709</v>
      </c>
      <c r="AG275" s="240">
        <f>IFERROR(_xlfn.XLOOKUP($D275,'Modelling New'!$D:$D,'Modelling New'!AE:AE),"")</f>
        <v>0.99750000000000005</v>
      </c>
      <c r="AH275" s="240">
        <f>IFERROR(_xlfn.XLOOKUP($D275,'Modelling New'!$D:$D,'Modelling New'!AF:AF),"")</f>
        <v>0.99750000000000005</v>
      </c>
      <c r="AI275" s="186"/>
      <c r="AJ275" s="186"/>
      <c r="AK275" s="225"/>
      <c r="AL275" s="224">
        <f>IFERROR(Table13[[#This Row],[RA (%)]]*9270*58,"")</f>
        <v>0</v>
      </c>
      <c r="AM275" s="225"/>
      <c r="AN275" s="238"/>
      <c r="AO275" s="240"/>
      <c r="AP275" s="240"/>
      <c r="AQ275" s="240"/>
      <c r="AR275" s="242">
        <f>IFERROR(_xlfn.XLOOKUP($D275,'Modelling New'!$D:$D,'Modelling New'!$N:$N),"")</f>
        <v>335.09100000000001</v>
      </c>
    </row>
    <row r="276" spans="1:44">
      <c r="A276" s="233">
        <f t="shared" si="20"/>
        <v>46019</v>
      </c>
      <c r="B276" s="228">
        <f>YEAR(Table13[[#This Row],[Date]])+IF(MONTH(Table13[[#This Row],[Date]])&gt;=4,1,0)</f>
        <v>2026</v>
      </c>
      <c r="C276" s="186">
        <f>YEAR(Table13[[#This Row],[Date]])</f>
        <v>2025</v>
      </c>
      <c r="D276" s="234">
        <f>Table13[[#This Row],[Date]]-DAY(Table13[[#This Row],[Date]])+1</f>
        <v>45992</v>
      </c>
      <c r="E276" s="186">
        <f t="shared" si="21"/>
        <v>31</v>
      </c>
      <c r="F276" s="235" t="str">
        <f>IFERROR(_xlfn.XLOOKUP($A276,'Raw_Data'!$B:$B,'Raw_Data'!$IX:$IX),"")</f>
        <v/>
      </c>
      <c r="G276" s="236" t="str">
        <f>IFERROR(_xlfn.XLOOKUP($A276,'Raw_Data'!$B:$B,'Raw_Data'!IY:IY),"")</f>
        <v/>
      </c>
      <c r="H276" s="236" t="str">
        <f>IFERROR(_xlfn.XLOOKUP($A276,'Raw_Data'!$B:$B,'Raw_Data'!IZ:IZ),"")</f>
        <v/>
      </c>
      <c r="I276" s="236" t="str">
        <f>IFERROR(_xlfn.XLOOKUP($A276,'Raw_Data'!$B:$B,'Raw_Data'!JA:JA),"")</f>
        <v/>
      </c>
      <c r="J276" s="236" t="str">
        <f>IFERROR(_xlfn.XLOOKUP($A276,'Raw_Data'!$B:$B,'Raw_Data'!JB:JB),"")</f>
        <v/>
      </c>
      <c r="K276" s="236" t="str">
        <f>IFERROR(_xlfn.XLOOKUP($A276,'Raw_Data'!$B:$B,'Raw_Data'!JE:JE),"")</f>
        <v/>
      </c>
      <c r="L276" s="236" t="str">
        <f>IFERROR(_xlfn.XLOOKUP($A276,'Raw_Data'!$B:$B,'Raw_Data'!JF:JF),"")</f>
        <v/>
      </c>
      <c r="M276" s="236" t="str">
        <f>IFERROR(_xlfn.XLOOKUP($A276,'Raw_Data'!$B:$B,'Raw_Data'!JG:JG),"")</f>
        <v/>
      </c>
      <c r="N276" s="236" t="str">
        <f>IFERROR(_xlfn.XLOOKUP($A276,'Raw_Data'!$B:$B,'Raw_Data'!JH:JH),"")</f>
        <v/>
      </c>
      <c r="O276" s="237" t="str">
        <f>IFERROR(1-SUMIF(PA!$B:$B,$A276,PA!$AL:$AL)/($AA276+SUMIF(PA!$B:$B,$A276,PA!$AL:$AL)),"")</f>
        <v/>
      </c>
      <c r="P276" s="238"/>
      <c r="Q276" s="239"/>
      <c r="R276" s="240" t="str">
        <f>IFERROR(1-SUMIF(GA!$C:$C,$A276,GA!$X:$X)/($AA276+SUMIF(GA!$C:$C,$A276,GA!$X:$X)),"")</f>
        <v/>
      </c>
      <c r="S276" s="186"/>
      <c r="T276" s="239"/>
      <c r="U276" s="237" t="str">
        <f t="shared" si="18"/>
        <v/>
      </c>
      <c r="V276" s="237" t="str">
        <f>IFERROR(_xlfn.XLOOKUP($A276,'Raw_Data'!$B:$B,'Raw_Data'!$JL:$JL),"")</f>
        <v/>
      </c>
      <c r="W276" s="240" t="str">
        <f t="shared" si="19"/>
        <v/>
      </c>
      <c r="X276" s="228" t="str">
        <f>IFERROR(_xlfn.XLOOKUP($A276,'Raw_Data'!$B:$B,'Raw_Data'!$JI:$JI),"")</f>
        <v/>
      </c>
      <c r="Y276" s="228" t="str">
        <f>IFERROR(_xlfn.XLOOKUP($A276,'Raw_Data'!$B:$B,'Raw_Data'!IT:IT),"")</f>
        <v/>
      </c>
      <c r="Z276" s="228" t="str">
        <f>IFERROR(_xlfn.XLOOKUP($A276,'Raw_Data'!$B:$B,'Raw_Data'!IU:IU),"")</f>
        <v/>
      </c>
      <c r="AA276" s="228" t="str">
        <f>IFERROR(_xlfn.XLOOKUP($A276,'Raw_Data'!$B:$B,'Raw_Data'!IW:IW),"")</f>
        <v/>
      </c>
      <c r="AB276" s="228" t="str">
        <f>IFERROR(_xlfn.XLOOKUP($A276,'Raw_Data'!$B:$B,'Raw_Data'!I:I)/1000,"")</f>
        <v/>
      </c>
      <c r="AC276" s="241">
        <f>IFERROR(_xlfn.XLOOKUP($D276,'Modelling New'!$D:$D,'Modelling New'!$P:$P),"")</f>
        <v>5.1161290322580646</v>
      </c>
      <c r="AD276" s="228">
        <f>IFERROR(_xlfn.XLOOKUP($D276,'Modelling New'!$D:$D,'Modelling New'!$T:$T)*1000,"")</f>
        <v>1504722.433109381</v>
      </c>
      <c r="AE276" s="240">
        <f>IFERROR(_xlfn.XLOOKUP($D276,'Modelling New'!$D:$D,'Modelling New'!$O:$O),"")</f>
        <v>0.87771221616494688</v>
      </c>
      <c r="AF276" s="240">
        <f>IFERROR(_xlfn.XLOOKUP($D276,'Modelling New'!$D:$D,'Modelling New'!$W:$W),"")</f>
        <v>0.18710370629537709</v>
      </c>
      <c r="AG276" s="240">
        <f>IFERROR(_xlfn.XLOOKUP($D276,'Modelling New'!$D:$D,'Modelling New'!AE:AE),"")</f>
        <v>0.99750000000000005</v>
      </c>
      <c r="AH276" s="240">
        <f>IFERROR(_xlfn.XLOOKUP($D276,'Modelling New'!$D:$D,'Modelling New'!AF:AF),"")</f>
        <v>0.99750000000000005</v>
      </c>
      <c r="AI276" s="186"/>
      <c r="AJ276" s="186"/>
      <c r="AK276" s="225"/>
      <c r="AL276" s="224">
        <f>IFERROR(Table13[[#This Row],[RA (%)]]*9270*58,"")</f>
        <v>0</v>
      </c>
      <c r="AM276" s="225"/>
      <c r="AN276" s="238"/>
      <c r="AO276" s="240"/>
      <c r="AP276" s="240"/>
      <c r="AQ276" s="240"/>
      <c r="AR276" s="242">
        <f>IFERROR(_xlfn.XLOOKUP($D276,'Modelling New'!$D:$D,'Modelling New'!$N:$N),"")</f>
        <v>335.09100000000001</v>
      </c>
    </row>
    <row r="277" spans="1:44">
      <c r="A277" s="233">
        <f t="shared" si="20"/>
        <v>46020</v>
      </c>
      <c r="B277" s="228">
        <f>YEAR(Table13[[#This Row],[Date]])+IF(MONTH(Table13[[#This Row],[Date]])&gt;=4,1,0)</f>
        <v>2026</v>
      </c>
      <c r="C277" s="186">
        <f>YEAR(Table13[[#This Row],[Date]])</f>
        <v>2025</v>
      </c>
      <c r="D277" s="234">
        <f>Table13[[#This Row],[Date]]-DAY(Table13[[#This Row],[Date]])+1</f>
        <v>45992</v>
      </c>
      <c r="E277" s="186">
        <f t="shared" si="21"/>
        <v>31</v>
      </c>
      <c r="F277" s="235" t="str">
        <f>IFERROR(_xlfn.XLOOKUP($A277,'Raw_Data'!$B:$B,'Raw_Data'!$IX:$IX),"")</f>
        <v/>
      </c>
      <c r="G277" s="236" t="str">
        <f>IFERROR(_xlfn.XLOOKUP($A277,'Raw_Data'!$B:$B,'Raw_Data'!IY:IY),"")</f>
        <v/>
      </c>
      <c r="H277" s="236" t="str">
        <f>IFERROR(_xlfn.XLOOKUP($A277,'Raw_Data'!$B:$B,'Raw_Data'!IZ:IZ),"")</f>
        <v/>
      </c>
      <c r="I277" s="236" t="str">
        <f>IFERROR(_xlfn.XLOOKUP($A277,'Raw_Data'!$B:$B,'Raw_Data'!JA:JA),"")</f>
        <v/>
      </c>
      <c r="J277" s="236" t="str">
        <f>IFERROR(_xlfn.XLOOKUP($A277,'Raw_Data'!$B:$B,'Raw_Data'!JB:JB),"")</f>
        <v/>
      </c>
      <c r="K277" s="236" t="str">
        <f>IFERROR(_xlfn.XLOOKUP($A277,'Raw_Data'!$B:$B,'Raw_Data'!JE:JE),"")</f>
        <v/>
      </c>
      <c r="L277" s="236" t="str">
        <f>IFERROR(_xlfn.XLOOKUP($A277,'Raw_Data'!$B:$B,'Raw_Data'!JF:JF),"")</f>
        <v/>
      </c>
      <c r="M277" s="236" t="str">
        <f>IFERROR(_xlfn.XLOOKUP($A277,'Raw_Data'!$B:$B,'Raw_Data'!JG:JG),"")</f>
        <v/>
      </c>
      <c r="N277" s="236" t="str">
        <f>IFERROR(_xlfn.XLOOKUP($A277,'Raw_Data'!$B:$B,'Raw_Data'!JH:JH),"")</f>
        <v/>
      </c>
      <c r="O277" s="237" t="str">
        <f>IFERROR(1-SUMIF(PA!$B:$B,$A277,PA!$AL:$AL)/($AA277+SUMIF(PA!$B:$B,$A277,PA!$AL:$AL)),"")</f>
        <v/>
      </c>
      <c r="P277" s="238"/>
      <c r="Q277" s="239"/>
      <c r="R277" s="240" t="str">
        <f>IFERROR(1-SUMIF(GA!$C:$C,$A277,GA!$X:$X)/($AA277+SUMIF(GA!$C:$C,$A277,GA!$X:$X)),"")</f>
        <v/>
      </c>
      <c r="S277" s="186"/>
      <c r="T277" s="239"/>
      <c r="U277" s="237" t="str">
        <f t="shared" si="18"/>
        <v/>
      </c>
      <c r="V277" s="237" t="str">
        <f>IFERROR(_xlfn.XLOOKUP($A277,'Raw_Data'!$B:$B,'Raw_Data'!$JL:$JL),"")</f>
        <v/>
      </c>
      <c r="W277" s="240" t="str">
        <f t="shared" si="19"/>
        <v/>
      </c>
      <c r="X277" s="228" t="str">
        <f>IFERROR(_xlfn.XLOOKUP($A277,'Raw_Data'!$B:$B,'Raw_Data'!$JI:$JI),"")</f>
        <v/>
      </c>
      <c r="Y277" s="228" t="str">
        <f>IFERROR(_xlfn.XLOOKUP($A277,'Raw_Data'!$B:$B,'Raw_Data'!IT:IT),"")</f>
        <v/>
      </c>
      <c r="Z277" s="228" t="str">
        <f>IFERROR(_xlfn.XLOOKUP($A277,'Raw_Data'!$B:$B,'Raw_Data'!IU:IU),"")</f>
        <v/>
      </c>
      <c r="AA277" s="228" t="str">
        <f>IFERROR(_xlfn.XLOOKUP($A277,'Raw_Data'!$B:$B,'Raw_Data'!IW:IW),"")</f>
        <v/>
      </c>
      <c r="AB277" s="228" t="str">
        <f>IFERROR(_xlfn.XLOOKUP($A277,'Raw_Data'!$B:$B,'Raw_Data'!I:I)/1000,"")</f>
        <v/>
      </c>
      <c r="AC277" s="241">
        <f>IFERROR(_xlfn.XLOOKUP($D277,'Modelling New'!$D:$D,'Modelling New'!$P:$P),"")</f>
        <v>5.1161290322580646</v>
      </c>
      <c r="AD277" s="228">
        <f>IFERROR(_xlfn.XLOOKUP($D277,'Modelling New'!$D:$D,'Modelling New'!$T:$T)*1000,"")</f>
        <v>1504722.433109381</v>
      </c>
      <c r="AE277" s="240">
        <f>IFERROR(_xlfn.XLOOKUP($D277,'Modelling New'!$D:$D,'Modelling New'!$O:$O),"")</f>
        <v>0.87771221616494688</v>
      </c>
      <c r="AF277" s="240">
        <f>IFERROR(_xlfn.XLOOKUP($D277,'Modelling New'!$D:$D,'Modelling New'!$W:$W),"")</f>
        <v>0.18710370629537709</v>
      </c>
      <c r="AG277" s="240">
        <f>IFERROR(_xlfn.XLOOKUP($D277,'Modelling New'!$D:$D,'Modelling New'!AE:AE),"")</f>
        <v>0.99750000000000005</v>
      </c>
      <c r="AH277" s="240">
        <f>IFERROR(_xlfn.XLOOKUP($D277,'Modelling New'!$D:$D,'Modelling New'!AF:AF),"")</f>
        <v>0.99750000000000005</v>
      </c>
      <c r="AI277" s="186"/>
      <c r="AJ277" s="186"/>
      <c r="AK277" s="225"/>
      <c r="AL277" s="224">
        <f>IFERROR(Table13[[#This Row],[RA (%)]]*9270*58,"")</f>
        <v>0</v>
      </c>
      <c r="AM277" s="225"/>
      <c r="AN277" s="238"/>
      <c r="AO277" s="240"/>
      <c r="AP277" s="240"/>
      <c r="AQ277" s="240"/>
      <c r="AR277" s="242">
        <f>IFERROR(_xlfn.XLOOKUP($D277,'Modelling New'!$D:$D,'Modelling New'!$N:$N),"")</f>
        <v>335.09100000000001</v>
      </c>
    </row>
    <row r="278" spans="1:44">
      <c r="A278" s="233">
        <f t="shared" si="20"/>
        <v>46021</v>
      </c>
      <c r="B278" s="228">
        <f>YEAR(Table13[[#This Row],[Date]])+IF(MONTH(Table13[[#This Row],[Date]])&gt;=4,1,0)</f>
        <v>2026</v>
      </c>
      <c r="C278" s="186">
        <f>YEAR(Table13[[#This Row],[Date]])</f>
        <v>2025</v>
      </c>
      <c r="D278" s="234">
        <f>Table13[[#This Row],[Date]]-DAY(Table13[[#This Row],[Date]])+1</f>
        <v>45992</v>
      </c>
      <c r="E278" s="186">
        <f t="shared" si="21"/>
        <v>31</v>
      </c>
      <c r="F278" s="235" t="str">
        <f>IFERROR(_xlfn.XLOOKUP($A278,'Raw_Data'!$B:$B,'Raw_Data'!$IX:$IX),"")</f>
        <v/>
      </c>
      <c r="G278" s="236" t="str">
        <f>IFERROR(_xlfn.XLOOKUP($A278,'Raw_Data'!$B:$B,'Raw_Data'!IY:IY),"")</f>
        <v/>
      </c>
      <c r="H278" s="236" t="str">
        <f>IFERROR(_xlfn.XLOOKUP($A278,'Raw_Data'!$B:$B,'Raw_Data'!IZ:IZ),"")</f>
        <v/>
      </c>
      <c r="I278" s="236" t="str">
        <f>IFERROR(_xlfn.XLOOKUP($A278,'Raw_Data'!$B:$B,'Raw_Data'!JA:JA),"")</f>
        <v/>
      </c>
      <c r="J278" s="236" t="str">
        <f>IFERROR(_xlfn.XLOOKUP($A278,'Raw_Data'!$B:$B,'Raw_Data'!JB:JB),"")</f>
        <v/>
      </c>
      <c r="K278" s="236" t="str">
        <f>IFERROR(_xlfn.XLOOKUP($A278,'Raw_Data'!$B:$B,'Raw_Data'!JE:JE),"")</f>
        <v/>
      </c>
      <c r="L278" s="236" t="str">
        <f>IFERROR(_xlfn.XLOOKUP($A278,'Raw_Data'!$B:$B,'Raw_Data'!JF:JF),"")</f>
        <v/>
      </c>
      <c r="M278" s="236" t="str">
        <f>IFERROR(_xlfn.XLOOKUP($A278,'Raw_Data'!$B:$B,'Raw_Data'!JG:JG),"")</f>
        <v/>
      </c>
      <c r="N278" s="236" t="str">
        <f>IFERROR(_xlfn.XLOOKUP($A278,'Raw_Data'!$B:$B,'Raw_Data'!JH:JH),"")</f>
        <v/>
      </c>
      <c r="O278" s="237" t="str">
        <f>IFERROR(1-SUMIF(PA!$B:$B,$A278,PA!$AL:$AL)/($AA278+SUMIF(PA!$B:$B,$A278,PA!$AL:$AL)),"")</f>
        <v/>
      </c>
      <c r="P278" s="238"/>
      <c r="Q278" s="239"/>
      <c r="R278" s="240" t="str">
        <f>IFERROR(1-SUMIF(GA!$C:$C,$A278,GA!$X:$X)/($AA278+SUMIF(GA!$C:$C,$A278,GA!$X:$X)),"")</f>
        <v/>
      </c>
      <c r="S278" s="186"/>
      <c r="T278" s="239"/>
      <c r="U278" s="237" t="str">
        <f t="shared" si="18"/>
        <v/>
      </c>
      <c r="V278" s="237" t="str">
        <f>IFERROR(_xlfn.XLOOKUP($A278,'Raw_Data'!$B:$B,'Raw_Data'!$JL:$JL),"")</f>
        <v/>
      </c>
      <c r="W278" s="240" t="str">
        <f t="shared" si="19"/>
        <v/>
      </c>
      <c r="X278" s="228" t="str">
        <f>IFERROR(_xlfn.XLOOKUP($A278,'Raw_Data'!$B:$B,'Raw_Data'!$JI:$JI),"")</f>
        <v/>
      </c>
      <c r="Y278" s="228" t="str">
        <f>IFERROR(_xlfn.XLOOKUP($A278,'Raw_Data'!$B:$B,'Raw_Data'!IT:IT),"")</f>
        <v/>
      </c>
      <c r="Z278" s="228" t="str">
        <f>IFERROR(_xlfn.XLOOKUP($A278,'Raw_Data'!$B:$B,'Raw_Data'!IU:IU),"")</f>
        <v/>
      </c>
      <c r="AA278" s="228" t="str">
        <f>IFERROR(_xlfn.XLOOKUP($A278,'Raw_Data'!$B:$B,'Raw_Data'!IW:IW),"")</f>
        <v/>
      </c>
      <c r="AB278" s="228" t="str">
        <f>IFERROR(_xlfn.XLOOKUP($A278,'Raw_Data'!$B:$B,'Raw_Data'!I:I)/1000,"")</f>
        <v/>
      </c>
      <c r="AC278" s="241">
        <f>IFERROR(_xlfn.XLOOKUP($D278,'Modelling New'!$D:$D,'Modelling New'!$P:$P),"")</f>
        <v>5.1161290322580646</v>
      </c>
      <c r="AD278" s="228">
        <f>IFERROR(_xlfn.XLOOKUP($D278,'Modelling New'!$D:$D,'Modelling New'!$T:$T)*1000,"")</f>
        <v>1504722.433109381</v>
      </c>
      <c r="AE278" s="240">
        <f>IFERROR(_xlfn.XLOOKUP($D278,'Modelling New'!$D:$D,'Modelling New'!$O:$O),"")</f>
        <v>0.87771221616494688</v>
      </c>
      <c r="AF278" s="240">
        <f>IFERROR(_xlfn.XLOOKUP($D278,'Modelling New'!$D:$D,'Modelling New'!$W:$W),"")</f>
        <v>0.18710370629537709</v>
      </c>
      <c r="AG278" s="240">
        <f>IFERROR(_xlfn.XLOOKUP($D278,'Modelling New'!$D:$D,'Modelling New'!AE:AE),"")</f>
        <v>0.99750000000000005</v>
      </c>
      <c r="AH278" s="240">
        <f>IFERROR(_xlfn.XLOOKUP($D278,'Modelling New'!$D:$D,'Modelling New'!AF:AF),"")</f>
        <v>0.99750000000000005</v>
      </c>
      <c r="AI278" s="186"/>
      <c r="AJ278" s="186"/>
      <c r="AK278" s="225"/>
      <c r="AL278" s="224">
        <f>IFERROR(Table13[[#This Row],[RA (%)]]*9270*58,"")</f>
        <v>0</v>
      </c>
      <c r="AM278" s="225"/>
      <c r="AN278" s="238"/>
      <c r="AO278" s="240"/>
      <c r="AP278" s="240"/>
      <c r="AQ278" s="240"/>
      <c r="AR278" s="242">
        <f>IFERROR(_xlfn.XLOOKUP($D278,'Modelling New'!$D:$D,'Modelling New'!$N:$N),"")</f>
        <v>335.09100000000001</v>
      </c>
    </row>
    <row r="279" spans="1:44">
      <c r="A279" s="233">
        <f t="shared" si="20"/>
        <v>46022</v>
      </c>
      <c r="B279" s="228">
        <f>YEAR(Table13[[#This Row],[Date]])+IF(MONTH(Table13[[#This Row],[Date]])&gt;=4,1,0)</f>
        <v>2026</v>
      </c>
      <c r="C279" s="186">
        <f>YEAR(Table13[[#This Row],[Date]])</f>
        <v>2025</v>
      </c>
      <c r="D279" s="234">
        <f>Table13[[#This Row],[Date]]-DAY(Table13[[#This Row],[Date]])+1</f>
        <v>45992</v>
      </c>
      <c r="E279" s="186">
        <f t="shared" si="21"/>
        <v>31</v>
      </c>
      <c r="F279" s="235" t="str">
        <f>IFERROR(_xlfn.XLOOKUP($A279,'Raw_Data'!$B:$B,'Raw_Data'!$IX:$IX),"")</f>
        <v/>
      </c>
      <c r="G279" s="236" t="str">
        <f>IFERROR(_xlfn.XLOOKUP($A279,'Raw_Data'!$B:$B,'Raw_Data'!IY:IY),"")</f>
        <v/>
      </c>
      <c r="H279" s="236" t="str">
        <f>IFERROR(_xlfn.XLOOKUP($A279,'Raw_Data'!$B:$B,'Raw_Data'!IZ:IZ),"")</f>
        <v/>
      </c>
      <c r="I279" s="236" t="str">
        <f>IFERROR(_xlfn.XLOOKUP($A279,'Raw_Data'!$B:$B,'Raw_Data'!JA:JA),"")</f>
        <v/>
      </c>
      <c r="J279" s="236" t="str">
        <f>IFERROR(_xlfn.XLOOKUP($A279,'Raw_Data'!$B:$B,'Raw_Data'!JB:JB),"")</f>
        <v/>
      </c>
      <c r="K279" s="236" t="str">
        <f>IFERROR(_xlfn.XLOOKUP($A279,'Raw_Data'!$B:$B,'Raw_Data'!JE:JE),"")</f>
        <v/>
      </c>
      <c r="L279" s="236" t="str">
        <f>IFERROR(_xlfn.XLOOKUP($A279,'Raw_Data'!$B:$B,'Raw_Data'!JF:JF),"")</f>
        <v/>
      </c>
      <c r="M279" s="236" t="str">
        <f>IFERROR(_xlfn.XLOOKUP($A279,'Raw_Data'!$B:$B,'Raw_Data'!JG:JG),"")</f>
        <v/>
      </c>
      <c r="N279" s="236" t="str">
        <f>IFERROR(_xlfn.XLOOKUP($A279,'Raw_Data'!$B:$B,'Raw_Data'!JH:JH),"")</f>
        <v/>
      </c>
      <c r="O279" s="237" t="str">
        <f>IFERROR(1-SUMIF(PA!$B:$B,$A279,PA!$AL:$AL)/($AA279+SUMIF(PA!$B:$B,$A279,PA!$AL:$AL)),"")</f>
        <v/>
      </c>
      <c r="P279" s="238"/>
      <c r="Q279" s="239"/>
      <c r="R279" s="240" t="str">
        <f>IFERROR(1-SUMIF(GA!$C:$C,$A279,GA!$X:$X)/($AA279+SUMIF(GA!$C:$C,$A279,GA!$X:$X)),"")</f>
        <v/>
      </c>
      <c r="S279" s="186"/>
      <c r="T279" s="239"/>
      <c r="U279" s="237" t="str">
        <f t="shared" si="18"/>
        <v/>
      </c>
      <c r="V279" s="237" t="str">
        <f>IFERROR(_xlfn.XLOOKUP($A279,'Raw_Data'!$B:$B,'Raw_Data'!$JL:$JL),"")</f>
        <v/>
      </c>
      <c r="W279" s="240" t="str">
        <f t="shared" si="19"/>
        <v/>
      </c>
      <c r="X279" s="228" t="str">
        <f>IFERROR(_xlfn.XLOOKUP($A279,'Raw_Data'!$B:$B,'Raw_Data'!$JI:$JI),"")</f>
        <v/>
      </c>
      <c r="Y279" s="228" t="str">
        <f>IFERROR(_xlfn.XLOOKUP($A279,'Raw_Data'!$B:$B,'Raw_Data'!IT:IT),"")</f>
        <v/>
      </c>
      <c r="Z279" s="228" t="str">
        <f>IFERROR(_xlfn.XLOOKUP($A279,'Raw_Data'!$B:$B,'Raw_Data'!IU:IU),"")</f>
        <v/>
      </c>
      <c r="AA279" s="228" t="str">
        <f>IFERROR(_xlfn.XLOOKUP($A279,'Raw_Data'!$B:$B,'Raw_Data'!IW:IW),"")</f>
        <v/>
      </c>
      <c r="AB279" s="228" t="str">
        <f>IFERROR(_xlfn.XLOOKUP($A279,'Raw_Data'!$B:$B,'Raw_Data'!I:I)/1000,"")</f>
        <v/>
      </c>
      <c r="AC279" s="241">
        <f>IFERROR(_xlfn.XLOOKUP($D279,'Modelling New'!$D:$D,'Modelling New'!$P:$P),"")</f>
        <v>5.1161290322580646</v>
      </c>
      <c r="AD279" s="228">
        <f>IFERROR(_xlfn.XLOOKUP($D279,'Modelling New'!$D:$D,'Modelling New'!$T:$T)*1000,"")</f>
        <v>1504722.433109381</v>
      </c>
      <c r="AE279" s="240">
        <f>IFERROR(_xlfn.XLOOKUP($D279,'Modelling New'!$D:$D,'Modelling New'!$O:$O),"")</f>
        <v>0.87771221616494688</v>
      </c>
      <c r="AF279" s="240">
        <f>IFERROR(_xlfn.XLOOKUP($D279,'Modelling New'!$D:$D,'Modelling New'!$W:$W),"")</f>
        <v>0.18710370629537709</v>
      </c>
      <c r="AG279" s="240">
        <f>IFERROR(_xlfn.XLOOKUP($D279,'Modelling New'!$D:$D,'Modelling New'!AE:AE),"")</f>
        <v>0.99750000000000005</v>
      </c>
      <c r="AH279" s="240">
        <f>IFERROR(_xlfn.XLOOKUP($D279,'Modelling New'!$D:$D,'Modelling New'!AF:AF),"")</f>
        <v>0.99750000000000005</v>
      </c>
      <c r="AI279" s="186"/>
      <c r="AJ279" s="186"/>
      <c r="AK279" s="225"/>
      <c r="AL279" s="224">
        <f>IFERROR(Table13[[#This Row],[RA (%)]]*9270*58,"")</f>
        <v>0</v>
      </c>
      <c r="AM279" s="225"/>
      <c r="AN279" s="238"/>
      <c r="AO279" s="240"/>
      <c r="AP279" s="240"/>
      <c r="AQ279" s="240"/>
      <c r="AR279" s="242">
        <f>IFERROR(_xlfn.XLOOKUP($D279,'Modelling New'!$D:$D,'Modelling New'!$N:$N),"")</f>
        <v>335.09100000000001</v>
      </c>
    </row>
    <row r="280" spans="1:44">
      <c r="A280" s="233">
        <f t="shared" si="20"/>
        <v>46023</v>
      </c>
      <c r="B280" s="228">
        <f>YEAR(Table13[[#This Row],[Date]])+IF(MONTH(Table13[[#This Row],[Date]])&gt;=4,1,0)</f>
        <v>2026</v>
      </c>
      <c r="C280" s="186">
        <f>YEAR(Table13[[#This Row],[Date]])</f>
        <v>2026</v>
      </c>
      <c r="D280" s="234">
        <f>Table13[[#This Row],[Date]]-DAY(Table13[[#This Row],[Date]])+1</f>
        <v>46023</v>
      </c>
      <c r="E280" s="186">
        <f t="shared" si="21"/>
        <v>31</v>
      </c>
      <c r="F280" s="235" t="str">
        <f>IFERROR(_xlfn.XLOOKUP($A280,'Raw_Data'!$B:$B,'Raw_Data'!$IX:$IX),"")</f>
        <v/>
      </c>
      <c r="G280" s="236" t="str">
        <f>IFERROR(_xlfn.XLOOKUP($A280,'Raw_Data'!$B:$B,'Raw_Data'!IY:IY),"")</f>
        <v/>
      </c>
      <c r="H280" s="236" t="str">
        <f>IFERROR(_xlfn.XLOOKUP($A280,'Raw_Data'!$B:$B,'Raw_Data'!IZ:IZ),"")</f>
        <v/>
      </c>
      <c r="I280" s="236" t="str">
        <f>IFERROR(_xlfn.XLOOKUP($A280,'Raw_Data'!$B:$B,'Raw_Data'!JA:JA),"")</f>
        <v/>
      </c>
      <c r="J280" s="236" t="str">
        <f>IFERROR(_xlfn.XLOOKUP($A280,'Raw_Data'!$B:$B,'Raw_Data'!JB:JB),"")</f>
        <v/>
      </c>
      <c r="K280" s="236" t="str">
        <f>IFERROR(_xlfn.XLOOKUP($A280,'Raw_Data'!$B:$B,'Raw_Data'!JE:JE),"")</f>
        <v/>
      </c>
      <c r="L280" s="236" t="str">
        <f>IFERROR(_xlfn.XLOOKUP($A280,'Raw_Data'!$B:$B,'Raw_Data'!JF:JF),"")</f>
        <v/>
      </c>
      <c r="M280" s="236" t="str">
        <f>IFERROR(_xlfn.XLOOKUP($A280,'Raw_Data'!$B:$B,'Raw_Data'!JG:JG),"")</f>
        <v/>
      </c>
      <c r="N280" s="236" t="str">
        <f>IFERROR(_xlfn.XLOOKUP($A280,'Raw_Data'!$B:$B,'Raw_Data'!JH:JH),"")</f>
        <v/>
      </c>
      <c r="O280" s="237" t="str">
        <f>IFERROR(1-SUMIF(PA!$B:$B,$A280,PA!$AL:$AL)/($AA280+SUMIF(PA!$B:$B,$A280,PA!$AL:$AL)),"")</f>
        <v/>
      </c>
      <c r="P280" s="238"/>
      <c r="Q280" s="239"/>
      <c r="R280" s="240" t="str">
        <f>IFERROR(1-SUMIF(GA!$C:$C,$A280,GA!$X:$X)/($AA280+SUMIF(GA!$C:$C,$A280,GA!$X:$X)),"")</f>
        <v/>
      </c>
      <c r="S280" s="186"/>
      <c r="T280" s="239"/>
      <c r="U280" s="237" t="str">
        <f t="shared" si="18"/>
        <v/>
      </c>
      <c r="V280" s="237" t="str">
        <f>IFERROR(_xlfn.XLOOKUP($A280,'Raw_Data'!$B:$B,'Raw_Data'!$JL:$JL),"")</f>
        <v/>
      </c>
      <c r="W280" s="240" t="str">
        <f t="shared" si="19"/>
        <v/>
      </c>
      <c r="X280" s="228" t="str">
        <f>IFERROR(_xlfn.XLOOKUP($A280,'Raw_Data'!$B:$B,'Raw_Data'!$JI:$JI),"")</f>
        <v/>
      </c>
      <c r="Y280" s="228" t="str">
        <f>IFERROR(_xlfn.XLOOKUP($A280,'Raw_Data'!$B:$B,'Raw_Data'!IT:IT),"")</f>
        <v/>
      </c>
      <c r="Z280" s="228" t="str">
        <f>IFERROR(_xlfn.XLOOKUP($A280,'Raw_Data'!$B:$B,'Raw_Data'!IU:IU),"")</f>
        <v/>
      </c>
      <c r="AA280" s="228" t="str">
        <f>IFERROR(_xlfn.XLOOKUP($A280,'Raw_Data'!$B:$B,'Raw_Data'!IW:IW),"")</f>
        <v/>
      </c>
      <c r="AB280" s="228" t="str">
        <f>IFERROR(_xlfn.XLOOKUP($A280,'Raw_Data'!$B:$B,'Raw_Data'!I:I)/1000,"")</f>
        <v/>
      </c>
      <c r="AC280" s="241">
        <f>IFERROR(_xlfn.XLOOKUP($D280,'Modelling New'!$D:$D,'Modelling New'!$P:$P),"")</f>
        <v>5.4525338387096776</v>
      </c>
      <c r="AD280" s="228">
        <f>IFERROR(_xlfn.XLOOKUP($D280,'Modelling New'!$D:$D,'Modelling New'!$T:$T)*1000,"")</f>
        <v>1597510.1090983946</v>
      </c>
      <c r="AE280" s="240">
        <f>IFERROR(_xlfn.XLOOKUP($D280,'Modelling New'!$D:$D,'Modelling New'!$O:$O),"")</f>
        <v>0.87434429771334443</v>
      </c>
      <c r="AF280" s="240">
        <f>IFERROR(_xlfn.XLOOKUP($D280,'Modelling New'!$D:$D,'Modelling New'!$W:$W),"")</f>
        <v>0.19864132791520248</v>
      </c>
      <c r="AG280" s="240">
        <f>IFERROR(_xlfn.XLOOKUP($D280,'Modelling New'!$D:$D,'Modelling New'!AE:AE),"")</f>
        <v>0.99750000000000005</v>
      </c>
      <c r="AH280" s="240">
        <f>IFERROR(_xlfn.XLOOKUP($D280,'Modelling New'!$D:$D,'Modelling New'!AF:AF),"")</f>
        <v>0.99750000000000005</v>
      </c>
      <c r="AI280" s="186"/>
      <c r="AJ280" s="186"/>
      <c r="AK280" s="225"/>
      <c r="AL280" s="224">
        <f>IFERROR(Table13[[#This Row],[RA (%)]]*9270*58,"")</f>
        <v>0</v>
      </c>
      <c r="AM280" s="225"/>
      <c r="AN280" s="238"/>
      <c r="AO280" s="240"/>
      <c r="AP280" s="240"/>
      <c r="AQ280" s="240"/>
      <c r="AR280" s="242">
        <f>IFERROR(_xlfn.XLOOKUP($D280,'Modelling New'!$D:$D,'Modelling New'!$N:$N),"")</f>
        <v>335.09100000000001</v>
      </c>
    </row>
    <row r="281" spans="1:44">
      <c r="A281" s="233">
        <f t="shared" si="20"/>
        <v>46024</v>
      </c>
      <c r="B281" s="228">
        <f>YEAR(Table13[[#This Row],[Date]])+IF(MONTH(Table13[[#This Row],[Date]])&gt;=4,1,0)</f>
        <v>2026</v>
      </c>
      <c r="C281" s="186">
        <f>YEAR(Table13[[#This Row],[Date]])</f>
        <v>2026</v>
      </c>
      <c r="D281" s="234">
        <f>Table13[[#This Row],[Date]]-DAY(Table13[[#This Row],[Date]])+1</f>
        <v>46023</v>
      </c>
      <c r="E281" s="186">
        <f t="shared" si="21"/>
        <v>31</v>
      </c>
      <c r="F281" s="235" t="str">
        <f>IFERROR(_xlfn.XLOOKUP($A281,'Raw_Data'!$B:$B,'Raw_Data'!$IX:$IX),"")</f>
        <v/>
      </c>
      <c r="G281" s="236" t="str">
        <f>IFERROR(_xlfn.XLOOKUP($A281,'Raw_Data'!$B:$B,'Raw_Data'!IY:IY),"")</f>
        <v/>
      </c>
      <c r="H281" s="236" t="str">
        <f>IFERROR(_xlfn.XLOOKUP($A281,'Raw_Data'!$B:$B,'Raw_Data'!IZ:IZ),"")</f>
        <v/>
      </c>
      <c r="I281" s="236" t="str">
        <f>IFERROR(_xlfn.XLOOKUP($A281,'Raw_Data'!$B:$B,'Raw_Data'!JA:JA),"")</f>
        <v/>
      </c>
      <c r="J281" s="236" t="str">
        <f>IFERROR(_xlfn.XLOOKUP($A281,'Raw_Data'!$B:$B,'Raw_Data'!JB:JB),"")</f>
        <v/>
      </c>
      <c r="K281" s="236" t="str">
        <f>IFERROR(_xlfn.XLOOKUP($A281,'Raw_Data'!$B:$B,'Raw_Data'!JE:JE),"")</f>
        <v/>
      </c>
      <c r="L281" s="236" t="str">
        <f>IFERROR(_xlfn.XLOOKUP($A281,'Raw_Data'!$B:$B,'Raw_Data'!JF:JF),"")</f>
        <v/>
      </c>
      <c r="M281" s="236" t="str">
        <f>IFERROR(_xlfn.XLOOKUP($A281,'Raw_Data'!$B:$B,'Raw_Data'!JG:JG),"")</f>
        <v/>
      </c>
      <c r="N281" s="236" t="str">
        <f>IFERROR(_xlfn.XLOOKUP($A281,'Raw_Data'!$B:$B,'Raw_Data'!JH:JH),"")</f>
        <v/>
      </c>
      <c r="O281" s="237" t="str">
        <f>IFERROR(1-SUMIF(PA!$B:$B,$A281,PA!$AL:$AL)/($AA281+SUMIF(PA!$B:$B,$A281,PA!$AL:$AL)),"")</f>
        <v/>
      </c>
      <c r="P281" s="238"/>
      <c r="Q281" s="239"/>
      <c r="R281" s="240" t="str">
        <f>IFERROR(1-SUMIF(GA!$C:$C,$A281,GA!$X:$X)/($AA281+SUMIF(GA!$C:$C,$A281,GA!$X:$X)),"")</f>
        <v/>
      </c>
      <c r="S281" s="186"/>
      <c r="T281" s="239"/>
      <c r="U281" s="237" t="str">
        <f t="shared" si="18"/>
        <v/>
      </c>
      <c r="V281" s="237" t="str">
        <f>IFERROR(_xlfn.XLOOKUP($A281,'Raw_Data'!$B:$B,'Raw_Data'!$JL:$JL),"")</f>
        <v/>
      </c>
      <c r="W281" s="240" t="str">
        <f t="shared" si="19"/>
        <v/>
      </c>
      <c r="X281" s="228" t="str">
        <f>IFERROR(_xlfn.XLOOKUP($A281,'Raw_Data'!$B:$B,'Raw_Data'!$JI:$JI),"")</f>
        <v/>
      </c>
      <c r="Y281" s="228" t="str">
        <f>IFERROR(_xlfn.XLOOKUP($A281,'Raw_Data'!$B:$B,'Raw_Data'!IT:IT),"")</f>
        <v/>
      </c>
      <c r="Z281" s="228" t="str">
        <f>IFERROR(_xlfn.XLOOKUP($A281,'Raw_Data'!$B:$B,'Raw_Data'!IU:IU),"")</f>
        <v/>
      </c>
      <c r="AA281" s="228" t="str">
        <f>IFERROR(_xlfn.XLOOKUP($A281,'Raw_Data'!$B:$B,'Raw_Data'!IW:IW),"")</f>
        <v/>
      </c>
      <c r="AB281" s="228" t="str">
        <f>IFERROR(_xlfn.XLOOKUP($A281,'Raw_Data'!$B:$B,'Raw_Data'!I:I)/1000,"")</f>
        <v/>
      </c>
      <c r="AC281" s="241">
        <f>IFERROR(_xlfn.XLOOKUP($D281,'Modelling New'!$D:$D,'Modelling New'!$P:$P),"")</f>
        <v>5.4525338387096776</v>
      </c>
      <c r="AD281" s="228">
        <f>IFERROR(_xlfn.XLOOKUP($D281,'Modelling New'!$D:$D,'Modelling New'!$T:$T)*1000,"")</f>
        <v>1597510.1090983946</v>
      </c>
      <c r="AE281" s="240">
        <f>IFERROR(_xlfn.XLOOKUP($D281,'Modelling New'!$D:$D,'Modelling New'!$O:$O),"")</f>
        <v>0.87434429771334443</v>
      </c>
      <c r="AF281" s="240">
        <f>IFERROR(_xlfn.XLOOKUP($D281,'Modelling New'!$D:$D,'Modelling New'!$W:$W),"")</f>
        <v>0.19864132791520248</v>
      </c>
      <c r="AG281" s="240">
        <f>IFERROR(_xlfn.XLOOKUP($D281,'Modelling New'!$D:$D,'Modelling New'!AE:AE),"")</f>
        <v>0.99750000000000005</v>
      </c>
      <c r="AH281" s="240">
        <f>IFERROR(_xlfn.XLOOKUP($D281,'Modelling New'!$D:$D,'Modelling New'!AF:AF),"")</f>
        <v>0.99750000000000005</v>
      </c>
      <c r="AI281" s="186"/>
      <c r="AJ281" s="186"/>
      <c r="AK281" s="225"/>
      <c r="AL281" s="224">
        <f>IFERROR(Table13[[#This Row],[RA (%)]]*9270*58,"")</f>
        <v>0</v>
      </c>
      <c r="AM281" s="225"/>
      <c r="AN281" s="238"/>
      <c r="AO281" s="240"/>
      <c r="AP281" s="240"/>
      <c r="AQ281" s="240"/>
      <c r="AR281" s="242">
        <f>IFERROR(_xlfn.XLOOKUP($D281,'Modelling New'!$D:$D,'Modelling New'!$N:$N),"")</f>
        <v>335.09100000000001</v>
      </c>
    </row>
    <row r="282" spans="1:44">
      <c r="A282" s="233">
        <f t="shared" si="20"/>
        <v>46025</v>
      </c>
      <c r="B282" s="228">
        <f>YEAR(Table13[[#This Row],[Date]])+IF(MONTH(Table13[[#This Row],[Date]])&gt;=4,1,0)</f>
        <v>2026</v>
      </c>
      <c r="C282" s="186">
        <f>YEAR(Table13[[#This Row],[Date]])</f>
        <v>2026</v>
      </c>
      <c r="D282" s="234">
        <f>Table13[[#This Row],[Date]]-DAY(Table13[[#This Row],[Date]])+1</f>
        <v>46023</v>
      </c>
      <c r="E282" s="186">
        <f t="shared" si="21"/>
        <v>31</v>
      </c>
      <c r="F282" s="235" t="str">
        <f>IFERROR(_xlfn.XLOOKUP($A282,'Raw_Data'!$B:$B,'Raw_Data'!$IX:$IX),"")</f>
        <v/>
      </c>
      <c r="G282" s="236" t="str">
        <f>IFERROR(_xlfn.XLOOKUP($A282,'Raw_Data'!$B:$B,'Raw_Data'!IY:IY),"")</f>
        <v/>
      </c>
      <c r="H282" s="236" t="str">
        <f>IFERROR(_xlfn.XLOOKUP($A282,'Raw_Data'!$B:$B,'Raw_Data'!IZ:IZ),"")</f>
        <v/>
      </c>
      <c r="I282" s="236" t="str">
        <f>IFERROR(_xlfn.XLOOKUP($A282,'Raw_Data'!$B:$B,'Raw_Data'!JA:JA),"")</f>
        <v/>
      </c>
      <c r="J282" s="236" t="str">
        <f>IFERROR(_xlfn.XLOOKUP($A282,'Raw_Data'!$B:$B,'Raw_Data'!JB:JB),"")</f>
        <v/>
      </c>
      <c r="K282" s="236" t="str">
        <f>IFERROR(_xlfn.XLOOKUP($A282,'Raw_Data'!$B:$B,'Raw_Data'!JE:JE),"")</f>
        <v/>
      </c>
      <c r="L282" s="236" t="str">
        <f>IFERROR(_xlfn.XLOOKUP($A282,'Raw_Data'!$B:$B,'Raw_Data'!JF:JF),"")</f>
        <v/>
      </c>
      <c r="M282" s="236" t="str">
        <f>IFERROR(_xlfn.XLOOKUP($A282,'Raw_Data'!$B:$B,'Raw_Data'!JG:JG),"")</f>
        <v/>
      </c>
      <c r="N282" s="236" t="str">
        <f>IFERROR(_xlfn.XLOOKUP($A282,'Raw_Data'!$B:$B,'Raw_Data'!JH:JH),"")</f>
        <v/>
      </c>
      <c r="O282" s="237" t="str">
        <f>IFERROR(1-SUMIF(PA!$B:$B,$A282,PA!$AL:$AL)/($AA282+SUMIF(PA!$B:$B,$A282,PA!$AL:$AL)),"")</f>
        <v/>
      </c>
      <c r="P282" s="238"/>
      <c r="Q282" s="239"/>
      <c r="R282" s="240" t="str">
        <f>IFERROR(1-SUMIF(GA!$C:$C,$A282,GA!$X:$X)/($AA282+SUMIF(GA!$C:$C,$A282,GA!$X:$X)),"")</f>
        <v/>
      </c>
      <c r="S282" s="186"/>
      <c r="T282" s="239"/>
      <c r="U282" s="237" t="str">
        <f t="shared" si="18"/>
        <v/>
      </c>
      <c r="V282" s="237" t="str">
        <f>IFERROR(_xlfn.XLOOKUP($A282,'Raw_Data'!$B:$B,'Raw_Data'!$JL:$JL),"")</f>
        <v/>
      </c>
      <c r="W282" s="240" t="str">
        <f t="shared" si="19"/>
        <v/>
      </c>
      <c r="X282" s="228" t="str">
        <f>IFERROR(_xlfn.XLOOKUP($A282,'Raw_Data'!$B:$B,'Raw_Data'!$JI:$JI),"")</f>
        <v/>
      </c>
      <c r="Y282" s="228" t="str">
        <f>IFERROR(_xlfn.XLOOKUP($A282,'Raw_Data'!$B:$B,'Raw_Data'!IT:IT),"")</f>
        <v/>
      </c>
      <c r="Z282" s="228" t="str">
        <f>IFERROR(_xlfn.XLOOKUP($A282,'Raw_Data'!$B:$B,'Raw_Data'!IU:IU),"")</f>
        <v/>
      </c>
      <c r="AA282" s="228" t="str">
        <f>IFERROR(_xlfn.XLOOKUP($A282,'Raw_Data'!$B:$B,'Raw_Data'!IW:IW),"")</f>
        <v/>
      </c>
      <c r="AB282" s="228" t="str">
        <f>IFERROR(_xlfn.XLOOKUP($A282,'Raw_Data'!$B:$B,'Raw_Data'!I:I)/1000,"")</f>
        <v/>
      </c>
      <c r="AC282" s="241">
        <f>IFERROR(_xlfn.XLOOKUP($D282,'Modelling New'!$D:$D,'Modelling New'!$P:$P),"")</f>
        <v>5.4525338387096776</v>
      </c>
      <c r="AD282" s="228">
        <f>IFERROR(_xlfn.XLOOKUP($D282,'Modelling New'!$D:$D,'Modelling New'!$T:$T)*1000,"")</f>
        <v>1597510.1090983946</v>
      </c>
      <c r="AE282" s="240">
        <f>IFERROR(_xlfn.XLOOKUP($D282,'Modelling New'!$D:$D,'Modelling New'!$O:$O),"")</f>
        <v>0.87434429771334443</v>
      </c>
      <c r="AF282" s="240">
        <f>IFERROR(_xlfn.XLOOKUP($D282,'Modelling New'!$D:$D,'Modelling New'!$W:$W),"")</f>
        <v>0.19864132791520248</v>
      </c>
      <c r="AG282" s="240">
        <f>IFERROR(_xlfn.XLOOKUP($D282,'Modelling New'!$D:$D,'Modelling New'!AE:AE),"")</f>
        <v>0.99750000000000005</v>
      </c>
      <c r="AH282" s="240">
        <f>IFERROR(_xlfn.XLOOKUP($D282,'Modelling New'!$D:$D,'Modelling New'!AF:AF),"")</f>
        <v>0.99750000000000005</v>
      </c>
      <c r="AI282" s="186"/>
      <c r="AJ282" s="186"/>
      <c r="AK282" s="225"/>
      <c r="AL282" s="224">
        <f>IFERROR(Table13[[#This Row],[RA (%)]]*9270*58,"")</f>
        <v>0</v>
      </c>
      <c r="AM282" s="225"/>
      <c r="AN282" s="238"/>
      <c r="AO282" s="240"/>
      <c r="AP282" s="240"/>
      <c r="AQ282" s="240"/>
      <c r="AR282" s="242">
        <f>IFERROR(_xlfn.XLOOKUP($D282,'Modelling New'!$D:$D,'Modelling New'!$N:$N),"")</f>
        <v>335.09100000000001</v>
      </c>
    </row>
    <row r="283" spans="1:44">
      <c r="A283" s="233">
        <f t="shared" si="20"/>
        <v>46026</v>
      </c>
      <c r="B283" s="228">
        <f>YEAR(Table13[[#This Row],[Date]])+IF(MONTH(Table13[[#This Row],[Date]])&gt;=4,1,0)</f>
        <v>2026</v>
      </c>
      <c r="C283" s="186">
        <f>YEAR(Table13[[#This Row],[Date]])</f>
        <v>2026</v>
      </c>
      <c r="D283" s="234">
        <f>Table13[[#This Row],[Date]]-DAY(Table13[[#This Row],[Date]])+1</f>
        <v>46023</v>
      </c>
      <c r="E283" s="186">
        <f t="shared" si="21"/>
        <v>31</v>
      </c>
      <c r="F283" s="235" t="str">
        <f>IFERROR(_xlfn.XLOOKUP($A283,'Raw_Data'!$B:$B,'Raw_Data'!$IX:$IX),"")</f>
        <v/>
      </c>
      <c r="G283" s="236" t="str">
        <f>IFERROR(_xlfn.XLOOKUP($A283,'Raw_Data'!$B:$B,'Raw_Data'!IY:IY),"")</f>
        <v/>
      </c>
      <c r="H283" s="236" t="str">
        <f>IFERROR(_xlfn.XLOOKUP($A283,'Raw_Data'!$B:$B,'Raw_Data'!IZ:IZ),"")</f>
        <v/>
      </c>
      <c r="I283" s="236" t="str">
        <f>IFERROR(_xlfn.XLOOKUP($A283,'Raw_Data'!$B:$B,'Raw_Data'!JA:JA),"")</f>
        <v/>
      </c>
      <c r="J283" s="236" t="str">
        <f>IFERROR(_xlfn.XLOOKUP($A283,'Raw_Data'!$B:$B,'Raw_Data'!JB:JB),"")</f>
        <v/>
      </c>
      <c r="K283" s="236" t="str">
        <f>IFERROR(_xlfn.XLOOKUP($A283,'Raw_Data'!$B:$B,'Raw_Data'!JE:JE),"")</f>
        <v/>
      </c>
      <c r="L283" s="236" t="str">
        <f>IFERROR(_xlfn.XLOOKUP($A283,'Raw_Data'!$B:$B,'Raw_Data'!JF:JF),"")</f>
        <v/>
      </c>
      <c r="M283" s="236" t="str">
        <f>IFERROR(_xlfn.XLOOKUP($A283,'Raw_Data'!$B:$B,'Raw_Data'!JG:JG),"")</f>
        <v/>
      </c>
      <c r="N283" s="236" t="str">
        <f>IFERROR(_xlfn.XLOOKUP($A283,'Raw_Data'!$B:$B,'Raw_Data'!JH:JH),"")</f>
        <v/>
      </c>
      <c r="O283" s="237" t="str">
        <f>IFERROR(1-SUMIF(PA!$B:$B,$A283,PA!$AL:$AL)/($AA283+SUMIF(PA!$B:$B,$A283,PA!$AL:$AL)),"")</f>
        <v/>
      </c>
      <c r="P283" s="238"/>
      <c r="Q283" s="239"/>
      <c r="R283" s="240" t="str">
        <f>IFERROR(1-SUMIF(GA!$C:$C,$A283,GA!$X:$X)/($AA283+SUMIF(GA!$C:$C,$A283,GA!$X:$X)),"")</f>
        <v/>
      </c>
      <c r="S283" s="186"/>
      <c r="T283" s="239"/>
      <c r="U283" s="237" t="str">
        <f t="shared" si="18"/>
        <v/>
      </c>
      <c r="V283" s="237" t="str">
        <f>IFERROR(_xlfn.XLOOKUP($A283,'Raw_Data'!$B:$B,'Raw_Data'!$JL:$JL),"")</f>
        <v/>
      </c>
      <c r="W283" s="240" t="str">
        <f t="shared" si="19"/>
        <v/>
      </c>
      <c r="X283" s="228" t="str">
        <f>IFERROR(_xlfn.XLOOKUP($A283,'Raw_Data'!$B:$B,'Raw_Data'!$JI:$JI),"")</f>
        <v/>
      </c>
      <c r="Y283" s="228" t="str">
        <f>IFERROR(_xlfn.XLOOKUP($A283,'Raw_Data'!$B:$B,'Raw_Data'!IT:IT),"")</f>
        <v/>
      </c>
      <c r="Z283" s="228" t="str">
        <f>IFERROR(_xlfn.XLOOKUP($A283,'Raw_Data'!$B:$B,'Raw_Data'!IU:IU),"")</f>
        <v/>
      </c>
      <c r="AA283" s="228" t="str">
        <f>IFERROR(_xlfn.XLOOKUP($A283,'Raw_Data'!$B:$B,'Raw_Data'!IW:IW),"")</f>
        <v/>
      </c>
      <c r="AB283" s="228" t="str">
        <f>IFERROR(_xlfn.XLOOKUP($A283,'Raw_Data'!$B:$B,'Raw_Data'!I:I)/1000,"")</f>
        <v/>
      </c>
      <c r="AC283" s="241">
        <f>IFERROR(_xlfn.XLOOKUP($D283,'Modelling New'!$D:$D,'Modelling New'!$P:$P),"")</f>
        <v>5.4525338387096776</v>
      </c>
      <c r="AD283" s="228">
        <f>IFERROR(_xlfn.XLOOKUP($D283,'Modelling New'!$D:$D,'Modelling New'!$T:$T)*1000,"")</f>
        <v>1597510.1090983946</v>
      </c>
      <c r="AE283" s="240">
        <f>IFERROR(_xlfn.XLOOKUP($D283,'Modelling New'!$D:$D,'Modelling New'!$O:$O),"")</f>
        <v>0.87434429771334443</v>
      </c>
      <c r="AF283" s="240">
        <f>IFERROR(_xlfn.XLOOKUP($D283,'Modelling New'!$D:$D,'Modelling New'!$W:$W),"")</f>
        <v>0.19864132791520248</v>
      </c>
      <c r="AG283" s="240">
        <f>IFERROR(_xlfn.XLOOKUP($D283,'Modelling New'!$D:$D,'Modelling New'!AE:AE),"")</f>
        <v>0.99750000000000005</v>
      </c>
      <c r="AH283" s="240">
        <f>IFERROR(_xlfn.XLOOKUP($D283,'Modelling New'!$D:$D,'Modelling New'!AF:AF),"")</f>
        <v>0.99750000000000005</v>
      </c>
      <c r="AI283" s="186"/>
      <c r="AJ283" s="186"/>
      <c r="AK283" s="225"/>
      <c r="AL283" s="224">
        <f>IFERROR(Table13[[#This Row],[RA (%)]]*9270*58,"")</f>
        <v>0</v>
      </c>
      <c r="AM283" s="225"/>
      <c r="AN283" s="238"/>
      <c r="AO283" s="240"/>
      <c r="AP283" s="240"/>
      <c r="AQ283" s="240"/>
      <c r="AR283" s="242">
        <f>IFERROR(_xlfn.XLOOKUP($D283,'Modelling New'!$D:$D,'Modelling New'!$N:$N),"")</f>
        <v>335.09100000000001</v>
      </c>
    </row>
    <row r="284" spans="1:44">
      <c r="A284" s="233">
        <f t="shared" si="20"/>
        <v>46027</v>
      </c>
      <c r="B284" s="228">
        <f>YEAR(Table13[[#This Row],[Date]])+IF(MONTH(Table13[[#This Row],[Date]])&gt;=4,1,0)</f>
        <v>2026</v>
      </c>
      <c r="C284" s="186">
        <f>YEAR(Table13[[#This Row],[Date]])</f>
        <v>2026</v>
      </c>
      <c r="D284" s="234">
        <f>Table13[[#This Row],[Date]]-DAY(Table13[[#This Row],[Date]])+1</f>
        <v>46023</v>
      </c>
      <c r="E284" s="186">
        <f t="shared" si="21"/>
        <v>31</v>
      </c>
      <c r="F284" s="235" t="str">
        <f>IFERROR(_xlfn.XLOOKUP($A284,'Raw_Data'!$B:$B,'Raw_Data'!$IX:$IX),"")</f>
        <v/>
      </c>
      <c r="G284" s="236" t="str">
        <f>IFERROR(_xlfn.XLOOKUP($A284,'Raw_Data'!$B:$B,'Raw_Data'!IY:IY),"")</f>
        <v/>
      </c>
      <c r="H284" s="236" t="str">
        <f>IFERROR(_xlfn.XLOOKUP($A284,'Raw_Data'!$B:$B,'Raw_Data'!IZ:IZ),"")</f>
        <v/>
      </c>
      <c r="I284" s="236" t="str">
        <f>IFERROR(_xlfn.XLOOKUP($A284,'Raw_Data'!$B:$B,'Raw_Data'!JA:JA),"")</f>
        <v/>
      </c>
      <c r="J284" s="236" t="str">
        <f>IFERROR(_xlfn.XLOOKUP($A284,'Raw_Data'!$B:$B,'Raw_Data'!JB:JB),"")</f>
        <v/>
      </c>
      <c r="K284" s="236" t="str">
        <f>IFERROR(_xlfn.XLOOKUP($A284,'Raw_Data'!$B:$B,'Raw_Data'!JE:JE),"")</f>
        <v/>
      </c>
      <c r="L284" s="236" t="str">
        <f>IFERROR(_xlfn.XLOOKUP($A284,'Raw_Data'!$B:$B,'Raw_Data'!JF:JF),"")</f>
        <v/>
      </c>
      <c r="M284" s="236" t="str">
        <f>IFERROR(_xlfn.XLOOKUP($A284,'Raw_Data'!$B:$B,'Raw_Data'!JG:JG),"")</f>
        <v/>
      </c>
      <c r="N284" s="236" t="str">
        <f>IFERROR(_xlfn.XLOOKUP($A284,'Raw_Data'!$B:$B,'Raw_Data'!JH:JH),"")</f>
        <v/>
      </c>
      <c r="O284" s="237" t="str">
        <f>IFERROR(1-SUMIF(PA!$B:$B,$A284,PA!$AL:$AL)/($AA284+SUMIF(PA!$B:$B,$A284,PA!$AL:$AL)),"")</f>
        <v/>
      </c>
      <c r="P284" s="238"/>
      <c r="Q284" s="239"/>
      <c r="R284" s="240" t="str">
        <f>IFERROR(1-SUMIF(GA!$C:$C,$A284,GA!$X:$X)/($AA284+SUMIF(GA!$C:$C,$A284,GA!$X:$X)),"")</f>
        <v/>
      </c>
      <c r="S284" s="186"/>
      <c r="T284" s="239"/>
      <c r="U284" s="237" t="str">
        <f t="shared" si="18"/>
        <v/>
      </c>
      <c r="V284" s="237" t="str">
        <f>IFERROR(_xlfn.XLOOKUP($A284,'Raw_Data'!$B:$B,'Raw_Data'!$JL:$JL),"")</f>
        <v/>
      </c>
      <c r="W284" s="240" t="str">
        <f t="shared" si="19"/>
        <v/>
      </c>
      <c r="X284" s="228" t="str">
        <f>IFERROR(_xlfn.XLOOKUP($A284,'Raw_Data'!$B:$B,'Raw_Data'!$JI:$JI),"")</f>
        <v/>
      </c>
      <c r="Y284" s="228" t="str">
        <f>IFERROR(_xlfn.XLOOKUP($A284,'Raw_Data'!$B:$B,'Raw_Data'!IT:IT),"")</f>
        <v/>
      </c>
      <c r="Z284" s="228" t="str">
        <f>IFERROR(_xlfn.XLOOKUP($A284,'Raw_Data'!$B:$B,'Raw_Data'!IU:IU),"")</f>
        <v/>
      </c>
      <c r="AA284" s="228" t="str">
        <f>IFERROR(_xlfn.XLOOKUP($A284,'Raw_Data'!$B:$B,'Raw_Data'!IW:IW),"")</f>
        <v/>
      </c>
      <c r="AB284" s="228" t="str">
        <f>IFERROR(_xlfn.XLOOKUP($A284,'Raw_Data'!$B:$B,'Raw_Data'!I:I)/1000,"")</f>
        <v/>
      </c>
      <c r="AC284" s="241">
        <f>IFERROR(_xlfn.XLOOKUP($D284,'Modelling New'!$D:$D,'Modelling New'!$P:$P),"")</f>
        <v>5.4525338387096776</v>
      </c>
      <c r="AD284" s="228">
        <f>IFERROR(_xlfn.XLOOKUP($D284,'Modelling New'!$D:$D,'Modelling New'!$T:$T)*1000,"")</f>
        <v>1597510.1090983946</v>
      </c>
      <c r="AE284" s="240">
        <f>IFERROR(_xlfn.XLOOKUP($D284,'Modelling New'!$D:$D,'Modelling New'!$O:$O),"")</f>
        <v>0.87434429771334443</v>
      </c>
      <c r="AF284" s="240">
        <f>IFERROR(_xlfn.XLOOKUP($D284,'Modelling New'!$D:$D,'Modelling New'!$W:$W),"")</f>
        <v>0.19864132791520248</v>
      </c>
      <c r="AG284" s="240">
        <f>IFERROR(_xlfn.XLOOKUP($D284,'Modelling New'!$D:$D,'Modelling New'!AE:AE),"")</f>
        <v>0.99750000000000005</v>
      </c>
      <c r="AH284" s="240">
        <f>IFERROR(_xlfn.XLOOKUP($D284,'Modelling New'!$D:$D,'Modelling New'!AF:AF),"")</f>
        <v>0.99750000000000005</v>
      </c>
      <c r="AI284" s="186"/>
      <c r="AJ284" s="186"/>
      <c r="AK284" s="225"/>
      <c r="AL284" s="224">
        <f>IFERROR(Table13[[#This Row],[RA (%)]]*9270*58,"")</f>
        <v>0</v>
      </c>
      <c r="AM284" s="225"/>
      <c r="AN284" s="238"/>
      <c r="AO284" s="240"/>
      <c r="AP284" s="240"/>
      <c r="AQ284" s="240"/>
      <c r="AR284" s="242">
        <f>IFERROR(_xlfn.XLOOKUP($D284,'Modelling New'!$D:$D,'Modelling New'!$N:$N),"")</f>
        <v>335.09100000000001</v>
      </c>
    </row>
    <row r="285" spans="1:44">
      <c r="A285" s="233">
        <f t="shared" si="20"/>
        <v>46028</v>
      </c>
      <c r="B285" s="228">
        <f>YEAR(Table13[[#This Row],[Date]])+IF(MONTH(Table13[[#This Row],[Date]])&gt;=4,1,0)</f>
        <v>2026</v>
      </c>
      <c r="C285" s="186">
        <f>YEAR(Table13[[#This Row],[Date]])</f>
        <v>2026</v>
      </c>
      <c r="D285" s="234">
        <f>Table13[[#This Row],[Date]]-DAY(Table13[[#This Row],[Date]])+1</f>
        <v>46023</v>
      </c>
      <c r="E285" s="186">
        <f t="shared" si="21"/>
        <v>31</v>
      </c>
      <c r="F285" s="235" t="str">
        <f>IFERROR(_xlfn.XLOOKUP($A285,'Raw_Data'!$B:$B,'Raw_Data'!$IX:$IX),"")</f>
        <v/>
      </c>
      <c r="G285" s="236" t="str">
        <f>IFERROR(_xlfn.XLOOKUP($A285,'Raw_Data'!$B:$B,'Raw_Data'!IY:IY),"")</f>
        <v/>
      </c>
      <c r="H285" s="236" t="str">
        <f>IFERROR(_xlfn.XLOOKUP($A285,'Raw_Data'!$B:$B,'Raw_Data'!IZ:IZ),"")</f>
        <v/>
      </c>
      <c r="I285" s="236" t="str">
        <f>IFERROR(_xlfn.XLOOKUP($A285,'Raw_Data'!$B:$B,'Raw_Data'!JA:JA),"")</f>
        <v/>
      </c>
      <c r="J285" s="236" t="str">
        <f>IFERROR(_xlfn.XLOOKUP($A285,'Raw_Data'!$B:$B,'Raw_Data'!JB:JB),"")</f>
        <v/>
      </c>
      <c r="K285" s="236" t="str">
        <f>IFERROR(_xlfn.XLOOKUP($A285,'Raw_Data'!$B:$B,'Raw_Data'!JE:JE),"")</f>
        <v/>
      </c>
      <c r="L285" s="236" t="str">
        <f>IFERROR(_xlfn.XLOOKUP($A285,'Raw_Data'!$B:$B,'Raw_Data'!JF:JF),"")</f>
        <v/>
      </c>
      <c r="M285" s="236" t="str">
        <f>IFERROR(_xlfn.XLOOKUP($A285,'Raw_Data'!$B:$B,'Raw_Data'!JG:JG),"")</f>
        <v/>
      </c>
      <c r="N285" s="236" t="str">
        <f>IFERROR(_xlfn.XLOOKUP($A285,'Raw_Data'!$B:$B,'Raw_Data'!JH:JH),"")</f>
        <v/>
      </c>
      <c r="O285" s="237" t="str">
        <f>IFERROR(1-SUMIF(PA!$B:$B,$A285,PA!$AL:$AL)/($AA285+SUMIF(PA!$B:$B,$A285,PA!$AL:$AL)),"")</f>
        <v/>
      </c>
      <c r="P285" s="238"/>
      <c r="Q285" s="239"/>
      <c r="R285" s="240" t="str">
        <f>IFERROR(1-SUMIF(GA!$C:$C,$A285,GA!$X:$X)/($AA285+SUMIF(GA!$C:$C,$A285,GA!$X:$X)),"")</f>
        <v/>
      </c>
      <c r="S285" s="186"/>
      <c r="T285" s="239"/>
      <c r="U285" s="237" t="str">
        <f t="shared" si="18"/>
        <v/>
      </c>
      <c r="V285" s="237" t="str">
        <f>IFERROR(_xlfn.XLOOKUP($A285,'Raw_Data'!$B:$B,'Raw_Data'!$JL:$JL),"")</f>
        <v/>
      </c>
      <c r="W285" s="240" t="str">
        <f t="shared" si="19"/>
        <v/>
      </c>
      <c r="X285" s="228" t="str">
        <f>IFERROR(_xlfn.XLOOKUP($A285,'Raw_Data'!$B:$B,'Raw_Data'!$JI:$JI),"")</f>
        <v/>
      </c>
      <c r="Y285" s="228" t="str">
        <f>IFERROR(_xlfn.XLOOKUP($A285,'Raw_Data'!$B:$B,'Raw_Data'!IT:IT),"")</f>
        <v/>
      </c>
      <c r="Z285" s="228" t="str">
        <f>IFERROR(_xlfn.XLOOKUP($A285,'Raw_Data'!$B:$B,'Raw_Data'!IU:IU),"")</f>
        <v/>
      </c>
      <c r="AA285" s="228" t="str">
        <f>IFERROR(_xlfn.XLOOKUP($A285,'Raw_Data'!$B:$B,'Raw_Data'!IW:IW),"")</f>
        <v/>
      </c>
      <c r="AB285" s="228" t="str">
        <f>IFERROR(_xlfn.XLOOKUP($A285,'Raw_Data'!$B:$B,'Raw_Data'!I:I)/1000,"")</f>
        <v/>
      </c>
      <c r="AC285" s="241">
        <f>IFERROR(_xlfn.XLOOKUP($D285,'Modelling New'!$D:$D,'Modelling New'!$P:$P),"")</f>
        <v>5.4525338387096776</v>
      </c>
      <c r="AD285" s="228">
        <f>IFERROR(_xlfn.XLOOKUP($D285,'Modelling New'!$D:$D,'Modelling New'!$T:$T)*1000,"")</f>
        <v>1597510.1090983946</v>
      </c>
      <c r="AE285" s="240">
        <f>IFERROR(_xlfn.XLOOKUP($D285,'Modelling New'!$D:$D,'Modelling New'!$O:$O),"")</f>
        <v>0.87434429771334443</v>
      </c>
      <c r="AF285" s="240">
        <f>IFERROR(_xlfn.XLOOKUP($D285,'Modelling New'!$D:$D,'Modelling New'!$W:$W),"")</f>
        <v>0.19864132791520248</v>
      </c>
      <c r="AG285" s="240">
        <f>IFERROR(_xlfn.XLOOKUP($D285,'Modelling New'!$D:$D,'Modelling New'!AE:AE),"")</f>
        <v>0.99750000000000005</v>
      </c>
      <c r="AH285" s="240">
        <f>IFERROR(_xlfn.XLOOKUP($D285,'Modelling New'!$D:$D,'Modelling New'!AF:AF),"")</f>
        <v>0.99750000000000005</v>
      </c>
      <c r="AI285" s="186"/>
      <c r="AJ285" s="186"/>
      <c r="AK285" s="225"/>
      <c r="AL285" s="224">
        <f>IFERROR(Table13[[#This Row],[RA (%)]]*9270*58,"")</f>
        <v>0</v>
      </c>
      <c r="AM285" s="225"/>
      <c r="AN285" s="238"/>
      <c r="AO285" s="240"/>
      <c r="AP285" s="240"/>
      <c r="AQ285" s="240"/>
      <c r="AR285" s="242">
        <f>IFERROR(_xlfn.XLOOKUP($D285,'Modelling New'!$D:$D,'Modelling New'!$N:$N),"")</f>
        <v>335.09100000000001</v>
      </c>
    </row>
    <row r="286" spans="1:44">
      <c r="A286" s="233">
        <f t="shared" si="20"/>
        <v>46029</v>
      </c>
      <c r="B286" s="228">
        <f>YEAR(Table13[[#This Row],[Date]])+IF(MONTH(Table13[[#This Row],[Date]])&gt;=4,1,0)</f>
        <v>2026</v>
      </c>
      <c r="C286" s="186">
        <f>YEAR(Table13[[#This Row],[Date]])</f>
        <v>2026</v>
      </c>
      <c r="D286" s="234">
        <f>Table13[[#This Row],[Date]]-DAY(Table13[[#This Row],[Date]])+1</f>
        <v>46023</v>
      </c>
      <c r="E286" s="186">
        <f t="shared" si="21"/>
        <v>31</v>
      </c>
      <c r="F286" s="235" t="str">
        <f>IFERROR(_xlfn.XLOOKUP($A286,'Raw_Data'!$B:$B,'Raw_Data'!$IX:$IX),"")</f>
        <v/>
      </c>
      <c r="G286" s="236" t="str">
        <f>IFERROR(_xlfn.XLOOKUP($A286,'Raw_Data'!$B:$B,'Raw_Data'!IY:IY),"")</f>
        <v/>
      </c>
      <c r="H286" s="236" t="str">
        <f>IFERROR(_xlfn.XLOOKUP($A286,'Raw_Data'!$B:$B,'Raw_Data'!IZ:IZ),"")</f>
        <v/>
      </c>
      <c r="I286" s="236" t="str">
        <f>IFERROR(_xlfn.XLOOKUP($A286,'Raw_Data'!$B:$B,'Raw_Data'!JA:JA),"")</f>
        <v/>
      </c>
      <c r="J286" s="236" t="str">
        <f>IFERROR(_xlfn.XLOOKUP($A286,'Raw_Data'!$B:$B,'Raw_Data'!JB:JB),"")</f>
        <v/>
      </c>
      <c r="K286" s="236" t="str">
        <f>IFERROR(_xlfn.XLOOKUP($A286,'Raw_Data'!$B:$B,'Raw_Data'!JE:JE),"")</f>
        <v/>
      </c>
      <c r="L286" s="236" t="str">
        <f>IFERROR(_xlfn.XLOOKUP($A286,'Raw_Data'!$B:$B,'Raw_Data'!JF:JF),"")</f>
        <v/>
      </c>
      <c r="M286" s="236" t="str">
        <f>IFERROR(_xlfn.XLOOKUP($A286,'Raw_Data'!$B:$B,'Raw_Data'!JG:JG),"")</f>
        <v/>
      </c>
      <c r="N286" s="236" t="str">
        <f>IFERROR(_xlfn.XLOOKUP($A286,'Raw_Data'!$B:$B,'Raw_Data'!JH:JH),"")</f>
        <v/>
      </c>
      <c r="O286" s="237" t="str">
        <f>IFERROR(1-SUMIF(PA!$B:$B,$A286,PA!$AL:$AL)/($AA286+SUMIF(PA!$B:$B,$A286,PA!$AL:$AL)),"")</f>
        <v/>
      </c>
      <c r="P286" s="238"/>
      <c r="Q286" s="239"/>
      <c r="R286" s="240" t="str">
        <f>IFERROR(1-SUMIF(GA!$C:$C,$A286,GA!$X:$X)/($AA286+SUMIF(GA!$C:$C,$A286,GA!$X:$X)),"")</f>
        <v/>
      </c>
      <c r="S286" s="186"/>
      <c r="T286" s="239"/>
      <c r="U286" s="237" t="str">
        <f t="shared" si="18"/>
        <v/>
      </c>
      <c r="V286" s="237" t="str">
        <f>IFERROR(_xlfn.XLOOKUP($A286,'Raw_Data'!$B:$B,'Raw_Data'!$JL:$JL),"")</f>
        <v/>
      </c>
      <c r="W286" s="240" t="str">
        <f t="shared" si="19"/>
        <v/>
      </c>
      <c r="X286" s="228" t="str">
        <f>IFERROR(_xlfn.XLOOKUP($A286,'Raw_Data'!$B:$B,'Raw_Data'!$JI:$JI),"")</f>
        <v/>
      </c>
      <c r="Y286" s="228" t="str">
        <f>IFERROR(_xlfn.XLOOKUP($A286,'Raw_Data'!$B:$B,'Raw_Data'!IT:IT),"")</f>
        <v/>
      </c>
      <c r="Z286" s="228" t="str">
        <f>IFERROR(_xlfn.XLOOKUP($A286,'Raw_Data'!$B:$B,'Raw_Data'!IU:IU),"")</f>
        <v/>
      </c>
      <c r="AA286" s="228" t="str">
        <f>IFERROR(_xlfn.XLOOKUP($A286,'Raw_Data'!$B:$B,'Raw_Data'!IW:IW),"")</f>
        <v/>
      </c>
      <c r="AB286" s="228" t="str">
        <f>IFERROR(_xlfn.XLOOKUP($A286,'Raw_Data'!$B:$B,'Raw_Data'!I:I)/1000,"")</f>
        <v/>
      </c>
      <c r="AC286" s="241">
        <f>IFERROR(_xlfn.XLOOKUP($D286,'Modelling New'!$D:$D,'Modelling New'!$P:$P),"")</f>
        <v>5.4525338387096776</v>
      </c>
      <c r="AD286" s="228">
        <f>IFERROR(_xlfn.XLOOKUP($D286,'Modelling New'!$D:$D,'Modelling New'!$T:$T)*1000,"")</f>
        <v>1597510.1090983946</v>
      </c>
      <c r="AE286" s="240">
        <f>IFERROR(_xlfn.XLOOKUP($D286,'Modelling New'!$D:$D,'Modelling New'!$O:$O),"")</f>
        <v>0.87434429771334443</v>
      </c>
      <c r="AF286" s="240">
        <f>IFERROR(_xlfn.XLOOKUP($D286,'Modelling New'!$D:$D,'Modelling New'!$W:$W),"")</f>
        <v>0.19864132791520248</v>
      </c>
      <c r="AG286" s="240">
        <f>IFERROR(_xlfn.XLOOKUP($D286,'Modelling New'!$D:$D,'Modelling New'!AE:AE),"")</f>
        <v>0.99750000000000005</v>
      </c>
      <c r="AH286" s="240">
        <f>IFERROR(_xlfn.XLOOKUP($D286,'Modelling New'!$D:$D,'Modelling New'!AF:AF),"")</f>
        <v>0.99750000000000005</v>
      </c>
      <c r="AI286" s="186"/>
      <c r="AJ286" s="186"/>
      <c r="AK286" s="225"/>
      <c r="AL286" s="224">
        <f>IFERROR(Table13[[#This Row],[RA (%)]]*9270*58,"")</f>
        <v>0</v>
      </c>
      <c r="AM286" s="225"/>
      <c r="AN286" s="238"/>
      <c r="AO286" s="240"/>
      <c r="AP286" s="240"/>
      <c r="AQ286" s="240"/>
      <c r="AR286" s="242">
        <f>IFERROR(_xlfn.XLOOKUP($D286,'Modelling New'!$D:$D,'Modelling New'!$N:$N),"")</f>
        <v>335.09100000000001</v>
      </c>
    </row>
    <row r="287" spans="1:44">
      <c r="A287" s="233">
        <f t="shared" si="20"/>
        <v>46030</v>
      </c>
      <c r="B287" s="228">
        <f>YEAR(Table13[[#This Row],[Date]])+IF(MONTH(Table13[[#This Row],[Date]])&gt;=4,1,0)</f>
        <v>2026</v>
      </c>
      <c r="C287" s="186">
        <f>YEAR(Table13[[#This Row],[Date]])</f>
        <v>2026</v>
      </c>
      <c r="D287" s="234">
        <f>Table13[[#This Row],[Date]]-DAY(Table13[[#This Row],[Date]])+1</f>
        <v>46023</v>
      </c>
      <c r="E287" s="186">
        <f t="shared" si="21"/>
        <v>31</v>
      </c>
      <c r="F287" s="235" t="str">
        <f>IFERROR(_xlfn.XLOOKUP($A287,'Raw_Data'!$B:$B,'Raw_Data'!$IX:$IX),"")</f>
        <v/>
      </c>
      <c r="G287" s="236" t="str">
        <f>IFERROR(_xlfn.XLOOKUP($A287,'Raw_Data'!$B:$B,'Raw_Data'!IY:IY),"")</f>
        <v/>
      </c>
      <c r="H287" s="236" t="str">
        <f>IFERROR(_xlfn.XLOOKUP($A287,'Raw_Data'!$B:$B,'Raw_Data'!IZ:IZ),"")</f>
        <v/>
      </c>
      <c r="I287" s="236" t="str">
        <f>IFERROR(_xlfn.XLOOKUP($A287,'Raw_Data'!$B:$B,'Raw_Data'!JA:JA),"")</f>
        <v/>
      </c>
      <c r="J287" s="236" t="str">
        <f>IFERROR(_xlfn.XLOOKUP($A287,'Raw_Data'!$B:$B,'Raw_Data'!JB:JB),"")</f>
        <v/>
      </c>
      <c r="K287" s="236" t="str">
        <f>IFERROR(_xlfn.XLOOKUP($A287,'Raw_Data'!$B:$B,'Raw_Data'!JE:JE),"")</f>
        <v/>
      </c>
      <c r="L287" s="236" t="str">
        <f>IFERROR(_xlfn.XLOOKUP($A287,'Raw_Data'!$B:$B,'Raw_Data'!JF:JF),"")</f>
        <v/>
      </c>
      <c r="M287" s="236" t="str">
        <f>IFERROR(_xlfn.XLOOKUP($A287,'Raw_Data'!$B:$B,'Raw_Data'!JG:JG),"")</f>
        <v/>
      </c>
      <c r="N287" s="236" t="str">
        <f>IFERROR(_xlfn.XLOOKUP($A287,'Raw_Data'!$B:$B,'Raw_Data'!JH:JH),"")</f>
        <v/>
      </c>
      <c r="O287" s="237" t="str">
        <f>IFERROR(1-SUMIF(PA!$B:$B,$A287,PA!$AL:$AL)/($AA287+SUMIF(PA!$B:$B,$A287,PA!$AL:$AL)),"")</f>
        <v/>
      </c>
      <c r="P287" s="238"/>
      <c r="Q287" s="239"/>
      <c r="R287" s="240" t="str">
        <f>IFERROR(1-SUMIF(GA!$C:$C,$A287,GA!$X:$X)/($AA287+SUMIF(GA!$C:$C,$A287,GA!$X:$X)),"")</f>
        <v/>
      </c>
      <c r="S287" s="186"/>
      <c r="T287" s="239"/>
      <c r="U287" s="237" t="str">
        <f t="shared" si="18"/>
        <v/>
      </c>
      <c r="V287" s="237" t="str">
        <f>IFERROR(_xlfn.XLOOKUP($A287,'Raw_Data'!$B:$B,'Raw_Data'!$JL:$JL),"")</f>
        <v/>
      </c>
      <c r="W287" s="240" t="str">
        <f t="shared" si="19"/>
        <v/>
      </c>
      <c r="X287" s="228" t="str">
        <f>IFERROR(_xlfn.XLOOKUP($A287,'Raw_Data'!$B:$B,'Raw_Data'!$JI:$JI),"")</f>
        <v/>
      </c>
      <c r="Y287" s="228" t="str">
        <f>IFERROR(_xlfn.XLOOKUP($A287,'Raw_Data'!$B:$B,'Raw_Data'!IT:IT),"")</f>
        <v/>
      </c>
      <c r="Z287" s="228" t="str">
        <f>IFERROR(_xlfn.XLOOKUP($A287,'Raw_Data'!$B:$B,'Raw_Data'!IU:IU),"")</f>
        <v/>
      </c>
      <c r="AA287" s="228" t="str">
        <f>IFERROR(_xlfn.XLOOKUP($A287,'Raw_Data'!$B:$B,'Raw_Data'!IW:IW),"")</f>
        <v/>
      </c>
      <c r="AB287" s="228" t="str">
        <f>IFERROR(_xlfn.XLOOKUP($A287,'Raw_Data'!$B:$B,'Raw_Data'!I:I)/1000,"")</f>
        <v/>
      </c>
      <c r="AC287" s="241">
        <f>IFERROR(_xlfn.XLOOKUP($D287,'Modelling New'!$D:$D,'Modelling New'!$P:$P),"")</f>
        <v>5.4525338387096776</v>
      </c>
      <c r="AD287" s="228">
        <f>IFERROR(_xlfn.XLOOKUP($D287,'Modelling New'!$D:$D,'Modelling New'!$T:$T)*1000,"")</f>
        <v>1597510.1090983946</v>
      </c>
      <c r="AE287" s="240">
        <f>IFERROR(_xlfn.XLOOKUP($D287,'Modelling New'!$D:$D,'Modelling New'!$O:$O),"")</f>
        <v>0.87434429771334443</v>
      </c>
      <c r="AF287" s="240">
        <f>IFERROR(_xlfn.XLOOKUP($D287,'Modelling New'!$D:$D,'Modelling New'!$W:$W),"")</f>
        <v>0.19864132791520248</v>
      </c>
      <c r="AG287" s="240">
        <f>IFERROR(_xlfn.XLOOKUP($D287,'Modelling New'!$D:$D,'Modelling New'!AE:AE),"")</f>
        <v>0.99750000000000005</v>
      </c>
      <c r="AH287" s="240">
        <f>IFERROR(_xlfn.XLOOKUP($D287,'Modelling New'!$D:$D,'Modelling New'!AF:AF),"")</f>
        <v>0.99750000000000005</v>
      </c>
      <c r="AI287" s="186"/>
      <c r="AJ287" s="186"/>
      <c r="AK287" s="225"/>
      <c r="AL287" s="224">
        <f>IFERROR(Table13[[#This Row],[RA (%)]]*9270*58,"")</f>
        <v>0</v>
      </c>
      <c r="AM287" s="225"/>
      <c r="AN287" s="238"/>
      <c r="AO287" s="240"/>
      <c r="AP287" s="240"/>
      <c r="AQ287" s="240"/>
      <c r="AR287" s="242">
        <f>IFERROR(_xlfn.XLOOKUP($D287,'Modelling New'!$D:$D,'Modelling New'!$N:$N),"")</f>
        <v>335.09100000000001</v>
      </c>
    </row>
    <row r="288" spans="1:44">
      <c r="A288" s="233">
        <f t="shared" si="20"/>
        <v>46031</v>
      </c>
      <c r="B288" s="228">
        <f>YEAR(Table13[[#This Row],[Date]])+IF(MONTH(Table13[[#This Row],[Date]])&gt;=4,1,0)</f>
        <v>2026</v>
      </c>
      <c r="C288" s="186">
        <f>YEAR(Table13[[#This Row],[Date]])</f>
        <v>2026</v>
      </c>
      <c r="D288" s="234">
        <f>Table13[[#This Row],[Date]]-DAY(Table13[[#This Row],[Date]])+1</f>
        <v>46023</v>
      </c>
      <c r="E288" s="186">
        <f t="shared" si="21"/>
        <v>31</v>
      </c>
      <c r="F288" s="235" t="str">
        <f>IFERROR(_xlfn.XLOOKUP($A288,'Raw_Data'!$B:$B,'Raw_Data'!$IX:$IX),"")</f>
        <v/>
      </c>
      <c r="G288" s="236" t="str">
        <f>IFERROR(_xlfn.XLOOKUP($A288,'Raw_Data'!$B:$B,'Raw_Data'!IY:IY),"")</f>
        <v/>
      </c>
      <c r="H288" s="236" t="str">
        <f>IFERROR(_xlfn.XLOOKUP($A288,'Raw_Data'!$B:$B,'Raw_Data'!IZ:IZ),"")</f>
        <v/>
      </c>
      <c r="I288" s="236" t="str">
        <f>IFERROR(_xlfn.XLOOKUP($A288,'Raw_Data'!$B:$B,'Raw_Data'!JA:JA),"")</f>
        <v/>
      </c>
      <c r="J288" s="236" t="str">
        <f>IFERROR(_xlfn.XLOOKUP($A288,'Raw_Data'!$B:$B,'Raw_Data'!JB:JB),"")</f>
        <v/>
      </c>
      <c r="K288" s="236" t="str">
        <f>IFERROR(_xlfn.XLOOKUP($A288,'Raw_Data'!$B:$B,'Raw_Data'!JE:JE),"")</f>
        <v/>
      </c>
      <c r="L288" s="236" t="str">
        <f>IFERROR(_xlfn.XLOOKUP($A288,'Raw_Data'!$B:$B,'Raw_Data'!JF:JF),"")</f>
        <v/>
      </c>
      <c r="M288" s="236" t="str">
        <f>IFERROR(_xlfn.XLOOKUP($A288,'Raw_Data'!$B:$B,'Raw_Data'!JG:JG),"")</f>
        <v/>
      </c>
      <c r="N288" s="236" t="str">
        <f>IFERROR(_xlfn.XLOOKUP($A288,'Raw_Data'!$B:$B,'Raw_Data'!JH:JH),"")</f>
        <v/>
      </c>
      <c r="O288" s="237" t="str">
        <f>IFERROR(1-SUMIF(PA!$B:$B,$A288,PA!$AL:$AL)/($AA288+SUMIF(PA!$B:$B,$A288,PA!$AL:$AL)),"")</f>
        <v/>
      </c>
      <c r="P288" s="238"/>
      <c r="Q288" s="239"/>
      <c r="R288" s="240" t="str">
        <f>IFERROR(1-SUMIF(GA!$C:$C,$A288,GA!$X:$X)/($AA288+SUMIF(GA!$C:$C,$A288,GA!$X:$X)),"")</f>
        <v/>
      </c>
      <c r="S288" s="186"/>
      <c r="T288" s="239"/>
      <c r="U288" s="237" t="str">
        <f t="shared" si="18"/>
        <v/>
      </c>
      <c r="V288" s="237" t="str">
        <f>IFERROR(_xlfn.XLOOKUP($A288,'Raw_Data'!$B:$B,'Raw_Data'!$JL:$JL),"")</f>
        <v/>
      </c>
      <c r="W288" s="240" t="str">
        <f t="shared" si="19"/>
        <v/>
      </c>
      <c r="X288" s="228" t="str">
        <f>IFERROR(_xlfn.XLOOKUP($A288,'Raw_Data'!$B:$B,'Raw_Data'!$JI:$JI),"")</f>
        <v/>
      </c>
      <c r="Y288" s="228" t="str">
        <f>IFERROR(_xlfn.XLOOKUP($A288,'Raw_Data'!$B:$B,'Raw_Data'!IT:IT),"")</f>
        <v/>
      </c>
      <c r="Z288" s="228" t="str">
        <f>IFERROR(_xlfn.XLOOKUP($A288,'Raw_Data'!$B:$B,'Raw_Data'!IU:IU),"")</f>
        <v/>
      </c>
      <c r="AA288" s="228" t="str">
        <f>IFERROR(_xlfn.XLOOKUP($A288,'Raw_Data'!$B:$B,'Raw_Data'!IW:IW),"")</f>
        <v/>
      </c>
      <c r="AB288" s="228" t="str">
        <f>IFERROR(_xlfn.XLOOKUP($A288,'Raw_Data'!$B:$B,'Raw_Data'!I:I)/1000,"")</f>
        <v/>
      </c>
      <c r="AC288" s="241">
        <f>IFERROR(_xlfn.XLOOKUP($D288,'Modelling New'!$D:$D,'Modelling New'!$P:$P),"")</f>
        <v>5.4525338387096776</v>
      </c>
      <c r="AD288" s="228">
        <f>IFERROR(_xlfn.XLOOKUP($D288,'Modelling New'!$D:$D,'Modelling New'!$T:$T)*1000,"")</f>
        <v>1597510.1090983946</v>
      </c>
      <c r="AE288" s="240">
        <f>IFERROR(_xlfn.XLOOKUP($D288,'Modelling New'!$D:$D,'Modelling New'!$O:$O),"")</f>
        <v>0.87434429771334443</v>
      </c>
      <c r="AF288" s="240">
        <f>IFERROR(_xlfn.XLOOKUP($D288,'Modelling New'!$D:$D,'Modelling New'!$W:$W),"")</f>
        <v>0.19864132791520248</v>
      </c>
      <c r="AG288" s="240">
        <f>IFERROR(_xlfn.XLOOKUP($D288,'Modelling New'!$D:$D,'Modelling New'!AE:AE),"")</f>
        <v>0.99750000000000005</v>
      </c>
      <c r="AH288" s="240">
        <f>IFERROR(_xlfn.XLOOKUP($D288,'Modelling New'!$D:$D,'Modelling New'!AF:AF),"")</f>
        <v>0.99750000000000005</v>
      </c>
      <c r="AI288" s="186"/>
      <c r="AJ288" s="186"/>
      <c r="AK288" s="225"/>
      <c r="AL288" s="224">
        <f>IFERROR(Table13[[#This Row],[RA (%)]]*9270*58,"")</f>
        <v>0</v>
      </c>
      <c r="AM288" s="225"/>
      <c r="AN288" s="238"/>
      <c r="AO288" s="240"/>
      <c r="AP288" s="240"/>
      <c r="AQ288" s="240"/>
      <c r="AR288" s="242">
        <f>IFERROR(_xlfn.XLOOKUP($D288,'Modelling New'!$D:$D,'Modelling New'!$N:$N),"")</f>
        <v>335.09100000000001</v>
      </c>
    </row>
    <row r="289" spans="1:44">
      <c r="A289" s="233">
        <f t="shared" si="20"/>
        <v>46032</v>
      </c>
      <c r="B289" s="228">
        <f>YEAR(Table13[[#This Row],[Date]])+IF(MONTH(Table13[[#This Row],[Date]])&gt;=4,1,0)</f>
        <v>2026</v>
      </c>
      <c r="C289" s="186">
        <f>YEAR(Table13[[#This Row],[Date]])</f>
        <v>2026</v>
      </c>
      <c r="D289" s="234">
        <f>Table13[[#This Row],[Date]]-DAY(Table13[[#This Row],[Date]])+1</f>
        <v>46023</v>
      </c>
      <c r="E289" s="186">
        <f t="shared" si="21"/>
        <v>31</v>
      </c>
      <c r="F289" s="235" t="str">
        <f>IFERROR(_xlfn.XLOOKUP($A289,'Raw_Data'!$B:$B,'Raw_Data'!$IX:$IX),"")</f>
        <v/>
      </c>
      <c r="G289" s="236" t="str">
        <f>IFERROR(_xlfn.XLOOKUP($A289,'Raw_Data'!$B:$B,'Raw_Data'!IY:IY),"")</f>
        <v/>
      </c>
      <c r="H289" s="236" t="str">
        <f>IFERROR(_xlfn.XLOOKUP($A289,'Raw_Data'!$B:$B,'Raw_Data'!IZ:IZ),"")</f>
        <v/>
      </c>
      <c r="I289" s="236" t="str">
        <f>IFERROR(_xlfn.XLOOKUP($A289,'Raw_Data'!$B:$B,'Raw_Data'!JA:JA),"")</f>
        <v/>
      </c>
      <c r="J289" s="236" t="str">
        <f>IFERROR(_xlfn.XLOOKUP($A289,'Raw_Data'!$B:$B,'Raw_Data'!JB:JB),"")</f>
        <v/>
      </c>
      <c r="K289" s="236" t="str">
        <f>IFERROR(_xlfn.XLOOKUP($A289,'Raw_Data'!$B:$B,'Raw_Data'!JE:JE),"")</f>
        <v/>
      </c>
      <c r="L289" s="236" t="str">
        <f>IFERROR(_xlfn.XLOOKUP($A289,'Raw_Data'!$B:$B,'Raw_Data'!JF:JF),"")</f>
        <v/>
      </c>
      <c r="M289" s="236" t="str">
        <f>IFERROR(_xlfn.XLOOKUP($A289,'Raw_Data'!$B:$B,'Raw_Data'!JG:JG),"")</f>
        <v/>
      </c>
      <c r="N289" s="236" t="str">
        <f>IFERROR(_xlfn.XLOOKUP($A289,'Raw_Data'!$B:$B,'Raw_Data'!JH:JH),"")</f>
        <v/>
      </c>
      <c r="O289" s="237" t="str">
        <f>IFERROR(1-SUMIF(PA!$B:$B,$A289,PA!$AL:$AL)/($AA289+SUMIF(PA!$B:$B,$A289,PA!$AL:$AL)),"")</f>
        <v/>
      </c>
      <c r="P289" s="238"/>
      <c r="Q289" s="239"/>
      <c r="R289" s="240" t="str">
        <f>IFERROR(1-SUMIF(GA!$C:$C,$A289,GA!$X:$X)/($AA289+SUMIF(GA!$C:$C,$A289,GA!$X:$X)),"")</f>
        <v/>
      </c>
      <c r="S289" s="186"/>
      <c r="T289" s="239"/>
      <c r="U289" s="237" t="str">
        <f t="shared" si="18"/>
        <v/>
      </c>
      <c r="V289" s="237" t="str">
        <f>IFERROR(_xlfn.XLOOKUP($A289,'Raw_Data'!$B:$B,'Raw_Data'!$JL:$JL),"")</f>
        <v/>
      </c>
      <c r="W289" s="240" t="str">
        <f t="shared" si="19"/>
        <v/>
      </c>
      <c r="X289" s="228" t="str">
        <f>IFERROR(_xlfn.XLOOKUP($A289,'Raw_Data'!$B:$B,'Raw_Data'!$JI:$JI),"")</f>
        <v/>
      </c>
      <c r="Y289" s="228" t="str">
        <f>IFERROR(_xlfn.XLOOKUP($A289,'Raw_Data'!$B:$B,'Raw_Data'!IT:IT),"")</f>
        <v/>
      </c>
      <c r="Z289" s="228" t="str">
        <f>IFERROR(_xlfn.XLOOKUP($A289,'Raw_Data'!$B:$B,'Raw_Data'!IU:IU),"")</f>
        <v/>
      </c>
      <c r="AA289" s="228" t="str">
        <f>IFERROR(_xlfn.XLOOKUP($A289,'Raw_Data'!$B:$B,'Raw_Data'!IW:IW),"")</f>
        <v/>
      </c>
      <c r="AB289" s="228" t="str">
        <f>IFERROR(_xlfn.XLOOKUP($A289,'Raw_Data'!$B:$B,'Raw_Data'!I:I)/1000,"")</f>
        <v/>
      </c>
      <c r="AC289" s="241">
        <f>IFERROR(_xlfn.XLOOKUP($D289,'Modelling New'!$D:$D,'Modelling New'!$P:$P),"")</f>
        <v>5.4525338387096776</v>
      </c>
      <c r="AD289" s="228">
        <f>IFERROR(_xlfn.XLOOKUP($D289,'Modelling New'!$D:$D,'Modelling New'!$T:$T)*1000,"")</f>
        <v>1597510.1090983946</v>
      </c>
      <c r="AE289" s="240">
        <f>IFERROR(_xlfn.XLOOKUP($D289,'Modelling New'!$D:$D,'Modelling New'!$O:$O),"")</f>
        <v>0.87434429771334443</v>
      </c>
      <c r="AF289" s="240">
        <f>IFERROR(_xlfn.XLOOKUP($D289,'Modelling New'!$D:$D,'Modelling New'!$W:$W),"")</f>
        <v>0.19864132791520248</v>
      </c>
      <c r="AG289" s="240">
        <f>IFERROR(_xlfn.XLOOKUP($D289,'Modelling New'!$D:$D,'Modelling New'!AE:AE),"")</f>
        <v>0.99750000000000005</v>
      </c>
      <c r="AH289" s="240">
        <f>IFERROR(_xlfn.XLOOKUP($D289,'Modelling New'!$D:$D,'Modelling New'!AF:AF),"")</f>
        <v>0.99750000000000005</v>
      </c>
      <c r="AI289" s="186"/>
      <c r="AJ289" s="186"/>
      <c r="AK289" s="225"/>
      <c r="AL289" s="224">
        <f>IFERROR(Table13[[#This Row],[RA (%)]]*9270*58,"")</f>
        <v>0</v>
      </c>
      <c r="AM289" s="225"/>
      <c r="AN289" s="238"/>
      <c r="AO289" s="240"/>
      <c r="AP289" s="240"/>
      <c r="AQ289" s="240"/>
      <c r="AR289" s="242">
        <f>IFERROR(_xlfn.XLOOKUP($D289,'Modelling New'!$D:$D,'Modelling New'!$N:$N),"")</f>
        <v>335.09100000000001</v>
      </c>
    </row>
    <row r="290" spans="1:44">
      <c r="A290" s="233">
        <f t="shared" si="20"/>
        <v>46033</v>
      </c>
      <c r="B290" s="228">
        <f>YEAR(Table13[[#This Row],[Date]])+IF(MONTH(Table13[[#This Row],[Date]])&gt;=4,1,0)</f>
        <v>2026</v>
      </c>
      <c r="C290" s="186">
        <f>YEAR(Table13[[#This Row],[Date]])</f>
        <v>2026</v>
      </c>
      <c r="D290" s="234">
        <f>Table13[[#This Row],[Date]]-DAY(Table13[[#This Row],[Date]])+1</f>
        <v>46023</v>
      </c>
      <c r="E290" s="186">
        <f t="shared" si="21"/>
        <v>31</v>
      </c>
      <c r="F290" s="235" t="str">
        <f>IFERROR(_xlfn.XLOOKUP($A290,'Raw_Data'!$B:$B,'Raw_Data'!$IX:$IX),"")</f>
        <v/>
      </c>
      <c r="G290" s="236" t="str">
        <f>IFERROR(_xlfn.XLOOKUP($A290,'Raw_Data'!$B:$B,'Raw_Data'!IY:IY),"")</f>
        <v/>
      </c>
      <c r="H290" s="236" t="str">
        <f>IFERROR(_xlfn.XLOOKUP($A290,'Raw_Data'!$B:$B,'Raw_Data'!IZ:IZ),"")</f>
        <v/>
      </c>
      <c r="I290" s="236" t="str">
        <f>IFERROR(_xlfn.XLOOKUP($A290,'Raw_Data'!$B:$B,'Raw_Data'!JA:JA),"")</f>
        <v/>
      </c>
      <c r="J290" s="236" t="str">
        <f>IFERROR(_xlfn.XLOOKUP($A290,'Raw_Data'!$B:$B,'Raw_Data'!JB:JB),"")</f>
        <v/>
      </c>
      <c r="K290" s="236" t="str">
        <f>IFERROR(_xlfn.XLOOKUP($A290,'Raw_Data'!$B:$B,'Raw_Data'!JE:JE),"")</f>
        <v/>
      </c>
      <c r="L290" s="236" t="str">
        <f>IFERROR(_xlfn.XLOOKUP($A290,'Raw_Data'!$B:$B,'Raw_Data'!JF:JF),"")</f>
        <v/>
      </c>
      <c r="M290" s="236" t="str">
        <f>IFERROR(_xlfn.XLOOKUP($A290,'Raw_Data'!$B:$B,'Raw_Data'!JG:JG),"")</f>
        <v/>
      </c>
      <c r="N290" s="236" t="str">
        <f>IFERROR(_xlfn.XLOOKUP($A290,'Raw_Data'!$B:$B,'Raw_Data'!JH:JH),"")</f>
        <v/>
      </c>
      <c r="O290" s="237" t="str">
        <f>IFERROR(1-SUMIF(PA!$B:$B,$A290,PA!$AL:$AL)/($AA290+SUMIF(PA!$B:$B,$A290,PA!$AL:$AL)),"")</f>
        <v/>
      </c>
      <c r="P290" s="238"/>
      <c r="Q290" s="239"/>
      <c r="R290" s="240" t="str">
        <f>IFERROR(1-SUMIF(GA!$C:$C,$A290,GA!$X:$X)/($AA290+SUMIF(GA!$C:$C,$A290,GA!$X:$X)),"")</f>
        <v/>
      </c>
      <c r="S290" s="186"/>
      <c r="T290" s="239"/>
      <c r="U290" s="237" t="str">
        <f t="shared" si="18"/>
        <v/>
      </c>
      <c r="V290" s="237" t="str">
        <f>IFERROR(_xlfn.XLOOKUP($A290,'Raw_Data'!$B:$B,'Raw_Data'!$JL:$JL),"")</f>
        <v/>
      </c>
      <c r="W290" s="240" t="str">
        <f t="shared" si="19"/>
        <v/>
      </c>
      <c r="X290" s="228" t="str">
        <f>IFERROR(_xlfn.XLOOKUP($A290,'Raw_Data'!$B:$B,'Raw_Data'!$JI:$JI),"")</f>
        <v/>
      </c>
      <c r="Y290" s="228" t="str">
        <f>IFERROR(_xlfn.XLOOKUP($A290,'Raw_Data'!$B:$B,'Raw_Data'!IT:IT),"")</f>
        <v/>
      </c>
      <c r="Z290" s="228" t="str">
        <f>IFERROR(_xlfn.XLOOKUP($A290,'Raw_Data'!$B:$B,'Raw_Data'!IU:IU),"")</f>
        <v/>
      </c>
      <c r="AA290" s="228" t="str">
        <f>IFERROR(_xlfn.XLOOKUP($A290,'Raw_Data'!$B:$B,'Raw_Data'!IW:IW),"")</f>
        <v/>
      </c>
      <c r="AB290" s="228" t="str">
        <f>IFERROR(_xlfn.XLOOKUP($A290,'Raw_Data'!$B:$B,'Raw_Data'!I:I)/1000,"")</f>
        <v/>
      </c>
      <c r="AC290" s="241">
        <f>IFERROR(_xlfn.XLOOKUP($D290,'Modelling New'!$D:$D,'Modelling New'!$P:$P),"")</f>
        <v>5.4525338387096776</v>
      </c>
      <c r="AD290" s="228">
        <f>IFERROR(_xlfn.XLOOKUP($D290,'Modelling New'!$D:$D,'Modelling New'!$T:$T)*1000,"")</f>
        <v>1597510.1090983946</v>
      </c>
      <c r="AE290" s="240">
        <f>IFERROR(_xlfn.XLOOKUP($D290,'Modelling New'!$D:$D,'Modelling New'!$O:$O),"")</f>
        <v>0.87434429771334443</v>
      </c>
      <c r="AF290" s="240">
        <f>IFERROR(_xlfn.XLOOKUP($D290,'Modelling New'!$D:$D,'Modelling New'!$W:$W),"")</f>
        <v>0.19864132791520248</v>
      </c>
      <c r="AG290" s="240">
        <f>IFERROR(_xlfn.XLOOKUP($D290,'Modelling New'!$D:$D,'Modelling New'!AE:AE),"")</f>
        <v>0.99750000000000005</v>
      </c>
      <c r="AH290" s="240">
        <f>IFERROR(_xlfn.XLOOKUP($D290,'Modelling New'!$D:$D,'Modelling New'!AF:AF),"")</f>
        <v>0.99750000000000005</v>
      </c>
      <c r="AI290" s="186"/>
      <c r="AJ290" s="186"/>
      <c r="AK290" s="225"/>
      <c r="AL290" s="224">
        <f>IFERROR(Table13[[#This Row],[RA (%)]]*9270*58,"")</f>
        <v>0</v>
      </c>
      <c r="AM290" s="225"/>
      <c r="AN290" s="238"/>
      <c r="AO290" s="240"/>
      <c r="AP290" s="240"/>
      <c r="AQ290" s="240"/>
      <c r="AR290" s="242">
        <f>IFERROR(_xlfn.XLOOKUP($D290,'Modelling New'!$D:$D,'Modelling New'!$N:$N),"")</f>
        <v>335.09100000000001</v>
      </c>
    </row>
    <row r="291" spans="1:44">
      <c r="A291" s="233">
        <f t="shared" si="20"/>
        <v>46034</v>
      </c>
      <c r="B291" s="228">
        <f>YEAR(Table13[[#This Row],[Date]])+IF(MONTH(Table13[[#This Row],[Date]])&gt;=4,1,0)</f>
        <v>2026</v>
      </c>
      <c r="C291" s="186">
        <f>YEAR(Table13[[#This Row],[Date]])</f>
        <v>2026</v>
      </c>
      <c r="D291" s="234">
        <f>Table13[[#This Row],[Date]]-DAY(Table13[[#This Row],[Date]])+1</f>
        <v>46023</v>
      </c>
      <c r="E291" s="186">
        <f t="shared" si="21"/>
        <v>31</v>
      </c>
      <c r="F291" s="235" t="str">
        <f>IFERROR(_xlfn.XLOOKUP($A291,'Raw_Data'!$B:$B,'Raw_Data'!$IX:$IX),"")</f>
        <v/>
      </c>
      <c r="G291" s="236" t="str">
        <f>IFERROR(_xlfn.XLOOKUP($A291,'Raw_Data'!$B:$B,'Raw_Data'!IY:IY),"")</f>
        <v/>
      </c>
      <c r="H291" s="236" t="str">
        <f>IFERROR(_xlfn.XLOOKUP($A291,'Raw_Data'!$B:$B,'Raw_Data'!IZ:IZ),"")</f>
        <v/>
      </c>
      <c r="I291" s="236" t="str">
        <f>IFERROR(_xlfn.XLOOKUP($A291,'Raw_Data'!$B:$B,'Raw_Data'!JA:JA),"")</f>
        <v/>
      </c>
      <c r="J291" s="236" t="str">
        <f>IFERROR(_xlfn.XLOOKUP($A291,'Raw_Data'!$B:$B,'Raw_Data'!JB:JB),"")</f>
        <v/>
      </c>
      <c r="K291" s="236" t="str">
        <f>IFERROR(_xlfn.XLOOKUP($A291,'Raw_Data'!$B:$B,'Raw_Data'!JE:JE),"")</f>
        <v/>
      </c>
      <c r="L291" s="236" t="str">
        <f>IFERROR(_xlfn.XLOOKUP($A291,'Raw_Data'!$B:$B,'Raw_Data'!JF:JF),"")</f>
        <v/>
      </c>
      <c r="M291" s="236" t="str">
        <f>IFERROR(_xlfn.XLOOKUP($A291,'Raw_Data'!$B:$B,'Raw_Data'!JG:JG),"")</f>
        <v/>
      </c>
      <c r="N291" s="236" t="str">
        <f>IFERROR(_xlfn.XLOOKUP($A291,'Raw_Data'!$B:$B,'Raw_Data'!JH:JH),"")</f>
        <v/>
      </c>
      <c r="O291" s="237" t="str">
        <f>IFERROR(1-SUMIF(PA!$B:$B,$A291,PA!$AL:$AL)/($AA291+SUMIF(PA!$B:$B,$A291,PA!$AL:$AL)),"")</f>
        <v/>
      </c>
      <c r="P291" s="238"/>
      <c r="Q291" s="239"/>
      <c r="R291" s="240" t="str">
        <f>IFERROR(1-SUMIF(GA!$C:$C,$A291,GA!$X:$X)/($AA291+SUMIF(GA!$C:$C,$A291,GA!$X:$X)),"")</f>
        <v/>
      </c>
      <c r="S291" s="186"/>
      <c r="T291" s="239"/>
      <c r="U291" s="237" t="str">
        <f t="shared" si="18"/>
        <v/>
      </c>
      <c r="V291" s="237" t="str">
        <f>IFERROR(_xlfn.XLOOKUP($A291,'Raw_Data'!$B:$B,'Raw_Data'!$JL:$JL),"")</f>
        <v/>
      </c>
      <c r="W291" s="240" t="str">
        <f t="shared" si="19"/>
        <v/>
      </c>
      <c r="X291" s="228" t="str">
        <f>IFERROR(_xlfn.XLOOKUP($A291,'Raw_Data'!$B:$B,'Raw_Data'!$JI:$JI),"")</f>
        <v/>
      </c>
      <c r="Y291" s="228" t="str">
        <f>IFERROR(_xlfn.XLOOKUP($A291,'Raw_Data'!$B:$B,'Raw_Data'!IT:IT),"")</f>
        <v/>
      </c>
      <c r="Z291" s="228" t="str">
        <f>IFERROR(_xlfn.XLOOKUP($A291,'Raw_Data'!$B:$B,'Raw_Data'!IU:IU),"")</f>
        <v/>
      </c>
      <c r="AA291" s="228" t="str">
        <f>IFERROR(_xlfn.XLOOKUP($A291,'Raw_Data'!$B:$B,'Raw_Data'!IW:IW),"")</f>
        <v/>
      </c>
      <c r="AB291" s="228" t="str">
        <f>IFERROR(_xlfn.XLOOKUP($A291,'Raw_Data'!$B:$B,'Raw_Data'!I:I)/1000,"")</f>
        <v/>
      </c>
      <c r="AC291" s="241">
        <f>IFERROR(_xlfn.XLOOKUP($D291,'Modelling New'!$D:$D,'Modelling New'!$P:$P),"")</f>
        <v>5.4525338387096776</v>
      </c>
      <c r="AD291" s="228">
        <f>IFERROR(_xlfn.XLOOKUP($D291,'Modelling New'!$D:$D,'Modelling New'!$T:$T)*1000,"")</f>
        <v>1597510.1090983946</v>
      </c>
      <c r="AE291" s="240">
        <f>IFERROR(_xlfn.XLOOKUP($D291,'Modelling New'!$D:$D,'Modelling New'!$O:$O),"")</f>
        <v>0.87434429771334443</v>
      </c>
      <c r="AF291" s="240">
        <f>IFERROR(_xlfn.XLOOKUP($D291,'Modelling New'!$D:$D,'Modelling New'!$W:$W),"")</f>
        <v>0.19864132791520248</v>
      </c>
      <c r="AG291" s="240">
        <f>IFERROR(_xlfn.XLOOKUP($D291,'Modelling New'!$D:$D,'Modelling New'!AE:AE),"")</f>
        <v>0.99750000000000005</v>
      </c>
      <c r="AH291" s="240">
        <f>IFERROR(_xlfn.XLOOKUP($D291,'Modelling New'!$D:$D,'Modelling New'!AF:AF),"")</f>
        <v>0.99750000000000005</v>
      </c>
      <c r="AI291" s="186"/>
      <c r="AJ291" s="186"/>
      <c r="AK291" s="225"/>
      <c r="AL291" s="224">
        <f>IFERROR(Table13[[#This Row],[RA (%)]]*9270*58,"")</f>
        <v>0</v>
      </c>
      <c r="AM291" s="225"/>
      <c r="AN291" s="238"/>
      <c r="AO291" s="240"/>
      <c r="AP291" s="240"/>
      <c r="AQ291" s="240"/>
      <c r="AR291" s="242">
        <f>IFERROR(_xlfn.XLOOKUP($D291,'Modelling New'!$D:$D,'Modelling New'!$N:$N),"")</f>
        <v>335.09100000000001</v>
      </c>
    </row>
    <row r="292" spans="1:44">
      <c r="A292" s="233">
        <f t="shared" si="20"/>
        <v>46035</v>
      </c>
      <c r="B292" s="228">
        <f>YEAR(Table13[[#This Row],[Date]])+IF(MONTH(Table13[[#This Row],[Date]])&gt;=4,1,0)</f>
        <v>2026</v>
      </c>
      <c r="C292" s="186">
        <f>YEAR(Table13[[#This Row],[Date]])</f>
        <v>2026</v>
      </c>
      <c r="D292" s="234">
        <f>Table13[[#This Row],[Date]]-DAY(Table13[[#This Row],[Date]])+1</f>
        <v>46023</v>
      </c>
      <c r="E292" s="186">
        <f t="shared" si="21"/>
        <v>31</v>
      </c>
      <c r="F292" s="235" t="str">
        <f>IFERROR(_xlfn.XLOOKUP($A292,'Raw_Data'!$B:$B,'Raw_Data'!$IX:$IX),"")</f>
        <v/>
      </c>
      <c r="G292" s="236" t="str">
        <f>IFERROR(_xlfn.XLOOKUP($A292,'Raw_Data'!$B:$B,'Raw_Data'!IY:IY),"")</f>
        <v/>
      </c>
      <c r="H292" s="236" t="str">
        <f>IFERROR(_xlfn.XLOOKUP($A292,'Raw_Data'!$B:$B,'Raw_Data'!IZ:IZ),"")</f>
        <v/>
      </c>
      <c r="I292" s="236" t="str">
        <f>IFERROR(_xlfn.XLOOKUP($A292,'Raw_Data'!$B:$B,'Raw_Data'!JA:JA),"")</f>
        <v/>
      </c>
      <c r="J292" s="236" t="str">
        <f>IFERROR(_xlfn.XLOOKUP($A292,'Raw_Data'!$B:$B,'Raw_Data'!JB:JB),"")</f>
        <v/>
      </c>
      <c r="K292" s="236" t="str">
        <f>IFERROR(_xlfn.XLOOKUP($A292,'Raw_Data'!$B:$B,'Raw_Data'!JE:JE),"")</f>
        <v/>
      </c>
      <c r="L292" s="236" t="str">
        <f>IFERROR(_xlfn.XLOOKUP($A292,'Raw_Data'!$B:$B,'Raw_Data'!JF:JF),"")</f>
        <v/>
      </c>
      <c r="M292" s="236" t="str">
        <f>IFERROR(_xlfn.XLOOKUP($A292,'Raw_Data'!$B:$B,'Raw_Data'!JG:JG),"")</f>
        <v/>
      </c>
      <c r="N292" s="236" t="str">
        <f>IFERROR(_xlfn.XLOOKUP($A292,'Raw_Data'!$B:$B,'Raw_Data'!JH:JH),"")</f>
        <v/>
      </c>
      <c r="O292" s="237" t="str">
        <f>IFERROR(1-SUMIF(PA!$B:$B,$A292,PA!$AL:$AL)/($AA292+SUMIF(PA!$B:$B,$A292,PA!$AL:$AL)),"")</f>
        <v/>
      </c>
      <c r="P292" s="238"/>
      <c r="Q292" s="239"/>
      <c r="R292" s="240" t="str">
        <f>IFERROR(1-SUMIF(GA!$C:$C,$A292,GA!$X:$X)/($AA292+SUMIF(GA!$C:$C,$A292,GA!$X:$X)),"")</f>
        <v/>
      </c>
      <c r="S292" s="186"/>
      <c r="T292" s="239"/>
      <c r="U292" s="237" t="str">
        <f t="shared" si="18"/>
        <v/>
      </c>
      <c r="V292" s="237" t="str">
        <f>IFERROR(_xlfn.XLOOKUP($A292,'Raw_Data'!$B:$B,'Raw_Data'!$JL:$JL),"")</f>
        <v/>
      </c>
      <c r="W292" s="240" t="str">
        <f t="shared" si="19"/>
        <v/>
      </c>
      <c r="X292" s="228" t="str">
        <f>IFERROR(_xlfn.XLOOKUP($A292,'Raw_Data'!$B:$B,'Raw_Data'!$JI:$JI),"")</f>
        <v/>
      </c>
      <c r="Y292" s="228" t="str">
        <f>IFERROR(_xlfn.XLOOKUP($A292,'Raw_Data'!$B:$B,'Raw_Data'!IT:IT),"")</f>
        <v/>
      </c>
      <c r="Z292" s="228" t="str">
        <f>IFERROR(_xlfn.XLOOKUP($A292,'Raw_Data'!$B:$B,'Raw_Data'!IU:IU),"")</f>
        <v/>
      </c>
      <c r="AA292" s="228" t="str">
        <f>IFERROR(_xlfn.XLOOKUP($A292,'Raw_Data'!$B:$B,'Raw_Data'!IW:IW),"")</f>
        <v/>
      </c>
      <c r="AB292" s="228" t="str">
        <f>IFERROR(_xlfn.XLOOKUP($A292,'Raw_Data'!$B:$B,'Raw_Data'!I:I)/1000,"")</f>
        <v/>
      </c>
      <c r="AC292" s="241">
        <f>IFERROR(_xlfn.XLOOKUP($D292,'Modelling New'!$D:$D,'Modelling New'!$P:$P),"")</f>
        <v>5.4525338387096776</v>
      </c>
      <c r="AD292" s="228">
        <f>IFERROR(_xlfn.XLOOKUP($D292,'Modelling New'!$D:$D,'Modelling New'!$T:$T)*1000,"")</f>
        <v>1597510.1090983946</v>
      </c>
      <c r="AE292" s="240">
        <f>IFERROR(_xlfn.XLOOKUP($D292,'Modelling New'!$D:$D,'Modelling New'!$O:$O),"")</f>
        <v>0.87434429771334443</v>
      </c>
      <c r="AF292" s="240">
        <f>IFERROR(_xlfn.XLOOKUP($D292,'Modelling New'!$D:$D,'Modelling New'!$W:$W),"")</f>
        <v>0.19864132791520248</v>
      </c>
      <c r="AG292" s="240">
        <f>IFERROR(_xlfn.XLOOKUP($D292,'Modelling New'!$D:$D,'Modelling New'!AE:AE),"")</f>
        <v>0.99750000000000005</v>
      </c>
      <c r="AH292" s="240">
        <f>IFERROR(_xlfn.XLOOKUP($D292,'Modelling New'!$D:$D,'Modelling New'!AF:AF),"")</f>
        <v>0.99750000000000005</v>
      </c>
      <c r="AI292" s="186"/>
      <c r="AJ292" s="186"/>
      <c r="AK292" s="225"/>
      <c r="AL292" s="224">
        <f>IFERROR(Table13[[#This Row],[RA (%)]]*9270*58,"")</f>
        <v>0</v>
      </c>
      <c r="AM292" s="225"/>
      <c r="AN292" s="238"/>
      <c r="AO292" s="240"/>
      <c r="AP292" s="240"/>
      <c r="AQ292" s="240"/>
      <c r="AR292" s="242">
        <f>IFERROR(_xlfn.XLOOKUP($D292,'Modelling New'!$D:$D,'Modelling New'!$N:$N),"")</f>
        <v>335.09100000000001</v>
      </c>
    </row>
    <row r="293" spans="1:44">
      <c r="A293" s="233">
        <f t="shared" si="20"/>
        <v>46036</v>
      </c>
      <c r="B293" s="228">
        <f>YEAR(Table13[[#This Row],[Date]])+IF(MONTH(Table13[[#This Row],[Date]])&gt;=4,1,0)</f>
        <v>2026</v>
      </c>
      <c r="C293" s="186">
        <f>YEAR(Table13[[#This Row],[Date]])</f>
        <v>2026</v>
      </c>
      <c r="D293" s="234">
        <f>Table13[[#This Row],[Date]]-DAY(Table13[[#This Row],[Date]])+1</f>
        <v>46023</v>
      </c>
      <c r="E293" s="186">
        <f t="shared" si="21"/>
        <v>31</v>
      </c>
      <c r="F293" s="235" t="str">
        <f>IFERROR(_xlfn.XLOOKUP($A293,'Raw_Data'!$B:$B,'Raw_Data'!$IX:$IX),"")</f>
        <v/>
      </c>
      <c r="G293" s="236" t="str">
        <f>IFERROR(_xlfn.XLOOKUP($A293,'Raw_Data'!$B:$B,'Raw_Data'!IY:IY),"")</f>
        <v/>
      </c>
      <c r="H293" s="236" t="str">
        <f>IFERROR(_xlfn.XLOOKUP($A293,'Raw_Data'!$B:$B,'Raw_Data'!IZ:IZ),"")</f>
        <v/>
      </c>
      <c r="I293" s="236" t="str">
        <f>IFERROR(_xlfn.XLOOKUP($A293,'Raw_Data'!$B:$B,'Raw_Data'!JA:JA),"")</f>
        <v/>
      </c>
      <c r="J293" s="236" t="str">
        <f>IFERROR(_xlfn.XLOOKUP($A293,'Raw_Data'!$B:$B,'Raw_Data'!JB:JB),"")</f>
        <v/>
      </c>
      <c r="K293" s="236" t="str">
        <f>IFERROR(_xlfn.XLOOKUP($A293,'Raw_Data'!$B:$B,'Raw_Data'!JE:JE),"")</f>
        <v/>
      </c>
      <c r="L293" s="236" t="str">
        <f>IFERROR(_xlfn.XLOOKUP($A293,'Raw_Data'!$B:$B,'Raw_Data'!JF:JF),"")</f>
        <v/>
      </c>
      <c r="M293" s="236" t="str">
        <f>IFERROR(_xlfn.XLOOKUP($A293,'Raw_Data'!$B:$B,'Raw_Data'!JG:JG),"")</f>
        <v/>
      </c>
      <c r="N293" s="236" t="str">
        <f>IFERROR(_xlfn.XLOOKUP($A293,'Raw_Data'!$B:$B,'Raw_Data'!JH:JH),"")</f>
        <v/>
      </c>
      <c r="O293" s="237" t="str">
        <f>IFERROR(1-SUMIF(PA!$B:$B,$A293,PA!$AL:$AL)/($AA293+SUMIF(PA!$B:$B,$A293,PA!$AL:$AL)),"")</f>
        <v/>
      </c>
      <c r="P293" s="238"/>
      <c r="Q293" s="239"/>
      <c r="R293" s="240" t="str">
        <f>IFERROR(1-SUMIF(GA!$C:$C,$A293,GA!$X:$X)/($AA293+SUMIF(GA!$C:$C,$A293,GA!$X:$X)),"")</f>
        <v/>
      </c>
      <c r="S293" s="186"/>
      <c r="T293" s="239"/>
      <c r="U293" s="237" t="str">
        <f t="shared" si="18"/>
        <v/>
      </c>
      <c r="V293" s="237" t="str">
        <f>IFERROR(_xlfn.XLOOKUP($A293,'Raw_Data'!$B:$B,'Raw_Data'!$JL:$JL),"")</f>
        <v/>
      </c>
      <c r="W293" s="240" t="str">
        <f t="shared" si="19"/>
        <v/>
      </c>
      <c r="X293" s="228" t="str">
        <f>IFERROR(_xlfn.XLOOKUP($A293,'Raw_Data'!$B:$B,'Raw_Data'!$JI:$JI),"")</f>
        <v/>
      </c>
      <c r="Y293" s="228" t="str">
        <f>IFERROR(_xlfn.XLOOKUP($A293,'Raw_Data'!$B:$B,'Raw_Data'!IT:IT),"")</f>
        <v/>
      </c>
      <c r="Z293" s="228" t="str">
        <f>IFERROR(_xlfn.XLOOKUP($A293,'Raw_Data'!$B:$B,'Raw_Data'!IU:IU),"")</f>
        <v/>
      </c>
      <c r="AA293" s="228" t="str">
        <f>IFERROR(_xlfn.XLOOKUP($A293,'Raw_Data'!$B:$B,'Raw_Data'!IW:IW),"")</f>
        <v/>
      </c>
      <c r="AB293" s="228" t="str">
        <f>IFERROR(_xlfn.XLOOKUP($A293,'Raw_Data'!$B:$B,'Raw_Data'!I:I)/1000,"")</f>
        <v/>
      </c>
      <c r="AC293" s="241">
        <f>IFERROR(_xlfn.XLOOKUP($D293,'Modelling New'!$D:$D,'Modelling New'!$P:$P),"")</f>
        <v>5.4525338387096776</v>
      </c>
      <c r="AD293" s="228">
        <f>IFERROR(_xlfn.XLOOKUP($D293,'Modelling New'!$D:$D,'Modelling New'!$T:$T)*1000,"")</f>
        <v>1597510.1090983946</v>
      </c>
      <c r="AE293" s="240">
        <f>IFERROR(_xlfn.XLOOKUP($D293,'Modelling New'!$D:$D,'Modelling New'!$O:$O),"")</f>
        <v>0.87434429771334443</v>
      </c>
      <c r="AF293" s="240">
        <f>IFERROR(_xlfn.XLOOKUP($D293,'Modelling New'!$D:$D,'Modelling New'!$W:$W),"")</f>
        <v>0.19864132791520248</v>
      </c>
      <c r="AG293" s="240">
        <f>IFERROR(_xlfn.XLOOKUP($D293,'Modelling New'!$D:$D,'Modelling New'!AE:AE),"")</f>
        <v>0.99750000000000005</v>
      </c>
      <c r="AH293" s="240">
        <f>IFERROR(_xlfn.XLOOKUP($D293,'Modelling New'!$D:$D,'Modelling New'!AF:AF),"")</f>
        <v>0.99750000000000005</v>
      </c>
      <c r="AI293" s="186"/>
      <c r="AJ293" s="186"/>
      <c r="AK293" s="225"/>
      <c r="AL293" s="224">
        <f>IFERROR(Table13[[#This Row],[RA (%)]]*9270*58,"")</f>
        <v>0</v>
      </c>
      <c r="AM293" s="225"/>
      <c r="AN293" s="238"/>
      <c r="AO293" s="240"/>
      <c r="AP293" s="240"/>
      <c r="AQ293" s="240"/>
      <c r="AR293" s="242">
        <f>IFERROR(_xlfn.XLOOKUP($D293,'Modelling New'!$D:$D,'Modelling New'!$N:$N),"")</f>
        <v>335.09100000000001</v>
      </c>
    </row>
    <row r="294" spans="1:44">
      <c r="A294" s="233">
        <f t="shared" si="20"/>
        <v>46037</v>
      </c>
      <c r="B294" s="228">
        <f>YEAR(Table13[[#This Row],[Date]])+IF(MONTH(Table13[[#This Row],[Date]])&gt;=4,1,0)</f>
        <v>2026</v>
      </c>
      <c r="C294" s="186">
        <f>YEAR(Table13[[#This Row],[Date]])</f>
        <v>2026</v>
      </c>
      <c r="D294" s="234">
        <f>Table13[[#This Row],[Date]]-DAY(Table13[[#This Row],[Date]])+1</f>
        <v>46023</v>
      </c>
      <c r="E294" s="186">
        <f t="shared" si="21"/>
        <v>31</v>
      </c>
      <c r="F294" s="235" t="str">
        <f>IFERROR(_xlfn.XLOOKUP($A294,'Raw_Data'!$B:$B,'Raw_Data'!$IX:$IX),"")</f>
        <v/>
      </c>
      <c r="G294" s="236" t="str">
        <f>IFERROR(_xlfn.XLOOKUP($A294,'Raw_Data'!$B:$B,'Raw_Data'!IY:IY),"")</f>
        <v/>
      </c>
      <c r="H294" s="236" t="str">
        <f>IFERROR(_xlfn.XLOOKUP($A294,'Raw_Data'!$B:$B,'Raw_Data'!IZ:IZ),"")</f>
        <v/>
      </c>
      <c r="I294" s="236" t="str">
        <f>IFERROR(_xlfn.XLOOKUP($A294,'Raw_Data'!$B:$B,'Raw_Data'!JA:JA),"")</f>
        <v/>
      </c>
      <c r="J294" s="236" t="str">
        <f>IFERROR(_xlfn.XLOOKUP($A294,'Raw_Data'!$B:$B,'Raw_Data'!JB:JB),"")</f>
        <v/>
      </c>
      <c r="K294" s="236" t="str">
        <f>IFERROR(_xlfn.XLOOKUP($A294,'Raw_Data'!$B:$B,'Raw_Data'!JE:JE),"")</f>
        <v/>
      </c>
      <c r="L294" s="236" t="str">
        <f>IFERROR(_xlfn.XLOOKUP($A294,'Raw_Data'!$B:$B,'Raw_Data'!JF:JF),"")</f>
        <v/>
      </c>
      <c r="M294" s="236" t="str">
        <f>IFERROR(_xlfn.XLOOKUP($A294,'Raw_Data'!$B:$B,'Raw_Data'!JG:JG),"")</f>
        <v/>
      </c>
      <c r="N294" s="236" t="str">
        <f>IFERROR(_xlfn.XLOOKUP($A294,'Raw_Data'!$B:$B,'Raw_Data'!JH:JH),"")</f>
        <v/>
      </c>
      <c r="O294" s="237" t="str">
        <f>IFERROR(1-SUMIF(PA!$B:$B,$A294,PA!$AL:$AL)/($AA294+SUMIF(PA!$B:$B,$A294,PA!$AL:$AL)),"")</f>
        <v/>
      </c>
      <c r="P294" s="238"/>
      <c r="Q294" s="239"/>
      <c r="R294" s="240" t="str">
        <f>IFERROR(1-SUMIF(GA!$C:$C,$A294,GA!$X:$X)/($AA294+SUMIF(GA!$C:$C,$A294,GA!$X:$X)),"")</f>
        <v/>
      </c>
      <c r="S294" s="186"/>
      <c r="T294" s="239"/>
      <c r="U294" s="237" t="str">
        <f t="shared" si="18"/>
        <v/>
      </c>
      <c r="V294" s="237" t="str">
        <f>IFERROR(_xlfn.XLOOKUP($A294,'Raw_Data'!$B:$B,'Raw_Data'!$JL:$JL),"")</f>
        <v/>
      </c>
      <c r="W294" s="240" t="str">
        <f t="shared" si="19"/>
        <v/>
      </c>
      <c r="X294" s="228" t="str">
        <f>IFERROR(_xlfn.XLOOKUP($A294,'Raw_Data'!$B:$B,'Raw_Data'!$JI:$JI),"")</f>
        <v/>
      </c>
      <c r="Y294" s="228" t="str">
        <f>IFERROR(_xlfn.XLOOKUP($A294,'Raw_Data'!$B:$B,'Raw_Data'!IT:IT),"")</f>
        <v/>
      </c>
      <c r="Z294" s="228" t="str">
        <f>IFERROR(_xlfn.XLOOKUP($A294,'Raw_Data'!$B:$B,'Raw_Data'!IU:IU),"")</f>
        <v/>
      </c>
      <c r="AA294" s="228" t="str">
        <f>IFERROR(_xlfn.XLOOKUP($A294,'Raw_Data'!$B:$B,'Raw_Data'!IW:IW),"")</f>
        <v/>
      </c>
      <c r="AB294" s="228" t="str">
        <f>IFERROR(_xlfn.XLOOKUP($A294,'Raw_Data'!$B:$B,'Raw_Data'!I:I)/1000,"")</f>
        <v/>
      </c>
      <c r="AC294" s="241">
        <f>IFERROR(_xlfn.XLOOKUP($D294,'Modelling New'!$D:$D,'Modelling New'!$P:$P),"")</f>
        <v>5.4525338387096776</v>
      </c>
      <c r="AD294" s="228">
        <f>IFERROR(_xlfn.XLOOKUP($D294,'Modelling New'!$D:$D,'Modelling New'!$T:$T)*1000,"")</f>
        <v>1597510.1090983946</v>
      </c>
      <c r="AE294" s="240">
        <f>IFERROR(_xlfn.XLOOKUP($D294,'Modelling New'!$D:$D,'Modelling New'!$O:$O),"")</f>
        <v>0.87434429771334443</v>
      </c>
      <c r="AF294" s="240">
        <f>IFERROR(_xlfn.XLOOKUP($D294,'Modelling New'!$D:$D,'Modelling New'!$W:$W),"")</f>
        <v>0.19864132791520248</v>
      </c>
      <c r="AG294" s="240">
        <f>IFERROR(_xlfn.XLOOKUP($D294,'Modelling New'!$D:$D,'Modelling New'!AE:AE),"")</f>
        <v>0.99750000000000005</v>
      </c>
      <c r="AH294" s="240">
        <f>IFERROR(_xlfn.XLOOKUP($D294,'Modelling New'!$D:$D,'Modelling New'!AF:AF),"")</f>
        <v>0.99750000000000005</v>
      </c>
      <c r="AI294" s="186"/>
      <c r="AJ294" s="186"/>
      <c r="AK294" s="225"/>
      <c r="AL294" s="224">
        <f>IFERROR(Table13[[#This Row],[RA (%)]]*9270*58,"")</f>
        <v>0</v>
      </c>
      <c r="AM294" s="225"/>
      <c r="AN294" s="238"/>
      <c r="AO294" s="240"/>
      <c r="AP294" s="240"/>
      <c r="AQ294" s="240"/>
      <c r="AR294" s="242">
        <f>IFERROR(_xlfn.XLOOKUP($D294,'Modelling New'!$D:$D,'Modelling New'!$N:$N),"")</f>
        <v>335.09100000000001</v>
      </c>
    </row>
    <row r="295" spans="1:44">
      <c r="A295" s="233">
        <f t="shared" si="20"/>
        <v>46038</v>
      </c>
      <c r="B295" s="228">
        <f>YEAR(Table13[[#This Row],[Date]])+IF(MONTH(Table13[[#This Row],[Date]])&gt;=4,1,0)</f>
        <v>2026</v>
      </c>
      <c r="C295" s="186">
        <f>YEAR(Table13[[#This Row],[Date]])</f>
        <v>2026</v>
      </c>
      <c r="D295" s="234">
        <f>Table13[[#This Row],[Date]]-DAY(Table13[[#This Row],[Date]])+1</f>
        <v>46023</v>
      </c>
      <c r="E295" s="186">
        <f t="shared" si="21"/>
        <v>31</v>
      </c>
      <c r="F295" s="235" t="str">
        <f>IFERROR(_xlfn.XLOOKUP($A295,'Raw_Data'!$B:$B,'Raw_Data'!$IX:$IX),"")</f>
        <v/>
      </c>
      <c r="G295" s="236" t="str">
        <f>IFERROR(_xlfn.XLOOKUP($A295,'Raw_Data'!$B:$B,'Raw_Data'!IY:IY),"")</f>
        <v/>
      </c>
      <c r="H295" s="236" t="str">
        <f>IFERROR(_xlfn.XLOOKUP($A295,'Raw_Data'!$B:$B,'Raw_Data'!IZ:IZ),"")</f>
        <v/>
      </c>
      <c r="I295" s="236" t="str">
        <f>IFERROR(_xlfn.XLOOKUP($A295,'Raw_Data'!$B:$B,'Raw_Data'!JA:JA),"")</f>
        <v/>
      </c>
      <c r="J295" s="236" t="str">
        <f>IFERROR(_xlfn.XLOOKUP($A295,'Raw_Data'!$B:$B,'Raw_Data'!JB:JB),"")</f>
        <v/>
      </c>
      <c r="K295" s="236" t="str">
        <f>IFERROR(_xlfn.XLOOKUP($A295,'Raw_Data'!$B:$B,'Raw_Data'!JE:JE),"")</f>
        <v/>
      </c>
      <c r="L295" s="236" t="str">
        <f>IFERROR(_xlfn.XLOOKUP($A295,'Raw_Data'!$B:$B,'Raw_Data'!JF:JF),"")</f>
        <v/>
      </c>
      <c r="M295" s="236" t="str">
        <f>IFERROR(_xlfn.XLOOKUP($A295,'Raw_Data'!$B:$B,'Raw_Data'!JG:JG),"")</f>
        <v/>
      </c>
      <c r="N295" s="236" t="str">
        <f>IFERROR(_xlfn.XLOOKUP($A295,'Raw_Data'!$B:$B,'Raw_Data'!JH:JH),"")</f>
        <v/>
      </c>
      <c r="O295" s="237" t="str">
        <f>IFERROR(1-SUMIF(PA!$B:$B,$A295,PA!$AL:$AL)/($AA295+SUMIF(PA!$B:$B,$A295,PA!$AL:$AL)),"")</f>
        <v/>
      </c>
      <c r="P295" s="238"/>
      <c r="Q295" s="239"/>
      <c r="R295" s="240" t="str">
        <f>IFERROR(1-SUMIF(GA!$C:$C,$A295,GA!$X:$X)/($AA295+SUMIF(GA!$C:$C,$A295,GA!$X:$X)),"")</f>
        <v/>
      </c>
      <c r="S295" s="186"/>
      <c r="T295" s="239"/>
      <c r="U295" s="237" t="str">
        <f t="shared" si="18"/>
        <v/>
      </c>
      <c r="V295" s="237" t="str">
        <f>IFERROR(_xlfn.XLOOKUP($A295,'Raw_Data'!$B:$B,'Raw_Data'!$JL:$JL),"")</f>
        <v/>
      </c>
      <c r="W295" s="240" t="str">
        <f t="shared" si="19"/>
        <v/>
      </c>
      <c r="X295" s="228" t="str">
        <f>IFERROR(_xlfn.XLOOKUP($A295,'Raw_Data'!$B:$B,'Raw_Data'!$JI:$JI),"")</f>
        <v/>
      </c>
      <c r="Y295" s="228" t="str">
        <f>IFERROR(_xlfn.XLOOKUP($A295,'Raw_Data'!$B:$B,'Raw_Data'!IT:IT),"")</f>
        <v/>
      </c>
      <c r="Z295" s="228" t="str">
        <f>IFERROR(_xlfn.XLOOKUP($A295,'Raw_Data'!$B:$B,'Raw_Data'!IU:IU),"")</f>
        <v/>
      </c>
      <c r="AA295" s="228" t="str">
        <f>IFERROR(_xlfn.XLOOKUP($A295,'Raw_Data'!$B:$B,'Raw_Data'!IW:IW),"")</f>
        <v/>
      </c>
      <c r="AB295" s="228" t="str">
        <f>IFERROR(_xlfn.XLOOKUP($A295,'Raw_Data'!$B:$B,'Raw_Data'!I:I)/1000,"")</f>
        <v/>
      </c>
      <c r="AC295" s="241">
        <f>IFERROR(_xlfn.XLOOKUP($D295,'Modelling New'!$D:$D,'Modelling New'!$P:$P),"")</f>
        <v>5.4525338387096776</v>
      </c>
      <c r="AD295" s="228">
        <f>IFERROR(_xlfn.XLOOKUP($D295,'Modelling New'!$D:$D,'Modelling New'!$T:$T)*1000,"")</f>
        <v>1597510.1090983946</v>
      </c>
      <c r="AE295" s="240">
        <f>IFERROR(_xlfn.XLOOKUP($D295,'Modelling New'!$D:$D,'Modelling New'!$O:$O),"")</f>
        <v>0.87434429771334443</v>
      </c>
      <c r="AF295" s="240">
        <f>IFERROR(_xlfn.XLOOKUP($D295,'Modelling New'!$D:$D,'Modelling New'!$W:$W),"")</f>
        <v>0.19864132791520248</v>
      </c>
      <c r="AG295" s="240">
        <f>IFERROR(_xlfn.XLOOKUP($D295,'Modelling New'!$D:$D,'Modelling New'!AE:AE),"")</f>
        <v>0.99750000000000005</v>
      </c>
      <c r="AH295" s="240">
        <f>IFERROR(_xlfn.XLOOKUP($D295,'Modelling New'!$D:$D,'Modelling New'!AF:AF),"")</f>
        <v>0.99750000000000005</v>
      </c>
      <c r="AI295" s="186"/>
      <c r="AJ295" s="186"/>
      <c r="AK295" s="225"/>
      <c r="AL295" s="224">
        <f>IFERROR(Table13[[#This Row],[RA (%)]]*9270*58,"")</f>
        <v>0</v>
      </c>
      <c r="AM295" s="225"/>
      <c r="AN295" s="238"/>
      <c r="AO295" s="240"/>
      <c r="AP295" s="240"/>
      <c r="AQ295" s="240"/>
      <c r="AR295" s="242">
        <f>IFERROR(_xlfn.XLOOKUP($D295,'Modelling New'!$D:$D,'Modelling New'!$N:$N),"")</f>
        <v>335.09100000000001</v>
      </c>
    </row>
    <row r="296" spans="1:44">
      <c r="A296" s="233">
        <f t="shared" si="20"/>
        <v>46039</v>
      </c>
      <c r="B296" s="228">
        <f>YEAR(Table13[[#This Row],[Date]])+IF(MONTH(Table13[[#This Row],[Date]])&gt;=4,1,0)</f>
        <v>2026</v>
      </c>
      <c r="C296" s="186">
        <f>YEAR(Table13[[#This Row],[Date]])</f>
        <v>2026</v>
      </c>
      <c r="D296" s="234">
        <f>Table13[[#This Row],[Date]]-DAY(Table13[[#This Row],[Date]])+1</f>
        <v>46023</v>
      </c>
      <c r="E296" s="186">
        <f t="shared" si="21"/>
        <v>31</v>
      </c>
      <c r="F296" s="235" t="str">
        <f>IFERROR(_xlfn.XLOOKUP($A296,'Raw_Data'!$B:$B,'Raw_Data'!$IX:$IX),"")</f>
        <v/>
      </c>
      <c r="G296" s="236" t="str">
        <f>IFERROR(_xlfn.XLOOKUP($A296,'Raw_Data'!$B:$B,'Raw_Data'!IY:IY),"")</f>
        <v/>
      </c>
      <c r="H296" s="236" t="str">
        <f>IFERROR(_xlfn.XLOOKUP($A296,'Raw_Data'!$B:$B,'Raw_Data'!IZ:IZ),"")</f>
        <v/>
      </c>
      <c r="I296" s="236" t="str">
        <f>IFERROR(_xlfn.XLOOKUP($A296,'Raw_Data'!$B:$B,'Raw_Data'!JA:JA),"")</f>
        <v/>
      </c>
      <c r="J296" s="236" t="str">
        <f>IFERROR(_xlfn.XLOOKUP($A296,'Raw_Data'!$B:$B,'Raw_Data'!JB:JB),"")</f>
        <v/>
      </c>
      <c r="K296" s="236" t="str">
        <f>IFERROR(_xlfn.XLOOKUP($A296,'Raw_Data'!$B:$B,'Raw_Data'!JE:JE),"")</f>
        <v/>
      </c>
      <c r="L296" s="236" t="str">
        <f>IFERROR(_xlfn.XLOOKUP($A296,'Raw_Data'!$B:$B,'Raw_Data'!JF:JF),"")</f>
        <v/>
      </c>
      <c r="M296" s="236" t="str">
        <f>IFERROR(_xlfn.XLOOKUP($A296,'Raw_Data'!$B:$B,'Raw_Data'!JG:JG),"")</f>
        <v/>
      </c>
      <c r="N296" s="236" t="str">
        <f>IFERROR(_xlfn.XLOOKUP($A296,'Raw_Data'!$B:$B,'Raw_Data'!JH:JH),"")</f>
        <v/>
      </c>
      <c r="O296" s="237" t="str">
        <f>IFERROR(1-SUMIF(PA!$B:$B,$A296,PA!$AL:$AL)/($AA296+SUMIF(PA!$B:$B,$A296,PA!$AL:$AL)),"")</f>
        <v/>
      </c>
      <c r="P296" s="238"/>
      <c r="Q296" s="239"/>
      <c r="R296" s="240" t="str">
        <f>IFERROR(1-SUMIF(GA!$C:$C,$A296,GA!$X:$X)/($AA296+SUMIF(GA!$C:$C,$A296,GA!$X:$X)),"")</f>
        <v/>
      </c>
      <c r="S296" s="186"/>
      <c r="T296" s="239"/>
      <c r="U296" s="237" t="str">
        <f t="shared" si="18"/>
        <v/>
      </c>
      <c r="V296" s="237" t="str">
        <f>IFERROR(_xlfn.XLOOKUP($A296,'Raw_Data'!$B:$B,'Raw_Data'!$JL:$JL),"")</f>
        <v/>
      </c>
      <c r="W296" s="240" t="str">
        <f t="shared" si="19"/>
        <v/>
      </c>
      <c r="X296" s="228" t="str">
        <f>IFERROR(_xlfn.XLOOKUP($A296,'Raw_Data'!$B:$B,'Raw_Data'!$JI:$JI),"")</f>
        <v/>
      </c>
      <c r="Y296" s="228" t="str">
        <f>IFERROR(_xlfn.XLOOKUP($A296,'Raw_Data'!$B:$B,'Raw_Data'!IT:IT),"")</f>
        <v/>
      </c>
      <c r="Z296" s="228" t="str">
        <f>IFERROR(_xlfn.XLOOKUP($A296,'Raw_Data'!$B:$B,'Raw_Data'!IU:IU),"")</f>
        <v/>
      </c>
      <c r="AA296" s="228" t="str">
        <f>IFERROR(_xlfn.XLOOKUP($A296,'Raw_Data'!$B:$B,'Raw_Data'!IW:IW),"")</f>
        <v/>
      </c>
      <c r="AB296" s="228" t="str">
        <f>IFERROR(_xlfn.XLOOKUP($A296,'Raw_Data'!$B:$B,'Raw_Data'!I:I)/1000,"")</f>
        <v/>
      </c>
      <c r="AC296" s="241">
        <f>IFERROR(_xlfn.XLOOKUP($D296,'Modelling New'!$D:$D,'Modelling New'!$P:$P),"")</f>
        <v>5.4525338387096776</v>
      </c>
      <c r="AD296" s="228">
        <f>IFERROR(_xlfn.XLOOKUP($D296,'Modelling New'!$D:$D,'Modelling New'!$T:$T)*1000,"")</f>
        <v>1597510.1090983946</v>
      </c>
      <c r="AE296" s="240">
        <f>IFERROR(_xlfn.XLOOKUP($D296,'Modelling New'!$D:$D,'Modelling New'!$O:$O),"")</f>
        <v>0.87434429771334443</v>
      </c>
      <c r="AF296" s="240">
        <f>IFERROR(_xlfn.XLOOKUP($D296,'Modelling New'!$D:$D,'Modelling New'!$W:$W),"")</f>
        <v>0.19864132791520248</v>
      </c>
      <c r="AG296" s="240">
        <f>IFERROR(_xlfn.XLOOKUP($D296,'Modelling New'!$D:$D,'Modelling New'!AE:AE),"")</f>
        <v>0.99750000000000005</v>
      </c>
      <c r="AH296" s="240">
        <f>IFERROR(_xlfn.XLOOKUP($D296,'Modelling New'!$D:$D,'Modelling New'!AF:AF),"")</f>
        <v>0.99750000000000005</v>
      </c>
      <c r="AI296" s="186"/>
      <c r="AJ296" s="186"/>
      <c r="AK296" s="225"/>
      <c r="AL296" s="224">
        <f>IFERROR(Table13[[#This Row],[RA (%)]]*9270*58,"")</f>
        <v>0</v>
      </c>
      <c r="AM296" s="225"/>
      <c r="AN296" s="238"/>
      <c r="AO296" s="240"/>
      <c r="AP296" s="240"/>
      <c r="AQ296" s="240"/>
      <c r="AR296" s="242">
        <f>IFERROR(_xlfn.XLOOKUP($D296,'Modelling New'!$D:$D,'Modelling New'!$N:$N),"")</f>
        <v>335.09100000000001</v>
      </c>
    </row>
    <row r="297" spans="1:44">
      <c r="A297" s="233">
        <f t="shared" si="20"/>
        <v>46040</v>
      </c>
      <c r="B297" s="228">
        <f>YEAR(Table13[[#This Row],[Date]])+IF(MONTH(Table13[[#This Row],[Date]])&gt;=4,1,0)</f>
        <v>2026</v>
      </c>
      <c r="C297" s="186">
        <f>YEAR(Table13[[#This Row],[Date]])</f>
        <v>2026</v>
      </c>
      <c r="D297" s="234">
        <f>Table13[[#This Row],[Date]]-DAY(Table13[[#This Row],[Date]])+1</f>
        <v>46023</v>
      </c>
      <c r="E297" s="186">
        <f t="shared" si="21"/>
        <v>31</v>
      </c>
      <c r="F297" s="235" t="str">
        <f>IFERROR(_xlfn.XLOOKUP($A297,'Raw_Data'!$B:$B,'Raw_Data'!$IX:$IX),"")</f>
        <v/>
      </c>
      <c r="G297" s="236" t="str">
        <f>IFERROR(_xlfn.XLOOKUP($A297,'Raw_Data'!$B:$B,'Raw_Data'!IY:IY),"")</f>
        <v/>
      </c>
      <c r="H297" s="236" t="str">
        <f>IFERROR(_xlfn.XLOOKUP($A297,'Raw_Data'!$B:$B,'Raw_Data'!IZ:IZ),"")</f>
        <v/>
      </c>
      <c r="I297" s="236" t="str">
        <f>IFERROR(_xlfn.XLOOKUP($A297,'Raw_Data'!$B:$B,'Raw_Data'!JA:JA),"")</f>
        <v/>
      </c>
      <c r="J297" s="236" t="str">
        <f>IFERROR(_xlfn.XLOOKUP($A297,'Raw_Data'!$B:$B,'Raw_Data'!JB:JB),"")</f>
        <v/>
      </c>
      <c r="K297" s="236" t="str">
        <f>IFERROR(_xlfn.XLOOKUP($A297,'Raw_Data'!$B:$B,'Raw_Data'!JE:JE),"")</f>
        <v/>
      </c>
      <c r="L297" s="236" t="str">
        <f>IFERROR(_xlfn.XLOOKUP($A297,'Raw_Data'!$B:$B,'Raw_Data'!JF:JF),"")</f>
        <v/>
      </c>
      <c r="M297" s="236" t="str">
        <f>IFERROR(_xlfn.XLOOKUP($A297,'Raw_Data'!$B:$B,'Raw_Data'!JG:JG),"")</f>
        <v/>
      </c>
      <c r="N297" s="236" t="str">
        <f>IFERROR(_xlfn.XLOOKUP($A297,'Raw_Data'!$B:$B,'Raw_Data'!JH:JH),"")</f>
        <v/>
      </c>
      <c r="O297" s="237" t="str">
        <f>IFERROR(1-SUMIF(PA!$B:$B,$A297,PA!$AL:$AL)/($AA297+SUMIF(PA!$B:$B,$A297,PA!$AL:$AL)),"")</f>
        <v/>
      </c>
      <c r="P297" s="238"/>
      <c r="Q297" s="239"/>
      <c r="R297" s="240" t="str">
        <f>IFERROR(1-SUMIF(GA!$C:$C,$A297,GA!$X:$X)/($AA297+SUMIF(GA!$C:$C,$A297,GA!$X:$X)),"")</f>
        <v/>
      </c>
      <c r="S297" s="186"/>
      <c r="T297" s="239"/>
      <c r="U297" s="237" t="str">
        <f t="shared" si="18"/>
        <v/>
      </c>
      <c r="V297" s="237" t="str">
        <f>IFERROR(_xlfn.XLOOKUP($A297,'Raw_Data'!$B:$B,'Raw_Data'!$JL:$JL),"")</f>
        <v/>
      </c>
      <c r="W297" s="240" t="str">
        <f t="shared" si="19"/>
        <v/>
      </c>
      <c r="X297" s="228" t="str">
        <f>IFERROR(_xlfn.XLOOKUP($A297,'Raw_Data'!$B:$B,'Raw_Data'!$JI:$JI),"")</f>
        <v/>
      </c>
      <c r="Y297" s="228" t="str">
        <f>IFERROR(_xlfn.XLOOKUP($A297,'Raw_Data'!$B:$B,'Raw_Data'!IT:IT),"")</f>
        <v/>
      </c>
      <c r="Z297" s="228" t="str">
        <f>IFERROR(_xlfn.XLOOKUP($A297,'Raw_Data'!$B:$B,'Raw_Data'!IU:IU),"")</f>
        <v/>
      </c>
      <c r="AA297" s="228" t="str">
        <f>IFERROR(_xlfn.XLOOKUP($A297,'Raw_Data'!$B:$B,'Raw_Data'!IW:IW),"")</f>
        <v/>
      </c>
      <c r="AB297" s="228" t="str">
        <f>IFERROR(_xlfn.XLOOKUP($A297,'Raw_Data'!$B:$B,'Raw_Data'!I:I)/1000,"")</f>
        <v/>
      </c>
      <c r="AC297" s="241">
        <f>IFERROR(_xlfn.XLOOKUP($D297,'Modelling New'!$D:$D,'Modelling New'!$P:$P),"")</f>
        <v>5.4525338387096776</v>
      </c>
      <c r="AD297" s="228">
        <f>IFERROR(_xlfn.XLOOKUP($D297,'Modelling New'!$D:$D,'Modelling New'!$T:$T)*1000,"")</f>
        <v>1597510.1090983946</v>
      </c>
      <c r="AE297" s="240">
        <f>IFERROR(_xlfn.XLOOKUP($D297,'Modelling New'!$D:$D,'Modelling New'!$O:$O),"")</f>
        <v>0.87434429771334443</v>
      </c>
      <c r="AF297" s="240">
        <f>IFERROR(_xlfn.XLOOKUP($D297,'Modelling New'!$D:$D,'Modelling New'!$W:$W),"")</f>
        <v>0.19864132791520248</v>
      </c>
      <c r="AG297" s="240">
        <f>IFERROR(_xlfn.XLOOKUP($D297,'Modelling New'!$D:$D,'Modelling New'!AE:AE),"")</f>
        <v>0.99750000000000005</v>
      </c>
      <c r="AH297" s="240">
        <f>IFERROR(_xlfn.XLOOKUP($D297,'Modelling New'!$D:$D,'Modelling New'!AF:AF),"")</f>
        <v>0.99750000000000005</v>
      </c>
      <c r="AI297" s="186"/>
      <c r="AJ297" s="186"/>
      <c r="AK297" s="225"/>
      <c r="AL297" s="224">
        <f>IFERROR(Table13[[#This Row],[RA (%)]]*9270*58,"")</f>
        <v>0</v>
      </c>
      <c r="AM297" s="225"/>
      <c r="AN297" s="238"/>
      <c r="AO297" s="240"/>
      <c r="AP297" s="240"/>
      <c r="AQ297" s="240"/>
      <c r="AR297" s="242">
        <f>IFERROR(_xlfn.XLOOKUP($D297,'Modelling New'!$D:$D,'Modelling New'!$N:$N),"")</f>
        <v>335.09100000000001</v>
      </c>
    </row>
    <row r="298" spans="1:44">
      <c r="A298" s="233">
        <f t="shared" si="20"/>
        <v>46041</v>
      </c>
      <c r="B298" s="228">
        <f>YEAR(Table13[[#This Row],[Date]])+IF(MONTH(Table13[[#This Row],[Date]])&gt;=4,1,0)</f>
        <v>2026</v>
      </c>
      <c r="C298" s="186">
        <f>YEAR(Table13[[#This Row],[Date]])</f>
        <v>2026</v>
      </c>
      <c r="D298" s="234">
        <f>Table13[[#This Row],[Date]]-DAY(Table13[[#This Row],[Date]])+1</f>
        <v>46023</v>
      </c>
      <c r="E298" s="186">
        <f t="shared" si="21"/>
        <v>31</v>
      </c>
      <c r="F298" s="235" t="str">
        <f>IFERROR(_xlfn.XLOOKUP($A298,'Raw_Data'!$B:$B,'Raw_Data'!$IX:$IX),"")</f>
        <v/>
      </c>
      <c r="G298" s="236" t="str">
        <f>IFERROR(_xlfn.XLOOKUP($A298,'Raw_Data'!$B:$B,'Raw_Data'!IY:IY),"")</f>
        <v/>
      </c>
      <c r="H298" s="236" t="str">
        <f>IFERROR(_xlfn.XLOOKUP($A298,'Raw_Data'!$B:$B,'Raw_Data'!IZ:IZ),"")</f>
        <v/>
      </c>
      <c r="I298" s="236" t="str">
        <f>IFERROR(_xlfn.XLOOKUP($A298,'Raw_Data'!$B:$B,'Raw_Data'!JA:JA),"")</f>
        <v/>
      </c>
      <c r="J298" s="236" t="str">
        <f>IFERROR(_xlfn.XLOOKUP($A298,'Raw_Data'!$B:$B,'Raw_Data'!JB:JB),"")</f>
        <v/>
      </c>
      <c r="K298" s="236" t="str">
        <f>IFERROR(_xlfn.XLOOKUP($A298,'Raw_Data'!$B:$B,'Raw_Data'!JE:JE),"")</f>
        <v/>
      </c>
      <c r="L298" s="236" t="str">
        <f>IFERROR(_xlfn.XLOOKUP($A298,'Raw_Data'!$B:$B,'Raw_Data'!JF:JF),"")</f>
        <v/>
      </c>
      <c r="M298" s="236" t="str">
        <f>IFERROR(_xlfn.XLOOKUP($A298,'Raw_Data'!$B:$B,'Raw_Data'!JG:JG),"")</f>
        <v/>
      </c>
      <c r="N298" s="236" t="str">
        <f>IFERROR(_xlfn.XLOOKUP($A298,'Raw_Data'!$B:$B,'Raw_Data'!JH:JH),"")</f>
        <v/>
      </c>
      <c r="O298" s="237" t="str">
        <f>IFERROR(1-SUMIF(PA!$B:$B,$A298,PA!$AL:$AL)/($AA298+SUMIF(PA!$B:$B,$A298,PA!$AL:$AL)),"")</f>
        <v/>
      </c>
      <c r="P298" s="238"/>
      <c r="Q298" s="239"/>
      <c r="R298" s="240" t="str">
        <f>IFERROR(1-SUMIF(GA!$C:$C,$A298,GA!$X:$X)/($AA298+SUMIF(GA!$C:$C,$A298,GA!$X:$X)),"")</f>
        <v/>
      </c>
      <c r="S298" s="186"/>
      <c r="T298" s="239"/>
      <c r="U298" s="237" t="str">
        <f t="shared" si="18"/>
        <v/>
      </c>
      <c r="V298" s="237" t="str">
        <f>IFERROR(_xlfn.XLOOKUP($A298,'Raw_Data'!$B:$B,'Raw_Data'!$JL:$JL),"")</f>
        <v/>
      </c>
      <c r="W298" s="240" t="str">
        <f t="shared" si="19"/>
        <v/>
      </c>
      <c r="X298" s="228" t="str">
        <f>IFERROR(_xlfn.XLOOKUP($A298,'Raw_Data'!$B:$B,'Raw_Data'!$JI:$JI),"")</f>
        <v/>
      </c>
      <c r="Y298" s="228" t="str">
        <f>IFERROR(_xlfn.XLOOKUP($A298,'Raw_Data'!$B:$B,'Raw_Data'!IT:IT),"")</f>
        <v/>
      </c>
      <c r="Z298" s="228" t="str">
        <f>IFERROR(_xlfn.XLOOKUP($A298,'Raw_Data'!$B:$B,'Raw_Data'!IU:IU),"")</f>
        <v/>
      </c>
      <c r="AA298" s="228" t="str">
        <f>IFERROR(_xlfn.XLOOKUP($A298,'Raw_Data'!$B:$B,'Raw_Data'!IW:IW),"")</f>
        <v/>
      </c>
      <c r="AB298" s="228" t="str">
        <f>IFERROR(_xlfn.XLOOKUP($A298,'Raw_Data'!$B:$B,'Raw_Data'!I:I)/1000,"")</f>
        <v/>
      </c>
      <c r="AC298" s="241">
        <f>IFERROR(_xlfn.XLOOKUP($D298,'Modelling New'!$D:$D,'Modelling New'!$P:$P),"")</f>
        <v>5.4525338387096776</v>
      </c>
      <c r="AD298" s="228">
        <f>IFERROR(_xlfn.XLOOKUP($D298,'Modelling New'!$D:$D,'Modelling New'!$T:$T)*1000,"")</f>
        <v>1597510.1090983946</v>
      </c>
      <c r="AE298" s="240">
        <f>IFERROR(_xlfn.XLOOKUP($D298,'Modelling New'!$D:$D,'Modelling New'!$O:$O),"")</f>
        <v>0.87434429771334443</v>
      </c>
      <c r="AF298" s="240">
        <f>IFERROR(_xlfn.XLOOKUP($D298,'Modelling New'!$D:$D,'Modelling New'!$W:$W),"")</f>
        <v>0.19864132791520248</v>
      </c>
      <c r="AG298" s="240">
        <f>IFERROR(_xlfn.XLOOKUP($D298,'Modelling New'!$D:$D,'Modelling New'!AE:AE),"")</f>
        <v>0.99750000000000005</v>
      </c>
      <c r="AH298" s="240">
        <f>IFERROR(_xlfn.XLOOKUP($D298,'Modelling New'!$D:$D,'Modelling New'!AF:AF),"")</f>
        <v>0.99750000000000005</v>
      </c>
      <c r="AI298" s="186"/>
      <c r="AJ298" s="186"/>
      <c r="AK298" s="225"/>
      <c r="AL298" s="224">
        <f>IFERROR(Table13[[#This Row],[RA (%)]]*9270*58,"")</f>
        <v>0</v>
      </c>
      <c r="AM298" s="225"/>
      <c r="AN298" s="238"/>
      <c r="AO298" s="240"/>
      <c r="AP298" s="240"/>
      <c r="AQ298" s="240"/>
      <c r="AR298" s="242">
        <f>IFERROR(_xlfn.XLOOKUP($D298,'Modelling New'!$D:$D,'Modelling New'!$N:$N),"")</f>
        <v>335.09100000000001</v>
      </c>
    </row>
    <row r="299" spans="1:44">
      <c r="A299" s="233">
        <f t="shared" si="20"/>
        <v>46042</v>
      </c>
      <c r="B299" s="228">
        <f>YEAR(Table13[[#This Row],[Date]])+IF(MONTH(Table13[[#This Row],[Date]])&gt;=4,1,0)</f>
        <v>2026</v>
      </c>
      <c r="C299" s="186">
        <f>YEAR(Table13[[#This Row],[Date]])</f>
        <v>2026</v>
      </c>
      <c r="D299" s="234">
        <f>Table13[[#This Row],[Date]]-DAY(Table13[[#This Row],[Date]])+1</f>
        <v>46023</v>
      </c>
      <c r="E299" s="186">
        <f t="shared" si="21"/>
        <v>31</v>
      </c>
      <c r="F299" s="235" t="str">
        <f>IFERROR(_xlfn.XLOOKUP($A299,'Raw_Data'!$B:$B,'Raw_Data'!$IX:$IX),"")</f>
        <v/>
      </c>
      <c r="G299" s="236" t="str">
        <f>IFERROR(_xlfn.XLOOKUP($A299,'Raw_Data'!$B:$B,'Raw_Data'!IY:IY),"")</f>
        <v/>
      </c>
      <c r="H299" s="236" t="str">
        <f>IFERROR(_xlfn.XLOOKUP($A299,'Raw_Data'!$B:$B,'Raw_Data'!IZ:IZ),"")</f>
        <v/>
      </c>
      <c r="I299" s="236" t="str">
        <f>IFERROR(_xlfn.XLOOKUP($A299,'Raw_Data'!$B:$B,'Raw_Data'!JA:JA),"")</f>
        <v/>
      </c>
      <c r="J299" s="236" t="str">
        <f>IFERROR(_xlfn.XLOOKUP($A299,'Raw_Data'!$B:$B,'Raw_Data'!JB:JB),"")</f>
        <v/>
      </c>
      <c r="K299" s="236" t="str">
        <f>IFERROR(_xlfn.XLOOKUP($A299,'Raw_Data'!$B:$B,'Raw_Data'!JE:JE),"")</f>
        <v/>
      </c>
      <c r="L299" s="236" t="str">
        <f>IFERROR(_xlfn.XLOOKUP($A299,'Raw_Data'!$B:$B,'Raw_Data'!JF:JF),"")</f>
        <v/>
      </c>
      <c r="M299" s="236" t="str">
        <f>IFERROR(_xlfn.XLOOKUP($A299,'Raw_Data'!$B:$B,'Raw_Data'!JG:JG),"")</f>
        <v/>
      </c>
      <c r="N299" s="236" t="str">
        <f>IFERROR(_xlfn.XLOOKUP($A299,'Raw_Data'!$B:$B,'Raw_Data'!JH:JH),"")</f>
        <v/>
      </c>
      <c r="O299" s="237" t="str">
        <f>IFERROR(1-SUMIF(PA!$B:$B,$A299,PA!$AL:$AL)/($AA299+SUMIF(PA!$B:$B,$A299,PA!$AL:$AL)),"")</f>
        <v/>
      </c>
      <c r="P299" s="238"/>
      <c r="Q299" s="239"/>
      <c r="R299" s="240" t="str">
        <f>IFERROR(1-SUMIF(GA!$C:$C,$A299,GA!$X:$X)/($AA299+SUMIF(GA!$C:$C,$A299,GA!$X:$X)),"")</f>
        <v/>
      </c>
      <c r="S299" s="186"/>
      <c r="T299" s="239"/>
      <c r="U299" s="237" t="str">
        <f t="shared" si="18"/>
        <v/>
      </c>
      <c r="V299" s="237" t="str">
        <f>IFERROR(_xlfn.XLOOKUP($A299,'Raw_Data'!$B:$B,'Raw_Data'!$JL:$JL),"")</f>
        <v/>
      </c>
      <c r="W299" s="240" t="str">
        <f t="shared" si="19"/>
        <v/>
      </c>
      <c r="X299" s="228" t="str">
        <f>IFERROR(_xlfn.XLOOKUP($A299,'Raw_Data'!$B:$B,'Raw_Data'!$JI:$JI),"")</f>
        <v/>
      </c>
      <c r="Y299" s="228" t="str">
        <f>IFERROR(_xlfn.XLOOKUP($A299,'Raw_Data'!$B:$B,'Raw_Data'!IT:IT),"")</f>
        <v/>
      </c>
      <c r="Z299" s="228" t="str">
        <f>IFERROR(_xlfn.XLOOKUP($A299,'Raw_Data'!$B:$B,'Raw_Data'!IU:IU),"")</f>
        <v/>
      </c>
      <c r="AA299" s="228" t="str">
        <f>IFERROR(_xlfn.XLOOKUP($A299,'Raw_Data'!$B:$B,'Raw_Data'!IW:IW),"")</f>
        <v/>
      </c>
      <c r="AB299" s="228" t="str">
        <f>IFERROR(_xlfn.XLOOKUP($A299,'Raw_Data'!$B:$B,'Raw_Data'!I:I)/1000,"")</f>
        <v/>
      </c>
      <c r="AC299" s="241">
        <f>IFERROR(_xlfn.XLOOKUP($D299,'Modelling New'!$D:$D,'Modelling New'!$P:$P),"")</f>
        <v>5.4525338387096776</v>
      </c>
      <c r="AD299" s="228">
        <f>IFERROR(_xlfn.XLOOKUP($D299,'Modelling New'!$D:$D,'Modelling New'!$T:$T)*1000,"")</f>
        <v>1597510.1090983946</v>
      </c>
      <c r="AE299" s="240">
        <f>IFERROR(_xlfn.XLOOKUP($D299,'Modelling New'!$D:$D,'Modelling New'!$O:$O),"")</f>
        <v>0.87434429771334443</v>
      </c>
      <c r="AF299" s="240">
        <f>IFERROR(_xlfn.XLOOKUP($D299,'Modelling New'!$D:$D,'Modelling New'!$W:$W),"")</f>
        <v>0.19864132791520248</v>
      </c>
      <c r="AG299" s="240">
        <f>IFERROR(_xlfn.XLOOKUP($D299,'Modelling New'!$D:$D,'Modelling New'!AE:AE),"")</f>
        <v>0.99750000000000005</v>
      </c>
      <c r="AH299" s="240">
        <f>IFERROR(_xlfn.XLOOKUP($D299,'Modelling New'!$D:$D,'Modelling New'!AF:AF),"")</f>
        <v>0.99750000000000005</v>
      </c>
      <c r="AI299" s="186"/>
      <c r="AJ299" s="186"/>
      <c r="AK299" s="225"/>
      <c r="AL299" s="224">
        <f>IFERROR(Table13[[#This Row],[RA (%)]]*9270*58,"")</f>
        <v>0</v>
      </c>
      <c r="AM299" s="225"/>
      <c r="AN299" s="238"/>
      <c r="AO299" s="240"/>
      <c r="AP299" s="240"/>
      <c r="AQ299" s="240"/>
      <c r="AR299" s="242">
        <f>IFERROR(_xlfn.XLOOKUP($D299,'Modelling New'!$D:$D,'Modelling New'!$N:$N),"")</f>
        <v>335.09100000000001</v>
      </c>
    </row>
    <row r="300" spans="1:44">
      <c r="A300" s="233">
        <f t="shared" si="20"/>
        <v>46043</v>
      </c>
      <c r="B300" s="228">
        <f>YEAR(Table13[[#This Row],[Date]])+IF(MONTH(Table13[[#This Row],[Date]])&gt;=4,1,0)</f>
        <v>2026</v>
      </c>
      <c r="C300" s="186">
        <f>YEAR(Table13[[#This Row],[Date]])</f>
        <v>2026</v>
      </c>
      <c r="D300" s="234">
        <f>Table13[[#This Row],[Date]]-DAY(Table13[[#This Row],[Date]])+1</f>
        <v>46023</v>
      </c>
      <c r="E300" s="186">
        <f t="shared" si="21"/>
        <v>31</v>
      </c>
      <c r="F300" s="235" t="str">
        <f>IFERROR(_xlfn.XLOOKUP($A300,'Raw_Data'!$B:$B,'Raw_Data'!$IX:$IX),"")</f>
        <v/>
      </c>
      <c r="G300" s="236" t="str">
        <f>IFERROR(_xlfn.XLOOKUP($A300,'Raw_Data'!$B:$B,'Raw_Data'!IY:IY),"")</f>
        <v/>
      </c>
      <c r="H300" s="236" t="str">
        <f>IFERROR(_xlfn.XLOOKUP($A300,'Raw_Data'!$B:$B,'Raw_Data'!IZ:IZ),"")</f>
        <v/>
      </c>
      <c r="I300" s="236" t="str">
        <f>IFERROR(_xlfn.XLOOKUP($A300,'Raw_Data'!$B:$B,'Raw_Data'!JA:JA),"")</f>
        <v/>
      </c>
      <c r="J300" s="236" t="str">
        <f>IFERROR(_xlfn.XLOOKUP($A300,'Raw_Data'!$B:$B,'Raw_Data'!JB:JB),"")</f>
        <v/>
      </c>
      <c r="K300" s="236" t="str">
        <f>IFERROR(_xlfn.XLOOKUP($A300,'Raw_Data'!$B:$B,'Raw_Data'!JE:JE),"")</f>
        <v/>
      </c>
      <c r="L300" s="236" t="str">
        <f>IFERROR(_xlfn.XLOOKUP($A300,'Raw_Data'!$B:$B,'Raw_Data'!JF:JF),"")</f>
        <v/>
      </c>
      <c r="M300" s="236" t="str">
        <f>IFERROR(_xlfn.XLOOKUP($A300,'Raw_Data'!$B:$B,'Raw_Data'!JG:JG),"")</f>
        <v/>
      </c>
      <c r="N300" s="236" t="str">
        <f>IFERROR(_xlfn.XLOOKUP($A300,'Raw_Data'!$B:$B,'Raw_Data'!JH:JH),"")</f>
        <v/>
      </c>
      <c r="O300" s="237" t="str">
        <f>IFERROR(1-SUMIF(PA!$B:$B,$A300,PA!$AL:$AL)/($AA300+SUMIF(PA!$B:$B,$A300,PA!$AL:$AL)),"")</f>
        <v/>
      </c>
      <c r="P300" s="238"/>
      <c r="Q300" s="239"/>
      <c r="R300" s="240" t="str">
        <f>IFERROR(1-SUMIF(GA!$C:$C,$A300,GA!$X:$X)/($AA300+SUMIF(GA!$C:$C,$A300,GA!$X:$X)),"")</f>
        <v/>
      </c>
      <c r="S300" s="186"/>
      <c r="T300" s="239"/>
      <c r="U300" s="237" t="str">
        <f t="shared" si="18"/>
        <v/>
      </c>
      <c r="V300" s="237" t="str">
        <f>IFERROR(_xlfn.XLOOKUP($A300,'Raw_Data'!$B:$B,'Raw_Data'!$JL:$JL),"")</f>
        <v/>
      </c>
      <c r="W300" s="240" t="str">
        <f t="shared" si="19"/>
        <v/>
      </c>
      <c r="X300" s="228" t="str">
        <f>IFERROR(_xlfn.XLOOKUP($A300,'Raw_Data'!$B:$B,'Raw_Data'!$JI:$JI),"")</f>
        <v/>
      </c>
      <c r="Y300" s="228" t="str">
        <f>IFERROR(_xlfn.XLOOKUP($A300,'Raw_Data'!$B:$B,'Raw_Data'!IT:IT),"")</f>
        <v/>
      </c>
      <c r="Z300" s="228" t="str">
        <f>IFERROR(_xlfn.XLOOKUP($A300,'Raw_Data'!$B:$B,'Raw_Data'!IU:IU),"")</f>
        <v/>
      </c>
      <c r="AA300" s="228" t="str">
        <f>IFERROR(_xlfn.XLOOKUP($A300,'Raw_Data'!$B:$B,'Raw_Data'!IW:IW),"")</f>
        <v/>
      </c>
      <c r="AB300" s="228" t="str">
        <f>IFERROR(_xlfn.XLOOKUP($A300,'Raw_Data'!$B:$B,'Raw_Data'!I:I)/1000,"")</f>
        <v/>
      </c>
      <c r="AC300" s="241">
        <f>IFERROR(_xlfn.XLOOKUP($D300,'Modelling New'!$D:$D,'Modelling New'!$P:$P),"")</f>
        <v>5.4525338387096776</v>
      </c>
      <c r="AD300" s="228">
        <f>IFERROR(_xlfn.XLOOKUP($D300,'Modelling New'!$D:$D,'Modelling New'!$T:$T)*1000,"")</f>
        <v>1597510.1090983946</v>
      </c>
      <c r="AE300" s="240">
        <f>IFERROR(_xlfn.XLOOKUP($D300,'Modelling New'!$D:$D,'Modelling New'!$O:$O),"")</f>
        <v>0.87434429771334443</v>
      </c>
      <c r="AF300" s="240">
        <f>IFERROR(_xlfn.XLOOKUP($D300,'Modelling New'!$D:$D,'Modelling New'!$W:$W),"")</f>
        <v>0.19864132791520248</v>
      </c>
      <c r="AG300" s="240">
        <f>IFERROR(_xlfn.XLOOKUP($D300,'Modelling New'!$D:$D,'Modelling New'!AE:AE),"")</f>
        <v>0.99750000000000005</v>
      </c>
      <c r="AH300" s="240">
        <f>IFERROR(_xlfn.XLOOKUP($D300,'Modelling New'!$D:$D,'Modelling New'!AF:AF),"")</f>
        <v>0.99750000000000005</v>
      </c>
      <c r="AI300" s="186"/>
      <c r="AJ300" s="186"/>
      <c r="AK300" s="225"/>
      <c r="AL300" s="224">
        <f>IFERROR(Table13[[#This Row],[RA (%)]]*9270*58,"")</f>
        <v>0</v>
      </c>
      <c r="AM300" s="225"/>
      <c r="AN300" s="238"/>
      <c r="AO300" s="240"/>
      <c r="AP300" s="240"/>
      <c r="AQ300" s="240"/>
      <c r="AR300" s="242">
        <f>IFERROR(_xlfn.XLOOKUP($D300,'Modelling New'!$D:$D,'Modelling New'!$N:$N),"")</f>
        <v>335.09100000000001</v>
      </c>
    </row>
    <row r="301" spans="1:44">
      <c r="A301" s="233">
        <f t="shared" si="20"/>
        <v>46044</v>
      </c>
      <c r="B301" s="228">
        <f>YEAR(Table13[[#This Row],[Date]])+IF(MONTH(Table13[[#This Row],[Date]])&gt;=4,1,0)</f>
        <v>2026</v>
      </c>
      <c r="C301" s="186">
        <f>YEAR(Table13[[#This Row],[Date]])</f>
        <v>2026</v>
      </c>
      <c r="D301" s="234">
        <f>Table13[[#This Row],[Date]]-DAY(Table13[[#This Row],[Date]])+1</f>
        <v>46023</v>
      </c>
      <c r="E301" s="186">
        <f t="shared" si="21"/>
        <v>31</v>
      </c>
      <c r="F301" s="235" t="str">
        <f>IFERROR(_xlfn.XLOOKUP($A301,'Raw_Data'!$B:$B,'Raw_Data'!$IX:$IX),"")</f>
        <v/>
      </c>
      <c r="G301" s="236" t="str">
        <f>IFERROR(_xlfn.XLOOKUP($A301,'Raw_Data'!$B:$B,'Raw_Data'!IY:IY),"")</f>
        <v/>
      </c>
      <c r="H301" s="236" t="str">
        <f>IFERROR(_xlfn.XLOOKUP($A301,'Raw_Data'!$B:$B,'Raw_Data'!IZ:IZ),"")</f>
        <v/>
      </c>
      <c r="I301" s="236" t="str">
        <f>IFERROR(_xlfn.XLOOKUP($A301,'Raw_Data'!$B:$B,'Raw_Data'!JA:JA),"")</f>
        <v/>
      </c>
      <c r="J301" s="236" t="str">
        <f>IFERROR(_xlfn.XLOOKUP($A301,'Raw_Data'!$B:$B,'Raw_Data'!JB:JB),"")</f>
        <v/>
      </c>
      <c r="K301" s="236" t="str">
        <f>IFERROR(_xlfn.XLOOKUP($A301,'Raw_Data'!$B:$B,'Raw_Data'!JE:JE),"")</f>
        <v/>
      </c>
      <c r="L301" s="236" t="str">
        <f>IFERROR(_xlfn.XLOOKUP($A301,'Raw_Data'!$B:$B,'Raw_Data'!JF:JF),"")</f>
        <v/>
      </c>
      <c r="M301" s="236" t="str">
        <f>IFERROR(_xlfn.XLOOKUP($A301,'Raw_Data'!$B:$B,'Raw_Data'!JG:JG),"")</f>
        <v/>
      </c>
      <c r="N301" s="236" t="str">
        <f>IFERROR(_xlfn.XLOOKUP($A301,'Raw_Data'!$B:$B,'Raw_Data'!JH:JH),"")</f>
        <v/>
      </c>
      <c r="O301" s="237" t="str">
        <f>IFERROR(1-SUMIF(PA!$B:$B,$A301,PA!$AL:$AL)/($AA301+SUMIF(PA!$B:$B,$A301,PA!$AL:$AL)),"")</f>
        <v/>
      </c>
      <c r="P301" s="238"/>
      <c r="Q301" s="239"/>
      <c r="R301" s="240" t="str">
        <f>IFERROR(1-SUMIF(GA!$C:$C,$A301,GA!$X:$X)/($AA301+SUMIF(GA!$C:$C,$A301,GA!$X:$X)),"")</f>
        <v/>
      </c>
      <c r="S301" s="186"/>
      <c r="T301" s="239"/>
      <c r="U301" s="237" t="str">
        <f t="shared" si="18"/>
        <v/>
      </c>
      <c r="V301" s="237" t="str">
        <f>IFERROR(_xlfn.XLOOKUP($A301,'Raw_Data'!$B:$B,'Raw_Data'!$JL:$JL),"")</f>
        <v/>
      </c>
      <c r="W301" s="240" t="str">
        <f t="shared" si="19"/>
        <v/>
      </c>
      <c r="X301" s="228" t="str">
        <f>IFERROR(_xlfn.XLOOKUP($A301,'Raw_Data'!$B:$B,'Raw_Data'!$JI:$JI),"")</f>
        <v/>
      </c>
      <c r="Y301" s="228" t="str">
        <f>IFERROR(_xlfn.XLOOKUP($A301,'Raw_Data'!$B:$B,'Raw_Data'!IT:IT),"")</f>
        <v/>
      </c>
      <c r="Z301" s="228" t="str">
        <f>IFERROR(_xlfn.XLOOKUP($A301,'Raw_Data'!$B:$B,'Raw_Data'!IU:IU),"")</f>
        <v/>
      </c>
      <c r="AA301" s="228" t="str">
        <f>IFERROR(_xlfn.XLOOKUP($A301,'Raw_Data'!$B:$B,'Raw_Data'!IW:IW),"")</f>
        <v/>
      </c>
      <c r="AB301" s="228" t="str">
        <f>IFERROR(_xlfn.XLOOKUP($A301,'Raw_Data'!$B:$B,'Raw_Data'!I:I)/1000,"")</f>
        <v/>
      </c>
      <c r="AC301" s="241">
        <f>IFERROR(_xlfn.XLOOKUP($D301,'Modelling New'!$D:$D,'Modelling New'!$P:$P),"")</f>
        <v>5.4525338387096776</v>
      </c>
      <c r="AD301" s="228">
        <f>IFERROR(_xlfn.XLOOKUP($D301,'Modelling New'!$D:$D,'Modelling New'!$T:$T)*1000,"")</f>
        <v>1597510.1090983946</v>
      </c>
      <c r="AE301" s="240">
        <f>IFERROR(_xlfn.XLOOKUP($D301,'Modelling New'!$D:$D,'Modelling New'!$O:$O),"")</f>
        <v>0.87434429771334443</v>
      </c>
      <c r="AF301" s="240">
        <f>IFERROR(_xlfn.XLOOKUP($D301,'Modelling New'!$D:$D,'Modelling New'!$W:$W),"")</f>
        <v>0.19864132791520248</v>
      </c>
      <c r="AG301" s="240">
        <f>IFERROR(_xlfn.XLOOKUP($D301,'Modelling New'!$D:$D,'Modelling New'!AE:AE),"")</f>
        <v>0.99750000000000005</v>
      </c>
      <c r="AH301" s="240">
        <f>IFERROR(_xlfn.XLOOKUP($D301,'Modelling New'!$D:$D,'Modelling New'!AF:AF),"")</f>
        <v>0.99750000000000005</v>
      </c>
      <c r="AI301" s="186"/>
      <c r="AJ301" s="186"/>
      <c r="AK301" s="225"/>
      <c r="AL301" s="224">
        <f>IFERROR(Table13[[#This Row],[RA (%)]]*9270*58,"")</f>
        <v>0</v>
      </c>
      <c r="AM301" s="225"/>
      <c r="AN301" s="238"/>
      <c r="AO301" s="240"/>
      <c r="AP301" s="240"/>
      <c r="AQ301" s="240"/>
      <c r="AR301" s="242">
        <f>IFERROR(_xlfn.XLOOKUP($D301,'Modelling New'!$D:$D,'Modelling New'!$N:$N),"")</f>
        <v>335.09100000000001</v>
      </c>
    </row>
    <row r="302" spans="1:44">
      <c r="A302" s="233">
        <f t="shared" si="20"/>
        <v>46045</v>
      </c>
      <c r="B302" s="228">
        <f>YEAR(Table13[[#This Row],[Date]])+IF(MONTH(Table13[[#This Row],[Date]])&gt;=4,1,0)</f>
        <v>2026</v>
      </c>
      <c r="C302" s="186">
        <f>YEAR(Table13[[#This Row],[Date]])</f>
        <v>2026</v>
      </c>
      <c r="D302" s="234">
        <f>Table13[[#This Row],[Date]]-DAY(Table13[[#This Row],[Date]])+1</f>
        <v>46023</v>
      </c>
      <c r="E302" s="186">
        <f t="shared" si="21"/>
        <v>31</v>
      </c>
      <c r="F302" s="235" t="str">
        <f>IFERROR(_xlfn.XLOOKUP($A302,'Raw_Data'!$B:$B,'Raw_Data'!$IX:$IX),"")</f>
        <v/>
      </c>
      <c r="G302" s="236" t="str">
        <f>IFERROR(_xlfn.XLOOKUP($A302,'Raw_Data'!$B:$B,'Raw_Data'!IY:IY),"")</f>
        <v/>
      </c>
      <c r="H302" s="236" t="str">
        <f>IFERROR(_xlfn.XLOOKUP($A302,'Raw_Data'!$B:$B,'Raw_Data'!IZ:IZ),"")</f>
        <v/>
      </c>
      <c r="I302" s="236" t="str">
        <f>IFERROR(_xlfn.XLOOKUP($A302,'Raw_Data'!$B:$B,'Raw_Data'!JA:JA),"")</f>
        <v/>
      </c>
      <c r="J302" s="236" t="str">
        <f>IFERROR(_xlfn.XLOOKUP($A302,'Raw_Data'!$B:$B,'Raw_Data'!JB:JB),"")</f>
        <v/>
      </c>
      <c r="K302" s="236" t="str">
        <f>IFERROR(_xlfn.XLOOKUP($A302,'Raw_Data'!$B:$B,'Raw_Data'!JE:JE),"")</f>
        <v/>
      </c>
      <c r="L302" s="236" t="str">
        <f>IFERROR(_xlfn.XLOOKUP($A302,'Raw_Data'!$B:$B,'Raw_Data'!JF:JF),"")</f>
        <v/>
      </c>
      <c r="M302" s="236" t="str">
        <f>IFERROR(_xlfn.XLOOKUP($A302,'Raw_Data'!$B:$B,'Raw_Data'!JG:JG),"")</f>
        <v/>
      </c>
      <c r="N302" s="236" t="str">
        <f>IFERROR(_xlfn.XLOOKUP($A302,'Raw_Data'!$B:$B,'Raw_Data'!JH:JH),"")</f>
        <v/>
      </c>
      <c r="O302" s="237" t="str">
        <f>IFERROR(1-SUMIF(PA!$B:$B,$A302,PA!$AL:$AL)/($AA302+SUMIF(PA!$B:$B,$A302,PA!$AL:$AL)),"")</f>
        <v/>
      </c>
      <c r="P302" s="238"/>
      <c r="Q302" s="239"/>
      <c r="R302" s="240" t="str">
        <f>IFERROR(1-SUMIF(GA!$C:$C,$A302,GA!$X:$X)/($AA302+SUMIF(GA!$C:$C,$A302,GA!$X:$X)),"")</f>
        <v/>
      </c>
      <c r="S302" s="186"/>
      <c r="T302" s="239"/>
      <c r="U302" s="237" t="str">
        <f t="shared" si="18"/>
        <v/>
      </c>
      <c r="V302" s="237" t="str">
        <f>IFERROR(_xlfn.XLOOKUP($A302,'Raw_Data'!$B:$B,'Raw_Data'!$JL:$JL),"")</f>
        <v/>
      </c>
      <c r="W302" s="240" t="str">
        <f t="shared" si="19"/>
        <v/>
      </c>
      <c r="X302" s="228" t="str">
        <f>IFERROR(_xlfn.XLOOKUP($A302,'Raw_Data'!$B:$B,'Raw_Data'!$JI:$JI),"")</f>
        <v/>
      </c>
      <c r="Y302" s="228" t="str">
        <f>IFERROR(_xlfn.XLOOKUP($A302,'Raw_Data'!$B:$B,'Raw_Data'!IT:IT),"")</f>
        <v/>
      </c>
      <c r="Z302" s="228" t="str">
        <f>IFERROR(_xlfn.XLOOKUP($A302,'Raw_Data'!$B:$B,'Raw_Data'!IU:IU),"")</f>
        <v/>
      </c>
      <c r="AA302" s="228" t="str">
        <f>IFERROR(_xlfn.XLOOKUP($A302,'Raw_Data'!$B:$B,'Raw_Data'!IW:IW),"")</f>
        <v/>
      </c>
      <c r="AB302" s="228" t="str">
        <f>IFERROR(_xlfn.XLOOKUP($A302,'Raw_Data'!$B:$B,'Raw_Data'!I:I)/1000,"")</f>
        <v/>
      </c>
      <c r="AC302" s="241">
        <f>IFERROR(_xlfn.XLOOKUP($D302,'Modelling New'!$D:$D,'Modelling New'!$P:$P),"")</f>
        <v>5.4525338387096776</v>
      </c>
      <c r="AD302" s="228">
        <f>IFERROR(_xlfn.XLOOKUP($D302,'Modelling New'!$D:$D,'Modelling New'!$T:$T)*1000,"")</f>
        <v>1597510.1090983946</v>
      </c>
      <c r="AE302" s="240">
        <f>IFERROR(_xlfn.XLOOKUP($D302,'Modelling New'!$D:$D,'Modelling New'!$O:$O),"")</f>
        <v>0.87434429771334443</v>
      </c>
      <c r="AF302" s="240">
        <f>IFERROR(_xlfn.XLOOKUP($D302,'Modelling New'!$D:$D,'Modelling New'!$W:$W),"")</f>
        <v>0.19864132791520248</v>
      </c>
      <c r="AG302" s="240">
        <f>IFERROR(_xlfn.XLOOKUP($D302,'Modelling New'!$D:$D,'Modelling New'!AE:AE),"")</f>
        <v>0.99750000000000005</v>
      </c>
      <c r="AH302" s="240">
        <f>IFERROR(_xlfn.XLOOKUP($D302,'Modelling New'!$D:$D,'Modelling New'!AF:AF),"")</f>
        <v>0.99750000000000005</v>
      </c>
      <c r="AI302" s="186"/>
      <c r="AJ302" s="186"/>
      <c r="AK302" s="225"/>
      <c r="AL302" s="224">
        <f>IFERROR(Table13[[#This Row],[RA (%)]]*9270*58,"")</f>
        <v>0</v>
      </c>
      <c r="AM302" s="225"/>
      <c r="AN302" s="238"/>
      <c r="AO302" s="240"/>
      <c r="AP302" s="240"/>
      <c r="AQ302" s="240"/>
      <c r="AR302" s="242">
        <f>IFERROR(_xlfn.XLOOKUP($D302,'Modelling New'!$D:$D,'Modelling New'!$N:$N),"")</f>
        <v>335.09100000000001</v>
      </c>
    </row>
    <row r="303" spans="1:44">
      <c r="A303" s="233">
        <f t="shared" si="20"/>
        <v>46046</v>
      </c>
      <c r="B303" s="228">
        <f>YEAR(Table13[[#This Row],[Date]])+IF(MONTH(Table13[[#This Row],[Date]])&gt;=4,1,0)</f>
        <v>2026</v>
      </c>
      <c r="C303" s="186">
        <f>YEAR(Table13[[#This Row],[Date]])</f>
        <v>2026</v>
      </c>
      <c r="D303" s="234">
        <f>Table13[[#This Row],[Date]]-DAY(Table13[[#This Row],[Date]])+1</f>
        <v>46023</v>
      </c>
      <c r="E303" s="186">
        <f t="shared" si="21"/>
        <v>31</v>
      </c>
      <c r="F303" s="235" t="str">
        <f>IFERROR(_xlfn.XLOOKUP($A303,'Raw_Data'!$B:$B,'Raw_Data'!$IX:$IX),"")</f>
        <v/>
      </c>
      <c r="G303" s="236" t="str">
        <f>IFERROR(_xlfn.XLOOKUP($A303,'Raw_Data'!$B:$B,'Raw_Data'!IY:IY),"")</f>
        <v/>
      </c>
      <c r="H303" s="236" t="str">
        <f>IFERROR(_xlfn.XLOOKUP($A303,'Raw_Data'!$B:$B,'Raw_Data'!IZ:IZ),"")</f>
        <v/>
      </c>
      <c r="I303" s="236" t="str">
        <f>IFERROR(_xlfn.XLOOKUP($A303,'Raw_Data'!$B:$B,'Raw_Data'!JA:JA),"")</f>
        <v/>
      </c>
      <c r="J303" s="236" t="str">
        <f>IFERROR(_xlfn.XLOOKUP($A303,'Raw_Data'!$B:$B,'Raw_Data'!JB:JB),"")</f>
        <v/>
      </c>
      <c r="K303" s="236" t="str">
        <f>IFERROR(_xlfn.XLOOKUP($A303,'Raw_Data'!$B:$B,'Raw_Data'!JE:JE),"")</f>
        <v/>
      </c>
      <c r="L303" s="236" t="str">
        <f>IFERROR(_xlfn.XLOOKUP($A303,'Raw_Data'!$B:$B,'Raw_Data'!JF:JF),"")</f>
        <v/>
      </c>
      <c r="M303" s="236" t="str">
        <f>IFERROR(_xlfn.XLOOKUP($A303,'Raw_Data'!$B:$B,'Raw_Data'!JG:JG),"")</f>
        <v/>
      </c>
      <c r="N303" s="236" t="str">
        <f>IFERROR(_xlfn.XLOOKUP($A303,'Raw_Data'!$B:$B,'Raw_Data'!JH:JH),"")</f>
        <v/>
      </c>
      <c r="O303" s="237" t="str">
        <f>IFERROR(1-SUMIF(PA!$B:$B,$A303,PA!$AL:$AL)/($AA303+SUMIF(PA!$B:$B,$A303,PA!$AL:$AL)),"")</f>
        <v/>
      </c>
      <c r="P303" s="238"/>
      <c r="Q303" s="239"/>
      <c r="R303" s="240" t="str">
        <f>IFERROR(1-SUMIF(GA!$C:$C,$A303,GA!$X:$X)/($AA303+SUMIF(GA!$C:$C,$A303,GA!$X:$X)),"")</f>
        <v/>
      </c>
      <c r="S303" s="186"/>
      <c r="T303" s="239"/>
      <c r="U303" s="237" t="str">
        <f t="shared" si="18"/>
        <v/>
      </c>
      <c r="V303" s="237" t="str">
        <f>IFERROR(_xlfn.XLOOKUP($A303,'Raw_Data'!$B:$B,'Raw_Data'!$JL:$JL),"")</f>
        <v/>
      </c>
      <c r="W303" s="240" t="str">
        <f t="shared" si="19"/>
        <v/>
      </c>
      <c r="X303" s="228" t="str">
        <f>IFERROR(_xlfn.XLOOKUP($A303,'Raw_Data'!$B:$B,'Raw_Data'!$JI:$JI),"")</f>
        <v/>
      </c>
      <c r="Y303" s="228" t="str">
        <f>IFERROR(_xlfn.XLOOKUP($A303,'Raw_Data'!$B:$B,'Raw_Data'!IT:IT),"")</f>
        <v/>
      </c>
      <c r="Z303" s="228" t="str">
        <f>IFERROR(_xlfn.XLOOKUP($A303,'Raw_Data'!$B:$B,'Raw_Data'!IU:IU),"")</f>
        <v/>
      </c>
      <c r="AA303" s="228" t="str">
        <f>IFERROR(_xlfn.XLOOKUP($A303,'Raw_Data'!$B:$B,'Raw_Data'!IW:IW),"")</f>
        <v/>
      </c>
      <c r="AB303" s="228" t="str">
        <f>IFERROR(_xlfn.XLOOKUP($A303,'Raw_Data'!$B:$B,'Raw_Data'!I:I)/1000,"")</f>
        <v/>
      </c>
      <c r="AC303" s="241">
        <f>IFERROR(_xlfn.XLOOKUP($D303,'Modelling New'!$D:$D,'Modelling New'!$P:$P),"")</f>
        <v>5.4525338387096776</v>
      </c>
      <c r="AD303" s="228">
        <f>IFERROR(_xlfn.XLOOKUP($D303,'Modelling New'!$D:$D,'Modelling New'!$T:$T)*1000,"")</f>
        <v>1597510.1090983946</v>
      </c>
      <c r="AE303" s="240">
        <f>IFERROR(_xlfn.XLOOKUP($D303,'Modelling New'!$D:$D,'Modelling New'!$O:$O),"")</f>
        <v>0.87434429771334443</v>
      </c>
      <c r="AF303" s="240">
        <f>IFERROR(_xlfn.XLOOKUP($D303,'Modelling New'!$D:$D,'Modelling New'!$W:$W),"")</f>
        <v>0.19864132791520248</v>
      </c>
      <c r="AG303" s="240">
        <f>IFERROR(_xlfn.XLOOKUP($D303,'Modelling New'!$D:$D,'Modelling New'!AE:AE),"")</f>
        <v>0.99750000000000005</v>
      </c>
      <c r="AH303" s="240">
        <f>IFERROR(_xlfn.XLOOKUP($D303,'Modelling New'!$D:$D,'Modelling New'!AF:AF),"")</f>
        <v>0.99750000000000005</v>
      </c>
      <c r="AI303" s="186"/>
      <c r="AJ303" s="186"/>
      <c r="AK303" s="225"/>
      <c r="AL303" s="224">
        <f>IFERROR(Table13[[#This Row],[RA (%)]]*9270*58,"")</f>
        <v>0</v>
      </c>
      <c r="AM303" s="225"/>
      <c r="AN303" s="238"/>
      <c r="AO303" s="240"/>
      <c r="AP303" s="240"/>
      <c r="AQ303" s="240"/>
      <c r="AR303" s="242">
        <f>IFERROR(_xlfn.XLOOKUP($D303,'Modelling New'!$D:$D,'Modelling New'!$N:$N),"")</f>
        <v>335.09100000000001</v>
      </c>
    </row>
    <row r="304" spans="1:44">
      <c r="A304" s="233">
        <f t="shared" si="20"/>
        <v>46047</v>
      </c>
      <c r="B304" s="228">
        <f>YEAR(Table13[[#This Row],[Date]])+IF(MONTH(Table13[[#This Row],[Date]])&gt;=4,1,0)</f>
        <v>2026</v>
      </c>
      <c r="C304" s="186">
        <f>YEAR(Table13[[#This Row],[Date]])</f>
        <v>2026</v>
      </c>
      <c r="D304" s="234">
        <f>Table13[[#This Row],[Date]]-DAY(Table13[[#This Row],[Date]])+1</f>
        <v>46023</v>
      </c>
      <c r="E304" s="186">
        <f t="shared" si="21"/>
        <v>31</v>
      </c>
      <c r="F304" s="235" t="str">
        <f>IFERROR(_xlfn.XLOOKUP($A304,'Raw_Data'!$B:$B,'Raw_Data'!$IX:$IX),"")</f>
        <v/>
      </c>
      <c r="G304" s="236" t="str">
        <f>IFERROR(_xlfn.XLOOKUP($A304,'Raw_Data'!$B:$B,'Raw_Data'!IY:IY),"")</f>
        <v/>
      </c>
      <c r="H304" s="236" t="str">
        <f>IFERROR(_xlfn.XLOOKUP($A304,'Raw_Data'!$B:$B,'Raw_Data'!IZ:IZ),"")</f>
        <v/>
      </c>
      <c r="I304" s="236" t="str">
        <f>IFERROR(_xlfn.XLOOKUP($A304,'Raw_Data'!$B:$B,'Raw_Data'!JA:JA),"")</f>
        <v/>
      </c>
      <c r="J304" s="236" t="str">
        <f>IFERROR(_xlfn.XLOOKUP($A304,'Raw_Data'!$B:$B,'Raw_Data'!JB:JB),"")</f>
        <v/>
      </c>
      <c r="K304" s="236" t="str">
        <f>IFERROR(_xlfn.XLOOKUP($A304,'Raw_Data'!$B:$B,'Raw_Data'!JE:JE),"")</f>
        <v/>
      </c>
      <c r="L304" s="236" t="str">
        <f>IFERROR(_xlfn.XLOOKUP($A304,'Raw_Data'!$B:$B,'Raw_Data'!JF:JF),"")</f>
        <v/>
      </c>
      <c r="M304" s="236" t="str">
        <f>IFERROR(_xlfn.XLOOKUP($A304,'Raw_Data'!$B:$B,'Raw_Data'!JG:JG),"")</f>
        <v/>
      </c>
      <c r="N304" s="236" t="str">
        <f>IFERROR(_xlfn.XLOOKUP($A304,'Raw_Data'!$B:$B,'Raw_Data'!JH:JH),"")</f>
        <v/>
      </c>
      <c r="O304" s="237" t="str">
        <f>IFERROR(1-SUMIF(PA!$B:$B,$A304,PA!$AL:$AL)/($AA304+SUMIF(PA!$B:$B,$A304,PA!$AL:$AL)),"")</f>
        <v/>
      </c>
      <c r="P304" s="238"/>
      <c r="Q304" s="239"/>
      <c r="R304" s="240" t="str">
        <f>IFERROR(1-SUMIF(GA!$C:$C,$A304,GA!$X:$X)/($AA304+SUMIF(GA!$C:$C,$A304,GA!$X:$X)),"")</f>
        <v/>
      </c>
      <c r="S304" s="186"/>
      <c r="T304" s="239"/>
      <c r="U304" s="237" t="str">
        <f t="shared" si="18"/>
        <v/>
      </c>
      <c r="V304" s="237" t="str">
        <f>IFERROR(_xlfn.XLOOKUP($A304,'Raw_Data'!$B:$B,'Raw_Data'!$JL:$JL),"")</f>
        <v/>
      </c>
      <c r="W304" s="240" t="str">
        <f t="shared" si="19"/>
        <v/>
      </c>
      <c r="X304" s="228" t="str">
        <f>IFERROR(_xlfn.XLOOKUP($A304,'Raw_Data'!$B:$B,'Raw_Data'!$JI:$JI),"")</f>
        <v/>
      </c>
      <c r="Y304" s="228" t="str">
        <f>IFERROR(_xlfn.XLOOKUP($A304,'Raw_Data'!$B:$B,'Raw_Data'!IT:IT),"")</f>
        <v/>
      </c>
      <c r="Z304" s="228" t="str">
        <f>IFERROR(_xlfn.XLOOKUP($A304,'Raw_Data'!$B:$B,'Raw_Data'!IU:IU),"")</f>
        <v/>
      </c>
      <c r="AA304" s="228" t="str">
        <f>IFERROR(_xlfn.XLOOKUP($A304,'Raw_Data'!$B:$B,'Raw_Data'!IW:IW),"")</f>
        <v/>
      </c>
      <c r="AB304" s="228" t="str">
        <f>IFERROR(_xlfn.XLOOKUP($A304,'Raw_Data'!$B:$B,'Raw_Data'!I:I)/1000,"")</f>
        <v/>
      </c>
      <c r="AC304" s="241">
        <f>IFERROR(_xlfn.XLOOKUP($D304,'Modelling New'!$D:$D,'Modelling New'!$P:$P),"")</f>
        <v>5.4525338387096776</v>
      </c>
      <c r="AD304" s="228">
        <f>IFERROR(_xlfn.XLOOKUP($D304,'Modelling New'!$D:$D,'Modelling New'!$T:$T)*1000,"")</f>
        <v>1597510.1090983946</v>
      </c>
      <c r="AE304" s="240">
        <f>IFERROR(_xlfn.XLOOKUP($D304,'Modelling New'!$D:$D,'Modelling New'!$O:$O),"")</f>
        <v>0.87434429771334443</v>
      </c>
      <c r="AF304" s="240">
        <f>IFERROR(_xlfn.XLOOKUP($D304,'Modelling New'!$D:$D,'Modelling New'!$W:$W),"")</f>
        <v>0.19864132791520248</v>
      </c>
      <c r="AG304" s="240">
        <f>IFERROR(_xlfn.XLOOKUP($D304,'Modelling New'!$D:$D,'Modelling New'!AE:AE),"")</f>
        <v>0.99750000000000005</v>
      </c>
      <c r="AH304" s="240">
        <f>IFERROR(_xlfn.XLOOKUP($D304,'Modelling New'!$D:$D,'Modelling New'!AF:AF),"")</f>
        <v>0.99750000000000005</v>
      </c>
      <c r="AI304" s="186"/>
      <c r="AJ304" s="186"/>
      <c r="AK304" s="225"/>
      <c r="AL304" s="224">
        <f>IFERROR(Table13[[#This Row],[RA (%)]]*9270*58,"")</f>
        <v>0</v>
      </c>
      <c r="AM304" s="225"/>
      <c r="AN304" s="238"/>
      <c r="AO304" s="240"/>
      <c r="AP304" s="240"/>
      <c r="AQ304" s="240"/>
      <c r="AR304" s="242">
        <f>IFERROR(_xlfn.XLOOKUP($D304,'Modelling New'!$D:$D,'Modelling New'!$N:$N),"")</f>
        <v>335.09100000000001</v>
      </c>
    </row>
    <row r="305" spans="1:44">
      <c r="A305" s="233">
        <f t="shared" si="20"/>
        <v>46048</v>
      </c>
      <c r="B305" s="228">
        <f>YEAR(Table13[[#This Row],[Date]])+IF(MONTH(Table13[[#This Row],[Date]])&gt;=4,1,0)</f>
        <v>2026</v>
      </c>
      <c r="C305" s="186">
        <f>YEAR(Table13[[#This Row],[Date]])</f>
        <v>2026</v>
      </c>
      <c r="D305" s="234">
        <f>Table13[[#This Row],[Date]]-DAY(Table13[[#This Row],[Date]])+1</f>
        <v>46023</v>
      </c>
      <c r="E305" s="186">
        <f t="shared" si="21"/>
        <v>31</v>
      </c>
      <c r="F305" s="235" t="str">
        <f>IFERROR(_xlfn.XLOOKUP($A305,'Raw_Data'!$B:$B,'Raw_Data'!$IX:$IX),"")</f>
        <v/>
      </c>
      <c r="G305" s="236" t="str">
        <f>IFERROR(_xlfn.XLOOKUP($A305,'Raw_Data'!$B:$B,'Raw_Data'!IY:IY),"")</f>
        <v/>
      </c>
      <c r="H305" s="236" t="str">
        <f>IFERROR(_xlfn.XLOOKUP($A305,'Raw_Data'!$B:$B,'Raw_Data'!IZ:IZ),"")</f>
        <v/>
      </c>
      <c r="I305" s="236" t="str">
        <f>IFERROR(_xlfn.XLOOKUP($A305,'Raw_Data'!$B:$B,'Raw_Data'!JA:JA),"")</f>
        <v/>
      </c>
      <c r="J305" s="236" t="str">
        <f>IFERROR(_xlfn.XLOOKUP($A305,'Raw_Data'!$B:$B,'Raw_Data'!JB:JB),"")</f>
        <v/>
      </c>
      <c r="K305" s="236" t="str">
        <f>IFERROR(_xlfn.XLOOKUP($A305,'Raw_Data'!$B:$B,'Raw_Data'!JE:JE),"")</f>
        <v/>
      </c>
      <c r="L305" s="236" t="str">
        <f>IFERROR(_xlfn.XLOOKUP($A305,'Raw_Data'!$B:$B,'Raw_Data'!JF:JF),"")</f>
        <v/>
      </c>
      <c r="M305" s="236" t="str">
        <f>IFERROR(_xlfn.XLOOKUP($A305,'Raw_Data'!$B:$B,'Raw_Data'!JG:JG),"")</f>
        <v/>
      </c>
      <c r="N305" s="236" t="str">
        <f>IFERROR(_xlfn.XLOOKUP($A305,'Raw_Data'!$B:$B,'Raw_Data'!JH:JH),"")</f>
        <v/>
      </c>
      <c r="O305" s="237" t="str">
        <f>IFERROR(1-SUMIF(PA!$B:$B,$A305,PA!$AL:$AL)/($AA305+SUMIF(PA!$B:$B,$A305,PA!$AL:$AL)),"")</f>
        <v/>
      </c>
      <c r="P305" s="238"/>
      <c r="Q305" s="239"/>
      <c r="R305" s="240" t="str">
        <f>IFERROR(1-SUMIF(GA!$C:$C,$A305,GA!$X:$X)/($AA305+SUMIF(GA!$C:$C,$A305,GA!$X:$X)),"")</f>
        <v/>
      </c>
      <c r="S305" s="186"/>
      <c r="T305" s="239"/>
      <c r="U305" s="237" t="str">
        <f t="shared" si="18"/>
        <v/>
      </c>
      <c r="V305" s="237" t="str">
        <f>IFERROR(_xlfn.XLOOKUP($A305,'Raw_Data'!$B:$B,'Raw_Data'!$JL:$JL),"")</f>
        <v/>
      </c>
      <c r="W305" s="240" t="str">
        <f t="shared" si="19"/>
        <v/>
      </c>
      <c r="X305" s="228" t="str">
        <f>IFERROR(_xlfn.XLOOKUP($A305,'Raw_Data'!$B:$B,'Raw_Data'!$JI:$JI),"")</f>
        <v/>
      </c>
      <c r="Y305" s="228" t="str">
        <f>IFERROR(_xlfn.XLOOKUP($A305,'Raw_Data'!$B:$B,'Raw_Data'!IT:IT),"")</f>
        <v/>
      </c>
      <c r="Z305" s="228" t="str">
        <f>IFERROR(_xlfn.XLOOKUP($A305,'Raw_Data'!$B:$B,'Raw_Data'!IU:IU),"")</f>
        <v/>
      </c>
      <c r="AA305" s="228" t="str">
        <f>IFERROR(_xlfn.XLOOKUP($A305,'Raw_Data'!$B:$B,'Raw_Data'!IW:IW),"")</f>
        <v/>
      </c>
      <c r="AB305" s="228" t="str">
        <f>IFERROR(_xlfn.XLOOKUP($A305,'Raw_Data'!$B:$B,'Raw_Data'!I:I)/1000,"")</f>
        <v/>
      </c>
      <c r="AC305" s="241">
        <f>IFERROR(_xlfn.XLOOKUP($D305,'Modelling New'!$D:$D,'Modelling New'!$P:$P),"")</f>
        <v>5.4525338387096776</v>
      </c>
      <c r="AD305" s="228">
        <f>IFERROR(_xlfn.XLOOKUP($D305,'Modelling New'!$D:$D,'Modelling New'!$T:$T)*1000,"")</f>
        <v>1597510.1090983946</v>
      </c>
      <c r="AE305" s="240">
        <f>IFERROR(_xlfn.XLOOKUP($D305,'Modelling New'!$D:$D,'Modelling New'!$O:$O),"")</f>
        <v>0.87434429771334443</v>
      </c>
      <c r="AF305" s="240">
        <f>IFERROR(_xlfn.XLOOKUP($D305,'Modelling New'!$D:$D,'Modelling New'!$W:$W),"")</f>
        <v>0.19864132791520248</v>
      </c>
      <c r="AG305" s="240">
        <f>IFERROR(_xlfn.XLOOKUP($D305,'Modelling New'!$D:$D,'Modelling New'!AE:AE),"")</f>
        <v>0.99750000000000005</v>
      </c>
      <c r="AH305" s="240">
        <f>IFERROR(_xlfn.XLOOKUP($D305,'Modelling New'!$D:$D,'Modelling New'!AF:AF),"")</f>
        <v>0.99750000000000005</v>
      </c>
      <c r="AI305" s="186"/>
      <c r="AJ305" s="186"/>
      <c r="AK305" s="225"/>
      <c r="AL305" s="224">
        <f>IFERROR(Table13[[#This Row],[RA (%)]]*9270*58,"")</f>
        <v>0</v>
      </c>
      <c r="AM305" s="225"/>
      <c r="AN305" s="238"/>
      <c r="AO305" s="240"/>
      <c r="AP305" s="240"/>
      <c r="AQ305" s="240"/>
      <c r="AR305" s="242">
        <f>IFERROR(_xlfn.XLOOKUP($D305,'Modelling New'!$D:$D,'Modelling New'!$N:$N),"")</f>
        <v>335.09100000000001</v>
      </c>
    </row>
    <row r="306" spans="1:44">
      <c r="A306" s="233">
        <f t="shared" si="20"/>
        <v>46049</v>
      </c>
      <c r="B306" s="228">
        <f>YEAR(Table13[[#This Row],[Date]])+IF(MONTH(Table13[[#This Row],[Date]])&gt;=4,1,0)</f>
        <v>2026</v>
      </c>
      <c r="C306" s="186">
        <f>YEAR(Table13[[#This Row],[Date]])</f>
        <v>2026</v>
      </c>
      <c r="D306" s="234">
        <f>Table13[[#This Row],[Date]]-DAY(Table13[[#This Row],[Date]])+1</f>
        <v>46023</v>
      </c>
      <c r="E306" s="186">
        <f t="shared" si="21"/>
        <v>31</v>
      </c>
      <c r="F306" s="235" t="str">
        <f>IFERROR(_xlfn.XLOOKUP($A306,'Raw_Data'!$B:$B,'Raw_Data'!$IX:$IX),"")</f>
        <v/>
      </c>
      <c r="G306" s="236" t="str">
        <f>IFERROR(_xlfn.XLOOKUP($A306,'Raw_Data'!$B:$B,'Raw_Data'!IY:IY),"")</f>
        <v/>
      </c>
      <c r="H306" s="236" t="str">
        <f>IFERROR(_xlfn.XLOOKUP($A306,'Raw_Data'!$B:$B,'Raw_Data'!IZ:IZ),"")</f>
        <v/>
      </c>
      <c r="I306" s="236" t="str">
        <f>IFERROR(_xlfn.XLOOKUP($A306,'Raw_Data'!$B:$B,'Raw_Data'!JA:JA),"")</f>
        <v/>
      </c>
      <c r="J306" s="236" t="str">
        <f>IFERROR(_xlfn.XLOOKUP($A306,'Raw_Data'!$B:$B,'Raw_Data'!JB:JB),"")</f>
        <v/>
      </c>
      <c r="K306" s="236" t="str">
        <f>IFERROR(_xlfn.XLOOKUP($A306,'Raw_Data'!$B:$B,'Raw_Data'!JE:JE),"")</f>
        <v/>
      </c>
      <c r="L306" s="236" t="str">
        <f>IFERROR(_xlfn.XLOOKUP($A306,'Raw_Data'!$B:$B,'Raw_Data'!JF:JF),"")</f>
        <v/>
      </c>
      <c r="M306" s="236" t="str">
        <f>IFERROR(_xlfn.XLOOKUP($A306,'Raw_Data'!$B:$B,'Raw_Data'!JG:JG),"")</f>
        <v/>
      </c>
      <c r="N306" s="236" t="str">
        <f>IFERROR(_xlfn.XLOOKUP($A306,'Raw_Data'!$B:$B,'Raw_Data'!JH:JH),"")</f>
        <v/>
      </c>
      <c r="O306" s="237" t="str">
        <f>IFERROR(1-SUMIF(PA!$B:$B,$A306,PA!$AL:$AL)/($AA306+SUMIF(PA!$B:$B,$A306,PA!$AL:$AL)),"")</f>
        <v/>
      </c>
      <c r="P306" s="238"/>
      <c r="Q306" s="239"/>
      <c r="R306" s="240" t="str">
        <f>IFERROR(1-SUMIF(GA!$C:$C,$A306,GA!$X:$X)/($AA306+SUMIF(GA!$C:$C,$A306,GA!$X:$X)),"")</f>
        <v/>
      </c>
      <c r="S306" s="186"/>
      <c r="T306" s="239"/>
      <c r="U306" s="237" t="str">
        <f t="shared" si="18"/>
        <v/>
      </c>
      <c r="V306" s="237" t="str">
        <f>IFERROR(_xlfn.XLOOKUP($A306,'Raw_Data'!$B:$B,'Raw_Data'!$JL:$JL),"")</f>
        <v/>
      </c>
      <c r="W306" s="240" t="str">
        <f t="shared" si="19"/>
        <v/>
      </c>
      <c r="X306" s="228" t="str">
        <f>IFERROR(_xlfn.XLOOKUP($A306,'Raw_Data'!$B:$B,'Raw_Data'!$JI:$JI),"")</f>
        <v/>
      </c>
      <c r="Y306" s="228" t="str">
        <f>IFERROR(_xlfn.XLOOKUP($A306,'Raw_Data'!$B:$B,'Raw_Data'!IT:IT),"")</f>
        <v/>
      </c>
      <c r="Z306" s="228" t="str">
        <f>IFERROR(_xlfn.XLOOKUP($A306,'Raw_Data'!$B:$B,'Raw_Data'!IU:IU),"")</f>
        <v/>
      </c>
      <c r="AA306" s="228" t="str">
        <f>IFERROR(_xlfn.XLOOKUP($A306,'Raw_Data'!$B:$B,'Raw_Data'!IW:IW),"")</f>
        <v/>
      </c>
      <c r="AB306" s="228" t="str">
        <f>IFERROR(_xlfn.XLOOKUP($A306,'Raw_Data'!$B:$B,'Raw_Data'!I:I)/1000,"")</f>
        <v/>
      </c>
      <c r="AC306" s="241">
        <f>IFERROR(_xlfn.XLOOKUP($D306,'Modelling New'!$D:$D,'Modelling New'!$P:$P),"")</f>
        <v>5.4525338387096776</v>
      </c>
      <c r="AD306" s="228">
        <f>IFERROR(_xlfn.XLOOKUP($D306,'Modelling New'!$D:$D,'Modelling New'!$T:$T)*1000,"")</f>
        <v>1597510.1090983946</v>
      </c>
      <c r="AE306" s="240">
        <f>IFERROR(_xlfn.XLOOKUP($D306,'Modelling New'!$D:$D,'Modelling New'!$O:$O),"")</f>
        <v>0.87434429771334443</v>
      </c>
      <c r="AF306" s="240">
        <f>IFERROR(_xlfn.XLOOKUP($D306,'Modelling New'!$D:$D,'Modelling New'!$W:$W),"")</f>
        <v>0.19864132791520248</v>
      </c>
      <c r="AG306" s="240">
        <f>IFERROR(_xlfn.XLOOKUP($D306,'Modelling New'!$D:$D,'Modelling New'!AE:AE),"")</f>
        <v>0.99750000000000005</v>
      </c>
      <c r="AH306" s="240">
        <f>IFERROR(_xlfn.XLOOKUP($D306,'Modelling New'!$D:$D,'Modelling New'!AF:AF),"")</f>
        <v>0.99750000000000005</v>
      </c>
      <c r="AI306" s="186"/>
      <c r="AJ306" s="186"/>
      <c r="AK306" s="225"/>
      <c r="AL306" s="224">
        <f>IFERROR(Table13[[#This Row],[RA (%)]]*9270*58,"")</f>
        <v>0</v>
      </c>
      <c r="AM306" s="225"/>
      <c r="AN306" s="238"/>
      <c r="AO306" s="240"/>
      <c r="AP306" s="240"/>
      <c r="AQ306" s="240"/>
      <c r="AR306" s="242">
        <f>IFERROR(_xlfn.XLOOKUP($D306,'Modelling New'!$D:$D,'Modelling New'!$N:$N),"")</f>
        <v>335.09100000000001</v>
      </c>
    </row>
    <row r="307" spans="1:44">
      <c r="A307" s="233">
        <f t="shared" si="20"/>
        <v>46050</v>
      </c>
      <c r="B307" s="228">
        <f>YEAR(Table13[[#This Row],[Date]])+IF(MONTH(Table13[[#This Row],[Date]])&gt;=4,1,0)</f>
        <v>2026</v>
      </c>
      <c r="C307" s="186">
        <f>YEAR(Table13[[#This Row],[Date]])</f>
        <v>2026</v>
      </c>
      <c r="D307" s="234">
        <f>Table13[[#This Row],[Date]]-DAY(Table13[[#This Row],[Date]])+1</f>
        <v>46023</v>
      </c>
      <c r="E307" s="186">
        <f t="shared" si="21"/>
        <v>31</v>
      </c>
      <c r="F307" s="235" t="str">
        <f>IFERROR(_xlfn.XLOOKUP($A307,'Raw_Data'!$B:$B,'Raw_Data'!$IX:$IX),"")</f>
        <v/>
      </c>
      <c r="G307" s="236" t="str">
        <f>IFERROR(_xlfn.XLOOKUP($A307,'Raw_Data'!$B:$B,'Raw_Data'!IY:IY),"")</f>
        <v/>
      </c>
      <c r="H307" s="236" t="str">
        <f>IFERROR(_xlfn.XLOOKUP($A307,'Raw_Data'!$B:$B,'Raw_Data'!IZ:IZ),"")</f>
        <v/>
      </c>
      <c r="I307" s="236" t="str">
        <f>IFERROR(_xlfn.XLOOKUP($A307,'Raw_Data'!$B:$B,'Raw_Data'!JA:JA),"")</f>
        <v/>
      </c>
      <c r="J307" s="236" t="str">
        <f>IFERROR(_xlfn.XLOOKUP($A307,'Raw_Data'!$B:$B,'Raw_Data'!JB:JB),"")</f>
        <v/>
      </c>
      <c r="K307" s="236" t="str">
        <f>IFERROR(_xlfn.XLOOKUP($A307,'Raw_Data'!$B:$B,'Raw_Data'!JE:JE),"")</f>
        <v/>
      </c>
      <c r="L307" s="236" t="str">
        <f>IFERROR(_xlfn.XLOOKUP($A307,'Raw_Data'!$B:$B,'Raw_Data'!JF:JF),"")</f>
        <v/>
      </c>
      <c r="M307" s="236" t="str">
        <f>IFERROR(_xlfn.XLOOKUP($A307,'Raw_Data'!$B:$B,'Raw_Data'!JG:JG),"")</f>
        <v/>
      </c>
      <c r="N307" s="236" t="str">
        <f>IFERROR(_xlfn.XLOOKUP($A307,'Raw_Data'!$B:$B,'Raw_Data'!JH:JH),"")</f>
        <v/>
      </c>
      <c r="O307" s="237" t="str">
        <f>IFERROR(1-SUMIF(PA!$B:$B,$A307,PA!$AL:$AL)/($AA307+SUMIF(PA!$B:$B,$A307,PA!$AL:$AL)),"")</f>
        <v/>
      </c>
      <c r="P307" s="238"/>
      <c r="Q307" s="239"/>
      <c r="R307" s="240" t="str">
        <f>IFERROR(1-SUMIF(GA!$C:$C,$A307,GA!$X:$X)/($AA307+SUMIF(GA!$C:$C,$A307,GA!$X:$X)),"")</f>
        <v/>
      </c>
      <c r="S307" s="186"/>
      <c r="T307" s="239"/>
      <c r="U307" s="237" t="str">
        <f t="shared" si="18"/>
        <v/>
      </c>
      <c r="V307" s="237" t="str">
        <f>IFERROR(_xlfn.XLOOKUP($A307,'Raw_Data'!$B:$B,'Raw_Data'!$JL:$JL),"")</f>
        <v/>
      </c>
      <c r="W307" s="240" t="str">
        <f t="shared" si="19"/>
        <v/>
      </c>
      <c r="X307" s="228" t="str">
        <f>IFERROR(_xlfn.XLOOKUP($A307,'Raw_Data'!$B:$B,'Raw_Data'!$JI:$JI),"")</f>
        <v/>
      </c>
      <c r="Y307" s="228" t="str">
        <f>IFERROR(_xlfn.XLOOKUP($A307,'Raw_Data'!$B:$B,'Raw_Data'!IT:IT),"")</f>
        <v/>
      </c>
      <c r="Z307" s="228" t="str">
        <f>IFERROR(_xlfn.XLOOKUP($A307,'Raw_Data'!$B:$B,'Raw_Data'!IU:IU),"")</f>
        <v/>
      </c>
      <c r="AA307" s="228" t="str">
        <f>IFERROR(_xlfn.XLOOKUP($A307,'Raw_Data'!$B:$B,'Raw_Data'!IW:IW),"")</f>
        <v/>
      </c>
      <c r="AB307" s="228" t="str">
        <f>IFERROR(_xlfn.XLOOKUP($A307,'Raw_Data'!$B:$B,'Raw_Data'!I:I)/1000,"")</f>
        <v/>
      </c>
      <c r="AC307" s="241">
        <f>IFERROR(_xlfn.XLOOKUP($D307,'Modelling New'!$D:$D,'Modelling New'!$P:$P),"")</f>
        <v>5.4525338387096776</v>
      </c>
      <c r="AD307" s="228">
        <f>IFERROR(_xlfn.XLOOKUP($D307,'Modelling New'!$D:$D,'Modelling New'!$T:$T)*1000,"")</f>
        <v>1597510.1090983946</v>
      </c>
      <c r="AE307" s="240">
        <f>IFERROR(_xlfn.XLOOKUP($D307,'Modelling New'!$D:$D,'Modelling New'!$O:$O),"")</f>
        <v>0.87434429771334443</v>
      </c>
      <c r="AF307" s="240">
        <f>IFERROR(_xlfn.XLOOKUP($D307,'Modelling New'!$D:$D,'Modelling New'!$W:$W),"")</f>
        <v>0.19864132791520248</v>
      </c>
      <c r="AG307" s="240">
        <f>IFERROR(_xlfn.XLOOKUP($D307,'Modelling New'!$D:$D,'Modelling New'!AE:AE),"")</f>
        <v>0.99750000000000005</v>
      </c>
      <c r="AH307" s="240">
        <f>IFERROR(_xlfn.XLOOKUP($D307,'Modelling New'!$D:$D,'Modelling New'!AF:AF),"")</f>
        <v>0.99750000000000005</v>
      </c>
      <c r="AI307" s="186"/>
      <c r="AJ307" s="186"/>
      <c r="AK307" s="225"/>
      <c r="AL307" s="224">
        <f>IFERROR(Table13[[#This Row],[RA (%)]]*9270*58,"")</f>
        <v>0</v>
      </c>
      <c r="AM307" s="225"/>
      <c r="AN307" s="238"/>
      <c r="AO307" s="240"/>
      <c r="AP307" s="240"/>
      <c r="AQ307" s="240"/>
      <c r="AR307" s="242">
        <f>IFERROR(_xlfn.XLOOKUP($D307,'Modelling New'!$D:$D,'Modelling New'!$N:$N),"")</f>
        <v>335.09100000000001</v>
      </c>
    </row>
    <row r="308" spans="1:44">
      <c r="A308" s="233">
        <f t="shared" si="20"/>
        <v>46051</v>
      </c>
      <c r="B308" s="228">
        <f>YEAR(Table13[[#This Row],[Date]])+IF(MONTH(Table13[[#This Row],[Date]])&gt;=4,1,0)</f>
        <v>2026</v>
      </c>
      <c r="C308" s="186">
        <f>YEAR(Table13[[#This Row],[Date]])</f>
        <v>2026</v>
      </c>
      <c r="D308" s="234">
        <f>Table13[[#This Row],[Date]]-DAY(Table13[[#This Row],[Date]])+1</f>
        <v>46023</v>
      </c>
      <c r="E308" s="186">
        <f t="shared" si="21"/>
        <v>31</v>
      </c>
      <c r="F308" s="235" t="str">
        <f>IFERROR(_xlfn.XLOOKUP($A308,'Raw_Data'!$B:$B,'Raw_Data'!$IX:$IX),"")</f>
        <v/>
      </c>
      <c r="G308" s="236" t="str">
        <f>IFERROR(_xlfn.XLOOKUP($A308,'Raw_Data'!$B:$B,'Raw_Data'!IY:IY),"")</f>
        <v/>
      </c>
      <c r="H308" s="236" t="str">
        <f>IFERROR(_xlfn.XLOOKUP($A308,'Raw_Data'!$B:$B,'Raw_Data'!IZ:IZ),"")</f>
        <v/>
      </c>
      <c r="I308" s="236" t="str">
        <f>IFERROR(_xlfn.XLOOKUP($A308,'Raw_Data'!$B:$B,'Raw_Data'!JA:JA),"")</f>
        <v/>
      </c>
      <c r="J308" s="236" t="str">
        <f>IFERROR(_xlfn.XLOOKUP($A308,'Raw_Data'!$B:$B,'Raw_Data'!JB:JB),"")</f>
        <v/>
      </c>
      <c r="K308" s="236" t="str">
        <f>IFERROR(_xlfn.XLOOKUP($A308,'Raw_Data'!$B:$B,'Raw_Data'!JE:JE),"")</f>
        <v/>
      </c>
      <c r="L308" s="236" t="str">
        <f>IFERROR(_xlfn.XLOOKUP($A308,'Raw_Data'!$B:$B,'Raw_Data'!JF:JF),"")</f>
        <v/>
      </c>
      <c r="M308" s="236" t="str">
        <f>IFERROR(_xlfn.XLOOKUP($A308,'Raw_Data'!$B:$B,'Raw_Data'!JG:JG),"")</f>
        <v/>
      </c>
      <c r="N308" s="236" t="str">
        <f>IFERROR(_xlfn.XLOOKUP($A308,'Raw_Data'!$B:$B,'Raw_Data'!JH:JH),"")</f>
        <v/>
      </c>
      <c r="O308" s="237" t="str">
        <f>IFERROR(1-SUMIF(PA!$B:$B,$A308,PA!$AL:$AL)/($AA308+SUMIF(PA!$B:$B,$A308,PA!$AL:$AL)),"")</f>
        <v/>
      </c>
      <c r="P308" s="238"/>
      <c r="Q308" s="239"/>
      <c r="R308" s="240" t="str">
        <f>IFERROR(1-SUMIF(GA!$C:$C,$A308,GA!$X:$X)/($AA308+SUMIF(GA!$C:$C,$A308,GA!$X:$X)),"")</f>
        <v/>
      </c>
      <c r="S308" s="186"/>
      <c r="T308" s="239"/>
      <c r="U308" s="237" t="str">
        <f t="shared" si="18"/>
        <v/>
      </c>
      <c r="V308" s="237" t="str">
        <f>IFERROR(_xlfn.XLOOKUP($A308,'Raw_Data'!$B:$B,'Raw_Data'!$JL:$JL),"")</f>
        <v/>
      </c>
      <c r="W308" s="240" t="str">
        <f t="shared" si="19"/>
        <v/>
      </c>
      <c r="X308" s="228" t="str">
        <f>IFERROR(_xlfn.XLOOKUP($A308,'Raw_Data'!$B:$B,'Raw_Data'!$JI:$JI),"")</f>
        <v/>
      </c>
      <c r="Y308" s="228" t="str">
        <f>IFERROR(_xlfn.XLOOKUP($A308,'Raw_Data'!$B:$B,'Raw_Data'!IT:IT),"")</f>
        <v/>
      </c>
      <c r="Z308" s="228" t="str">
        <f>IFERROR(_xlfn.XLOOKUP($A308,'Raw_Data'!$B:$B,'Raw_Data'!IU:IU),"")</f>
        <v/>
      </c>
      <c r="AA308" s="228" t="str">
        <f>IFERROR(_xlfn.XLOOKUP($A308,'Raw_Data'!$B:$B,'Raw_Data'!IW:IW),"")</f>
        <v/>
      </c>
      <c r="AB308" s="228" t="str">
        <f>IFERROR(_xlfn.XLOOKUP($A308,'Raw_Data'!$B:$B,'Raw_Data'!I:I)/1000,"")</f>
        <v/>
      </c>
      <c r="AC308" s="241">
        <f>IFERROR(_xlfn.XLOOKUP($D308,'Modelling New'!$D:$D,'Modelling New'!$P:$P),"")</f>
        <v>5.4525338387096776</v>
      </c>
      <c r="AD308" s="228">
        <f>IFERROR(_xlfn.XLOOKUP($D308,'Modelling New'!$D:$D,'Modelling New'!$T:$T)*1000,"")</f>
        <v>1597510.1090983946</v>
      </c>
      <c r="AE308" s="240">
        <f>IFERROR(_xlfn.XLOOKUP($D308,'Modelling New'!$D:$D,'Modelling New'!$O:$O),"")</f>
        <v>0.87434429771334443</v>
      </c>
      <c r="AF308" s="240">
        <f>IFERROR(_xlfn.XLOOKUP($D308,'Modelling New'!$D:$D,'Modelling New'!$W:$W),"")</f>
        <v>0.19864132791520248</v>
      </c>
      <c r="AG308" s="240">
        <f>IFERROR(_xlfn.XLOOKUP($D308,'Modelling New'!$D:$D,'Modelling New'!AE:AE),"")</f>
        <v>0.99750000000000005</v>
      </c>
      <c r="AH308" s="240">
        <f>IFERROR(_xlfn.XLOOKUP($D308,'Modelling New'!$D:$D,'Modelling New'!AF:AF),"")</f>
        <v>0.99750000000000005</v>
      </c>
      <c r="AI308" s="186"/>
      <c r="AJ308" s="186"/>
      <c r="AK308" s="225"/>
      <c r="AL308" s="224">
        <f>IFERROR(Table13[[#This Row],[RA (%)]]*9270*58,"")</f>
        <v>0</v>
      </c>
      <c r="AM308" s="225"/>
      <c r="AN308" s="238"/>
      <c r="AO308" s="240"/>
      <c r="AP308" s="240"/>
      <c r="AQ308" s="240"/>
      <c r="AR308" s="242">
        <f>IFERROR(_xlfn.XLOOKUP($D308,'Modelling New'!$D:$D,'Modelling New'!$N:$N),"")</f>
        <v>335.09100000000001</v>
      </c>
    </row>
    <row r="309" spans="1:44">
      <c r="A309" s="233">
        <f t="shared" si="20"/>
        <v>46052</v>
      </c>
      <c r="B309" s="228">
        <f>YEAR(Table13[[#This Row],[Date]])+IF(MONTH(Table13[[#This Row],[Date]])&gt;=4,1,0)</f>
        <v>2026</v>
      </c>
      <c r="C309" s="186">
        <f>YEAR(Table13[[#This Row],[Date]])</f>
        <v>2026</v>
      </c>
      <c r="D309" s="234">
        <f>Table13[[#This Row],[Date]]-DAY(Table13[[#This Row],[Date]])+1</f>
        <v>46023</v>
      </c>
      <c r="E309" s="186">
        <f t="shared" si="21"/>
        <v>31</v>
      </c>
      <c r="F309" s="235" t="str">
        <f>IFERROR(_xlfn.XLOOKUP($A309,'Raw_Data'!$B:$B,'Raw_Data'!$IX:$IX),"")</f>
        <v/>
      </c>
      <c r="G309" s="236" t="str">
        <f>IFERROR(_xlfn.XLOOKUP($A309,'Raw_Data'!$B:$B,'Raw_Data'!IY:IY),"")</f>
        <v/>
      </c>
      <c r="H309" s="236" t="str">
        <f>IFERROR(_xlfn.XLOOKUP($A309,'Raw_Data'!$B:$B,'Raw_Data'!IZ:IZ),"")</f>
        <v/>
      </c>
      <c r="I309" s="236" t="str">
        <f>IFERROR(_xlfn.XLOOKUP($A309,'Raw_Data'!$B:$B,'Raw_Data'!JA:JA),"")</f>
        <v/>
      </c>
      <c r="J309" s="236" t="str">
        <f>IFERROR(_xlfn.XLOOKUP($A309,'Raw_Data'!$B:$B,'Raw_Data'!JB:JB),"")</f>
        <v/>
      </c>
      <c r="K309" s="236" t="str">
        <f>IFERROR(_xlfn.XLOOKUP($A309,'Raw_Data'!$B:$B,'Raw_Data'!JE:JE),"")</f>
        <v/>
      </c>
      <c r="L309" s="236" t="str">
        <f>IFERROR(_xlfn.XLOOKUP($A309,'Raw_Data'!$B:$B,'Raw_Data'!JF:JF),"")</f>
        <v/>
      </c>
      <c r="M309" s="236" t="str">
        <f>IFERROR(_xlfn.XLOOKUP($A309,'Raw_Data'!$B:$B,'Raw_Data'!JG:JG),"")</f>
        <v/>
      </c>
      <c r="N309" s="236" t="str">
        <f>IFERROR(_xlfn.XLOOKUP($A309,'Raw_Data'!$B:$B,'Raw_Data'!JH:JH),"")</f>
        <v/>
      </c>
      <c r="O309" s="237" t="str">
        <f>IFERROR(1-SUMIF(PA!$B:$B,$A309,PA!$AL:$AL)/($AA309+SUMIF(PA!$B:$B,$A309,PA!$AL:$AL)),"")</f>
        <v/>
      </c>
      <c r="P309" s="238"/>
      <c r="Q309" s="239"/>
      <c r="R309" s="240" t="str">
        <f>IFERROR(1-SUMIF(GA!$C:$C,$A309,GA!$X:$X)/($AA309+SUMIF(GA!$C:$C,$A309,GA!$X:$X)),"")</f>
        <v/>
      </c>
      <c r="S309" s="186"/>
      <c r="T309" s="239"/>
      <c r="U309" s="237" t="str">
        <f t="shared" si="18"/>
        <v/>
      </c>
      <c r="V309" s="237" t="str">
        <f>IFERROR(_xlfn.XLOOKUP($A309,'Raw_Data'!$B:$B,'Raw_Data'!$JL:$JL),"")</f>
        <v/>
      </c>
      <c r="W309" s="240" t="str">
        <f t="shared" si="19"/>
        <v/>
      </c>
      <c r="X309" s="228" t="str">
        <f>IFERROR(_xlfn.XLOOKUP($A309,'Raw_Data'!$B:$B,'Raw_Data'!$JI:$JI),"")</f>
        <v/>
      </c>
      <c r="Y309" s="228" t="str">
        <f>IFERROR(_xlfn.XLOOKUP($A309,'Raw_Data'!$B:$B,'Raw_Data'!IT:IT),"")</f>
        <v/>
      </c>
      <c r="Z309" s="228" t="str">
        <f>IFERROR(_xlfn.XLOOKUP($A309,'Raw_Data'!$B:$B,'Raw_Data'!IU:IU),"")</f>
        <v/>
      </c>
      <c r="AA309" s="228" t="str">
        <f>IFERROR(_xlfn.XLOOKUP($A309,'Raw_Data'!$B:$B,'Raw_Data'!IW:IW),"")</f>
        <v/>
      </c>
      <c r="AB309" s="228" t="str">
        <f>IFERROR(_xlfn.XLOOKUP($A309,'Raw_Data'!$B:$B,'Raw_Data'!I:I)/1000,"")</f>
        <v/>
      </c>
      <c r="AC309" s="241">
        <f>IFERROR(_xlfn.XLOOKUP($D309,'Modelling New'!$D:$D,'Modelling New'!$P:$P),"")</f>
        <v>5.4525338387096776</v>
      </c>
      <c r="AD309" s="228">
        <f>IFERROR(_xlfn.XLOOKUP($D309,'Modelling New'!$D:$D,'Modelling New'!$T:$T)*1000,"")</f>
        <v>1597510.1090983946</v>
      </c>
      <c r="AE309" s="240">
        <f>IFERROR(_xlfn.XLOOKUP($D309,'Modelling New'!$D:$D,'Modelling New'!$O:$O),"")</f>
        <v>0.87434429771334443</v>
      </c>
      <c r="AF309" s="240">
        <f>IFERROR(_xlfn.XLOOKUP($D309,'Modelling New'!$D:$D,'Modelling New'!$W:$W),"")</f>
        <v>0.19864132791520248</v>
      </c>
      <c r="AG309" s="240">
        <f>IFERROR(_xlfn.XLOOKUP($D309,'Modelling New'!$D:$D,'Modelling New'!AE:AE),"")</f>
        <v>0.99750000000000005</v>
      </c>
      <c r="AH309" s="240">
        <f>IFERROR(_xlfn.XLOOKUP($D309,'Modelling New'!$D:$D,'Modelling New'!AF:AF),"")</f>
        <v>0.99750000000000005</v>
      </c>
      <c r="AI309" s="186"/>
      <c r="AJ309" s="186"/>
      <c r="AK309" s="225"/>
      <c r="AL309" s="224">
        <f>IFERROR(Table13[[#This Row],[RA (%)]]*9270*58,"")</f>
        <v>0</v>
      </c>
      <c r="AM309" s="225"/>
      <c r="AN309" s="238"/>
      <c r="AO309" s="240"/>
      <c r="AP309" s="240"/>
      <c r="AQ309" s="240"/>
      <c r="AR309" s="242">
        <f>IFERROR(_xlfn.XLOOKUP($D309,'Modelling New'!$D:$D,'Modelling New'!$N:$N),"")</f>
        <v>335.09100000000001</v>
      </c>
    </row>
    <row r="310" spans="1:44">
      <c r="A310" s="233">
        <f t="shared" si="20"/>
        <v>46053</v>
      </c>
      <c r="B310" s="228">
        <f>YEAR(Table13[[#This Row],[Date]])+IF(MONTH(Table13[[#This Row],[Date]])&gt;=4,1,0)</f>
        <v>2026</v>
      </c>
      <c r="C310" s="186">
        <f>YEAR(Table13[[#This Row],[Date]])</f>
        <v>2026</v>
      </c>
      <c r="D310" s="234">
        <f>Table13[[#This Row],[Date]]-DAY(Table13[[#This Row],[Date]])+1</f>
        <v>46023</v>
      </c>
      <c r="E310" s="186">
        <f t="shared" si="21"/>
        <v>31</v>
      </c>
      <c r="F310" s="235" t="str">
        <f>IFERROR(_xlfn.XLOOKUP($A310,'Raw_Data'!$B:$B,'Raw_Data'!$IX:$IX),"")</f>
        <v/>
      </c>
      <c r="G310" s="236" t="str">
        <f>IFERROR(_xlfn.XLOOKUP($A310,'Raw_Data'!$B:$B,'Raw_Data'!IY:IY),"")</f>
        <v/>
      </c>
      <c r="H310" s="236" t="str">
        <f>IFERROR(_xlfn.XLOOKUP($A310,'Raw_Data'!$B:$B,'Raw_Data'!IZ:IZ),"")</f>
        <v/>
      </c>
      <c r="I310" s="236" t="str">
        <f>IFERROR(_xlfn.XLOOKUP($A310,'Raw_Data'!$B:$B,'Raw_Data'!JA:JA),"")</f>
        <v/>
      </c>
      <c r="J310" s="236" t="str">
        <f>IFERROR(_xlfn.XLOOKUP($A310,'Raw_Data'!$B:$B,'Raw_Data'!JB:JB),"")</f>
        <v/>
      </c>
      <c r="K310" s="236" t="str">
        <f>IFERROR(_xlfn.XLOOKUP($A310,'Raw_Data'!$B:$B,'Raw_Data'!JE:JE),"")</f>
        <v/>
      </c>
      <c r="L310" s="236" t="str">
        <f>IFERROR(_xlfn.XLOOKUP($A310,'Raw_Data'!$B:$B,'Raw_Data'!JF:JF),"")</f>
        <v/>
      </c>
      <c r="M310" s="236" t="str">
        <f>IFERROR(_xlfn.XLOOKUP($A310,'Raw_Data'!$B:$B,'Raw_Data'!JG:JG),"")</f>
        <v/>
      </c>
      <c r="N310" s="236" t="str">
        <f>IFERROR(_xlfn.XLOOKUP($A310,'Raw_Data'!$B:$B,'Raw_Data'!JH:JH),"")</f>
        <v/>
      </c>
      <c r="O310" s="237" t="str">
        <f>IFERROR(1-SUMIF(PA!$B:$B,$A310,PA!$AL:$AL)/($AA310+SUMIF(PA!$B:$B,$A310,PA!$AL:$AL)),"")</f>
        <v/>
      </c>
      <c r="P310" s="238"/>
      <c r="Q310" s="239"/>
      <c r="R310" s="240" t="str">
        <f>IFERROR(1-SUMIF(GA!$C:$C,$A310,GA!$X:$X)/($AA310+SUMIF(GA!$C:$C,$A310,GA!$X:$X)),"")</f>
        <v/>
      </c>
      <c r="S310" s="186"/>
      <c r="T310" s="239"/>
      <c r="U310" s="237" t="str">
        <f t="shared" si="18"/>
        <v/>
      </c>
      <c r="V310" s="237" t="str">
        <f>IFERROR(_xlfn.XLOOKUP($A310,'Raw_Data'!$B:$B,'Raw_Data'!$JL:$JL),"")</f>
        <v/>
      </c>
      <c r="W310" s="240" t="str">
        <f t="shared" si="19"/>
        <v/>
      </c>
      <c r="X310" s="228" t="str">
        <f>IFERROR(_xlfn.XLOOKUP($A310,'Raw_Data'!$B:$B,'Raw_Data'!$JI:$JI),"")</f>
        <v/>
      </c>
      <c r="Y310" s="228" t="str">
        <f>IFERROR(_xlfn.XLOOKUP($A310,'Raw_Data'!$B:$B,'Raw_Data'!IT:IT),"")</f>
        <v/>
      </c>
      <c r="Z310" s="228" t="str">
        <f>IFERROR(_xlfn.XLOOKUP($A310,'Raw_Data'!$B:$B,'Raw_Data'!IU:IU),"")</f>
        <v/>
      </c>
      <c r="AA310" s="228" t="str">
        <f>IFERROR(_xlfn.XLOOKUP($A310,'Raw_Data'!$B:$B,'Raw_Data'!IW:IW),"")</f>
        <v/>
      </c>
      <c r="AB310" s="228" t="str">
        <f>IFERROR(_xlfn.XLOOKUP($A310,'Raw_Data'!$B:$B,'Raw_Data'!I:I)/1000,"")</f>
        <v/>
      </c>
      <c r="AC310" s="241">
        <f>IFERROR(_xlfn.XLOOKUP($D310,'Modelling New'!$D:$D,'Modelling New'!$P:$P),"")</f>
        <v>5.4525338387096776</v>
      </c>
      <c r="AD310" s="228">
        <f>IFERROR(_xlfn.XLOOKUP($D310,'Modelling New'!$D:$D,'Modelling New'!$T:$T)*1000,"")</f>
        <v>1597510.1090983946</v>
      </c>
      <c r="AE310" s="240">
        <f>IFERROR(_xlfn.XLOOKUP($D310,'Modelling New'!$D:$D,'Modelling New'!$O:$O),"")</f>
        <v>0.87434429771334443</v>
      </c>
      <c r="AF310" s="240">
        <f>IFERROR(_xlfn.XLOOKUP($D310,'Modelling New'!$D:$D,'Modelling New'!$W:$W),"")</f>
        <v>0.19864132791520248</v>
      </c>
      <c r="AG310" s="240">
        <f>IFERROR(_xlfn.XLOOKUP($D310,'Modelling New'!$D:$D,'Modelling New'!AE:AE),"")</f>
        <v>0.99750000000000005</v>
      </c>
      <c r="AH310" s="240">
        <f>IFERROR(_xlfn.XLOOKUP($D310,'Modelling New'!$D:$D,'Modelling New'!AF:AF),"")</f>
        <v>0.99750000000000005</v>
      </c>
      <c r="AI310" s="186"/>
      <c r="AJ310" s="186"/>
      <c r="AK310" s="225"/>
      <c r="AL310" s="224">
        <f>IFERROR(Table13[[#This Row],[RA (%)]]*9270*58,"")</f>
        <v>0</v>
      </c>
      <c r="AM310" s="225"/>
      <c r="AN310" s="238"/>
      <c r="AO310" s="240"/>
      <c r="AP310" s="240"/>
      <c r="AQ310" s="240"/>
      <c r="AR310" s="242">
        <f>IFERROR(_xlfn.XLOOKUP($D310,'Modelling New'!$D:$D,'Modelling New'!$N:$N),"")</f>
        <v>335.09100000000001</v>
      </c>
    </row>
    <row r="311" spans="1:44">
      <c r="A311" s="233">
        <f t="shared" si="20"/>
        <v>46054</v>
      </c>
      <c r="B311" s="228">
        <f>YEAR(Table13[[#This Row],[Date]])+IF(MONTH(Table13[[#This Row],[Date]])&gt;=4,1,0)</f>
        <v>2026</v>
      </c>
      <c r="C311" s="186">
        <f>YEAR(Table13[[#This Row],[Date]])</f>
        <v>2026</v>
      </c>
      <c r="D311" s="234">
        <f>Table13[[#This Row],[Date]]-DAY(Table13[[#This Row],[Date]])+1</f>
        <v>46054</v>
      </c>
      <c r="E311" s="186">
        <f t="shared" si="21"/>
        <v>28</v>
      </c>
      <c r="F311" s="235" t="str">
        <f>IFERROR(_xlfn.XLOOKUP($A311,'Raw_Data'!$B:$B,'Raw_Data'!$IX:$IX),"")</f>
        <v/>
      </c>
      <c r="G311" s="236" t="str">
        <f>IFERROR(_xlfn.XLOOKUP($A311,'Raw_Data'!$B:$B,'Raw_Data'!IY:IY),"")</f>
        <v/>
      </c>
      <c r="H311" s="236" t="str">
        <f>IFERROR(_xlfn.XLOOKUP($A311,'Raw_Data'!$B:$B,'Raw_Data'!IZ:IZ),"")</f>
        <v/>
      </c>
      <c r="I311" s="236" t="str">
        <f>IFERROR(_xlfn.XLOOKUP($A311,'Raw_Data'!$B:$B,'Raw_Data'!JA:JA),"")</f>
        <v/>
      </c>
      <c r="J311" s="236" t="str">
        <f>IFERROR(_xlfn.XLOOKUP($A311,'Raw_Data'!$B:$B,'Raw_Data'!JB:JB),"")</f>
        <v/>
      </c>
      <c r="K311" s="236" t="str">
        <f>IFERROR(_xlfn.XLOOKUP($A311,'Raw_Data'!$B:$B,'Raw_Data'!JE:JE),"")</f>
        <v/>
      </c>
      <c r="L311" s="236" t="str">
        <f>IFERROR(_xlfn.XLOOKUP($A311,'Raw_Data'!$B:$B,'Raw_Data'!JF:JF),"")</f>
        <v/>
      </c>
      <c r="M311" s="236" t="str">
        <f>IFERROR(_xlfn.XLOOKUP($A311,'Raw_Data'!$B:$B,'Raw_Data'!JG:JG),"")</f>
        <v/>
      </c>
      <c r="N311" s="236" t="str">
        <f>IFERROR(_xlfn.XLOOKUP($A311,'Raw_Data'!$B:$B,'Raw_Data'!JH:JH),"")</f>
        <v/>
      </c>
      <c r="O311" s="237" t="str">
        <f>IFERROR(1-SUMIF(PA!$B:$B,$A311,PA!$AL:$AL)/($AA311+SUMIF(PA!$B:$B,$A311,PA!$AL:$AL)),"")</f>
        <v/>
      </c>
      <c r="P311" s="238"/>
      <c r="Q311" s="239"/>
      <c r="R311" s="240" t="str">
        <f>IFERROR(1-SUMIF(GA!$C:$C,$A311,GA!$X:$X)/($AA311+SUMIF(GA!$C:$C,$A311,GA!$X:$X)),"")</f>
        <v/>
      </c>
      <c r="S311" s="186"/>
      <c r="T311" s="239"/>
      <c r="U311" s="237" t="str">
        <f t="shared" si="18"/>
        <v/>
      </c>
      <c r="V311" s="237" t="str">
        <f>IFERROR(_xlfn.XLOOKUP($A311,'Raw_Data'!$B:$B,'Raw_Data'!$JL:$JL),"")</f>
        <v/>
      </c>
      <c r="W311" s="240" t="str">
        <f t="shared" si="19"/>
        <v/>
      </c>
      <c r="X311" s="228" t="str">
        <f>IFERROR(_xlfn.XLOOKUP($A311,'Raw_Data'!$B:$B,'Raw_Data'!$JI:$JI),"")</f>
        <v/>
      </c>
      <c r="Y311" s="228" t="str">
        <f>IFERROR(_xlfn.XLOOKUP($A311,'Raw_Data'!$B:$B,'Raw_Data'!IT:IT),"")</f>
        <v/>
      </c>
      <c r="Z311" s="228" t="str">
        <f>IFERROR(_xlfn.XLOOKUP($A311,'Raw_Data'!$B:$B,'Raw_Data'!IU:IU),"")</f>
        <v/>
      </c>
      <c r="AA311" s="228" t="str">
        <f>IFERROR(_xlfn.XLOOKUP($A311,'Raw_Data'!$B:$B,'Raw_Data'!IW:IW),"")</f>
        <v/>
      </c>
      <c r="AB311" s="228" t="str">
        <f>IFERROR(_xlfn.XLOOKUP($A311,'Raw_Data'!$B:$B,'Raw_Data'!I:I)/1000,"")</f>
        <v/>
      </c>
      <c r="AC311" s="241">
        <f>IFERROR(_xlfn.XLOOKUP($D311,'Modelling New'!$D:$D,'Modelling New'!$P:$P),"")</f>
        <v>6.1628257821428587</v>
      </c>
      <c r="AD311" s="228">
        <f>IFERROR(_xlfn.XLOOKUP($D311,'Modelling New'!$D:$D,'Modelling New'!$T:$T)*1000,"")</f>
        <v>1744321.2783057354</v>
      </c>
      <c r="AE311" s="240">
        <f>IFERROR(_xlfn.XLOOKUP($D311,'Modelling New'!$D:$D,'Modelling New'!$O:$O),"")</f>
        <v>0.84466368797833169</v>
      </c>
      <c r="AF311" s="240">
        <f>IFERROR(_xlfn.XLOOKUP($D311,'Modelling New'!$D:$D,'Modelling New'!$W:$W),"")</f>
        <v>0.21689646472969723</v>
      </c>
      <c r="AG311" s="240">
        <f>IFERROR(_xlfn.XLOOKUP($D311,'Modelling New'!$D:$D,'Modelling New'!AE:AE),"")</f>
        <v>0.99750000000000005</v>
      </c>
      <c r="AH311" s="240">
        <f>IFERROR(_xlfn.XLOOKUP($D311,'Modelling New'!$D:$D,'Modelling New'!AF:AF),"")</f>
        <v>0.99750000000000005</v>
      </c>
      <c r="AI311" s="186"/>
      <c r="AJ311" s="186"/>
      <c r="AK311" s="225"/>
      <c r="AL311" s="224">
        <f>IFERROR(Table13[[#This Row],[RA (%)]]*9270*58,"")</f>
        <v>0</v>
      </c>
      <c r="AM311" s="225"/>
      <c r="AN311" s="238"/>
      <c r="AO311" s="240"/>
      <c r="AP311" s="240"/>
      <c r="AQ311" s="240"/>
      <c r="AR311" s="242">
        <f>IFERROR(_xlfn.XLOOKUP($D311,'Modelling New'!$D:$D,'Modelling New'!$N:$N),"")</f>
        <v>335.09100000000001</v>
      </c>
    </row>
    <row r="312" spans="1:44">
      <c r="A312" s="233">
        <f t="shared" si="20"/>
        <v>46055</v>
      </c>
      <c r="B312" s="228">
        <f>YEAR(Table13[[#This Row],[Date]])+IF(MONTH(Table13[[#This Row],[Date]])&gt;=4,1,0)</f>
        <v>2026</v>
      </c>
      <c r="C312" s="186">
        <f>YEAR(Table13[[#This Row],[Date]])</f>
        <v>2026</v>
      </c>
      <c r="D312" s="234">
        <f>Table13[[#This Row],[Date]]-DAY(Table13[[#This Row],[Date]])+1</f>
        <v>46054</v>
      </c>
      <c r="E312" s="186">
        <f t="shared" si="21"/>
        <v>28</v>
      </c>
      <c r="F312" s="235" t="str">
        <f>IFERROR(_xlfn.XLOOKUP($A312,'Raw_Data'!$B:$B,'Raw_Data'!$IX:$IX),"")</f>
        <v/>
      </c>
      <c r="G312" s="236" t="str">
        <f>IFERROR(_xlfn.XLOOKUP($A312,'Raw_Data'!$B:$B,'Raw_Data'!IY:IY),"")</f>
        <v/>
      </c>
      <c r="H312" s="236" t="str">
        <f>IFERROR(_xlfn.XLOOKUP($A312,'Raw_Data'!$B:$B,'Raw_Data'!IZ:IZ),"")</f>
        <v/>
      </c>
      <c r="I312" s="236" t="str">
        <f>IFERROR(_xlfn.XLOOKUP($A312,'Raw_Data'!$B:$B,'Raw_Data'!JA:JA),"")</f>
        <v/>
      </c>
      <c r="J312" s="236" t="str">
        <f>IFERROR(_xlfn.XLOOKUP($A312,'Raw_Data'!$B:$B,'Raw_Data'!JB:JB),"")</f>
        <v/>
      </c>
      <c r="K312" s="236" t="str">
        <f>IFERROR(_xlfn.XLOOKUP($A312,'Raw_Data'!$B:$B,'Raw_Data'!JE:JE),"")</f>
        <v/>
      </c>
      <c r="L312" s="236" t="str">
        <f>IFERROR(_xlfn.XLOOKUP($A312,'Raw_Data'!$B:$B,'Raw_Data'!JF:JF),"")</f>
        <v/>
      </c>
      <c r="M312" s="236" t="str">
        <f>IFERROR(_xlfn.XLOOKUP($A312,'Raw_Data'!$B:$B,'Raw_Data'!JG:JG),"")</f>
        <v/>
      </c>
      <c r="N312" s="236" t="str">
        <f>IFERROR(_xlfn.XLOOKUP($A312,'Raw_Data'!$B:$B,'Raw_Data'!JH:JH),"")</f>
        <v/>
      </c>
      <c r="O312" s="237" t="str">
        <f>IFERROR(1-SUMIF(PA!$B:$B,$A312,PA!$AL:$AL)/($AA312+SUMIF(PA!$B:$B,$A312,PA!$AL:$AL)),"")</f>
        <v/>
      </c>
      <c r="P312" s="238"/>
      <c r="Q312" s="239"/>
      <c r="R312" s="240" t="str">
        <f>IFERROR(1-SUMIF(GA!$C:$C,$A312,GA!$X:$X)/($AA312+SUMIF(GA!$C:$C,$A312,GA!$X:$X)),"")</f>
        <v/>
      </c>
      <c r="S312" s="186"/>
      <c r="T312" s="239"/>
      <c r="U312" s="237" t="str">
        <f t="shared" si="18"/>
        <v/>
      </c>
      <c r="V312" s="237" t="str">
        <f>IFERROR(_xlfn.XLOOKUP($A312,'Raw_Data'!$B:$B,'Raw_Data'!$JL:$JL),"")</f>
        <v/>
      </c>
      <c r="W312" s="240" t="str">
        <f t="shared" si="19"/>
        <v/>
      </c>
      <c r="X312" s="228" t="str">
        <f>IFERROR(_xlfn.XLOOKUP($A312,'Raw_Data'!$B:$B,'Raw_Data'!$JI:$JI),"")</f>
        <v/>
      </c>
      <c r="Y312" s="228" t="str">
        <f>IFERROR(_xlfn.XLOOKUP($A312,'Raw_Data'!$B:$B,'Raw_Data'!IT:IT),"")</f>
        <v/>
      </c>
      <c r="Z312" s="228" t="str">
        <f>IFERROR(_xlfn.XLOOKUP($A312,'Raw_Data'!$B:$B,'Raw_Data'!IU:IU),"")</f>
        <v/>
      </c>
      <c r="AA312" s="228" t="str">
        <f>IFERROR(_xlfn.XLOOKUP($A312,'Raw_Data'!$B:$B,'Raw_Data'!IW:IW),"")</f>
        <v/>
      </c>
      <c r="AB312" s="228" t="str">
        <f>IFERROR(_xlfn.XLOOKUP($A312,'Raw_Data'!$B:$B,'Raw_Data'!I:I)/1000,"")</f>
        <v/>
      </c>
      <c r="AC312" s="241">
        <f>IFERROR(_xlfn.XLOOKUP($D312,'Modelling New'!$D:$D,'Modelling New'!$P:$P),"")</f>
        <v>6.1628257821428587</v>
      </c>
      <c r="AD312" s="228">
        <f>IFERROR(_xlfn.XLOOKUP($D312,'Modelling New'!$D:$D,'Modelling New'!$T:$T)*1000,"")</f>
        <v>1744321.2783057354</v>
      </c>
      <c r="AE312" s="240">
        <f>IFERROR(_xlfn.XLOOKUP($D312,'Modelling New'!$D:$D,'Modelling New'!$O:$O),"")</f>
        <v>0.84466368797833169</v>
      </c>
      <c r="AF312" s="240">
        <f>IFERROR(_xlfn.XLOOKUP($D312,'Modelling New'!$D:$D,'Modelling New'!$W:$W),"")</f>
        <v>0.21689646472969723</v>
      </c>
      <c r="AG312" s="240">
        <f>IFERROR(_xlfn.XLOOKUP($D312,'Modelling New'!$D:$D,'Modelling New'!AE:AE),"")</f>
        <v>0.99750000000000005</v>
      </c>
      <c r="AH312" s="240">
        <f>IFERROR(_xlfn.XLOOKUP($D312,'Modelling New'!$D:$D,'Modelling New'!AF:AF),"")</f>
        <v>0.99750000000000005</v>
      </c>
      <c r="AI312" s="186"/>
      <c r="AJ312" s="186"/>
      <c r="AK312" s="225"/>
      <c r="AL312" s="224">
        <f>IFERROR(Table13[[#This Row],[RA (%)]]*9270*58,"")</f>
        <v>0</v>
      </c>
      <c r="AM312" s="225"/>
      <c r="AN312" s="238"/>
      <c r="AO312" s="240"/>
      <c r="AP312" s="240"/>
      <c r="AQ312" s="240"/>
      <c r="AR312" s="242">
        <f>IFERROR(_xlfn.XLOOKUP($D312,'Modelling New'!$D:$D,'Modelling New'!$N:$N),"")</f>
        <v>335.09100000000001</v>
      </c>
    </row>
    <row r="313" spans="1:44">
      <c r="A313" s="233">
        <f t="shared" si="20"/>
        <v>46056</v>
      </c>
      <c r="B313" s="228">
        <f>YEAR(Table13[[#This Row],[Date]])+IF(MONTH(Table13[[#This Row],[Date]])&gt;=4,1,0)</f>
        <v>2026</v>
      </c>
      <c r="C313" s="186">
        <f>YEAR(Table13[[#This Row],[Date]])</f>
        <v>2026</v>
      </c>
      <c r="D313" s="234">
        <f>Table13[[#This Row],[Date]]-DAY(Table13[[#This Row],[Date]])+1</f>
        <v>46054</v>
      </c>
      <c r="E313" s="186">
        <f t="shared" si="21"/>
        <v>28</v>
      </c>
      <c r="F313" s="235" t="str">
        <f>IFERROR(_xlfn.XLOOKUP($A313,'Raw_Data'!$B:$B,'Raw_Data'!$IX:$IX),"")</f>
        <v/>
      </c>
      <c r="G313" s="236" t="str">
        <f>IFERROR(_xlfn.XLOOKUP($A313,'Raw_Data'!$B:$B,'Raw_Data'!IY:IY),"")</f>
        <v/>
      </c>
      <c r="H313" s="236" t="str">
        <f>IFERROR(_xlfn.XLOOKUP($A313,'Raw_Data'!$B:$B,'Raw_Data'!IZ:IZ),"")</f>
        <v/>
      </c>
      <c r="I313" s="236" t="str">
        <f>IFERROR(_xlfn.XLOOKUP($A313,'Raw_Data'!$B:$B,'Raw_Data'!JA:JA),"")</f>
        <v/>
      </c>
      <c r="J313" s="236" t="str">
        <f>IFERROR(_xlfn.XLOOKUP($A313,'Raw_Data'!$B:$B,'Raw_Data'!JB:JB),"")</f>
        <v/>
      </c>
      <c r="K313" s="236" t="str">
        <f>IFERROR(_xlfn.XLOOKUP($A313,'Raw_Data'!$B:$B,'Raw_Data'!JE:JE),"")</f>
        <v/>
      </c>
      <c r="L313" s="236" t="str">
        <f>IFERROR(_xlfn.XLOOKUP($A313,'Raw_Data'!$B:$B,'Raw_Data'!JF:JF),"")</f>
        <v/>
      </c>
      <c r="M313" s="236" t="str">
        <f>IFERROR(_xlfn.XLOOKUP($A313,'Raw_Data'!$B:$B,'Raw_Data'!JG:JG),"")</f>
        <v/>
      </c>
      <c r="N313" s="236" t="str">
        <f>IFERROR(_xlfn.XLOOKUP($A313,'Raw_Data'!$B:$B,'Raw_Data'!JH:JH),"")</f>
        <v/>
      </c>
      <c r="O313" s="237" t="str">
        <f>IFERROR(1-SUMIF(PA!$B:$B,$A313,PA!$AL:$AL)/($AA313+SUMIF(PA!$B:$B,$A313,PA!$AL:$AL)),"")</f>
        <v/>
      </c>
      <c r="P313" s="238"/>
      <c r="Q313" s="239"/>
      <c r="R313" s="240" t="str">
        <f>IFERROR(1-SUMIF(GA!$C:$C,$A313,GA!$X:$X)/($AA313+SUMIF(GA!$C:$C,$A313,GA!$X:$X)),"")</f>
        <v/>
      </c>
      <c r="S313" s="186"/>
      <c r="T313" s="239"/>
      <c r="U313" s="237" t="str">
        <f t="shared" si="18"/>
        <v/>
      </c>
      <c r="V313" s="237" t="str">
        <f>IFERROR(_xlfn.XLOOKUP($A313,'Raw_Data'!$B:$B,'Raw_Data'!$JL:$JL),"")</f>
        <v/>
      </c>
      <c r="W313" s="240" t="str">
        <f t="shared" si="19"/>
        <v/>
      </c>
      <c r="X313" s="228" t="str">
        <f>IFERROR(_xlfn.XLOOKUP($A313,'Raw_Data'!$B:$B,'Raw_Data'!$JI:$JI),"")</f>
        <v/>
      </c>
      <c r="Y313" s="228" t="str">
        <f>IFERROR(_xlfn.XLOOKUP($A313,'Raw_Data'!$B:$B,'Raw_Data'!IT:IT),"")</f>
        <v/>
      </c>
      <c r="Z313" s="228" t="str">
        <f>IFERROR(_xlfn.XLOOKUP($A313,'Raw_Data'!$B:$B,'Raw_Data'!IU:IU),"")</f>
        <v/>
      </c>
      <c r="AA313" s="228" t="str">
        <f>IFERROR(_xlfn.XLOOKUP($A313,'Raw_Data'!$B:$B,'Raw_Data'!IW:IW),"")</f>
        <v/>
      </c>
      <c r="AB313" s="228" t="str">
        <f>IFERROR(_xlfn.XLOOKUP($A313,'Raw_Data'!$B:$B,'Raw_Data'!I:I)/1000,"")</f>
        <v/>
      </c>
      <c r="AC313" s="241">
        <f>IFERROR(_xlfn.XLOOKUP($D313,'Modelling New'!$D:$D,'Modelling New'!$P:$P),"")</f>
        <v>6.1628257821428587</v>
      </c>
      <c r="AD313" s="228">
        <f>IFERROR(_xlfn.XLOOKUP($D313,'Modelling New'!$D:$D,'Modelling New'!$T:$T)*1000,"")</f>
        <v>1744321.2783057354</v>
      </c>
      <c r="AE313" s="240">
        <f>IFERROR(_xlfn.XLOOKUP($D313,'Modelling New'!$D:$D,'Modelling New'!$O:$O),"")</f>
        <v>0.84466368797833169</v>
      </c>
      <c r="AF313" s="240">
        <f>IFERROR(_xlfn.XLOOKUP($D313,'Modelling New'!$D:$D,'Modelling New'!$W:$W),"")</f>
        <v>0.21689646472969723</v>
      </c>
      <c r="AG313" s="240">
        <f>IFERROR(_xlfn.XLOOKUP($D313,'Modelling New'!$D:$D,'Modelling New'!AE:AE),"")</f>
        <v>0.99750000000000005</v>
      </c>
      <c r="AH313" s="240">
        <f>IFERROR(_xlfn.XLOOKUP($D313,'Modelling New'!$D:$D,'Modelling New'!AF:AF),"")</f>
        <v>0.99750000000000005</v>
      </c>
      <c r="AI313" s="186"/>
      <c r="AJ313" s="186"/>
      <c r="AK313" s="225"/>
      <c r="AL313" s="224">
        <f>IFERROR(Table13[[#This Row],[RA (%)]]*9270*58,"")</f>
        <v>0</v>
      </c>
      <c r="AM313" s="225"/>
      <c r="AN313" s="238"/>
      <c r="AO313" s="240"/>
      <c r="AP313" s="240"/>
      <c r="AQ313" s="240"/>
      <c r="AR313" s="242">
        <f>IFERROR(_xlfn.XLOOKUP($D313,'Modelling New'!$D:$D,'Modelling New'!$N:$N),"")</f>
        <v>335.09100000000001</v>
      </c>
    </row>
    <row r="314" spans="1:44">
      <c r="A314" s="233">
        <f t="shared" si="20"/>
        <v>46057</v>
      </c>
      <c r="B314" s="228">
        <f>YEAR(Table13[[#This Row],[Date]])+IF(MONTH(Table13[[#This Row],[Date]])&gt;=4,1,0)</f>
        <v>2026</v>
      </c>
      <c r="C314" s="186">
        <f>YEAR(Table13[[#This Row],[Date]])</f>
        <v>2026</v>
      </c>
      <c r="D314" s="234">
        <f>Table13[[#This Row],[Date]]-DAY(Table13[[#This Row],[Date]])+1</f>
        <v>46054</v>
      </c>
      <c r="E314" s="186">
        <f t="shared" si="21"/>
        <v>28</v>
      </c>
      <c r="F314" s="235" t="str">
        <f>IFERROR(_xlfn.XLOOKUP($A314,'Raw_Data'!$B:$B,'Raw_Data'!$IX:$IX),"")</f>
        <v/>
      </c>
      <c r="G314" s="236" t="str">
        <f>IFERROR(_xlfn.XLOOKUP($A314,'Raw_Data'!$B:$B,'Raw_Data'!IY:IY),"")</f>
        <v/>
      </c>
      <c r="H314" s="236" t="str">
        <f>IFERROR(_xlfn.XLOOKUP($A314,'Raw_Data'!$B:$B,'Raw_Data'!IZ:IZ),"")</f>
        <v/>
      </c>
      <c r="I314" s="236" t="str">
        <f>IFERROR(_xlfn.XLOOKUP($A314,'Raw_Data'!$B:$B,'Raw_Data'!JA:JA),"")</f>
        <v/>
      </c>
      <c r="J314" s="236" t="str">
        <f>IFERROR(_xlfn.XLOOKUP($A314,'Raw_Data'!$B:$B,'Raw_Data'!JB:JB),"")</f>
        <v/>
      </c>
      <c r="K314" s="236" t="str">
        <f>IFERROR(_xlfn.XLOOKUP($A314,'Raw_Data'!$B:$B,'Raw_Data'!JE:JE),"")</f>
        <v/>
      </c>
      <c r="L314" s="236" t="str">
        <f>IFERROR(_xlfn.XLOOKUP($A314,'Raw_Data'!$B:$B,'Raw_Data'!JF:JF),"")</f>
        <v/>
      </c>
      <c r="M314" s="236" t="str">
        <f>IFERROR(_xlfn.XLOOKUP($A314,'Raw_Data'!$B:$B,'Raw_Data'!JG:JG),"")</f>
        <v/>
      </c>
      <c r="N314" s="236" t="str">
        <f>IFERROR(_xlfn.XLOOKUP($A314,'Raw_Data'!$B:$B,'Raw_Data'!JH:JH),"")</f>
        <v/>
      </c>
      <c r="O314" s="237" t="str">
        <f>IFERROR(1-SUMIF(PA!$B:$B,$A314,PA!$AL:$AL)/($AA314+SUMIF(PA!$B:$B,$A314,PA!$AL:$AL)),"")</f>
        <v/>
      </c>
      <c r="P314" s="238"/>
      <c r="Q314" s="239"/>
      <c r="R314" s="240" t="str">
        <f>IFERROR(1-SUMIF(GA!$C:$C,$A314,GA!$X:$X)/($AA314+SUMIF(GA!$C:$C,$A314,GA!$X:$X)),"")</f>
        <v/>
      </c>
      <c r="S314" s="186"/>
      <c r="T314" s="239"/>
      <c r="U314" s="237" t="str">
        <f t="shared" si="18"/>
        <v/>
      </c>
      <c r="V314" s="237" t="str">
        <f>IFERROR(_xlfn.XLOOKUP($A314,'Raw_Data'!$B:$B,'Raw_Data'!$JL:$JL),"")</f>
        <v/>
      </c>
      <c r="W314" s="240" t="str">
        <f t="shared" si="19"/>
        <v/>
      </c>
      <c r="X314" s="228" t="str">
        <f>IFERROR(_xlfn.XLOOKUP($A314,'Raw_Data'!$B:$B,'Raw_Data'!$JI:$JI),"")</f>
        <v/>
      </c>
      <c r="Y314" s="228" t="str">
        <f>IFERROR(_xlfn.XLOOKUP($A314,'Raw_Data'!$B:$B,'Raw_Data'!IT:IT),"")</f>
        <v/>
      </c>
      <c r="Z314" s="228" t="str">
        <f>IFERROR(_xlfn.XLOOKUP($A314,'Raw_Data'!$B:$B,'Raw_Data'!IU:IU),"")</f>
        <v/>
      </c>
      <c r="AA314" s="228" t="str">
        <f>IFERROR(_xlfn.XLOOKUP($A314,'Raw_Data'!$B:$B,'Raw_Data'!IW:IW),"")</f>
        <v/>
      </c>
      <c r="AB314" s="228" t="str">
        <f>IFERROR(_xlfn.XLOOKUP($A314,'Raw_Data'!$B:$B,'Raw_Data'!I:I)/1000,"")</f>
        <v/>
      </c>
      <c r="AC314" s="241">
        <f>IFERROR(_xlfn.XLOOKUP($D314,'Modelling New'!$D:$D,'Modelling New'!$P:$P),"")</f>
        <v>6.1628257821428587</v>
      </c>
      <c r="AD314" s="228">
        <f>IFERROR(_xlfn.XLOOKUP($D314,'Modelling New'!$D:$D,'Modelling New'!$T:$T)*1000,"")</f>
        <v>1744321.2783057354</v>
      </c>
      <c r="AE314" s="240">
        <f>IFERROR(_xlfn.XLOOKUP($D314,'Modelling New'!$D:$D,'Modelling New'!$O:$O),"")</f>
        <v>0.84466368797833169</v>
      </c>
      <c r="AF314" s="240">
        <f>IFERROR(_xlfn.XLOOKUP($D314,'Modelling New'!$D:$D,'Modelling New'!$W:$W),"")</f>
        <v>0.21689646472969723</v>
      </c>
      <c r="AG314" s="240">
        <f>IFERROR(_xlfn.XLOOKUP($D314,'Modelling New'!$D:$D,'Modelling New'!AE:AE),"")</f>
        <v>0.99750000000000005</v>
      </c>
      <c r="AH314" s="240">
        <f>IFERROR(_xlfn.XLOOKUP($D314,'Modelling New'!$D:$D,'Modelling New'!AF:AF),"")</f>
        <v>0.99750000000000005</v>
      </c>
      <c r="AI314" s="186"/>
      <c r="AJ314" s="186"/>
      <c r="AK314" s="225"/>
      <c r="AL314" s="224">
        <f>IFERROR(Table13[[#This Row],[RA (%)]]*9270*58,"")</f>
        <v>0</v>
      </c>
      <c r="AM314" s="225"/>
      <c r="AN314" s="238"/>
      <c r="AO314" s="240"/>
      <c r="AP314" s="240"/>
      <c r="AQ314" s="240"/>
      <c r="AR314" s="242">
        <f>IFERROR(_xlfn.XLOOKUP($D314,'Modelling New'!$D:$D,'Modelling New'!$N:$N),"")</f>
        <v>335.09100000000001</v>
      </c>
    </row>
    <row r="315" spans="1:44">
      <c r="A315" s="233">
        <f t="shared" si="20"/>
        <v>46058</v>
      </c>
      <c r="B315" s="228">
        <f>YEAR(Table13[[#This Row],[Date]])+IF(MONTH(Table13[[#This Row],[Date]])&gt;=4,1,0)</f>
        <v>2026</v>
      </c>
      <c r="C315" s="186">
        <f>YEAR(Table13[[#This Row],[Date]])</f>
        <v>2026</v>
      </c>
      <c r="D315" s="234">
        <f>Table13[[#This Row],[Date]]-DAY(Table13[[#This Row],[Date]])+1</f>
        <v>46054</v>
      </c>
      <c r="E315" s="186">
        <f t="shared" si="21"/>
        <v>28</v>
      </c>
      <c r="F315" s="235" t="str">
        <f>IFERROR(_xlfn.XLOOKUP($A315,'Raw_Data'!$B:$B,'Raw_Data'!$IX:$IX),"")</f>
        <v/>
      </c>
      <c r="G315" s="236" t="str">
        <f>IFERROR(_xlfn.XLOOKUP($A315,'Raw_Data'!$B:$B,'Raw_Data'!IY:IY),"")</f>
        <v/>
      </c>
      <c r="H315" s="236" t="str">
        <f>IFERROR(_xlfn.XLOOKUP($A315,'Raw_Data'!$B:$B,'Raw_Data'!IZ:IZ),"")</f>
        <v/>
      </c>
      <c r="I315" s="236" t="str">
        <f>IFERROR(_xlfn.XLOOKUP($A315,'Raw_Data'!$B:$B,'Raw_Data'!JA:JA),"")</f>
        <v/>
      </c>
      <c r="J315" s="236" t="str">
        <f>IFERROR(_xlfn.XLOOKUP($A315,'Raw_Data'!$B:$B,'Raw_Data'!JB:JB),"")</f>
        <v/>
      </c>
      <c r="K315" s="236" t="str">
        <f>IFERROR(_xlfn.XLOOKUP($A315,'Raw_Data'!$B:$B,'Raw_Data'!JE:JE),"")</f>
        <v/>
      </c>
      <c r="L315" s="236" t="str">
        <f>IFERROR(_xlfn.XLOOKUP($A315,'Raw_Data'!$B:$B,'Raw_Data'!JF:JF),"")</f>
        <v/>
      </c>
      <c r="M315" s="236" t="str">
        <f>IFERROR(_xlfn.XLOOKUP($A315,'Raw_Data'!$B:$B,'Raw_Data'!JG:JG),"")</f>
        <v/>
      </c>
      <c r="N315" s="236" t="str">
        <f>IFERROR(_xlfn.XLOOKUP($A315,'Raw_Data'!$B:$B,'Raw_Data'!JH:JH),"")</f>
        <v/>
      </c>
      <c r="O315" s="237" t="str">
        <f>IFERROR(1-SUMIF(PA!$B:$B,$A315,PA!$AL:$AL)/($AA315+SUMIF(PA!$B:$B,$A315,PA!$AL:$AL)),"")</f>
        <v/>
      </c>
      <c r="P315" s="238"/>
      <c r="Q315" s="239"/>
      <c r="R315" s="240" t="str">
        <f>IFERROR(1-SUMIF(GA!$C:$C,$A315,GA!$X:$X)/($AA315+SUMIF(GA!$C:$C,$A315,GA!$X:$X)),"")</f>
        <v/>
      </c>
      <c r="S315" s="186"/>
      <c r="T315" s="239"/>
      <c r="U315" s="237" t="str">
        <f t="shared" si="18"/>
        <v/>
      </c>
      <c r="V315" s="237" t="str">
        <f>IFERROR(_xlfn.XLOOKUP($A315,'Raw_Data'!$B:$B,'Raw_Data'!$JL:$JL),"")</f>
        <v/>
      </c>
      <c r="W315" s="240" t="str">
        <f t="shared" si="19"/>
        <v/>
      </c>
      <c r="X315" s="228" t="str">
        <f>IFERROR(_xlfn.XLOOKUP($A315,'Raw_Data'!$B:$B,'Raw_Data'!$JI:$JI),"")</f>
        <v/>
      </c>
      <c r="Y315" s="228" t="str">
        <f>IFERROR(_xlfn.XLOOKUP($A315,'Raw_Data'!$B:$B,'Raw_Data'!IT:IT),"")</f>
        <v/>
      </c>
      <c r="Z315" s="228" t="str">
        <f>IFERROR(_xlfn.XLOOKUP($A315,'Raw_Data'!$B:$B,'Raw_Data'!IU:IU),"")</f>
        <v/>
      </c>
      <c r="AA315" s="228" t="str">
        <f>IFERROR(_xlfn.XLOOKUP($A315,'Raw_Data'!$B:$B,'Raw_Data'!IW:IW),"")</f>
        <v/>
      </c>
      <c r="AB315" s="228" t="str">
        <f>IFERROR(_xlfn.XLOOKUP($A315,'Raw_Data'!$B:$B,'Raw_Data'!I:I)/1000,"")</f>
        <v/>
      </c>
      <c r="AC315" s="241">
        <f>IFERROR(_xlfn.XLOOKUP($D315,'Modelling New'!$D:$D,'Modelling New'!$P:$P),"")</f>
        <v>6.1628257821428587</v>
      </c>
      <c r="AD315" s="228">
        <f>IFERROR(_xlfn.XLOOKUP($D315,'Modelling New'!$D:$D,'Modelling New'!$T:$T)*1000,"")</f>
        <v>1744321.2783057354</v>
      </c>
      <c r="AE315" s="240">
        <f>IFERROR(_xlfn.XLOOKUP($D315,'Modelling New'!$D:$D,'Modelling New'!$O:$O),"")</f>
        <v>0.84466368797833169</v>
      </c>
      <c r="AF315" s="240">
        <f>IFERROR(_xlfn.XLOOKUP($D315,'Modelling New'!$D:$D,'Modelling New'!$W:$W),"")</f>
        <v>0.21689646472969723</v>
      </c>
      <c r="AG315" s="240">
        <f>IFERROR(_xlfn.XLOOKUP($D315,'Modelling New'!$D:$D,'Modelling New'!AE:AE),"")</f>
        <v>0.99750000000000005</v>
      </c>
      <c r="AH315" s="240">
        <f>IFERROR(_xlfn.XLOOKUP($D315,'Modelling New'!$D:$D,'Modelling New'!AF:AF),"")</f>
        <v>0.99750000000000005</v>
      </c>
      <c r="AI315" s="186"/>
      <c r="AJ315" s="186"/>
      <c r="AK315" s="225"/>
      <c r="AL315" s="224">
        <f>IFERROR(Table13[[#This Row],[RA (%)]]*9270*58,"")</f>
        <v>0</v>
      </c>
      <c r="AM315" s="225"/>
      <c r="AN315" s="238"/>
      <c r="AO315" s="240"/>
      <c r="AP315" s="240"/>
      <c r="AQ315" s="240"/>
      <c r="AR315" s="242">
        <f>IFERROR(_xlfn.XLOOKUP($D315,'Modelling New'!$D:$D,'Modelling New'!$N:$N),"")</f>
        <v>335.09100000000001</v>
      </c>
    </row>
    <row r="316" spans="1:44">
      <c r="A316" s="233">
        <f t="shared" si="20"/>
        <v>46059</v>
      </c>
      <c r="B316" s="228">
        <f>YEAR(Table13[[#This Row],[Date]])+IF(MONTH(Table13[[#This Row],[Date]])&gt;=4,1,0)</f>
        <v>2026</v>
      </c>
      <c r="C316" s="186">
        <f>YEAR(Table13[[#This Row],[Date]])</f>
        <v>2026</v>
      </c>
      <c r="D316" s="234">
        <f>Table13[[#This Row],[Date]]-DAY(Table13[[#This Row],[Date]])+1</f>
        <v>46054</v>
      </c>
      <c r="E316" s="186">
        <f t="shared" si="21"/>
        <v>28</v>
      </c>
      <c r="F316" s="235" t="str">
        <f>IFERROR(_xlfn.XLOOKUP($A316,'Raw_Data'!$B:$B,'Raw_Data'!$IX:$IX),"")</f>
        <v/>
      </c>
      <c r="G316" s="236" t="str">
        <f>IFERROR(_xlfn.XLOOKUP($A316,'Raw_Data'!$B:$B,'Raw_Data'!IY:IY),"")</f>
        <v/>
      </c>
      <c r="H316" s="236" t="str">
        <f>IFERROR(_xlfn.XLOOKUP($A316,'Raw_Data'!$B:$B,'Raw_Data'!IZ:IZ),"")</f>
        <v/>
      </c>
      <c r="I316" s="236" t="str">
        <f>IFERROR(_xlfn.XLOOKUP($A316,'Raw_Data'!$B:$B,'Raw_Data'!JA:JA),"")</f>
        <v/>
      </c>
      <c r="J316" s="236" t="str">
        <f>IFERROR(_xlfn.XLOOKUP($A316,'Raw_Data'!$B:$B,'Raw_Data'!JB:JB),"")</f>
        <v/>
      </c>
      <c r="K316" s="236" t="str">
        <f>IFERROR(_xlfn.XLOOKUP($A316,'Raw_Data'!$B:$B,'Raw_Data'!JE:JE),"")</f>
        <v/>
      </c>
      <c r="L316" s="236" t="str">
        <f>IFERROR(_xlfn.XLOOKUP($A316,'Raw_Data'!$B:$B,'Raw_Data'!JF:JF),"")</f>
        <v/>
      </c>
      <c r="M316" s="236" t="str">
        <f>IFERROR(_xlfn.XLOOKUP($A316,'Raw_Data'!$B:$B,'Raw_Data'!JG:JG),"")</f>
        <v/>
      </c>
      <c r="N316" s="236" t="str">
        <f>IFERROR(_xlfn.XLOOKUP($A316,'Raw_Data'!$B:$B,'Raw_Data'!JH:JH),"")</f>
        <v/>
      </c>
      <c r="O316" s="237" t="str">
        <f>IFERROR(1-SUMIF(PA!$B:$B,$A316,PA!$AL:$AL)/($AA316+SUMIF(PA!$B:$B,$A316,PA!$AL:$AL)),"")</f>
        <v/>
      </c>
      <c r="P316" s="238"/>
      <c r="Q316" s="239"/>
      <c r="R316" s="240" t="str">
        <f>IFERROR(1-SUMIF(GA!$C:$C,$A316,GA!$X:$X)/($AA316+SUMIF(GA!$C:$C,$A316,GA!$X:$X)),"")</f>
        <v/>
      </c>
      <c r="S316" s="186"/>
      <c r="T316" s="239"/>
      <c r="U316" s="237" t="str">
        <f t="shared" si="18"/>
        <v/>
      </c>
      <c r="V316" s="237" t="str">
        <f>IFERROR(_xlfn.XLOOKUP($A316,'Raw_Data'!$B:$B,'Raw_Data'!$JL:$JL),"")</f>
        <v/>
      </c>
      <c r="W316" s="240" t="str">
        <f t="shared" si="19"/>
        <v/>
      </c>
      <c r="X316" s="228" t="str">
        <f>IFERROR(_xlfn.XLOOKUP($A316,'Raw_Data'!$B:$B,'Raw_Data'!$JI:$JI),"")</f>
        <v/>
      </c>
      <c r="Y316" s="228" t="str">
        <f>IFERROR(_xlfn.XLOOKUP($A316,'Raw_Data'!$B:$B,'Raw_Data'!IT:IT),"")</f>
        <v/>
      </c>
      <c r="Z316" s="228" t="str">
        <f>IFERROR(_xlfn.XLOOKUP($A316,'Raw_Data'!$B:$B,'Raw_Data'!IU:IU),"")</f>
        <v/>
      </c>
      <c r="AA316" s="228" t="str">
        <f>IFERROR(_xlfn.XLOOKUP($A316,'Raw_Data'!$B:$B,'Raw_Data'!IW:IW),"")</f>
        <v/>
      </c>
      <c r="AB316" s="228" t="str">
        <f>IFERROR(_xlfn.XLOOKUP($A316,'Raw_Data'!$B:$B,'Raw_Data'!I:I)/1000,"")</f>
        <v/>
      </c>
      <c r="AC316" s="241">
        <f>IFERROR(_xlfn.XLOOKUP($D316,'Modelling New'!$D:$D,'Modelling New'!$P:$P),"")</f>
        <v>6.1628257821428587</v>
      </c>
      <c r="AD316" s="228">
        <f>IFERROR(_xlfn.XLOOKUP($D316,'Modelling New'!$D:$D,'Modelling New'!$T:$T)*1000,"")</f>
        <v>1744321.2783057354</v>
      </c>
      <c r="AE316" s="240">
        <f>IFERROR(_xlfn.XLOOKUP($D316,'Modelling New'!$D:$D,'Modelling New'!$O:$O),"")</f>
        <v>0.84466368797833169</v>
      </c>
      <c r="AF316" s="240">
        <f>IFERROR(_xlfn.XLOOKUP($D316,'Modelling New'!$D:$D,'Modelling New'!$W:$W),"")</f>
        <v>0.21689646472969723</v>
      </c>
      <c r="AG316" s="240">
        <f>IFERROR(_xlfn.XLOOKUP($D316,'Modelling New'!$D:$D,'Modelling New'!AE:AE),"")</f>
        <v>0.99750000000000005</v>
      </c>
      <c r="AH316" s="240">
        <f>IFERROR(_xlfn.XLOOKUP($D316,'Modelling New'!$D:$D,'Modelling New'!AF:AF),"")</f>
        <v>0.99750000000000005</v>
      </c>
      <c r="AI316" s="186"/>
      <c r="AJ316" s="186"/>
      <c r="AK316" s="225"/>
      <c r="AL316" s="224">
        <f>IFERROR(Table13[[#This Row],[RA (%)]]*9270*58,"")</f>
        <v>0</v>
      </c>
      <c r="AM316" s="225"/>
      <c r="AN316" s="238"/>
      <c r="AO316" s="240"/>
      <c r="AP316" s="240"/>
      <c r="AQ316" s="240"/>
      <c r="AR316" s="242">
        <f>IFERROR(_xlfn.XLOOKUP($D316,'Modelling New'!$D:$D,'Modelling New'!$N:$N),"")</f>
        <v>335.09100000000001</v>
      </c>
    </row>
    <row r="317" spans="1:44">
      <c r="A317" s="233">
        <f t="shared" si="20"/>
        <v>46060</v>
      </c>
      <c r="B317" s="228">
        <f>YEAR(Table13[[#This Row],[Date]])+IF(MONTH(Table13[[#This Row],[Date]])&gt;=4,1,0)</f>
        <v>2026</v>
      </c>
      <c r="C317" s="186">
        <f>YEAR(Table13[[#This Row],[Date]])</f>
        <v>2026</v>
      </c>
      <c r="D317" s="234">
        <f>Table13[[#This Row],[Date]]-DAY(Table13[[#This Row],[Date]])+1</f>
        <v>46054</v>
      </c>
      <c r="E317" s="186">
        <f t="shared" si="21"/>
        <v>28</v>
      </c>
      <c r="F317" s="235" t="str">
        <f>IFERROR(_xlfn.XLOOKUP($A317,'Raw_Data'!$B:$B,'Raw_Data'!$IX:$IX),"")</f>
        <v/>
      </c>
      <c r="G317" s="236" t="str">
        <f>IFERROR(_xlfn.XLOOKUP($A317,'Raw_Data'!$B:$B,'Raw_Data'!IY:IY),"")</f>
        <v/>
      </c>
      <c r="H317" s="236" t="str">
        <f>IFERROR(_xlfn.XLOOKUP($A317,'Raw_Data'!$B:$B,'Raw_Data'!IZ:IZ),"")</f>
        <v/>
      </c>
      <c r="I317" s="236" t="str">
        <f>IFERROR(_xlfn.XLOOKUP($A317,'Raw_Data'!$B:$B,'Raw_Data'!JA:JA),"")</f>
        <v/>
      </c>
      <c r="J317" s="236" t="str">
        <f>IFERROR(_xlfn.XLOOKUP($A317,'Raw_Data'!$B:$B,'Raw_Data'!JB:JB),"")</f>
        <v/>
      </c>
      <c r="K317" s="236" t="str">
        <f>IFERROR(_xlfn.XLOOKUP($A317,'Raw_Data'!$B:$B,'Raw_Data'!JE:JE),"")</f>
        <v/>
      </c>
      <c r="L317" s="236" t="str">
        <f>IFERROR(_xlfn.XLOOKUP($A317,'Raw_Data'!$B:$B,'Raw_Data'!JF:JF),"")</f>
        <v/>
      </c>
      <c r="M317" s="236" t="str">
        <f>IFERROR(_xlfn.XLOOKUP($A317,'Raw_Data'!$B:$B,'Raw_Data'!JG:JG),"")</f>
        <v/>
      </c>
      <c r="N317" s="236" t="str">
        <f>IFERROR(_xlfn.XLOOKUP($A317,'Raw_Data'!$B:$B,'Raw_Data'!JH:JH),"")</f>
        <v/>
      </c>
      <c r="O317" s="237" t="str">
        <f>IFERROR(1-SUMIF(PA!$B:$B,$A317,PA!$AL:$AL)/($AA317+SUMIF(PA!$B:$B,$A317,PA!$AL:$AL)),"")</f>
        <v/>
      </c>
      <c r="P317" s="238"/>
      <c r="Q317" s="239"/>
      <c r="R317" s="240" t="str">
        <f>IFERROR(1-SUMIF(GA!$C:$C,$A317,GA!$X:$X)/($AA317+SUMIF(GA!$C:$C,$A317,GA!$X:$X)),"")</f>
        <v/>
      </c>
      <c r="S317" s="186"/>
      <c r="T317" s="239"/>
      <c r="U317" s="237" t="str">
        <f t="shared" si="18"/>
        <v/>
      </c>
      <c r="V317" s="237" t="str">
        <f>IFERROR(_xlfn.XLOOKUP($A317,'Raw_Data'!$B:$B,'Raw_Data'!$JL:$JL),"")</f>
        <v/>
      </c>
      <c r="W317" s="240" t="str">
        <f t="shared" si="19"/>
        <v/>
      </c>
      <c r="X317" s="228" t="str">
        <f>IFERROR(_xlfn.XLOOKUP($A317,'Raw_Data'!$B:$B,'Raw_Data'!$JI:$JI),"")</f>
        <v/>
      </c>
      <c r="Y317" s="228" t="str">
        <f>IFERROR(_xlfn.XLOOKUP($A317,'Raw_Data'!$B:$B,'Raw_Data'!IT:IT),"")</f>
        <v/>
      </c>
      <c r="Z317" s="228" t="str">
        <f>IFERROR(_xlfn.XLOOKUP($A317,'Raw_Data'!$B:$B,'Raw_Data'!IU:IU),"")</f>
        <v/>
      </c>
      <c r="AA317" s="228" t="str">
        <f>IFERROR(_xlfn.XLOOKUP($A317,'Raw_Data'!$B:$B,'Raw_Data'!IW:IW),"")</f>
        <v/>
      </c>
      <c r="AB317" s="228" t="str">
        <f>IFERROR(_xlfn.XLOOKUP($A317,'Raw_Data'!$B:$B,'Raw_Data'!I:I)/1000,"")</f>
        <v/>
      </c>
      <c r="AC317" s="241">
        <f>IFERROR(_xlfn.XLOOKUP($D317,'Modelling New'!$D:$D,'Modelling New'!$P:$P),"")</f>
        <v>6.1628257821428587</v>
      </c>
      <c r="AD317" s="228">
        <f>IFERROR(_xlfn.XLOOKUP($D317,'Modelling New'!$D:$D,'Modelling New'!$T:$T)*1000,"")</f>
        <v>1744321.2783057354</v>
      </c>
      <c r="AE317" s="240">
        <f>IFERROR(_xlfn.XLOOKUP($D317,'Modelling New'!$D:$D,'Modelling New'!$O:$O),"")</f>
        <v>0.84466368797833169</v>
      </c>
      <c r="AF317" s="240">
        <f>IFERROR(_xlfn.XLOOKUP($D317,'Modelling New'!$D:$D,'Modelling New'!$W:$W),"")</f>
        <v>0.21689646472969723</v>
      </c>
      <c r="AG317" s="240">
        <f>IFERROR(_xlfn.XLOOKUP($D317,'Modelling New'!$D:$D,'Modelling New'!AE:AE),"")</f>
        <v>0.99750000000000005</v>
      </c>
      <c r="AH317" s="240">
        <f>IFERROR(_xlfn.XLOOKUP($D317,'Modelling New'!$D:$D,'Modelling New'!AF:AF),"")</f>
        <v>0.99750000000000005</v>
      </c>
      <c r="AI317" s="186"/>
      <c r="AJ317" s="186"/>
      <c r="AK317" s="225"/>
      <c r="AL317" s="224">
        <f>IFERROR(Table13[[#This Row],[RA (%)]]*9270*58,"")</f>
        <v>0</v>
      </c>
      <c r="AM317" s="225"/>
      <c r="AN317" s="238"/>
      <c r="AO317" s="240"/>
      <c r="AP317" s="240"/>
      <c r="AQ317" s="240"/>
      <c r="AR317" s="242">
        <f>IFERROR(_xlfn.XLOOKUP($D317,'Modelling New'!$D:$D,'Modelling New'!$N:$N),"")</f>
        <v>335.09100000000001</v>
      </c>
    </row>
    <row r="318" spans="1:44">
      <c r="A318" s="233">
        <f t="shared" si="20"/>
        <v>46061</v>
      </c>
      <c r="B318" s="228">
        <f>YEAR(Table13[[#This Row],[Date]])+IF(MONTH(Table13[[#This Row],[Date]])&gt;=4,1,0)</f>
        <v>2026</v>
      </c>
      <c r="C318" s="186">
        <f>YEAR(Table13[[#This Row],[Date]])</f>
        <v>2026</v>
      </c>
      <c r="D318" s="234">
        <f>Table13[[#This Row],[Date]]-DAY(Table13[[#This Row],[Date]])+1</f>
        <v>46054</v>
      </c>
      <c r="E318" s="186">
        <f t="shared" si="21"/>
        <v>28</v>
      </c>
      <c r="F318" s="235" t="str">
        <f>IFERROR(_xlfn.XLOOKUP($A318,'Raw_Data'!$B:$B,'Raw_Data'!$IX:$IX),"")</f>
        <v/>
      </c>
      <c r="G318" s="236" t="str">
        <f>IFERROR(_xlfn.XLOOKUP($A318,'Raw_Data'!$B:$B,'Raw_Data'!IY:IY),"")</f>
        <v/>
      </c>
      <c r="H318" s="236" t="str">
        <f>IFERROR(_xlfn.XLOOKUP($A318,'Raw_Data'!$B:$B,'Raw_Data'!IZ:IZ),"")</f>
        <v/>
      </c>
      <c r="I318" s="236" t="str">
        <f>IFERROR(_xlfn.XLOOKUP($A318,'Raw_Data'!$B:$B,'Raw_Data'!JA:JA),"")</f>
        <v/>
      </c>
      <c r="J318" s="236" t="str">
        <f>IFERROR(_xlfn.XLOOKUP($A318,'Raw_Data'!$B:$B,'Raw_Data'!JB:JB),"")</f>
        <v/>
      </c>
      <c r="K318" s="236" t="str">
        <f>IFERROR(_xlfn.XLOOKUP($A318,'Raw_Data'!$B:$B,'Raw_Data'!JE:JE),"")</f>
        <v/>
      </c>
      <c r="L318" s="236" t="str">
        <f>IFERROR(_xlfn.XLOOKUP($A318,'Raw_Data'!$B:$B,'Raw_Data'!JF:JF),"")</f>
        <v/>
      </c>
      <c r="M318" s="236" t="str">
        <f>IFERROR(_xlfn.XLOOKUP($A318,'Raw_Data'!$B:$B,'Raw_Data'!JG:JG),"")</f>
        <v/>
      </c>
      <c r="N318" s="236" t="str">
        <f>IFERROR(_xlfn.XLOOKUP($A318,'Raw_Data'!$B:$B,'Raw_Data'!JH:JH),"")</f>
        <v/>
      </c>
      <c r="O318" s="237" t="str">
        <f>IFERROR(1-SUMIF(PA!$B:$B,$A318,PA!$AL:$AL)/($AA318+SUMIF(PA!$B:$B,$A318,PA!$AL:$AL)),"")</f>
        <v/>
      </c>
      <c r="P318" s="238"/>
      <c r="Q318" s="239"/>
      <c r="R318" s="240" t="str">
        <f>IFERROR(1-SUMIF(GA!$C:$C,$A318,GA!$X:$X)/($AA318+SUMIF(GA!$C:$C,$A318,GA!$X:$X)),"")</f>
        <v/>
      </c>
      <c r="S318" s="186"/>
      <c r="T318" s="239"/>
      <c r="U318" s="237" t="str">
        <f t="shared" si="18"/>
        <v/>
      </c>
      <c r="V318" s="237" t="str">
        <f>IFERROR(_xlfn.XLOOKUP($A318,'Raw_Data'!$B:$B,'Raw_Data'!$JL:$JL),"")</f>
        <v/>
      </c>
      <c r="W318" s="240" t="str">
        <f t="shared" si="19"/>
        <v/>
      </c>
      <c r="X318" s="228" t="str">
        <f>IFERROR(_xlfn.XLOOKUP($A318,'Raw_Data'!$B:$B,'Raw_Data'!$JI:$JI),"")</f>
        <v/>
      </c>
      <c r="Y318" s="228" t="str">
        <f>IFERROR(_xlfn.XLOOKUP($A318,'Raw_Data'!$B:$B,'Raw_Data'!IT:IT),"")</f>
        <v/>
      </c>
      <c r="Z318" s="228" t="str">
        <f>IFERROR(_xlfn.XLOOKUP($A318,'Raw_Data'!$B:$B,'Raw_Data'!IU:IU),"")</f>
        <v/>
      </c>
      <c r="AA318" s="228" t="str">
        <f>IFERROR(_xlfn.XLOOKUP($A318,'Raw_Data'!$B:$B,'Raw_Data'!IW:IW),"")</f>
        <v/>
      </c>
      <c r="AB318" s="228" t="str">
        <f>IFERROR(_xlfn.XLOOKUP($A318,'Raw_Data'!$B:$B,'Raw_Data'!I:I)/1000,"")</f>
        <v/>
      </c>
      <c r="AC318" s="241">
        <f>IFERROR(_xlfn.XLOOKUP($D318,'Modelling New'!$D:$D,'Modelling New'!$P:$P),"")</f>
        <v>6.1628257821428587</v>
      </c>
      <c r="AD318" s="228">
        <f>IFERROR(_xlfn.XLOOKUP($D318,'Modelling New'!$D:$D,'Modelling New'!$T:$T)*1000,"")</f>
        <v>1744321.2783057354</v>
      </c>
      <c r="AE318" s="240">
        <f>IFERROR(_xlfn.XLOOKUP($D318,'Modelling New'!$D:$D,'Modelling New'!$O:$O),"")</f>
        <v>0.84466368797833169</v>
      </c>
      <c r="AF318" s="240">
        <f>IFERROR(_xlfn.XLOOKUP($D318,'Modelling New'!$D:$D,'Modelling New'!$W:$W),"")</f>
        <v>0.21689646472969723</v>
      </c>
      <c r="AG318" s="240">
        <f>IFERROR(_xlfn.XLOOKUP($D318,'Modelling New'!$D:$D,'Modelling New'!AE:AE),"")</f>
        <v>0.99750000000000005</v>
      </c>
      <c r="AH318" s="240">
        <f>IFERROR(_xlfn.XLOOKUP($D318,'Modelling New'!$D:$D,'Modelling New'!AF:AF),"")</f>
        <v>0.99750000000000005</v>
      </c>
      <c r="AI318" s="186"/>
      <c r="AJ318" s="186"/>
      <c r="AK318" s="225"/>
      <c r="AL318" s="224">
        <f>IFERROR(Table13[[#This Row],[RA (%)]]*9270*58,"")</f>
        <v>0</v>
      </c>
      <c r="AM318" s="225"/>
      <c r="AN318" s="238"/>
      <c r="AO318" s="240"/>
      <c r="AP318" s="240"/>
      <c r="AQ318" s="240"/>
      <c r="AR318" s="242">
        <f>IFERROR(_xlfn.XLOOKUP($D318,'Modelling New'!$D:$D,'Modelling New'!$N:$N),"")</f>
        <v>335.09100000000001</v>
      </c>
    </row>
    <row r="319" spans="1:44">
      <c r="A319" s="233">
        <f t="shared" si="20"/>
        <v>46062</v>
      </c>
      <c r="B319" s="228">
        <f>YEAR(Table13[[#This Row],[Date]])+IF(MONTH(Table13[[#This Row],[Date]])&gt;=4,1,0)</f>
        <v>2026</v>
      </c>
      <c r="C319" s="186">
        <f>YEAR(Table13[[#This Row],[Date]])</f>
        <v>2026</v>
      </c>
      <c r="D319" s="234">
        <f>Table13[[#This Row],[Date]]-DAY(Table13[[#This Row],[Date]])+1</f>
        <v>46054</v>
      </c>
      <c r="E319" s="186">
        <f t="shared" si="21"/>
        <v>28</v>
      </c>
      <c r="F319" s="235" t="str">
        <f>IFERROR(_xlfn.XLOOKUP($A319,'Raw_Data'!$B:$B,'Raw_Data'!$IX:$IX),"")</f>
        <v/>
      </c>
      <c r="G319" s="236" t="str">
        <f>IFERROR(_xlfn.XLOOKUP($A319,'Raw_Data'!$B:$B,'Raw_Data'!IY:IY),"")</f>
        <v/>
      </c>
      <c r="H319" s="236" t="str">
        <f>IFERROR(_xlfn.XLOOKUP($A319,'Raw_Data'!$B:$B,'Raw_Data'!IZ:IZ),"")</f>
        <v/>
      </c>
      <c r="I319" s="236" t="str">
        <f>IFERROR(_xlfn.XLOOKUP($A319,'Raw_Data'!$B:$B,'Raw_Data'!JA:JA),"")</f>
        <v/>
      </c>
      <c r="J319" s="236" t="str">
        <f>IFERROR(_xlfn.XLOOKUP($A319,'Raw_Data'!$B:$B,'Raw_Data'!JB:JB),"")</f>
        <v/>
      </c>
      <c r="K319" s="236" t="str">
        <f>IFERROR(_xlfn.XLOOKUP($A319,'Raw_Data'!$B:$B,'Raw_Data'!JE:JE),"")</f>
        <v/>
      </c>
      <c r="L319" s="236" t="str">
        <f>IFERROR(_xlfn.XLOOKUP($A319,'Raw_Data'!$B:$B,'Raw_Data'!JF:JF),"")</f>
        <v/>
      </c>
      <c r="M319" s="236" t="str">
        <f>IFERROR(_xlfn.XLOOKUP($A319,'Raw_Data'!$B:$B,'Raw_Data'!JG:JG),"")</f>
        <v/>
      </c>
      <c r="N319" s="236" t="str">
        <f>IFERROR(_xlfn.XLOOKUP($A319,'Raw_Data'!$B:$B,'Raw_Data'!JH:JH),"")</f>
        <v/>
      </c>
      <c r="O319" s="237" t="str">
        <f>IFERROR(1-SUMIF(PA!$B:$B,$A319,PA!$AL:$AL)/($AA319+SUMIF(PA!$B:$B,$A319,PA!$AL:$AL)),"")</f>
        <v/>
      </c>
      <c r="P319" s="238"/>
      <c r="Q319" s="239"/>
      <c r="R319" s="240" t="str">
        <f>IFERROR(1-SUMIF(GA!$C:$C,$A319,GA!$X:$X)/($AA319+SUMIF(GA!$C:$C,$A319,GA!$X:$X)),"")</f>
        <v/>
      </c>
      <c r="S319" s="186"/>
      <c r="T319" s="239"/>
      <c r="U319" s="237" t="str">
        <f t="shared" si="18"/>
        <v/>
      </c>
      <c r="V319" s="237" t="str">
        <f>IFERROR(_xlfn.XLOOKUP($A319,'Raw_Data'!$B:$B,'Raw_Data'!$JL:$JL),"")</f>
        <v/>
      </c>
      <c r="W319" s="240" t="str">
        <f t="shared" si="19"/>
        <v/>
      </c>
      <c r="X319" s="228" t="str">
        <f>IFERROR(_xlfn.XLOOKUP($A319,'Raw_Data'!$B:$B,'Raw_Data'!$JI:$JI),"")</f>
        <v/>
      </c>
      <c r="Y319" s="228" t="str">
        <f>IFERROR(_xlfn.XLOOKUP($A319,'Raw_Data'!$B:$B,'Raw_Data'!IT:IT),"")</f>
        <v/>
      </c>
      <c r="Z319" s="228" t="str">
        <f>IFERROR(_xlfn.XLOOKUP($A319,'Raw_Data'!$B:$B,'Raw_Data'!IU:IU),"")</f>
        <v/>
      </c>
      <c r="AA319" s="228" t="str">
        <f>IFERROR(_xlfn.XLOOKUP($A319,'Raw_Data'!$B:$B,'Raw_Data'!IW:IW),"")</f>
        <v/>
      </c>
      <c r="AB319" s="228" t="str">
        <f>IFERROR(_xlfn.XLOOKUP($A319,'Raw_Data'!$B:$B,'Raw_Data'!I:I)/1000,"")</f>
        <v/>
      </c>
      <c r="AC319" s="241">
        <f>IFERROR(_xlfn.XLOOKUP($D319,'Modelling New'!$D:$D,'Modelling New'!$P:$P),"")</f>
        <v>6.1628257821428587</v>
      </c>
      <c r="AD319" s="228">
        <f>IFERROR(_xlfn.XLOOKUP($D319,'Modelling New'!$D:$D,'Modelling New'!$T:$T)*1000,"")</f>
        <v>1744321.2783057354</v>
      </c>
      <c r="AE319" s="240">
        <f>IFERROR(_xlfn.XLOOKUP($D319,'Modelling New'!$D:$D,'Modelling New'!$O:$O),"")</f>
        <v>0.84466368797833169</v>
      </c>
      <c r="AF319" s="240">
        <f>IFERROR(_xlfn.XLOOKUP($D319,'Modelling New'!$D:$D,'Modelling New'!$W:$W),"")</f>
        <v>0.21689646472969723</v>
      </c>
      <c r="AG319" s="240">
        <f>IFERROR(_xlfn.XLOOKUP($D319,'Modelling New'!$D:$D,'Modelling New'!AE:AE),"")</f>
        <v>0.99750000000000005</v>
      </c>
      <c r="AH319" s="240">
        <f>IFERROR(_xlfn.XLOOKUP($D319,'Modelling New'!$D:$D,'Modelling New'!AF:AF),"")</f>
        <v>0.99750000000000005</v>
      </c>
      <c r="AI319" s="186"/>
      <c r="AJ319" s="186"/>
      <c r="AK319" s="225"/>
      <c r="AL319" s="224">
        <f>IFERROR(Table13[[#This Row],[RA (%)]]*9270*58,"")</f>
        <v>0</v>
      </c>
      <c r="AM319" s="225"/>
      <c r="AN319" s="238"/>
      <c r="AO319" s="240"/>
      <c r="AP319" s="240"/>
      <c r="AQ319" s="240"/>
      <c r="AR319" s="242">
        <f>IFERROR(_xlfn.XLOOKUP($D319,'Modelling New'!$D:$D,'Modelling New'!$N:$N),"")</f>
        <v>335.09100000000001</v>
      </c>
    </row>
    <row r="320" spans="1:44">
      <c r="A320" s="233">
        <f t="shared" si="20"/>
        <v>46063</v>
      </c>
      <c r="B320" s="228">
        <f>YEAR(Table13[[#This Row],[Date]])+IF(MONTH(Table13[[#This Row],[Date]])&gt;=4,1,0)</f>
        <v>2026</v>
      </c>
      <c r="C320" s="186">
        <f>YEAR(Table13[[#This Row],[Date]])</f>
        <v>2026</v>
      </c>
      <c r="D320" s="234">
        <f>Table13[[#This Row],[Date]]-DAY(Table13[[#This Row],[Date]])+1</f>
        <v>46054</v>
      </c>
      <c r="E320" s="186">
        <f t="shared" si="21"/>
        <v>28</v>
      </c>
      <c r="F320" s="235" t="str">
        <f>IFERROR(_xlfn.XLOOKUP($A320,'Raw_Data'!$B:$B,'Raw_Data'!$IX:$IX),"")</f>
        <v/>
      </c>
      <c r="G320" s="236" t="str">
        <f>IFERROR(_xlfn.XLOOKUP($A320,'Raw_Data'!$B:$B,'Raw_Data'!IY:IY),"")</f>
        <v/>
      </c>
      <c r="H320" s="236" t="str">
        <f>IFERROR(_xlfn.XLOOKUP($A320,'Raw_Data'!$B:$B,'Raw_Data'!IZ:IZ),"")</f>
        <v/>
      </c>
      <c r="I320" s="236" t="str">
        <f>IFERROR(_xlfn.XLOOKUP($A320,'Raw_Data'!$B:$B,'Raw_Data'!JA:JA),"")</f>
        <v/>
      </c>
      <c r="J320" s="236" t="str">
        <f>IFERROR(_xlfn.XLOOKUP($A320,'Raw_Data'!$B:$B,'Raw_Data'!JB:JB),"")</f>
        <v/>
      </c>
      <c r="K320" s="236" t="str">
        <f>IFERROR(_xlfn.XLOOKUP($A320,'Raw_Data'!$B:$B,'Raw_Data'!JE:JE),"")</f>
        <v/>
      </c>
      <c r="L320" s="236" t="str">
        <f>IFERROR(_xlfn.XLOOKUP($A320,'Raw_Data'!$B:$B,'Raw_Data'!JF:JF),"")</f>
        <v/>
      </c>
      <c r="M320" s="236" t="str">
        <f>IFERROR(_xlfn.XLOOKUP($A320,'Raw_Data'!$B:$B,'Raw_Data'!JG:JG),"")</f>
        <v/>
      </c>
      <c r="N320" s="236" t="str">
        <f>IFERROR(_xlfn.XLOOKUP($A320,'Raw_Data'!$B:$B,'Raw_Data'!JH:JH),"")</f>
        <v/>
      </c>
      <c r="O320" s="237" t="str">
        <f>IFERROR(1-SUMIF(PA!$B:$B,$A320,PA!$AL:$AL)/($AA320+SUMIF(PA!$B:$B,$A320,PA!$AL:$AL)),"")</f>
        <v/>
      </c>
      <c r="P320" s="238"/>
      <c r="Q320" s="239"/>
      <c r="R320" s="240" t="str">
        <f>IFERROR(1-SUMIF(GA!$C:$C,$A320,GA!$X:$X)/($AA320+SUMIF(GA!$C:$C,$A320,GA!$X:$X)),"")</f>
        <v/>
      </c>
      <c r="S320" s="186"/>
      <c r="T320" s="239"/>
      <c r="U320" s="237" t="str">
        <f t="shared" ref="U320:U369" si="22">IFERROR(AA320/I320/AR320/1000,"")</f>
        <v/>
      </c>
      <c r="V320" s="237" t="str">
        <f>IFERROR(_xlfn.XLOOKUP($A320,'Raw_Data'!$B:$B,'Raw_Data'!$JL:$JL),"")</f>
        <v/>
      </c>
      <c r="W320" s="240" t="str">
        <f t="shared" ref="W320:W369" si="23">IFERROR(AA320/(24*AR320*1000),"")</f>
        <v/>
      </c>
      <c r="X320" s="228" t="str">
        <f>IFERROR(_xlfn.XLOOKUP($A320,'Raw_Data'!$B:$B,'Raw_Data'!$JI:$JI),"")</f>
        <v/>
      </c>
      <c r="Y320" s="228" t="str">
        <f>IFERROR(_xlfn.XLOOKUP($A320,'Raw_Data'!$B:$B,'Raw_Data'!IT:IT),"")</f>
        <v/>
      </c>
      <c r="Z320" s="228" t="str">
        <f>IFERROR(_xlfn.XLOOKUP($A320,'Raw_Data'!$B:$B,'Raw_Data'!IU:IU),"")</f>
        <v/>
      </c>
      <c r="AA320" s="228" t="str">
        <f>IFERROR(_xlfn.XLOOKUP($A320,'Raw_Data'!$B:$B,'Raw_Data'!IW:IW),"")</f>
        <v/>
      </c>
      <c r="AB320" s="228" t="str">
        <f>IFERROR(_xlfn.XLOOKUP($A320,'Raw_Data'!$B:$B,'Raw_Data'!I:I)/1000,"")</f>
        <v/>
      </c>
      <c r="AC320" s="241">
        <f>IFERROR(_xlfn.XLOOKUP($D320,'Modelling New'!$D:$D,'Modelling New'!$P:$P),"")</f>
        <v>6.1628257821428587</v>
      </c>
      <c r="AD320" s="228">
        <f>IFERROR(_xlfn.XLOOKUP($D320,'Modelling New'!$D:$D,'Modelling New'!$T:$T)*1000,"")</f>
        <v>1744321.2783057354</v>
      </c>
      <c r="AE320" s="240">
        <f>IFERROR(_xlfn.XLOOKUP($D320,'Modelling New'!$D:$D,'Modelling New'!$O:$O),"")</f>
        <v>0.84466368797833169</v>
      </c>
      <c r="AF320" s="240">
        <f>IFERROR(_xlfn.XLOOKUP($D320,'Modelling New'!$D:$D,'Modelling New'!$W:$W),"")</f>
        <v>0.21689646472969723</v>
      </c>
      <c r="AG320" s="240">
        <f>IFERROR(_xlfn.XLOOKUP($D320,'Modelling New'!$D:$D,'Modelling New'!AE:AE),"")</f>
        <v>0.99750000000000005</v>
      </c>
      <c r="AH320" s="240">
        <f>IFERROR(_xlfn.XLOOKUP($D320,'Modelling New'!$D:$D,'Modelling New'!AF:AF),"")</f>
        <v>0.99750000000000005</v>
      </c>
      <c r="AI320" s="186"/>
      <c r="AJ320" s="186"/>
      <c r="AK320" s="225"/>
      <c r="AL320" s="224">
        <f>IFERROR(Table13[[#This Row],[RA (%)]]*9270*58,"")</f>
        <v>0</v>
      </c>
      <c r="AM320" s="225"/>
      <c r="AN320" s="238"/>
      <c r="AO320" s="240"/>
      <c r="AP320" s="240"/>
      <c r="AQ320" s="240"/>
      <c r="AR320" s="242">
        <f>IFERROR(_xlfn.XLOOKUP($D320,'Modelling New'!$D:$D,'Modelling New'!$N:$N),"")</f>
        <v>335.09100000000001</v>
      </c>
    </row>
    <row r="321" spans="1:44">
      <c r="A321" s="233">
        <f t="shared" si="20"/>
        <v>46064</v>
      </c>
      <c r="B321" s="228">
        <f>YEAR(Table13[[#This Row],[Date]])+IF(MONTH(Table13[[#This Row],[Date]])&gt;=4,1,0)</f>
        <v>2026</v>
      </c>
      <c r="C321" s="186">
        <f>YEAR(Table13[[#This Row],[Date]])</f>
        <v>2026</v>
      </c>
      <c r="D321" s="234">
        <f>Table13[[#This Row],[Date]]-DAY(Table13[[#This Row],[Date]])+1</f>
        <v>46054</v>
      </c>
      <c r="E321" s="186">
        <f t="shared" si="21"/>
        <v>28</v>
      </c>
      <c r="F321" s="235" t="str">
        <f>IFERROR(_xlfn.XLOOKUP($A321,'Raw_Data'!$B:$B,'Raw_Data'!$IX:$IX),"")</f>
        <v/>
      </c>
      <c r="G321" s="236" t="str">
        <f>IFERROR(_xlfn.XLOOKUP($A321,'Raw_Data'!$B:$B,'Raw_Data'!IY:IY),"")</f>
        <v/>
      </c>
      <c r="H321" s="236" t="str">
        <f>IFERROR(_xlfn.XLOOKUP($A321,'Raw_Data'!$B:$B,'Raw_Data'!IZ:IZ),"")</f>
        <v/>
      </c>
      <c r="I321" s="236" t="str">
        <f>IFERROR(_xlfn.XLOOKUP($A321,'Raw_Data'!$B:$B,'Raw_Data'!JA:JA),"")</f>
        <v/>
      </c>
      <c r="J321" s="236" t="str">
        <f>IFERROR(_xlfn.XLOOKUP($A321,'Raw_Data'!$B:$B,'Raw_Data'!JB:JB),"")</f>
        <v/>
      </c>
      <c r="K321" s="236" t="str">
        <f>IFERROR(_xlfn.XLOOKUP($A321,'Raw_Data'!$B:$B,'Raw_Data'!JE:JE),"")</f>
        <v/>
      </c>
      <c r="L321" s="236" t="str">
        <f>IFERROR(_xlfn.XLOOKUP($A321,'Raw_Data'!$B:$B,'Raw_Data'!JF:JF),"")</f>
        <v/>
      </c>
      <c r="M321" s="236" t="str">
        <f>IFERROR(_xlfn.XLOOKUP($A321,'Raw_Data'!$B:$B,'Raw_Data'!JG:JG),"")</f>
        <v/>
      </c>
      <c r="N321" s="236" t="str">
        <f>IFERROR(_xlfn.XLOOKUP($A321,'Raw_Data'!$B:$B,'Raw_Data'!JH:JH),"")</f>
        <v/>
      </c>
      <c r="O321" s="237" t="str">
        <f>IFERROR(1-SUMIF(PA!$B:$B,$A321,PA!$AL:$AL)/($AA321+SUMIF(PA!$B:$B,$A321,PA!$AL:$AL)),"")</f>
        <v/>
      </c>
      <c r="P321" s="238"/>
      <c r="Q321" s="239"/>
      <c r="R321" s="240" t="str">
        <f>IFERROR(1-SUMIF(GA!$C:$C,$A321,GA!$X:$X)/($AA321+SUMIF(GA!$C:$C,$A321,GA!$X:$X)),"")</f>
        <v/>
      </c>
      <c r="S321" s="186"/>
      <c r="T321" s="239"/>
      <c r="U321" s="237" t="str">
        <f t="shared" si="22"/>
        <v/>
      </c>
      <c r="V321" s="237" t="str">
        <f>IFERROR(_xlfn.XLOOKUP($A321,'Raw_Data'!$B:$B,'Raw_Data'!$JL:$JL),"")</f>
        <v/>
      </c>
      <c r="W321" s="240" t="str">
        <f t="shared" si="23"/>
        <v/>
      </c>
      <c r="X321" s="228" t="str">
        <f>IFERROR(_xlfn.XLOOKUP($A321,'Raw_Data'!$B:$B,'Raw_Data'!$JI:$JI),"")</f>
        <v/>
      </c>
      <c r="Y321" s="228" t="str">
        <f>IFERROR(_xlfn.XLOOKUP($A321,'Raw_Data'!$B:$B,'Raw_Data'!IT:IT),"")</f>
        <v/>
      </c>
      <c r="Z321" s="228" t="str">
        <f>IFERROR(_xlfn.XLOOKUP($A321,'Raw_Data'!$B:$B,'Raw_Data'!IU:IU),"")</f>
        <v/>
      </c>
      <c r="AA321" s="228" t="str">
        <f>IFERROR(_xlfn.XLOOKUP($A321,'Raw_Data'!$B:$B,'Raw_Data'!IW:IW),"")</f>
        <v/>
      </c>
      <c r="AB321" s="228" t="str">
        <f>IFERROR(_xlfn.XLOOKUP($A321,'Raw_Data'!$B:$B,'Raw_Data'!I:I)/1000,"")</f>
        <v/>
      </c>
      <c r="AC321" s="241">
        <f>IFERROR(_xlfn.XLOOKUP($D321,'Modelling New'!$D:$D,'Modelling New'!$P:$P),"")</f>
        <v>6.1628257821428587</v>
      </c>
      <c r="AD321" s="228">
        <f>IFERROR(_xlfn.XLOOKUP($D321,'Modelling New'!$D:$D,'Modelling New'!$T:$T)*1000,"")</f>
        <v>1744321.2783057354</v>
      </c>
      <c r="AE321" s="240">
        <f>IFERROR(_xlfn.XLOOKUP($D321,'Modelling New'!$D:$D,'Modelling New'!$O:$O),"")</f>
        <v>0.84466368797833169</v>
      </c>
      <c r="AF321" s="240">
        <f>IFERROR(_xlfn.XLOOKUP($D321,'Modelling New'!$D:$D,'Modelling New'!$W:$W),"")</f>
        <v>0.21689646472969723</v>
      </c>
      <c r="AG321" s="240">
        <f>IFERROR(_xlfn.XLOOKUP($D321,'Modelling New'!$D:$D,'Modelling New'!AE:AE),"")</f>
        <v>0.99750000000000005</v>
      </c>
      <c r="AH321" s="240">
        <f>IFERROR(_xlfn.XLOOKUP($D321,'Modelling New'!$D:$D,'Modelling New'!AF:AF),"")</f>
        <v>0.99750000000000005</v>
      </c>
      <c r="AI321" s="186"/>
      <c r="AJ321" s="186"/>
      <c r="AK321" s="225"/>
      <c r="AL321" s="224">
        <f>IFERROR(Table13[[#This Row],[RA (%)]]*9270*58,"")</f>
        <v>0</v>
      </c>
      <c r="AM321" s="225"/>
      <c r="AN321" s="238"/>
      <c r="AO321" s="240"/>
      <c r="AP321" s="240"/>
      <c r="AQ321" s="240"/>
      <c r="AR321" s="242">
        <f>IFERROR(_xlfn.XLOOKUP($D321,'Modelling New'!$D:$D,'Modelling New'!$N:$N),"")</f>
        <v>335.09100000000001</v>
      </c>
    </row>
    <row r="322" spans="1:44">
      <c r="A322" s="233">
        <f t="shared" ref="A322:A369" si="24">A321+1</f>
        <v>46065</v>
      </c>
      <c r="B322" s="228">
        <f>YEAR(Table13[[#This Row],[Date]])+IF(MONTH(Table13[[#This Row],[Date]])&gt;=4,1,0)</f>
        <v>2026</v>
      </c>
      <c r="C322" s="186">
        <f>YEAR(Table13[[#This Row],[Date]])</f>
        <v>2026</v>
      </c>
      <c r="D322" s="234">
        <f>Table13[[#This Row],[Date]]-DAY(Table13[[#This Row],[Date]])+1</f>
        <v>46054</v>
      </c>
      <c r="E322" s="186">
        <f t="shared" si="21"/>
        <v>28</v>
      </c>
      <c r="F322" s="235" t="str">
        <f>IFERROR(_xlfn.XLOOKUP($A322,'Raw_Data'!$B:$B,'Raw_Data'!$IX:$IX),"")</f>
        <v/>
      </c>
      <c r="G322" s="236" t="str">
        <f>IFERROR(_xlfn.XLOOKUP($A322,'Raw_Data'!$B:$B,'Raw_Data'!IY:IY),"")</f>
        <v/>
      </c>
      <c r="H322" s="236" t="str">
        <f>IFERROR(_xlfn.XLOOKUP($A322,'Raw_Data'!$B:$B,'Raw_Data'!IZ:IZ),"")</f>
        <v/>
      </c>
      <c r="I322" s="236" t="str">
        <f>IFERROR(_xlfn.XLOOKUP($A322,'Raw_Data'!$B:$B,'Raw_Data'!JA:JA),"")</f>
        <v/>
      </c>
      <c r="J322" s="236" t="str">
        <f>IFERROR(_xlfn.XLOOKUP($A322,'Raw_Data'!$B:$B,'Raw_Data'!JB:JB),"")</f>
        <v/>
      </c>
      <c r="K322" s="236" t="str">
        <f>IFERROR(_xlfn.XLOOKUP($A322,'Raw_Data'!$B:$B,'Raw_Data'!JE:JE),"")</f>
        <v/>
      </c>
      <c r="L322" s="236" t="str">
        <f>IFERROR(_xlfn.XLOOKUP($A322,'Raw_Data'!$B:$B,'Raw_Data'!JF:JF),"")</f>
        <v/>
      </c>
      <c r="M322" s="236" t="str">
        <f>IFERROR(_xlfn.XLOOKUP($A322,'Raw_Data'!$B:$B,'Raw_Data'!JG:JG),"")</f>
        <v/>
      </c>
      <c r="N322" s="236" t="str">
        <f>IFERROR(_xlfn.XLOOKUP($A322,'Raw_Data'!$B:$B,'Raw_Data'!JH:JH),"")</f>
        <v/>
      </c>
      <c r="O322" s="237" t="str">
        <f>IFERROR(1-SUMIF(PA!$B:$B,$A322,PA!$AL:$AL)/($AA322+SUMIF(PA!$B:$B,$A322,PA!$AL:$AL)),"")</f>
        <v/>
      </c>
      <c r="P322" s="238"/>
      <c r="Q322" s="239"/>
      <c r="R322" s="240" t="str">
        <f>IFERROR(1-SUMIF(GA!$C:$C,$A322,GA!$X:$X)/($AA322+SUMIF(GA!$C:$C,$A322,GA!$X:$X)),"")</f>
        <v/>
      </c>
      <c r="S322" s="186"/>
      <c r="T322" s="239"/>
      <c r="U322" s="237" t="str">
        <f t="shared" si="22"/>
        <v/>
      </c>
      <c r="V322" s="237" t="str">
        <f>IFERROR(_xlfn.XLOOKUP($A322,'Raw_Data'!$B:$B,'Raw_Data'!$JL:$JL),"")</f>
        <v/>
      </c>
      <c r="W322" s="240" t="str">
        <f t="shared" si="23"/>
        <v/>
      </c>
      <c r="X322" s="228" t="str">
        <f>IFERROR(_xlfn.XLOOKUP($A322,'Raw_Data'!$B:$B,'Raw_Data'!$JI:$JI),"")</f>
        <v/>
      </c>
      <c r="Y322" s="228" t="str">
        <f>IFERROR(_xlfn.XLOOKUP($A322,'Raw_Data'!$B:$B,'Raw_Data'!IT:IT),"")</f>
        <v/>
      </c>
      <c r="Z322" s="228" t="str">
        <f>IFERROR(_xlfn.XLOOKUP($A322,'Raw_Data'!$B:$B,'Raw_Data'!IU:IU),"")</f>
        <v/>
      </c>
      <c r="AA322" s="228" t="str">
        <f>IFERROR(_xlfn.XLOOKUP($A322,'Raw_Data'!$B:$B,'Raw_Data'!IW:IW),"")</f>
        <v/>
      </c>
      <c r="AB322" s="228" t="str">
        <f>IFERROR(_xlfn.XLOOKUP($A322,'Raw_Data'!$B:$B,'Raw_Data'!I:I)/1000,"")</f>
        <v/>
      </c>
      <c r="AC322" s="241">
        <f>IFERROR(_xlfn.XLOOKUP($D322,'Modelling New'!$D:$D,'Modelling New'!$P:$P),"")</f>
        <v>6.1628257821428587</v>
      </c>
      <c r="AD322" s="228">
        <f>IFERROR(_xlfn.XLOOKUP($D322,'Modelling New'!$D:$D,'Modelling New'!$T:$T)*1000,"")</f>
        <v>1744321.2783057354</v>
      </c>
      <c r="AE322" s="240">
        <f>IFERROR(_xlfn.XLOOKUP($D322,'Modelling New'!$D:$D,'Modelling New'!$O:$O),"")</f>
        <v>0.84466368797833169</v>
      </c>
      <c r="AF322" s="240">
        <f>IFERROR(_xlfn.XLOOKUP($D322,'Modelling New'!$D:$D,'Modelling New'!$W:$W),"")</f>
        <v>0.21689646472969723</v>
      </c>
      <c r="AG322" s="240">
        <f>IFERROR(_xlfn.XLOOKUP($D322,'Modelling New'!$D:$D,'Modelling New'!AE:AE),"")</f>
        <v>0.99750000000000005</v>
      </c>
      <c r="AH322" s="240">
        <f>IFERROR(_xlfn.XLOOKUP($D322,'Modelling New'!$D:$D,'Modelling New'!AF:AF),"")</f>
        <v>0.99750000000000005</v>
      </c>
      <c r="AI322" s="186"/>
      <c r="AJ322" s="186"/>
      <c r="AK322" s="225"/>
      <c r="AL322" s="224">
        <f>IFERROR(Table13[[#This Row],[RA (%)]]*9270*58,"")</f>
        <v>0</v>
      </c>
      <c r="AM322" s="225"/>
      <c r="AN322" s="238"/>
      <c r="AO322" s="240"/>
      <c r="AP322" s="240"/>
      <c r="AQ322" s="240"/>
      <c r="AR322" s="242">
        <f>IFERROR(_xlfn.XLOOKUP($D322,'Modelling New'!$D:$D,'Modelling New'!$N:$N),"")</f>
        <v>335.09100000000001</v>
      </c>
    </row>
    <row r="323" spans="1:44">
      <c r="A323" s="233">
        <f t="shared" si="24"/>
        <v>46066</v>
      </c>
      <c r="B323" s="228">
        <f>YEAR(Table13[[#This Row],[Date]])+IF(MONTH(Table13[[#This Row],[Date]])&gt;=4,1,0)</f>
        <v>2026</v>
      </c>
      <c r="C323" s="186">
        <f>YEAR(Table13[[#This Row],[Date]])</f>
        <v>2026</v>
      </c>
      <c r="D323" s="234">
        <f>Table13[[#This Row],[Date]]-DAY(Table13[[#This Row],[Date]])+1</f>
        <v>46054</v>
      </c>
      <c r="E323" s="186">
        <f t="shared" si="21"/>
        <v>28</v>
      </c>
      <c r="F323" s="235" t="str">
        <f>IFERROR(_xlfn.XLOOKUP($A323,'Raw_Data'!$B:$B,'Raw_Data'!$IX:$IX),"")</f>
        <v/>
      </c>
      <c r="G323" s="236" t="str">
        <f>IFERROR(_xlfn.XLOOKUP($A323,'Raw_Data'!$B:$B,'Raw_Data'!IY:IY),"")</f>
        <v/>
      </c>
      <c r="H323" s="236" t="str">
        <f>IFERROR(_xlfn.XLOOKUP($A323,'Raw_Data'!$B:$B,'Raw_Data'!IZ:IZ),"")</f>
        <v/>
      </c>
      <c r="I323" s="236" t="str">
        <f>IFERROR(_xlfn.XLOOKUP($A323,'Raw_Data'!$B:$B,'Raw_Data'!JA:JA),"")</f>
        <v/>
      </c>
      <c r="J323" s="236" t="str">
        <f>IFERROR(_xlfn.XLOOKUP($A323,'Raw_Data'!$B:$B,'Raw_Data'!JB:JB),"")</f>
        <v/>
      </c>
      <c r="K323" s="236" t="str">
        <f>IFERROR(_xlfn.XLOOKUP($A323,'Raw_Data'!$B:$B,'Raw_Data'!JE:JE),"")</f>
        <v/>
      </c>
      <c r="L323" s="236" t="str">
        <f>IFERROR(_xlfn.XLOOKUP($A323,'Raw_Data'!$B:$B,'Raw_Data'!JF:JF),"")</f>
        <v/>
      </c>
      <c r="M323" s="236" t="str">
        <f>IFERROR(_xlfn.XLOOKUP($A323,'Raw_Data'!$B:$B,'Raw_Data'!JG:JG),"")</f>
        <v/>
      </c>
      <c r="N323" s="236" t="str">
        <f>IFERROR(_xlfn.XLOOKUP($A323,'Raw_Data'!$B:$B,'Raw_Data'!JH:JH),"")</f>
        <v/>
      </c>
      <c r="O323" s="237" t="str">
        <f>IFERROR(1-SUMIF(PA!$B:$B,$A323,PA!$AL:$AL)/($AA323+SUMIF(PA!$B:$B,$A323,PA!$AL:$AL)),"")</f>
        <v/>
      </c>
      <c r="P323" s="238"/>
      <c r="Q323" s="239"/>
      <c r="R323" s="240" t="str">
        <f>IFERROR(1-SUMIF(GA!$C:$C,$A323,GA!$X:$X)/($AA323+SUMIF(GA!$C:$C,$A323,GA!$X:$X)),"")</f>
        <v/>
      </c>
      <c r="S323" s="186"/>
      <c r="T323" s="239"/>
      <c r="U323" s="237" t="str">
        <f t="shared" si="22"/>
        <v/>
      </c>
      <c r="V323" s="237" t="str">
        <f>IFERROR(_xlfn.XLOOKUP($A323,'Raw_Data'!$B:$B,'Raw_Data'!$JL:$JL),"")</f>
        <v/>
      </c>
      <c r="W323" s="240" t="str">
        <f t="shared" si="23"/>
        <v/>
      </c>
      <c r="X323" s="228" t="str">
        <f>IFERROR(_xlfn.XLOOKUP($A323,'Raw_Data'!$B:$B,'Raw_Data'!$JI:$JI),"")</f>
        <v/>
      </c>
      <c r="Y323" s="228" t="str">
        <f>IFERROR(_xlfn.XLOOKUP($A323,'Raw_Data'!$B:$B,'Raw_Data'!IT:IT),"")</f>
        <v/>
      </c>
      <c r="Z323" s="228" t="str">
        <f>IFERROR(_xlfn.XLOOKUP($A323,'Raw_Data'!$B:$B,'Raw_Data'!IU:IU),"")</f>
        <v/>
      </c>
      <c r="AA323" s="228" t="str">
        <f>IFERROR(_xlfn.XLOOKUP($A323,'Raw_Data'!$B:$B,'Raw_Data'!IW:IW),"")</f>
        <v/>
      </c>
      <c r="AB323" s="228" t="str">
        <f>IFERROR(_xlfn.XLOOKUP($A323,'Raw_Data'!$B:$B,'Raw_Data'!I:I)/1000,"")</f>
        <v/>
      </c>
      <c r="AC323" s="241">
        <f>IFERROR(_xlfn.XLOOKUP($D323,'Modelling New'!$D:$D,'Modelling New'!$P:$P),"")</f>
        <v>6.1628257821428587</v>
      </c>
      <c r="AD323" s="228">
        <f>IFERROR(_xlfn.XLOOKUP($D323,'Modelling New'!$D:$D,'Modelling New'!$T:$T)*1000,"")</f>
        <v>1744321.2783057354</v>
      </c>
      <c r="AE323" s="240">
        <f>IFERROR(_xlfn.XLOOKUP($D323,'Modelling New'!$D:$D,'Modelling New'!$O:$O),"")</f>
        <v>0.84466368797833169</v>
      </c>
      <c r="AF323" s="240">
        <f>IFERROR(_xlfn.XLOOKUP($D323,'Modelling New'!$D:$D,'Modelling New'!$W:$W),"")</f>
        <v>0.21689646472969723</v>
      </c>
      <c r="AG323" s="240">
        <f>IFERROR(_xlfn.XLOOKUP($D323,'Modelling New'!$D:$D,'Modelling New'!AE:AE),"")</f>
        <v>0.99750000000000005</v>
      </c>
      <c r="AH323" s="240">
        <f>IFERROR(_xlfn.XLOOKUP($D323,'Modelling New'!$D:$D,'Modelling New'!AF:AF),"")</f>
        <v>0.99750000000000005</v>
      </c>
      <c r="AI323" s="186"/>
      <c r="AJ323" s="186"/>
      <c r="AK323" s="225"/>
      <c r="AL323" s="224">
        <f>IFERROR(Table13[[#This Row],[RA (%)]]*9270*58,"")</f>
        <v>0</v>
      </c>
      <c r="AM323" s="225"/>
      <c r="AN323" s="238"/>
      <c r="AO323" s="240"/>
      <c r="AP323" s="240"/>
      <c r="AQ323" s="240"/>
      <c r="AR323" s="242">
        <f>IFERROR(_xlfn.XLOOKUP($D323,'Modelling New'!$D:$D,'Modelling New'!$N:$N),"")</f>
        <v>335.09100000000001</v>
      </c>
    </row>
    <row r="324" spans="1:44">
      <c r="A324" s="233">
        <f t="shared" si="24"/>
        <v>46067</v>
      </c>
      <c r="B324" s="228">
        <f>YEAR(Table13[[#This Row],[Date]])+IF(MONTH(Table13[[#This Row],[Date]])&gt;=4,1,0)</f>
        <v>2026</v>
      </c>
      <c r="C324" s="186">
        <f>YEAR(Table13[[#This Row],[Date]])</f>
        <v>2026</v>
      </c>
      <c r="D324" s="234">
        <f>Table13[[#This Row],[Date]]-DAY(Table13[[#This Row],[Date]])+1</f>
        <v>46054</v>
      </c>
      <c r="E324" s="186">
        <f t="shared" si="21"/>
        <v>28</v>
      </c>
      <c r="F324" s="235" t="str">
        <f>IFERROR(_xlfn.XLOOKUP($A324,'Raw_Data'!$B:$B,'Raw_Data'!$IX:$IX),"")</f>
        <v/>
      </c>
      <c r="G324" s="236" t="str">
        <f>IFERROR(_xlfn.XLOOKUP($A324,'Raw_Data'!$B:$B,'Raw_Data'!IY:IY),"")</f>
        <v/>
      </c>
      <c r="H324" s="236" t="str">
        <f>IFERROR(_xlfn.XLOOKUP($A324,'Raw_Data'!$B:$B,'Raw_Data'!IZ:IZ),"")</f>
        <v/>
      </c>
      <c r="I324" s="236" t="str">
        <f>IFERROR(_xlfn.XLOOKUP($A324,'Raw_Data'!$B:$B,'Raw_Data'!JA:JA),"")</f>
        <v/>
      </c>
      <c r="J324" s="236" t="str">
        <f>IFERROR(_xlfn.XLOOKUP($A324,'Raw_Data'!$B:$B,'Raw_Data'!JB:JB),"")</f>
        <v/>
      </c>
      <c r="K324" s="236" t="str">
        <f>IFERROR(_xlfn.XLOOKUP($A324,'Raw_Data'!$B:$B,'Raw_Data'!JE:JE),"")</f>
        <v/>
      </c>
      <c r="L324" s="236" t="str">
        <f>IFERROR(_xlfn.XLOOKUP($A324,'Raw_Data'!$B:$B,'Raw_Data'!JF:JF),"")</f>
        <v/>
      </c>
      <c r="M324" s="236" t="str">
        <f>IFERROR(_xlfn.XLOOKUP($A324,'Raw_Data'!$B:$B,'Raw_Data'!JG:JG),"")</f>
        <v/>
      </c>
      <c r="N324" s="236" t="str">
        <f>IFERROR(_xlfn.XLOOKUP($A324,'Raw_Data'!$B:$B,'Raw_Data'!JH:JH),"")</f>
        <v/>
      </c>
      <c r="O324" s="237" t="str">
        <f>IFERROR(1-SUMIF(PA!$B:$B,$A324,PA!$AL:$AL)/($AA324+SUMIF(PA!$B:$B,$A324,PA!$AL:$AL)),"")</f>
        <v/>
      </c>
      <c r="P324" s="238"/>
      <c r="Q324" s="239"/>
      <c r="R324" s="240" t="str">
        <f>IFERROR(1-SUMIF(GA!$C:$C,$A324,GA!$X:$X)/($AA324+SUMIF(GA!$C:$C,$A324,GA!$X:$X)),"")</f>
        <v/>
      </c>
      <c r="S324" s="186"/>
      <c r="T324" s="239"/>
      <c r="U324" s="237" t="str">
        <f t="shared" si="22"/>
        <v/>
      </c>
      <c r="V324" s="237" t="str">
        <f>IFERROR(_xlfn.XLOOKUP($A324,'Raw_Data'!$B:$B,'Raw_Data'!$JL:$JL),"")</f>
        <v/>
      </c>
      <c r="W324" s="240" t="str">
        <f t="shared" si="23"/>
        <v/>
      </c>
      <c r="X324" s="228" t="str">
        <f>IFERROR(_xlfn.XLOOKUP($A324,'Raw_Data'!$B:$B,'Raw_Data'!$JI:$JI),"")</f>
        <v/>
      </c>
      <c r="Y324" s="228" t="str">
        <f>IFERROR(_xlfn.XLOOKUP($A324,'Raw_Data'!$B:$B,'Raw_Data'!IT:IT),"")</f>
        <v/>
      </c>
      <c r="Z324" s="228" t="str">
        <f>IFERROR(_xlfn.XLOOKUP($A324,'Raw_Data'!$B:$B,'Raw_Data'!IU:IU),"")</f>
        <v/>
      </c>
      <c r="AA324" s="228" t="str">
        <f>IFERROR(_xlfn.XLOOKUP($A324,'Raw_Data'!$B:$B,'Raw_Data'!IW:IW),"")</f>
        <v/>
      </c>
      <c r="AB324" s="228" t="str">
        <f>IFERROR(_xlfn.XLOOKUP($A324,'Raw_Data'!$B:$B,'Raw_Data'!I:I)/1000,"")</f>
        <v/>
      </c>
      <c r="AC324" s="241">
        <f>IFERROR(_xlfn.XLOOKUP($D324,'Modelling New'!$D:$D,'Modelling New'!$P:$P),"")</f>
        <v>6.1628257821428587</v>
      </c>
      <c r="AD324" s="228">
        <f>IFERROR(_xlfn.XLOOKUP($D324,'Modelling New'!$D:$D,'Modelling New'!$T:$T)*1000,"")</f>
        <v>1744321.2783057354</v>
      </c>
      <c r="AE324" s="240">
        <f>IFERROR(_xlfn.XLOOKUP($D324,'Modelling New'!$D:$D,'Modelling New'!$O:$O),"")</f>
        <v>0.84466368797833169</v>
      </c>
      <c r="AF324" s="240">
        <f>IFERROR(_xlfn.XLOOKUP($D324,'Modelling New'!$D:$D,'Modelling New'!$W:$W),"")</f>
        <v>0.21689646472969723</v>
      </c>
      <c r="AG324" s="240">
        <f>IFERROR(_xlfn.XLOOKUP($D324,'Modelling New'!$D:$D,'Modelling New'!AE:AE),"")</f>
        <v>0.99750000000000005</v>
      </c>
      <c r="AH324" s="240">
        <f>IFERROR(_xlfn.XLOOKUP($D324,'Modelling New'!$D:$D,'Modelling New'!AF:AF),"")</f>
        <v>0.99750000000000005</v>
      </c>
      <c r="AI324" s="186"/>
      <c r="AJ324" s="186"/>
      <c r="AK324" s="225"/>
      <c r="AL324" s="224">
        <f>IFERROR(Table13[[#This Row],[RA (%)]]*9270*58,"")</f>
        <v>0</v>
      </c>
      <c r="AM324" s="225"/>
      <c r="AN324" s="238"/>
      <c r="AO324" s="240"/>
      <c r="AP324" s="240"/>
      <c r="AQ324" s="240"/>
      <c r="AR324" s="242">
        <f>IFERROR(_xlfn.XLOOKUP($D324,'Modelling New'!$D:$D,'Modelling New'!$N:$N),"")</f>
        <v>335.09100000000001</v>
      </c>
    </row>
    <row r="325" spans="1:44">
      <c r="A325" s="233">
        <f t="shared" si="24"/>
        <v>46068</v>
      </c>
      <c r="B325" s="228">
        <f>YEAR(Table13[[#This Row],[Date]])+IF(MONTH(Table13[[#This Row],[Date]])&gt;=4,1,0)</f>
        <v>2026</v>
      </c>
      <c r="C325" s="186">
        <f>YEAR(Table13[[#This Row],[Date]])</f>
        <v>2026</v>
      </c>
      <c r="D325" s="234">
        <f>Table13[[#This Row],[Date]]-DAY(Table13[[#This Row],[Date]])+1</f>
        <v>46054</v>
      </c>
      <c r="E325" s="186">
        <f t="shared" ref="E325:E369" si="25">DAY(EOMONTH(A325,0))</f>
        <v>28</v>
      </c>
      <c r="F325" s="235" t="str">
        <f>IFERROR(_xlfn.XLOOKUP($A325,'Raw_Data'!$B:$B,'Raw_Data'!$IX:$IX),"")</f>
        <v/>
      </c>
      <c r="G325" s="236" t="str">
        <f>IFERROR(_xlfn.XLOOKUP($A325,'Raw_Data'!$B:$B,'Raw_Data'!IY:IY),"")</f>
        <v/>
      </c>
      <c r="H325" s="236" t="str">
        <f>IFERROR(_xlfn.XLOOKUP($A325,'Raw_Data'!$B:$B,'Raw_Data'!IZ:IZ),"")</f>
        <v/>
      </c>
      <c r="I325" s="236" t="str">
        <f>IFERROR(_xlfn.XLOOKUP($A325,'Raw_Data'!$B:$B,'Raw_Data'!JA:JA),"")</f>
        <v/>
      </c>
      <c r="J325" s="236" t="str">
        <f>IFERROR(_xlfn.XLOOKUP($A325,'Raw_Data'!$B:$B,'Raw_Data'!JB:JB),"")</f>
        <v/>
      </c>
      <c r="K325" s="236" t="str">
        <f>IFERROR(_xlfn.XLOOKUP($A325,'Raw_Data'!$B:$B,'Raw_Data'!JE:JE),"")</f>
        <v/>
      </c>
      <c r="L325" s="236" t="str">
        <f>IFERROR(_xlfn.XLOOKUP($A325,'Raw_Data'!$B:$B,'Raw_Data'!JF:JF),"")</f>
        <v/>
      </c>
      <c r="M325" s="236" t="str">
        <f>IFERROR(_xlfn.XLOOKUP($A325,'Raw_Data'!$B:$B,'Raw_Data'!JG:JG),"")</f>
        <v/>
      </c>
      <c r="N325" s="236" t="str">
        <f>IFERROR(_xlfn.XLOOKUP($A325,'Raw_Data'!$B:$B,'Raw_Data'!JH:JH),"")</f>
        <v/>
      </c>
      <c r="O325" s="237" t="str">
        <f>IFERROR(1-SUMIF(PA!$B:$B,$A325,PA!$AL:$AL)/($AA325+SUMIF(PA!$B:$B,$A325,PA!$AL:$AL)),"")</f>
        <v/>
      </c>
      <c r="P325" s="238"/>
      <c r="Q325" s="239"/>
      <c r="R325" s="240" t="str">
        <f>IFERROR(1-SUMIF(GA!$C:$C,$A325,GA!$X:$X)/($AA325+SUMIF(GA!$C:$C,$A325,GA!$X:$X)),"")</f>
        <v/>
      </c>
      <c r="S325" s="186"/>
      <c r="T325" s="239"/>
      <c r="U325" s="237" t="str">
        <f t="shared" si="22"/>
        <v/>
      </c>
      <c r="V325" s="237" t="str">
        <f>IFERROR(_xlfn.XLOOKUP($A325,'Raw_Data'!$B:$B,'Raw_Data'!$JL:$JL),"")</f>
        <v/>
      </c>
      <c r="W325" s="240" t="str">
        <f t="shared" si="23"/>
        <v/>
      </c>
      <c r="X325" s="228" t="str">
        <f>IFERROR(_xlfn.XLOOKUP($A325,'Raw_Data'!$B:$B,'Raw_Data'!$JI:$JI),"")</f>
        <v/>
      </c>
      <c r="Y325" s="228" t="str">
        <f>IFERROR(_xlfn.XLOOKUP($A325,'Raw_Data'!$B:$B,'Raw_Data'!IT:IT),"")</f>
        <v/>
      </c>
      <c r="Z325" s="228" t="str">
        <f>IFERROR(_xlfn.XLOOKUP($A325,'Raw_Data'!$B:$B,'Raw_Data'!IU:IU),"")</f>
        <v/>
      </c>
      <c r="AA325" s="228" t="str">
        <f>IFERROR(_xlfn.XLOOKUP($A325,'Raw_Data'!$B:$B,'Raw_Data'!IW:IW),"")</f>
        <v/>
      </c>
      <c r="AB325" s="228" t="str">
        <f>IFERROR(_xlfn.XLOOKUP($A325,'Raw_Data'!$B:$B,'Raw_Data'!I:I)/1000,"")</f>
        <v/>
      </c>
      <c r="AC325" s="241">
        <f>IFERROR(_xlfn.XLOOKUP($D325,'Modelling New'!$D:$D,'Modelling New'!$P:$P),"")</f>
        <v>6.1628257821428587</v>
      </c>
      <c r="AD325" s="228">
        <f>IFERROR(_xlfn.XLOOKUP($D325,'Modelling New'!$D:$D,'Modelling New'!$T:$T)*1000,"")</f>
        <v>1744321.2783057354</v>
      </c>
      <c r="AE325" s="240">
        <f>IFERROR(_xlfn.XLOOKUP($D325,'Modelling New'!$D:$D,'Modelling New'!$O:$O),"")</f>
        <v>0.84466368797833169</v>
      </c>
      <c r="AF325" s="240">
        <f>IFERROR(_xlfn.XLOOKUP($D325,'Modelling New'!$D:$D,'Modelling New'!$W:$W),"")</f>
        <v>0.21689646472969723</v>
      </c>
      <c r="AG325" s="240">
        <f>IFERROR(_xlfn.XLOOKUP($D325,'Modelling New'!$D:$D,'Modelling New'!AE:AE),"")</f>
        <v>0.99750000000000005</v>
      </c>
      <c r="AH325" s="240">
        <f>IFERROR(_xlfn.XLOOKUP($D325,'Modelling New'!$D:$D,'Modelling New'!AF:AF),"")</f>
        <v>0.99750000000000005</v>
      </c>
      <c r="AI325" s="186"/>
      <c r="AJ325" s="186"/>
      <c r="AK325" s="225"/>
      <c r="AL325" s="224">
        <f>IFERROR(Table13[[#This Row],[RA (%)]]*9270*58,"")</f>
        <v>0</v>
      </c>
      <c r="AM325" s="225"/>
      <c r="AN325" s="238"/>
      <c r="AO325" s="240"/>
      <c r="AP325" s="240"/>
      <c r="AQ325" s="240"/>
      <c r="AR325" s="242">
        <f>IFERROR(_xlfn.XLOOKUP($D325,'Modelling New'!$D:$D,'Modelling New'!$N:$N),"")</f>
        <v>335.09100000000001</v>
      </c>
    </row>
    <row r="326" spans="1:44">
      <c r="A326" s="233">
        <f t="shared" si="24"/>
        <v>46069</v>
      </c>
      <c r="B326" s="228">
        <f>YEAR(Table13[[#This Row],[Date]])+IF(MONTH(Table13[[#This Row],[Date]])&gt;=4,1,0)</f>
        <v>2026</v>
      </c>
      <c r="C326" s="186">
        <f>YEAR(Table13[[#This Row],[Date]])</f>
        <v>2026</v>
      </c>
      <c r="D326" s="234">
        <f>Table13[[#This Row],[Date]]-DAY(Table13[[#This Row],[Date]])+1</f>
        <v>46054</v>
      </c>
      <c r="E326" s="186">
        <f t="shared" si="25"/>
        <v>28</v>
      </c>
      <c r="F326" s="235" t="str">
        <f>IFERROR(_xlfn.XLOOKUP($A326,'Raw_Data'!$B:$B,'Raw_Data'!$IX:$IX),"")</f>
        <v/>
      </c>
      <c r="G326" s="236" t="str">
        <f>IFERROR(_xlfn.XLOOKUP($A326,'Raw_Data'!$B:$B,'Raw_Data'!IY:IY),"")</f>
        <v/>
      </c>
      <c r="H326" s="236" t="str">
        <f>IFERROR(_xlfn.XLOOKUP($A326,'Raw_Data'!$B:$B,'Raw_Data'!IZ:IZ),"")</f>
        <v/>
      </c>
      <c r="I326" s="236" t="str">
        <f>IFERROR(_xlfn.XLOOKUP($A326,'Raw_Data'!$B:$B,'Raw_Data'!JA:JA),"")</f>
        <v/>
      </c>
      <c r="J326" s="236" t="str">
        <f>IFERROR(_xlfn.XLOOKUP($A326,'Raw_Data'!$B:$B,'Raw_Data'!JB:JB),"")</f>
        <v/>
      </c>
      <c r="K326" s="236" t="str">
        <f>IFERROR(_xlfn.XLOOKUP($A326,'Raw_Data'!$B:$B,'Raw_Data'!JE:JE),"")</f>
        <v/>
      </c>
      <c r="L326" s="236" t="str">
        <f>IFERROR(_xlfn.XLOOKUP($A326,'Raw_Data'!$B:$B,'Raw_Data'!JF:JF),"")</f>
        <v/>
      </c>
      <c r="M326" s="236" t="str">
        <f>IFERROR(_xlfn.XLOOKUP($A326,'Raw_Data'!$B:$B,'Raw_Data'!JG:JG),"")</f>
        <v/>
      </c>
      <c r="N326" s="236" t="str">
        <f>IFERROR(_xlfn.XLOOKUP($A326,'Raw_Data'!$B:$B,'Raw_Data'!JH:JH),"")</f>
        <v/>
      </c>
      <c r="O326" s="237" t="str">
        <f>IFERROR(1-SUMIF(PA!$B:$B,$A326,PA!$AL:$AL)/($AA326+SUMIF(PA!$B:$B,$A326,PA!$AL:$AL)),"")</f>
        <v/>
      </c>
      <c r="P326" s="238"/>
      <c r="Q326" s="239"/>
      <c r="R326" s="240" t="str">
        <f>IFERROR(1-SUMIF(GA!$C:$C,$A326,GA!$X:$X)/($AA326+SUMIF(GA!$C:$C,$A326,GA!$X:$X)),"")</f>
        <v/>
      </c>
      <c r="S326" s="186"/>
      <c r="T326" s="239"/>
      <c r="U326" s="237" t="str">
        <f t="shared" si="22"/>
        <v/>
      </c>
      <c r="V326" s="237" t="str">
        <f>IFERROR(_xlfn.XLOOKUP($A326,'Raw_Data'!$B:$B,'Raw_Data'!$JL:$JL),"")</f>
        <v/>
      </c>
      <c r="W326" s="240" t="str">
        <f t="shared" si="23"/>
        <v/>
      </c>
      <c r="X326" s="228" t="str">
        <f>IFERROR(_xlfn.XLOOKUP($A326,'Raw_Data'!$B:$B,'Raw_Data'!$JI:$JI),"")</f>
        <v/>
      </c>
      <c r="Y326" s="228" t="str">
        <f>IFERROR(_xlfn.XLOOKUP($A326,'Raw_Data'!$B:$B,'Raw_Data'!IT:IT),"")</f>
        <v/>
      </c>
      <c r="Z326" s="228" t="str">
        <f>IFERROR(_xlfn.XLOOKUP($A326,'Raw_Data'!$B:$B,'Raw_Data'!IU:IU),"")</f>
        <v/>
      </c>
      <c r="AA326" s="228" t="str">
        <f>IFERROR(_xlfn.XLOOKUP($A326,'Raw_Data'!$B:$B,'Raw_Data'!IW:IW),"")</f>
        <v/>
      </c>
      <c r="AB326" s="228" t="str">
        <f>IFERROR(_xlfn.XLOOKUP($A326,'Raw_Data'!$B:$B,'Raw_Data'!I:I)/1000,"")</f>
        <v/>
      </c>
      <c r="AC326" s="241">
        <f>IFERROR(_xlfn.XLOOKUP($D326,'Modelling New'!$D:$D,'Modelling New'!$P:$P),"")</f>
        <v>6.1628257821428587</v>
      </c>
      <c r="AD326" s="228">
        <f>IFERROR(_xlfn.XLOOKUP($D326,'Modelling New'!$D:$D,'Modelling New'!$T:$T)*1000,"")</f>
        <v>1744321.2783057354</v>
      </c>
      <c r="AE326" s="240">
        <f>IFERROR(_xlfn.XLOOKUP($D326,'Modelling New'!$D:$D,'Modelling New'!$O:$O),"")</f>
        <v>0.84466368797833169</v>
      </c>
      <c r="AF326" s="240">
        <f>IFERROR(_xlfn.XLOOKUP($D326,'Modelling New'!$D:$D,'Modelling New'!$W:$W),"")</f>
        <v>0.21689646472969723</v>
      </c>
      <c r="AG326" s="240">
        <f>IFERROR(_xlfn.XLOOKUP($D326,'Modelling New'!$D:$D,'Modelling New'!AE:AE),"")</f>
        <v>0.99750000000000005</v>
      </c>
      <c r="AH326" s="240">
        <f>IFERROR(_xlfn.XLOOKUP($D326,'Modelling New'!$D:$D,'Modelling New'!AF:AF),"")</f>
        <v>0.99750000000000005</v>
      </c>
      <c r="AI326" s="186"/>
      <c r="AJ326" s="186"/>
      <c r="AK326" s="225"/>
      <c r="AL326" s="224">
        <f>IFERROR(Table13[[#This Row],[RA (%)]]*9270*58,"")</f>
        <v>0</v>
      </c>
      <c r="AM326" s="225"/>
      <c r="AN326" s="238"/>
      <c r="AO326" s="240"/>
      <c r="AP326" s="240"/>
      <c r="AQ326" s="240"/>
      <c r="AR326" s="242">
        <f>IFERROR(_xlfn.XLOOKUP($D326,'Modelling New'!$D:$D,'Modelling New'!$N:$N),"")</f>
        <v>335.09100000000001</v>
      </c>
    </row>
    <row r="327" spans="1:44">
      <c r="A327" s="233">
        <f t="shared" si="24"/>
        <v>46070</v>
      </c>
      <c r="B327" s="228">
        <f>YEAR(Table13[[#This Row],[Date]])+IF(MONTH(Table13[[#This Row],[Date]])&gt;=4,1,0)</f>
        <v>2026</v>
      </c>
      <c r="C327" s="186">
        <f>YEAR(Table13[[#This Row],[Date]])</f>
        <v>2026</v>
      </c>
      <c r="D327" s="234">
        <f>Table13[[#This Row],[Date]]-DAY(Table13[[#This Row],[Date]])+1</f>
        <v>46054</v>
      </c>
      <c r="E327" s="186">
        <f t="shared" si="25"/>
        <v>28</v>
      </c>
      <c r="F327" s="235" t="str">
        <f>IFERROR(_xlfn.XLOOKUP($A327,'Raw_Data'!$B:$B,'Raw_Data'!$IX:$IX),"")</f>
        <v/>
      </c>
      <c r="G327" s="236" t="str">
        <f>IFERROR(_xlfn.XLOOKUP($A327,'Raw_Data'!$B:$B,'Raw_Data'!IY:IY),"")</f>
        <v/>
      </c>
      <c r="H327" s="236" t="str">
        <f>IFERROR(_xlfn.XLOOKUP($A327,'Raw_Data'!$B:$B,'Raw_Data'!IZ:IZ),"")</f>
        <v/>
      </c>
      <c r="I327" s="236" t="str">
        <f>IFERROR(_xlfn.XLOOKUP($A327,'Raw_Data'!$B:$B,'Raw_Data'!JA:JA),"")</f>
        <v/>
      </c>
      <c r="J327" s="236" t="str">
        <f>IFERROR(_xlfn.XLOOKUP($A327,'Raw_Data'!$B:$B,'Raw_Data'!JB:JB),"")</f>
        <v/>
      </c>
      <c r="K327" s="236" t="str">
        <f>IFERROR(_xlfn.XLOOKUP($A327,'Raw_Data'!$B:$B,'Raw_Data'!JE:JE),"")</f>
        <v/>
      </c>
      <c r="L327" s="236" t="str">
        <f>IFERROR(_xlfn.XLOOKUP($A327,'Raw_Data'!$B:$B,'Raw_Data'!JF:JF),"")</f>
        <v/>
      </c>
      <c r="M327" s="236" t="str">
        <f>IFERROR(_xlfn.XLOOKUP($A327,'Raw_Data'!$B:$B,'Raw_Data'!JG:JG),"")</f>
        <v/>
      </c>
      <c r="N327" s="236" t="str">
        <f>IFERROR(_xlfn.XLOOKUP($A327,'Raw_Data'!$B:$B,'Raw_Data'!JH:JH),"")</f>
        <v/>
      </c>
      <c r="O327" s="237" t="str">
        <f>IFERROR(1-SUMIF(PA!$B:$B,$A327,PA!$AL:$AL)/($AA327+SUMIF(PA!$B:$B,$A327,PA!$AL:$AL)),"")</f>
        <v/>
      </c>
      <c r="P327" s="238"/>
      <c r="Q327" s="239"/>
      <c r="R327" s="240" t="str">
        <f>IFERROR(1-SUMIF(GA!$C:$C,$A327,GA!$X:$X)/($AA327+SUMIF(GA!$C:$C,$A327,GA!$X:$X)),"")</f>
        <v/>
      </c>
      <c r="S327" s="186"/>
      <c r="T327" s="239"/>
      <c r="U327" s="237" t="str">
        <f t="shared" si="22"/>
        <v/>
      </c>
      <c r="V327" s="237" t="str">
        <f>IFERROR(_xlfn.XLOOKUP($A327,'Raw_Data'!$B:$B,'Raw_Data'!$JL:$JL),"")</f>
        <v/>
      </c>
      <c r="W327" s="240" t="str">
        <f t="shared" si="23"/>
        <v/>
      </c>
      <c r="X327" s="228" t="str">
        <f>IFERROR(_xlfn.XLOOKUP($A327,'Raw_Data'!$B:$B,'Raw_Data'!$JI:$JI),"")</f>
        <v/>
      </c>
      <c r="Y327" s="228" t="str">
        <f>IFERROR(_xlfn.XLOOKUP($A327,'Raw_Data'!$B:$B,'Raw_Data'!IT:IT),"")</f>
        <v/>
      </c>
      <c r="Z327" s="228" t="str">
        <f>IFERROR(_xlfn.XLOOKUP($A327,'Raw_Data'!$B:$B,'Raw_Data'!IU:IU),"")</f>
        <v/>
      </c>
      <c r="AA327" s="228" t="str">
        <f>IFERROR(_xlfn.XLOOKUP($A327,'Raw_Data'!$B:$B,'Raw_Data'!IW:IW),"")</f>
        <v/>
      </c>
      <c r="AB327" s="228" t="str">
        <f>IFERROR(_xlfn.XLOOKUP($A327,'Raw_Data'!$B:$B,'Raw_Data'!I:I)/1000,"")</f>
        <v/>
      </c>
      <c r="AC327" s="241">
        <f>IFERROR(_xlfn.XLOOKUP($D327,'Modelling New'!$D:$D,'Modelling New'!$P:$P),"")</f>
        <v>6.1628257821428587</v>
      </c>
      <c r="AD327" s="228">
        <f>IFERROR(_xlfn.XLOOKUP($D327,'Modelling New'!$D:$D,'Modelling New'!$T:$T)*1000,"")</f>
        <v>1744321.2783057354</v>
      </c>
      <c r="AE327" s="240">
        <f>IFERROR(_xlfn.XLOOKUP($D327,'Modelling New'!$D:$D,'Modelling New'!$O:$O),"")</f>
        <v>0.84466368797833169</v>
      </c>
      <c r="AF327" s="240">
        <f>IFERROR(_xlfn.XLOOKUP($D327,'Modelling New'!$D:$D,'Modelling New'!$W:$W),"")</f>
        <v>0.21689646472969723</v>
      </c>
      <c r="AG327" s="240">
        <f>IFERROR(_xlfn.XLOOKUP($D327,'Modelling New'!$D:$D,'Modelling New'!AE:AE),"")</f>
        <v>0.99750000000000005</v>
      </c>
      <c r="AH327" s="240">
        <f>IFERROR(_xlfn.XLOOKUP($D327,'Modelling New'!$D:$D,'Modelling New'!AF:AF),"")</f>
        <v>0.99750000000000005</v>
      </c>
      <c r="AI327" s="186"/>
      <c r="AJ327" s="186"/>
      <c r="AK327" s="225"/>
      <c r="AL327" s="224">
        <f>IFERROR(Table13[[#This Row],[RA (%)]]*9270*58,"")</f>
        <v>0</v>
      </c>
      <c r="AM327" s="225"/>
      <c r="AN327" s="238"/>
      <c r="AO327" s="240"/>
      <c r="AP327" s="240"/>
      <c r="AQ327" s="240"/>
      <c r="AR327" s="242">
        <f>IFERROR(_xlfn.XLOOKUP($D327,'Modelling New'!$D:$D,'Modelling New'!$N:$N),"")</f>
        <v>335.09100000000001</v>
      </c>
    </row>
    <row r="328" spans="1:44">
      <c r="A328" s="233">
        <f t="shared" si="24"/>
        <v>46071</v>
      </c>
      <c r="B328" s="228">
        <f>YEAR(Table13[[#This Row],[Date]])+IF(MONTH(Table13[[#This Row],[Date]])&gt;=4,1,0)</f>
        <v>2026</v>
      </c>
      <c r="C328" s="186">
        <f>YEAR(Table13[[#This Row],[Date]])</f>
        <v>2026</v>
      </c>
      <c r="D328" s="234">
        <f>Table13[[#This Row],[Date]]-DAY(Table13[[#This Row],[Date]])+1</f>
        <v>46054</v>
      </c>
      <c r="E328" s="186">
        <f t="shared" si="25"/>
        <v>28</v>
      </c>
      <c r="F328" s="235" t="str">
        <f>IFERROR(_xlfn.XLOOKUP($A328,'Raw_Data'!$B:$B,'Raw_Data'!$IX:$IX),"")</f>
        <v/>
      </c>
      <c r="G328" s="236" t="str">
        <f>IFERROR(_xlfn.XLOOKUP($A328,'Raw_Data'!$B:$B,'Raw_Data'!IY:IY),"")</f>
        <v/>
      </c>
      <c r="H328" s="236" t="str">
        <f>IFERROR(_xlfn.XLOOKUP($A328,'Raw_Data'!$B:$B,'Raw_Data'!IZ:IZ),"")</f>
        <v/>
      </c>
      <c r="I328" s="236" t="str">
        <f>IFERROR(_xlfn.XLOOKUP($A328,'Raw_Data'!$B:$B,'Raw_Data'!JA:JA),"")</f>
        <v/>
      </c>
      <c r="J328" s="236" t="str">
        <f>IFERROR(_xlfn.XLOOKUP($A328,'Raw_Data'!$B:$B,'Raw_Data'!JB:JB),"")</f>
        <v/>
      </c>
      <c r="K328" s="236" t="str">
        <f>IFERROR(_xlfn.XLOOKUP($A328,'Raw_Data'!$B:$B,'Raw_Data'!JE:JE),"")</f>
        <v/>
      </c>
      <c r="L328" s="236" t="str">
        <f>IFERROR(_xlfn.XLOOKUP($A328,'Raw_Data'!$B:$B,'Raw_Data'!JF:JF),"")</f>
        <v/>
      </c>
      <c r="M328" s="236" t="str">
        <f>IFERROR(_xlfn.XLOOKUP($A328,'Raw_Data'!$B:$B,'Raw_Data'!JG:JG),"")</f>
        <v/>
      </c>
      <c r="N328" s="236" t="str">
        <f>IFERROR(_xlfn.XLOOKUP($A328,'Raw_Data'!$B:$B,'Raw_Data'!JH:JH),"")</f>
        <v/>
      </c>
      <c r="O328" s="237" t="str">
        <f>IFERROR(1-SUMIF(PA!$B:$B,$A328,PA!$AL:$AL)/($AA328+SUMIF(PA!$B:$B,$A328,PA!$AL:$AL)),"")</f>
        <v/>
      </c>
      <c r="P328" s="238"/>
      <c r="Q328" s="239"/>
      <c r="R328" s="240" t="str">
        <f>IFERROR(1-SUMIF(GA!$C:$C,$A328,GA!$X:$X)/($AA328+SUMIF(GA!$C:$C,$A328,GA!$X:$X)),"")</f>
        <v/>
      </c>
      <c r="S328" s="186"/>
      <c r="T328" s="239"/>
      <c r="U328" s="237" t="str">
        <f t="shared" si="22"/>
        <v/>
      </c>
      <c r="V328" s="237" t="str">
        <f>IFERROR(_xlfn.XLOOKUP($A328,'Raw_Data'!$B:$B,'Raw_Data'!$JL:$JL),"")</f>
        <v/>
      </c>
      <c r="W328" s="240" t="str">
        <f t="shared" si="23"/>
        <v/>
      </c>
      <c r="X328" s="228" t="str">
        <f>IFERROR(_xlfn.XLOOKUP($A328,'Raw_Data'!$B:$B,'Raw_Data'!$JI:$JI),"")</f>
        <v/>
      </c>
      <c r="Y328" s="228" t="str">
        <f>IFERROR(_xlfn.XLOOKUP($A328,'Raw_Data'!$B:$B,'Raw_Data'!IT:IT),"")</f>
        <v/>
      </c>
      <c r="Z328" s="228" t="str">
        <f>IFERROR(_xlfn.XLOOKUP($A328,'Raw_Data'!$B:$B,'Raw_Data'!IU:IU),"")</f>
        <v/>
      </c>
      <c r="AA328" s="228" t="str">
        <f>IFERROR(_xlfn.XLOOKUP($A328,'Raw_Data'!$B:$B,'Raw_Data'!IW:IW),"")</f>
        <v/>
      </c>
      <c r="AB328" s="228" t="str">
        <f>IFERROR(_xlfn.XLOOKUP($A328,'Raw_Data'!$B:$B,'Raw_Data'!I:I)/1000,"")</f>
        <v/>
      </c>
      <c r="AC328" s="241">
        <f>IFERROR(_xlfn.XLOOKUP($D328,'Modelling New'!$D:$D,'Modelling New'!$P:$P),"")</f>
        <v>6.1628257821428587</v>
      </c>
      <c r="AD328" s="228">
        <f>IFERROR(_xlfn.XLOOKUP($D328,'Modelling New'!$D:$D,'Modelling New'!$T:$T)*1000,"")</f>
        <v>1744321.2783057354</v>
      </c>
      <c r="AE328" s="240">
        <f>IFERROR(_xlfn.XLOOKUP($D328,'Modelling New'!$D:$D,'Modelling New'!$O:$O),"")</f>
        <v>0.84466368797833169</v>
      </c>
      <c r="AF328" s="240">
        <f>IFERROR(_xlfn.XLOOKUP($D328,'Modelling New'!$D:$D,'Modelling New'!$W:$W),"")</f>
        <v>0.21689646472969723</v>
      </c>
      <c r="AG328" s="240">
        <f>IFERROR(_xlfn.XLOOKUP($D328,'Modelling New'!$D:$D,'Modelling New'!AE:AE),"")</f>
        <v>0.99750000000000005</v>
      </c>
      <c r="AH328" s="240">
        <f>IFERROR(_xlfn.XLOOKUP($D328,'Modelling New'!$D:$D,'Modelling New'!AF:AF),"")</f>
        <v>0.99750000000000005</v>
      </c>
      <c r="AI328" s="186"/>
      <c r="AJ328" s="186"/>
      <c r="AK328" s="225"/>
      <c r="AL328" s="224">
        <f>IFERROR(Table13[[#This Row],[RA (%)]]*9270*58,"")</f>
        <v>0</v>
      </c>
      <c r="AM328" s="225"/>
      <c r="AN328" s="238"/>
      <c r="AO328" s="240"/>
      <c r="AP328" s="240"/>
      <c r="AQ328" s="240"/>
      <c r="AR328" s="242">
        <f>IFERROR(_xlfn.XLOOKUP($D328,'Modelling New'!$D:$D,'Modelling New'!$N:$N),"")</f>
        <v>335.09100000000001</v>
      </c>
    </row>
    <row r="329" spans="1:44">
      <c r="A329" s="233">
        <f t="shared" si="24"/>
        <v>46072</v>
      </c>
      <c r="B329" s="228">
        <f>YEAR(Table13[[#This Row],[Date]])+IF(MONTH(Table13[[#This Row],[Date]])&gt;=4,1,0)</f>
        <v>2026</v>
      </c>
      <c r="C329" s="186">
        <f>YEAR(Table13[[#This Row],[Date]])</f>
        <v>2026</v>
      </c>
      <c r="D329" s="234">
        <f>Table13[[#This Row],[Date]]-DAY(Table13[[#This Row],[Date]])+1</f>
        <v>46054</v>
      </c>
      <c r="E329" s="186">
        <f t="shared" si="25"/>
        <v>28</v>
      </c>
      <c r="F329" s="235" t="str">
        <f>IFERROR(_xlfn.XLOOKUP($A329,'Raw_Data'!$B:$B,'Raw_Data'!$IX:$IX),"")</f>
        <v/>
      </c>
      <c r="G329" s="236" t="str">
        <f>IFERROR(_xlfn.XLOOKUP($A329,'Raw_Data'!$B:$B,'Raw_Data'!IY:IY),"")</f>
        <v/>
      </c>
      <c r="H329" s="236" t="str">
        <f>IFERROR(_xlfn.XLOOKUP($A329,'Raw_Data'!$B:$B,'Raw_Data'!IZ:IZ),"")</f>
        <v/>
      </c>
      <c r="I329" s="236" t="str">
        <f>IFERROR(_xlfn.XLOOKUP($A329,'Raw_Data'!$B:$B,'Raw_Data'!JA:JA),"")</f>
        <v/>
      </c>
      <c r="J329" s="236" t="str">
        <f>IFERROR(_xlfn.XLOOKUP($A329,'Raw_Data'!$B:$B,'Raw_Data'!JB:JB),"")</f>
        <v/>
      </c>
      <c r="K329" s="236" t="str">
        <f>IFERROR(_xlfn.XLOOKUP($A329,'Raw_Data'!$B:$B,'Raw_Data'!JE:JE),"")</f>
        <v/>
      </c>
      <c r="L329" s="236" t="str">
        <f>IFERROR(_xlfn.XLOOKUP($A329,'Raw_Data'!$B:$B,'Raw_Data'!JF:JF),"")</f>
        <v/>
      </c>
      <c r="M329" s="236" t="str">
        <f>IFERROR(_xlfn.XLOOKUP($A329,'Raw_Data'!$B:$B,'Raw_Data'!JG:JG),"")</f>
        <v/>
      </c>
      <c r="N329" s="236" t="str">
        <f>IFERROR(_xlfn.XLOOKUP($A329,'Raw_Data'!$B:$B,'Raw_Data'!JH:JH),"")</f>
        <v/>
      </c>
      <c r="O329" s="237" t="str">
        <f>IFERROR(1-SUMIF(PA!$B:$B,$A329,PA!$AL:$AL)/($AA329+SUMIF(PA!$B:$B,$A329,PA!$AL:$AL)),"")</f>
        <v/>
      </c>
      <c r="P329" s="238"/>
      <c r="Q329" s="239"/>
      <c r="R329" s="240" t="str">
        <f>IFERROR(1-SUMIF(GA!$C:$C,$A329,GA!$X:$X)/($AA329+SUMIF(GA!$C:$C,$A329,GA!$X:$X)),"")</f>
        <v/>
      </c>
      <c r="S329" s="186"/>
      <c r="T329" s="239"/>
      <c r="U329" s="237" t="str">
        <f t="shared" si="22"/>
        <v/>
      </c>
      <c r="V329" s="237" t="str">
        <f>IFERROR(_xlfn.XLOOKUP($A329,'Raw_Data'!$B:$B,'Raw_Data'!$JL:$JL),"")</f>
        <v/>
      </c>
      <c r="W329" s="240" t="str">
        <f t="shared" si="23"/>
        <v/>
      </c>
      <c r="X329" s="228" t="str">
        <f>IFERROR(_xlfn.XLOOKUP($A329,'Raw_Data'!$B:$B,'Raw_Data'!$JI:$JI),"")</f>
        <v/>
      </c>
      <c r="Y329" s="228" t="str">
        <f>IFERROR(_xlfn.XLOOKUP($A329,'Raw_Data'!$B:$B,'Raw_Data'!IT:IT),"")</f>
        <v/>
      </c>
      <c r="Z329" s="228" t="str">
        <f>IFERROR(_xlfn.XLOOKUP($A329,'Raw_Data'!$B:$B,'Raw_Data'!IU:IU),"")</f>
        <v/>
      </c>
      <c r="AA329" s="228" t="str">
        <f>IFERROR(_xlfn.XLOOKUP($A329,'Raw_Data'!$B:$B,'Raw_Data'!IW:IW),"")</f>
        <v/>
      </c>
      <c r="AB329" s="228" t="str">
        <f>IFERROR(_xlfn.XLOOKUP($A329,'Raw_Data'!$B:$B,'Raw_Data'!I:I)/1000,"")</f>
        <v/>
      </c>
      <c r="AC329" s="241">
        <f>IFERROR(_xlfn.XLOOKUP($D329,'Modelling New'!$D:$D,'Modelling New'!$P:$P),"")</f>
        <v>6.1628257821428587</v>
      </c>
      <c r="AD329" s="228">
        <f>IFERROR(_xlfn.XLOOKUP($D329,'Modelling New'!$D:$D,'Modelling New'!$T:$T)*1000,"")</f>
        <v>1744321.2783057354</v>
      </c>
      <c r="AE329" s="240">
        <f>IFERROR(_xlfn.XLOOKUP($D329,'Modelling New'!$D:$D,'Modelling New'!$O:$O),"")</f>
        <v>0.84466368797833169</v>
      </c>
      <c r="AF329" s="240">
        <f>IFERROR(_xlfn.XLOOKUP($D329,'Modelling New'!$D:$D,'Modelling New'!$W:$W),"")</f>
        <v>0.21689646472969723</v>
      </c>
      <c r="AG329" s="240">
        <f>IFERROR(_xlfn.XLOOKUP($D329,'Modelling New'!$D:$D,'Modelling New'!AE:AE),"")</f>
        <v>0.99750000000000005</v>
      </c>
      <c r="AH329" s="240">
        <f>IFERROR(_xlfn.XLOOKUP($D329,'Modelling New'!$D:$D,'Modelling New'!AF:AF),"")</f>
        <v>0.99750000000000005</v>
      </c>
      <c r="AI329" s="186"/>
      <c r="AJ329" s="186"/>
      <c r="AK329" s="225"/>
      <c r="AL329" s="224">
        <f>IFERROR(Table13[[#This Row],[RA (%)]]*9270*58,"")</f>
        <v>0</v>
      </c>
      <c r="AM329" s="225"/>
      <c r="AN329" s="238"/>
      <c r="AO329" s="240"/>
      <c r="AP329" s="240"/>
      <c r="AQ329" s="240"/>
      <c r="AR329" s="242">
        <f>IFERROR(_xlfn.XLOOKUP($D329,'Modelling New'!$D:$D,'Modelling New'!$N:$N),"")</f>
        <v>335.09100000000001</v>
      </c>
    </row>
    <row r="330" spans="1:44">
      <c r="A330" s="233">
        <f t="shared" si="24"/>
        <v>46073</v>
      </c>
      <c r="B330" s="228">
        <f>YEAR(Table13[[#This Row],[Date]])+IF(MONTH(Table13[[#This Row],[Date]])&gt;=4,1,0)</f>
        <v>2026</v>
      </c>
      <c r="C330" s="186">
        <f>YEAR(Table13[[#This Row],[Date]])</f>
        <v>2026</v>
      </c>
      <c r="D330" s="234">
        <f>Table13[[#This Row],[Date]]-DAY(Table13[[#This Row],[Date]])+1</f>
        <v>46054</v>
      </c>
      <c r="E330" s="186">
        <f t="shared" si="25"/>
        <v>28</v>
      </c>
      <c r="F330" s="235" t="str">
        <f>IFERROR(_xlfn.XLOOKUP($A330,'Raw_Data'!$B:$B,'Raw_Data'!$IX:$IX),"")</f>
        <v/>
      </c>
      <c r="G330" s="236" t="str">
        <f>IFERROR(_xlfn.XLOOKUP($A330,'Raw_Data'!$B:$B,'Raw_Data'!IY:IY),"")</f>
        <v/>
      </c>
      <c r="H330" s="236" t="str">
        <f>IFERROR(_xlfn.XLOOKUP($A330,'Raw_Data'!$B:$B,'Raw_Data'!IZ:IZ),"")</f>
        <v/>
      </c>
      <c r="I330" s="236" t="str">
        <f>IFERROR(_xlfn.XLOOKUP($A330,'Raw_Data'!$B:$B,'Raw_Data'!JA:JA),"")</f>
        <v/>
      </c>
      <c r="J330" s="236" t="str">
        <f>IFERROR(_xlfn.XLOOKUP($A330,'Raw_Data'!$B:$B,'Raw_Data'!JB:JB),"")</f>
        <v/>
      </c>
      <c r="K330" s="236" t="str">
        <f>IFERROR(_xlfn.XLOOKUP($A330,'Raw_Data'!$B:$B,'Raw_Data'!JE:JE),"")</f>
        <v/>
      </c>
      <c r="L330" s="236" t="str">
        <f>IFERROR(_xlfn.XLOOKUP($A330,'Raw_Data'!$B:$B,'Raw_Data'!JF:JF),"")</f>
        <v/>
      </c>
      <c r="M330" s="236" t="str">
        <f>IFERROR(_xlfn.XLOOKUP($A330,'Raw_Data'!$B:$B,'Raw_Data'!JG:JG),"")</f>
        <v/>
      </c>
      <c r="N330" s="236" t="str">
        <f>IFERROR(_xlfn.XLOOKUP($A330,'Raw_Data'!$B:$B,'Raw_Data'!JH:JH),"")</f>
        <v/>
      </c>
      <c r="O330" s="237" t="str">
        <f>IFERROR(1-SUMIF(PA!$B:$B,$A330,PA!$AL:$AL)/($AA330+SUMIF(PA!$B:$B,$A330,PA!$AL:$AL)),"")</f>
        <v/>
      </c>
      <c r="P330" s="238"/>
      <c r="Q330" s="239"/>
      <c r="R330" s="240" t="str">
        <f>IFERROR(1-SUMIF(GA!$C:$C,$A330,GA!$X:$X)/($AA330+SUMIF(GA!$C:$C,$A330,GA!$X:$X)),"")</f>
        <v/>
      </c>
      <c r="S330" s="186"/>
      <c r="T330" s="239"/>
      <c r="U330" s="237" t="str">
        <f t="shared" si="22"/>
        <v/>
      </c>
      <c r="V330" s="237" t="str">
        <f>IFERROR(_xlfn.XLOOKUP($A330,'Raw_Data'!$B:$B,'Raw_Data'!$JL:$JL),"")</f>
        <v/>
      </c>
      <c r="W330" s="240" t="str">
        <f t="shared" si="23"/>
        <v/>
      </c>
      <c r="X330" s="228" t="str">
        <f>IFERROR(_xlfn.XLOOKUP($A330,'Raw_Data'!$B:$B,'Raw_Data'!$JI:$JI),"")</f>
        <v/>
      </c>
      <c r="Y330" s="228" t="str">
        <f>IFERROR(_xlfn.XLOOKUP($A330,'Raw_Data'!$B:$B,'Raw_Data'!IT:IT),"")</f>
        <v/>
      </c>
      <c r="Z330" s="228" t="str">
        <f>IFERROR(_xlfn.XLOOKUP($A330,'Raw_Data'!$B:$B,'Raw_Data'!IU:IU),"")</f>
        <v/>
      </c>
      <c r="AA330" s="228" t="str">
        <f>IFERROR(_xlfn.XLOOKUP($A330,'Raw_Data'!$B:$B,'Raw_Data'!IW:IW),"")</f>
        <v/>
      </c>
      <c r="AB330" s="228" t="str">
        <f>IFERROR(_xlfn.XLOOKUP($A330,'Raw_Data'!$B:$B,'Raw_Data'!I:I)/1000,"")</f>
        <v/>
      </c>
      <c r="AC330" s="241">
        <f>IFERROR(_xlfn.XLOOKUP($D330,'Modelling New'!$D:$D,'Modelling New'!$P:$P),"")</f>
        <v>6.1628257821428587</v>
      </c>
      <c r="AD330" s="228">
        <f>IFERROR(_xlfn.XLOOKUP($D330,'Modelling New'!$D:$D,'Modelling New'!$T:$T)*1000,"")</f>
        <v>1744321.2783057354</v>
      </c>
      <c r="AE330" s="240">
        <f>IFERROR(_xlfn.XLOOKUP($D330,'Modelling New'!$D:$D,'Modelling New'!$O:$O),"")</f>
        <v>0.84466368797833169</v>
      </c>
      <c r="AF330" s="240">
        <f>IFERROR(_xlfn.XLOOKUP($D330,'Modelling New'!$D:$D,'Modelling New'!$W:$W),"")</f>
        <v>0.21689646472969723</v>
      </c>
      <c r="AG330" s="240">
        <f>IFERROR(_xlfn.XLOOKUP($D330,'Modelling New'!$D:$D,'Modelling New'!AE:AE),"")</f>
        <v>0.99750000000000005</v>
      </c>
      <c r="AH330" s="240">
        <f>IFERROR(_xlfn.XLOOKUP($D330,'Modelling New'!$D:$D,'Modelling New'!AF:AF),"")</f>
        <v>0.99750000000000005</v>
      </c>
      <c r="AI330" s="186"/>
      <c r="AJ330" s="186"/>
      <c r="AK330" s="225"/>
      <c r="AL330" s="224">
        <f>IFERROR(Table13[[#This Row],[RA (%)]]*9270*58,"")</f>
        <v>0</v>
      </c>
      <c r="AM330" s="225"/>
      <c r="AN330" s="238"/>
      <c r="AO330" s="240"/>
      <c r="AP330" s="240"/>
      <c r="AQ330" s="240"/>
      <c r="AR330" s="242">
        <f>IFERROR(_xlfn.XLOOKUP($D330,'Modelling New'!$D:$D,'Modelling New'!$N:$N),"")</f>
        <v>335.09100000000001</v>
      </c>
    </row>
    <row r="331" spans="1:44">
      <c r="A331" s="233">
        <f t="shared" si="24"/>
        <v>46074</v>
      </c>
      <c r="B331" s="228">
        <f>YEAR(Table13[[#This Row],[Date]])+IF(MONTH(Table13[[#This Row],[Date]])&gt;=4,1,0)</f>
        <v>2026</v>
      </c>
      <c r="C331" s="186">
        <f>YEAR(Table13[[#This Row],[Date]])</f>
        <v>2026</v>
      </c>
      <c r="D331" s="234">
        <f>Table13[[#This Row],[Date]]-DAY(Table13[[#This Row],[Date]])+1</f>
        <v>46054</v>
      </c>
      <c r="E331" s="186">
        <f t="shared" si="25"/>
        <v>28</v>
      </c>
      <c r="F331" s="235" t="str">
        <f>IFERROR(_xlfn.XLOOKUP($A331,'Raw_Data'!$B:$B,'Raw_Data'!$IX:$IX),"")</f>
        <v/>
      </c>
      <c r="G331" s="236" t="str">
        <f>IFERROR(_xlfn.XLOOKUP($A331,'Raw_Data'!$B:$B,'Raw_Data'!IY:IY),"")</f>
        <v/>
      </c>
      <c r="H331" s="236" t="str">
        <f>IFERROR(_xlfn.XLOOKUP($A331,'Raw_Data'!$B:$B,'Raw_Data'!IZ:IZ),"")</f>
        <v/>
      </c>
      <c r="I331" s="236" t="str">
        <f>IFERROR(_xlfn.XLOOKUP($A331,'Raw_Data'!$B:$B,'Raw_Data'!JA:JA),"")</f>
        <v/>
      </c>
      <c r="J331" s="236" t="str">
        <f>IFERROR(_xlfn.XLOOKUP($A331,'Raw_Data'!$B:$B,'Raw_Data'!JB:JB),"")</f>
        <v/>
      </c>
      <c r="K331" s="236" t="str">
        <f>IFERROR(_xlfn.XLOOKUP($A331,'Raw_Data'!$B:$B,'Raw_Data'!JE:JE),"")</f>
        <v/>
      </c>
      <c r="L331" s="236" t="str">
        <f>IFERROR(_xlfn.XLOOKUP($A331,'Raw_Data'!$B:$B,'Raw_Data'!JF:JF),"")</f>
        <v/>
      </c>
      <c r="M331" s="236" t="str">
        <f>IFERROR(_xlfn.XLOOKUP($A331,'Raw_Data'!$B:$B,'Raw_Data'!JG:JG),"")</f>
        <v/>
      </c>
      <c r="N331" s="236" t="str">
        <f>IFERROR(_xlfn.XLOOKUP($A331,'Raw_Data'!$B:$B,'Raw_Data'!JH:JH),"")</f>
        <v/>
      </c>
      <c r="O331" s="237" t="str">
        <f>IFERROR(1-SUMIF(PA!$B:$B,$A331,PA!$AL:$AL)/($AA331+SUMIF(PA!$B:$B,$A331,PA!$AL:$AL)),"")</f>
        <v/>
      </c>
      <c r="P331" s="238"/>
      <c r="Q331" s="239"/>
      <c r="R331" s="240" t="str">
        <f>IFERROR(1-SUMIF(GA!$C:$C,$A331,GA!$X:$X)/($AA331+SUMIF(GA!$C:$C,$A331,GA!$X:$X)),"")</f>
        <v/>
      </c>
      <c r="S331" s="186"/>
      <c r="T331" s="239"/>
      <c r="U331" s="237" t="str">
        <f t="shared" si="22"/>
        <v/>
      </c>
      <c r="V331" s="237" t="str">
        <f>IFERROR(_xlfn.XLOOKUP($A331,'Raw_Data'!$B:$B,'Raw_Data'!$JL:$JL),"")</f>
        <v/>
      </c>
      <c r="W331" s="240" t="str">
        <f t="shared" si="23"/>
        <v/>
      </c>
      <c r="X331" s="228" t="str">
        <f>IFERROR(_xlfn.XLOOKUP($A331,'Raw_Data'!$B:$B,'Raw_Data'!$JI:$JI),"")</f>
        <v/>
      </c>
      <c r="Y331" s="228" t="str">
        <f>IFERROR(_xlfn.XLOOKUP($A331,'Raw_Data'!$B:$B,'Raw_Data'!IT:IT),"")</f>
        <v/>
      </c>
      <c r="Z331" s="228" t="str">
        <f>IFERROR(_xlfn.XLOOKUP($A331,'Raw_Data'!$B:$B,'Raw_Data'!IU:IU),"")</f>
        <v/>
      </c>
      <c r="AA331" s="228" t="str">
        <f>IFERROR(_xlfn.XLOOKUP($A331,'Raw_Data'!$B:$B,'Raw_Data'!IW:IW),"")</f>
        <v/>
      </c>
      <c r="AB331" s="228" t="str">
        <f>IFERROR(_xlfn.XLOOKUP($A331,'Raw_Data'!$B:$B,'Raw_Data'!I:I)/1000,"")</f>
        <v/>
      </c>
      <c r="AC331" s="241">
        <f>IFERROR(_xlfn.XLOOKUP($D331,'Modelling New'!$D:$D,'Modelling New'!$P:$P),"")</f>
        <v>6.1628257821428587</v>
      </c>
      <c r="AD331" s="228">
        <f>IFERROR(_xlfn.XLOOKUP($D331,'Modelling New'!$D:$D,'Modelling New'!$T:$T)*1000,"")</f>
        <v>1744321.2783057354</v>
      </c>
      <c r="AE331" s="240">
        <f>IFERROR(_xlfn.XLOOKUP($D331,'Modelling New'!$D:$D,'Modelling New'!$O:$O),"")</f>
        <v>0.84466368797833169</v>
      </c>
      <c r="AF331" s="240">
        <f>IFERROR(_xlfn.XLOOKUP($D331,'Modelling New'!$D:$D,'Modelling New'!$W:$W),"")</f>
        <v>0.21689646472969723</v>
      </c>
      <c r="AG331" s="240">
        <f>IFERROR(_xlfn.XLOOKUP($D331,'Modelling New'!$D:$D,'Modelling New'!AE:AE),"")</f>
        <v>0.99750000000000005</v>
      </c>
      <c r="AH331" s="240">
        <f>IFERROR(_xlfn.XLOOKUP($D331,'Modelling New'!$D:$D,'Modelling New'!AF:AF),"")</f>
        <v>0.99750000000000005</v>
      </c>
      <c r="AI331" s="186"/>
      <c r="AJ331" s="186"/>
      <c r="AK331" s="225"/>
      <c r="AL331" s="224">
        <f>IFERROR(Table13[[#This Row],[RA (%)]]*9270*58,"")</f>
        <v>0</v>
      </c>
      <c r="AM331" s="225"/>
      <c r="AN331" s="238"/>
      <c r="AO331" s="240"/>
      <c r="AP331" s="240"/>
      <c r="AQ331" s="240"/>
      <c r="AR331" s="242">
        <f>IFERROR(_xlfn.XLOOKUP($D331,'Modelling New'!$D:$D,'Modelling New'!$N:$N),"")</f>
        <v>335.09100000000001</v>
      </c>
    </row>
    <row r="332" spans="1:44">
      <c r="A332" s="233">
        <f t="shared" si="24"/>
        <v>46075</v>
      </c>
      <c r="B332" s="228">
        <f>YEAR(Table13[[#This Row],[Date]])+IF(MONTH(Table13[[#This Row],[Date]])&gt;=4,1,0)</f>
        <v>2026</v>
      </c>
      <c r="C332" s="186">
        <f>YEAR(Table13[[#This Row],[Date]])</f>
        <v>2026</v>
      </c>
      <c r="D332" s="234">
        <f>Table13[[#This Row],[Date]]-DAY(Table13[[#This Row],[Date]])+1</f>
        <v>46054</v>
      </c>
      <c r="E332" s="186">
        <f t="shared" si="25"/>
        <v>28</v>
      </c>
      <c r="F332" s="235" t="str">
        <f>IFERROR(_xlfn.XLOOKUP($A332,'Raw_Data'!$B:$B,'Raw_Data'!$IX:$IX),"")</f>
        <v/>
      </c>
      <c r="G332" s="236" t="str">
        <f>IFERROR(_xlfn.XLOOKUP($A332,'Raw_Data'!$B:$B,'Raw_Data'!IY:IY),"")</f>
        <v/>
      </c>
      <c r="H332" s="236" t="str">
        <f>IFERROR(_xlfn.XLOOKUP($A332,'Raw_Data'!$B:$B,'Raw_Data'!IZ:IZ),"")</f>
        <v/>
      </c>
      <c r="I332" s="236" t="str">
        <f>IFERROR(_xlfn.XLOOKUP($A332,'Raw_Data'!$B:$B,'Raw_Data'!JA:JA),"")</f>
        <v/>
      </c>
      <c r="J332" s="236" t="str">
        <f>IFERROR(_xlfn.XLOOKUP($A332,'Raw_Data'!$B:$B,'Raw_Data'!JB:JB),"")</f>
        <v/>
      </c>
      <c r="K332" s="236" t="str">
        <f>IFERROR(_xlfn.XLOOKUP($A332,'Raw_Data'!$B:$B,'Raw_Data'!JE:JE),"")</f>
        <v/>
      </c>
      <c r="L332" s="236" t="str">
        <f>IFERROR(_xlfn.XLOOKUP($A332,'Raw_Data'!$B:$B,'Raw_Data'!JF:JF),"")</f>
        <v/>
      </c>
      <c r="M332" s="236" t="str">
        <f>IFERROR(_xlfn.XLOOKUP($A332,'Raw_Data'!$B:$B,'Raw_Data'!JG:JG),"")</f>
        <v/>
      </c>
      <c r="N332" s="236" t="str">
        <f>IFERROR(_xlfn.XLOOKUP($A332,'Raw_Data'!$B:$B,'Raw_Data'!JH:JH),"")</f>
        <v/>
      </c>
      <c r="O332" s="237" t="str">
        <f>IFERROR(1-SUMIF(PA!$B:$B,$A332,PA!$AL:$AL)/($AA332+SUMIF(PA!$B:$B,$A332,PA!$AL:$AL)),"")</f>
        <v/>
      </c>
      <c r="P332" s="238"/>
      <c r="Q332" s="239"/>
      <c r="R332" s="240" t="str">
        <f>IFERROR(1-SUMIF(GA!$C:$C,$A332,GA!$X:$X)/($AA332+SUMIF(GA!$C:$C,$A332,GA!$X:$X)),"")</f>
        <v/>
      </c>
      <c r="S332" s="186"/>
      <c r="T332" s="239"/>
      <c r="U332" s="237" t="str">
        <f t="shared" si="22"/>
        <v/>
      </c>
      <c r="V332" s="237" t="str">
        <f>IFERROR(_xlfn.XLOOKUP($A332,'Raw_Data'!$B:$B,'Raw_Data'!$JL:$JL),"")</f>
        <v/>
      </c>
      <c r="W332" s="240" t="str">
        <f t="shared" si="23"/>
        <v/>
      </c>
      <c r="X332" s="228" t="str">
        <f>IFERROR(_xlfn.XLOOKUP($A332,'Raw_Data'!$B:$B,'Raw_Data'!$JI:$JI),"")</f>
        <v/>
      </c>
      <c r="Y332" s="228" t="str">
        <f>IFERROR(_xlfn.XLOOKUP($A332,'Raw_Data'!$B:$B,'Raw_Data'!IT:IT),"")</f>
        <v/>
      </c>
      <c r="Z332" s="228" t="str">
        <f>IFERROR(_xlfn.XLOOKUP($A332,'Raw_Data'!$B:$B,'Raw_Data'!IU:IU),"")</f>
        <v/>
      </c>
      <c r="AA332" s="228" t="str">
        <f>IFERROR(_xlfn.XLOOKUP($A332,'Raw_Data'!$B:$B,'Raw_Data'!IW:IW),"")</f>
        <v/>
      </c>
      <c r="AB332" s="228" t="str">
        <f>IFERROR(_xlfn.XLOOKUP($A332,'Raw_Data'!$B:$B,'Raw_Data'!I:I)/1000,"")</f>
        <v/>
      </c>
      <c r="AC332" s="241">
        <f>IFERROR(_xlfn.XLOOKUP($D332,'Modelling New'!$D:$D,'Modelling New'!$P:$P),"")</f>
        <v>6.1628257821428587</v>
      </c>
      <c r="AD332" s="228">
        <f>IFERROR(_xlfn.XLOOKUP($D332,'Modelling New'!$D:$D,'Modelling New'!$T:$T)*1000,"")</f>
        <v>1744321.2783057354</v>
      </c>
      <c r="AE332" s="240">
        <f>IFERROR(_xlfn.XLOOKUP($D332,'Modelling New'!$D:$D,'Modelling New'!$O:$O),"")</f>
        <v>0.84466368797833169</v>
      </c>
      <c r="AF332" s="240">
        <f>IFERROR(_xlfn.XLOOKUP($D332,'Modelling New'!$D:$D,'Modelling New'!$W:$W),"")</f>
        <v>0.21689646472969723</v>
      </c>
      <c r="AG332" s="240">
        <f>IFERROR(_xlfn.XLOOKUP($D332,'Modelling New'!$D:$D,'Modelling New'!AE:AE),"")</f>
        <v>0.99750000000000005</v>
      </c>
      <c r="AH332" s="240">
        <f>IFERROR(_xlfn.XLOOKUP($D332,'Modelling New'!$D:$D,'Modelling New'!AF:AF),"")</f>
        <v>0.99750000000000005</v>
      </c>
      <c r="AI332" s="186"/>
      <c r="AJ332" s="186"/>
      <c r="AK332" s="225"/>
      <c r="AL332" s="224">
        <f>IFERROR(Table13[[#This Row],[RA (%)]]*9270*58,"")</f>
        <v>0</v>
      </c>
      <c r="AM332" s="225"/>
      <c r="AN332" s="238"/>
      <c r="AO332" s="240"/>
      <c r="AP332" s="240"/>
      <c r="AQ332" s="240"/>
      <c r="AR332" s="242">
        <f>IFERROR(_xlfn.XLOOKUP($D332,'Modelling New'!$D:$D,'Modelling New'!$N:$N),"")</f>
        <v>335.09100000000001</v>
      </c>
    </row>
    <row r="333" spans="1:44">
      <c r="A333" s="233">
        <f t="shared" si="24"/>
        <v>46076</v>
      </c>
      <c r="B333" s="228">
        <f>YEAR(Table13[[#This Row],[Date]])+IF(MONTH(Table13[[#This Row],[Date]])&gt;=4,1,0)</f>
        <v>2026</v>
      </c>
      <c r="C333" s="186">
        <f>YEAR(Table13[[#This Row],[Date]])</f>
        <v>2026</v>
      </c>
      <c r="D333" s="234">
        <f>Table13[[#This Row],[Date]]-DAY(Table13[[#This Row],[Date]])+1</f>
        <v>46054</v>
      </c>
      <c r="E333" s="186">
        <f t="shared" si="25"/>
        <v>28</v>
      </c>
      <c r="F333" s="235" t="str">
        <f>IFERROR(_xlfn.XLOOKUP($A333,'Raw_Data'!$B:$B,'Raw_Data'!$IX:$IX),"")</f>
        <v/>
      </c>
      <c r="G333" s="236" t="str">
        <f>IFERROR(_xlfn.XLOOKUP($A333,'Raw_Data'!$B:$B,'Raw_Data'!IY:IY),"")</f>
        <v/>
      </c>
      <c r="H333" s="236" t="str">
        <f>IFERROR(_xlfn.XLOOKUP($A333,'Raw_Data'!$B:$B,'Raw_Data'!IZ:IZ),"")</f>
        <v/>
      </c>
      <c r="I333" s="236" t="str">
        <f>IFERROR(_xlfn.XLOOKUP($A333,'Raw_Data'!$B:$B,'Raw_Data'!JA:JA),"")</f>
        <v/>
      </c>
      <c r="J333" s="236" t="str">
        <f>IFERROR(_xlfn.XLOOKUP($A333,'Raw_Data'!$B:$B,'Raw_Data'!JB:JB),"")</f>
        <v/>
      </c>
      <c r="K333" s="236" t="str">
        <f>IFERROR(_xlfn.XLOOKUP($A333,'Raw_Data'!$B:$B,'Raw_Data'!JE:JE),"")</f>
        <v/>
      </c>
      <c r="L333" s="236" t="str">
        <f>IFERROR(_xlfn.XLOOKUP($A333,'Raw_Data'!$B:$B,'Raw_Data'!JF:JF),"")</f>
        <v/>
      </c>
      <c r="M333" s="236" t="str">
        <f>IFERROR(_xlfn.XLOOKUP($A333,'Raw_Data'!$B:$B,'Raw_Data'!JG:JG),"")</f>
        <v/>
      </c>
      <c r="N333" s="236" t="str">
        <f>IFERROR(_xlfn.XLOOKUP($A333,'Raw_Data'!$B:$B,'Raw_Data'!JH:JH),"")</f>
        <v/>
      </c>
      <c r="O333" s="237" t="str">
        <f>IFERROR(1-SUMIF(PA!$B:$B,$A333,PA!$AL:$AL)/($AA333+SUMIF(PA!$B:$B,$A333,PA!$AL:$AL)),"")</f>
        <v/>
      </c>
      <c r="P333" s="238"/>
      <c r="Q333" s="239"/>
      <c r="R333" s="240" t="str">
        <f>IFERROR(1-SUMIF(GA!$C:$C,$A333,GA!$X:$X)/($AA333+SUMIF(GA!$C:$C,$A333,GA!$X:$X)),"")</f>
        <v/>
      </c>
      <c r="S333" s="186"/>
      <c r="T333" s="239"/>
      <c r="U333" s="237" t="str">
        <f t="shared" si="22"/>
        <v/>
      </c>
      <c r="V333" s="237" t="str">
        <f>IFERROR(_xlfn.XLOOKUP($A333,'Raw_Data'!$B:$B,'Raw_Data'!$JL:$JL),"")</f>
        <v/>
      </c>
      <c r="W333" s="240" t="str">
        <f t="shared" si="23"/>
        <v/>
      </c>
      <c r="X333" s="228" t="str">
        <f>IFERROR(_xlfn.XLOOKUP($A333,'Raw_Data'!$B:$B,'Raw_Data'!$JI:$JI),"")</f>
        <v/>
      </c>
      <c r="Y333" s="228" t="str">
        <f>IFERROR(_xlfn.XLOOKUP($A333,'Raw_Data'!$B:$B,'Raw_Data'!IT:IT),"")</f>
        <v/>
      </c>
      <c r="Z333" s="228" t="str">
        <f>IFERROR(_xlfn.XLOOKUP($A333,'Raw_Data'!$B:$B,'Raw_Data'!IU:IU),"")</f>
        <v/>
      </c>
      <c r="AA333" s="228" t="str">
        <f>IFERROR(_xlfn.XLOOKUP($A333,'Raw_Data'!$B:$B,'Raw_Data'!IW:IW),"")</f>
        <v/>
      </c>
      <c r="AB333" s="228" t="str">
        <f>IFERROR(_xlfn.XLOOKUP($A333,'Raw_Data'!$B:$B,'Raw_Data'!I:I)/1000,"")</f>
        <v/>
      </c>
      <c r="AC333" s="241">
        <f>IFERROR(_xlfn.XLOOKUP($D333,'Modelling New'!$D:$D,'Modelling New'!$P:$P),"")</f>
        <v>6.1628257821428587</v>
      </c>
      <c r="AD333" s="228">
        <f>IFERROR(_xlfn.XLOOKUP($D333,'Modelling New'!$D:$D,'Modelling New'!$T:$T)*1000,"")</f>
        <v>1744321.2783057354</v>
      </c>
      <c r="AE333" s="240">
        <f>IFERROR(_xlfn.XLOOKUP($D333,'Modelling New'!$D:$D,'Modelling New'!$O:$O),"")</f>
        <v>0.84466368797833169</v>
      </c>
      <c r="AF333" s="240">
        <f>IFERROR(_xlfn.XLOOKUP($D333,'Modelling New'!$D:$D,'Modelling New'!$W:$W),"")</f>
        <v>0.21689646472969723</v>
      </c>
      <c r="AG333" s="240">
        <f>IFERROR(_xlfn.XLOOKUP($D333,'Modelling New'!$D:$D,'Modelling New'!AE:AE),"")</f>
        <v>0.99750000000000005</v>
      </c>
      <c r="AH333" s="240">
        <f>IFERROR(_xlfn.XLOOKUP($D333,'Modelling New'!$D:$D,'Modelling New'!AF:AF),"")</f>
        <v>0.99750000000000005</v>
      </c>
      <c r="AI333" s="186"/>
      <c r="AJ333" s="186"/>
      <c r="AK333" s="225"/>
      <c r="AL333" s="224">
        <f>IFERROR(Table13[[#This Row],[RA (%)]]*9270*58,"")</f>
        <v>0</v>
      </c>
      <c r="AM333" s="225"/>
      <c r="AN333" s="238"/>
      <c r="AO333" s="240"/>
      <c r="AP333" s="240"/>
      <c r="AQ333" s="240"/>
      <c r="AR333" s="242">
        <f>IFERROR(_xlfn.XLOOKUP($D333,'Modelling New'!$D:$D,'Modelling New'!$N:$N),"")</f>
        <v>335.09100000000001</v>
      </c>
    </row>
    <row r="334" spans="1:44">
      <c r="A334" s="233">
        <f t="shared" si="24"/>
        <v>46077</v>
      </c>
      <c r="B334" s="228">
        <f>YEAR(Table13[[#This Row],[Date]])+IF(MONTH(Table13[[#This Row],[Date]])&gt;=4,1,0)</f>
        <v>2026</v>
      </c>
      <c r="C334" s="186">
        <f>YEAR(Table13[[#This Row],[Date]])</f>
        <v>2026</v>
      </c>
      <c r="D334" s="234">
        <f>Table13[[#This Row],[Date]]-DAY(Table13[[#This Row],[Date]])+1</f>
        <v>46054</v>
      </c>
      <c r="E334" s="186">
        <f t="shared" si="25"/>
        <v>28</v>
      </c>
      <c r="F334" s="235" t="str">
        <f>IFERROR(_xlfn.XLOOKUP($A334,'Raw_Data'!$B:$B,'Raw_Data'!$IX:$IX),"")</f>
        <v/>
      </c>
      <c r="G334" s="236" t="str">
        <f>IFERROR(_xlfn.XLOOKUP($A334,'Raw_Data'!$B:$B,'Raw_Data'!IY:IY),"")</f>
        <v/>
      </c>
      <c r="H334" s="236" t="str">
        <f>IFERROR(_xlfn.XLOOKUP($A334,'Raw_Data'!$B:$B,'Raw_Data'!IZ:IZ),"")</f>
        <v/>
      </c>
      <c r="I334" s="236" t="str">
        <f>IFERROR(_xlfn.XLOOKUP($A334,'Raw_Data'!$B:$B,'Raw_Data'!JA:JA),"")</f>
        <v/>
      </c>
      <c r="J334" s="236" t="str">
        <f>IFERROR(_xlfn.XLOOKUP($A334,'Raw_Data'!$B:$B,'Raw_Data'!JB:JB),"")</f>
        <v/>
      </c>
      <c r="K334" s="236" t="str">
        <f>IFERROR(_xlfn.XLOOKUP($A334,'Raw_Data'!$B:$B,'Raw_Data'!JE:JE),"")</f>
        <v/>
      </c>
      <c r="L334" s="236" t="str">
        <f>IFERROR(_xlfn.XLOOKUP($A334,'Raw_Data'!$B:$B,'Raw_Data'!JF:JF),"")</f>
        <v/>
      </c>
      <c r="M334" s="236" t="str">
        <f>IFERROR(_xlfn.XLOOKUP($A334,'Raw_Data'!$B:$B,'Raw_Data'!JG:JG),"")</f>
        <v/>
      </c>
      <c r="N334" s="236" t="str">
        <f>IFERROR(_xlfn.XLOOKUP($A334,'Raw_Data'!$B:$B,'Raw_Data'!JH:JH),"")</f>
        <v/>
      </c>
      <c r="O334" s="237" t="str">
        <f>IFERROR(1-SUMIF(PA!$B:$B,$A334,PA!$AL:$AL)/($AA334+SUMIF(PA!$B:$B,$A334,PA!$AL:$AL)),"")</f>
        <v/>
      </c>
      <c r="P334" s="238"/>
      <c r="Q334" s="239"/>
      <c r="R334" s="240" t="str">
        <f>IFERROR(1-SUMIF(GA!$C:$C,$A334,GA!$X:$X)/($AA334+SUMIF(GA!$C:$C,$A334,GA!$X:$X)),"")</f>
        <v/>
      </c>
      <c r="S334" s="186"/>
      <c r="T334" s="239"/>
      <c r="U334" s="237" t="str">
        <f t="shared" si="22"/>
        <v/>
      </c>
      <c r="V334" s="237" t="str">
        <f>IFERROR(_xlfn.XLOOKUP($A334,'Raw_Data'!$B:$B,'Raw_Data'!$JL:$JL),"")</f>
        <v/>
      </c>
      <c r="W334" s="240" t="str">
        <f t="shared" si="23"/>
        <v/>
      </c>
      <c r="X334" s="228" t="str">
        <f>IFERROR(_xlfn.XLOOKUP($A334,'Raw_Data'!$B:$B,'Raw_Data'!$JI:$JI),"")</f>
        <v/>
      </c>
      <c r="Y334" s="228" t="str">
        <f>IFERROR(_xlfn.XLOOKUP($A334,'Raw_Data'!$B:$B,'Raw_Data'!IT:IT),"")</f>
        <v/>
      </c>
      <c r="Z334" s="228" t="str">
        <f>IFERROR(_xlfn.XLOOKUP($A334,'Raw_Data'!$B:$B,'Raw_Data'!IU:IU),"")</f>
        <v/>
      </c>
      <c r="AA334" s="228" t="str">
        <f>IFERROR(_xlfn.XLOOKUP($A334,'Raw_Data'!$B:$B,'Raw_Data'!IW:IW),"")</f>
        <v/>
      </c>
      <c r="AB334" s="228" t="str">
        <f>IFERROR(_xlfn.XLOOKUP($A334,'Raw_Data'!$B:$B,'Raw_Data'!I:I)/1000,"")</f>
        <v/>
      </c>
      <c r="AC334" s="241">
        <f>IFERROR(_xlfn.XLOOKUP($D334,'Modelling New'!$D:$D,'Modelling New'!$P:$P),"")</f>
        <v>6.1628257821428587</v>
      </c>
      <c r="AD334" s="228">
        <f>IFERROR(_xlfn.XLOOKUP($D334,'Modelling New'!$D:$D,'Modelling New'!$T:$T)*1000,"")</f>
        <v>1744321.2783057354</v>
      </c>
      <c r="AE334" s="240">
        <f>IFERROR(_xlfn.XLOOKUP($D334,'Modelling New'!$D:$D,'Modelling New'!$O:$O),"")</f>
        <v>0.84466368797833169</v>
      </c>
      <c r="AF334" s="240">
        <f>IFERROR(_xlfn.XLOOKUP($D334,'Modelling New'!$D:$D,'Modelling New'!$W:$W),"")</f>
        <v>0.21689646472969723</v>
      </c>
      <c r="AG334" s="240">
        <f>IFERROR(_xlfn.XLOOKUP($D334,'Modelling New'!$D:$D,'Modelling New'!AE:AE),"")</f>
        <v>0.99750000000000005</v>
      </c>
      <c r="AH334" s="240">
        <f>IFERROR(_xlfn.XLOOKUP($D334,'Modelling New'!$D:$D,'Modelling New'!AF:AF),"")</f>
        <v>0.99750000000000005</v>
      </c>
      <c r="AI334" s="186"/>
      <c r="AJ334" s="186"/>
      <c r="AK334" s="225"/>
      <c r="AL334" s="224">
        <f>IFERROR(Table13[[#This Row],[RA (%)]]*9270*58,"")</f>
        <v>0</v>
      </c>
      <c r="AM334" s="225"/>
      <c r="AN334" s="238"/>
      <c r="AO334" s="240"/>
      <c r="AP334" s="240"/>
      <c r="AQ334" s="240"/>
      <c r="AR334" s="242">
        <f>IFERROR(_xlfn.XLOOKUP($D334,'Modelling New'!$D:$D,'Modelling New'!$N:$N),"")</f>
        <v>335.09100000000001</v>
      </c>
    </row>
    <row r="335" spans="1:44">
      <c r="A335" s="233">
        <f t="shared" si="24"/>
        <v>46078</v>
      </c>
      <c r="B335" s="228">
        <f>YEAR(Table13[[#This Row],[Date]])+IF(MONTH(Table13[[#This Row],[Date]])&gt;=4,1,0)</f>
        <v>2026</v>
      </c>
      <c r="C335" s="186">
        <f>YEAR(Table13[[#This Row],[Date]])</f>
        <v>2026</v>
      </c>
      <c r="D335" s="234">
        <f>Table13[[#This Row],[Date]]-DAY(Table13[[#This Row],[Date]])+1</f>
        <v>46054</v>
      </c>
      <c r="E335" s="186">
        <f t="shared" si="25"/>
        <v>28</v>
      </c>
      <c r="F335" s="235" t="str">
        <f>IFERROR(_xlfn.XLOOKUP($A335,'Raw_Data'!$B:$B,'Raw_Data'!$IX:$IX),"")</f>
        <v/>
      </c>
      <c r="G335" s="236" t="str">
        <f>IFERROR(_xlfn.XLOOKUP($A335,'Raw_Data'!$B:$B,'Raw_Data'!IY:IY),"")</f>
        <v/>
      </c>
      <c r="H335" s="236" t="str">
        <f>IFERROR(_xlfn.XLOOKUP($A335,'Raw_Data'!$B:$B,'Raw_Data'!IZ:IZ),"")</f>
        <v/>
      </c>
      <c r="I335" s="236" t="str">
        <f>IFERROR(_xlfn.XLOOKUP($A335,'Raw_Data'!$B:$B,'Raw_Data'!JA:JA),"")</f>
        <v/>
      </c>
      <c r="J335" s="236" t="str">
        <f>IFERROR(_xlfn.XLOOKUP($A335,'Raw_Data'!$B:$B,'Raw_Data'!JB:JB),"")</f>
        <v/>
      </c>
      <c r="K335" s="236" t="str">
        <f>IFERROR(_xlfn.XLOOKUP($A335,'Raw_Data'!$B:$B,'Raw_Data'!JE:JE),"")</f>
        <v/>
      </c>
      <c r="L335" s="236" t="str">
        <f>IFERROR(_xlfn.XLOOKUP($A335,'Raw_Data'!$B:$B,'Raw_Data'!JF:JF),"")</f>
        <v/>
      </c>
      <c r="M335" s="236" t="str">
        <f>IFERROR(_xlfn.XLOOKUP($A335,'Raw_Data'!$B:$B,'Raw_Data'!JG:JG),"")</f>
        <v/>
      </c>
      <c r="N335" s="236" t="str">
        <f>IFERROR(_xlfn.XLOOKUP($A335,'Raw_Data'!$B:$B,'Raw_Data'!JH:JH),"")</f>
        <v/>
      </c>
      <c r="O335" s="237" t="str">
        <f>IFERROR(1-SUMIF(PA!$B:$B,$A335,PA!$AL:$AL)/($AA335+SUMIF(PA!$B:$B,$A335,PA!$AL:$AL)),"")</f>
        <v/>
      </c>
      <c r="P335" s="238"/>
      <c r="Q335" s="239"/>
      <c r="R335" s="240" t="str">
        <f>IFERROR(1-SUMIF(GA!$C:$C,$A335,GA!$X:$X)/($AA335+SUMIF(GA!$C:$C,$A335,GA!$X:$X)),"")</f>
        <v/>
      </c>
      <c r="S335" s="186"/>
      <c r="T335" s="239"/>
      <c r="U335" s="237" t="str">
        <f t="shared" si="22"/>
        <v/>
      </c>
      <c r="V335" s="237" t="str">
        <f>IFERROR(_xlfn.XLOOKUP($A335,'Raw_Data'!$B:$B,'Raw_Data'!$JL:$JL),"")</f>
        <v/>
      </c>
      <c r="W335" s="240" t="str">
        <f t="shared" si="23"/>
        <v/>
      </c>
      <c r="X335" s="228" t="str">
        <f>IFERROR(_xlfn.XLOOKUP($A335,'Raw_Data'!$B:$B,'Raw_Data'!$JI:$JI),"")</f>
        <v/>
      </c>
      <c r="Y335" s="228" t="str">
        <f>IFERROR(_xlfn.XLOOKUP($A335,'Raw_Data'!$B:$B,'Raw_Data'!IT:IT),"")</f>
        <v/>
      </c>
      <c r="Z335" s="228" t="str">
        <f>IFERROR(_xlfn.XLOOKUP($A335,'Raw_Data'!$B:$B,'Raw_Data'!IU:IU),"")</f>
        <v/>
      </c>
      <c r="AA335" s="228" t="str">
        <f>IFERROR(_xlfn.XLOOKUP($A335,'Raw_Data'!$B:$B,'Raw_Data'!IW:IW),"")</f>
        <v/>
      </c>
      <c r="AB335" s="228" t="str">
        <f>IFERROR(_xlfn.XLOOKUP($A335,'Raw_Data'!$B:$B,'Raw_Data'!I:I)/1000,"")</f>
        <v/>
      </c>
      <c r="AC335" s="241">
        <f>IFERROR(_xlfn.XLOOKUP($D335,'Modelling New'!$D:$D,'Modelling New'!$P:$P),"")</f>
        <v>6.1628257821428587</v>
      </c>
      <c r="AD335" s="228">
        <f>IFERROR(_xlfn.XLOOKUP($D335,'Modelling New'!$D:$D,'Modelling New'!$T:$T)*1000,"")</f>
        <v>1744321.2783057354</v>
      </c>
      <c r="AE335" s="240">
        <f>IFERROR(_xlfn.XLOOKUP($D335,'Modelling New'!$D:$D,'Modelling New'!$O:$O),"")</f>
        <v>0.84466368797833169</v>
      </c>
      <c r="AF335" s="240">
        <f>IFERROR(_xlfn.XLOOKUP($D335,'Modelling New'!$D:$D,'Modelling New'!$W:$W),"")</f>
        <v>0.21689646472969723</v>
      </c>
      <c r="AG335" s="240">
        <f>IFERROR(_xlfn.XLOOKUP($D335,'Modelling New'!$D:$D,'Modelling New'!AE:AE),"")</f>
        <v>0.99750000000000005</v>
      </c>
      <c r="AH335" s="240">
        <f>IFERROR(_xlfn.XLOOKUP($D335,'Modelling New'!$D:$D,'Modelling New'!AF:AF),"")</f>
        <v>0.99750000000000005</v>
      </c>
      <c r="AI335" s="186"/>
      <c r="AJ335" s="186"/>
      <c r="AK335" s="225"/>
      <c r="AL335" s="224">
        <f>IFERROR(Table13[[#This Row],[RA (%)]]*9270*58,"")</f>
        <v>0</v>
      </c>
      <c r="AM335" s="225"/>
      <c r="AN335" s="238"/>
      <c r="AO335" s="240"/>
      <c r="AP335" s="240"/>
      <c r="AQ335" s="240"/>
      <c r="AR335" s="242">
        <f>IFERROR(_xlfn.XLOOKUP($D335,'Modelling New'!$D:$D,'Modelling New'!$N:$N),"")</f>
        <v>335.09100000000001</v>
      </c>
    </row>
    <row r="336" spans="1:44">
      <c r="A336" s="233">
        <f t="shared" si="24"/>
        <v>46079</v>
      </c>
      <c r="B336" s="228">
        <f>YEAR(Table13[[#This Row],[Date]])+IF(MONTH(Table13[[#This Row],[Date]])&gt;=4,1,0)</f>
        <v>2026</v>
      </c>
      <c r="C336" s="186">
        <f>YEAR(Table13[[#This Row],[Date]])</f>
        <v>2026</v>
      </c>
      <c r="D336" s="234">
        <f>Table13[[#This Row],[Date]]-DAY(Table13[[#This Row],[Date]])+1</f>
        <v>46054</v>
      </c>
      <c r="E336" s="186">
        <f t="shared" si="25"/>
        <v>28</v>
      </c>
      <c r="F336" s="235" t="str">
        <f>IFERROR(_xlfn.XLOOKUP($A336,'Raw_Data'!$B:$B,'Raw_Data'!$IX:$IX),"")</f>
        <v/>
      </c>
      <c r="G336" s="236" t="str">
        <f>IFERROR(_xlfn.XLOOKUP($A336,'Raw_Data'!$B:$B,'Raw_Data'!IY:IY),"")</f>
        <v/>
      </c>
      <c r="H336" s="236" t="str">
        <f>IFERROR(_xlfn.XLOOKUP($A336,'Raw_Data'!$B:$B,'Raw_Data'!IZ:IZ),"")</f>
        <v/>
      </c>
      <c r="I336" s="236" t="str">
        <f>IFERROR(_xlfn.XLOOKUP($A336,'Raw_Data'!$B:$B,'Raw_Data'!JA:JA),"")</f>
        <v/>
      </c>
      <c r="J336" s="236" t="str">
        <f>IFERROR(_xlfn.XLOOKUP($A336,'Raw_Data'!$B:$B,'Raw_Data'!JB:JB),"")</f>
        <v/>
      </c>
      <c r="K336" s="236" t="str">
        <f>IFERROR(_xlfn.XLOOKUP($A336,'Raw_Data'!$B:$B,'Raw_Data'!JE:JE),"")</f>
        <v/>
      </c>
      <c r="L336" s="236" t="str">
        <f>IFERROR(_xlfn.XLOOKUP($A336,'Raw_Data'!$B:$B,'Raw_Data'!JF:JF),"")</f>
        <v/>
      </c>
      <c r="M336" s="236" t="str">
        <f>IFERROR(_xlfn.XLOOKUP($A336,'Raw_Data'!$B:$B,'Raw_Data'!JG:JG),"")</f>
        <v/>
      </c>
      <c r="N336" s="236" t="str">
        <f>IFERROR(_xlfn.XLOOKUP($A336,'Raw_Data'!$B:$B,'Raw_Data'!JH:JH),"")</f>
        <v/>
      </c>
      <c r="O336" s="237" t="str">
        <f>IFERROR(1-SUMIF(PA!$B:$B,$A336,PA!$AL:$AL)/($AA336+SUMIF(PA!$B:$B,$A336,PA!$AL:$AL)),"")</f>
        <v/>
      </c>
      <c r="P336" s="238"/>
      <c r="Q336" s="239"/>
      <c r="R336" s="240" t="str">
        <f>IFERROR(1-SUMIF(GA!$C:$C,$A336,GA!$X:$X)/($AA336+SUMIF(GA!$C:$C,$A336,GA!$X:$X)),"")</f>
        <v/>
      </c>
      <c r="S336" s="186"/>
      <c r="T336" s="239"/>
      <c r="U336" s="237" t="str">
        <f t="shared" si="22"/>
        <v/>
      </c>
      <c r="V336" s="237" t="str">
        <f>IFERROR(_xlfn.XLOOKUP($A336,'Raw_Data'!$B:$B,'Raw_Data'!$JL:$JL),"")</f>
        <v/>
      </c>
      <c r="W336" s="240" t="str">
        <f t="shared" si="23"/>
        <v/>
      </c>
      <c r="X336" s="228" t="str">
        <f>IFERROR(_xlfn.XLOOKUP($A336,'Raw_Data'!$B:$B,'Raw_Data'!$JI:$JI),"")</f>
        <v/>
      </c>
      <c r="Y336" s="228" t="str">
        <f>IFERROR(_xlfn.XLOOKUP($A336,'Raw_Data'!$B:$B,'Raw_Data'!IT:IT),"")</f>
        <v/>
      </c>
      <c r="Z336" s="228" t="str">
        <f>IFERROR(_xlfn.XLOOKUP($A336,'Raw_Data'!$B:$B,'Raw_Data'!IU:IU),"")</f>
        <v/>
      </c>
      <c r="AA336" s="228" t="str">
        <f>IFERROR(_xlfn.XLOOKUP($A336,'Raw_Data'!$B:$B,'Raw_Data'!IW:IW),"")</f>
        <v/>
      </c>
      <c r="AB336" s="228" t="str">
        <f>IFERROR(_xlfn.XLOOKUP($A336,'Raw_Data'!$B:$B,'Raw_Data'!I:I)/1000,"")</f>
        <v/>
      </c>
      <c r="AC336" s="241">
        <f>IFERROR(_xlfn.XLOOKUP($D336,'Modelling New'!$D:$D,'Modelling New'!$P:$P),"")</f>
        <v>6.1628257821428587</v>
      </c>
      <c r="AD336" s="228">
        <f>IFERROR(_xlfn.XLOOKUP($D336,'Modelling New'!$D:$D,'Modelling New'!$T:$T)*1000,"")</f>
        <v>1744321.2783057354</v>
      </c>
      <c r="AE336" s="240">
        <f>IFERROR(_xlfn.XLOOKUP($D336,'Modelling New'!$D:$D,'Modelling New'!$O:$O),"")</f>
        <v>0.84466368797833169</v>
      </c>
      <c r="AF336" s="240">
        <f>IFERROR(_xlfn.XLOOKUP($D336,'Modelling New'!$D:$D,'Modelling New'!$W:$W),"")</f>
        <v>0.21689646472969723</v>
      </c>
      <c r="AG336" s="240">
        <f>IFERROR(_xlfn.XLOOKUP($D336,'Modelling New'!$D:$D,'Modelling New'!AE:AE),"")</f>
        <v>0.99750000000000005</v>
      </c>
      <c r="AH336" s="240">
        <f>IFERROR(_xlfn.XLOOKUP($D336,'Modelling New'!$D:$D,'Modelling New'!AF:AF),"")</f>
        <v>0.99750000000000005</v>
      </c>
      <c r="AI336" s="186"/>
      <c r="AJ336" s="186"/>
      <c r="AK336" s="225"/>
      <c r="AL336" s="224">
        <f>IFERROR(Table13[[#This Row],[RA (%)]]*9270*58,"")</f>
        <v>0</v>
      </c>
      <c r="AM336" s="225"/>
      <c r="AN336" s="238"/>
      <c r="AO336" s="240"/>
      <c r="AP336" s="240"/>
      <c r="AQ336" s="240"/>
      <c r="AR336" s="242">
        <f>IFERROR(_xlfn.XLOOKUP($D336,'Modelling New'!$D:$D,'Modelling New'!$N:$N),"")</f>
        <v>335.09100000000001</v>
      </c>
    </row>
    <row r="337" spans="1:44">
      <c r="A337" s="233">
        <f t="shared" si="24"/>
        <v>46080</v>
      </c>
      <c r="B337" s="228">
        <f>YEAR(Table13[[#This Row],[Date]])+IF(MONTH(Table13[[#This Row],[Date]])&gt;=4,1,0)</f>
        <v>2026</v>
      </c>
      <c r="C337" s="186">
        <f>YEAR(Table13[[#This Row],[Date]])</f>
        <v>2026</v>
      </c>
      <c r="D337" s="234">
        <f>Table13[[#This Row],[Date]]-DAY(Table13[[#This Row],[Date]])+1</f>
        <v>46054</v>
      </c>
      <c r="E337" s="186">
        <f t="shared" si="25"/>
        <v>28</v>
      </c>
      <c r="F337" s="235" t="str">
        <f>IFERROR(_xlfn.XLOOKUP($A337,'Raw_Data'!$B:$B,'Raw_Data'!$IX:$IX),"")</f>
        <v/>
      </c>
      <c r="G337" s="236" t="str">
        <f>IFERROR(_xlfn.XLOOKUP($A337,'Raw_Data'!$B:$B,'Raw_Data'!IY:IY),"")</f>
        <v/>
      </c>
      <c r="H337" s="236" t="str">
        <f>IFERROR(_xlfn.XLOOKUP($A337,'Raw_Data'!$B:$B,'Raw_Data'!IZ:IZ),"")</f>
        <v/>
      </c>
      <c r="I337" s="236" t="str">
        <f>IFERROR(_xlfn.XLOOKUP($A337,'Raw_Data'!$B:$B,'Raw_Data'!JA:JA),"")</f>
        <v/>
      </c>
      <c r="J337" s="236" t="str">
        <f>IFERROR(_xlfn.XLOOKUP($A337,'Raw_Data'!$B:$B,'Raw_Data'!JB:JB),"")</f>
        <v/>
      </c>
      <c r="K337" s="236" t="str">
        <f>IFERROR(_xlfn.XLOOKUP($A337,'Raw_Data'!$B:$B,'Raw_Data'!JE:JE),"")</f>
        <v/>
      </c>
      <c r="L337" s="236" t="str">
        <f>IFERROR(_xlfn.XLOOKUP($A337,'Raw_Data'!$B:$B,'Raw_Data'!JF:JF),"")</f>
        <v/>
      </c>
      <c r="M337" s="236" t="str">
        <f>IFERROR(_xlfn.XLOOKUP($A337,'Raw_Data'!$B:$B,'Raw_Data'!JG:JG),"")</f>
        <v/>
      </c>
      <c r="N337" s="236" t="str">
        <f>IFERROR(_xlfn.XLOOKUP($A337,'Raw_Data'!$B:$B,'Raw_Data'!JH:JH),"")</f>
        <v/>
      </c>
      <c r="O337" s="237" t="str">
        <f>IFERROR(1-SUMIF(PA!$B:$B,$A337,PA!$AL:$AL)/($AA337+SUMIF(PA!$B:$B,$A337,PA!$AL:$AL)),"")</f>
        <v/>
      </c>
      <c r="P337" s="238"/>
      <c r="Q337" s="239"/>
      <c r="R337" s="240" t="str">
        <f>IFERROR(1-SUMIF(GA!$C:$C,$A337,GA!$X:$X)/($AA337+SUMIF(GA!$C:$C,$A337,GA!$X:$X)),"")</f>
        <v/>
      </c>
      <c r="S337" s="186"/>
      <c r="T337" s="239"/>
      <c r="U337" s="237" t="str">
        <f t="shared" si="22"/>
        <v/>
      </c>
      <c r="V337" s="237" t="str">
        <f>IFERROR(_xlfn.XLOOKUP($A337,'Raw_Data'!$B:$B,'Raw_Data'!$JL:$JL),"")</f>
        <v/>
      </c>
      <c r="W337" s="240" t="str">
        <f t="shared" si="23"/>
        <v/>
      </c>
      <c r="X337" s="228" t="str">
        <f>IFERROR(_xlfn.XLOOKUP($A337,'Raw_Data'!$B:$B,'Raw_Data'!$JI:$JI),"")</f>
        <v/>
      </c>
      <c r="Y337" s="228" t="str">
        <f>IFERROR(_xlfn.XLOOKUP($A337,'Raw_Data'!$B:$B,'Raw_Data'!IT:IT),"")</f>
        <v/>
      </c>
      <c r="Z337" s="228" t="str">
        <f>IFERROR(_xlfn.XLOOKUP($A337,'Raw_Data'!$B:$B,'Raw_Data'!IU:IU),"")</f>
        <v/>
      </c>
      <c r="AA337" s="228" t="str">
        <f>IFERROR(_xlfn.XLOOKUP($A337,'Raw_Data'!$B:$B,'Raw_Data'!IW:IW),"")</f>
        <v/>
      </c>
      <c r="AB337" s="228" t="str">
        <f>IFERROR(_xlfn.XLOOKUP($A337,'Raw_Data'!$B:$B,'Raw_Data'!I:I)/1000,"")</f>
        <v/>
      </c>
      <c r="AC337" s="241">
        <f>IFERROR(_xlfn.XLOOKUP($D337,'Modelling New'!$D:$D,'Modelling New'!$P:$P),"")</f>
        <v>6.1628257821428587</v>
      </c>
      <c r="AD337" s="228">
        <f>IFERROR(_xlfn.XLOOKUP($D337,'Modelling New'!$D:$D,'Modelling New'!$T:$T)*1000,"")</f>
        <v>1744321.2783057354</v>
      </c>
      <c r="AE337" s="240">
        <f>IFERROR(_xlfn.XLOOKUP($D337,'Modelling New'!$D:$D,'Modelling New'!$O:$O),"")</f>
        <v>0.84466368797833169</v>
      </c>
      <c r="AF337" s="240">
        <f>IFERROR(_xlfn.XLOOKUP($D337,'Modelling New'!$D:$D,'Modelling New'!$W:$W),"")</f>
        <v>0.21689646472969723</v>
      </c>
      <c r="AG337" s="240">
        <f>IFERROR(_xlfn.XLOOKUP($D337,'Modelling New'!$D:$D,'Modelling New'!AE:AE),"")</f>
        <v>0.99750000000000005</v>
      </c>
      <c r="AH337" s="240">
        <f>IFERROR(_xlfn.XLOOKUP($D337,'Modelling New'!$D:$D,'Modelling New'!AF:AF),"")</f>
        <v>0.99750000000000005</v>
      </c>
      <c r="AI337" s="186"/>
      <c r="AJ337" s="186"/>
      <c r="AK337" s="225"/>
      <c r="AL337" s="224">
        <f>IFERROR(Table13[[#This Row],[RA (%)]]*9270*58,"")</f>
        <v>0</v>
      </c>
      <c r="AM337" s="225"/>
      <c r="AN337" s="238"/>
      <c r="AO337" s="240"/>
      <c r="AP337" s="240"/>
      <c r="AQ337" s="240"/>
      <c r="AR337" s="242">
        <f>IFERROR(_xlfn.XLOOKUP($D337,'Modelling New'!$D:$D,'Modelling New'!$N:$N),"")</f>
        <v>335.09100000000001</v>
      </c>
    </row>
    <row r="338" spans="1:44">
      <c r="A338" s="233">
        <f t="shared" si="24"/>
        <v>46081</v>
      </c>
      <c r="B338" s="228">
        <f>YEAR(Table13[[#This Row],[Date]])+IF(MONTH(Table13[[#This Row],[Date]])&gt;=4,1,0)</f>
        <v>2026</v>
      </c>
      <c r="C338" s="186">
        <f>YEAR(Table13[[#This Row],[Date]])</f>
        <v>2026</v>
      </c>
      <c r="D338" s="234">
        <f>Table13[[#This Row],[Date]]-DAY(Table13[[#This Row],[Date]])+1</f>
        <v>46054</v>
      </c>
      <c r="E338" s="186">
        <f t="shared" si="25"/>
        <v>28</v>
      </c>
      <c r="F338" s="235" t="str">
        <f>IFERROR(_xlfn.XLOOKUP($A338,'Raw_Data'!$B:$B,'Raw_Data'!$IX:$IX),"")</f>
        <v/>
      </c>
      <c r="G338" s="236" t="str">
        <f>IFERROR(_xlfn.XLOOKUP($A338,'Raw_Data'!$B:$B,'Raw_Data'!IY:IY),"")</f>
        <v/>
      </c>
      <c r="H338" s="236" t="str">
        <f>IFERROR(_xlfn.XLOOKUP($A338,'Raw_Data'!$B:$B,'Raw_Data'!IZ:IZ),"")</f>
        <v/>
      </c>
      <c r="I338" s="236" t="str">
        <f>IFERROR(_xlfn.XLOOKUP($A338,'Raw_Data'!$B:$B,'Raw_Data'!JA:JA),"")</f>
        <v/>
      </c>
      <c r="J338" s="236" t="str">
        <f>IFERROR(_xlfn.XLOOKUP($A338,'Raw_Data'!$B:$B,'Raw_Data'!JB:JB),"")</f>
        <v/>
      </c>
      <c r="K338" s="236" t="str">
        <f>IFERROR(_xlfn.XLOOKUP($A338,'Raw_Data'!$B:$B,'Raw_Data'!JE:JE),"")</f>
        <v/>
      </c>
      <c r="L338" s="236" t="str">
        <f>IFERROR(_xlfn.XLOOKUP($A338,'Raw_Data'!$B:$B,'Raw_Data'!JF:JF),"")</f>
        <v/>
      </c>
      <c r="M338" s="236" t="str">
        <f>IFERROR(_xlfn.XLOOKUP($A338,'Raw_Data'!$B:$B,'Raw_Data'!JG:JG),"")</f>
        <v/>
      </c>
      <c r="N338" s="236" t="str">
        <f>IFERROR(_xlfn.XLOOKUP($A338,'Raw_Data'!$B:$B,'Raw_Data'!JH:JH),"")</f>
        <v/>
      </c>
      <c r="O338" s="237" t="str">
        <f>IFERROR(1-SUMIF(PA!$B:$B,$A338,PA!$AL:$AL)/($AA338+SUMIF(PA!$B:$B,$A338,PA!$AL:$AL)),"")</f>
        <v/>
      </c>
      <c r="P338" s="238"/>
      <c r="Q338" s="239"/>
      <c r="R338" s="240" t="str">
        <f>IFERROR(1-SUMIF(GA!$C:$C,$A338,GA!$X:$X)/($AA338+SUMIF(GA!$C:$C,$A338,GA!$X:$X)),"")</f>
        <v/>
      </c>
      <c r="S338" s="186"/>
      <c r="T338" s="239"/>
      <c r="U338" s="237" t="str">
        <f t="shared" si="22"/>
        <v/>
      </c>
      <c r="V338" s="237" t="str">
        <f>IFERROR(_xlfn.XLOOKUP($A338,'Raw_Data'!$B:$B,'Raw_Data'!$JL:$JL),"")</f>
        <v/>
      </c>
      <c r="W338" s="240" t="str">
        <f t="shared" si="23"/>
        <v/>
      </c>
      <c r="X338" s="228" t="str">
        <f>IFERROR(_xlfn.XLOOKUP($A338,'Raw_Data'!$B:$B,'Raw_Data'!$JI:$JI),"")</f>
        <v/>
      </c>
      <c r="Y338" s="228" t="str">
        <f>IFERROR(_xlfn.XLOOKUP($A338,'Raw_Data'!$B:$B,'Raw_Data'!IT:IT),"")</f>
        <v/>
      </c>
      <c r="Z338" s="228" t="str">
        <f>IFERROR(_xlfn.XLOOKUP($A338,'Raw_Data'!$B:$B,'Raw_Data'!IU:IU),"")</f>
        <v/>
      </c>
      <c r="AA338" s="228" t="str">
        <f>IFERROR(_xlfn.XLOOKUP($A338,'Raw_Data'!$B:$B,'Raw_Data'!IW:IW),"")</f>
        <v/>
      </c>
      <c r="AB338" s="228" t="str">
        <f>IFERROR(_xlfn.XLOOKUP($A338,'Raw_Data'!$B:$B,'Raw_Data'!I:I)/1000,"")</f>
        <v/>
      </c>
      <c r="AC338" s="241">
        <f>IFERROR(_xlfn.XLOOKUP($D338,'Modelling New'!$D:$D,'Modelling New'!$P:$P),"")</f>
        <v>6.1628257821428587</v>
      </c>
      <c r="AD338" s="228">
        <f>IFERROR(_xlfn.XLOOKUP($D338,'Modelling New'!$D:$D,'Modelling New'!$T:$T)*1000,"")</f>
        <v>1744321.2783057354</v>
      </c>
      <c r="AE338" s="240">
        <f>IFERROR(_xlfn.XLOOKUP($D338,'Modelling New'!$D:$D,'Modelling New'!$O:$O),"")</f>
        <v>0.84466368797833169</v>
      </c>
      <c r="AF338" s="240">
        <f>IFERROR(_xlfn.XLOOKUP($D338,'Modelling New'!$D:$D,'Modelling New'!$W:$W),"")</f>
        <v>0.21689646472969723</v>
      </c>
      <c r="AG338" s="240">
        <f>IFERROR(_xlfn.XLOOKUP($D338,'Modelling New'!$D:$D,'Modelling New'!AE:AE),"")</f>
        <v>0.99750000000000005</v>
      </c>
      <c r="AH338" s="240">
        <f>IFERROR(_xlfn.XLOOKUP($D338,'Modelling New'!$D:$D,'Modelling New'!AF:AF),"")</f>
        <v>0.99750000000000005</v>
      </c>
      <c r="AI338" s="186"/>
      <c r="AJ338" s="186"/>
      <c r="AK338" s="225"/>
      <c r="AL338" s="224">
        <f>IFERROR(Table13[[#This Row],[RA (%)]]*9270*58,"")</f>
        <v>0</v>
      </c>
      <c r="AM338" s="225"/>
      <c r="AN338" s="238"/>
      <c r="AO338" s="240"/>
      <c r="AP338" s="240"/>
      <c r="AQ338" s="240"/>
      <c r="AR338" s="242">
        <f>IFERROR(_xlfn.XLOOKUP($D338,'Modelling New'!$D:$D,'Modelling New'!$N:$N),"")</f>
        <v>335.09100000000001</v>
      </c>
    </row>
    <row r="339" spans="1:44">
      <c r="A339" s="233">
        <f t="shared" si="24"/>
        <v>46082</v>
      </c>
      <c r="B339" s="228">
        <f>YEAR(Table13[[#This Row],[Date]])+IF(MONTH(Table13[[#This Row],[Date]])&gt;=4,1,0)</f>
        <v>2026</v>
      </c>
      <c r="C339" s="186">
        <f>YEAR(Table13[[#This Row],[Date]])</f>
        <v>2026</v>
      </c>
      <c r="D339" s="234">
        <f>Table13[[#This Row],[Date]]-DAY(Table13[[#This Row],[Date]])+1</f>
        <v>46082</v>
      </c>
      <c r="E339" s="186">
        <f t="shared" si="25"/>
        <v>31</v>
      </c>
      <c r="F339" s="235" t="str">
        <f>IFERROR(_xlfn.XLOOKUP($A339,'Raw_Data'!$B:$B,'Raw_Data'!$IX:$IX),"")</f>
        <v/>
      </c>
      <c r="G339" s="236" t="str">
        <f>IFERROR(_xlfn.XLOOKUP($A339,'Raw_Data'!$B:$B,'Raw_Data'!IY:IY),"")</f>
        <v/>
      </c>
      <c r="H339" s="236" t="str">
        <f>IFERROR(_xlfn.XLOOKUP($A339,'Raw_Data'!$B:$B,'Raw_Data'!IZ:IZ),"")</f>
        <v/>
      </c>
      <c r="I339" s="236" t="str">
        <f>IFERROR(_xlfn.XLOOKUP($A339,'Raw_Data'!$B:$B,'Raw_Data'!JA:JA),"")</f>
        <v/>
      </c>
      <c r="J339" s="236" t="str">
        <f>IFERROR(_xlfn.XLOOKUP($A339,'Raw_Data'!$B:$B,'Raw_Data'!JB:JB),"")</f>
        <v/>
      </c>
      <c r="K339" s="236" t="str">
        <f>IFERROR(_xlfn.XLOOKUP($A339,'Raw_Data'!$B:$B,'Raw_Data'!JE:JE),"")</f>
        <v/>
      </c>
      <c r="L339" s="236" t="str">
        <f>IFERROR(_xlfn.XLOOKUP($A339,'Raw_Data'!$B:$B,'Raw_Data'!JF:JF),"")</f>
        <v/>
      </c>
      <c r="M339" s="236" t="str">
        <f>IFERROR(_xlfn.XLOOKUP($A339,'Raw_Data'!$B:$B,'Raw_Data'!JG:JG),"")</f>
        <v/>
      </c>
      <c r="N339" s="236" t="str">
        <f>IFERROR(_xlfn.XLOOKUP($A339,'Raw_Data'!$B:$B,'Raw_Data'!JH:JH),"")</f>
        <v/>
      </c>
      <c r="O339" s="237" t="str">
        <f>IFERROR(1-SUMIF(PA!$B:$B,$A339,PA!$AL:$AL)/($AA339+SUMIF(PA!$B:$B,$A339,PA!$AL:$AL)),"")</f>
        <v/>
      </c>
      <c r="P339" s="238"/>
      <c r="Q339" s="239"/>
      <c r="R339" s="240" t="str">
        <f>IFERROR(1-SUMIF(GA!$C:$C,$A339,GA!$X:$X)/($AA339+SUMIF(GA!$C:$C,$A339,GA!$X:$X)),"")</f>
        <v/>
      </c>
      <c r="S339" s="186"/>
      <c r="T339" s="239"/>
      <c r="U339" s="237" t="str">
        <f t="shared" si="22"/>
        <v/>
      </c>
      <c r="V339" s="237" t="str">
        <f>IFERROR(_xlfn.XLOOKUP($A339,'Raw_Data'!$B:$B,'Raw_Data'!$JL:$JL),"")</f>
        <v/>
      </c>
      <c r="W339" s="240" t="str">
        <f t="shared" si="23"/>
        <v/>
      </c>
      <c r="X339" s="228" t="str">
        <f>IFERROR(_xlfn.XLOOKUP($A339,'Raw_Data'!$B:$B,'Raw_Data'!$JI:$JI),"")</f>
        <v/>
      </c>
      <c r="Y339" s="228" t="str">
        <f>IFERROR(_xlfn.XLOOKUP($A339,'Raw_Data'!$B:$B,'Raw_Data'!IT:IT),"")</f>
        <v/>
      </c>
      <c r="Z339" s="228" t="str">
        <f>IFERROR(_xlfn.XLOOKUP($A339,'Raw_Data'!$B:$B,'Raw_Data'!IU:IU),"")</f>
        <v/>
      </c>
      <c r="AA339" s="228" t="str">
        <f>IFERROR(_xlfn.XLOOKUP($A339,'Raw_Data'!$B:$B,'Raw_Data'!IW:IW),"")</f>
        <v/>
      </c>
      <c r="AB339" s="228" t="str">
        <f>IFERROR(_xlfn.XLOOKUP($A339,'Raw_Data'!$B:$B,'Raw_Data'!I:I)/1000,"")</f>
        <v/>
      </c>
      <c r="AC339" s="241">
        <f>IFERROR(_xlfn.XLOOKUP($D339,'Modelling New'!$D:$D,'Modelling New'!$P:$P),"")</f>
        <v>6.9595408709677447</v>
      </c>
      <c r="AD339" s="228">
        <f>IFERROR(_xlfn.XLOOKUP($D339,'Modelling New'!$D:$D,'Modelling New'!$T:$T)*1000,"")</f>
        <v>1886089.153916752</v>
      </c>
      <c r="AE339" s="240">
        <f>IFERROR(_xlfn.XLOOKUP($D339,'Modelling New'!$D:$D,'Modelling New'!$O:$O),"")</f>
        <v>0.80875851180650671</v>
      </c>
      <c r="AF339" s="240">
        <f>IFERROR(_xlfn.XLOOKUP($D339,'Modelling New'!$D:$D,'Modelling New'!$W:$W),"")</f>
        <v>0.23452449656918467</v>
      </c>
      <c r="AG339" s="240">
        <f>IFERROR(_xlfn.XLOOKUP($D339,'Modelling New'!$D:$D,'Modelling New'!AE:AE),"")</f>
        <v>0.99750000000000005</v>
      </c>
      <c r="AH339" s="240">
        <f>IFERROR(_xlfn.XLOOKUP($D339,'Modelling New'!$D:$D,'Modelling New'!AF:AF),"")</f>
        <v>0.99750000000000005</v>
      </c>
      <c r="AI339" s="186"/>
      <c r="AJ339" s="186"/>
      <c r="AK339" s="225"/>
      <c r="AL339" s="224">
        <f>IFERROR(Table13[[#This Row],[RA (%)]]*9270*58,"")</f>
        <v>0</v>
      </c>
      <c r="AM339" s="225"/>
      <c r="AN339" s="238"/>
      <c r="AO339" s="240"/>
      <c r="AP339" s="240"/>
      <c r="AQ339" s="240"/>
      <c r="AR339" s="242">
        <f>IFERROR(_xlfn.XLOOKUP($D339,'Modelling New'!$D:$D,'Modelling New'!$N:$N),"")</f>
        <v>335.09100000000001</v>
      </c>
    </row>
    <row r="340" spans="1:44">
      <c r="A340" s="233">
        <f t="shared" si="24"/>
        <v>46083</v>
      </c>
      <c r="B340" s="228">
        <f>YEAR(Table13[[#This Row],[Date]])+IF(MONTH(Table13[[#This Row],[Date]])&gt;=4,1,0)</f>
        <v>2026</v>
      </c>
      <c r="C340" s="186">
        <f>YEAR(Table13[[#This Row],[Date]])</f>
        <v>2026</v>
      </c>
      <c r="D340" s="234">
        <f>Table13[[#This Row],[Date]]-DAY(Table13[[#This Row],[Date]])+1</f>
        <v>46082</v>
      </c>
      <c r="E340" s="186">
        <f t="shared" si="25"/>
        <v>31</v>
      </c>
      <c r="F340" s="235" t="str">
        <f>IFERROR(_xlfn.XLOOKUP($A340,'Raw_Data'!$B:$B,'Raw_Data'!$IX:$IX),"")</f>
        <v/>
      </c>
      <c r="G340" s="236" t="str">
        <f>IFERROR(_xlfn.XLOOKUP($A340,'Raw_Data'!$B:$B,'Raw_Data'!IY:IY),"")</f>
        <v/>
      </c>
      <c r="H340" s="236" t="str">
        <f>IFERROR(_xlfn.XLOOKUP($A340,'Raw_Data'!$B:$B,'Raw_Data'!IZ:IZ),"")</f>
        <v/>
      </c>
      <c r="I340" s="236" t="str">
        <f>IFERROR(_xlfn.XLOOKUP($A340,'Raw_Data'!$B:$B,'Raw_Data'!JA:JA),"")</f>
        <v/>
      </c>
      <c r="J340" s="236" t="str">
        <f>IFERROR(_xlfn.XLOOKUP($A340,'Raw_Data'!$B:$B,'Raw_Data'!JB:JB),"")</f>
        <v/>
      </c>
      <c r="K340" s="236" t="str">
        <f>IFERROR(_xlfn.XLOOKUP($A340,'Raw_Data'!$B:$B,'Raw_Data'!JE:JE),"")</f>
        <v/>
      </c>
      <c r="L340" s="236" t="str">
        <f>IFERROR(_xlfn.XLOOKUP($A340,'Raw_Data'!$B:$B,'Raw_Data'!JF:JF),"")</f>
        <v/>
      </c>
      <c r="M340" s="236" t="str">
        <f>IFERROR(_xlfn.XLOOKUP($A340,'Raw_Data'!$B:$B,'Raw_Data'!JG:JG),"")</f>
        <v/>
      </c>
      <c r="N340" s="236" t="str">
        <f>IFERROR(_xlfn.XLOOKUP($A340,'Raw_Data'!$B:$B,'Raw_Data'!JH:JH),"")</f>
        <v/>
      </c>
      <c r="O340" s="237" t="str">
        <f>IFERROR(1-SUMIF(PA!$B:$B,$A340,PA!$AL:$AL)/($AA340+SUMIF(PA!$B:$B,$A340,PA!$AL:$AL)),"")</f>
        <v/>
      </c>
      <c r="P340" s="238"/>
      <c r="Q340" s="239"/>
      <c r="R340" s="240" t="str">
        <f>IFERROR(1-SUMIF(GA!$C:$C,$A340,GA!$X:$X)/($AA340+SUMIF(GA!$C:$C,$A340,GA!$X:$X)),"")</f>
        <v/>
      </c>
      <c r="S340" s="186"/>
      <c r="T340" s="239"/>
      <c r="U340" s="237" t="str">
        <f t="shared" si="22"/>
        <v/>
      </c>
      <c r="V340" s="237" t="str">
        <f>IFERROR(_xlfn.XLOOKUP($A340,'Raw_Data'!$B:$B,'Raw_Data'!$JL:$JL),"")</f>
        <v/>
      </c>
      <c r="W340" s="240" t="str">
        <f t="shared" si="23"/>
        <v/>
      </c>
      <c r="X340" s="228" t="str">
        <f>IFERROR(_xlfn.XLOOKUP($A340,'Raw_Data'!$B:$B,'Raw_Data'!$JI:$JI),"")</f>
        <v/>
      </c>
      <c r="Y340" s="228" t="str">
        <f>IFERROR(_xlfn.XLOOKUP($A340,'Raw_Data'!$B:$B,'Raw_Data'!IT:IT),"")</f>
        <v/>
      </c>
      <c r="Z340" s="228" t="str">
        <f>IFERROR(_xlfn.XLOOKUP($A340,'Raw_Data'!$B:$B,'Raw_Data'!IU:IU),"")</f>
        <v/>
      </c>
      <c r="AA340" s="228" t="str">
        <f>IFERROR(_xlfn.XLOOKUP($A340,'Raw_Data'!$B:$B,'Raw_Data'!IW:IW),"")</f>
        <v/>
      </c>
      <c r="AB340" s="228" t="str">
        <f>IFERROR(_xlfn.XLOOKUP($A340,'Raw_Data'!$B:$B,'Raw_Data'!I:I)/1000,"")</f>
        <v/>
      </c>
      <c r="AC340" s="241">
        <f>IFERROR(_xlfn.XLOOKUP($D340,'Modelling New'!$D:$D,'Modelling New'!$P:$P),"")</f>
        <v>6.9595408709677447</v>
      </c>
      <c r="AD340" s="228">
        <f>IFERROR(_xlfn.XLOOKUP($D340,'Modelling New'!$D:$D,'Modelling New'!$T:$T)*1000,"")</f>
        <v>1886089.153916752</v>
      </c>
      <c r="AE340" s="240">
        <f>IFERROR(_xlfn.XLOOKUP($D340,'Modelling New'!$D:$D,'Modelling New'!$O:$O),"")</f>
        <v>0.80875851180650671</v>
      </c>
      <c r="AF340" s="240">
        <f>IFERROR(_xlfn.XLOOKUP($D340,'Modelling New'!$D:$D,'Modelling New'!$W:$W),"")</f>
        <v>0.23452449656918467</v>
      </c>
      <c r="AG340" s="240">
        <f>IFERROR(_xlfn.XLOOKUP($D340,'Modelling New'!$D:$D,'Modelling New'!AE:AE),"")</f>
        <v>0.99750000000000005</v>
      </c>
      <c r="AH340" s="240">
        <f>IFERROR(_xlfn.XLOOKUP($D340,'Modelling New'!$D:$D,'Modelling New'!AF:AF),"")</f>
        <v>0.99750000000000005</v>
      </c>
      <c r="AI340" s="186"/>
      <c r="AJ340" s="186"/>
      <c r="AK340" s="225"/>
      <c r="AL340" s="224">
        <f>IFERROR(Table13[[#This Row],[RA (%)]]*9270*58,"")</f>
        <v>0</v>
      </c>
      <c r="AM340" s="225"/>
      <c r="AN340" s="238"/>
      <c r="AO340" s="240"/>
      <c r="AP340" s="240"/>
      <c r="AQ340" s="240"/>
      <c r="AR340" s="242">
        <f>IFERROR(_xlfn.XLOOKUP($D340,'Modelling New'!$D:$D,'Modelling New'!$N:$N),"")</f>
        <v>335.09100000000001</v>
      </c>
    </row>
    <row r="341" spans="1:44">
      <c r="A341" s="233">
        <f t="shared" si="24"/>
        <v>46084</v>
      </c>
      <c r="B341" s="228">
        <f>YEAR(Table13[[#This Row],[Date]])+IF(MONTH(Table13[[#This Row],[Date]])&gt;=4,1,0)</f>
        <v>2026</v>
      </c>
      <c r="C341" s="186">
        <f>YEAR(Table13[[#This Row],[Date]])</f>
        <v>2026</v>
      </c>
      <c r="D341" s="234">
        <f>Table13[[#This Row],[Date]]-DAY(Table13[[#This Row],[Date]])+1</f>
        <v>46082</v>
      </c>
      <c r="E341" s="186">
        <f t="shared" si="25"/>
        <v>31</v>
      </c>
      <c r="F341" s="235" t="str">
        <f>IFERROR(_xlfn.XLOOKUP($A341,'Raw_Data'!$B:$B,'Raw_Data'!$IX:$IX),"")</f>
        <v/>
      </c>
      <c r="G341" s="236" t="str">
        <f>IFERROR(_xlfn.XLOOKUP($A341,'Raw_Data'!$B:$B,'Raw_Data'!IY:IY),"")</f>
        <v/>
      </c>
      <c r="H341" s="236" t="str">
        <f>IFERROR(_xlfn.XLOOKUP($A341,'Raw_Data'!$B:$B,'Raw_Data'!IZ:IZ),"")</f>
        <v/>
      </c>
      <c r="I341" s="236" t="str">
        <f>IFERROR(_xlfn.XLOOKUP($A341,'Raw_Data'!$B:$B,'Raw_Data'!JA:JA),"")</f>
        <v/>
      </c>
      <c r="J341" s="236" t="str">
        <f>IFERROR(_xlfn.XLOOKUP($A341,'Raw_Data'!$B:$B,'Raw_Data'!JB:JB),"")</f>
        <v/>
      </c>
      <c r="K341" s="236" t="str">
        <f>IFERROR(_xlfn.XLOOKUP($A341,'Raw_Data'!$B:$B,'Raw_Data'!JE:JE),"")</f>
        <v/>
      </c>
      <c r="L341" s="236" t="str">
        <f>IFERROR(_xlfn.XLOOKUP($A341,'Raw_Data'!$B:$B,'Raw_Data'!JF:JF),"")</f>
        <v/>
      </c>
      <c r="M341" s="236" t="str">
        <f>IFERROR(_xlfn.XLOOKUP($A341,'Raw_Data'!$B:$B,'Raw_Data'!JG:JG),"")</f>
        <v/>
      </c>
      <c r="N341" s="236" t="str">
        <f>IFERROR(_xlfn.XLOOKUP($A341,'Raw_Data'!$B:$B,'Raw_Data'!JH:JH),"")</f>
        <v/>
      </c>
      <c r="O341" s="237" t="str">
        <f>IFERROR(1-SUMIF(PA!$B:$B,$A341,PA!$AL:$AL)/($AA341+SUMIF(PA!$B:$B,$A341,PA!$AL:$AL)),"")</f>
        <v/>
      </c>
      <c r="P341" s="238"/>
      <c r="Q341" s="239"/>
      <c r="R341" s="240" t="str">
        <f>IFERROR(1-SUMIF(GA!$C:$C,$A341,GA!$X:$X)/($AA341+SUMIF(GA!$C:$C,$A341,GA!$X:$X)),"")</f>
        <v/>
      </c>
      <c r="S341" s="186"/>
      <c r="T341" s="239"/>
      <c r="U341" s="237" t="str">
        <f t="shared" si="22"/>
        <v/>
      </c>
      <c r="V341" s="237" t="str">
        <f>IFERROR(_xlfn.XLOOKUP($A341,'Raw_Data'!$B:$B,'Raw_Data'!$JL:$JL),"")</f>
        <v/>
      </c>
      <c r="W341" s="240" t="str">
        <f t="shared" si="23"/>
        <v/>
      </c>
      <c r="X341" s="228" t="str">
        <f>IFERROR(_xlfn.XLOOKUP($A341,'Raw_Data'!$B:$B,'Raw_Data'!$JI:$JI),"")</f>
        <v/>
      </c>
      <c r="Y341" s="228" t="str">
        <f>IFERROR(_xlfn.XLOOKUP($A341,'Raw_Data'!$B:$B,'Raw_Data'!IT:IT),"")</f>
        <v/>
      </c>
      <c r="Z341" s="228" t="str">
        <f>IFERROR(_xlfn.XLOOKUP($A341,'Raw_Data'!$B:$B,'Raw_Data'!IU:IU),"")</f>
        <v/>
      </c>
      <c r="AA341" s="228" t="str">
        <f>IFERROR(_xlfn.XLOOKUP($A341,'Raw_Data'!$B:$B,'Raw_Data'!IW:IW),"")</f>
        <v/>
      </c>
      <c r="AB341" s="228" t="str">
        <f>IFERROR(_xlfn.XLOOKUP($A341,'Raw_Data'!$B:$B,'Raw_Data'!I:I)/1000,"")</f>
        <v/>
      </c>
      <c r="AC341" s="241">
        <f>IFERROR(_xlfn.XLOOKUP($D341,'Modelling New'!$D:$D,'Modelling New'!$P:$P),"")</f>
        <v>6.9595408709677447</v>
      </c>
      <c r="AD341" s="228">
        <f>IFERROR(_xlfn.XLOOKUP($D341,'Modelling New'!$D:$D,'Modelling New'!$T:$T)*1000,"")</f>
        <v>1886089.153916752</v>
      </c>
      <c r="AE341" s="240">
        <f>IFERROR(_xlfn.XLOOKUP($D341,'Modelling New'!$D:$D,'Modelling New'!$O:$O),"")</f>
        <v>0.80875851180650671</v>
      </c>
      <c r="AF341" s="240">
        <f>IFERROR(_xlfn.XLOOKUP($D341,'Modelling New'!$D:$D,'Modelling New'!$W:$W),"")</f>
        <v>0.23452449656918467</v>
      </c>
      <c r="AG341" s="240">
        <f>IFERROR(_xlfn.XLOOKUP($D341,'Modelling New'!$D:$D,'Modelling New'!AE:AE),"")</f>
        <v>0.99750000000000005</v>
      </c>
      <c r="AH341" s="240">
        <f>IFERROR(_xlfn.XLOOKUP($D341,'Modelling New'!$D:$D,'Modelling New'!AF:AF),"")</f>
        <v>0.99750000000000005</v>
      </c>
      <c r="AI341" s="186"/>
      <c r="AJ341" s="186"/>
      <c r="AK341" s="225"/>
      <c r="AL341" s="224">
        <f>IFERROR(Table13[[#This Row],[RA (%)]]*9270*58,"")</f>
        <v>0</v>
      </c>
      <c r="AM341" s="225"/>
      <c r="AN341" s="238"/>
      <c r="AO341" s="240"/>
      <c r="AP341" s="240"/>
      <c r="AQ341" s="240"/>
      <c r="AR341" s="242">
        <f>IFERROR(_xlfn.XLOOKUP($D341,'Modelling New'!$D:$D,'Modelling New'!$N:$N),"")</f>
        <v>335.09100000000001</v>
      </c>
    </row>
    <row r="342" spans="1:44">
      <c r="A342" s="233">
        <f t="shared" si="24"/>
        <v>46085</v>
      </c>
      <c r="B342" s="228">
        <f>YEAR(Table13[[#This Row],[Date]])+IF(MONTH(Table13[[#This Row],[Date]])&gt;=4,1,0)</f>
        <v>2026</v>
      </c>
      <c r="C342" s="186">
        <f>YEAR(Table13[[#This Row],[Date]])</f>
        <v>2026</v>
      </c>
      <c r="D342" s="234">
        <f>Table13[[#This Row],[Date]]-DAY(Table13[[#This Row],[Date]])+1</f>
        <v>46082</v>
      </c>
      <c r="E342" s="186">
        <f t="shared" si="25"/>
        <v>31</v>
      </c>
      <c r="F342" s="235" t="str">
        <f>IFERROR(_xlfn.XLOOKUP($A342,'Raw_Data'!$B:$B,'Raw_Data'!$IX:$IX),"")</f>
        <v/>
      </c>
      <c r="G342" s="236" t="str">
        <f>IFERROR(_xlfn.XLOOKUP($A342,'Raw_Data'!$B:$B,'Raw_Data'!IY:IY),"")</f>
        <v/>
      </c>
      <c r="H342" s="236" t="str">
        <f>IFERROR(_xlfn.XLOOKUP($A342,'Raw_Data'!$B:$B,'Raw_Data'!IZ:IZ),"")</f>
        <v/>
      </c>
      <c r="I342" s="236" t="str">
        <f>IFERROR(_xlfn.XLOOKUP($A342,'Raw_Data'!$B:$B,'Raw_Data'!JA:JA),"")</f>
        <v/>
      </c>
      <c r="J342" s="236" t="str">
        <f>IFERROR(_xlfn.XLOOKUP($A342,'Raw_Data'!$B:$B,'Raw_Data'!JB:JB),"")</f>
        <v/>
      </c>
      <c r="K342" s="236" t="str">
        <f>IFERROR(_xlfn.XLOOKUP($A342,'Raw_Data'!$B:$B,'Raw_Data'!JE:JE),"")</f>
        <v/>
      </c>
      <c r="L342" s="236" t="str">
        <f>IFERROR(_xlfn.XLOOKUP($A342,'Raw_Data'!$B:$B,'Raw_Data'!JF:JF),"")</f>
        <v/>
      </c>
      <c r="M342" s="236" t="str">
        <f>IFERROR(_xlfn.XLOOKUP($A342,'Raw_Data'!$B:$B,'Raw_Data'!JG:JG),"")</f>
        <v/>
      </c>
      <c r="N342" s="236" t="str">
        <f>IFERROR(_xlfn.XLOOKUP($A342,'Raw_Data'!$B:$B,'Raw_Data'!JH:JH),"")</f>
        <v/>
      </c>
      <c r="O342" s="237" t="str">
        <f>IFERROR(1-SUMIF(PA!$B:$B,$A342,PA!$AL:$AL)/($AA342+SUMIF(PA!$B:$B,$A342,PA!$AL:$AL)),"")</f>
        <v/>
      </c>
      <c r="P342" s="238"/>
      <c r="Q342" s="239"/>
      <c r="R342" s="240" t="str">
        <f>IFERROR(1-SUMIF(GA!$C:$C,$A342,GA!$X:$X)/($AA342+SUMIF(GA!$C:$C,$A342,GA!$X:$X)),"")</f>
        <v/>
      </c>
      <c r="S342" s="186"/>
      <c r="T342" s="239"/>
      <c r="U342" s="237" t="str">
        <f t="shared" si="22"/>
        <v/>
      </c>
      <c r="V342" s="237" t="str">
        <f>IFERROR(_xlfn.XLOOKUP($A342,'Raw_Data'!$B:$B,'Raw_Data'!$JL:$JL),"")</f>
        <v/>
      </c>
      <c r="W342" s="240" t="str">
        <f t="shared" si="23"/>
        <v/>
      </c>
      <c r="X342" s="228" t="str">
        <f>IFERROR(_xlfn.XLOOKUP($A342,'Raw_Data'!$B:$B,'Raw_Data'!$JI:$JI),"")</f>
        <v/>
      </c>
      <c r="Y342" s="228" t="str">
        <f>IFERROR(_xlfn.XLOOKUP($A342,'Raw_Data'!$B:$B,'Raw_Data'!IT:IT),"")</f>
        <v/>
      </c>
      <c r="Z342" s="228" t="str">
        <f>IFERROR(_xlfn.XLOOKUP($A342,'Raw_Data'!$B:$B,'Raw_Data'!IU:IU),"")</f>
        <v/>
      </c>
      <c r="AA342" s="228" t="str">
        <f>IFERROR(_xlfn.XLOOKUP($A342,'Raw_Data'!$B:$B,'Raw_Data'!IW:IW),"")</f>
        <v/>
      </c>
      <c r="AB342" s="228" t="str">
        <f>IFERROR(_xlfn.XLOOKUP($A342,'Raw_Data'!$B:$B,'Raw_Data'!I:I)/1000,"")</f>
        <v/>
      </c>
      <c r="AC342" s="241">
        <f>IFERROR(_xlfn.XLOOKUP($D342,'Modelling New'!$D:$D,'Modelling New'!$P:$P),"")</f>
        <v>6.9595408709677447</v>
      </c>
      <c r="AD342" s="228">
        <f>IFERROR(_xlfn.XLOOKUP($D342,'Modelling New'!$D:$D,'Modelling New'!$T:$T)*1000,"")</f>
        <v>1886089.153916752</v>
      </c>
      <c r="AE342" s="240">
        <f>IFERROR(_xlfn.XLOOKUP($D342,'Modelling New'!$D:$D,'Modelling New'!$O:$O),"")</f>
        <v>0.80875851180650671</v>
      </c>
      <c r="AF342" s="240">
        <f>IFERROR(_xlfn.XLOOKUP($D342,'Modelling New'!$D:$D,'Modelling New'!$W:$W),"")</f>
        <v>0.23452449656918467</v>
      </c>
      <c r="AG342" s="240">
        <f>IFERROR(_xlfn.XLOOKUP($D342,'Modelling New'!$D:$D,'Modelling New'!AE:AE),"")</f>
        <v>0.99750000000000005</v>
      </c>
      <c r="AH342" s="240">
        <f>IFERROR(_xlfn.XLOOKUP($D342,'Modelling New'!$D:$D,'Modelling New'!AF:AF),"")</f>
        <v>0.99750000000000005</v>
      </c>
      <c r="AI342" s="186"/>
      <c r="AJ342" s="186"/>
      <c r="AK342" s="225"/>
      <c r="AL342" s="224">
        <f>IFERROR(Table13[[#This Row],[RA (%)]]*9270*58,"")</f>
        <v>0</v>
      </c>
      <c r="AM342" s="225"/>
      <c r="AN342" s="238"/>
      <c r="AO342" s="240"/>
      <c r="AP342" s="240"/>
      <c r="AQ342" s="240"/>
      <c r="AR342" s="242">
        <f>IFERROR(_xlfn.XLOOKUP($D342,'Modelling New'!$D:$D,'Modelling New'!$N:$N),"")</f>
        <v>335.09100000000001</v>
      </c>
    </row>
    <row r="343" spans="1:44">
      <c r="A343" s="233">
        <f t="shared" si="24"/>
        <v>46086</v>
      </c>
      <c r="B343" s="228">
        <f>YEAR(Table13[[#This Row],[Date]])+IF(MONTH(Table13[[#This Row],[Date]])&gt;=4,1,0)</f>
        <v>2026</v>
      </c>
      <c r="C343" s="186">
        <f>YEAR(Table13[[#This Row],[Date]])</f>
        <v>2026</v>
      </c>
      <c r="D343" s="234">
        <f>Table13[[#This Row],[Date]]-DAY(Table13[[#This Row],[Date]])+1</f>
        <v>46082</v>
      </c>
      <c r="E343" s="186">
        <f t="shared" si="25"/>
        <v>31</v>
      </c>
      <c r="F343" s="235" t="str">
        <f>IFERROR(_xlfn.XLOOKUP($A343,'Raw_Data'!$B:$B,'Raw_Data'!$IX:$IX),"")</f>
        <v/>
      </c>
      <c r="G343" s="236" t="str">
        <f>IFERROR(_xlfn.XLOOKUP($A343,'Raw_Data'!$B:$B,'Raw_Data'!IY:IY),"")</f>
        <v/>
      </c>
      <c r="H343" s="236" t="str">
        <f>IFERROR(_xlfn.XLOOKUP($A343,'Raw_Data'!$B:$B,'Raw_Data'!IZ:IZ),"")</f>
        <v/>
      </c>
      <c r="I343" s="236" t="str">
        <f>IFERROR(_xlfn.XLOOKUP($A343,'Raw_Data'!$B:$B,'Raw_Data'!JA:JA),"")</f>
        <v/>
      </c>
      <c r="J343" s="236" t="str">
        <f>IFERROR(_xlfn.XLOOKUP($A343,'Raw_Data'!$B:$B,'Raw_Data'!JB:JB),"")</f>
        <v/>
      </c>
      <c r="K343" s="236" t="str">
        <f>IFERROR(_xlfn.XLOOKUP($A343,'Raw_Data'!$B:$B,'Raw_Data'!JE:JE),"")</f>
        <v/>
      </c>
      <c r="L343" s="236" t="str">
        <f>IFERROR(_xlfn.XLOOKUP($A343,'Raw_Data'!$B:$B,'Raw_Data'!JF:JF),"")</f>
        <v/>
      </c>
      <c r="M343" s="236" t="str">
        <f>IFERROR(_xlfn.XLOOKUP($A343,'Raw_Data'!$B:$B,'Raw_Data'!JG:JG),"")</f>
        <v/>
      </c>
      <c r="N343" s="236" t="str">
        <f>IFERROR(_xlfn.XLOOKUP($A343,'Raw_Data'!$B:$B,'Raw_Data'!JH:JH),"")</f>
        <v/>
      </c>
      <c r="O343" s="237" t="str">
        <f>IFERROR(1-SUMIF(PA!$B:$B,$A343,PA!$AL:$AL)/($AA343+SUMIF(PA!$B:$B,$A343,PA!$AL:$AL)),"")</f>
        <v/>
      </c>
      <c r="P343" s="238"/>
      <c r="Q343" s="239"/>
      <c r="R343" s="240" t="str">
        <f>IFERROR(1-SUMIF(GA!$C:$C,$A343,GA!$X:$X)/($AA343+SUMIF(GA!$C:$C,$A343,GA!$X:$X)),"")</f>
        <v/>
      </c>
      <c r="S343" s="186"/>
      <c r="T343" s="239"/>
      <c r="U343" s="237" t="str">
        <f t="shared" si="22"/>
        <v/>
      </c>
      <c r="V343" s="237" t="str">
        <f>IFERROR(_xlfn.XLOOKUP($A343,'Raw_Data'!$B:$B,'Raw_Data'!$JL:$JL),"")</f>
        <v/>
      </c>
      <c r="W343" s="240" t="str">
        <f t="shared" si="23"/>
        <v/>
      </c>
      <c r="X343" s="228" t="str">
        <f>IFERROR(_xlfn.XLOOKUP($A343,'Raw_Data'!$B:$B,'Raw_Data'!$JI:$JI),"")</f>
        <v/>
      </c>
      <c r="Y343" s="228" t="str">
        <f>IFERROR(_xlfn.XLOOKUP($A343,'Raw_Data'!$B:$B,'Raw_Data'!IT:IT),"")</f>
        <v/>
      </c>
      <c r="Z343" s="228" t="str">
        <f>IFERROR(_xlfn.XLOOKUP($A343,'Raw_Data'!$B:$B,'Raw_Data'!IU:IU),"")</f>
        <v/>
      </c>
      <c r="AA343" s="228" t="str">
        <f>IFERROR(_xlfn.XLOOKUP($A343,'Raw_Data'!$B:$B,'Raw_Data'!IW:IW),"")</f>
        <v/>
      </c>
      <c r="AB343" s="228" t="str">
        <f>IFERROR(_xlfn.XLOOKUP($A343,'Raw_Data'!$B:$B,'Raw_Data'!I:I)/1000,"")</f>
        <v/>
      </c>
      <c r="AC343" s="241">
        <f>IFERROR(_xlfn.XLOOKUP($D343,'Modelling New'!$D:$D,'Modelling New'!$P:$P),"")</f>
        <v>6.9595408709677447</v>
      </c>
      <c r="AD343" s="228">
        <f>IFERROR(_xlfn.XLOOKUP($D343,'Modelling New'!$D:$D,'Modelling New'!$T:$T)*1000,"")</f>
        <v>1886089.153916752</v>
      </c>
      <c r="AE343" s="240">
        <f>IFERROR(_xlfn.XLOOKUP($D343,'Modelling New'!$D:$D,'Modelling New'!$O:$O),"")</f>
        <v>0.80875851180650671</v>
      </c>
      <c r="AF343" s="240">
        <f>IFERROR(_xlfn.XLOOKUP($D343,'Modelling New'!$D:$D,'Modelling New'!$W:$W),"")</f>
        <v>0.23452449656918467</v>
      </c>
      <c r="AG343" s="240">
        <f>IFERROR(_xlfn.XLOOKUP($D343,'Modelling New'!$D:$D,'Modelling New'!AE:AE),"")</f>
        <v>0.99750000000000005</v>
      </c>
      <c r="AH343" s="240">
        <f>IFERROR(_xlfn.XLOOKUP($D343,'Modelling New'!$D:$D,'Modelling New'!AF:AF),"")</f>
        <v>0.99750000000000005</v>
      </c>
      <c r="AI343" s="186"/>
      <c r="AJ343" s="186"/>
      <c r="AK343" s="225"/>
      <c r="AL343" s="224">
        <f>IFERROR(Table13[[#This Row],[RA (%)]]*9270*58,"")</f>
        <v>0</v>
      </c>
      <c r="AM343" s="225"/>
      <c r="AN343" s="238"/>
      <c r="AO343" s="240"/>
      <c r="AP343" s="240"/>
      <c r="AQ343" s="240"/>
      <c r="AR343" s="242">
        <f>IFERROR(_xlfn.XLOOKUP($D343,'Modelling New'!$D:$D,'Modelling New'!$N:$N),"")</f>
        <v>335.09100000000001</v>
      </c>
    </row>
    <row r="344" spans="1:44">
      <c r="A344" s="233">
        <f t="shared" si="24"/>
        <v>46087</v>
      </c>
      <c r="B344" s="228">
        <f>YEAR(Table13[[#This Row],[Date]])+IF(MONTH(Table13[[#This Row],[Date]])&gt;=4,1,0)</f>
        <v>2026</v>
      </c>
      <c r="C344" s="186">
        <f>YEAR(Table13[[#This Row],[Date]])</f>
        <v>2026</v>
      </c>
      <c r="D344" s="234">
        <f>Table13[[#This Row],[Date]]-DAY(Table13[[#This Row],[Date]])+1</f>
        <v>46082</v>
      </c>
      <c r="E344" s="186">
        <f t="shared" si="25"/>
        <v>31</v>
      </c>
      <c r="F344" s="235" t="str">
        <f>IFERROR(_xlfn.XLOOKUP($A344,'Raw_Data'!$B:$B,'Raw_Data'!$IX:$IX),"")</f>
        <v/>
      </c>
      <c r="G344" s="236" t="str">
        <f>IFERROR(_xlfn.XLOOKUP($A344,'Raw_Data'!$B:$B,'Raw_Data'!IY:IY),"")</f>
        <v/>
      </c>
      <c r="H344" s="236" t="str">
        <f>IFERROR(_xlfn.XLOOKUP($A344,'Raw_Data'!$B:$B,'Raw_Data'!IZ:IZ),"")</f>
        <v/>
      </c>
      <c r="I344" s="236" t="str">
        <f>IFERROR(_xlfn.XLOOKUP($A344,'Raw_Data'!$B:$B,'Raw_Data'!JA:JA),"")</f>
        <v/>
      </c>
      <c r="J344" s="236" t="str">
        <f>IFERROR(_xlfn.XLOOKUP($A344,'Raw_Data'!$B:$B,'Raw_Data'!JB:JB),"")</f>
        <v/>
      </c>
      <c r="K344" s="236" t="str">
        <f>IFERROR(_xlfn.XLOOKUP($A344,'Raw_Data'!$B:$B,'Raw_Data'!JE:JE),"")</f>
        <v/>
      </c>
      <c r="L344" s="236" t="str">
        <f>IFERROR(_xlfn.XLOOKUP($A344,'Raw_Data'!$B:$B,'Raw_Data'!JF:JF),"")</f>
        <v/>
      </c>
      <c r="M344" s="236" t="str">
        <f>IFERROR(_xlfn.XLOOKUP($A344,'Raw_Data'!$B:$B,'Raw_Data'!JG:JG),"")</f>
        <v/>
      </c>
      <c r="N344" s="236" t="str">
        <f>IFERROR(_xlfn.XLOOKUP($A344,'Raw_Data'!$B:$B,'Raw_Data'!JH:JH),"")</f>
        <v/>
      </c>
      <c r="O344" s="237" t="str">
        <f>IFERROR(1-SUMIF(PA!$B:$B,$A344,PA!$AL:$AL)/($AA344+SUMIF(PA!$B:$B,$A344,PA!$AL:$AL)),"")</f>
        <v/>
      </c>
      <c r="P344" s="238"/>
      <c r="Q344" s="239"/>
      <c r="R344" s="240" t="str">
        <f>IFERROR(1-SUMIF(GA!$C:$C,$A344,GA!$X:$X)/($AA344+SUMIF(GA!$C:$C,$A344,GA!$X:$X)),"")</f>
        <v/>
      </c>
      <c r="S344" s="186"/>
      <c r="T344" s="239"/>
      <c r="U344" s="237" t="str">
        <f t="shared" si="22"/>
        <v/>
      </c>
      <c r="V344" s="237" t="str">
        <f>IFERROR(_xlfn.XLOOKUP($A344,'Raw_Data'!$B:$B,'Raw_Data'!$JL:$JL),"")</f>
        <v/>
      </c>
      <c r="W344" s="240" t="str">
        <f t="shared" si="23"/>
        <v/>
      </c>
      <c r="X344" s="228" t="str">
        <f>IFERROR(_xlfn.XLOOKUP($A344,'Raw_Data'!$B:$B,'Raw_Data'!$JI:$JI),"")</f>
        <v/>
      </c>
      <c r="Y344" s="228" t="str">
        <f>IFERROR(_xlfn.XLOOKUP($A344,'Raw_Data'!$B:$B,'Raw_Data'!IT:IT),"")</f>
        <v/>
      </c>
      <c r="Z344" s="228" t="str">
        <f>IFERROR(_xlfn.XLOOKUP($A344,'Raw_Data'!$B:$B,'Raw_Data'!IU:IU),"")</f>
        <v/>
      </c>
      <c r="AA344" s="228" t="str">
        <f>IFERROR(_xlfn.XLOOKUP($A344,'Raw_Data'!$B:$B,'Raw_Data'!IW:IW),"")</f>
        <v/>
      </c>
      <c r="AB344" s="228" t="str">
        <f>IFERROR(_xlfn.XLOOKUP($A344,'Raw_Data'!$B:$B,'Raw_Data'!I:I)/1000,"")</f>
        <v/>
      </c>
      <c r="AC344" s="241">
        <f>IFERROR(_xlfn.XLOOKUP($D344,'Modelling New'!$D:$D,'Modelling New'!$P:$P),"")</f>
        <v>6.9595408709677447</v>
      </c>
      <c r="AD344" s="228">
        <f>IFERROR(_xlfn.XLOOKUP($D344,'Modelling New'!$D:$D,'Modelling New'!$T:$T)*1000,"")</f>
        <v>1886089.153916752</v>
      </c>
      <c r="AE344" s="240">
        <f>IFERROR(_xlfn.XLOOKUP($D344,'Modelling New'!$D:$D,'Modelling New'!$O:$O),"")</f>
        <v>0.80875851180650671</v>
      </c>
      <c r="AF344" s="240">
        <f>IFERROR(_xlfn.XLOOKUP($D344,'Modelling New'!$D:$D,'Modelling New'!$W:$W),"")</f>
        <v>0.23452449656918467</v>
      </c>
      <c r="AG344" s="240">
        <f>IFERROR(_xlfn.XLOOKUP($D344,'Modelling New'!$D:$D,'Modelling New'!AE:AE),"")</f>
        <v>0.99750000000000005</v>
      </c>
      <c r="AH344" s="240">
        <f>IFERROR(_xlfn.XLOOKUP($D344,'Modelling New'!$D:$D,'Modelling New'!AF:AF),"")</f>
        <v>0.99750000000000005</v>
      </c>
      <c r="AI344" s="186"/>
      <c r="AJ344" s="186"/>
      <c r="AK344" s="225"/>
      <c r="AL344" s="224">
        <f>IFERROR(Table13[[#This Row],[RA (%)]]*9270*58,"")</f>
        <v>0</v>
      </c>
      <c r="AM344" s="225"/>
      <c r="AN344" s="238"/>
      <c r="AO344" s="240"/>
      <c r="AP344" s="240"/>
      <c r="AQ344" s="240"/>
      <c r="AR344" s="242">
        <f>IFERROR(_xlfn.XLOOKUP($D344,'Modelling New'!$D:$D,'Modelling New'!$N:$N),"")</f>
        <v>335.09100000000001</v>
      </c>
    </row>
    <row r="345" spans="1:44">
      <c r="A345" s="233">
        <f t="shared" si="24"/>
        <v>46088</v>
      </c>
      <c r="B345" s="228">
        <f>YEAR(Table13[[#This Row],[Date]])+IF(MONTH(Table13[[#This Row],[Date]])&gt;=4,1,0)</f>
        <v>2026</v>
      </c>
      <c r="C345" s="186">
        <f>YEAR(Table13[[#This Row],[Date]])</f>
        <v>2026</v>
      </c>
      <c r="D345" s="234">
        <f>Table13[[#This Row],[Date]]-DAY(Table13[[#This Row],[Date]])+1</f>
        <v>46082</v>
      </c>
      <c r="E345" s="186">
        <f t="shared" si="25"/>
        <v>31</v>
      </c>
      <c r="F345" s="235" t="str">
        <f>IFERROR(_xlfn.XLOOKUP($A345,'Raw_Data'!$B:$B,'Raw_Data'!$IX:$IX),"")</f>
        <v/>
      </c>
      <c r="G345" s="236" t="str">
        <f>IFERROR(_xlfn.XLOOKUP($A345,'Raw_Data'!$B:$B,'Raw_Data'!IY:IY),"")</f>
        <v/>
      </c>
      <c r="H345" s="236" t="str">
        <f>IFERROR(_xlfn.XLOOKUP($A345,'Raw_Data'!$B:$B,'Raw_Data'!IZ:IZ),"")</f>
        <v/>
      </c>
      <c r="I345" s="236" t="str">
        <f>IFERROR(_xlfn.XLOOKUP($A345,'Raw_Data'!$B:$B,'Raw_Data'!JA:JA),"")</f>
        <v/>
      </c>
      <c r="J345" s="236" t="str">
        <f>IFERROR(_xlfn.XLOOKUP($A345,'Raw_Data'!$B:$B,'Raw_Data'!JB:JB),"")</f>
        <v/>
      </c>
      <c r="K345" s="236" t="str">
        <f>IFERROR(_xlfn.XLOOKUP($A345,'Raw_Data'!$B:$B,'Raw_Data'!JE:JE),"")</f>
        <v/>
      </c>
      <c r="L345" s="236" t="str">
        <f>IFERROR(_xlfn.XLOOKUP($A345,'Raw_Data'!$B:$B,'Raw_Data'!JF:JF),"")</f>
        <v/>
      </c>
      <c r="M345" s="236" t="str">
        <f>IFERROR(_xlfn.XLOOKUP($A345,'Raw_Data'!$B:$B,'Raw_Data'!JG:JG),"")</f>
        <v/>
      </c>
      <c r="N345" s="236" t="str">
        <f>IFERROR(_xlfn.XLOOKUP($A345,'Raw_Data'!$B:$B,'Raw_Data'!JH:JH),"")</f>
        <v/>
      </c>
      <c r="O345" s="237" t="str">
        <f>IFERROR(1-SUMIF(PA!$B:$B,$A345,PA!$AL:$AL)/($AA345+SUMIF(PA!$B:$B,$A345,PA!$AL:$AL)),"")</f>
        <v/>
      </c>
      <c r="P345" s="238"/>
      <c r="Q345" s="239"/>
      <c r="R345" s="240" t="str">
        <f>IFERROR(1-SUMIF(GA!$C:$C,$A345,GA!$X:$X)/($AA345+SUMIF(GA!$C:$C,$A345,GA!$X:$X)),"")</f>
        <v/>
      </c>
      <c r="S345" s="186"/>
      <c r="T345" s="239"/>
      <c r="U345" s="237" t="str">
        <f t="shared" si="22"/>
        <v/>
      </c>
      <c r="V345" s="237" t="str">
        <f>IFERROR(_xlfn.XLOOKUP($A345,'Raw_Data'!$B:$B,'Raw_Data'!$JL:$JL),"")</f>
        <v/>
      </c>
      <c r="W345" s="240" t="str">
        <f t="shared" si="23"/>
        <v/>
      </c>
      <c r="X345" s="228" t="str">
        <f>IFERROR(_xlfn.XLOOKUP($A345,'Raw_Data'!$B:$B,'Raw_Data'!$JI:$JI),"")</f>
        <v/>
      </c>
      <c r="Y345" s="228" t="str">
        <f>IFERROR(_xlfn.XLOOKUP($A345,'Raw_Data'!$B:$B,'Raw_Data'!IT:IT),"")</f>
        <v/>
      </c>
      <c r="Z345" s="228" t="str">
        <f>IFERROR(_xlfn.XLOOKUP($A345,'Raw_Data'!$B:$B,'Raw_Data'!IU:IU),"")</f>
        <v/>
      </c>
      <c r="AA345" s="228" t="str">
        <f>IFERROR(_xlfn.XLOOKUP($A345,'Raw_Data'!$B:$B,'Raw_Data'!IW:IW),"")</f>
        <v/>
      </c>
      <c r="AB345" s="228" t="str">
        <f>IFERROR(_xlfn.XLOOKUP($A345,'Raw_Data'!$B:$B,'Raw_Data'!I:I)/1000,"")</f>
        <v/>
      </c>
      <c r="AC345" s="241">
        <f>IFERROR(_xlfn.XLOOKUP($D345,'Modelling New'!$D:$D,'Modelling New'!$P:$P),"")</f>
        <v>6.9595408709677447</v>
      </c>
      <c r="AD345" s="228">
        <f>IFERROR(_xlfn.XLOOKUP($D345,'Modelling New'!$D:$D,'Modelling New'!$T:$T)*1000,"")</f>
        <v>1886089.153916752</v>
      </c>
      <c r="AE345" s="240">
        <f>IFERROR(_xlfn.XLOOKUP($D345,'Modelling New'!$D:$D,'Modelling New'!$O:$O),"")</f>
        <v>0.80875851180650671</v>
      </c>
      <c r="AF345" s="240">
        <f>IFERROR(_xlfn.XLOOKUP($D345,'Modelling New'!$D:$D,'Modelling New'!$W:$W),"")</f>
        <v>0.23452449656918467</v>
      </c>
      <c r="AG345" s="240">
        <f>IFERROR(_xlfn.XLOOKUP($D345,'Modelling New'!$D:$D,'Modelling New'!AE:AE),"")</f>
        <v>0.99750000000000005</v>
      </c>
      <c r="AH345" s="240">
        <f>IFERROR(_xlfn.XLOOKUP($D345,'Modelling New'!$D:$D,'Modelling New'!AF:AF),"")</f>
        <v>0.99750000000000005</v>
      </c>
      <c r="AI345" s="186"/>
      <c r="AJ345" s="186"/>
      <c r="AK345" s="225"/>
      <c r="AL345" s="224">
        <f>IFERROR(Table13[[#This Row],[RA (%)]]*9270*58,"")</f>
        <v>0</v>
      </c>
      <c r="AM345" s="225"/>
      <c r="AN345" s="238"/>
      <c r="AO345" s="240"/>
      <c r="AP345" s="240"/>
      <c r="AQ345" s="240"/>
      <c r="AR345" s="242">
        <f>IFERROR(_xlfn.XLOOKUP($D345,'Modelling New'!$D:$D,'Modelling New'!$N:$N),"")</f>
        <v>335.09100000000001</v>
      </c>
    </row>
    <row r="346" spans="1:44">
      <c r="A346" s="233">
        <f t="shared" si="24"/>
        <v>46089</v>
      </c>
      <c r="B346" s="228">
        <f>YEAR(Table13[[#This Row],[Date]])+IF(MONTH(Table13[[#This Row],[Date]])&gt;=4,1,0)</f>
        <v>2026</v>
      </c>
      <c r="C346" s="186">
        <f>YEAR(Table13[[#This Row],[Date]])</f>
        <v>2026</v>
      </c>
      <c r="D346" s="234">
        <f>Table13[[#This Row],[Date]]-DAY(Table13[[#This Row],[Date]])+1</f>
        <v>46082</v>
      </c>
      <c r="E346" s="186">
        <f t="shared" si="25"/>
        <v>31</v>
      </c>
      <c r="F346" s="235" t="str">
        <f>IFERROR(_xlfn.XLOOKUP($A346,'Raw_Data'!$B:$B,'Raw_Data'!$IX:$IX),"")</f>
        <v/>
      </c>
      <c r="G346" s="236" t="str">
        <f>IFERROR(_xlfn.XLOOKUP($A346,'Raw_Data'!$B:$B,'Raw_Data'!IY:IY),"")</f>
        <v/>
      </c>
      <c r="H346" s="236" t="str">
        <f>IFERROR(_xlfn.XLOOKUP($A346,'Raw_Data'!$B:$B,'Raw_Data'!IZ:IZ),"")</f>
        <v/>
      </c>
      <c r="I346" s="236" t="str">
        <f>IFERROR(_xlfn.XLOOKUP($A346,'Raw_Data'!$B:$B,'Raw_Data'!JA:JA),"")</f>
        <v/>
      </c>
      <c r="J346" s="236" t="str">
        <f>IFERROR(_xlfn.XLOOKUP($A346,'Raw_Data'!$B:$B,'Raw_Data'!JB:JB),"")</f>
        <v/>
      </c>
      <c r="K346" s="236" t="str">
        <f>IFERROR(_xlfn.XLOOKUP($A346,'Raw_Data'!$B:$B,'Raw_Data'!JE:JE),"")</f>
        <v/>
      </c>
      <c r="L346" s="236" t="str">
        <f>IFERROR(_xlfn.XLOOKUP($A346,'Raw_Data'!$B:$B,'Raw_Data'!JF:JF),"")</f>
        <v/>
      </c>
      <c r="M346" s="236" t="str">
        <f>IFERROR(_xlfn.XLOOKUP($A346,'Raw_Data'!$B:$B,'Raw_Data'!JG:JG),"")</f>
        <v/>
      </c>
      <c r="N346" s="236" t="str">
        <f>IFERROR(_xlfn.XLOOKUP($A346,'Raw_Data'!$B:$B,'Raw_Data'!JH:JH),"")</f>
        <v/>
      </c>
      <c r="O346" s="237" t="str">
        <f>IFERROR(1-SUMIF(PA!$B:$B,$A346,PA!$AL:$AL)/($AA346+SUMIF(PA!$B:$B,$A346,PA!$AL:$AL)),"")</f>
        <v/>
      </c>
      <c r="P346" s="238"/>
      <c r="Q346" s="239"/>
      <c r="R346" s="240" t="str">
        <f>IFERROR(1-SUMIF(GA!$C:$C,$A346,GA!$X:$X)/($AA346+SUMIF(GA!$C:$C,$A346,GA!$X:$X)),"")</f>
        <v/>
      </c>
      <c r="S346" s="186"/>
      <c r="T346" s="239"/>
      <c r="U346" s="237" t="str">
        <f t="shared" si="22"/>
        <v/>
      </c>
      <c r="V346" s="237" t="str">
        <f>IFERROR(_xlfn.XLOOKUP($A346,'Raw_Data'!$B:$B,'Raw_Data'!$JL:$JL),"")</f>
        <v/>
      </c>
      <c r="W346" s="240" t="str">
        <f t="shared" si="23"/>
        <v/>
      </c>
      <c r="X346" s="228" t="str">
        <f>IFERROR(_xlfn.XLOOKUP($A346,'Raw_Data'!$B:$B,'Raw_Data'!$JI:$JI),"")</f>
        <v/>
      </c>
      <c r="Y346" s="228" t="str">
        <f>IFERROR(_xlfn.XLOOKUP($A346,'Raw_Data'!$B:$B,'Raw_Data'!IT:IT),"")</f>
        <v/>
      </c>
      <c r="Z346" s="228" t="str">
        <f>IFERROR(_xlfn.XLOOKUP($A346,'Raw_Data'!$B:$B,'Raw_Data'!IU:IU),"")</f>
        <v/>
      </c>
      <c r="AA346" s="228" t="str">
        <f>IFERROR(_xlfn.XLOOKUP($A346,'Raw_Data'!$B:$B,'Raw_Data'!IW:IW),"")</f>
        <v/>
      </c>
      <c r="AB346" s="228" t="str">
        <f>IFERROR(_xlfn.XLOOKUP($A346,'Raw_Data'!$B:$B,'Raw_Data'!I:I)/1000,"")</f>
        <v/>
      </c>
      <c r="AC346" s="241">
        <f>IFERROR(_xlfn.XLOOKUP($D346,'Modelling New'!$D:$D,'Modelling New'!$P:$P),"")</f>
        <v>6.9595408709677447</v>
      </c>
      <c r="AD346" s="228">
        <f>IFERROR(_xlfn.XLOOKUP($D346,'Modelling New'!$D:$D,'Modelling New'!$T:$T)*1000,"")</f>
        <v>1886089.153916752</v>
      </c>
      <c r="AE346" s="240">
        <f>IFERROR(_xlfn.XLOOKUP($D346,'Modelling New'!$D:$D,'Modelling New'!$O:$O),"")</f>
        <v>0.80875851180650671</v>
      </c>
      <c r="AF346" s="240">
        <f>IFERROR(_xlfn.XLOOKUP($D346,'Modelling New'!$D:$D,'Modelling New'!$W:$W),"")</f>
        <v>0.23452449656918467</v>
      </c>
      <c r="AG346" s="240">
        <f>IFERROR(_xlfn.XLOOKUP($D346,'Modelling New'!$D:$D,'Modelling New'!AE:AE),"")</f>
        <v>0.99750000000000005</v>
      </c>
      <c r="AH346" s="240">
        <f>IFERROR(_xlfn.XLOOKUP($D346,'Modelling New'!$D:$D,'Modelling New'!AF:AF),"")</f>
        <v>0.99750000000000005</v>
      </c>
      <c r="AI346" s="186"/>
      <c r="AJ346" s="186"/>
      <c r="AK346" s="225"/>
      <c r="AL346" s="224">
        <f>IFERROR(Table13[[#This Row],[RA (%)]]*9270*58,"")</f>
        <v>0</v>
      </c>
      <c r="AM346" s="225"/>
      <c r="AN346" s="238"/>
      <c r="AO346" s="240"/>
      <c r="AP346" s="240"/>
      <c r="AQ346" s="240"/>
      <c r="AR346" s="242">
        <f>IFERROR(_xlfn.XLOOKUP($D346,'Modelling New'!$D:$D,'Modelling New'!$N:$N),"")</f>
        <v>335.09100000000001</v>
      </c>
    </row>
    <row r="347" spans="1:44">
      <c r="A347" s="233">
        <f t="shared" si="24"/>
        <v>46090</v>
      </c>
      <c r="B347" s="228">
        <f>YEAR(Table13[[#This Row],[Date]])+IF(MONTH(Table13[[#This Row],[Date]])&gt;=4,1,0)</f>
        <v>2026</v>
      </c>
      <c r="C347" s="186">
        <f>YEAR(Table13[[#This Row],[Date]])</f>
        <v>2026</v>
      </c>
      <c r="D347" s="234">
        <f>Table13[[#This Row],[Date]]-DAY(Table13[[#This Row],[Date]])+1</f>
        <v>46082</v>
      </c>
      <c r="E347" s="186">
        <f t="shared" si="25"/>
        <v>31</v>
      </c>
      <c r="F347" s="235" t="str">
        <f>IFERROR(_xlfn.XLOOKUP($A347,'Raw_Data'!$B:$B,'Raw_Data'!$IX:$IX),"")</f>
        <v/>
      </c>
      <c r="G347" s="236" t="str">
        <f>IFERROR(_xlfn.XLOOKUP($A347,'Raw_Data'!$B:$B,'Raw_Data'!IY:IY),"")</f>
        <v/>
      </c>
      <c r="H347" s="236" t="str">
        <f>IFERROR(_xlfn.XLOOKUP($A347,'Raw_Data'!$B:$B,'Raw_Data'!IZ:IZ),"")</f>
        <v/>
      </c>
      <c r="I347" s="236" t="str">
        <f>IFERROR(_xlfn.XLOOKUP($A347,'Raw_Data'!$B:$B,'Raw_Data'!JA:JA),"")</f>
        <v/>
      </c>
      <c r="J347" s="236" t="str">
        <f>IFERROR(_xlfn.XLOOKUP($A347,'Raw_Data'!$B:$B,'Raw_Data'!JB:JB),"")</f>
        <v/>
      </c>
      <c r="K347" s="236" t="str">
        <f>IFERROR(_xlfn.XLOOKUP($A347,'Raw_Data'!$B:$B,'Raw_Data'!JE:JE),"")</f>
        <v/>
      </c>
      <c r="L347" s="236" t="str">
        <f>IFERROR(_xlfn.XLOOKUP($A347,'Raw_Data'!$B:$B,'Raw_Data'!JF:JF),"")</f>
        <v/>
      </c>
      <c r="M347" s="236" t="str">
        <f>IFERROR(_xlfn.XLOOKUP($A347,'Raw_Data'!$B:$B,'Raw_Data'!JG:JG),"")</f>
        <v/>
      </c>
      <c r="N347" s="236" t="str">
        <f>IFERROR(_xlfn.XLOOKUP($A347,'Raw_Data'!$B:$B,'Raw_Data'!JH:JH),"")</f>
        <v/>
      </c>
      <c r="O347" s="237" t="str">
        <f>IFERROR(1-SUMIF(PA!$B:$B,$A347,PA!$AL:$AL)/($AA347+SUMIF(PA!$B:$B,$A347,PA!$AL:$AL)),"")</f>
        <v/>
      </c>
      <c r="P347" s="238"/>
      <c r="Q347" s="239"/>
      <c r="R347" s="240" t="str">
        <f>IFERROR(1-SUMIF(GA!$C:$C,$A347,GA!$X:$X)/($AA347+SUMIF(GA!$C:$C,$A347,GA!$X:$X)),"")</f>
        <v/>
      </c>
      <c r="S347" s="186"/>
      <c r="T347" s="239"/>
      <c r="U347" s="237" t="str">
        <f t="shared" si="22"/>
        <v/>
      </c>
      <c r="V347" s="237" t="str">
        <f>IFERROR(_xlfn.XLOOKUP($A347,'Raw_Data'!$B:$B,'Raw_Data'!$JL:$JL),"")</f>
        <v/>
      </c>
      <c r="W347" s="240" t="str">
        <f t="shared" si="23"/>
        <v/>
      </c>
      <c r="X347" s="228" t="str">
        <f>IFERROR(_xlfn.XLOOKUP($A347,'Raw_Data'!$B:$B,'Raw_Data'!$JI:$JI),"")</f>
        <v/>
      </c>
      <c r="Y347" s="228" t="str">
        <f>IFERROR(_xlfn.XLOOKUP($A347,'Raw_Data'!$B:$B,'Raw_Data'!IT:IT),"")</f>
        <v/>
      </c>
      <c r="Z347" s="228" t="str">
        <f>IFERROR(_xlfn.XLOOKUP($A347,'Raw_Data'!$B:$B,'Raw_Data'!IU:IU),"")</f>
        <v/>
      </c>
      <c r="AA347" s="228" t="str">
        <f>IFERROR(_xlfn.XLOOKUP($A347,'Raw_Data'!$B:$B,'Raw_Data'!IW:IW),"")</f>
        <v/>
      </c>
      <c r="AB347" s="228" t="str">
        <f>IFERROR(_xlfn.XLOOKUP($A347,'Raw_Data'!$B:$B,'Raw_Data'!I:I)/1000,"")</f>
        <v/>
      </c>
      <c r="AC347" s="241">
        <f>IFERROR(_xlfn.XLOOKUP($D347,'Modelling New'!$D:$D,'Modelling New'!$P:$P),"")</f>
        <v>6.9595408709677447</v>
      </c>
      <c r="AD347" s="228">
        <f>IFERROR(_xlfn.XLOOKUP($D347,'Modelling New'!$D:$D,'Modelling New'!$T:$T)*1000,"")</f>
        <v>1886089.153916752</v>
      </c>
      <c r="AE347" s="240">
        <f>IFERROR(_xlfn.XLOOKUP($D347,'Modelling New'!$D:$D,'Modelling New'!$O:$O),"")</f>
        <v>0.80875851180650671</v>
      </c>
      <c r="AF347" s="240">
        <f>IFERROR(_xlfn.XLOOKUP($D347,'Modelling New'!$D:$D,'Modelling New'!$W:$W),"")</f>
        <v>0.23452449656918467</v>
      </c>
      <c r="AG347" s="240">
        <f>IFERROR(_xlfn.XLOOKUP($D347,'Modelling New'!$D:$D,'Modelling New'!AE:AE),"")</f>
        <v>0.99750000000000005</v>
      </c>
      <c r="AH347" s="240">
        <f>IFERROR(_xlfn.XLOOKUP($D347,'Modelling New'!$D:$D,'Modelling New'!AF:AF),"")</f>
        <v>0.99750000000000005</v>
      </c>
      <c r="AI347" s="186"/>
      <c r="AJ347" s="186"/>
      <c r="AK347" s="225"/>
      <c r="AL347" s="224">
        <f>IFERROR(Table13[[#This Row],[RA (%)]]*9270*58,"")</f>
        <v>0</v>
      </c>
      <c r="AM347" s="225"/>
      <c r="AN347" s="238"/>
      <c r="AO347" s="240"/>
      <c r="AP347" s="240"/>
      <c r="AQ347" s="240"/>
      <c r="AR347" s="242">
        <f>IFERROR(_xlfn.XLOOKUP($D347,'Modelling New'!$D:$D,'Modelling New'!$N:$N),"")</f>
        <v>335.09100000000001</v>
      </c>
    </row>
    <row r="348" spans="1:44">
      <c r="A348" s="233">
        <f t="shared" si="24"/>
        <v>46091</v>
      </c>
      <c r="B348" s="228">
        <f>YEAR(Table13[[#This Row],[Date]])+IF(MONTH(Table13[[#This Row],[Date]])&gt;=4,1,0)</f>
        <v>2026</v>
      </c>
      <c r="C348" s="186">
        <f>YEAR(Table13[[#This Row],[Date]])</f>
        <v>2026</v>
      </c>
      <c r="D348" s="234">
        <f>Table13[[#This Row],[Date]]-DAY(Table13[[#This Row],[Date]])+1</f>
        <v>46082</v>
      </c>
      <c r="E348" s="186">
        <f t="shared" si="25"/>
        <v>31</v>
      </c>
      <c r="F348" s="235" t="str">
        <f>IFERROR(_xlfn.XLOOKUP($A348,'Raw_Data'!$B:$B,'Raw_Data'!$IX:$IX),"")</f>
        <v/>
      </c>
      <c r="G348" s="236" t="str">
        <f>IFERROR(_xlfn.XLOOKUP($A348,'Raw_Data'!$B:$B,'Raw_Data'!IY:IY),"")</f>
        <v/>
      </c>
      <c r="H348" s="236" t="str">
        <f>IFERROR(_xlfn.XLOOKUP($A348,'Raw_Data'!$B:$B,'Raw_Data'!IZ:IZ),"")</f>
        <v/>
      </c>
      <c r="I348" s="236" t="str">
        <f>IFERROR(_xlfn.XLOOKUP($A348,'Raw_Data'!$B:$B,'Raw_Data'!JA:JA),"")</f>
        <v/>
      </c>
      <c r="J348" s="236" t="str">
        <f>IFERROR(_xlfn.XLOOKUP($A348,'Raw_Data'!$B:$B,'Raw_Data'!JB:JB),"")</f>
        <v/>
      </c>
      <c r="K348" s="236" t="str">
        <f>IFERROR(_xlfn.XLOOKUP($A348,'Raw_Data'!$B:$B,'Raw_Data'!JE:JE),"")</f>
        <v/>
      </c>
      <c r="L348" s="236" t="str">
        <f>IFERROR(_xlfn.XLOOKUP($A348,'Raw_Data'!$B:$B,'Raw_Data'!JF:JF),"")</f>
        <v/>
      </c>
      <c r="M348" s="236" t="str">
        <f>IFERROR(_xlfn.XLOOKUP($A348,'Raw_Data'!$B:$B,'Raw_Data'!JG:JG),"")</f>
        <v/>
      </c>
      <c r="N348" s="236" t="str">
        <f>IFERROR(_xlfn.XLOOKUP($A348,'Raw_Data'!$B:$B,'Raw_Data'!JH:JH),"")</f>
        <v/>
      </c>
      <c r="O348" s="237" t="str">
        <f>IFERROR(1-SUMIF(PA!$B:$B,$A348,PA!$AL:$AL)/($AA348+SUMIF(PA!$B:$B,$A348,PA!$AL:$AL)),"")</f>
        <v/>
      </c>
      <c r="P348" s="238"/>
      <c r="Q348" s="239"/>
      <c r="R348" s="240" t="str">
        <f>IFERROR(1-SUMIF(GA!$C:$C,$A348,GA!$X:$X)/($AA348+SUMIF(GA!$C:$C,$A348,GA!$X:$X)),"")</f>
        <v/>
      </c>
      <c r="S348" s="186"/>
      <c r="T348" s="239"/>
      <c r="U348" s="237" t="str">
        <f t="shared" si="22"/>
        <v/>
      </c>
      <c r="V348" s="237" t="str">
        <f>IFERROR(_xlfn.XLOOKUP($A348,'Raw_Data'!$B:$B,'Raw_Data'!$JL:$JL),"")</f>
        <v/>
      </c>
      <c r="W348" s="240" t="str">
        <f t="shared" si="23"/>
        <v/>
      </c>
      <c r="X348" s="228" t="str">
        <f>IFERROR(_xlfn.XLOOKUP($A348,'Raw_Data'!$B:$B,'Raw_Data'!$JI:$JI),"")</f>
        <v/>
      </c>
      <c r="Y348" s="228" t="str">
        <f>IFERROR(_xlfn.XLOOKUP($A348,'Raw_Data'!$B:$B,'Raw_Data'!IT:IT),"")</f>
        <v/>
      </c>
      <c r="Z348" s="228" t="str">
        <f>IFERROR(_xlfn.XLOOKUP($A348,'Raw_Data'!$B:$B,'Raw_Data'!IU:IU),"")</f>
        <v/>
      </c>
      <c r="AA348" s="228" t="str">
        <f>IFERROR(_xlfn.XLOOKUP($A348,'Raw_Data'!$B:$B,'Raw_Data'!IW:IW),"")</f>
        <v/>
      </c>
      <c r="AB348" s="228" t="str">
        <f>IFERROR(_xlfn.XLOOKUP($A348,'Raw_Data'!$B:$B,'Raw_Data'!I:I)/1000,"")</f>
        <v/>
      </c>
      <c r="AC348" s="241">
        <f>IFERROR(_xlfn.XLOOKUP($D348,'Modelling New'!$D:$D,'Modelling New'!$P:$P),"")</f>
        <v>6.9595408709677447</v>
      </c>
      <c r="AD348" s="228">
        <f>IFERROR(_xlfn.XLOOKUP($D348,'Modelling New'!$D:$D,'Modelling New'!$T:$T)*1000,"")</f>
        <v>1886089.153916752</v>
      </c>
      <c r="AE348" s="240">
        <f>IFERROR(_xlfn.XLOOKUP($D348,'Modelling New'!$D:$D,'Modelling New'!$O:$O),"")</f>
        <v>0.80875851180650671</v>
      </c>
      <c r="AF348" s="240">
        <f>IFERROR(_xlfn.XLOOKUP($D348,'Modelling New'!$D:$D,'Modelling New'!$W:$W),"")</f>
        <v>0.23452449656918467</v>
      </c>
      <c r="AG348" s="240">
        <f>IFERROR(_xlfn.XLOOKUP($D348,'Modelling New'!$D:$D,'Modelling New'!AE:AE),"")</f>
        <v>0.99750000000000005</v>
      </c>
      <c r="AH348" s="240">
        <f>IFERROR(_xlfn.XLOOKUP($D348,'Modelling New'!$D:$D,'Modelling New'!AF:AF),"")</f>
        <v>0.99750000000000005</v>
      </c>
      <c r="AI348" s="186"/>
      <c r="AJ348" s="186"/>
      <c r="AK348" s="225"/>
      <c r="AL348" s="224">
        <f>IFERROR(Table13[[#This Row],[RA (%)]]*9270*58,"")</f>
        <v>0</v>
      </c>
      <c r="AM348" s="225"/>
      <c r="AN348" s="238"/>
      <c r="AO348" s="240"/>
      <c r="AP348" s="240"/>
      <c r="AQ348" s="240"/>
      <c r="AR348" s="242">
        <f>IFERROR(_xlfn.XLOOKUP($D348,'Modelling New'!$D:$D,'Modelling New'!$N:$N),"")</f>
        <v>335.09100000000001</v>
      </c>
    </row>
    <row r="349" spans="1:44">
      <c r="A349" s="233">
        <f t="shared" si="24"/>
        <v>46092</v>
      </c>
      <c r="B349" s="228">
        <f>YEAR(Table13[[#This Row],[Date]])+IF(MONTH(Table13[[#This Row],[Date]])&gt;=4,1,0)</f>
        <v>2026</v>
      </c>
      <c r="C349" s="186">
        <f>YEAR(Table13[[#This Row],[Date]])</f>
        <v>2026</v>
      </c>
      <c r="D349" s="234">
        <f>Table13[[#This Row],[Date]]-DAY(Table13[[#This Row],[Date]])+1</f>
        <v>46082</v>
      </c>
      <c r="E349" s="186">
        <f t="shared" si="25"/>
        <v>31</v>
      </c>
      <c r="F349" s="235" t="str">
        <f>IFERROR(_xlfn.XLOOKUP($A349,'Raw_Data'!$B:$B,'Raw_Data'!$IX:$IX),"")</f>
        <v/>
      </c>
      <c r="G349" s="236" t="str">
        <f>IFERROR(_xlfn.XLOOKUP($A349,'Raw_Data'!$B:$B,'Raw_Data'!IY:IY),"")</f>
        <v/>
      </c>
      <c r="H349" s="236" t="str">
        <f>IFERROR(_xlfn.XLOOKUP($A349,'Raw_Data'!$B:$B,'Raw_Data'!IZ:IZ),"")</f>
        <v/>
      </c>
      <c r="I349" s="236" t="str">
        <f>IFERROR(_xlfn.XLOOKUP($A349,'Raw_Data'!$B:$B,'Raw_Data'!JA:JA),"")</f>
        <v/>
      </c>
      <c r="J349" s="236" t="str">
        <f>IFERROR(_xlfn.XLOOKUP($A349,'Raw_Data'!$B:$B,'Raw_Data'!JB:JB),"")</f>
        <v/>
      </c>
      <c r="K349" s="236" t="str">
        <f>IFERROR(_xlfn.XLOOKUP($A349,'Raw_Data'!$B:$B,'Raw_Data'!JE:JE),"")</f>
        <v/>
      </c>
      <c r="L349" s="236" t="str">
        <f>IFERROR(_xlfn.XLOOKUP($A349,'Raw_Data'!$B:$B,'Raw_Data'!JF:JF),"")</f>
        <v/>
      </c>
      <c r="M349" s="236" t="str">
        <f>IFERROR(_xlfn.XLOOKUP($A349,'Raw_Data'!$B:$B,'Raw_Data'!JG:JG),"")</f>
        <v/>
      </c>
      <c r="N349" s="236" t="str">
        <f>IFERROR(_xlfn.XLOOKUP($A349,'Raw_Data'!$B:$B,'Raw_Data'!JH:JH),"")</f>
        <v/>
      </c>
      <c r="O349" s="237" t="str">
        <f>IFERROR(1-SUMIF(PA!$B:$B,$A349,PA!$AL:$AL)/($AA349+SUMIF(PA!$B:$B,$A349,PA!$AL:$AL)),"")</f>
        <v/>
      </c>
      <c r="P349" s="238"/>
      <c r="Q349" s="239"/>
      <c r="R349" s="240" t="str">
        <f>IFERROR(1-SUMIF(GA!$C:$C,$A349,GA!$X:$X)/($AA349+SUMIF(GA!$C:$C,$A349,GA!$X:$X)),"")</f>
        <v/>
      </c>
      <c r="S349" s="186"/>
      <c r="T349" s="239"/>
      <c r="U349" s="237" t="str">
        <f t="shared" si="22"/>
        <v/>
      </c>
      <c r="V349" s="237" t="str">
        <f>IFERROR(_xlfn.XLOOKUP($A349,'Raw_Data'!$B:$B,'Raw_Data'!$JL:$JL),"")</f>
        <v/>
      </c>
      <c r="W349" s="240" t="str">
        <f t="shared" si="23"/>
        <v/>
      </c>
      <c r="X349" s="228" t="str">
        <f>IFERROR(_xlfn.XLOOKUP($A349,'Raw_Data'!$B:$B,'Raw_Data'!$JI:$JI),"")</f>
        <v/>
      </c>
      <c r="Y349" s="228" t="str">
        <f>IFERROR(_xlfn.XLOOKUP($A349,'Raw_Data'!$B:$B,'Raw_Data'!IT:IT),"")</f>
        <v/>
      </c>
      <c r="Z349" s="228" t="str">
        <f>IFERROR(_xlfn.XLOOKUP($A349,'Raw_Data'!$B:$B,'Raw_Data'!IU:IU),"")</f>
        <v/>
      </c>
      <c r="AA349" s="228" t="str">
        <f>IFERROR(_xlfn.XLOOKUP($A349,'Raw_Data'!$B:$B,'Raw_Data'!IW:IW),"")</f>
        <v/>
      </c>
      <c r="AB349" s="228" t="str">
        <f>IFERROR(_xlfn.XLOOKUP($A349,'Raw_Data'!$B:$B,'Raw_Data'!I:I)/1000,"")</f>
        <v/>
      </c>
      <c r="AC349" s="241">
        <f>IFERROR(_xlfn.XLOOKUP($D349,'Modelling New'!$D:$D,'Modelling New'!$P:$P),"")</f>
        <v>6.9595408709677447</v>
      </c>
      <c r="AD349" s="228">
        <f>IFERROR(_xlfn.XLOOKUP($D349,'Modelling New'!$D:$D,'Modelling New'!$T:$T)*1000,"")</f>
        <v>1886089.153916752</v>
      </c>
      <c r="AE349" s="240">
        <f>IFERROR(_xlfn.XLOOKUP($D349,'Modelling New'!$D:$D,'Modelling New'!$O:$O),"")</f>
        <v>0.80875851180650671</v>
      </c>
      <c r="AF349" s="240">
        <f>IFERROR(_xlfn.XLOOKUP($D349,'Modelling New'!$D:$D,'Modelling New'!$W:$W),"")</f>
        <v>0.23452449656918467</v>
      </c>
      <c r="AG349" s="240">
        <f>IFERROR(_xlfn.XLOOKUP($D349,'Modelling New'!$D:$D,'Modelling New'!AE:AE),"")</f>
        <v>0.99750000000000005</v>
      </c>
      <c r="AH349" s="240">
        <f>IFERROR(_xlfn.XLOOKUP($D349,'Modelling New'!$D:$D,'Modelling New'!AF:AF),"")</f>
        <v>0.99750000000000005</v>
      </c>
      <c r="AI349" s="186"/>
      <c r="AJ349" s="186"/>
      <c r="AK349" s="225"/>
      <c r="AL349" s="224">
        <f>IFERROR(Table13[[#This Row],[RA (%)]]*9270*58,"")</f>
        <v>0</v>
      </c>
      <c r="AM349" s="225"/>
      <c r="AN349" s="238"/>
      <c r="AO349" s="240"/>
      <c r="AP349" s="240"/>
      <c r="AQ349" s="240"/>
      <c r="AR349" s="242">
        <f>IFERROR(_xlfn.XLOOKUP($D349,'Modelling New'!$D:$D,'Modelling New'!$N:$N),"")</f>
        <v>335.09100000000001</v>
      </c>
    </row>
    <row r="350" spans="1:44">
      <c r="A350" s="233">
        <f t="shared" si="24"/>
        <v>46093</v>
      </c>
      <c r="B350" s="228">
        <f>YEAR(Table13[[#This Row],[Date]])+IF(MONTH(Table13[[#This Row],[Date]])&gt;=4,1,0)</f>
        <v>2026</v>
      </c>
      <c r="C350" s="186">
        <f>YEAR(Table13[[#This Row],[Date]])</f>
        <v>2026</v>
      </c>
      <c r="D350" s="234">
        <f>Table13[[#This Row],[Date]]-DAY(Table13[[#This Row],[Date]])+1</f>
        <v>46082</v>
      </c>
      <c r="E350" s="186">
        <f t="shared" si="25"/>
        <v>31</v>
      </c>
      <c r="F350" s="235" t="str">
        <f>IFERROR(_xlfn.XLOOKUP($A350,'Raw_Data'!$B:$B,'Raw_Data'!$IX:$IX),"")</f>
        <v/>
      </c>
      <c r="G350" s="236" t="str">
        <f>IFERROR(_xlfn.XLOOKUP($A350,'Raw_Data'!$B:$B,'Raw_Data'!IY:IY),"")</f>
        <v/>
      </c>
      <c r="H350" s="236" t="str">
        <f>IFERROR(_xlfn.XLOOKUP($A350,'Raw_Data'!$B:$B,'Raw_Data'!IZ:IZ),"")</f>
        <v/>
      </c>
      <c r="I350" s="236" t="str">
        <f>IFERROR(_xlfn.XLOOKUP($A350,'Raw_Data'!$B:$B,'Raw_Data'!JA:JA),"")</f>
        <v/>
      </c>
      <c r="J350" s="236" t="str">
        <f>IFERROR(_xlfn.XLOOKUP($A350,'Raw_Data'!$B:$B,'Raw_Data'!JB:JB),"")</f>
        <v/>
      </c>
      <c r="K350" s="236" t="str">
        <f>IFERROR(_xlfn.XLOOKUP($A350,'Raw_Data'!$B:$B,'Raw_Data'!JE:JE),"")</f>
        <v/>
      </c>
      <c r="L350" s="236" t="str">
        <f>IFERROR(_xlfn.XLOOKUP($A350,'Raw_Data'!$B:$B,'Raw_Data'!JF:JF),"")</f>
        <v/>
      </c>
      <c r="M350" s="236" t="str">
        <f>IFERROR(_xlfn.XLOOKUP($A350,'Raw_Data'!$B:$B,'Raw_Data'!JG:JG),"")</f>
        <v/>
      </c>
      <c r="N350" s="236" t="str">
        <f>IFERROR(_xlfn.XLOOKUP($A350,'Raw_Data'!$B:$B,'Raw_Data'!JH:JH),"")</f>
        <v/>
      </c>
      <c r="O350" s="237" t="str">
        <f>IFERROR(1-SUMIF(PA!$B:$B,$A350,PA!$AL:$AL)/($AA350+SUMIF(PA!$B:$B,$A350,PA!$AL:$AL)),"")</f>
        <v/>
      </c>
      <c r="P350" s="238"/>
      <c r="Q350" s="239"/>
      <c r="R350" s="240" t="str">
        <f>IFERROR(1-SUMIF(GA!$C:$C,$A350,GA!$X:$X)/($AA350+SUMIF(GA!$C:$C,$A350,GA!$X:$X)),"")</f>
        <v/>
      </c>
      <c r="S350" s="186"/>
      <c r="T350" s="239"/>
      <c r="U350" s="237" t="str">
        <f t="shared" si="22"/>
        <v/>
      </c>
      <c r="V350" s="237" t="str">
        <f>IFERROR(_xlfn.XLOOKUP($A350,'Raw_Data'!$B:$B,'Raw_Data'!$JL:$JL),"")</f>
        <v/>
      </c>
      <c r="W350" s="240" t="str">
        <f t="shared" si="23"/>
        <v/>
      </c>
      <c r="X350" s="228" t="str">
        <f>IFERROR(_xlfn.XLOOKUP($A350,'Raw_Data'!$B:$B,'Raw_Data'!$JI:$JI),"")</f>
        <v/>
      </c>
      <c r="Y350" s="228" t="str">
        <f>IFERROR(_xlfn.XLOOKUP($A350,'Raw_Data'!$B:$B,'Raw_Data'!IT:IT),"")</f>
        <v/>
      </c>
      <c r="Z350" s="228" t="str">
        <f>IFERROR(_xlfn.XLOOKUP($A350,'Raw_Data'!$B:$B,'Raw_Data'!IU:IU),"")</f>
        <v/>
      </c>
      <c r="AA350" s="228" t="str">
        <f>IFERROR(_xlfn.XLOOKUP($A350,'Raw_Data'!$B:$B,'Raw_Data'!IW:IW),"")</f>
        <v/>
      </c>
      <c r="AB350" s="228" t="str">
        <f>IFERROR(_xlfn.XLOOKUP($A350,'Raw_Data'!$B:$B,'Raw_Data'!I:I)/1000,"")</f>
        <v/>
      </c>
      <c r="AC350" s="241">
        <f>IFERROR(_xlfn.XLOOKUP($D350,'Modelling New'!$D:$D,'Modelling New'!$P:$P),"")</f>
        <v>6.9595408709677447</v>
      </c>
      <c r="AD350" s="228">
        <f>IFERROR(_xlfn.XLOOKUP($D350,'Modelling New'!$D:$D,'Modelling New'!$T:$T)*1000,"")</f>
        <v>1886089.153916752</v>
      </c>
      <c r="AE350" s="240">
        <f>IFERROR(_xlfn.XLOOKUP($D350,'Modelling New'!$D:$D,'Modelling New'!$O:$O),"")</f>
        <v>0.80875851180650671</v>
      </c>
      <c r="AF350" s="240">
        <f>IFERROR(_xlfn.XLOOKUP($D350,'Modelling New'!$D:$D,'Modelling New'!$W:$W),"")</f>
        <v>0.23452449656918467</v>
      </c>
      <c r="AG350" s="240">
        <f>IFERROR(_xlfn.XLOOKUP($D350,'Modelling New'!$D:$D,'Modelling New'!AE:AE),"")</f>
        <v>0.99750000000000005</v>
      </c>
      <c r="AH350" s="240">
        <f>IFERROR(_xlfn.XLOOKUP($D350,'Modelling New'!$D:$D,'Modelling New'!AF:AF),"")</f>
        <v>0.99750000000000005</v>
      </c>
      <c r="AI350" s="186"/>
      <c r="AJ350" s="186"/>
      <c r="AK350" s="225"/>
      <c r="AL350" s="224">
        <f>IFERROR(Table13[[#This Row],[RA (%)]]*9270*58,"")</f>
        <v>0</v>
      </c>
      <c r="AM350" s="225"/>
      <c r="AN350" s="238"/>
      <c r="AO350" s="240"/>
      <c r="AP350" s="240"/>
      <c r="AQ350" s="240"/>
      <c r="AR350" s="242">
        <f>IFERROR(_xlfn.XLOOKUP($D350,'Modelling New'!$D:$D,'Modelling New'!$N:$N),"")</f>
        <v>335.09100000000001</v>
      </c>
    </row>
    <row r="351" spans="1:44">
      <c r="A351" s="233">
        <f t="shared" si="24"/>
        <v>46094</v>
      </c>
      <c r="B351" s="228">
        <f>YEAR(Table13[[#This Row],[Date]])+IF(MONTH(Table13[[#This Row],[Date]])&gt;=4,1,0)</f>
        <v>2026</v>
      </c>
      <c r="C351" s="186">
        <f>YEAR(Table13[[#This Row],[Date]])</f>
        <v>2026</v>
      </c>
      <c r="D351" s="234">
        <f>Table13[[#This Row],[Date]]-DAY(Table13[[#This Row],[Date]])+1</f>
        <v>46082</v>
      </c>
      <c r="E351" s="186">
        <f t="shared" si="25"/>
        <v>31</v>
      </c>
      <c r="F351" s="235" t="str">
        <f>IFERROR(_xlfn.XLOOKUP($A351,'Raw_Data'!$B:$B,'Raw_Data'!$IX:$IX),"")</f>
        <v/>
      </c>
      <c r="G351" s="236" t="str">
        <f>IFERROR(_xlfn.XLOOKUP($A351,'Raw_Data'!$B:$B,'Raw_Data'!IY:IY),"")</f>
        <v/>
      </c>
      <c r="H351" s="236" t="str">
        <f>IFERROR(_xlfn.XLOOKUP($A351,'Raw_Data'!$B:$B,'Raw_Data'!IZ:IZ),"")</f>
        <v/>
      </c>
      <c r="I351" s="236" t="str">
        <f>IFERROR(_xlfn.XLOOKUP($A351,'Raw_Data'!$B:$B,'Raw_Data'!JA:JA),"")</f>
        <v/>
      </c>
      <c r="J351" s="236" t="str">
        <f>IFERROR(_xlfn.XLOOKUP($A351,'Raw_Data'!$B:$B,'Raw_Data'!JB:JB),"")</f>
        <v/>
      </c>
      <c r="K351" s="236" t="str">
        <f>IFERROR(_xlfn.XLOOKUP($A351,'Raw_Data'!$B:$B,'Raw_Data'!JE:JE),"")</f>
        <v/>
      </c>
      <c r="L351" s="236" t="str">
        <f>IFERROR(_xlfn.XLOOKUP($A351,'Raw_Data'!$B:$B,'Raw_Data'!JF:JF),"")</f>
        <v/>
      </c>
      <c r="M351" s="236" t="str">
        <f>IFERROR(_xlfn.XLOOKUP($A351,'Raw_Data'!$B:$B,'Raw_Data'!JG:JG),"")</f>
        <v/>
      </c>
      <c r="N351" s="236" t="str">
        <f>IFERROR(_xlfn.XLOOKUP($A351,'Raw_Data'!$B:$B,'Raw_Data'!JH:JH),"")</f>
        <v/>
      </c>
      <c r="O351" s="237" t="str">
        <f>IFERROR(1-SUMIF(PA!$B:$B,$A351,PA!$AL:$AL)/($AA351+SUMIF(PA!$B:$B,$A351,PA!$AL:$AL)),"")</f>
        <v/>
      </c>
      <c r="P351" s="238"/>
      <c r="Q351" s="239"/>
      <c r="R351" s="240" t="str">
        <f>IFERROR(1-SUMIF(GA!$C:$C,$A351,GA!$X:$X)/($AA351+SUMIF(GA!$C:$C,$A351,GA!$X:$X)),"")</f>
        <v/>
      </c>
      <c r="S351" s="186"/>
      <c r="T351" s="239"/>
      <c r="U351" s="237" t="str">
        <f t="shared" si="22"/>
        <v/>
      </c>
      <c r="V351" s="237" t="str">
        <f>IFERROR(_xlfn.XLOOKUP($A351,'Raw_Data'!$B:$B,'Raw_Data'!$JL:$JL),"")</f>
        <v/>
      </c>
      <c r="W351" s="240" t="str">
        <f t="shared" si="23"/>
        <v/>
      </c>
      <c r="X351" s="228" t="str">
        <f>IFERROR(_xlfn.XLOOKUP($A351,'Raw_Data'!$B:$B,'Raw_Data'!$JI:$JI),"")</f>
        <v/>
      </c>
      <c r="Y351" s="228" t="str">
        <f>IFERROR(_xlfn.XLOOKUP($A351,'Raw_Data'!$B:$B,'Raw_Data'!IT:IT),"")</f>
        <v/>
      </c>
      <c r="Z351" s="228" t="str">
        <f>IFERROR(_xlfn.XLOOKUP($A351,'Raw_Data'!$B:$B,'Raw_Data'!IU:IU),"")</f>
        <v/>
      </c>
      <c r="AA351" s="228" t="str">
        <f>IFERROR(_xlfn.XLOOKUP($A351,'Raw_Data'!$B:$B,'Raw_Data'!IW:IW),"")</f>
        <v/>
      </c>
      <c r="AB351" s="228" t="str">
        <f>IFERROR(_xlfn.XLOOKUP($A351,'Raw_Data'!$B:$B,'Raw_Data'!I:I)/1000,"")</f>
        <v/>
      </c>
      <c r="AC351" s="241">
        <f>IFERROR(_xlfn.XLOOKUP($D351,'Modelling New'!$D:$D,'Modelling New'!$P:$P),"")</f>
        <v>6.9595408709677447</v>
      </c>
      <c r="AD351" s="228">
        <f>IFERROR(_xlfn.XLOOKUP($D351,'Modelling New'!$D:$D,'Modelling New'!$T:$T)*1000,"")</f>
        <v>1886089.153916752</v>
      </c>
      <c r="AE351" s="240">
        <f>IFERROR(_xlfn.XLOOKUP($D351,'Modelling New'!$D:$D,'Modelling New'!$O:$O),"")</f>
        <v>0.80875851180650671</v>
      </c>
      <c r="AF351" s="240">
        <f>IFERROR(_xlfn.XLOOKUP($D351,'Modelling New'!$D:$D,'Modelling New'!$W:$W),"")</f>
        <v>0.23452449656918467</v>
      </c>
      <c r="AG351" s="240">
        <f>IFERROR(_xlfn.XLOOKUP($D351,'Modelling New'!$D:$D,'Modelling New'!AE:AE),"")</f>
        <v>0.99750000000000005</v>
      </c>
      <c r="AH351" s="240">
        <f>IFERROR(_xlfn.XLOOKUP($D351,'Modelling New'!$D:$D,'Modelling New'!AF:AF),"")</f>
        <v>0.99750000000000005</v>
      </c>
      <c r="AI351" s="186"/>
      <c r="AJ351" s="186"/>
      <c r="AK351" s="225"/>
      <c r="AL351" s="224">
        <f>IFERROR(Table13[[#This Row],[RA (%)]]*9270*58,"")</f>
        <v>0</v>
      </c>
      <c r="AM351" s="225"/>
      <c r="AN351" s="238"/>
      <c r="AO351" s="240"/>
      <c r="AP351" s="240"/>
      <c r="AQ351" s="240"/>
      <c r="AR351" s="242">
        <f>IFERROR(_xlfn.XLOOKUP($D351,'Modelling New'!$D:$D,'Modelling New'!$N:$N),"")</f>
        <v>335.09100000000001</v>
      </c>
    </row>
    <row r="352" spans="1:44">
      <c r="A352" s="233">
        <f t="shared" si="24"/>
        <v>46095</v>
      </c>
      <c r="B352" s="228">
        <f>YEAR(Table13[[#This Row],[Date]])+IF(MONTH(Table13[[#This Row],[Date]])&gt;=4,1,0)</f>
        <v>2026</v>
      </c>
      <c r="C352" s="186">
        <f>YEAR(Table13[[#This Row],[Date]])</f>
        <v>2026</v>
      </c>
      <c r="D352" s="234">
        <f>Table13[[#This Row],[Date]]-DAY(Table13[[#This Row],[Date]])+1</f>
        <v>46082</v>
      </c>
      <c r="E352" s="186">
        <f t="shared" si="25"/>
        <v>31</v>
      </c>
      <c r="F352" s="235" t="str">
        <f>IFERROR(_xlfn.XLOOKUP($A352,'Raw_Data'!$B:$B,'Raw_Data'!$IX:$IX),"")</f>
        <v/>
      </c>
      <c r="G352" s="236" t="str">
        <f>IFERROR(_xlfn.XLOOKUP($A352,'Raw_Data'!$B:$B,'Raw_Data'!IY:IY),"")</f>
        <v/>
      </c>
      <c r="H352" s="236" t="str">
        <f>IFERROR(_xlfn.XLOOKUP($A352,'Raw_Data'!$B:$B,'Raw_Data'!IZ:IZ),"")</f>
        <v/>
      </c>
      <c r="I352" s="236" t="str">
        <f>IFERROR(_xlfn.XLOOKUP($A352,'Raw_Data'!$B:$B,'Raw_Data'!JA:JA),"")</f>
        <v/>
      </c>
      <c r="J352" s="236" t="str">
        <f>IFERROR(_xlfn.XLOOKUP($A352,'Raw_Data'!$B:$B,'Raw_Data'!JB:JB),"")</f>
        <v/>
      </c>
      <c r="K352" s="236" t="str">
        <f>IFERROR(_xlfn.XLOOKUP($A352,'Raw_Data'!$B:$B,'Raw_Data'!JE:JE),"")</f>
        <v/>
      </c>
      <c r="L352" s="236" t="str">
        <f>IFERROR(_xlfn.XLOOKUP($A352,'Raw_Data'!$B:$B,'Raw_Data'!JF:JF),"")</f>
        <v/>
      </c>
      <c r="M352" s="236" t="str">
        <f>IFERROR(_xlfn.XLOOKUP($A352,'Raw_Data'!$B:$B,'Raw_Data'!JG:JG),"")</f>
        <v/>
      </c>
      <c r="N352" s="236" t="str">
        <f>IFERROR(_xlfn.XLOOKUP($A352,'Raw_Data'!$B:$B,'Raw_Data'!JH:JH),"")</f>
        <v/>
      </c>
      <c r="O352" s="237" t="str">
        <f>IFERROR(1-SUMIF(PA!$B:$B,$A352,PA!$AL:$AL)/($AA352+SUMIF(PA!$B:$B,$A352,PA!$AL:$AL)),"")</f>
        <v/>
      </c>
      <c r="P352" s="238"/>
      <c r="Q352" s="239"/>
      <c r="R352" s="240" t="str">
        <f>IFERROR(1-SUMIF(GA!$C:$C,$A352,GA!$X:$X)/($AA352+SUMIF(GA!$C:$C,$A352,GA!$X:$X)),"")</f>
        <v/>
      </c>
      <c r="S352" s="186"/>
      <c r="T352" s="239"/>
      <c r="U352" s="237" t="str">
        <f t="shared" si="22"/>
        <v/>
      </c>
      <c r="V352" s="237" t="str">
        <f>IFERROR(_xlfn.XLOOKUP($A352,'Raw_Data'!$B:$B,'Raw_Data'!$JL:$JL),"")</f>
        <v/>
      </c>
      <c r="W352" s="240" t="str">
        <f t="shared" si="23"/>
        <v/>
      </c>
      <c r="X352" s="228" t="str">
        <f>IFERROR(_xlfn.XLOOKUP($A352,'Raw_Data'!$B:$B,'Raw_Data'!$JI:$JI),"")</f>
        <v/>
      </c>
      <c r="Y352" s="228" t="str">
        <f>IFERROR(_xlfn.XLOOKUP($A352,'Raw_Data'!$B:$B,'Raw_Data'!IT:IT),"")</f>
        <v/>
      </c>
      <c r="Z352" s="228" t="str">
        <f>IFERROR(_xlfn.XLOOKUP($A352,'Raw_Data'!$B:$B,'Raw_Data'!IU:IU),"")</f>
        <v/>
      </c>
      <c r="AA352" s="228" t="str">
        <f>IFERROR(_xlfn.XLOOKUP($A352,'Raw_Data'!$B:$B,'Raw_Data'!IW:IW),"")</f>
        <v/>
      </c>
      <c r="AB352" s="228" t="str">
        <f>IFERROR(_xlfn.XLOOKUP($A352,'Raw_Data'!$B:$B,'Raw_Data'!I:I)/1000,"")</f>
        <v/>
      </c>
      <c r="AC352" s="241">
        <f>IFERROR(_xlfn.XLOOKUP($D352,'Modelling New'!$D:$D,'Modelling New'!$P:$P),"")</f>
        <v>6.9595408709677447</v>
      </c>
      <c r="AD352" s="228">
        <f>IFERROR(_xlfn.XLOOKUP($D352,'Modelling New'!$D:$D,'Modelling New'!$T:$T)*1000,"")</f>
        <v>1886089.153916752</v>
      </c>
      <c r="AE352" s="240">
        <f>IFERROR(_xlfn.XLOOKUP($D352,'Modelling New'!$D:$D,'Modelling New'!$O:$O),"")</f>
        <v>0.80875851180650671</v>
      </c>
      <c r="AF352" s="240">
        <f>IFERROR(_xlfn.XLOOKUP($D352,'Modelling New'!$D:$D,'Modelling New'!$W:$W),"")</f>
        <v>0.23452449656918467</v>
      </c>
      <c r="AG352" s="240">
        <f>IFERROR(_xlfn.XLOOKUP($D352,'Modelling New'!$D:$D,'Modelling New'!AE:AE),"")</f>
        <v>0.99750000000000005</v>
      </c>
      <c r="AH352" s="240">
        <f>IFERROR(_xlfn.XLOOKUP($D352,'Modelling New'!$D:$D,'Modelling New'!AF:AF),"")</f>
        <v>0.99750000000000005</v>
      </c>
      <c r="AI352" s="186"/>
      <c r="AJ352" s="186"/>
      <c r="AK352" s="225"/>
      <c r="AL352" s="224">
        <f>IFERROR(Table13[[#This Row],[RA (%)]]*9270*58,"")</f>
        <v>0</v>
      </c>
      <c r="AM352" s="225"/>
      <c r="AN352" s="238"/>
      <c r="AO352" s="240"/>
      <c r="AP352" s="240"/>
      <c r="AQ352" s="240"/>
      <c r="AR352" s="242">
        <f>IFERROR(_xlfn.XLOOKUP($D352,'Modelling New'!$D:$D,'Modelling New'!$N:$N),"")</f>
        <v>335.09100000000001</v>
      </c>
    </row>
    <row r="353" spans="1:44">
      <c r="A353" s="233">
        <f t="shared" si="24"/>
        <v>46096</v>
      </c>
      <c r="B353" s="228">
        <f>YEAR(Table13[[#This Row],[Date]])+IF(MONTH(Table13[[#This Row],[Date]])&gt;=4,1,0)</f>
        <v>2026</v>
      </c>
      <c r="C353" s="186">
        <f>YEAR(Table13[[#This Row],[Date]])</f>
        <v>2026</v>
      </c>
      <c r="D353" s="234">
        <f>Table13[[#This Row],[Date]]-DAY(Table13[[#This Row],[Date]])+1</f>
        <v>46082</v>
      </c>
      <c r="E353" s="186">
        <f t="shared" si="25"/>
        <v>31</v>
      </c>
      <c r="F353" s="235" t="str">
        <f>IFERROR(_xlfn.XLOOKUP($A353,'Raw_Data'!$B:$B,'Raw_Data'!$IX:$IX),"")</f>
        <v/>
      </c>
      <c r="G353" s="236" t="str">
        <f>IFERROR(_xlfn.XLOOKUP($A353,'Raw_Data'!$B:$B,'Raw_Data'!IY:IY),"")</f>
        <v/>
      </c>
      <c r="H353" s="236" t="str">
        <f>IFERROR(_xlfn.XLOOKUP($A353,'Raw_Data'!$B:$B,'Raw_Data'!IZ:IZ),"")</f>
        <v/>
      </c>
      <c r="I353" s="236" t="str">
        <f>IFERROR(_xlfn.XLOOKUP($A353,'Raw_Data'!$B:$B,'Raw_Data'!JA:JA),"")</f>
        <v/>
      </c>
      <c r="J353" s="236" t="str">
        <f>IFERROR(_xlfn.XLOOKUP($A353,'Raw_Data'!$B:$B,'Raw_Data'!JB:JB),"")</f>
        <v/>
      </c>
      <c r="K353" s="236" t="str">
        <f>IFERROR(_xlfn.XLOOKUP($A353,'Raw_Data'!$B:$B,'Raw_Data'!JE:JE),"")</f>
        <v/>
      </c>
      <c r="L353" s="236" t="str">
        <f>IFERROR(_xlfn.XLOOKUP($A353,'Raw_Data'!$B:$B,'Raw_Data'!JF:JF),"")</f>
        <v/>
      </c>
      <c r="M353" s="236" t="str">
        <f>IFERROR(_xlfn.XLOOKUP($A353,'Raw_Data'!$B:$B,'Raw_Data'!JG:JG),"")</f>
        <v/>
      </c>
      <c r="N353" s="236" t="str">
        <f>IFERROR(_xlfn.XLOOKUP($A353,'Raw_Data'!$B:$B,'Raw_Data'!JH:JH),"")</f>
        <v/>
      </c>
      <c r="O353" s="237" t="str">
        <f>IFERROR(1-SUMIF(PA!$B:$B,$A353,PA!$AL:$AL)/($AA353+SUMIF(PA!$B:$B,$A353,PA!$AL:$AL)),"")</f>
        <v/>
      </c>
      <c r="P353" s="238"/>
      <c r="Q353" s="239"/>
      <c r="R353" s="240" t="str">
        <f>IFERROR(1-SUMIF(GA!$C:$C,$A353,GA!$X:$X)/($AA353+SUMIF(GA!$C:$C,$A353,GA!$X:$X)),"")</f>
        <v/>
      </c>
      <c r="S353" s="186"/>
      <c r="T353" s="239"/>
      <c r="U353" s="237" t="str">
        <f t="shared" si="22"/>
        <v/>
      </c>
      <c r="V353" s="237" t="str">
        <f>IFERROR(_xlfn.XLOOKUP($A353,'Raw_Data'!$B:$B,'Raw_Data'!$JL:$JL),"")</f>
        <v/>
      </c>
      <c r="W353" s="240" t="str">
        <f t="shared" si="23"/>
        <v/>
      </c>
      <c r="X353" s="228" t="str">
        <f>IFERROR(_xlfn.XLOOKUP($A353,'Raw_Data'!$B:$B,'Raw_Data'!$JI:$JI),"")</f>
        <v/>
      </c>
      <c r="Y353" s="228" t="str">
        <f>IFERROR(_xlfn.XLOOKUP($A353,'Raw_Data'!$B:$B,'Raw_Data'!IT:IT),"")</f>
        <v/>
      </c>
      <c r="Z353" s="228" t="str">
        <f>IFERROR(_xlfn.XLOOKUP($A353,'Raw_Data'!$B:$B,'Raw_Data'!IU:IU),"")</f>
        <v/>
      </c>
      <c r="AA353" s="228" t="str">
        <f>IFERROR(_xlfn.XLOOKUP($A353,'Raw_Data'!$B:$B,'Raw_Data'!IW:IW),"")</f>
        <v/>
      </c>
      <c r="AB353" s="228" t="str">
        <f>IFERROR(_xlfn.XLOOKUP($A353,'Raw_Data'!$B:$B,'Raw_Data'!I:I)/1000,"")</f>
        <v/>
      </c>
      <c r="AC353" s="241">
        <f>IFERROR(_xlfn.XLOOKUP($D353,'Modelling New'!$D:$D,'Modelling New'!$P:$P),"")</f>
        <v>6.9595408709677447</v>
      </c>
      <c r="AD353" s="228">
        <f>IFERROR(_xlfn.XLOOKUP($D353,'Modelling New'!$D:$D,'Modelling New'!$T:$T)*1000,"")</f>
        <v>1886089.153916752</v>
      </c>
      <c r="AE353" s="240">
        <f>IFERROR(_xlfn.XLOOKUP($D353,'Modelling New'!$D:$D,'Modelling New'!$O:$O),"")</f>
        <v>0.80875851180650671</v>
      </c>
      <c r="AF353" s="240">
        <f>IFERROR(_xlfn.XLOOKUP($D353,'Modelling New'!$D:$D,'Modelling New'!$W:$W),"")</f>
        <v>0.23452449656918467</v>
      </c>
      <c r="AG353" s="240">
        <f>IFERROR(_xlfn.XLOOKUP($D353,'Modelling New'!$D:$D,'Modelling New'!AE:AE),"")</f>
        <v>0.99750000000000005</v>
      </c>
      <c r="AH353" s="240">
        <f>IFERROR(_xlfn.XLOOKUP($D353,'Modelling New'!$D:$D,'Modelling New'!AF:AF),"")</f>
        <v>0.99750000000000005</v>
      </c>
      <c r="AI353" s="186"/>
      <c r="AJ353" s="186"/>
      <c r="AK353" s="225"/>
      <c r="AL353" s="224">
        <f>IFERROR(Table13[[#This Row],[RA (%)]]*9270*58,"")</f>
        <v>0</v>
      </c>
      <c r="AM353" s="225"/>
      <c r="AN353" s="238"/>
      <c r="AO353" s="240"/>
      <c r="AP353" s="240"/>
      <c r="AQ353" s="240"/>
      <c r="AR353" s="242">
        <f>IFERROR(_xlfn.XLOOKUP($D353,'Modelling New'!$D:$D,'Modelling New'!$N:$N),"")</f>
        <v>335.09100000000001</v>
      </c>
    </row>
    <row r="354" spans="1:44">
      <c r="A354" s="233">
        <f t="shared" si="24"/>
        <v>46097</v>
      </c>
      <c r="B354" s="228">
        <f>YEAR(Table13[[#This Row],[Date]])+IF(MONTH(Table13[[#This Row],[Date]])&gt;=4,1,0)</f>
        <v>2026</v>
      </c>
      <c r="C354" s="186">
        <f>YEAR(Table13[[#This Row],[Date]])</f>
        <v>2026</v>
      </c>
      <c r="D354" s="234">
        <f>Table13[[#This Row],[Date]]-DAY(Table13[[#This Row],[Date]])+1</f>
        <v>46082</v>
      </c>
      <c r="E354" s="186">
        <f t="shared" si="25"/>
        <v>31</v>
      </c>
      <c r="F354" s="235" t="str">
        <f>IFERROR(_xlfn.XLOOKUP($A354,'Raw_Data'!$B:$B,'Raw_Data'!$IX:$IX),"")</f>
        <v/>
      </c>
      <c r="G354" s="236" t="str">
        <f>IFERROR(_xlfn.XLOOKUP($A354,'Raw_Data'!$B:$B,'Raw_Data'!IY:IY),"")</f>
        <v/>
      </c>
      <c r="H354" s="236" t="str">
        <f>IFERROR(_xlfn.XLOOKUP($A354,'Raw_Data'!$B:$B,'Raw_Data'!IZ:IZ),"")</f>
        <v/>
      </c>
      <c r="I354" s="236" t="str">
        <f>IFERROR(_xlfn.XLOOKUP($A354,'Raw_Data'!$B:$B,'Raw_Data'!JA:JA),"")</f>
        <v/>
      </c>
      <c r="J354" s="236" t="str">
        <f>IFERROR(_xlfn.XLOOKUP($A354,'Raw_Data'!$B:$B,'Raw_Data'!JB:JB),"")</f>
        <v/>
      </c>
      <c r="K354" s="236" t="str">
        <f>IFERROR(_xlfn.XLOOKUP($A354,'Raw_Data'!$B:$B,'Raw_Data'!JE:JE),"")</f>
        <v/>
      </c>
      <c r="L354" s="236" t="str">
        <f>IFERROR(_xlfn.XLOOKUP($A354,'Raw_Data'!$B:$B,'Raw_Data'!JF:JF),"")</f>
        <v/>
      </c>
      <c r="M354" s="236" t="str">
        <f>IFERROR(_xlfn.XLOOKUP($A354,'Raw_Data'!$B:$B,'Raw_Data'!JG:JG),"")</f>
        <v/>
      </c>
      <c r="N354" s="236" t="str">
        <f>IFERROR(_xlfn.XLOOKUP($A354,'Raw_Data'!$B:$B,'Raw_Data'!JH:JH),"")</f>
        <v/>
      </c>
      <c r="O354" s="237" t="str">
        <f>IFERROR(1-SUMIF(PA!$B:$B,$A354,PA!$AL:$AL)/($AA354+SUMIF(PA!$B:$B,$A354,PA!$AL:$AL)),"")</f>
        <v/>
      </c>
      <c r="P354" s="238"/>
      <c r="Q354" s="239"/>
      <c r="R354" s="240" t="str">
        <f>IFERROR(1-SUMIF(GA!$C:$C,$A354,GA!$X:$X)/($AA354+SUMIF(GA!$C:$C,$A354,GA!$X:$X)),"")</f>
        <v/>
      </c>
      <c r="S354" s="186"/>
      <c r="T354" s="239"/>
      <c r="U354" s="237" t="str">
        <f t="shared" si="22"/>
        <v/>
      </c>
      <c r="V354" s="237" t="str">
        <f>IFERROR(_xlfn.XLOOKUP($A354,'Raw_Data'!$B:$B,'Raw_Data'!$JL:$JL),"")</f>
        <v/>
      </c>
      <c r="W354" s="240" t="str">
        <f t="shared" si="23"/>
        <v/>
      </c>
      <c r="X354" s="228" t="str">
        <f>IFERROR(_xlfn.XLOOKUP($A354,'Raw_Data'!$B:$B,'Raw_Data'!$JI:$JI),"")</f>
        <v/>
      </c>
      <c r="Y354" s="228" t="str">
        <f>IFERROR(_xlfn.XLOOKUP($A354,'Raw_Data'!$B:$B,'Raw_Data'!IT:IT),"")</f>
        <v/>
      </c>
      <c r="Z354" s="228" t="str">
        <f>IFERROR(_xlfn.XLOOKUP($A354,'Raw_Data'!$B:$B,'Raw_Data'!IU:IU),"")</f>
        <v/>
      </c>
      <c r="AA354" s="228" t="str">
        <f>IFERROR(_xlfn.XLOOKUP($A354,'Raw_Data'!$B:$B,'Raw_Data'!IW:IW),"")</f>
        <v/>
      </c>
      <c r="AB354" s="228" t="str">
        <f>IFERROR(_xlfn.XLOOKUP($A354,'Raw_Data'!$B:$B,'Raw_Data'!I:I)/1000,"")</f>
        <v/>
      </c>
      <c r="AC354" s="241">
        <f>IFERROR(_xlfn.XLOOKUP($D354,'Modelling New'!$D:$D,'Modelling New'!$P:$P),"")</f>
        <v>6.9595408709677447</v>
      </c>
      <c r="AD354" s="228">
        <f>IFERROR(_xlfn.XLOOKUP($D354,'Modelling New'!$D:$D,'Modelling New'!$T:$T)*1000,"")</f>
        <v>1886089.153916752</v>
      </c>
      <c r="AE354" s="240">
        <f>IFERROR(_xlfn.XLOOKUP($D354,'Modelling New'!$D:$D,'Modelling New'!$O:$O),"")</f>
        <v>0.80875851180650671</v>
      </c>
      <c r="AF354" s="240">
        <f>IFERROR(_xlfn.XLOOKUP($D354,'Modelling New'!$D:$D,'Modelling New'!$W:$W),"")</f>
        <v>0.23452449656918467</v>
      </c>
      <c r="AG354" s="240">
        <f>IFERROR(_xlfn.XLOOKUP($D354,'Modelling New'!$D:$D,'Modelling New'!AE:AE),"")</f>
        <v>0.99750000000000005</v>
      </c>
      <c r="AH354" s="240">
        <f>IFERROR(_xlfn.XLOOKUP($D354,'Modelling New'!$D:$D,'Modelling New'!AF:AF),"")</f>
        <v>0.99750000000000005</v>
      </c>
      <c r="AI354" s="186"/>
      <c r="AJ354" s="186"/>
      <c r="AK354" s="225"/>
      <c r="AL354" s="224">
        <f>IFERROR(Table13[[#This Row],[RA (%)]]*9270*58,"")</f>
        <v>0</v>
      </c>
      <c r="AM354" s="225"/>
      <c r="AN354" s="238"/>
      <c r="AO354" s="240"/>
      <c r="AP354" s="240"/>
      <c r="AQ354" s="240"/>
      <c r="AR354" s="242">
        <f>IFERROR(_xlfn.XLOOKUP($D354,'Modelling New'!$D:$D,'Modelling New'!$N:$N),"")</f>
        <v>335.09100000000001</v>
      </c>
    </row>
    <row r="355" spans="1:44">
      <c r="A355" s="233">
        <f t="shared" si="24"/>
        <v>46098</v>
      </c>
      <c r="B355" s="228">
        <f>YEAR(Table13[[#This Row],[Date]])+IF(MONTH(Table13[[#This Row],[Date]])&gt;=4,1,0)</f>
        <v>2026</v>
      </c>
      <c r="C355" s="186">
        <f>YEAR(Table13[[#This Row],[Date]])</f>
        <v>2026</v>
      </c>
      <c r="D355" s="234">
        <f>Table13[[#This Row],[Date]]-DAY(Table13[[#This Row],[Date]])+1</f>
        <v>46082</v>
      </c>
      <c r="E355" s="186">
        <f t="shared" si="25"/>
        <v>31</v>
      </c>
      <c r="F355" s="235" t="str">
        <f>IFERROR(_xlfn.XLOOKUP($A355,'Raw_Data'!$B:$B,'Raw_Data'!$IX:$IX),"")</f>
        <v/>
      </c>
      <c r="G355" s="236" t="str">
        <f>IFERROR(_xlfn.XLOOKUP($A355,'Raw_Data'!$B:$B,'Raw_Data'!IY:IY),"")</f>
        <v/>
      </c>
      <c r="H355" s="236" t="str">
        <f>IFERROR(_xlfn.XLOOKUP($A355,'Raw_Data'!$B:$B,'Raw_Data'!IZ:IZ),"")</f>
        <v/>
      </c>
      <c r="I355" s="236" t="str">
        <f>IFERROR(_xlfn.XLOOKUP($A355,'Raw_Data'!$B:$B,'Raw_Data'!JA:JA),"")</f>
        <v/>
      </c>
      <c r="J355" s="236" t="str">
        <f>IFERROR(_xlfn.XLOOKUP($A355,'Raw_Data'!$B:$B,'Raw_Data'!JB:JB),"")</f>
        <v/>
      </c>
      <c r="K355" s="236" t="str">
        <f>IFERROR(_xlfn.XLOOKUP($A355,'Raw_Data'!$B:$B,'Raw_Data'!JE:JE),"")</f>
        <v/>
      </c>
      <c r="L355" s="236" t="str">
        <f>IFERROR(_xlfn.XLOOKUP($A355,'Raw_Data'!$B:$B,'Raw_Data'!JF:JF),"")</f>
        <v/>
      </c>
      <c r="M355" s="236" t="str">
        <f>IFERROR(_xlfn.XLOOKUP($A355,'Raw_Data'!$B:$B,'Raw_Data'!JG:JG),"")</f>
        <v/>
      </c>
      <c r="N355" s="236" t="str">
        <f>IFERROR(_xlfn.XLOOKUP($A355,'Raw_Data'!$B:$B,'Raw_Data'!JH:JH),"")</f>
        <v/>
      </c>
      <c r="O355" s="237" t="str">
        <f>IFERROR(1-SUMIF(PA!$B:$B,$A355,PA!$AL:$AL)/($AA355+SUMIF(PA!$B:$B,$A355,PA!$AL:$AL)),"")</f>
        <v/>
      </c>
      <c r="P355" s="238"/>
      <c r="Q355" s="239"/>
      <c r="R355" s="240" t="str">
        <f>IFERROR(1-SUMIF(GA!$C:$C,$A355,GA!$X:$X)/($AA355+SUMIF(GA!$C:$C,$A355,GA!$X:$X)),"")</f>
        <v/>
      </c>
      <c r="S355" s="186"/>
      <c r="T355" s="239"/>
      <c r="U355" s="237" t="str">
        <f t="shared" si="22"/>
        <v/>
      </c>
      <c r="V355" s="237" t="str">
        <f>IFERROR(_xlfn.XLOOKUP($A355,'Raw_Data'!$B:$B,'Raw_Data'!$JL:$JL),"")</f>
        <v/>
      </c>
      <c r="W355" s="240" t="str">
        <f t="shared" si="23"/>
        <v/>
      </c>
      <c r="X355" s="228" t="str">
        <f>IFERROR(_xlfn.XLOOKUP($A355,'Raw_Data'!$B:$B,'Raw_Data'!$JI:$JI),"")</f>
        <v/>
      </c>
      <c r="Y355" s="228" t="str">
        <f>IFERROR(_xlfn.XLOOKUP($A355,'Raw_Data'!$B:$B,'Raw_Data'!IT:IT),"")</f>
        <v/>
      </c>
      <c r="Z355" s="228" t="str">
        <f>IFERROR(_xlfn.XLOOKUP($A355,'Raw_Data'!$B:$B,'Raw_Data'!IU:IU),"")</f>
        <v/>
      </c>
      <c r="AA355" s="228" t="str">
        <f>IFERROR(_xlfn.XLOOKUP($A355,'Raw_Data'!$B:$B,'Raw_Data'!IW:IW),"")</f>
        <v/>
      </c>
      <c r="AB355" s="228" t="str">
        <f>IFERROR(_xlfn.XLOOKUP($A355,'Raw_Data'!$B:$B,'Raw_Data'!I:I)/1000,"")</f>
        <v/>
      </c>
      <c r="AC355" s="241">
        <f>IFERROR(_xlfn.XLOOKUP($D355,'Modelling New'!$D:$D,'Modelling New'!$P:$P),"")</f>
        <v>6.9595408709677447</v>
      </c>
      <c r="AD355" s="228">
        <f>IFERROR(_xlfn.XLOOKUP($D355,'Modelling New'!$D:$D,'Modelling New'!$T:$T)*1000,"")</f>
        <v>1886089.153916752</v>
      </c>
      <c r="AE355" s="240">
        <f>IFERROR(_xlfn.XLOOKUP($D355,'Modelling New'!$D:$D,'Modelling New'!$O:$O),"")</f>
        <v>0.80875851180650671</v>
      </c>
      <c r="AF355" s="240">
        <f>IFERROR(_xlfn.XLOOKUP($D355,'Modelling New'!$D:$D,'Modelling New'!$W:$W),"")</f>
        <v>0.23452449656918467</v>
      </c>
      <c r="AG355" s="240">
        <f>IFERROR(_xlfn.XLOOKUP($D355,'Modelling New'!$D:$D,'Modelling New'!AE:AE),"")</f>
        <v>0.99750000000000005</v>
      </c>
      <c r="AH355" s="240">
        <f>IFERROR(_xlfn.XLOOKUP($D355,'Modelling New'!$D:$D,'Modelling New'!AF:AF),"")</f>
        <v>0.99750000000000005</v>
      </c>
      <c r="AI355" s="186"/>
      <c r="AJ355" s="186"/>
      <c r="AK355" s="225"/>
      <c r="AL355" s="224">
        <f>IFERROR(Table13[[#This Row],[RA (%)]]*9270*58,"")</f>
        <v>0</v>
      </c>
      <c r="AM355" s="225"/>
      <c r="AN355" s="238"/>
      <c r="AO355" s="240"/>
      <c r="AP355" s="240"/>
      <c r="AQ355" s="240"/>
      <c r="AR355" s="242">
        <f>IFERROR(_xlfn.XLOOKUP($D355,'Modelling New'!$D:$D,'Modelling New'!$N:$N),"")</f>
        <v>335.09100000000001</v>
      </c>
    </row>
    <row r="356" spans="1:44">
      <c r="A356" s="233">
        <f t="shared" si="24"/>
        <v>46099</v>
      </c>
      <c r="B356" s="228">
        <f>YEAR(Table13[[#This Row],[Date]])+IF(MONTH(Table13[[#This Row],[Date]])&gt;=4,1,0)</f>
        <v>2026</v>
      </c>
      <c r="C356" s="186">
        <f>YEAR(Table13[[#This Row],[Date]])</f>
        <v>2026</v>
      </c>
      <c r="D356" s="234">
        <f>Table13[[#This Row],[Date]]-DAY(Table13[[#This Row],[Date]])+1</f>
        <v>46082</v>
      </c>
      <c r="E356" s="186">
        <f t="shared" si="25"/>
        <v>31</v>
      </c>
      <c r="F356" s="235" t="str">
        <f>IFERROR(_xlfn.XLOOKUP($A356,'Raw_Data'!$B:$B,'Raw_Data'!$IX:$IX),"")</f>
        <v/>
      </c>
      <c r="G356" s="236" t="str">
        <f>IFERROR(_xlfn.XLOOKUP($A356,'Raw_Data'!$B:$B,'Raw_Data'!IY:IY),"")</f>
        <v/>
      </c>
      <c r="H356" s="236" t="str">
        <f>IFERROR(_xlfn.XLOOKUP($A356,'Raw_Data'!$B:$B,'Raw_Data'!IZ:IZ),"")</f>
        <v/>
      </c>
      <c r="I356" s="236" t="str">
        <f>IFERROR(_xlfn.XLOOKUP($A356,'Raw_Data'!$B:$B,'Raw_Data'!JA:JA),"")</f>
        <v/>
      </c>
      <c r="J356" s="236" t="str">
        <f>IFERROR(_xlfn.XLOOKUP($A356,'Raw_Data'!$B:$B,'Raw_Data'!JB:JB),"")</f>
        <v/>
      </c>
      <c r="K356" s="236" t="str">
        <f>IFERROR(_xlfn.XLOOKUP($A356,'Raw_Data'!$B:$B,'Raw_Data'!JE:JE),"")</f>
        <v/>
      </c>
      <c r="L356" s="236" t="str">
        <f>IFERROR(_xlfn.XLOOKUP($A356,'Raw_Data'!$B:$B,'Raw_Data'!JF:JF),"")</f>
        <v/>
      </c>
      <c r="M356" s="236" t="str">
        <f>IFERROR(_xlfn.XLOOKUP($A356,'Raw_Data'!$B:$B,'Raw_Data'!JG:JG),"")</f>
        <v/>
      </c>
      <c r="N356" s="236" t="str">
        <f>IFERROR(_xlfn.XLOOKUP($A356,'Raw_Data'!$B:$B,'Raw_Data'!JH:JH),"")</f>
        <v/>
      </c>
      <c r="O356" s="237" t="str">
        <f>IFERROR(1-SUMIF(PA!$B:$B,$A356,PA!$AL:$AL)/($AA356+SUMIF(PA!$B:$B,$A356,PA!$AL:$AL)),"")</f>
        <v/>
      </c>
      <c r="P356" s="238"/>
      <c r="Q356" s="239"/>
      <c r="R356" s="240" t="str">
        <f>IFERROR(1-SUMIF(GA!$C:$C,$A356,GA!$X:$X)/($AA356+SUMIF(GA!$C:$C,$A356,GA!$X:$X)),"")</f>
        <v/>
      </c>
      <c r="S356" s="186"/>
      <c r="T356" s="239"/>
      <c r="U356" s="237" t="str">
        <f t="shared" si="22"/>
        <v/>
      </c>
      <c r="V356" s="237" t="str">
        <f>IFERROR(_xlfn.XLOOKUP($A356,'Raw_Data'!$B:$B,'Raw_Data'!$JL:$JL),"")</f>
        <v/>
      </c>
      <c r="W356" s="240" t="str">
        <f t="shared" si="23"/>
        <v/>
      </c>
      <c r="X356" s="228" t="str">
        <f>IFERROR(_xlfn.XLOOKUP($A356,'Raw_Data'!$B:$B,'Raw_Data'!$JI:$JI),"")</f>
        <v/>
      </c>
      <c r="Y356" s="228" t="str">
        <f>IFERROR(_xlfn.XLOOKUP($A356,'Raw_Data'!$B:$B,'Raw_Data'!IT:IT),"")</f>
        <v/>
      </c>
      <c r="Z356" s="228" t="str">
        <f>IFERROR(_xlfn.XLOOKUP($A356,'Raw_Data'!$B:$B,'Raw_Data'!IU:IU),"")</f>
        <v/>
      </c>
      <c r="AA356" s="228" t="str">
        <f>IFERROR(_xlfn.XLOOKUP($A356,'Raw_Data'!$B:$B,'Raw_Data'!IW:IW),"")</f>
        <v/>
      </c>
      <c r="AB356" s="228" t="str">
        <f>IFERROR(_xlfn.XLOOKUP($A356,'Raw_Data'!$B:$B,'Raw_Data'!I:I)/1000,"")</f>
        <v/>
      </c>
      <c r="AC356" s="241">
        <f>IFERROR(_xlfn.XLOOKUP($D356,'Modelling New'!$D:$D,'Modelling New'!$P:$P),"")</f>
        <v>6.9595408709677447</v>
      </c>
      <c r="AD356" s="228">
        <f>IFERROR(_xlfn.XLOOKUP($D356,'Modelling New'!$D:$D,'Modelling New'!$T:$T)*1000,"")</f>
        <v>1886089.153916752</v>
      </c>
      <c r="AE356" s="240">
        <f>IFERROR(_xlfn.XLOOKUP($D356,'Modelling New'!$D:$D,'Modelling New'!$O:$O),"")</f>
        <v>0.80875851180650671</v>
      </c>
      <c r="AF356" s="240">
        <f>IFERROR(_xlfn.XLOOKUP($D356,'Modelling New'!$D:$D,'Modelling New'!$W:$W),"")</f>
        <v>0.23452449656918467</v>
      </c>
      <c r="AG356" s="240">
        <f>IFERROR(_xlfn.XLOOKUP($D356,'Modelling New'!$D:$D,'Modelling New'!AE:AE),"")</f>
        <v>0.99750000000000005</v>
      </c>
      <c r="AH356" s="240">
        <f>IFERROR(_xlfn.XLOOKUP($D356,'Modelling New'!$D:$D,'Modelling New'!AF:AF),"")</f>
        <v>0.99750000000000005</v>
      </c>
      <c r="AI356" s="186"/>
      <c r="AJ356" s="186"/>
      <c r="AK356" s="225"/>
      <c r="AL356" s="224">
        <f>IFERROR(Table13[[#This Row],[RA (%)]]*9270*58,"")</f>
        <v>0</v>
      </c>
      <c r="AM356" s="225"/>
      <c r="AN356" s="238"/>
      <c r="AO356" s="240"/>
      <c r="AP356" s="240"/>
      <c r="AQ356" s="240"/>
      <c r="AR356" s="242">
        <f>IFERROR(_xlfn.XLOOKUP($D356,'Modelling New'!$D:$D,'Modelling New'!$N:$N),"")</f>
        <v>335.09100000000001</v>
      </c>
    </row>
    <row r="357" spans="1:44">
      <c r="A357" s="233">
        <f t="shared" si="24"/>
        <v>46100</v>
      </c>
      <c r="B357" s="228">
        <f>YEAR(Table13[[#This Row],[Date]])+IF(MONTH(Table13[[#This Row],[Date]])&gt;=4,1,0)</f>
        <v>2026</v>
      </c>
      <c r="C357" s="186">
        <f>YEAR(Table13[[#This Row],[Date]])</f>
        <v>2026</v>
      </c>
      <c r="D357" s="234">
        <f>Table13[[#This Row],[Date]]-DAY(Table13[[#This Row],[Date]])+1</f>
        <v>46082</v>
      </c>
      <c r="E357" s="186">
        <f t="shared" si="25"/>
        <v>31</v>
      </c>
      <c r="F357" s="235" t="str">
        <f>IFERROR(_xlfn.XLOOKUP($A357,'Raw_Data'!$B:$B,'Raw_Data'!$IX:$IX),"")</f>
        <v/>
      </c>
      <c r="G357" s="236" t="str">
        <f>IFERROR(_xlfn.XLOOKUP($A357,'Raw_Data'!$B:$B,'Raw_Data'!IY:IY),"")</f>
        <v/>
      </c>
      <c r="H357" s="236" t="str">
        <f>IFERROR(_xlfn.XLOOKUP($A357,'Raw_Data'!$B:$B,'Raw_Data'!IZ:IZ),"")</f>
        <v/>
      </c>
      <c r="I357" s="236" t="str">
        <f>IFERROR(_xlfn.XLOOKUP($A357,'Raw_Data'!$B:$B,'Raw_Data'!JA:JA),"")</f>
        <v/>
      </c>
      <c r="J357" s="236" t="str">
        <f>IFERROR(_xlfn.XLOOKUP($A357,'Raw_Data'!$B:$B,'Raw_Data'!JB:JB),"")</f>
        <v/>
      </c>
      <c r="K357" s="236" t="str">
        <f>IFERROR(_xlfn.XLOOKUP($A357,'Raw_Data'!$B:$B,'Raw_Data'!JE:JE),"")</f>
        <v/>
      </c>
      <c r="L357" s="236" t="str">
        <f>IFERROR(_xlfn.XLOOKUP($A357,'Raw_Data'!$B:$B,'Raw_Data'!JF:JF),"")</f>
        <v/>
      </c>
      <c r="M357" s="236" t="str">
        <f>IFERROR(_xlfn.XLOOKUP($A357,'Raw_Data'!$B:$B,'Raw_Data'!JG:JG),"")</f>
        <v/>
      </c>
      <c r="N357" s="236" t="str">
        <f>IFERROR(_xlfn.XLOOKUP($A357,'Raw_Data'!$B:$B,'Raw_Data'!JH:JH),"")</f>
        <v/>
      </c>
      <c r="O357" s="237" t="str">
        <f>IFERROR(1-SUMIF(PA!$B:$B,$A357,PA!$AL:$AL)/($AA357+SUMIF(PA!$B:$B,$A357,PA!$AL:$AL)),"")</f>
        <v/>
      </c>
      <c r="P357" s="238"/>
      <c r="Q357" s="239"/>
      <c r="R357" s="240" t="str">
        <f>IFERROR(1-SUMIF(GA!$C:$C,$A357,GA!$X:$X)/($AA357+SUMIF(GA!$C:$C,$A357,GA!$X:$X)),"")</f>
        <v/>
      </c>
      <c r="S357" s="186"/>
      <c r="T357" s="239"/>
      <c r="U357" s="237" t="str">
        <f t="shared" si="22"/>
        <v/>
      </c>
      <c r="V357" s="237" t="str">
        <f>IFERROR(_xlfn.XLOOKUP($A357,'Raw_Data'!$B:$B,'Raw_Data'!$JL:$JL),"")</f>
        <v/>
      </c>
      <c r="W357" s="240" t="str">
        <f t="shared" si="23"/>
        <v/>
      </c>
      <c r="X357" s="228" t="str">
        <f>IFERROR(_xlfn.XLOOKUP($A357,'Raw_Data'!$B:$B,'Raw_Data'!$JI:$JI),"")</f>
        <v/>
      </c>
      <c r="Y357" s="228" t="str">
        <f>IFERROR(_xlfn.XLOOKUP($A357,'Raw_Data'!$B:$B,'Raw_Data'!IT:IT),"")</f>
        <v/>
      </c>
      <c r="Z357" s="228" t="str">
        <f>IFERROR(_xlfn.XLOOKUP($A357,'Raw_Data'!$B:$B,'Raw_Data'!IU:IU),"")</f>
        <v/>
      </c>
      <c r="AA357" s="228" t="str">
        <f>IFERROR(_xlfn.XLOOKUP($A357,'Raw_Data'!$B:$B,'Raw_Data'!IW:IW),"")</f>
        <v/>
      </c>
      <c r="AB357" s="228" t="str">
        <f>IFERROR(_xlfn.XLOOKUP($A357,'Raw_Data'!$B:$B,'Raw_Data'!I:I)/1000,"")</f>
        <v/>
      </c>
      <c r="AC357" s="241">
        <f>IFERROR(_xlfn.XLOOKUP($D357,'Modelling New'!$D:$D,'Modelling New'!$P:$P),"")</f>
        <v>6.9595408709677447</v>
      </c>
      <c r="AD357" s="228">
        <f>IFERROR(_xlfn.XLOOKUP($D357,'Modelling New'!$D:$D,'Modelling New'!$T:$T)*1000,"")</f>
        <v>1886089.153916752</v>
      </c>
      <c r="AE357" s="240">
        <f>IFERROR(_xlfn.XLOOKUP($D357,'Modelling New'!$D:$D,'Modelling New'!$O:$O),"")</f>
        <v>0.80875851180650671</v>
      </c>
      <c r="AF357" s="240">
        <f>IFERROR(_xlfn.XLOOKUP($D357,'Modelling New'!$D:$D,'Modelling New'!$W:$W),"")</f>
        <v>0.23452449656918467</v>
      </c>
      <c r="AG357" s="240">
        <f>IFERROR(_xlfn.XLOOKUP($D357,'Modelling New'!$D:$D,'Modelling New'!AE:AE),"")</f>
        <v>0.99750000000000005</v>
      </c>
      <c r="AH357" s="240">
        <f>IFERROR(_xlfn.XLOOKUP($D357,'Modelling New'!$D:$D,'Modelling New'!AF:AF),"")</f>
        <v>0.99750000000000005</v>
      </c>
      <c r="AI357" s="186"/>
      <c r="AJ357" s="186"/>
      <c r="AK357" s="225"/>
      <c r="AL357" s="224">
        <f>IFERROR(Table13[[#This Row],[RA (%)]]*9270*58,"")</f>
        <v>0</v>
      </c>
      <c r="AM357" s="225"/>
      <c r="AN357" s="238"/>
      <c r="AO357" s="240"/>
      <c r="AP357" s="240"/>
      <c r="AQ357" s="240"/>
      <c r="AR357" s="242">
        <f>IFERROR(_xlfn.XLOOKUP($D357,'Modelling New'!$D:$D,'Modelling New'!$N:$N),"")</f>
        <v>335.09100000000001</v>
      </c>
    </row>
    <row r="358" spans="1:44">
      <c r="A358" s="233">
        <f t="shared" si="24"/>
        <v>46101</v>
      </c>
      <c r="B358" s="228">
        <f>YEAR(Table13[[#This Row],[Date]])+IF(MONTH(Table13[[#This Row],[Date]])&gt;=4,1,0)</f>
        <v>2026</v>
      </c>
      <c r="C358" s="186">
        <f>YEAR(Table13[[#This Row],[Date]])</f>
        <v>2026</v>
      </c>
      <c r="D358" s="234">
        <f>Table13[[#This Row],[Date]]-DAY(Table13[[#This Row],[Date]])+1</f>
        <v>46082</v>
      </c>
      <c r="E358" s="186">
        <f t="shared" si="25"/>
        <v>31</v>
      </c>
      <c r="F358" s="235" t="str">
        <f>IFERROR(_xlfn.XLOOKUP($A358,'Raw_Data'!$B:$B,'Raw_Data'!$IX:$IX),"")</f>
        <v/>
      </c>
      <c r="G358" s="236" t="str">
        <f>IFERROR(_xlfn.XLOOKUP($A358,'Raw_Data'!$B:$B,'Raw_Data'!IY:IY),"")</f>
        <v/>
      </c>
      <c r="H358" s="236" t="str">
        <f>IFERROR(_xlfn.XLOOKUP($A358,'Raw_Data'!$B:$B,'Raw_Data'!IZ:IZ),"")</f>
        <v/>
      </c>
      <c r="I358" s="236" t="str">
        <f>IFERROR(_xlfn.XLOOKUP($A358,'Raw_Data'!$B:$B,'Raw_Data'!JA:JA),"")</f>
        <v/>
      </c>
      <c r="J358" s="236" t="str">
        <f>IFERROR(_xlfn.XLOOKUP($A358,'Raw_Data'!$B:$B,'Raw_Data'!JB:JB),"")</f>
        <v/>
      </c>
      <c r="K358" s="236" t="str">
        <f>IFERROR(_xlfn.XLOOKUP($A358,'Raw_Data'!$B:$B,'Raw_Data'!JE:JE),"")</f>
        <v/>
      </c>
      <c r="L358" s="236" t="str">
        <f>IFERROR(_xlfn.XLOOKUP($A358,'Raw_Data'!$B:$B,'Raw_Data'!JF:JF),"")</f>
        <v/>
      </c>
      <c r="M358" s="236" t="str">
        <f>IFERROR(_xlfn.XLOOKUP($A358,'Raw_Data'!$B:$B,'Raw_Data'!JG:JG),"")</f>
        <v/>
      </c>
      <c r="N358" s="236" t="str">
        <f>IFERROR(_xlfn.XLOOKUP($A358,'Raw_Data'!$B:$B,'Raw_Data'!JH:JH),"")</f>
        <v/>
      </c>
      <c r="O358" s="237" t="str">
        <f>IFERROR(1-SUMIF(PA!$B:$B,$A358,PA!$AL:$AL)/($AA358+SUMIF(PA!$B:$B,$A358,PA!$AL:$AL)),"")</f>
        <v/>
      </c>
      <c r="P358" s="238"/>
      <c r="Q358" s="239"/>
      <c r="R358" s="240" t="str">
        <f>IFERROR(1-SUMIF(GA!$C:$C,$A358,GA!$X:$X)/($AA358+SUMIF(GA!$C:$C,$A358,GA!$X:$X)),"")</f>
        <v/>
      </c>
      <c r="S358" s="186"/>
      <c r="T358" s="239"/>
      <c r="U358" s="237" t="str">
        <f t="shared" si="22"/>
        <v/>
      </c>
      <c r="V358" s="237" t="str">
        <f>IFERROR(_xlfn.XLOOKUP($A358,'Raw_Data'!$B:$B,'Raw_Data'!$JL:$JL),"")</f>
        <v/>
      </c>
      <c r="W358" s="240" t="str">
        <f t="shared" si="23"/>
        <v/>
      </c>
      <c r="X358" s="228" t="str">
        <f>IFERROR(_xlfn.XLOOKUP($A358,'Raw_Data'!$B:$B,'Raw_Data'!$JI:$JI),"")</f>
        <v/>
      </c>
      <c r="Y358" s="228" t="str">
        <f>IFERROR(_xlfn.XLOOKUP($A358,'Raw_Data'!$B:$B,'Raw_Data'!IT:IT),"")</f>
        <v/>
      </c>
      <c r="Z358" s="228" t="str">
        <f>IFERROR(_xlfn.XLOOKUP($A358,'Raw_Data'!$B:$B,'Raw_Data'!IU:IU),"")</f>
        <v/>
      </c>
      <c r="AA358" s="228" t="str">
        <f>IFERROR(_xlfn.XLOOKUP($A358,'Raw_Data'!$B:$B,'Raw_Data'!IW:IW),"")</f>
        <v/>
      </c>
      <c r="AB358" s="228" t="str">
        <f>IFERROR(_xlfn.XLOOKUP($A358,'Raw_Data'!$B:$B,'Raw_Data'!I:I)/1000,"")</f>
        <v/>
      </c>
      <c r="AC358" s="241">
        <f>IFERROR(_xlfn.XLOOKUP($D358,'Modelling New'!$D:$D,'Modelling New'!$P:$P),"")</f>
        <v>6.9595408709677447</v>
      </c>
      <c r="AD358" s="228">
        <f>IFERROR(_xlfn.XLOOKUP($D358,'Modelling New'!$D:$D,'Modelling New'!$T:$T)*1000,"")</f>
        <v>1886089.153916752</v>
      </c>
      <c r="AE358" s="240">
        <f>IFERROR(_xlfn.XLOOKUP($D358,'Modelling New'!$D:$D,'Modelling New'!$O:$O),"")</f>
        <v>0.80875851180650671</v>
      </c>
      <c r="AF358" s="240">
        <f>IFERROR(_xlfn.XLOOKUP($D358,'Modelling New'!$D:$D,'Modelling New'!$W:$W),"")</f>
        <v>0.23452449656918467</v>
      </c>
      <c r="AG358" s="240">
        <f>IFERROR(_xlfn.XLOOKUP($D358,'Modelling New'!$D:$D,'Modelling New'!AE:AE),"")</f>
        <v>0.99750000000000005</v>
      </c>
      <c r="AH358" s="240">
        <f>IFERROR(_xlfn.XLOOKUP($D358,'Modelling New'!$D:$D,'Modelling New'!AF:AF),"")</f>
        <v>0.99750000000000005</v>
      </c>
      <c r="AI358" s="186"/>
      <c r="AJ358" s="186"/>
      <c r="AK358" s="225"/>
      <c r="AL358" s="224">
        <f>IFERROR(Table13[[#This Row],[RA (%)]]*9270*58,"")</f>
        <v>0</v>
      </c>
      <c r="AM358" s="225"/>
      <c r="AN358" s="238"/>
      <c r="AO358" s="240"/>
      <c r="AP358" s="240"/>
      <c r="AQ358" s="240"/>
      <c r="AR358" s="242">
        <f>IFERROR(_xlfn.XLOOKUP($D358,'Modelling New'!$D:$D,'Modelling New'!$N:$N),"")</f>
        <v>335.09100000000001</v>
      </c>
    </row>
    <row r="359" spans="1:44">
      <c r="A359" s="233">
        <f t="shared" si="24"/>
        <v>46102</v>
      </c>
      <c r="B359" s="228">
        <f>YEAR(Table13[[#This Row],[Date]])+IF(MONTH(Table13[[#This Row],[Date]])&gt;=4,1,0)</f>
        <v>2026</v>
      </c>
      <c r="C359" s="186">
        <f>YEAR(Table13[[#This Row],[Date]])</f>
        <v>2026</v>
      </c>
      <c r="D359" s="234">
        <f>Table13[[#This Row],[Date]]-DAY(Table13[[#This Row],[Date]])+1</f>
        <v>46082</v>
      </c>
      <c r="E359" s="186">
        <f t="shared" si="25"/>
        <v>31</v>
      </c>
      <c r="F359" s="235" t="str">
        <f>IFERROR(_xlfn.XLOOKUP($A359,'Raw_Data'!$B:$B,'Raw_Data'!$IX:$IX),"")</f>
        <v/>
      </c>
      <c r="G359" s="236" t="str">
        <f>IFERROR(_xlfn.XLOOKUP($A359,'Raw_Data'!$B:$B,'Raw_Data'!IY:IY),"")</f>
        <v/>
      </c>
      <c r="H359" s="236" t="str">
        <f>IFERROR(_xlfn.XLOOKUP($A359,'Raw_Data'!$B:$B,'Raw_Data'!IZ:IZ),"")</f>
        <v/>
      </c>
      <c r="I359" s="236" t="str">
        <f>IFERROR(_xlfn.XLOOKUP($A359,'Raw_Data'!$B:$B,'Raw_Data'!JA:JA),"")</f>
        <v/>
      </c>
      <c r="J359" s="236" t="str">
        <f>IFERROR(_xlfn.XLOOKUP($A359,'Raw_Data'!$B:$B,'Raw_Data'!JB:JB),"")</f>
        <v/>
      </c>
      <c r="K359" s="236" t="str">
        <f>IFERROR(_xlfn.XLOOKUP($A359,'Raw_Data'!$B:$B,'Raw_Data'!JE:JE),"")</f>
        <v/>
      </c>
      <c r="L359" s="236" t="str">
        <f>IFERROR(_xlfn.XLOOKUP($A359,'Raw_Data'!$B:$B,'Raw_Data'!JF:JF),"")</f>
        <v/>
      </c>
      <c r="M359" s="236" t="str">
        <f>IFERROR(_xlfn.XLOOKUP($A359,'Raw_Data'!$B:$B,'Raw_Data'!JG:JG),"")</f>
        <v/>
      </c>
      <c r="N359" s="236" t="str">
        <f>IFERROR(_xlfn.XLOOKUP($A359,'Raw_Data'!$B:$B,'Raw_Data'!JH:JH),"")</f>
        <v/>
      </c>
      <c r="O359" s="237" t="str">
        <f>IFERROR(1-SUMIF(PA!$B:$B,$A359,PA!$AL:$AL)/($AA359+SUMIF(PA!$B:$B,$A359,PA!$AL:$AL)),"")</f>
        <v/>
      </c>
      <c r="P359" s="238"/>
      <c r="Q359" s="239"/>
      <c r="R359" s="240" t="str">
        <f>IFERROR(1-SUMIF(GA!$C:$C,$A359,GA!$X:$X)/($AA359+SUMIF(GA!$C:$C,$A359,GA!$X:$X)),"")</f>
        <v/>
      </c>
      <c r="S359" s="186"/>
      <c r="T359" s="239"/>
      <c r="U359" s="237" t="str">
        <f t="shared" si="22"/>
        <v/>
      </c>
      <c r="V359" s="237" t="str">
        <f>IFERROR(_xlfn.XLOOKUP($A359,'Raw_Data'!$B:$B,'Raw_Data'!$JL:$JL),"")</f>
        <v/>
      </c>
      <c r="W359" s="240" t="str">
        <f t="shared" si="23"/>
        <v/>
      </c>
      <c r="X359" s="228" t="str">
        <f>IFERROR(_xlfn.XLOOKUP($A359,'Raw_Data'!$B:$B,'Raw_Data'!$JI:$JI),"")</f>
        <v/>
      </c>
      <c r="Y359" s="228" t="str">
        <f>IFERROR(_xlfn.XLOOKUP($A359,'Raw_Data'!$B:$B,'Raw_Data'!IT:IT),"")</f>
        <v/>
      </c>
      <c r="Z359" s="228" t="str">
        <f>IFERROR(_xlfn.XLOOKUP($A359,'Raw_Data'!$B:$B,'Raw_Data'!IU:IU),"")</f>
        <v/>
      </c>
      <c r="AA359" s="228" t="str">
        <f>IFERROR(_xlfn.XLOOKUP($A359,'Raw_Data'!$B:$B,'Raw_Data'!IW:IW),"")</f>
        <v/>
      </c>
      <c r="AB359" s="228" t="str">
        <f>IFERROR(_xlfn.XLOOKUP($A359,'Raw_Data'!$B:$B,'Raw_Data'!I:I)/1000,"")</f>
        <v/>
      </c>
      <c r="AC359" s="241">
        <f>IFERROR(_xlfn.XLOOKUP($D359,'Modelling New'!$D:$D,'Modelling New'!$P:$P),"")</f>
        <v>6.9595408709677447</v>
      </c>
      <c r="AD359" s="228">
        <f>IFERROR(_xlfn.XLOOKUP($D359,'Modelling New'!$D:$D,'Modelling New'!$T:$T)*1000,"")</f>
        <v>1886089.153916752</v>
      </c>
      <c r="AE359" s="240">
        <f>IFERROR(_xlfn.XLOOKUP($D359,'Modelling New'!$D:$D,'Modelling New'!$O:$O),"")</f>
        <v>0.80875851180650671</v>
      </c>
      <c r="AF359" s="240">
        <f>IFERROR(_xlfn.XLOOKUP($D359,'Modelling New'!$D:$D,'Modelling New'!$W:$W),"")</f>
        <v>0.23452449656918467</v>
      </c>
      <c r="AG359" s="240">
        <f>IFERROR(_xlfn.XLOOKUP($D359,'Modelling New'!$D:$D,'Modelling New'!AE:AE),"")</f>
        <v>0.99750000000000005</v>
      </c>
      <c r="AH359" s="240">
        <f>IFERROR(_xlfn.XLOOKUP($D359,'Modelling New'!$D:$D,'Modelling New'!AF:AF),"")</f>
        <v>0.99750000000000005</v>
      </c>
      <c r="AI359" s="186"/>
      <c r="AJ359" s="186"/>
      <c r="AK359" s="225"/>
      <c r="AL359" s="224">
        <f>IFERROR(Table13[[#This Row],[RA (%)]]*9270*58,"")</f>
        <v>0</v>
      </c>
      <c r="AM359" s="225"/>
      <c r="AN359" s="238"/>
      <c r="AO359" s="240"/>
      <c r="AP359" s="240"/>
      <c r="AQ359" s="240"/>
      <c r="AR359" s="242">
        <f>IFERROR(_xlfn.XLOOKUP($D359,'Modelling New'!$D:$D,'Modelling New'!$N:$N),"")</f>
        <v>335.09100000000001</v>
      </c>
    </row>
    <row r="360" spans="1:44">
      <c r="A360" s="233">
        <f t="shared" si="24"/>
        <v>46103</v>
      </c>
      <c r="B360" s="228">
        <f>YEAR(Table13[[#This Row],[Date]])+IF(MONTH(Table13[[#This Row],[Date]])&gt;=4,1,0)</f>
        <v>2026</v>
      </c>
      <c r="C360" s="186">
        <f>YEAR(Table13[[#This Row],[Date]])</f>
        <v>2026</v>
      </c>
      <c r="D360" s="234">
        <f>Table13[[#This Row],[Date]]-DAY(Table13[[#This Row],[Date]])+1</f>
        <v>46082</v>
      </c>
      <c r="E360" s="186">
        <f t="shared" si="25"/>
        <v>31</v>
      </c>
      <c r="F360" s="235" t="str">
        <f>IFERROR(_xlfn.XLOOKUP($A360,'Raw_Data'!$B:$B,'Raw_Data'!$IX:$IX),"")</f>
        <v/>
      </c>
      <c r="G360" s="236" t="str">
        <f>IFERROR(_xlfn.XLOOKUP($A360,'Raw_Data'!$B:$B,'Raw_Data'!IY:IY),"")</f>
        <v/>
      </c>
      <c r="H360" s="236" t="str">
        <f>IFERROR(_xlfn.XLOOKUP($A360,'Raw_Data'!$B:$B,'Raw_Data'!IZ:IZ),"")</f>
        <v/>
      </c>
      <c r="I360" s="236" t="str">
        <f>IFERROR(_xlfn.XLOOKUP($A360,'Raw_Data'!$B:$B,'Raw_Data'!JA:JA),"")</f>
        <v/>
      </c>
      <c r="J360" s="236" t="str">
        <f>IFERROR(_xlfn.XLOOKUP($A360,'Raw_Data'!$B:$B,'Raw_Data'!JB:JB),"")</f>
        <v/>
      </c>
      <c r="K360" s="236" t="str">
        <f>IFERROR(_xlfn.XLOOKUP($A360,'Raw_Data'!$B:$B,'Raw_Data'!JE:JE),"")</f>
        <v/>
      </c>
      <c r="L360" s="236" t="str">
        <f>IFERROR(_xlfn.XLOOKUP($A360,'Raw_Data'!$B:$B,'Raw_Data'!JF:JF),"")</f>
        <v/>
      </c>
      <c r="M360" s="236" t="str">
        <f>IFERROR(_xlfn.XLOOKUP($A360,'Raw_Data'!$B:$B,'Raw_Data'!JG:JG),"")</f>
        <v/>
      </c>
      <c r="N360" s="236" t="str">
        <f>IFERROR(_xlfn.XLOOKUP($A360,'Raw_Data'!$B:$B,'Raw_Data'!JH:JH),"")</f>
        <v/>
      </c>
      <c r="O360" s="237" t="str">
        <f>IFERROR(1-SUMIF(PA!$B:$B,$A360,PA!$AL:$AL)/($AA360+SUMIF(PA!$B:$B,$A360,PA!$AL:$AL)),"")</f>
        <v/>
      </c>
      <c r="P360" s="238"/>
      <c r="Q360" s="239"/>
      <c r="R360" s="240" t="str">
        <f>IFERROR(1-SUMIF(GA!$C:$C,$A360,GA!$X:$X)/($AA360+SUMIF(GA!$C:$C,$A360,GA!$X:$X)),"")</f>
        <v/>
      </c>
      <c r="S360" s="186"/>
      <c r="T360" s="239"/>
      <c r="U360" s="237" t="str">
        <f t="shared" si="22"/>
        <v/>
      </c>
      <c r="V360" s="237" t="str">
        <f>IFERROR(_xlfn.XLOOKUP($A360,'Raw_Data'!$B:$B,'Raw_Data'!$JL:$JL),"")</f>
        <v/>
      </c>
      <c r="W360" s="240" t="str">
        <f t="shared" si="23"/>
        <v/>
      </c>
      <c r="X360" s="228" t="str">
        <f>IFERROR(_xlfn.XLOOKUP($A360,'Raw_Data'!$B:$B,'Raw_Data'!$JI:$JI),"")</f>
        <v/>
      </c>
      <c r="Y360" s="228" t="str">
        <f>IFERROR(_xlfn.XLOOKUP($A360,'Raw_Data'!$B:$B,'Raw_Data'!IT:IT),"")</f>
        <v/>
      </c>
      <c r="Z360" s="228" t="str">
        <f>IFERROR(_xlfn.XLOOKUP($A360,'Raw_Data'!$B:$B,'Raw_Data'!IU:IU),"")</f>
        <v/>
      </c>
      <c r="AA360" s="228" t="str">
        <f>IFERROR(_xlfn.XLOOKUP($A360,'Raw_Data'!$B:$B,'Raw_Data'!IW:IW),"")</f>
        <v/>
      </c>
      <c r="AB360" s="228" t="str">
        <f>IFERROR(_xlfn.XLOOKUP($A360,'Raw_Data'!$B:$B,'Raw_Data'!I:I)/1000,"")</f>
        <v/>
      </c>
      <c r="AC360" s="241">
        <f>IFERROR(_xlfn.XLOOKUP($D360,'Modelling New'!$D:$D,'Modelling New'!$P:$P),"")</f>
        <v>6.9595408709677447</v>
      </c>
      <c r="AD360" s="228">
        <f>IFERROR(_xlfn.XLOOKUP($D360,'Modelling New'!$D:$D,'Modelling New'!$T:$T)*1000,"")</f>
        <v>1886089.153916752</v>
      </c>
      <c r="AE360" s="240">
        <f>IFERROR(_xlfn.XLOOKUP($D360,'Modelling New'!$D:$D,'Modelling New'!$O:$O),"")</f>
        <v>0.80875851180650671</v>
      </c>
      <c r="AF360" s="240">
        <f>IFERROR(_xlfn.XLOOKUP($D360,'Modelling New'!$D:$D,'Modelling New'!$W:$W),"")</f>
        <v>0.23452449656918467</v>
      </c>
      <c r="AG360" s="240">
        <f>IFERROR(_xlfn.XLOOKUP($D360,'Modelling New'!$D:$D,'Modelling New'!AE:AE),"")</f>
        <v>0.99750000000000005</v>
      </c>
      <c r="AH360" s="240">
        <f>IFERROR(_xlfn.XLOOKUP($D360,'Modelling New'!$D:$D,'Modelling New'!AF:AF),"")</f>
        <v>0.99750000000000005</v>
      </c>
      <c r="AI360" s="186"/>
      <c r="AJ360" s="186"/>
      <c r="AK360" s="225"/>
      <c r="AL360" s="224">
        <f>IFERROR(Table13[[#This Row],[RA (%)]]*9270*58,"")</f>
        <v>0</v>
      </c>
      <c r="AM360" s="225"/>
      <c r="AN360" s="238"/>
      <c r="AO360" s="240"/>
      <c r="AP360" s="240"/>
      <c r="AQ360" s="240"/>
      <c r="AR360" s="242">
        <f>IFERROR(_xlfn.XLOOKUP($D360,'Modelling New'!$D:$D,'Modelling New'!$N:$N),"")</f>
        <v>335.09100000000001</v>
      </c>
    </row>
    <row r="361" spans="1:44">
      <c r="A361" s="233">
        <f t="shared" si="24"/>
        <v>46104</v>
      </c>
      <c r="B361" s="228">
        <f>YEAR(Table13[[#This Row],[Date]])+IF(MONTH(Table13[[#This Row],[Date]])&gt;=4,1,0)</f>
        <v>2026</v>
      </c>
      <c r="C361" s="186">
        <f>YEAR(Table13[[#This Row],[Date]])</f>
        <v>2026</v>
      </c>
      <c r="D361" s="234">
        <f>Table13[[#This Row],[Date]]-DAY(Table13[[#This Row],[Date]])+1</f>
        <v>46082</v>
      </c>
      <c r="E361" s="186">
        <f t="shared" si="25"/>
        <v>31</v>
      </c>
      <c r="F361" s="235" t="str">
        <f>IFERROR(_xlfn.XLOOKUP($A361,'Raw_Data'!$B:$B,'Raw_Data'!$IX:$IX),"")</f>
        <v/>
      </c>
      <c r="G361" s="236" t="str">
        <f>IFERROR(_xlfn.XLOOKUP($A361,'Raw_Data'!$B:$B,'Raw_Data'!IY:IY),"")</f>
        <v/>
      </c>
      <c r="H361" s="236" t="str">
        <f>IFERROR(_xlfn.XLOOKUP($A361,'Raw_Data'!$B:$B,'Raw_Data'!IZ:IZ),"")</f>
        <v/>
      </c>
      <c r="I361" s="236" t="str">
        <f>IFERROR(_xlfn.XLOOKUP($A361,'Raw_Data'!$B:$B,'Raw_Data'!JA:JA),"")</f>
        <v/>
      </c>
      <c r="J361" s="236" t="str">
        <f>IFERROR(_xlfn.XLOOKUP($A361,'Raw_Data'!$B:$B,'Raw_Data'!JB:JB),"")</f>
        <v/>
      </c>
      <c r="K361" s="236" t="str">
        <f>IFERROR(_xlfn.XLOOKUP($A361,'Raw_Data'!$B:$B,'Raw_Data'!JE:JE),"")</f>
        <v/>
      </c>
      <c r="L361" s="236" t="str">
        <f>IFERROR(_xlfn.XLOOKUP($A361,'Raw_Data'!$B:$B,'Raw_Data'!JF:JF),"")</f>
        <v/>
      </c>
      <c r="M361" s="236" t="str">
        <f>IFERROR(_xlfn.XLOOKUP($A361,'Raw_Data'!$B:$B,'Raw_Data'!JG:JG),"")</f>
        <v/>
      </c>
      <c r="N361" s="236" t="str">
        <f>IFERROR(_xlfn.XLOOKUP($A361,'Raw_Data'!$B:$B,'Raw_Data'!JH:JH),"")</f>
        <v/>
      </c>
      <c r="O361" s="237" t="str">
        <f>IFERROR(1-SUMIF(PA!$B:$B,$A361,PA!$AL:$AL)/($AA361+SUMIF(PA!$B:$B,$A361,PA!$AL:$AL)),"")</f>
        <v/>
      </c>
      <c r="P361" s="238"/>
      <c r="Q361" s="239"/>
      <c r="R361" s="240" t="str">
        <f>IFERROR(1-SUMIF(GA!$C:$C,$A361,GA!$X:$X)/($AA361+SUMIF(GA!$C:$C,$A361,GA!$X:$X)),"")</f>
        <v/>
      </c>
      <c r="S361" s="186"/>
      <c r="T361" s="239"/>
      <c r="U361" s="237" t="str">
        <f t="shared" si="22"/>
        <v/>
      </c>
      <c r="V361" s="237" t="str">
        <f>IFERROR(_xlfn.XLOOKUP($A361,'Raw_Data'!$B:$B,'Raw_Data'!$JL:$JL),"")</f>
        <v/>
      </c>
      <c r="W361" s="240" t="str">
        <f t="shared" si="23"/>
        <v/>
      </c>
      <c r="X361" s="228" t="str">
        <f>IFERROR(_xlfn.XLOOKUP($A361,'Raw_Data'!$B:$B,'Raw_Data'!$JI:$JI),"")</f>
        <v/>
      </c>
      <c r="Y361" s="228" t="str">
        <f>IFERROR(_xlfn.XLOOKUP($A361,'Raw_Data'!$B:$B,'Raw_Data'!IT:IT),"")</f>
        <v/>
      </c>
      <c r="Z361" s="228" t="str">
        <f>IFERROR(_xlfn.XLOOKUP($A361,'Raw_Data'!$B:$B,'Raw_Data'!IU:IU),"")</f>
        <v/>
      </c>
      <c r="AA361" s="228" t="str">
        <f>IFERROR(_xlfn.XLOOKUP($A361,'Raw_Data'!$B:$B,'Raw_Data'!IW:IW),"")</f>
        <v/>
      </c>
      <c r="AB361" s="228" t="str">
        <f>IFERROR(_xlfn.XLOOKUP($A361,'Raw_Data'!$B:$B,'Raw_Data'!I:I)/1000,"")</f>
        <v/>
      </c>
      <c r="AC361" s="241">
        <f>IFERROR(_xlfn.XLOOKUP($D361,'Modelling New'!$D:$D,'Modelling New'!$P:$P),"")</f>
        <v>6.9595408709677447</v>
      </c>
      <c r="AD361" s="228">
        <f>IFERROR(_xlfn.XLOOKUP($D361,'Modelling New'!$D:$D,'Modelling New'!$T:$T)*1000,"")</f>
        <v>1886089.153916752</v>
      </c>
      <c r="AE361" s="240">
        <f>IFERROR(_xlfn.XLOOKUP($D361,'Modelling New'!$D:$D,'Modelling New'!$O:$O),"")</f>
        <v>0.80875851180650671</v>
      </c>
      <c r="AF361" s="240">
        <f>IFERROR(_xlfn.XLOOKUP($D361,'Modelling New'!$D:$D,'Modelling New'!$W:$W),"")</f>
        <v>0.23452449656918467</v>
      </c>
      <c r="AG361" s="240">
        <f>IFERROR(_xlfn.XLOOKUP($D361,'Modelling New'!$D:$D,'Modelling New'!AE:AE),"")</f>
        <v>0.99750000000000005</v>
      </c>
      <c r="AH361" s="240">
        <f>IFERROR(_xlfn.XLOOKUP($D361,'Modelling New'!$D:$D,'Modelling New'!AF:AF),"")</f>
        <v>0.99750000000000005</v>
      </c>
      <c r="AI361" s="186"/>
      <c r="AJ361" s="186"/>
      <c r="AK361" s="225"/>
      <c r="AL361" s="224">
        <f>IFERROR(Table13[[#This Row],[RA (%)]]*9270*58,"")</f>
        <v>0</v>
      </c>
      <c r="AM361" s="225"/>
      <c r="AN361" s="238"/>
      <c r="AO361" s="240"/>
      <c r="AP361" s="240"/>
      <c r="AQ361" s="240"/>
      <c r="AR361" s="242">
        <f>IFERROR(_xlfn.XLOOKUP($D361,'Modelling New'!$D:$D,'Modelling New'!$N:$N),"")</f>
        <v>335.09100000000001</v>
      </c>
    </row>
    <row r="362" spans="1:44">
      <c r="A362" s="233">
        <f t="shared" si="24"/>
        <v>46105</v>
      </c>
      <c r="B362" s="228">
        <f>YEAR(Table13[[#This Row],[Date]])+IF(MONTH(Table13[[#This Row],[Date]])&gt;=4,1,0)</f>
        <v>2026</v>
      </c>
      <c r="C362" s="186">
        <f>YEAR(Table13[[#This Row],[Date]])</f>
        <v>2026</v>
      </c>
      <c r="D362" s="234">
        <f>Table13[[#This Row],[Date]]-DAY(Table13[[#This Row],[Date]])+1</f>
        <v>46082</v>
      </c>
      <c r="E362" s="186">
        <f t="shared" si="25"/>
        <v>31</v>
      </c>
      <c r="F362" s="235" t="str">
        <f>IFERROR(_xlfn.XLOOKUP($A362,'Raw_Data'!$B:$B,'Raw_Data'!$IX:$IX),"")</f>
        <v/>
      </c>
      <c r="G362" s="236" t="str">
        <f>IFERROR(_xlfn.XLOOKUP($A362,'Raw_Data'!$B:$B,'Raw_Data'!IY:IY),"")</f>
        <v/>
      </c>
      <c r="H362" s="236" t="str">
        <f>IFERROR(_xlfn.XLOOKUP($A362,'Raw_Data'!$B:$B,'Raw_Data'!IZ:IZ),"")</f>
        <v/>
      </c>
      <c r="I362" s="236" t="str">
        <f>IFERROR(_xlfn.XLOOKUP($A362,'Raw_Data'!$B:$B,'Raw_Data'!JA:JA),"")</f>
        <v/>
      </c>
      <c r="J362" s="236" t="str">
        <f>IFERROR(_xlfn.XLOOKUP($A362,'Raw_Data'!$B:$B,'Raw_Data'!JB:JB),"")</f>
        <v/>
      </c>
      <c r="K362" s="236" t="str">
        <f>IFERROR(_xlfn.XLOOKUP($A362,'Raw_Data'!$B:$B,'Raw_Data'!JE:JE),"")</f>
        <v/>
      </c>
      <c r="L362" s="236" t="str">
        <f>IFERROR(_xlfn.XLOOKUP($A362,'Raw_Data'!$B:$B,'Raw_Data'!JF:JF),"")</f>
        <v/>
      </c>
      <c r="M362" s="236" t="str">
        <f>IFERROR(_xlfn.XLOOKUP($A362,'Raw_Data'!$B:$B,'Raw_Data'!JG:JG),"")</f>
        <v/>
      </c>
      <c r="N362" s="236" t="str">
        <f>IFERROR(_xlfn.XLOOKUP($A362,'Raw_Data'!$B:$B,'Raw_Data'!JH:JH),"")</f>
        <v/>
      </c>
      <c r="O362" s="237" t="str">
        <f>IFERROR(1-SUMIF(PA!$B:$B,$A362,PA!$AL:$AL)/($AA362+SUMIF(PA!$B:$B,$A362,PA!$AL:$AL)),"")</f>
        <v/>
      </c>
      <c r="P362" s="238"/>
      <c r="Q362" s="239"/>
      <c r="R362" s="240" t="str">
        <f>IFERROR(1-SUMIF(GA!$C:$C,$A362,GA!$X:$X)/($AA362+SUMIF(GA!$C:$C,$A362,GA!$X:$X)),"")</f>
        <v/>
      </c>
      <c r="S362" s="186"/>
      <c r="T362" s="239"/>
      <c r="U362" s="237" t="str">
        <f t="shared" si="22"/>
        <v/>
      </c>
      <c r="V362" s="237" t="str">
        <f>IFERROR(_xlfn.XLOOKUP($A362,'Raw_Data'!$B:$B,'Raw_Data'!$JL:$JL),"")</f>
        <v/>
      </c>
      <c r="W362" s="240" t="str">
        <f t="shared" si="23"/>
        <v/>
      </c>
      <c r="X362" s="228" t="str">
        <f>IFERROR(_xlfn.XLOOKUP($A362,'Raw_Data'!$B:$B,'Raw_Data'!$JI:$JI),"")</f>
        <v/>
      </c>
      <c r="Y362" s="228" t="str">
        <f>IFERROR(_xlfn.XLOOKUP($A362,'Raw_Data'!$B:$B,'Raw_Data'!IT:IT),"")</f>
        <v/>
      </c>
      <c r="Z362" s="228" t="str">
        <f>IFERROR(_xlfn.XLOOKUP($A362,'Raw_Data'!$B:$B,'Raw_Data'!IU:IU),"")</f>
        <v/>
      </c>
      <c r="AA362" s="228" t="str">
        <f>IFERROR(_xlfn.XLOOKUP($A362,'Raw_Data'!$B:$B,'Raw_Data'!IW:IW),"")</f>
        <v/>
      </c>
      <c r="AB362" s="228" t="str">
        <f>IFERROR(_xlfn.XLOOKUP($A362,'Raw_Data'!$B:$B,'Raw_Data'!I:I)/1000,"")</f>
        <v/>
      </c>
      <c r="AC362" s="241">
        <f>IFERROR(_xlfn.XLOOKUP($D362,'Modelling New'!$D:$D,'Modelling New'!$P:$P),"")</f>
        <v>6.9595408709677447</v>
      </c>
      <c r="AD362" s="228">
        <f>IFERROR(_xlfn.XLOOKUP($D362,'Modelling New'!$D:$D,'Modelling New'!$T:$T)*1000,"")</f>
        <v>1886089.153916752</v>
      </c>
      <c r="AE362" s="240">
        <f>IFERROR(_xlfn.XLOOKUP($D362,'Modelling New'!$D:$D,'Modelling New'!$O:$O),"")</f>
        <v>0.80875851180650671</v>
      </c>
      <c r="AF362" s="240">
        <f>IFERROR(_xlfn.XLOOKUP($D362,'Modelling New'!$D:$D,'Modelling New'!$W:$W),"")</f>
        <v>0.23452449656918467</v>
      </c>
      <c r="AG362" s="240">
        <f>IFERROR(_xlfn.XLOOKUP($D362,'Modelling New'!$D:$D,'Modelling New'!AE:AE),"")</f>
        <v>0.99750000000000005</v>
      </c>
      <c r="AH362" s="240">
        <f>IFERROR(_xlfn.XLOOKUP($D362,'Modelling New'!$D:$D,'Modelling New'!AF:AF),"")</f>
        <v>0.99750000000000005</v>
      </c>
      <c r="AI362" s="186"/>
      <c r="AJ362" s="186"/>
      <c r="AK362" s="225"/>
      <c r="AL362" s="224">
        <f>IFERROR(Table13[[#This Row],[RA (%)]]*9270*58,"")</f>
        <v>0</v>
      </c>
      <c r="AM362" s="225"/>
      <c r="AN362" s="238"/>
      <c r="AO362" s="240"/>
      <c r="AP362" s="240"/>
      <c r="AQ362" s="240"/>
      <c r="AR362" s="242">
        <f>IFERROR(_xlfn.XLOOKUP($D362,'Modelling New'!$D:$D,'Modelling New'!$N:$N),"")</f>
        <v>335.09100000000001</v>
      </c>
    </row>
    <row r="363" spans="1:44">
      <c r="A363" s="233">
        <f t="shared" si="24"/>
        <v>46106</v>
      </c>
      <c r="B363" s="228">
        <f>YEAR(Table13[[#This Row],[Date]])+IF(MONTH(Table13[[#This Row],[Date]])&gt;=4,1,0)</f>
        <v>2026</v>
      </c>
      <c r="C363" s="186">
        <f>YEAR(Table13[[#This Row],[Date]])</f>
        <v>2026</v>
      </c>
      <c r="D363" s="234">
        <f>Table13[[#This Row],[Date]]-DAY(Table13[[#This Row],[Date]])+1</f>
        <v>46082</v>
      </c>
      <c r="E363" s="186">
        <f t="shared" si="25"/>
        <v>31</v>
      </c>
      <c r="F363" s="235" t="str">
        <f>IFERROR(_xlfn.XLOOKUP($A363,'Raw_Data'!$B:$B,'Raw_Data'!$IX:$IX),"")</f>
        <v/>
      </c>
      <c r="G363" s="236" t="str">
        <f>IFERROR(_xlfn.XLOOKUP($A363,'Raw_Data'!$B:$B,'Raw_Data'!IY:IY),"")</f>
        <v/>
      </c>
      <c r="H363" s="236" t="str">
        <f>IFERROR(_xlfn.XLOOKUP($A363,'Raw_Data'!$B:$B,'Raw_Data'!IZ:IZ),"")</f>
        <v/>
      </c>
      <c r="I363" s="236" t="str">
        <f>IFERROR(_xlfn.XLOOKUP($A363,'Raw_Data'!$B:$B,'Raw_Data'!JA:JA),"")</f>
        <v/>
      </c>
      <c r="J363" s="236" t="str">
        <f>IFERROR(_xlfn.XLOOKUP($A363,'Raw_Data'!$B:$B,'Raw_Data'!JB:JB),"")</f>
        <v/>
      </c>
      <c r="K363" s="236" t="str">
        <f>IFERROR(_xlfn.XLOOKUP($A363,'Raw_Data'!$B:$B,'Raw_Data'!JE:JE),"")</f>
        <v/>
      </c>
      <c r="L363" s="236" t="str">
        <f>IFERROR(_xlfn.XLOOKUP($A363,'Raw_Data'!$B:$B,'Raw_Data'!JF:JF),"")</f>
        <v/>
      </c>
      <c r="M363" s="236" t="str">
        <f>IFERROR(_xlfn.XLOOKUP($A363,'Raw_Data'!$B:$B,'Raw_Data'!JG:JG),"")</f>
        <v/>
      </c>
      <c r="N363" s="236" t="str">
        <f>IFERROR(_xlfn.XLOOKUP($A363,'Raw_Data'!$B:$B,'Raw_Data'!JH:JH),"")</f>
        <v/>
      </c>
      <c r="O363" s="237" t="str">
        <f>IFERROR(1-SUMIF(PA!$B:$B,$A363,PA!$AL:$AL)/($AA363+SUMIF(PA!$B:$B,$A363,PA!$AL:$AL)),"")</f>
        <v/>
      </c>
      <c r="P363" s="238"/>
      <c r="Q363" s="239"/>
      <c r="R363" s="240" t="str">
        <f>IFERROR(1-SUMIF(GA!$C:$C,$A363,GA!$X:$X)/($AA363+SUMIF(GA!$C:$C,$A363,GA!$X:$X)),"")</f>
        <v/>
      </c>
      <c r="S363" s="186"/>
      <c r="T363" s="239"/>
      <c r="U363" s="237" t="str">
        <f t="shared" si="22"/>
        <v/>
      </c>
      <c r="V363" s="237" t="str">
        <f>IFERROR(_xlfn.XLOOKUP($A363,'Raw_Data'!$B:$B,'Raw_Data'!$JL:$JL),"")</f>
        <v/>
      </c>
      <c r="W363" s="240" t="str">
        <f t="shared" si="23"/>
        <v/>
      </c>
      <c r="X363" s="228" t="str">
        <f>IFERROR(_xlfn.XLOOKUP($A363,'Raw_Data'!$B:$B,'Raw_Data'!$JI:$JI),"")</f>
        <v/>
      </c>
      <c r="Y363" s="228" t="str">
        <f>IFERROR(_xlfn.XLOOKUP($A363,'Raw_Data'!$B:$B,'Raw_Data'!IT:IT),"")</f>
        <v/>
      </c>
      <c r="Z363" s="228" t="str">
        <f>IFERROR(_xlfn.XLOOKUP($A363,'Raw_Data'!$B:$B,'Raw_Data'!IU:IU),"")</f>
        <v/>
      </c>
      <c r="AA363" s="228" t="str">
        <f>IFERROR(_xlfn.XLOOKUP($A363,'Raw_Data'!$B:$B,'Raw_Data'!IW:IW),"")</f>
        <v/>
      </c>
      <c r="AB363" s="228" t="str">
        <f>IFERROR(_xlfn.XLOOKUP($A363,'Raw_Data'!$B:$B,'Raw_Data'!I:I)/1000,"")</f>
        <v/>
      </c>
      <c r="AC363" s="241">
        <f>IFERROR(_xlfn.XLOOKUP($D363,'Modelling New'!$D:$D,'Modelling New'!$P:$P),"")</f>
        <v>6.9595408709677447</v>
      </c>
      <c r="AD363" s="228">
        <f>IFERROR(_xlfn.XLOOKUP($D363,'Modelling New'!$D:$D,'Modelling New'!$T:$T)*1000,"")</f>
        <v>1886089.153916752</v>
      </c>
      <c r="AE363" s="240">
        <f>IFERROR(_xlfn.XLOOKUP($D363,'Modelling New'!$D:$D,'Modelling New'!$O:$O),"")</f>
        <v>0.80875851180650671</v>
      </c>
      <c r="AF363" s="240">
        <f>IFERROR(_xlfn.XLOOKUP($D363,'Modelling New'!$D:$D,'Modelling New'!$W:$W),"")</f>
        <v>0.23452449656918467</v>
      </c>
      <c r="AG363" s="240">
        <f>IFERROR(_xlfn.XLOOKUP($D363,'Modelling New'!$D:$D,'Modelling New'!AE:AE),"")</f>
        <v>0.99750000000000005</v>
      </c>
      <c r="AH363" s="240">
        <f>IFERROR(_xlfn.XLOOKUP($D363,'Modelling New'!$D:$D,'Modelling New'!AF:AF),"")</f>
        <v>0.99750000000000005</v>
      </c>
      <c r="AI363" s="186"/>
      <c r="AJ363" s="186"/>
      <c r="AK363" s="225"/>
      <c r="AL363" s="224">
        <f>IFERROR(Table13[[#This Row],[RA (%)]]*9270*58,"")</f>
        <v>0</v>
      </c>
      <c r="AM363" s="225"/>
      <c r="AN363" s="238"/>
      <c r="AO363" s="240"/>
      <c r="AP363" s="240"/>
      <c r="AQ363" s="240"/>
      <c r="AR363" s="242">
        <f>IFERROR(_xlfn.XLOOKUP($D363,'Modelling New'!$D:$D,'Modelling New'!$N:$N),"")</f>
        <v>335.09100000000001</v>
      </c>
    </row>
    <row r="364" spans="1:44">
      <c r="A364" s="233">
        <f t="shared" si="24"/>
        <v>46107</v>
      </c>
      <c r="B364" s="228">
        <f>YEAR(Table13[[#This Row],[Date]])+IF(MONTH(Table13[[#This Row],[Date]])&gt;=4,1,0)</f>
        <v>2026</v>
      </c>
      <c r="C364" s="186">
        <f>YEAR(Table13[[#This Row],[Date]])</f>
        <v>2026</v>
      </c>
      <c r="D364" s="234">
        <f>Table13[[#This Row],[Date]]-DAY(Table13[[#This Row],[Date]])+1</f>
        <v>46082</v>
      </c>
      <c r="E364" s="186">
        <f t="shared" si="25"/>
        <v>31</v>
      </c>
      <c r="F364" s="235" t="str">
        <f>IFERROR(_xlfn.XLOOKUP($A364,'Raw_Data'!$B:$B,'Raw_Data'!$IX:$IX),"")</f>
        <v/>
      </c>
      <c r="G364" s="236" t="str">
        <f>IFERROR(_xlfn.XLOOKUP($A364,'Raw_Data'!$B:$B,'Raw_Data'!IY:IY),"")</f>
        <v/>
      </c>
      <c r="H364" s="236" t="str">
        <f>IFERROR(_xlfn.XLOOKUP($A364,'Raw_Data'!$B:$B,'Raw_Data'!IZ:IZ),"")</f>
        <v/>
      </c>
      <c r="I364" s="236" t="str">
        <f>IFERROR(_xlfn.XLOOKUP($A364,'Raw_Data'!$B:$B,'Raw_Data'!JA:JA),"")</f>
        <v/>
      </c>
      <c r="J364" s="236" t="str">
        <f>IFERROR(_xlfn.XLOOKUP($A364,'Raw_Data'!$B:$B,'Raw_Data'!JB:JB),"")</f>
        <v/>
      </c>
      <c r="K364" s="236" t="str">
        <f>IFERROR(_xlfn.XLOOKUP($A364,'Raw_Data'!$B:$B,'Raw_Data'!JE:JE),"")</f>
        <v/>
      </c>
      <c r="L364" s="236" t="str">
        <f>IFERROR(_xlfn.XLOOKUP($A364,'Raw_Data'!$B:$B,'Raw_Data'!JF:JF),"")</f>
        <v/>
      </c>
      <c r="M364" s="236" t="str">
        <f>IFERROR(_xlfn.XLOOKUP($A364,'Raw_Data'!$B:$B,'Raw_Data'!JG:JG),"")</f>
        <v/>
      </c>
      <c r="N364" s="236" t="str">
        <f>IFERROR(_xlfn.XLOOKUP($A364,'Raw_Data'!$B:$B,'Raw_Data'!JH:JH),"")</f>
        <v/>
      </c>
      <c r="O364" s="237" t="str">
        <f>IFERROR(1-SUMIF(PA!$B:$B,$A364,PA!$AL:$AL)/($AA364+SUMIF(PA!$B:$B,$A364,PA!$AL:$AL)),"")</f>
        <v/>
      </c>
      <c r="P364" s="238"/>
      <c r="Q364" s="239"/>
      <c r="R364" s="240" t="str">
        <f>IFERROR(1-SUMIF(GA!$C:$C,$A364,GA!$X:$X)/($AA364+SUMIF(GA!$C:$C,$A364,GA!$X:$X)),"")</f>
        <v/>
      </c>
      <c r="S364" s="186"/>
      <c r="T364" s="239"/>
      <c r="U364" s="237" t="str">
        <f t="shared" si="22"/>
        <v/>
      </c>
      <c r="V364" s="237" t="str">
        <f>IFERROR(_xlfn.XLOOKUP($A364,'Raw_Data'!$B:$B,'Raw_Data'!$JL:$JL),"")</f>
        <v/>
      </c>
      <c r="W364" s="240" t="str">
        <f t="shared" si="23"/>
        <v/>
      </c>
      <c r="X364" s="228" t="str">
        <f>IFERROR(_xlfn.XLOOKUP($A364,'Raw_Data'!$B:$B,'Raw_Data'!$JI:$JI),"")</f>
        <v/>
      </c>
      <c r="Y364" s="228" t="str">
        <f>IFERROR(_xlfn.XLOOKUP($A364,'Raw_Data'!$B:$B,'Raw_Data'!IT:IT),"")</f>
        <v/>
      </c>
      <c r="Z364" s="228" t="str">
        <f>IFERROR(_xlfn.XLOOKUP($A364,'Raw_Data'!$B:$B,'Raw_Data'!IU:IU),"")</f>
        <v/>
      </c>
      <c r="AA364" s="228" t="str">
        <f>IFERROR(_xlfn.XLOOKUP($A364,'Raw_Data'!$B:$B,'Raw_Data'!IW:IW),"")</f>
        <v/>
      </c>
      <c r="AB364" s="228" t="str">
        <f>IFERROR(_xlfn.XLOOKUP($A364,'Raw_Data'!$B:$B,'Raw_Data'!I:I)/1000,"")</f>
        <v/>
      </c>
      <c r="AC364" s="241">
        <f>IFERROR(_xlfn.XLOOKUP($D364,'Modelling New'!$D:$D,'Modelling New'!$P:$P),"")</f>
        <v>6.9595408709677447</v>
      </c>
      <c r="AD364" s="228">
        <f>IFERROR(_xlfn.XLOOKUP($D364,'Modelling New'!$D:$D,'Modelling New'!$T:$T)*1000,"")</f>
        <v>1886089.153916752</v>
      </c>
      <c r="AE364" s="240">
        <f>IFERROR(_xlfn.XLOOKUP($D364,'Modelling New'!$D:$D,'Modelling New'!$O:$O),"")</f>
        <v>0.80875851180650671</v>
      </c>
      <c r="AF364" s="240">
        <f>IFERROR(_xlfn.XLOOKUP($D364,'Modelling New'!$D:$D,'Modelling New'!$W:$W),"")</f>
        <v>0.23452449656918467</v>
      </c>
      <c r="AG364" s="240">
        <f>IFERROR(_xlfn.XLOOKUP($D364,'Modelling New'!$D:$D,'Modelling New'!AE:AE),"")</f>
        <v>0.99750000000000005</v>
      </c>
      <c r="AH364" s="240">
        <f>IFERROR(_xlfn.XLOOKUP($D364,'Modelling New'!$D:$D,'Modelling New'!AF:AF),"")</f>
        <v>0.99750000000000005</v>
      </c>
      <c r="AI364" s="186"/>
      <c r="AJ364" s="186"/>
      <c r="AK364" s="225"/>
      <c r="AL364" s="224">
        <f>IFERROR(Table13[[#This Row],[RA (%)]]*9270*58,"")</f>
        <v>0</v>
      </c>
      <c r="AM364" s="225"/>
      <c r="AN364" s="238"/>
      <c r="AO364" s="240"/>
      <c r="AP364" s="240"/>
      <c r="AQ364" s="240"/>
      <c r="AR364" s="242">
        <f>IFERROR(_xlfn.XLOOKUP($D364,'Modelling New'!$D:$D,'Modelling New'!$N:$N),"")</f>
        <v>335.09100000000001</v>
      </c>
    </row>
    <row r="365" spans="1:44">
      <c r="A365" s="233">
        <f t="shared" si="24"/>
        <v>46108</v>
      </c>
      <c r="B365" s="228">
        <f>YEAR(Table13[[#This Row],[Date]])+IF(MONTH(Table13[[#This Row],[Date]])&gt;=4,1,0)</f>
        <v>2026</v>
      </c>
      <c r="C365" s="186">
        <f>YEAR(Table13[[#This Row],[Date]])</f>
        <v>2026</v>
      </c>
      <c r="D365" s="234">
        <f>Table13[[#This Row],[Date]]-DAY(Table13[[#This Row],[Date]])+1</f>
        <v>46082</v>
      </c>
      <c r="E365" s="186">
        <f t="shared" si="25"/>
        <v>31</v>
      </c>
      <c r="F365" s="235" t="str">
        <f>IFERROR(_xlfn.XLOOKUP($A365,'Raw_Data'!$B:$B,'Raw_Data'!$IX:$IX),"")</f>
        <v/>
      </c>
      <c r="G365" s="236" t="str">
        <f>IFERROR(_xlfn.XLOOKUP($A365,'Raw_Data'!$B:$B,'Raw_Data'!IY:IY),"")</f>
        <v/>
      </c>
      <c r="H365" s="236" t="str">
        <f>IFERROR(_xlfn.XLOOKUP($A365,'Raw_Data'!$B:$B,'Raw_Data'!IZ:IZ),"")</f>
        <v/>
      </c>
      <c r="I365" s="236" t="str">
        <f>IFERROR(_xlfn.XLOOKUP($A365,'Raw_Data'!$B:$B,'Raw_Data'!JA:JA),"")</f>
        <v/>
      </c>
      <c r="J365" s="236" t="str">
        <f>IFERROR(_xlfn.XLOOKUP($A365,'Raw_Data'!$B:$B,'Raw_Data'!JB:JB),"")</f>
        <v/>
      </c>
      <c r="K365" s="236" t="str">
        <f>IFERROR(_xlfn.XLOOKUP($A365,'Raw_Data'!$B:$B,'Raw_Data'!JE:JE),"")</f>
        <v/>
      </c>
      <c r="L365" s="236" t="str">
        <f>IFERROR(_xlfn.XLOOKUP($A365,'Raw_Data'!$B:$B,'Raw_Data'!JF:JF),"")</f>
        <v/>
      </c>
      <c r="M365" s="236" t="str">
        <f>IFERROR(_xlfn.XLOOKUP($A365,'Raw_Data'!$B:$B,'Raw_Data'!JG:JG),"")</f>
        <v/>
      </c>
      <c r="N365" s="236" t="str">
        <f>IFERROR(_xlfn.XLOOKUP($A365,'Raw_Data'!$B:$B,'Raw_Data'!JH:JH),"")</f>
        <v/>
      </c>
      <c r="O365" s="237" t="str">
        <f>IFERROR(1-SUMIF(PA!$B:$B,$A365,PA!$AL:$AL)/($AA365+SUMIF(PA!$B:$B,$A365,PA!$AL:$AL)),"")</f>
        <v/>
      </c>
      <c r="P365" s="238"/>
      <c r="Q365" s="239"/>
      <c r="R365" s="240" t="str">
        <f>IFERROR(1-SUMIF(GA!$C:$C,$A365,GA!$X:$X)/($AA365+SUMIF(GA!$C:$C,$A365,GA!$X:$X)),"")</f>
        <v/>
      </c>
      <c r="S365" s="186"/>
      <c r="T365" s="239"/>
      <c r="U365" s="237" t="str">
        <f t="shared" si="22"/>
        <v/>
      </c>
      <c r="V365" s="237" t="str">
        <f>IFERROR(_xlfn.XLOOKUP($A365,'Raw_Data'!$B:$B,'Raw_Data'!$JL:$JL),"")</f>
        <v/>
      </c>
      <c r="W365" s="240" t="str">
        <f t="shared" si="23"/>
        <v/>
      </c>
      <c r="X365" s="228" t="str">
        <f>IFERROR(_xlfn.XLOOKUP($A365,'Raw_Data'!$B:$B,'Raw_Data'!$JI:$JI),"")</f>
        <v/>
      </c>
      <c r="Y365" s="228" t="str">
        <f>IFERROR(_xlfn.XLOOKUP($A365,'Raw_Data'!$B:$B,'Raw_Data'!IT:IT),"")</f>
        <v/>
      </c>
      <c r="Z365" s="228" t="str">
        <f>IFERROR(_xlfn.XLOOKUP($A365,'Raw_Data'!$B:$B,'Raw_Data'!IU:IU),"")</f>
        <v/>
      </c>
      <c r="AA365" s="228" t="str">
        <f>IFERROR(_xlfn.XLOOKUP($A365,'Raw_Data'!$B:$B,'Raw_Data'!IW:IW),"")</f>
        <v/>
      </c>
      <c r="AB365" s="228" t="str">
        <f>IFERROR(_xlfn.XLOOKUP($A365,'Raw_Data'!$B:$B,'Raw_Data'!I:I)/1000,"")</f>
        <v/>
      </c>
      <c r="AC365" s="241">
        <f>IFERROR(_xlfn.XLOOKUP($D365,'Modelling New'!$D:$D,'Modelling New'!$P:$P),"")</f>
        <v>6.9595408709677447</v>
      </c>
      <c r="AD365" s="228">
        <f>IFERROR(_xlfn.XLOOKUP($D365,'Modelling New'!$D:$D,'Modelling New'!$T:$T)*1000,"")</f>
        <v>1886089.153916752</v>
      </c>
      <c r="AE365" s="240">
        <f>IFERROR(_xlfn.XLOOKUP($D365,'Modelling New'!$D:$D,'Modelling New'!$O:$O),"")</f>
        <v>0.80875851180650671</v>
      </c>
      <c r="AF365" s="240">
        <f>IFERROR(_xlfn.XLOOKUP($D365,'Modelling New'!$D:$D,'Modelling New'!$W:$W),"")</f>
        <v>0.23452449656918467</v>
      </c>
      <c r="AG365" s="240">
        <f>IFERROR(_xlfn.XLOOKUP($D365,'Modelling New'!$D:$D,'Modelling New'!AE:AE),"")</f>
        <v>0.99750000000000005</v>
      </c>
      <c r="AH365" s="240">
        <f>IFERROR(_xlfn.XLOOKUP($D365,'Modelling New'!$D:$D,'Modelling New'!AF:AF),"")</f>
        <v>0.99750000000000005</v>
      </c>
      <c r="AI365" s="186"/>
      <c r="AJ365" s="186"/>
      <c r="AK365" s="225"/>
      <c r="AL365" s="224">
        <f>IFERROR(Table13[[#This Row],[RA (%)]]*9270*58,"")</f>
        <v>0</v>
      </c>
      <c r="AM365" s="225"/>
      <c r="AN365" s="238"/>
      <c r="AO365" s="240"/>
      <c r="AP365" s="240"/>
      <c r="AQ365" s="240"/>
      <c r="AR365" s="242">
        <f>IFERROR(_xlfn.XLOOKUP($D365,'Modelling New'!$D:$D,'Modelling New'!$N:$N),"")</f>
        <v>335.09100000000001</v>
      </c>
    </row>
    <row r="366" spans="1:44">
      <c r="A366" s="233">
        <f t="shared" si="24"/>
        <v>46109</v>
      </c>
      <c r="B366" s="228">
        <f>YEAR(Table13[[#This Row],[Date]])+IF(MONTH(Table13[[#This Row],[Date]])&gt;=4,1,0)</f>
        <v>2026</v>
      </c>
      <c r="C366" s="186">
        <f>YEAR(Table13[[#This Row],[Date]])</f>
        <v>2026</v>
      </c>
      <c r="D366" s="234">
        <f>Table13[[#This Row],[Date]]-DAY(Table13[[#This Row],[Date]])+1</f>
        <v>46082</v>
      </c>
      <c r="E366" s="186">
        <f t="shared" si="25"/>
        <v>31</v>
      </c>
      <c r="F366" s="235" t="str">
        <f>IFERROR(_xlfn.XLOOKUP($A366,'Raw_Data'!$B:$B,'Raw_Data'!$IX:$IX),"")</f>
        <v/>
      </c>
      <c r="G366" s="236" t="str">
        <f>IFERROR(_xlfn.XLOOKUP($A366,'Raw_Data'!$B:$B,'Raw_Data'!IY:IY),"")</f>
        <v/>
      </c>
      <c r="H366" s="236" t="str">
        <f>IFERROR(_xlfn.XLOOKUP($A366,'Raw_Data'!$B:$B,'Raw_Data'!IZ:IZ),"")</f>
        <v/>
      </c>
      <c r="I366" s="236" t="str">
        <f>IFERROR(_xlfn.XLOOKUP($A366,'Raw_Data'!$B:$B,'Raw_Data'!JA:JA),"")</f>
        <v/>
      </c>
      <c r="J366" s="236" t="str">
        <f>IFERROR(_xlfn.XLOOKUP($A366,'Raw_Data'!$B:$B,'Raw_Data'!JB:JB),"")</f>
        <v/>
      </c>
      <c r="K366" s="236" t="str">
        <f>IFERROR(_xlfn.XLOOKUP($A366,'Raw_Data'!$B:$B,'Raw_Data'!JE:JE),"")</f>
        <v/>
      </c>
      <c r="L366" s="236" t="str">
        <f>IFERROR(_xlfn.XLOOKUP($A366,'Raw_Data'!$B:$B,'Raw_Data'!JF:JF),"")</f>
        <v/>
      </c>
      <c r="M366" s="236" t="str">
        <f>IFERROR(_xlfn.XLOOKUP($A366,'Raw_Data'!$B:$B,'Raw_Data'!JG:JG),"")</f>
        <v/>
      </c>
      <c r="N366" s="236" t="str">
        <f>IFERROR(_xlfn.XLOOKUP($A366,'Raw_Data'!$B:$B,'Raw_Data'!JH:JH),"")</f>
        <v/>
      </c>
      <c r="O366" s="237" t="str">
        <f>IFERROR(1-SUMIF(PA!$B:$B,$A366,PA!$AL:$AL)/($AA366+SUMIF(PA!$B:$B,$A366,PA!$AL:$AL)),"")</f>
        <v/>
      </c>
      <c r="P366" s="238"/>
      <c r="Q366" s="239"/>
      <c r="R366" s="240" t="str">
        <f>IFERROR(1-SUMIF(GA!$C:$C,$A366,GA!$X:$X)/($AA366+SUMIF(GA!$C:$C,$A366,GA!$X:$X)),"")</f>
        <v/>
      </c>
      <c r="S366" s="186"/>
      <c r="T366" s="239"/>
      <c r="U366" s="237" t="str">
        <f t="shared" si="22"/>
        <v/>
      </c>
      <c r="V366" s="237" t="str">
        <f>IFERROR(_xlfn.XLOOKUP($A366,'Raw_Data'!$B:$B,'Raw_Data'!$JL:$JL),"")</f>
        <v/>
      </c>
      <c r="W366" s="240" t="str">
        <f t="shared" si="23"/>
        <v/>
      </c>
      <c r="X366" s="228" t="str">
        <f>IFERROR(_xlfn.XLOOKUP($A366,'Raw_Data'!$B:$B,'Raw_Data'!$JI:$JI),"")</f>
        <v/>
      </c>
      <c r="Y366" s="228" t="str">
        <f>IFERROR(_xlfn.XLOOKUP($A366,'Raw_Data'!$B:$B,'Raw_Data'!IT:IT),"")</f>
        <v/>
      </c>
      <c r="Z366" s="228" t="str">
        <f>IFERROR(_xlfn.XLOOKUP($A366,'Raw_Data'!$B:$B,'Raw_Data'!IU:IU),"")</f>
        <v/>
      </c>
      <c r="AA366" s="228" t="str">
        <f>IFERROR(_xlfn.XLOOKUP($A366,'Raw_Data'!$B:$B,'Raw_Data'!IW:IW),"")</f>
        <v/>
      </c>
      <c r="AB366" s="228" t="str">
        <f>IFERROR(_xlfn.XLOOKUP($A366,'Raw_Data'!$B:$B,'Raw_Data'!I:I)/1000,"")</f>
        <v/>
      </c>
      <c r="AC366" s="241">
        <f>IFERROR(_xlfn.XLOOKUP($D366,'Modelling New'!$D:$D,'Modelling New'!$P:$P),"")</f>
        <v>6.9595408709677447</v>
      </c>
      <c r="AD366" s="228">
        <f>IFERROR(_xlfn.XLOOKUP($D366,'Modelling New'!$D:$D,'Modelling New'!$T:$T)*1000,"")</f>
        <v>1886089.153916752</v>
      </c>
      <c r="AE366" s="240">
        <f>IFERROR(_xlfn.XLOOKUP($D366,'Modelling New'!$D:$D,'Modelling New'!$O:$O),"")</f>
        <v>0.80875851180650671</v>
      </c>
      <c r="AF366" s="240">
        <f>IFERROR(_xlfn.XLOOKUP($D366,'Modelling New'!$D:$D,'Modelling New'!$W:$W),"")</f>
        <v>0.23452449656918467</v>
      </c>
      <c r="AG366" s="240">
        <f>IFERROR(_xlfn.XLOOKUP($D366,'Modelling New'!$D:$D,'Modelling New'!AE:AE),"")</f>
        <v>0.99750000000000005</v>
      </c>
      <c r="AH366" s="240">
        <f>IFERROR(_xlfn.XLOOKUP($D366,'Modelling New'!$D:$D,'Modelling New'!AF:AF),"")</f>
        <v>0.99750000000000005</v>
      </c>
      <c r="AI366" s="186"/>
      <c r="AJ366" s="186"/>
      <c r="AK366" s="225"/>
      <c r="AL366" s="224">
        <f>IFERROR(Table13[[#This Row],[RA (%)]]*9270*58,"")</f>
        <v>0</v>
      </c>
      <c r="AM366" s="225"/>
      <c r="AN366" s="238"/>
      <c r="AO366" s="240"/>
      <c r="AP366" s="240"/>
      <c r="AQ366" s="240"/>
      <c r="AR366" s="242">
        <f>IFERROR(_xlfn.XLOOKUP($D366,'Modelling New'!$D:$D,'Modelling New'!$N:$N),"")</f>
        <v>335.09100000000001</v>
      </c>
    </row>
    <row r="367" spans="1:44">
      <c r="A367" s="233">
        <f t="shared" si="24"/>
        <v>46110</v>
      </c>
      <c r="B367" s="228">
        <f>YEAR(Table13[[#This Row],[Date]])+IF(MONTH(Table13[[#This Row],[Date]])&gt;=4,1,0)</f>
        <v>2026</v>
      </c>
      <c r="C367" s="186">
        <f>YEAR(Table13[[#This Row],[Date]])</f>
        <v>2026</v>
      </c>
      <c r="D367" s="234">
        <f>Table13[[#This Row],[Date]]-DAY(Table13[[#This Row],[Date]])+1</f>
        <v>46082</v>
      </c>
      <c r="E367" s="186">
        <f t="shared" si="25"/>
        <v>31</v>
      </c>
      <c r="F367" s="235" t="str">
        <f>IFERROR(_xlfn.XLOOKUP($A367,'Raw_Data'!$B:$B,'Raw_Data'!$IX:$IX),"")</f>
        <v/>
      </c>
      <c r="G367" s="236" t="str">
        <f>IFERROR(_xlfn.XLOOKUP($A367,'Raw_Data'!$B:$B,'Raw_Data'!IY:IY),"")</f>
        <v/>
      </c>
      <c r="H367" s="236" t="str">
        <f>IFERROR(_xlfn.XLOOKUP($A367,'Raw_Data'!$B:$B,'Raw_Data'!IZ:IZ),"")</f>
        <v/>
      </c>
      <c r="I367" s="236" t="str">
        <f>IFERROR(_xlfn.XLOOKUP($A367,'Raw_Data'!$B:$B,'Raw_Data'!JA:JA),"")</f>
        <v/>
      </c>
      <c r="J367" s="236" t="str">
        <f>IFERROR(_xlfn.XLOOKUP($A367,'Raw_Data'!$B:$B,'Raw_Data'!JB:JB),"")</f>
        <v/>
      </c>
      <c r="K367" s="236" t="str">
        <f>IFERROR(_xlfn.XLOOKUP($A367,'Raw_Data'!$B:$B,'Raw_Data'!JE:JE),"")</f>
        <v/>
      </c>
      <c r="L367" s="236" t="str">
        <f>IFERROR(_xlfn.XLOOKUP($A367,'Raw_Data'!$B:$B,'Raw_Data'!JF:JF),"")</f>
        <v/>
      </c>
      <c r="M367" s="236" t="str">
        <f>IFERROR(_xlfn.XLOOKUP($A367,'Raw_Data'!$B:$B,'Raw_Data'!JG:JG),"")</f>
        <v/>
      </c>
      <c r="N367" s="236" t="str">
        <f>IFERROR(_xlfn.XLOOKUP($A367,'Raw_Data'!$B:$B,'Raw_Data'!JH:JH),"")</f>
        <v/>
      </c>
      <c r="O367" s="237" t="str">
        <f>IFERROR(1-SUMIF(PA!$B:$B,$A367,PA!$AL:$AL)/($AA367+SUMIF(PA!$B:$B,$A367,PA!$AL:$AL)),"")</f>
        <v/>
      </c>
      <c r="P367" s="238"/>
      <c r="Q367" s="239"/>
      <c r="R367" s="240" t="str">
        <f>IFERROR(1-SUMIF(GA!$C:$C,$A367,GA!$X:$X)/($AA367+SUMIF(GA!$C:$C,$A367,GA!$X:$X)),"")</f>
        <v/>
      </c>
      <c r="S367" s="186"/>
      <c r="T367" s="239"/>
      <c r="U367" s="237" t="str">
        <f t="shared" si="22"/>
        <v/>
      </c>
      <c r="V367" s="237" t="str">
        <f>IFERROR(_xlfn.XLOOKUP($A367,'Raw_Data'!$B:$B,'Raw_Data'!$JL:$JL),"")</f>
        <v/>
      </c>
      <c r="W367" s="240" t="str">
        <f t="shared" si="23"/>
        <v/>
      </c>
      <c r="X367" s="228" t="str">
        <f>IFERROR(_xlfn.XLOOKUP($A367,'Raw_Data'!$B:$B,'Raw_Data'!$JI:$JI),"")</f>
        <v/>
      </c>
      <c r="Y367" s="228" t="str">
        <f>IFERROR(_xlfn.XLOOKUP($A367,'Raw_Data'!$B:$B,'Raw_Data'!IT:IT),"")</f>
        <v/>
      </c>
      <c r="Z367" s="228" t="str">
        <f>IFERROR(_xlfn.XLOOKUP($A367,'Raw_Data'!$B:$B,'Raw_Data'!IU:IU),"")</f>
        <v/>
      </c>
      <c r="AA367" s="228" t="str">
        <f>IFERROR(_xlfn.XLOOKUP($A367,'Raw_Data'!$B:$B,'Raw_Data'!IW:IW),"")</f>
        <v/>
      </c>
      <c r="AB367" s="228" t="str">
        <f>IFERROR(_xlfn.XLOOKUP($A367,'Raw_Data'!$B:$B,'Raw_Data'!I:I)/1000,"")</f>
        <v/>
      </c>
      <c r="AC367" s="241">
        <f>IFERROR(_xlfn.XLOOKUP($D367,'Modelling New'!$D:$D,'Modelling New'!$P:$P),"")</f>
        <v>6.9595408709677447</v>
      </c>
      <c r="AD367" s="228">
        <f>IFERROR(_xlfn.XLOOKUP($D367,'Modelling New'!$D:$D,'Modelling New'!$T:$T)*1000,"")</f>
        <v>1886089.153916752</v>
      </c>
      <c r="AE367" s="240">
        <f>IFERROR(_xlfn.XLOOKUP($D367,'Modelling New'!$D:$D,'Modelling New'!$O:$O),"")</f>
        <v>0.80875851180650671</v>
      </c>
      <c r="AF367" s="240">
        <f>IFERROR(_xlfn.XLOOKUP($D367,'Modelling New'!$D:$D,'Modelling New'!$W:$W),"")</f>
        <v>0.23452449656918467</v>
      </c>
      <c r="AG367" s="240">
        <f>IFERROR(_xlfn.XLOOKUP($D367,'Modelling New'!$D:$D,'Modelling New'!AE:AE),"")</f>
        <v>0.99750000000000005</v>
      </c>
      <c r="AH367" s="240">
        <f>IFERROR(_xlfn.XLOOKUP($D367,'Modelling New'!$D:$D,'Modelling New'!AF:AF),"")</f>
        <v>0.99750000000000005</v>
      </c>
      <c r="AI367" s="186"/>
      <c r="AJ367" s="186"/>
      <c r="AK367" s="225"/>
      <c r="AL367" s="224">
        <f>IFERROR(Table13[[#This Row],[RA (%)]]*9270*58,"")</f>
        <v>0</v>
      </c>
      <c r="AM367" s="225"/>
      <c r="AN367" s="238"/>
      <c r="AO367" s="240"/>
      <c r="AP367" s="240"/>
      <c r="AQ367" s="240"/>
      <c r="AR367" s="242">
        <f>IFERROR(_xlfn.XLOOKUP($D367,'Modelling New'!$D:$D,'Modelling New'!$N:$N),"")</f>
        <v>335.09100000000001</v>
      </c>
    </row>
    <row r="368" spans="1:44">
      <c r="A368" s="233">
        <f t="shared" si="24"/>
        <v>46111</v>
      </c>
      <c r="B368" s="228">
        <f>YEAR(Table13[[#This Row],[Date]])+IF(MONTH(Table13[[#This Row],[Date]])&gt;=4,1,0)</f>
        <v>2026</v>
      </c>
      <c r="C368" s="186">
        <f>YEAR(Table13[[#This Row],[Date]])</f>
        <v>2026</v>
      </c>
      <c r="D368" s="234">
        <f>Table13[[#This Row],[Date]]-DAY(Table13[[#This Row],[Date]])+1</f>
        <v>46082</v>
      </c>
      <c r="E368" s="186">
        <f t="shared" si="25"/>
        <v>31</v>
      </c>
      <c r="F368" s="235" t="str">
        <f>IFERROR(_xlfn.XLOOKUP($A368,'Raw_Data'!$B:$B,'Raw_Data'!$IX:$IX),"")</f>
        <v/>
      </c>
      <c r="G368" s="236" t="str">
        <f>IFERROR(_xlfn.XLOOKUP($A368,'Raw_Data'!$B:$B,'Raw_Data'!IY:IY),"")</f>
        <v/>
      </c>
      <c r="H368" s="236" t="str">
        <f>IFERROR(_xlfn.XLOOKUP($A368,'Raw_Data'!$B:$B,'Raw_Data'!IZ:IZ),"")</f>
        <v/>
      </c>
      <c r="I368" s="236" t="str">
        <f>IFERROR(_xlfn.XLOOKUP($A368,'Raw_Data'!$B:$B,'Raw_Data'!JA:JA),"")</f>
        <v/>
      </c>
      <c r="J368" s="236" t="str">
        <f>IFERROR(_xlfn.XLOOKUP($A368,'Raw_Data'!$B:$B,'Raw_Data'!JB:JB),"")</f>
        <v/>
      </c>
      <c r="K368" s="236" t="str">
        <f>IFERROR(_xlfn.XLOOKUP($A368,'Raw_Data'!$B:$B,'Raw_Data'!JE:JE),"")</f>
        <v/>
      </c>
      <c r="L368" s="236" t="str">
        <f>IFERROR(_xlfn.XLOOKUP($A368,'Raw_Data'!$B:$B,'Raw_Data'!JF:JF),"")</f>
        <v/>
      </c>
      <c r="M368" s="236" t="str">
        <f>IFERROR(_xlfn.XLOOKUP($A368,'Raw_Data'!$B:$B,'Raw_Data'!JG:JG),"")</f>
        <v/>
      </c>
      <c r="N368" s="236" t="str">
        <f>IFERROR(_xlfn.XLOOKUP($A368,'Raw_Data'!$B:$B,'Raw_Data'!JH:JH),"")</f>
        <v/>
      </c>
      <c r="O368" s="237" t="str">
        <f>IFERROR(1-SUMIF(PA!$B:$B,$A368,PA!$AL:$AL)/($AA368+SUMIF(PA!$B:$B,$A368,PA!$AL:$AL)),"")</f>
        <v/>
      </c>
      <c r="P368" s="238"/>
      <c r="Q368" s="239"/>
      <c r="R368" s="240" t="str">
        <f>IFERROR(1-SUMIF(GA!$C:$C,$A368,GA!$X:$X)/($AA368+SUMIF(GA!$C:$C,$A368,GA!$X:$X)),"")</f>
        <v/>
      </c>
      <c r="S368" s="186"/>
      <c r="T368" s="239"/>
      <c r="U368" s="237" t="str">
        <f t="shared" si="22"/>
        <v/>
      </c>
      <c r="V368" s="237" t="str">
        <f>IFERROR(_xlfn.XLOOKUP($A368,'Raw_Data'!$B:$B,'Raw_Data'!$JL:$JL),"")</f>
        <v/>
      </c>
      <c r="W368" s="240" t="str">
        <f t="shared" si="23"/>
        <v/>
      </c>
      <c r="X368" s="228" t="str">
        <f>IFERROR(_xlfn.XLOOKUP($A368,'Raw_Data'!$B:$B,'Raw_Data'!$JI:$JI),"")</f>
        <v/>
      </c>
      <c r="Y368" s="228" t="str">
        <f>IFERROR(_xlfn.XLOOKUP($A368,'Raw_Data'!$B:$B,'Raw_Data'!IT:IT),"")</f>
        <v/>
      </c>
      <c r="Z368" s="228" t="str">
        <f>IFERROR(_xlfn.XLOOKUP($A368,'Raw_Data'!$B:$B,'Raw_Data'!IU:IU),"")</f>
        <v/>
      </c>
      <c r="AA368" s="228" t="str">
        <f>IFERROR(_xlfn.XLOOKUP($A368,'Raw_Data'!$B:$B,'Raw_Data'!IW:IW),"")</f>
        <v/>
      </c>
      <c r="AB368" s="228" t="str">
        <f>IFERROR(_xlfn.XLOOKUP($A368,'Raw_Data'!$B:$B,'Raw_Data'!I:I)/1000,"")</f>
        <v/>
      </c>
      <c r="AC368" s="241">
        <f>IFERROR(_xlfn.XLOOKUP($D368,'Modelling New'!$D:$D,'Modelling New'!$P:$P),"")</f>
        <v>6.9595408709677447</v>
      </c>
      <c r="AD368" s="228">
        <f>IFERROR(_xlfn.XLOOKUP($D368,'Modelling New'!$D:$D,'Modelling New'!$T:$T)*1000,"")</f>
        <v>1886089.153916752</v>
      </c>
      <c r="AE368" s="240">
        <f>IFERROR(_xlfn.XLOOKUP($D368,'Modelling New'!$D:$D,'Modelling New'!$O:$O),"")</f>
        <v>0.80875851180650671</v>
      </c>
      <c r="AF368" s="240">
        <f>IFERROR(_xlfn.XLOOKUP($D368,'Modelling New'!$D:$D,'Modelling New'!$W:$W),"")</f>
        <v>0.23452449656918467</v>
      </c>
      <c r="AG368" s="240">
        <f>IFERROR(_xlfn.XLOOKUP($D368,'Modelling New'!$D:$D,'Modelling New'!AE:AE),"")</f>
        <v>0.99750000000000005</v>
      </c>
      <c r="AH368" s="240">
        <f>IFERROR(_xlfn.XLOOKUP($D368,'Modelling New'!$D:$D,'Modelling New'!AF:AF),"")</f>
        <v>0.99750000000000005</v>
      </c>
      <c r="AI368" s="186"/>
      <c r="AJ368" s="186"/>
      <c r="AK368" s="225"/>
      <c r="AL368" s="224">
        <f>IFERROR(Table13[[#This Row],[RA (%)]]*9270*58,"")</f>
        <v>0</v>
      </c>
      <c r="AM368" s="225"/>
      <c r="AN368" s="238"/>
      <c r="AO368" s="240"/>
      <c r="AP368" s="240"/>
      <c r="AQ368" s="240"/>
      <c r="AR368" s="242">
        <f>IFERROR(_xlfn.XLOOKUP($D368,'Modelling New'!$D:$D,'Modelling New'!$N:$N),"")</f>
        <v>335.09100000000001</v>
      </c>
    </row>
    <row r="369" spans="1:44">
      <c r="A369" s="233">
        <f t="shared" si="24"/>
        <v>46112</v>
      </c>
      <c r="B369" s="228">
        <f>YEAR(Table13[[#This Row],[Date]])+IF(MONTH(Table13[[#This Row],[Date]])&gt;=4,1,0)</f>
        <v>2026</v>
      </c>
      <c r="C369" s="186">
        <f>YEAR(Table13[[#This Row],[Date]])</f>
        <v>2026</v>
      </c>
      <c r="D369" s="234">
        <f>Table13[[#This Row],[Date]]-DAY(Table13[[#This Row],[Date]])+1</f>
        <v>46082</v>
      </c>
      <c r="E369" s="186">
        <f t="shared" si="25"/>
        <v>31</v>
      </c>
      <c r="F369" s="235" t="str">
        <f>IFERROR(_xlfn.XLOOKUP($A369,'Raw_Data'!$B:$B,'Raw_Data'!$IX:$IX),"")</f>
        <v/>
      </c>
      <c r="G369" s="236" t="str">
        <f>IFERROR(_xlfn.XLOOKUP($A369,'Raw_Data'!$B:$B,'Raw_Data'!IY:IY),"")</f>
        <v/>
      </c>
      <c r="H369" s="236" t="str">
        <f>IFERROR(_xlfn.XLOOKUP($A369,'Raw_Data'!$B:$B,'Raw_Data'!IZ:IZ),"")</f>
        <v/>
      </c>
      <c r="I369" s="236" t="str">
        <f>IFERROR(_xlfn.XLOOKUP($A369,'Raw_Data'!$B:$B,'Raw_Data'!JA:JA),"")</f>
        <v/>
      </c>
      <c r="J369" s="236" t="str">
        <f>IFERROR(_xlfn.XLOOKUP($A369,'Raw_Data'!$B:$B,'Raw_Data'!JB:JB),"")</f>
        <v/>
      </c>
      <c r="K369" s="236" t="str">
        <f>IFERROR(_xlfn.XLOOKUP($A369,'Raw_Data'!$B:$B,'Raw_Data'!JE:JE),"")</f>
        <v/>
      </c>
      <c r="L369" s="236" t="str">
        <f>IFERROR(_xlfn.XLOOKUP($A369,'Raw_Data'!$B:$B,'Raw_Data'!JF:JF),"")</f>
        <v/>
      </c>
      <c r="M369" s="236" t="str">
        <f>IFERROR(_xlfn.XLOOKUP($A369,'Raw_Data'!$B:$B,'Raw_Data'!JG:JG),"")</f>
        <v/>
      </c>
      <c r="N369" s="236" t="str">
        <f>IFERROR(_xlfn.XLOOKUP($A369,'Raw_Data'!$B:$B,'Raw_Data'!JH:JH),"")</f>
        <v/>
      </c>
      <c r="O369" s="237" t="str">
        <f>IFERROR(1-SUMIF(PA!$B:$B,$A369,PA!$AL:$AL)/($AA369+SUMIF(PA!$B:$B,$A369,PA!$AL:$AL)),"")</f>
        <v/>
      </c>
      <c r="P369" s="238"/>
      <c r="Q369" s="239"/>
      <c r="R369" s="240" t="str">
        <f>IFERROR(1-SUMIF(GA!$C:$C,$A369,GA!$X:$X)/($AA369+SUMIF(GA!$C:$C,$A369,GA!$X:$X)),"")</f>
        <v/>
      </c>
      <c r="S369" s="186"/>
      <c r="T369" s="239"/>
      <c r="U369" s="237" t="str">
        <f t="shared" si="22"/>
        <v/>
      </c>
      <c r="V369" s="237" t="str">
        <f>IFERROR(_xlfn.XLOOKUP($A369,'Raw_Data'!$B:$B,'Raw_Data'!$JL:$JL),"")</f>
        <v/>
      </c>
      <c r="W369" s="240" t="str">
        <f t="shared" si="23"/>
        <v/>
      </c>
      <c r="X369" s="228" t="str">
        <f>IFERROR(_xlfn.XLOOKUP($A369,'Raw_Data'!$B:$B,'Raw_Data'!$JI:$JI),"")</f>
        <v/>
      </c>
      <c r="Y369" s="228" t="str">
        <f>IFERROR(_xlfn.XLOOKUP($A369,'Raw_Data'!$B:$B,'Raw_Data'!IT:IT),"")</f>
        <v/>
      </c>
      <c r="Z369" s="228" t="str">
        <f>IFERROR(_xlfn.XLOOKUP($A369,'Raw_Data'!$B:$B,'Raw_Data'!IU:IU),"")</f>
        <v/>
      </c>
      <c r="AA369" s="228" t="str">
        <f>IFERROR(_xlfn.XLOOKUP($A369,'Raw_Data'!$B:$B,'Raw_Data'!IW:IW),"")</f>
        <v/>
      </c>
      <c r="AB369" s="228" t="str">
        <f>IFERROR(_xlfn.XLOOKUP($A369,'Raw_Data'!$B:$B,'Raw_Data'!I:I)/1000,"")</f>
        <v/>
      </c>
      <c r="AC369" s="241">
        <f>IFERROR(_xlfn.XLOOKUP($D369,'Modelling New'!$D:$D,'Modelling New'!$P:$P),"")</f>
        <v>6.9595408709677447</v>
      </c>
      <c r="AD369" s="228">
        <f>IFERROR(_xlfn.XLOOKUP($D369,'Modelling New'!$D:$D,'Modelling New'!$T:$T)*1000,"")</f>
        <v>1886089.153916752</v>
      </c>
      <c r="AE369" s="240">
        <f>IFERROR(_xlfn.XLOOKUP($D369,'Modelling New'!$D:$D,'Modelling New'!$O:$O),"")</f>
        <v>0.80875851180650671</v>
      </c>
      <c r="AF369" s="240">
        <f>IFERROR(_xlfn.XLOOKUP($D369,'Modelling New'!$D:$D,'Modelling New'!$W:$W),"")</f>
        <v>0.23452449656918467</v>
      </c>
      <c r="AG369" s="240">
        <f>IFERROR(_xlfn.XLOOKUP($D369,'Modelling New'!$D:$D,'Modelling New'!AE:AE),"")</f>
        <v>0.99750000000000005</v>
      </c>
      <c r="AH369" s="240">
        <f>IFERROR(_xlfn.XLOOKUP($D369,'Modelling New'!$D:$D,'Modelling New'!AF:AF),"")</f>
        <v>0.99750000000000005</v>
      </c>
      <c r="AI369" s="186"/>
      <c r="AJ369" s="186"/>
      <c r="AK369" s="225"/>
      <c r="AL369" s="224">
        <f>IFERROR(Table13[[#This Row],[RA (%)]]*9270*58,"")</f>
        <v>0</v>
      </c>
      <c r="AM369" s="225"/>
      <c r="AN369" s="238"/>
      <c r="AO369" s="240"/>
      <c r="AP369" s="240"/>
      <c r="AQ369" s="240"/>
      <c r="AR369" s="242">
        <f>IFERROR(_xlfn.XLOOKUP($D369,'Modelling New'!$D:$D,'Modelling New'!$N:$N),"")</f>
        <v>335.09100000000001</v>
      </c>
    </row>
  </sheetData>
  <pageMargins left="0.7" right="0.7" top="0.75" bottom="0.75" header="0.3" footer="0.3"/>
  <pageSetup paperSize="9" orientation="portrait"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FA823-0EB5-403A-AA2D-05400CE175AA}">
  <dimension ref="A2:AQ457"/>
  <sheetViews>
    <sheetView zoomScaleNormal="100" workbookViewId="0">
      <pane xSplit="2" ySplit="3" topLeftCell="C4" activePane="bottomRight" state="frozen"/>
      <selection pane="topRight" activeCell="C3" sqref="C3"/>
      <selection pane="bottomLeft" activeCell="A4" sqref="A4"/>
      <selection pane="bottomRight" activeCell="B10" sqref="B10"/>
    </sheetView>
  </sheetViews>
  <sheetFormatPr defaultColWidth="8.81640625" defaultRowHeight="14" customHeight="1"/>
  <cols>
    <col min="1" max="1" width="10.453125" style="1" bestFit="1" customWidth="1"/>
    <col min="2" max="2" width="13.1796875" customWidth="1"/>
    <col min="3" max="3" width="11.453125" style="1" customWidth="1"/>
    <col min="4" max="4" width="12.453125" style="1" customWidth="1"/>
    <col min="5" max="5" width="14.1796875" style="1" customWidth="1"/>
    <col min="6" max="6" width="13" customWidth="1"/>
    <col min="7" max="7" width="10.81640625" style="1" customWidth="1"/>
    <col min="8" max="8" width="9.1796875" customWidth="1"/>
    <col min="9" max="9" width="9.453125" style="1" customWidth="1"/>
    <col min="10" max="10" width="10.453125" style="1" customWidth="1"/>
    <col min="11" max="11" width="10.1796875" customWidth="1"/>
    <col min="12" max="12" width="11.453125" customWidth="1"/>
    <col min="13" max="14" width="12.453125" customWidth="1"/>
    <col min="15" max="15" width="10" customWidth="1"/>
    <col min="16" max="16" width="16.453125" customWidth="1"/>
    <col min="17" max="17" width="14" style="1" customWidth="1"/>
    <col min="18" max="18" width="9.453125" style="1" bestFit="1" customWidth="1"/>
    <col min="19" max="19" width="10" style="1" bestFit="1" customWidth="1"/>
    <col min="20" max="20" width="21" style="1" customWidth="1"/>
    <col min="21" max="21" width="17.453125" style="1" customWidth="1"/>
    <col min="22" max="22" width="17" bestFit="1" customWidth="1"/>
    <col min="23" max="23" width="18.54296875" customWidth="1"/>
    <col min="24" max="24" width="40.81640625" customWidth="1"/>
    <col min="25" max="25" width="52.453125" bestFit="1" customWidth="1"/>
    <col min="26" max="26" width="8.453125" customWidth="1"/>
    <col min="27" max="27" width="8.453125" style="30" customWidth="1"/>
    <col min="28" max="28" width="12.453125" style="30" customWidth="1"/>
    <col min="29" max="29" width="19.453125" customWidth="1"/>
    <col min="30" max="30" width="13.1796875" customWidth="1"/>
    <col min="31" max="31" width="13.81640625" customWidth="1"/>
    <col min="32" max="32" width="14.453125" customWidth="1"/>
    <col min="33" max="33" width="13.81640625" customWidth="1"/>
    <col min="34" max="34" width="32.453125" style="1" customWidth="1"/>
    <col min="35" max="35" width="10.453125" customWidth="1"/>
    <col min="36" max="36" width="12.1796875" customWidth="1"/>
    <col min="37" max="37" width="14.1796875" customWidth="1"/>
    <col min="38" max="38" width="12.81640625" customWidth="1"/>
    <col min="39" max="39" width="14.453125" bestFit="1" customWidth="1"/>
  </cols>
  <sheetData>
    <row r="2" spans="1:39" ht="14" customHeight="1">
      <c r="B2">
        <v>1</v>
      </c>
      <c r="C2" s="1">
        <f>B2+1</f>
        <v>2</v>
      </c>
      <c r="D2" s="1">
        <f t="shared" ref="D2:AL2" si="0">C2+1</f>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30">
        <f t="shared" si="0"/>
        <v>26</v>
      </c>
      <c r="AB2" s="30">
        <f t="shared" si="0"/>
        <v>27</v>
      </c>
      <c r="AC2" s="1">
        <f t="shared" si="0"/>
        <v>28</v>
      </c>
      <c r="AD2" s="1">
        <f t="shared" si="0"/>
        <v>29</v>
      </c>
      <c r="AE2" s="1">
        <f t="shared" si="0"/>
        <v>30</v>
      </c>
      <c r="AF2" s="1">
        <f t="shared" si="0"/>
        <v>31</v>
      </c>
      <c r="AG2" s="1">
        <f t="shared" si="0"/>
        <v>32</v>
      </c>
      <c r="AH2" s="1">
        <f t="shared" si="0"/>
        <v>33</v>
      </c>
      <c r="AI2" s="1">
        <f t="shared" si="0"/>
        <v>34</v>
      </c>
      <c r="AJ2" s="1">
        <f t="shared" si="0"/>
        <v>35</v>
      </c>
      <c r="AK2" s="1">
        <f t="shared" si="0"/>
        <v>36</v>
      </c>
      <c r="AL2" s="1">
        <f t="shared" si="0"/>
        <v>37</v>
      </c>
    </row>
    <row r="3" spans="1:39" ht="14" customHeight="1">
      <c r="A3" s="2" t="s">
        <v>6</v>
      </c>
      <c r="B3" s="4" t="s">
        <v>55</v>
      </c>
      <c r="C3" s="3" t="s">
        <v>56</v>
      </c>
      <c r="D3" s="3" t="s">
        <v>57</v>
      </c>
      <c r="E3" s="3" t="s">
        <v>362</v>
      </c>
      <c r="F3" s="3" t="s">
        <v>102</v>
      </c>
      <c r="G3" s="3" t="s">
        <v>58</v>
      </c>
      <c r="H3" s="3" t="s">
        <v>36</v>
      </c>
      <c r="I3" s="3" t="s">
        <v>104</v>
      </c>
      <c r="J3" s="3" t="s">
        <v>105</v>
      </c>
      <c r="K3" s="3" t="s">
        <v>363</v>
      </c>
      <c r="L3" s="3" t="s">
        <v>364</v>
      </c>
      <c r="M3" s="3" t="s">
        <v>365</v>
      </c>
      <c r="N3" s="3" t="s">
        <v>366</v>
      </c>
      <c r="O3" s="3" t="s">
        <v>367</v>
      </c>
      <c r="P3" s="3" t="s">
        <v>368</v>
      </c>
      <c r="Q3" s="3" t="s">
        <v>369</v>
      </c>
      <c r="R3" s="3" t="s">
        <v>370</v>
      </c>
      <c r="S3" s="3" t="s">
        <v>371</v>
      </c>
      <c r="T3" s="3" t="s">
        <v>372</v>
      </c>
      <c r="U3" s="3" t="s">
        <v>373</v>
      </c>
      <c r="V3" s="3" t="s">
        <v>374</v>
      </c>
      <c r="W3" s="3" t="s">
        <v>375</v>
      </c>
      <c r="X3" s="3" t="s">
        <v>376</v>
      </c>
      <c r="Y3" s="3" t="s">
        <v>377</v>
      </c>
      <c r="Z3" s="3" t="s">
        <v>378</v>
      </c>
      <c r="AA3" s="101" t="s">
        <v>379</v>
      </c>
      <c r="AB3" s="101" t="s">
        <v>380</v>
      </c>
      <c r="AC3" s="3" t="s">
        <v>381</v>
      </c>
      <c r="AD3" s="3" t="s">
        <v>382</v>
      </c>
      <c r="AE3" s="3" t="s">
        <v>383</v>
      </c>
      <c r="AF3" s="3" t="s">
        <v>384</v>
      </c>
      <c r="AG3" s="3" t="s">
        <v>385</v>
      </c>
      <c r="AH3" s="3" t="s">
        <v>386</v>
      </c>
      <c r="AI3" s="3" t="s">
        <v>387</v>
      </c>
      <c r="AJ3" s="3" t="s">
        <v>388</v>
      </c>
      <c r="AK3" s="3" t="s">
        <v>389</v>
      </c>
      <c r="AL3" s="5" t="s">
        <v>390</v>
      </c>
      <c r="AM3" s="3" t="s">
        <v>391</v>
      </c>
    </row>
    <row r="4" spans="1:39" ht="14" customHeight="1">
      <c r="A4" s="177">
        <v>1</v>
      </c>
      <c r="B4" s="185">
        <v>45753</v>
      </c>
      <c r="C4" s="178" t="s">
        <v>477</v>
      </c>
      <c r="D4" s="176">
        <f>YEAR(PA[[#This Row],[Date]])</f>
        <v>2025</v>
      </c>
      <c r="E4" s="178" t="s">
        <v>361</v>
      </c>
      <c r="F4" s="178" t="s">
        <v>361</v>
      </c>
      <c r="G4" s="179">
        <v>45748</v>
      </c>
      <c r="H4" s="176">
        <f>DAY(EOMONTH(PA[[#This Row],[Month Year]],0))</f>
        <v>30</v>
      </c>
      <c r="I4" s="180">
        <f>VLOOKUP(PA[[#This Row],[Date]],Raw_Data[#All],9,0)</f>
        <v>0.27986111111111112</v>
      </c>
      <c r="J4" s="180">
        <f>VLOOKUP(PA[[#This Row],[Date]],Raw_Data[#All],10,0)</f>
        <v>0.7944444444444444</v>
      </c>
      <c r="K4" s="68">
        <f>IFERROR((PA[[#This Row],[Sunset Time (POA&lt;20 W/m2)]]-PA[[#This Row],[Sunrise Time (POA&gt;20 W/m2)]])*24,"")</f>
        <v>12.349999999999998</v>
      </c>
      <c r="L4" s="178" t="s">
        <v>437</v>
      </c>
      <c r="M4" s="178" t="s">
        <v>401</v>
      </c>
      <c r="N4" s="178" t="s">
        <v>395</v>
      </c>
      <c r="O4" s="178"/>
      <c r="P4" s="178"/>
      <c r="Q4" s="178"/>
      <c r="R4" s="176">
        <f>IF((PA[[#This Row],[String Type(If String BD)]]&amp;PA[[#This Row],[Equipment (If any BD other than PV  array and inv)]])="",1,0)</f>
        <v>1</v>
      </c>
      <c r="S4" s="6">
        <f>IF(PA[[#This Row],[String Type(If String BD)]]="",1,0)</f>
        <v>1</v>
      </c>
      <c r="T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IS1INV4M2</v>
      </c>
      <c r="U4" s="68">
        <f>IFERROR(VLOOKUP(PA[[#This Row],[Affected Equipment ]],'Basic Data '!$A$1:$B$1846,2,0),"")</f>
        <v>2193.85</v>
      </c>
      <c r="V4" s="143">
        <f>IFERROR(VLOOKUP(PA[[#This Row],[Affected Equipment ]],'Basic Data '!$A$1:$C$1846,3,0),"")</f>
        <v>6.547027523866651E-3</v>
      </c>
      <c r="W4" s="178" t="s">
        <v>427</v>
      </c>
      <c r="X4" s="110" t="s">
        <v>452</v>
      </c>
      <c r="Y4" s="110" t="s">
        <v>452</v>
      </c>
      <c r="Z4" s="109">
        <v>0.27986111111111112</v>
      </c>
      <c r="AA4" s="109">
        <v>0.27986111111111112</v>
      </c>
      <c r="AB4" s="109">
        <v>0.28749999999999998</v>
      </c>
      <c r="AC4" s="109">
        <v>0.3034722222222222</v>
      </c>
      <c r="AD4" s="82">
        <f>IF(PA[[#This Row],[Acknowledgement Time ]]="NA","",(PA[[#This Row],[Acknowledgement Time ]]-PA[[#This Row],[Fault Time]])*24)</f>
        <v>0</v>
      </c>
      <c r="AE4" s="82">
        <f>IF(PA[[#This Row],[Work Start time on Fault]]="NA","",(PA[[#This Row],[Work Start time on Fault]]-PA[[#This Row],[Fault Time]])*24)</f>
        <v>0.18333333333333268</v>
      </c>
      <c r="AF4" s="111">
        <f>IF(PA[[#This Row],[Status]]="Open","",(PA[[#This Row],[Work Completion time on fault]]-PA[[#This Row],[Fault Time]])*24)</f>
        <v>0.56666666666666599</v>
      </c>
      <c r="AG4" s="82">
        <f>IFERROR((PA[[#This Row],[Work Completion time on fault]]-PA[[#This Row],[Fault Time]])*24,"")</f>
        <v>0.56666666666666599</v>
      </c>
      <c r="AH4" s="184" t="s">
        <v>479</v>
      </c>
      <c r="AI4" s="178" t="s">
        <v>422</v>
      </c>
      <c r="AJ4" s="68">
        <f>IFERROR(PA[[#This Row],[Breakdown Time]]*PA[[#This Row],[Plant Equivalent Weightage]],"")</f>
        <v>3.7099822635244311E-3</v>
      </c>
      <c r="AK4" s="117">
        <v>2.5999999999999999E-2</v>
      </c>
      <c r="AL4" s="116">
        <f>IF(PA[[#This Row],[Lost PoA(Wh/m2)]]&gt;0,_xlfn.XLOOKUP($B4,'Daily KPI'!$A:$A,'Daily KPI'!$AE:$AE)*PA[[#This Row],[Lost PoA(Wh/m2)]]*U4,0)</f>
        <v>45.998680868405927</v>
      </c>
      <c r="AM4" s="176" t="s">
        <v>481</v>
      </c>
    </row>
    <row r="5" spans="1:39" ht="14" customHeight="1">
      <c r="A5" s="177">
        <f>A4+1</f>
        <v>2</v>
      </c>
      <c r="B5" s="185">
        <v>45753</v>
      </c>
      <c r="C5" s="178" t="s">
        <v>477</v>
      </c>
      <c r="D5" s="176">
        <f>YEAR(PA[[#This Row],[Date]])</f>
        <v>2025</v>
      </c>
      <c r="E5" s="178" t="s">
        <v>361</v>
      </c>
      <c r="F5" s="178" t="s">
        <v>361</v>
      </c>
      <c r="G5" s="179">
        <v>45748</v>
      </c>
      <c r="H5" s="176">
        <f>DAY(EOMONTH(PA[[#This Row],[Month Year]],0))</f>
        <v>30</v>
      </c>
      <c r="I5" s="180">
        <f>VLOOKUP(PA[[#This Row],[Date]],Raw_Data[#All],9,0)</f>
        <v>0.27986111111111112</v>
      </c>
      <c r="J5" s="180">
        <f>VLOOKUP(PA[[#This Row],[Date]],Raw_Data[#All],10,0)</f>
        <v>0.7944444444444444</v>
      </c>
      <c r="K5" s="68">
        <f>IFERROR((PA[[#This Row],[Sunset Time (POA&lt;20 W/m2)]]-PA[[#This Row],[Sunrise Time (POA&gt;20 W/m2)]])*24,"")</f>
        <v>12.349999999999998</v>
      </c>
      <c r="L5" s="178" t="s">
        <v>437</v>
      </c>
      <c r="M5" s="178" t="s">
        <v>401</v>
      </c>
      <c r="N5" s="178" t="s">
        <v>402</v>
      </c>
      <c r="O5" s="178"/>
      <c r="P5" s="178"/>
      <c r="Q5" s="178"/>
      <c r="R5" s="176">
        <f>IF((PA[[#This Row],[String Type(If String BD)]]&amp;PA[[#This Row],[Equipment (If any BD other than PV  array and inv)]])="",1,0)</f>
        <v>1</v>
      </c>
      <c r="S5" s="6">
        <f>IF(PA[[#This Row],[String Type(If String BD)]]="",1,0)</f>
        <v>1</v>
      </c>
      <c r="T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IS1INV4M1</v>
      </c>
      <c r="U5" s="68">
        <f>IFERROR(VLOOKUP(PA[[#This Row],[Affected Equipment ]],'Basic Data '!$A$1:$B$1846,2,0),"")</f>
        <v>2090.61</v>
      </c>
      <c r="V5" s="143">
        <f>IFERROR(VLOOKUP(PA[[#This Row],[Affected Equipment ]],'Basic Data '!$A$1:$C$1846,3,0),"")</f>
        <v>6.2389321109788095E-3</v>
      </c>
      <c r="W5" s="178" t="s">
        <v>427</v>
      </c>
      <c r="X5" s="110" t="s">
        <v>455</v>
      </c>
      <c r="Y5" s="110" t="s">
        <v>455</v>
      </c>
      <c r="Z5" s="109">
        <v>0.29583333333333334</v>
      </c>
      <c r="AA5" s="109">
        <v>0.29583333333333334</v>
      </c>
      <c r="AB5" s="109">
        <v>0.29583333333333334</v>
      </c>
      <c r="AC5" s="109">
        <v>0.3034722222222222</v>
      </c>
      <c r="AD5" s="82">
        <f>IF(PA[[#This Row],[Acknowledgement Time ]]="NA","",(PA[[#This Row],[Acknowledgement Time ]]-PA[[#This Row],[Fault Time]])*24)</f>
        <v>0</v>
      </c>
      <c r="AE5" s="82">
        <f>IF(PA[[#This Row],[Work Start time on Fault]]="NA","",(PA[[#This Row],[Work Start time on Fault]]-PA[[#This Row],[Fault Time]])*24)</f>
        <v>0</v>
      </c>
      <c r="AF5" s="111">
        <f>IF(PA[[#This Row],[Status]]="Open","",(PA[[#This Row],[Work Completion time on fault]]-PA[[#This Row],[Fault Time]])*24)</f>
        <v>0.18333333333333268</v>
      </c>
      <c r="AG5" s="82">
        <f>IFERROR((PA[[#This Row],[Work Completion time on fault]]-PA[[#This Row],[Fault Time]])*24,"")</f>
        <v>0.18333333333333268</v>
      </c>
      <c r="AH5" s="184" t="s">
        <v>455</v>
      </c>
      <c r="AI5" s="178" t="s">
        <v>422</v>
      </c>
      <c r="AJ5" s="68">
        <f>IFERROR(PA[[#This Row],[Breakdown Time]]*PA[[#This Row],[Plant Equivalent Weightage]],"")</f>
        <v>1.1438042203461109E-3</v>
      </c>
      <c r="AK5" s="117">
        <v>1.4E-2</v>
      </c>
      <c r="AL5" s="116">
        <f>IF(PA[[#This Row],[Lost PoA(Wh/m2)]]&gt;0,_xlfn.XLOOKUP($B5,'Daily KPI'!$A:$A,'Daily KPI'!$AE:$AE)*PA[[#This Row],[Lost PoA(Wh/m2)]]*U5,0)</f>
        <v>23.602943033833633</v>
      </c>
      <c r="AM5" s="176" t="s">
        <v>481</v>
      </c>
    </row>
    <row r="6" spans="1:39" ht="14" customHeight="1">
      <c r="A6" s="177">
        <f t="shared" ref="A6:A69" si="1">A5+1</f>
        <v>3</v>
      </c>
      <c r="B6" s="185">
        <v>45761</v>
      </c>
      <c r="C6" s="178" t="s">
        <v>477</v>
      </c>
      <c r="D6" s="176">
        <f>YEAR(PA[[#This Row],[Date]])</f>
        <v>2025</v>
      </c>
      <c r="E6" s="178" t="s">
        <v>361</v>
      </c>
      <c r="F6" s="178" t="s">
        <v>361</v>
      </c>
      <c r="G6" s="179">
        <v>45748</v>
      </c>
      <c r="H6" s="176">
        <f>DAY(EOMONTH(PA[[#This Row],[Month Year]],0))</f>
        <v>30</v>
      </c>
      <c r="I6" s="180">
        <f>VLOOKUP(PA[[#This Row],[Date]],Raw_Data[#All],9,0)</f>
        <v>0.27638888888888891</v>
      </c>
      <c r="J6" s="180">
        <f>VLOOKUP(PA[[#This Row],[Date]],Raw_Data[#All],10,0)</f>
        <v>0.79583333333333328</v>
      </c>
      <c r="K6" s="181">
        <f>IFERROR((PA[[#This Row],[Sunset Time (POA&lt;20 W/m2)]]-PA[[#This Row],[Sunrise Time (POA&gt;20 W/m2)]])*24,"")</f>
        <v>12.466666666666665</v>
      </c>
      <c r="L6" s="178"/>
      <c r="M6" s="178"/>
      <c r="N6" s="178"/>
      <c r="O6" s="178"/>
      <c r="P6" s="178"/>
      <c r="Q6" s="178" t="s">
        <v>431</v>
      </c>
      <c r="R6" s="176">
        <f>IF((PA[[#This Row],[String Type(If String BD)]]&amp;PA[[#This Row],[Equipment (If any BD other than PV  array and inv)]])="",1,0)</f>
        <v>0</v>
      </c>
      <c r="S6" s="6">
        <f>IF(PA[[#This Row],[String Type(If String BD)]]="",1,0)</f>
        <v>1</v>
      </c>
      <c r="T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6" s="181">
        <f>IFERROR(VLOOKUP(PA[[#This Row],[Affected Equipment ]],'Basic Data '!$A$1:$B$1846,2,0),"")</f>
        <v>167322.75</v>
      </c>
      <c r="V6" s="182">
        <f>IFERROR(VLOOKUP(PA[[#This Row],[Affected Equipment ]],'Basic Data '!$A$1:$C$1846,3,0),"")</f>
        <v>0.49933525519933392</v>
      </c>
      <c r="W6" s="178" t="s">
        <v>435</v>
      </c>
      <c r="X6" s="183" t="s">
        <v>482</v>
      </c>
      <c r="Y6" s="183" t="s">
        <v>482</v>
      </c>
      <c r="Z6" s="109">
        <v>0.95694444444444449</v>
      </c>
      <c r="AA6" s="109">
        <v>0.95694444444444449</v>
      </c>
      <c r="AB6" s="109">
        <v>0.98333333333333328</v>
      </c>
      <c r="AC6" s="109">
        <v>0.18402777777777779</v>
      </c>
      <c r="AD6" s="82">
        <f>IF(PA[[#This Row],[Acknowledgement Time ]]="NA","",(PA[[#This Row],[Acknowledgement Time ]]-PA[[#This Row],[Fault Time]])*24)</f>
        <v>0</v>
      </c>
      <c r="AE6" s="82">
        <f>IF(PA[[#This Row],[Work Start time on Fault]]="NA","",(PA[[#This Row],[Work Start time on Fault]]-PA[[#This Row],[Fault Time]])*24)</f>
        <v>0.63333333333333108</v>
      </c>
      <c r="AF6" s="111"/>
      <c r="AG6" s="82"/>
      <c r="AH6" s="184" t="s">
        <v>483</v>
      </c>
      <c r="AI6" s="178" t="s">
        <v>422</v>
      </c>
      <c r="AJ6" s="181">
        <f>IFERROR(PA[[#This Row],[Breakdown Time]]*PA[[#This Row],[Plant Equivalent Weightage]],"")</f>
        <v>0</v>
      </c>
      <c r="AK6" s="117">
        <v>0</v>
      </c>
      <c r="AL6" s="220">
        <f>IF(PA[[#This Row],[Lost PoA(Wh/m2)]]&gt;0,_xlfn.XLOOKUP($B6,'Daily KPI'!$A:$A,'Daily KPI'!$AE:$AE)*PA[[#This Row],[Lost PoA(Wh/m2)]]*U6,0)</f>
        <v>0</v>
      </c>
      <c r="AM6" s="176" t="s">
        <v>484</v>
      </c>
    </row>
    <row r="7" spans="1:39" ht="14" customHeight="1">
      <c r="A7" s="177">
        <f t="shared" si="1"/>
        <v>4</v>
      </c>
      <c r="B7" s="185">
        <v>45762</v>
      </c>
      <c r="C7" s="178" t="s">
        <v>477</v>
      </c>
      <c r="D7" s="176">
        <f>YEAR(PA[[#This Row],[Date]])</f>
        <v>2025</v>
      </c>
      <c r="E7" s="178" t="s">
        <v>361</v>
      </c>
      <c r="F7" s="178" t="s">
        <v>361</v>
      </c>
      <c r="G7" s="179">
        <v>45748</v>
      </c>
      <c r="H7" s="176">
        <f>DAY(EOMONTH(PA[[#This Row],[Month Year]],0))</f>
        <v>30</v>
      </c>
      <c r="I7" s="180">
        <f>VLOOKUP(PA[[#This Row],[Date]],Raw_Data[#All],9,0)</f>
        <v>0.27430555555555558</v>
      </c>
      <c r="J7" s="180">
        <f>VLOOKUP(PA[[#This Row],[Date]],Raw_Data[#All],10,0)</f>
        <v>0.79513888888888884</v>
      </c>
      <c r="K7" s="68">
        <f>IFERROR((PA[[#This Row],[Sunset Time (POA&lt;20 W/m2)]]-PA[[#This Row],[Sunrise Time (POA&gt;20 W/m2)]])*24,"")</f>
        <v>12.499999999999998</v>
      </c>
      <c r="L7" s="178"/>
      <c r="M7" s="178"/>
      <c r="N7" s="178"/>
      <c r="O7" s="178"/>
      <c r="P7" s="178"/>
      <c r="Q7" s="178" t="s">
        <v>431</v>
      </c>
      <c r="R7" s="176">
        <f>IF((PA[[#This Row],[String Type(If String BD)]]&amp;PA[[#This Row],[Equipment (If any BD other than PV  array and inv)]])="",1,0)</f>
        <v>0</v>
      </c>
      <c r="S7" s="6">
        <f>IF(PA[[#This Row],[String Type(If String BD)]]="",1,0)</f>
        <v>1</v>
      </c>
      <c r="T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7" s="68">
        <f>IFERROR(VLOOKUP(PA[[#This Row],[Affected Equipment ]],'Basic Data '!$A$1:$B$1846,2,0),"")</f>
        <v>167322.75</v>
      </c>
      <c r="V7" s="143">
        <f>IFERROR(VLOOKUP(PA[[#This Row],[Affected Equipment ]],'Basic Data '!$A$1:$C$1846,3,0),"")</f>
        <v>0.49933525519933392</v>
      </c>
      <c r="W7" s="178" t="s">
        <v>435</v>
      </c>
      <c r="X7" s="183" t="s">
        <v>485</v>
      </c>
      <c r="Y7" s="183" t="s">
        <v>485</v>
      </c>
      <c r="Z7" s="109">
        <v>0.48194444444444445</v>
      </c>
      <c r="AA7" s="109">
        <v>0.48194444444444445</v>
      </c>
      <c r="AB7" s="109">
        <v>0.4909722222222222</v>
      </c>
      <c r="AC7" s="109">
        <v>0.52222222222222225</v>
      </c>
      <c r="AD7" s="82">
        <f>IF(PA[[#This Row],[Acknowledgement Time ]]="NA","",(PA[[#This Row],[Acknowledgement Time ]]-PA[[#This Row],[Fault Time]])*24)</f>
        <v>0</v>
      </c>
      <c r="AE7" s="82">
        <f>IF(PA[[#This Row],[Work Start time on Fault]]="NA","",(PA[[#This Row],[Work Start time on Fault]]-PA[[#This Row],[Fault Time]])*24)</f>
        <v>0.2166666666666659</v>
      </c>
      <c r="AF7" s="111">
        <f>IF(PA[[#This Row],[Status]]="Open","",(PA[[#This Row],[Work Completion time on fault]]-PA[[#This Row],[Fault Time]])*24)</f>
        <v>0.96666666666666723</v>
      </c>
      <c r="AG7" s="82">
        <f>IFERROR((PA[[#This Row],[Work Completion time on fault]]-PA[[#This Row],[Fault Time]])*24,"")</f>
        <v>0.96666666666666723</v>
      </c>
      <c r="AH7" s="184" t="s">
        <v>486</v>
      </c>
      <c r="AI7" s="178" t="s">
        <v>422</v>
      </c>
      <c r="AJ7" s="68">
        <f>IFERROR(PA[[#This Row],[Breakdown Time]]*PA[[#This Row],[Plant Equivalent Weightage]],"")</f>
        <v>0.48269074669268974</v>
      </c>
      <c r="AK7" s="117">
        <v>0.94</v>
      </c>
      <c r="AL7" s="116">
        <f>IF(PA[[#This Row],[Lost PoA(Wh/m2)]]&gt;0,_xlfn.XLOOKUP($B7,'Daily KPI'!$A:$A,'Daily KPI'!$AE:$AE)*PA[[#This Row],[Lost PoA(Wh/m2)]]*U7,0)</f>
        <v>126837.57974683816</v>
      </c>
      <c r="AM7" s="176" t="s">
        <v>487</v>
      </c>
    </row>
    <row r="8" spans="1:39" ht="14" customHeight="1">
      <c r="A8" s="177">
        <f t="shared" si="1"/>
        <v>5</v>
      </c>
      <c r="B8" s="185">
        <v>45762</v>
      </c>
      <c r="C8" s="178" t="s">
        <v>477</v>
      </c>
      <c r="D8" s="176">
        <f>YEAR(PA[[#This Row],[Date]])</f>
        <v>2025</v>
      </c>
      <c r="E8" s="178" t="s">
        <v>361</v>
      </c>
      <c r="F8" s="178" t="s">
        <v>361</v>
      </c>
      <c r="G8" s="179">
        <v>45748</v>
      </c>
      <c r="H8" s="176">
        <f>DAY(EOMONTH(PA[[#This Row],[Month Year]],0))</f>
        <v>30</v>
      </c>
      <c r="I8" s="180">
        <f>VLOOKUP(PA[[#This Row],[Date]],Raw_Data[#All],9,0)</f>
        <v>0.27430555555555558</v>
      </c>
      <c r="J8" s="180">
        <f>VLOOKUP(PA[[#This Row],[Date]],Raw_Data[#All],10,0)</f>
        <v>0.79513888888888884</v>
      </c>
      <c r="K8" s="181">
        <f>IFERROR((PA[[#This Row],[Sunset Time (POA&lt;20 W/m2)]]-PA[[#This Row],[Sunrise Time (POA&gt;20 W/m2)]])*24,"")</f>
        <v>12.499999999999998</v>
      </c>
      <c r="L8" s="178"/>
      <c r="M8" s="178"/>
      <c r="N8" s="178"/>
      <c r="O8" s="178"/>
      <c r="P8" s="178"/>
      <c r="Q8" s="178" t="s">
        <v>431</v>
      </c>
      <c r="R8" s="176">
        <f>IF((PA[[#This Row],[String Type(If String BD)]]&amp;PA[[#This Row],[Equipment (If any BD other than PV  array and inv)]])="",1,0)</f>
        <v>0</v>
      </c>
      <c r="S8" s="176">
        <f>IF(PA[[#This Row],[String Type(If String BD)]]="",1,0)</f>
        <v>1</v>
      </c>
      <c r="T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8" s="181">
        <f>IFERROR(VLOOKUP(PA[[#This Row],[Affected Equipment ]],'Basic Data '!$A$1:$B$1846,2,0),"")</f>
        <v>167322.75</v>
      </c>
      <c r="V8" s="182">
        <f>IFERROR(VLOOKUP(PA[[#This Row],[Affected Equipment ]],'Basic Data '!$A$1:$C$1846,3,0),"")</f>
        <v>0.49933525519933392</v>
      </c>
      <c r="W8" s="178" t="s">
        <v>435</v>
      </c>
      <c r="X8" s="183" t="s">
        <v>488</v>
      </c>
      <c r="Y8" s="183" t="s">
        <v>488</v>
      </c>
      <c r="Z8" s="109">
        <v>0.75555555555555554</v>
      </c>
      <c r="AA8" s="109">
        <v>0.75555555555555554</v>
      </c>
      <c r="AB8" s="109">
        <v>0.77222222222222225</v>
      </c>
      <c r="AC8" s="109">
        <v>0.79513888888888884</v>
      </c>
      <c r="AD8" s="82">
        <f>IF(PA[[#This Row],[Acknowledgement Time ]]="NA","",(PA[[#This Row],[Acknowledgement Time ]]-PA[[#This Row],[Fault Time]])*24)</f>
        <v>0</v>
      </c>
      <c r="AE8" s="82">
        <f>IF(PA[[#This Row],[Work Start time on Fault]]="NA","",(PA[[#This Row],[Work Start time on Fault]]-PA[[#This Row],[Fault Time]])*24)</f>
        <v>0.40000000000000124</v>
      </c>
      <c r="AF8" s="111">
        <f>IF(PA[[#This Row],[Status]]="Open","",(PA[[#This Row],[Work Completion time on fault]]-PA[[#This Row],[Fault Time]])*24)</f>
        <v>0.94999999999999929</v>
      </c>
      <c r="AG8" s="82">
        <f>IFERROR((PA[[#This Row],[Work Completion time on fault]]-PA[[#This Row],[Fault Time]])*24,"")</f>
        <v>0.94999999999999929</v>
      </c>
      <c r="AH8" s="184" t="s">
        <v>489</v>
      </c>
      <c r="AI8" s="178" t="s">
        <v>422</v>
      </c>
      <c r="AJ8" s="181">
        <f>IFERROR(PA[[#This Row],[Breakdown Time]]*PA[[#This Row],[Plant Equivalent Weightage]],"")</f>
        <v>0.47436849243936685</v>
      </c>
      <c r="AK8" s="117">
        <v>4.7E-2</v>
      </c>
      <c r="AL8" s="220">
        <f>IF(PA[[#This Row],[Lost PoA(Wh/m2)]]&gt;0,_xlfn.XLOOKUP($B8,'Daily KPI'!$A:$A,'Daily KPI'!$AE:$AE)*PA[[#This Row],[Lost PoA(Wh/m2)]]*U8,0)</f>
        <v>6341.8789873419082</v>
      </c>
      <c r="AM8" s="176" t="s">
        <v>490</v>
      </c>
    </row>
    <row r="9" spans="1:39" ht="14" customHeight="1">
      <c r="A9" s="177">
        <f t="shared" si="1"/>
        <v>6</v>
      </c>
      <c r="B9" s="185">
        <v>45763</v>
      </c>
      <c r="C9" s="178" t="s">
        <v>477</v>
      </c>
      <c r="D9" s="176">
        <f>YEAR(PA[[#This Row],[Date]])</f>
        <v>2025</v>
      </c>
      <c r="E9" s="178" t="s">
        <v>361</v>
      </c>
      <c r="F9" s="178" t="s">
        <v>361</v>
      </c>
      <c r="G9" s="179">
        <v>45748</v>
      </c>
      <c r="H9" s="176">
        <f>DAY(EOMONTH(PA[[#This Row],[Month Year]],0))</f>
        <v>30</v>
      </c>
      <c r="I9" s="180">
        <f>VLOOKUP(PA[[#This Row],[Date]],Raw_Data[#All],9,0)</f>
        <v>0.27291666666666664</v>
      </c>
      <c r="J9" s="180">
        <f>VLOOKUP(PA[[#This Row],[Date]],Raw_Data[#All],10,0)</f>
        <v>0.79583333333333328</v>
      </c>
      <c r="K9" s="181">
        <f>IFERROR((PA[[#This Row],[Sunset Time (POA&lt;20 W/m2)]]-PA[[#This Row],[Sunrise Time (POA&gt;20 W/m2)]])*24,"")</f>
        <v>12.55</v>
      </c>
      <c r="L9" s="178"/>
      <c r="M9" s="178"/>
      <c r="N9" s="178"/>
      <c r="O9" s="178"/>
      <c r="P9" s="178"/>
      <c r="Q9" s="178" t="s">
        <v>431</v>
      </c>
      <c r="R9" s="176">
        <f>IF((PA[[#This Row],[String Type(If String BD)]]&amp;PA[[#This Row],[Equipment (If any BD other than PV  array and inv)]])="",1,0)</f>
        <v>0</v>
      </c>
      <c r="S9" s="6">
        <f>IF(PA[[#This Row],[String Type(If String BD)]]="",1,0)</f>
        <v>1</v>
      </c>
      <c r="T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 s="68">
        <f>IFERROR(VLOOKUP(PA[[#This Row],[Affected Equipment ]],'Basic Data '!$A$1:$B$1846,2,0),"")</f>
        <v>167322.75</v>
      </c>
      <c r="V9" s="143">
        <f>IFERROR(VLOOKUP(PA[[#This Row],[Affected Equipment ]],'Basic Data '!$A$1:$C$1846,3,0),"")</f>
        <v>0.49933525519933392</v>
      </c>
      <c r="W9" s="178" t="s">
        <v>435</v>
      </c>
      <c r="X9" s="183" t="s">
        <v>488</v>
      </c>
      <c r="Y9" s="183" t="s">
        <v>488</v>
      </c>
      <c r="Z9" s="109">
        <v>0.27291666666666664</v>
      </c>
      <c r="AA9" s="109">
        <v>0.27291666666666664</v>
      </c>
      <c r="AB9" s="109">
        <v>0.27291666666666664</v>
      </c>
      <c r="AC9" s="109">
        <v>0.28194444444444444</v>
      </c>
      <c r="AD9" s="82">
        <f>IF(PA[[#This Row],[Acknowledgement Time ]]="NA","",(PA[[#This Row],[Acknowledgement Time ]]-PA[[#This Row],[Fault Time]])*24)</f>
        <v>0</v>
      </c>
      <c r="AE9" s="82">
        <f>IF(PA[[#This Row],[Work Start time on Fault]]="NA","",(PA[[#This Row],[Work Start time on Fault]]-PA[[#This Row],[Fault Time]])*24)</f>
        <v>0</v>
      </c>
      <c r="AF9" s="111">
        <f>IF(PA[[#This Row],[Status]]="Open","",(PA[[#This Row],[Work Completion time on fault]]-PA[[#This Row],[Fault Time]])*24)</f>
        <v>0.21666666666666723</v>
      </c>
      <c r="AG9" s="82">
        <f>IFERROR((PA[[#This Row],[Work Completion time on fault]]-PA[[#This Row],[Fault Time]])*24,"")</f>
        <v>0.21666666666666723</v>
      </c>
      <c r="AH9" s="184" t="s">
        <v>489</v>
      </c>
      <c r="AI9" s="178" t="s">
        <v>422</v>
      </c>
      <c r="AJ9" s="181">
        <f>IFERROR(PA[[#This Row],[Breakdown Time]]*PA[[#This Row],[Plant Equivalent Weightage]],"")</f>
        <v>0.10818930529318929</v>
      </c>
      <c r="AK9" s="117">
        <v>4.5999999999999999E-3</v>
      </c>
      <c r="AL9" s="220">
        <f>IF(PA[[#This Row],[Lost PoA(Wh/m2)]]&gt;0,_xlfn.XLOOKUP($B9,'Daily KPI'!$A:$A,'Daily KPI'!$AE:$AE)*PA[[#This Row],[Lost PoA(Wh/m2)]]*U9,0)</f>
        <v>620.69453918665488</v>
      </c>
      <c r="AM9" s="176" t="s">
        <v>490</v>
      </c>
    </row>
    <row r="10" spans="1:39" ht="14" customHeight="1">
      <c r="A10" s="177">
        <f t="shared" si="1"/>
        <v>7</v>
      </c>
      <c r="B10" s="185">
        <v>45771</v>
      </c>
      <c r="C10" s="178" t="s">
        <v>477</v>
      </c>
      <c r="D10" s="176">
        <f>YEAR(PA[[#This Row],[Date]])</f>
        <v>2025</v>
      </c>
      <c r="E10" s="178" t="s">
        <v>361</v>
      </c>
      <c r="F10" s="178" t="s">
        <v>361</v>
      </c>
      <c r="G10" s="179">
        <v>45748</v>
      </c>
      <c r="H10" s="176">
        <f>DAY(EOMONTH(PA[[#This Row],[Month Year]],0))</f>
        <v>30</v>
      </c>
      <c r="I10" s="180">
        <f>VLOOKUP(PA[[#This Row],[Date]],Raw_Data[#All],9,0)</f>
        <v>0.26805555555555555</v>
      </c>
      <c r="J10" s="180">
        <f>VLOOKUP(PA[[#This Row],[Date]],Raw_Data[#All],10,0)</f>
        <v>0.8</v>
      </c>
      <c r="K10" s="68">
        <f>IFERROR((PA[[#This Row],[Sunset Time (POA&lt;20 W/m2)]]-PA[[#This Row],[Sunrise Time (POA&gt;20 W/m2)]])*24,"")</f>
        <v>12.766666666666669</v>
      </c>
      <c r="L10" s="178" t="s">
        <v>441</v>
      </c>
      <c r="M10" s="178" t="s">
        <v>394</v>
      </c>
      <c r="N10" s="178" t="s">
        <v>402</v>
      </c>
      <c r="O10" s="178" t="s">
        <v>396</v>
      </c>
      <c r="P10" s="178" t="s">
        <v>445</v>
      </c>
      <c r="Q10" s="178"/>
      <c r="R10" s="176">
        <f>IF((PA[[#This Row],[String Type(If String BD)]]&amp;PA[[#This Row],[Equipment (If any BD other than PV  array and inv)]])="",1,0)</f>
        <v>0</v>
      </c>
      <c r="S10" s="6">
        <f>IF(PA[[#This Row],[String Type(If String BD)]]="",1,0)</f>
        <v>0</v>
      </c>
      <c r="T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0" s="68">
        <f>IFERROR(VLOOKUP(PA[[#This Row],[Affected Equipment ]],'Basic Data '!$A$1:$B$1846,2,0),"")</f>
        <v>26.1</v>
      </c>
      <c r="V10" s="143">
        <f>IFERROR(VLOOKUP(PA[[#This Row],[Affected Equipment ]],'Basic Data '!$A$1:$C$1846,3,0),"")</f>
        <v>7.7889289775016346E-5</v>
      </c>
      <c r="W10" s="178" t="s">
        <v>451</v>
      </c>
      <c r="X10" s="110" t="s">
        <v>491</v>
      </c>
      <c r="Y10" s="110" t="s">
        <v>491</v>
      </c>
      <c r="Z10" s="109">
        <v>0.41805555555555557</v>
      </c>
      <c r="AA10" s="109">
        <v>0.41805555555555557</v>
      </c>
      <c r="AB10" s="109">
        <v>0.41805555555555557</v>
      </c>
      <c r="AC10" s="109">
        <v>0.42569444444444443</v>
      </c>
      <c r="AD10" s="82">
        <f>IF(PA[[#This Row],[Acknowledgement Time ]]="NA","",(PA[[#This Row],[Acknowledgement Time ]]-PA[[#This Row],[Fault Time]])*24)</f>
        <v>0</v>
      </c>
      <c r="AE10" s="82">
        <f>IF(PA[[#This Row],[Work Start time on Fault]]="NA","",(PA[[#This Row],[Work Start time on Fault]]-PA[[#This Row],[Fault Time]])*24)</f>
        <v>0</v>
      </c>
      <c r="AF10" s="111">
        <f>IF(PA[[#This Row],[Status]]="Open","",(PA[[#This Row],[Work Completion time on fault]]-PA[[#This Row],[Fault Time]])*24)</f>
        <v>0.18333333333333268</v>
      </c>
      <c r="AG10" s="82">
        <f>IFERROR((PA[[#This Row],[Work Completion time on fault]]-PA[[#This Row],[Fault Time]])*24,"")</f>
        <v>0.18333333333333268</v>
      </c>
      <c r="AH10" s="110" t="s">
        <v>491</v>
      </c>
      <c r="AI10" s="178" t="s">
        <v>422</v>
      </c>
      <c r="AJ10" s="68">
        <f>IFERROR(PA[[#This Row],[Breakdown Time]]*PA[[#This Row],[Plant Equivalent Weightage]],"")</f>
        <v>1.4279703125419613E-5</v>
      </c>
      <c r="AK10" s="117">
        <v>0.16112833333333335</v>
      </c>
      <c r="AL10" s="116">
        <f>IF(PA[[#This Row],[Lost PoA(Wh/m2)]]&gt;0,_xlfn.XLOOKUP($B10,'Daily KPI'!$A:$A,'Daily KPI'!$AE:$AE)*PA[[#This Row],[Lost PoA(Wh/m2)]]*U10,0)</f>
        <v>3.3913883295908902</v>
      </c>
      <c r="AM10" s="176" t="s">
        <v>492</v>
      </c>
    </row>
    <row r="11" spans="1:39" ht="14" customHeight="1">
      <c r="A11" s="177">
        <f t="shared" si="1"/>
        <v>8</v>
      </c>
      <c r="B11" s="185">
        <v>45771</v>
      </c>
      <c r="C11" s="178" t="s">
        <v>477</v>
      </c>
      <c r="D11" s="176">
        <f>YEAR(PA[[#This Row],[Date]])</f>
        <v>2025</v>
      </c>
      <c r="E11" s="178" t="s">
        <v>361</v>
      </c>
      <c r="F11" s="178" t="s">
        <v>361</v>
      </c>
      <c r="G11" s="179">
        <v>45748</v>
      </c>
      <c r="H11" s="176">
        <f>DAY(EOMONTH(PA[[#This Row],[Month Year]],0))</f>
        <v>30</v>
      </c>
      <c r="I11" s="180">
        <f>VLOOKUP(PA[[#This Row],[Date]],Raw_Data[#All],9,0)</f>
        <v>0.26805555555555555</v>
      </c>
      <c r="J11" s="180">
        <f>VLOOKUP(PA[[#This Row],[Date]],Raw_Data[#All],10,0)</f>
        <v>0.8</v>
      </c>
      <c r="K11" s="68">
        <f>IFERROR((PA[[#This Row],[Sunset Time (POA&lt;20 W/m2)]]-PA[[#This Row],[Sunrise Time (POA&gt;20 W/m2)]])*24,"")</f>
        <v>12.766666666666669</v>
      </c>
      <c r="L11" s="178" t="s">
        <v>441</v>
      </c>
      <c r="M11" s="178" t="s">
        <v>408</v>
      </c>
      <c r="N11" s="178" t="s">
        <v>402</v>
      </c>
      <c r="O11" s="178" t="s">
        <v>413</v>
      </c>
      <c r="P11" s="178" t="s">
        <v>445</v>
      </c>
      <c r="Q11" s="178"/>
      <c r="R11" s="176">
        <f>IF((PA[[#This Row],[String Type(If String BD)]]&amp;PA[[#This Row],[Equipment (If any BD other than PV  array and inv)]])="",1,0)</f>
        <v>0</v>
      </c>
      <c r="S11" s="6">
        <f>IF(PA[[#This Row],[String Type(If String BD)]]="",1,0)</f>
        <v>0</v>
      </c>
      <c r="T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 s="68">
        <f>IFERROR(VLOOKUP(PA[[#This Row],[Affected Equipment ]],'Basic Data '!$A$1:$B$1846,2,0),"")</f>
        <v>26.1</v>
      </c>
      <c r="V11" s="143">
        <f>IFERROR(VLOOKUP(PA[[#This Row],[Affected Equipment ]],'Basic Data '!$A$1:$C$1846,3,0),"")</f>
        <v>7.7889289775016346E-5</v>
      </c>
      <c r="W11" s="178" t="s">
        <v>451</v>
      </c>
      <c r="X11" s="110" t="s">
        <v>491</v>
      </c>
      <c r="Y11" s="110" t="s">
        <v>491</v>
      </c>
      <c r="Z11" s="109">
        <v>0.42777777777777776</v>
      </c>
      <c r="AA11" s="109">
        <v>0.42777777777777776</v>
      </c>
      <c r="AB11" s="109">
        <v>0.42777777777777776</v>
      </c>
      <c r="AC11" s="109">
        <v>0.43611111111111112</v>
      </c>
      <c r="AD11" s="82">
        <f>IF(PA[[#This Row],[Acknowledgement Time ]]="NA","",(PA[[#This Row],[Acknowledgement Time ]]-PA[[#This Row],[Fault Time]])*24)</f>
        <v>0</v>
      </c>
      <c r="AE11" s="82">
        <f>IF(PA[[#This Row],[Work Start time on Fault]]="NA","",(PA[[#This Row],[Work Start time on Fault]]-PA[[#This Row],[Fault Time]])*24)</f>
        <v>0</v>
      </c>
      <c r="AF11" s="111">
        <f>IF(PA[[#This Row],[Status]]="Open","",(PA[[#This Row],[Work Completion time on fault]]-PA[[#This Row],[Fault Time]])*24)</f>
        <v>0.20000000000000062</v>
      </c>
      <c r="AG11" s="82">
        <f>IFERROR((PA[[#This Row],[Work Completion time on fault]]-PA[[#This Row],[Fault Time]])*24,"")</f>
        <v>0.20000000000000062</v>
      </c>
      <c r="AH11" s="110" t="s">
        <v>491</v>
      </c>
      <c r="AI11" s="178" t="s">
        <v>422</v>
      </c>
      <c r="AJ11" s="68">
        <f>IFERROR(PA[[#This Row],[Breakdown Time]]*PA[[#This Row],[Plant Equivalent Weightage]],"")</f>
        <v>1.5577857955003317E-5</v>
      </c>
      <c r="AK11" s="117">
        <v>0.18390000000000001</v>
      </c>
      <c r="AL11" s="116">
        <f>IF(PA[[#This Row],[Lost PoA(Wh/m2)]]&gt;0,_xlfn.XLOOKUP($B11,'Daily KPI'!$A:$A,'Daily KPI'!$AE:$AE)*PA[[#This Row],[Lost PoA(Wh/m2)]]*U11,0)</f>
        <v>3.8706805991813855</v>
      </c>
      <c r="AM11" s="176" t="s">
        <v>492</v>
      </c>
    </row>
    <row r="12" spans="1:39" ht="14" customHeight="1">
      <c r="A12" s="177">
        <f t="shared" si="1"/>
        <v>9</v>
      </c>
      <c r="B12" s="185">
        <v>45771</v>
      </c>
      <c r="C12" s="178" t="s">
        <v>477</v>
      </c>
      <c r="D12" s="176">
        <f>YEAR(PA[[#This Row],[Date]])</f>
        <v>2025</v>
      </c>
      <c r="E12" s="178" t="s">
        <v>361</v>
      </c>
      <c r="F12" s="178" t="s">
        <v>361</v>
      </c>
      <c r="G12" s="179">
        <v>45748</v>
      </c>
      <c r="H12" s="176">
        <f>DAY(EOMONTH(PA[[#This Row],[Month Year]],0))</f>
        <v>30</v>
      </c>
      <c r="I12" s="180">
        <f>VLOOKUP(PA[[#This Row],[Date]],Raw_Data[#All],9,0)</f>
        <v>0.26805555555555555</v>
      </c>
      <c r="J12" s="180">
        <f>VLOOKUP(PA[[#This Row],[Date]],Raw_Data[#All],10,0)</f>
        <v>0.8</v>
      </c>
      <c r="K12" s="68">
        <f>IFERROR((PA[[#This Row],[Sunset Time (POA&lt;20 W/m2)]]-PA[[#This Row],[Sunrise Time (POA&gt;20 W/m2)]])*24,"")</f>
        <v>12.766666666666669</v>
      </c>
      <c r="L12" s="178" t="s">
        <v>441</v>
      </c>
      <c r="M12" s="178" t="s">
        <v>414</v>
      </c>
      <c r="N12" s="178" t="s">
        <v>402</v>
      </c>
      <c r="O12" s="178" t="s">
        <v>403</v>
      </c>
      <c r="P12" s="178" t="s">
        <v>445</v>
      </c>
      <c r="Q12" s="178"/>
      <c r="R12" s="176">
        <f>IF((PA[[#This Row],[String Type(If String BD)]]&amp;PA[[#This Row],[Equipment (If any BD other than PV  array and inv)]])="",1,0)</f>
        <v>0</v>
      </c>
      <c r="S12" s="6">
        <f>IF(PA[[#This Row],[String Type(If String BD)]]="",1,0)</f>
        <v>0</v>
      </c>
      <c r="T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2" s="68">
        <f>IFERROR(VLOOKUP(PA[[#This Row],[Affected Equipment ]],'Basic Data '!$A$1:$B$1846,2,0),"")</f>
        <v>26.1</v>
      </c>
      <c r="V12" s="143">
        <f>IFERROR(VLOOKUP(PA[[#This Row],[Affected Equipment ]],'Basic Data '!$A$1:$C$1846,3,0),"")</f>
        <v>7.7889289775016346E-5</v>
      </c>
      <c r="W12" s="178" t="s">
        <v>451</v>
      </c>
      <c r="X12" s="110" t="s">
        <v>491</v>
      </c>
      <c r="Y12" s="110" t="s">
        <v>491</v>
      </c>
      <c r="Z12" s="109">
        <v>0.44444444444444442</v>
      </c>
      <c r="AA12" s="109">
        <v>0.44444444444444442</v>
      </c>
      <c r="AB12" s="109">
        <v>0.44444444444444442</v>
      </c>
      <c r="AC12" s="109">
        <v>0.45347222222222222</v>
      </c>
      <c r="AD12" s="82">
        <f>IF(PA[[#This Row],[Acknowledgement Time ]]="NA","",(PA[[#This Row],[Acknowledgement Time ]]-PA[[#This Row],[Fault Time]])*24)</f>
        <v>0</v>
      </c>
      <c r="AE12" s="82">
        <f>IF(PA[[#This Row],[Work Start time on Fault]]="NA","",(PA[[#This Row],[Work Start time on Fault]]-PA[[#This Row],[Fault Time]])*24)</f>
        <v>0</v>
      </c>
      <c r="AF12" s="111">
        <f>IF(PA[[#This Row],[Status]]="Open","",(PA[[#This Row],[Work Completion time on fault]]-PA[[#This Row],[Fault Time]])*24)</f>
        <v>0.21666666666666723</v>
      </c>
      <c r="AG12" s="82">
        <f>IFERROR((PA[[#This Row],[Work Completion time on fault]]-PA[[#This Row],[Fault Time]])*24,"")</f>
        <v>0.21666666666666723</v>
      </c>
      <c r="AH12" s="110" t="s">
        <v>491</v>
      </c>
      <c r="AI12" s="178" t="s">
        <v>422</v>
      </c>
      <c r="AJ12" s="68">
        <f>IFERROR(PA[[#This Row],[Breakdown Time]]*PA[[#This Row],[Plant Equivalent Weightage]],"")</f>
        <v>1.6876012784586919E-5</v>
      </c>
      <c r="AK12" s="117">
        <v>0.21328333333333332</v>
      </c>
      <c r="AL12" s="116">
        <f>IF(PA[[#This Row],[Lost PoA(Wh/m2)]]&gt;0,_xlfn.XLOOKUP($B12,'Daily KPI'!$A:$A,'Daily KPI'!$AE:$AE)*PA[[#This Row],[Lost PoA(Wh/m2)]]*U12,0)</f>
        <v>4.4891335533554626</v>
      </c>
      <c r="AM12" s="176" t="s">
        <v>492</v>
      </c>
    </row>
    <row r="13" spans="1:39" ht="14" customHeight="1">
      <c r="A13" s="177">
        <f t="shared" si="1"/>
        <v>10</v>
      </c>
      <c r="B13" s="185">
        <v>45771</v>
      </c>
      <c r="C13" s="178" t="s">
        <v>477</v>
      </c>
      <c r="D13" s="176">
        <f>YEAR(PA[[#This Row],[Date]])</f>
        <v>2025</v>
      </c>
      <c r="E13" s="178" t="s">
        <v>361</v>
      </c>
      <c r="F13" s="178" t="s">
        <v>361</v>
      </c>
      <c r="G13" s="179">
        <v>45748</v>
      </c>
      <c r="H13" s="176">
        <f>DAY(EOMONTH(PA[[#This Row],[Month Year]],0))</f>
        <v>30</v>
      </c>
      <c r="I13" s="180">
        <f>VLOOKUP(PA[[#This Row],[Date]],Raw_Data[#All],9,0)</f>
        <v>0.26805555555555555</v>
      </c>
      <c r="J13" s="180">
        <f>VLOOKUP(PA[[#This Row],[Date]],Raw_Data[#All],10,0)</f>
        <v>0.8</v>
      </c>
      <c r="K13" s="68">
        <f>IFERROR((PA[[#This Row],[Sunset Time (POA&lt;20 W/m2)]]-PA[[#This Row],[Sunrise Time (POA&gt;20 W/m2)]])*24,"")</f>
        <v>12.766666666666669</v>
      </c>
      <c r="L13" s="178" t="s">
        <v>441</v>
      </c>
      <c r="M13" s="178" t="s">
        <v>401</v>
      </c>
      <c r="N13" s="178" t="s">
        <v>402</v>
      </c>
      <c r="O13" s="178" t="s">
        <v>396</v>
      </c>
      <c r="P13" s="178" t="s">
        <v>445</v>
      </c>
      <c r="Q13" s="178"/>
      <c r="R13" s="176">
        <f>IF((PA[[#This Row],[String Type(If String BD)]]&amp;PA[[#This Row],[Equipment (If any BD other than PV  array and inv)]])="",1,0)</f>
        <v>0</v>
      </c>
      <c r="S13" s="6">
        <f>IF(PA[[#This Row],[String Type(If String BD)]]="",1,0)</f>
        <v>0</v>
      </c>
      <c r="T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 s="68">
        <f>IFERROR(VLOOKUP(PA[[#This Row],[Affected Equipment ]],'Basic Data '!$A$1:$B$1846,2,0),"")</f>
        <v>26.1</v>
      </c>
      <c r="V13" s="143">
        <f>IFERROR(VLOOKUP(PA[[#This Row],[Affected Equipment ]],'Basic Data '!$A$1:$C$1846,3,0),"")</f>
        <v>7.7889289775016346E-5</v>
      </c>
      <c r="W13" s="178" t="s">
        <v>451</v>
      </c>
      <c r="X13" s="110" t="s">
        <v>491</v>
      </c>
      <c r="Y13" s="110" t="s">
        <v>491</v>
      </c>
      <c r="Z13" s="109">
        <v>0.46527777777777779</v>
      </c>
      <c r="AA13" s="109">
        <v>0.46527777777777779</v>
      </c>
      <c r="AB13" s="109">
        <v>0.46527777777777779</v>
      </c>
      <c r="AC13" s="109">
        <v>0.4777777777777778</v>
      </c>
      <c r="AD13" s="82">
        <f>IF(PA[[#This Row],[Acknowledgement Time ]]="NA","",(PA[[#This Row],[Acknowledgement Time ]]-PA[[#This Row],[Fault Time]])*24)</f>
        <v>0</v>
      </c>
      <c r="AE13" s="82">
        <f>IF(PA[[#This Row],[Work Start time on Fault]]="NA","",(PA[[#This Row],[Work Start time on Fault]]-PA[[#This Row],[Fault Time]])*24)</f>
        <v>0</v>
      </c>
      <c r="AF13" s="111">
        <f>IF(PA[[#This Row],[Status]]="Open","",(PA[[#This Row],[Work Completion time on fault]]-PA[[#This Row],[Fault Time]])*24)</f>
        <v>0.30000000000000027</v>
      </c>
      <c r="AG13" s="82">
        <f>IFERROR((PA[[#This Row],[Work Completion time on fault]]-PA[[#This Row],[Fault Time]])*24,"")</f>
        <v>0.30000000000000027</v>
      </c>
      <c r="AH13" s="110" t="s">
        <v>491</v>
      </c>
      <c r="AI13" s="178" t="s">
        <v>422</v>
      </c>
      <c r="AJ13" s="68">
        <f>IFERROR(PA[[#This Row],[Breakdown Time]]*PA[[#This Row],[Plant Equivalent Weightage]],"")</f>
        <v>2.3366786932504924E-5</v>
      </c>
      <c r="AK13" s="117">
        <v>0.31248333333333334</v>
      </c>
      <c r="AL13" s="116">
        <f>IF(PA[[#This Row],[Lost PoA(Wh/m2)]]&gt;0,_xlfn.XLOOKUP($B13,'Daily KPI'!$A:$A,'Daily KPI'!$AE:$AE)*PA[[#This Row],[Lost PoA(Wh/m2)]]*U13,0)</f>
        <v>6.577070015774134</v>
      </c>
      <c r="AM13" s="176" t="s">
        <v>492</v>
      </c>
    </row>
    <row r="14" spans="1:39" ht="14" customHeight="1">
      <c r="A14" s="177">
        <f t="shared" si="1"/>
        <v>11</v>
      </c>
      <c r="B14" s="185">
        <v>45771</v>
      </c>
      <c r="C14" s="178" t="s">
        <v>477</v>
      </c>
      <c r="D14" s="176">
        <f>YEAR(PA[[#This Row],[Date]])</f>
        <v>2025</v>
      </c>
      <c r="E14" s="178" t="s">
        <v>361</v>
      </c>
      <c r="F14" s="178" t="s">
        <v>361</v>
      </c>
      <c r="G14" s="179">
        <v>45748</v>
      </c>
      <c r="H14" s="176">
        <f>DAY(EOMONTH(PA[[#This Row],[Month Year]],0))</f>
        <v>30</v>
      </c>
      <c r="I14" s="180">
        <f>VLOOKUP(PA[[#This Row],[Date]],Raw_Data[#All],9,0)</f>
        <v>0.26805555555555555</v>
      </c>
      <c r="J14" s="180">
        <f>VLOOKUP(PA[[#This Row],[Date]],Raw_Data[#All],10,0)</f>
        <v>0.8</v>
      </c>
      <c r="K14" s="68">
        <f>IFERROR((PA[[#This Row],[Sunset Time (POA&lt;20 W/m2)]]-PA[[#This Row],[Sunrise Time (POA&gt;20 W/m2)]])*24,"")</f>
        <v>12.766666666666669</v>
      </c>
      <c r="L14" s="178" t="s">
        <v>438</v>
      </c>
      <c r="M14" s="178" t="s">
        <v>394</v>
      </c>
      <c r="N14" s="178" t="s">
        <v>402</v>
      </c>
      <c r="O14" s="178" t="s">
        <v>403</v>
      </c>
      <c r="P14" s="178" t="s">
        <v>448</v>
      </c>
      <c r="Q14" s="178"/>
      <c r="R14" s="176">
        <f>IF((PA[[#This Row],[String Type(If String BD)]]&amp;PA[[#This Row],[Equipment (If any BD other than PV  array and inv)]])="",1,0)</f>
        <v>0</v>
      </c>
      <c r="S14" s="6">
        <f>IF(PA[[#This Row],[String Type(If String BD)]]="",1,0)</f>
        <v>0</v>
      </c>
      <c r="T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 s="68">
        <f>IFERROR(VLOOKUP(PA[[#This Row],[Affected Equipment ]],'Basic Data '!$A$1:$B$1846,2,0),"")</f>
        <v>31.61</v>
      </c>
      <c r="V14" s="143">
        <f>IFERROR(VLOOKUP(PA[[#This Row],[Affected Equipment ]],'Basic Data '!$A$1:$C$1846,3,0),"")</f>
        <v>9.4332584283075336E-5</v>
      </c>
      <c r="W14" s="178" t="s">
        <v>451</v>
      </c>
      <c r="X14" s="110" t="s">
        <v>491</v>
      </c>
      <c r="Y14" s="110" t="s">
        <v>491</v>
      </c>
      <c r="Z14" s="109">
        <v>0.48958333333333331</v>
      </c>
      <c r="AA14" s="109">
        <v>0.48958333333333331</v>
      </c>
      <c r="AB14" s="109">
        <v>0.48958333333333331</v>
      </c>
      <c r="AC14" s="109">
        <v>0.49513888888888891</v>
      </c>
      <c r="AD14" s="82">
        <f>IF(PA[[#This Row],[Acknowledgement Time ]]="NA","",(PA[[#This Row],[Acknowledgement Time ]]-PA[[#This Row],[Fault Time]])*24)</f>
        <v>0</v>
      </c>
      <c r="AE14" s="82">
        <f>IF(PA[[#This Row],[Work Start time on Fault]]="NA","",(PA[[#This Row],[Work Start time on Fault]]-PA[[#This Row],[Fault Time]])*24)</f>
        <v>0</v>
      </c>
      <c r="AF14" s="111">
        <f>IF(PA[[#This Row],[Status]]="Open","",(PA[[#This Row],[Work Completion time on fault]]-PA[[#This Row],[Fault Time]])*24)</f>
        <v>0.13333333333333419</v>
      </c>
      <c r="AG14" s="82">
        <f>IFERROR((PA[[#This Row],[Work Completion time on fault]]-PA[[#This Row],[Fault Time]])*24,"")</f>
        <v>0.13333333333333419</v>
      </c>
      <c r="AH14" s="110" t="s">
        <v>491</v>
      </c>
      <c r="AI14" s="178" t="s">
        <v>422</v>
      </c>
      <c r="AJ14" s="68">
        <f>IFERROR(PA[[#This Row],[Breakdown Time]]*PA[[#This Row],[Plant Equivalent Weightage]],"")</f>
        <v>1.2577677904410126E-5</v>
      </c>
      <c r="AK14" s="117">
        <v>0.15543333333333334</v>
      </c>
      <c r="AL14" s="116">
        <f>IF(PA[[#This Row],[Lost PoA(Wh/m2)]]&gt;0,_xlfn.XLOOKUP($B14,'Daily KPI'!$A:$A,'Daily KPI'!$AE:$AE)*PA[[#This Row],[Lost PoA(Wh/m2)]]*U14,0)</f>
        <v>3.9621759331845512</v>
      </c>
      <c r="AM14" s="176" t="s">
        <v>492</v>
      </c>
    </row>
    <row r="15" spans="1:39" ht="14" customHeight="1">
      <c r="A15" s="177">
        <f t="shared" si="1"/>
        <v>12</v>
      </c>
      <c r="B15" s="185">
        <v>45771</v>
      </c>
      <c r="C15" s="178" t="s">
        <v>477</v>
      </c>
      <c r="D15" s="176">
        <f>YEAR(PA[[#This Row],[Date]])</f>
        <v>2025</v>
      </c>
      <c r="E15" s="178" t="s">
        <v>361</v>
      </c>
      <c r="F15" s="178" t="s">
        <v>361</v>
      </c>
      <c r="G15" s="179">
        <v>45748</v>
      </c>
      <c r="H15" s="176">
        <f>DAY(EOMONTH(PA[[#This Row],[Month Year]],0))</f>
        <v>30</v>
      </c>
      <c r="I15" s="180">
        <f>VLOOKUP(PA[[#This Row],[Date]],Raw_Data[#All],9,0)</f>
        <v>0.26805555555555555</v>
      </c>
      <c r="J15" s="180">
        <f>VLOOKUP(PA[[#This Row],[Date]],Raw_Data[#All],10,0)</f>
        <v>0.8</v>
      </c>
      <c r="K15" s="68">
        <f>IFERROR((PA[[#This Row],[Sunset Time (POA&lt;20 W/m2)]]-PA[[#This Row],[Sunrise Time (POA&gt;20 W/m2)]])*24,"")</f>
        <v>12.766666666666669</v>
      </c>
      <c r="L15" s="178" t="s">
        <v>438</v>
      </c>
      <c r="M15" s="178" t="s">
        <v>408</v>
      </c>
      <c r="N15" s="178" t="s">
        <v>395</v>
      </c>
      <c r="O15" s="178" t="s">
        <v>412</v>
      </c>
      <c r="P15" s="178" t="s">
        <v>448</v>
      </c>
      <c r="Q15" s="178"/>
      <c r="R15" s="176">
        <f>IF((PA[[#This Row],[String Type(If String BD)]]&amp;PA[[#This Row],[Equipment (If any BD other than PV  array and inv)]])="",1,0)</f>
        <v>0</v>
      </c>
      <c r="S15" s="6">
        <f>IF(PA[[#This Row],[String Type(If String BD)]]="",1,0)</f>
        <v>0</v>
      </c>
      <c r="T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 s="68">
        <f>IFERROR(VLOOKUP(PA[[#This Row],[Affected Equipment ]],'Basic Data '!$A$1:$B$1846,2,0),"")</f>
        <v>31.61</v>
      </c>
      <c r="V15" s="143">
        <f>IFERROR(VLOOKUP(PA[[#This Row],[Affected Equipment ]],'Basic Data '!$A$1:$C$1846,3,0),"")</f>
        <v>9.4332584283075336E-5</v>
      </c>
      <c r="W15" s="178" t="s">
        <v>451</v>
      </c>
      <c r="X15" s="110" t="s">
        <v>491</v>
      </c>
      <c r="Y15" s="110" t="s">
        <v>491</v>
      </c>
      <c r="Z15" s="109">
        <v>0.50347222222222221</v>
      </c>
      <c r="AA15" s="109">
        <v>0.50347222222222221</v>
      </c>
      <c r="AB15" s="109">
        <v>0.50347222222222221</v>
      </c>
      <c r="AC15" s="109">
        <v>0.51111111111111107</v>
      </c>
      <c r="AD15" s="82">
        <f>IF(PA[[#This Row],[Acknowledgement Time ]]="NA","",(PA[[#This Row],[Acknowledgement Time ]]-PA[[#This Row],[Fault Time]])*24)</f>
        <v>0</v>
      </c>
      <c r="AE15" s="82">
        <f>IF(PA[[#This Row],[Work Start time on Fault]]="NA","",(PA[[#This Row],[Work Start time on Fault]]-PA[[#This Row],[Fault Time]])*24)</f>
        <v>0</v>
      </c>
      <c r="AF15" s="111">
        <f>IF(PA[[#This Row],[Status]]="Open","",(PA[[#This Row],[Work Completion time on fault]]-PA[[#This Row],[Fault Time]])*24)</f>
        <v>0.18333333333333268</v>
      </c>
      <c r="AG15" s="82">
        <f>IFERROR((PA[[#This Row],[Work Completion time on fault]]-PA[[#This Row],[Fault Time]])*24,"")</f>
        <v>0.18333333333333268</v>
      </c>
      <c r="AH15" s="110" t="s">
        <v>491</v>
      </c>
      <c r="AI15" s="178" t="s">
        <v>422</v>
      </c>
      <c r="AJ15" s="68">
        <f>IFERROR(PA[[#This Row],[Breakdown Time]]*PA[[#This Row],[Plant Equivalent Weightage]],"")</f>
        <v>1.7294307118563749E-5</v>
      </c>
      <c r="AK15" s="117">
        <v>0.21041666666666667</v>
      </c>
      <c r="AL15" s="116">
        <f>IF(PA[[#This Row],[Lost PoA(Wh/m2)]]&gt;0,_xlfn.XLOOKUP($B15,'Daily KPI'!$A:$A,'Daily KPI'!$AE:$AE)*PA[[#This Row],[Lost PoA(Wh/m2)]]*U15,0)</f>
        <v>5.3637648677305325</v>
      </c>
      <c r="AM15" s="176" t="s">
        <v>492</v>
      </c>
    </row>
    <row r="16" spans="1:39" ht="14" customHeight="1">
      <c r="A16" s="177">
        <f t="shared" si="1"/>
        <v>13</v>
      </c>
      <c r="B16" s="185">
        <v>45771</v>
      </c>
      <c r="C16" s="178" t="s">
        <v>477</v>
      </c>
      <c r="D16" s="176">
        <f>YEAR(PA[[#This Row],[Date]])</f>
        <v>2025</v>
      </c>
      <c r="E16" s="178" t="s">
        <v>361</v>
      </c>
      <c r="F16" s="178" t="s">
        <v>361</v>
      </c>
      <c r="G16" s="179">
        <v>45748</v>
      </c>
      <c r="H16" s="176">
        <f>DAY(EOMONTH(PA[[#This Row],[Month Year]],0))</f>
        <v>30</v>
      </c>
      <c r="I16" s="180">
        <f>VLOOKUP(PA[[#This Row],[Date]],Raw_Data[#All],9,0)</f>
        <v>0.26805555555555555</v>
      </c>
      <c r="J16" s="180">
        <f>VLOOKUP(PA[[#This Row],[Date]],Raw_Data[#All],10,0)</f>
        <v>0.8</v>
      </c>
      <c r="K16" s="68">
        <f>IFERROR((PA[[#This Row],[Sunset Time (POA&lt;20 W/m2)]]-PA[[#This Row],[Sunrise Time (POA&gt;20 W/m2)]])*24,"")</f>
        <v>12.766666666666669</v>
      </c>
      <c r="L16" s="178" t="s">
        <v>438</v>
      </c>
      <c r="M16" s="178" t="s">
        <v>414</v>
      </c>
      <c r="N16" s="178" t="s">
        <v>402</v>
      </c>
      <c r="O16" s="178" t="s">
        <v>396</v>
      </c>
      <c r="P16" s="178" t="s">
        <v>448</v>
      </c>
      <c r="Q16" s="178"/>
      <c r="R16" s="176">
        <f>IF((PA[[#This Row],[String Type(If String BD)]]&amp;PA[[#This Row],[Equipment (If any BD other than PV  array and inv)]])="",1,0)</f>
        <v>0</v>
      </c>
      <c r="S16" s="6">
        <f>IF(PA[[#This Row],[String Type(If String BD)]]="",1,0)</f>
        <v>0</v>
      </c>
      <c r="T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6" s="68">
        <f>IFERROR(VLOOKUP(PA[[#This Row],[Affected Equipment ]],'Basic Data '!$A$1:$B$1846,2,0),"")</f>
        <v>31.61</v>
      </c>
      <c r="V16" s="143">
        <f>IFERROR(VLOOKUP(PA[[#This Row],[Affected Equipment ]],'Basic Data '!$A$1:$C$1846,3,0),"")</f>
        <v>9.4332584283075336E-5</v>
      </c>
      <c r="W16" s="178" t="s">
        <v>451</v>
      </c>
      <c r="X16" s="110" t="s">
        <v>491</v>
      </c>
      <c r="Y16" s="110" t="s">
        <v>491</v>
      </c>
      <c r="Z16" s="109">
        <v>0.51736111111111116</v>
      </c>
      <c r="AA16" s="109">
        <v>0.51736111111111116</v>
      </c>
      <c r="AB16" s="109">
        <v>0.51736111111111116</v>
      </c>
      <c r="AC16" s="109">
        <v>0.52430555555555558</v>
      </c>
      <c r="AD16" s="82">
        <f>IF(PA[[#This Row],[Acknowledgement Time ]]="NA","",(PA[[#This Row],[Acknowledgement Time ]]-PA[[#This Row],[Fault Time]])*24)</f>
        <v>0</v>
      </c>
      <c r="AE16" s="82">
        <f>IF(PA[[#This Row],[Work Start time on Fault]]="NA","",(PA[[#This Row],[Work Start time on Fault]]-PA[[#This Row],[Fault Time]])*24)</f>
        <v>0</v>
      </c>
      <c r="AF16" s="111">
        <f>IF(PA[[#This Row],[Status]]="Open","",(PA[[#This Row],[Work Completion time on fault]]-PA[[#This Row],[Fault Time]])*24)</f>
        <v>0.16666666666666607</v>
      </c>
      <c r="AG16" s="82">
        <f>IFERROR((PA[[#This Row],[Work Completion time on fault]]-PA[[#This Row],[Fault Time]])*24,"")</f>
        <v>0.16666666666666607</v>
      </c>
      <c r="AH16" s="110" t="s">
        <v>491</v>
      </c>
      <c r="AI16" s="178" t="s">
        <v>422</v>
      </c>
      <c r="AJ16" s="68">
        <f>IFERROR(PA[[#This Row],[Breakdown Time]]*PA[[#This Row],[Plant Equivalent Weightage]],"")</f>
        <v>1.5722097380512501E-5</v>
      </c>
      <c r="AK16" s="117">
        <v>0.19703333333333334</v>
      </c>
      <c r="AL16" s="116">
        <f>IF(PA[[#This Row],[Lost PoA(Wh/m2)]]&gt;0,_xlfn.XLOOKUP($B16,'Daily KPI'!$A:$A,'Daily KPI'!$AE:$AE)*PA[[#This Row],[Lost PoA(Wh/m2)]]*U16,0)</f>
        <v>5.0226081795097315</v>
      </c>
      <c r="AM16" s="176" t="s">
        <v>492</v>
      </c>
    </row>
    <row r="17" spans="1:39" ht="14" customHeight="1">
      <c r="A17" s="177">
        <f t="shared" si="1"/>
        <v>14</v>
      </c>
      <c r="B17" s="185">
        <v>45771</v>
      </c>
      <c r="C17" s="178" t="s">
        <v>477</v>
      </c>
      <c r="D17" s="176">
        <f>YEAR(PA[[#This Row],[Date]])</f>
        <v>2025</v>
      </c>
      <c r="E17" s="178" t="s">
        <v>361</v>
      </c>
      <c r="F17" s="178" t="s">
        <v>361</v>
      </c>
      <c r="G17" s="179">
        <v>45748</v>
      </c>
      <c r="H17" s="176">
        <f>DAY(EOMONTH(PA[[#This Row],[Month Year]],0))</f>
        <v>30</v>
      </c>
      <c r="I17" s="180">
        <f>VLOOKUP(PA[[#This Row],[Date]],Raw_Data[#All],9,0)</f>
        <v>0.26805555555555555</v>
      </c>
      <c r="J17" s="180">
        <f>VLOOKUP(PA[[#This Row],[Date]],Raw_Data[#All],10,0)</f>
        <v>0.8</v>
      </c>
      <c r="K17" s="68">
        <f>IFERROR((PA[[#This Row],[Sunset Time (POA&lt;20 W/m2)]]-PA[[#This Row],[Sunrise Time (POA&gt;20 W/m2)]])*24,"")</f>
        <v>12.766666666666669</v>
      </c>
      <c r="L17" s="178" t="s">
        <v>438</v>
      </c>
      <c r="M17" s="178" t="s">
        <v>401</v>
      </c>
      <c r="N17" s="178" t="s">
        <v>402</v>
      </c>
      <c r="O17" s="178" t="s">
        <v>413</v>
      </c>
      <c r="P17" s="178" t="s">
        <v>448</v>
      </c>
      <c r="Q17" s="178"/>
      <c r="R17" s="176">
        <f>IF((PA[[#This Row],[String Type(If String BD)]]&amp;PA[[#This Row],[Equipment (If any BD other than PV  array and inv)]])="",1,0)</f>
        <v>0</v>
      </c>
      <c r="S17" s="6">
        <f>IF(PA[[#This Row],[String Type(If String BD)]]="",1,0)</f>
        <v>0</v>
      </c>
      <c r="T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 s="68">
        <f>IFERROR(VLOOKUP(PA[[#This Row],[Affected Equipment ]],'Basic Data '!$A$1:$B$1846,2,0),"")</f>
        <v>31.61</v>
      </c>
      <c r="V17" s="143">
        <f>IFERROR(VLOOKUP(PA[[#This Row],[Affected Equipment ]],'Basic Data '!$A$1:$C$1846,3,0),"")</f>
        <v>9.4332584283075336E-5</v>
      </c>
      <c r="W17" s="178" t="s">
        <v>451</v>
      </c>
      <c r="X17" s="110" t="s">
        <v>491</v>
      </c>
      <c r="Y17" s="110" t="s">
        <v>491</v>
      </c>
      <c r="Z17" s="109">
        <v>0.52916666666666667</v>
      </c>
      <c r="AA17" s="109">
        <v>0.52916666666666667</v>
      </c>
      <c r="AB17" s="109">
        <v>0.52916666666666667</v>
      </c>
      <c r="AC17" s="109">
        <v>0.53680555555555554</v>
      </c>
      <c r="AD17" s="82">
        <f>IF(PA[[#This Row],[Acknowledgement Time ]]="NA","",(PA[[#This Row],[Acknowledgement Time ]]-PA[[#This Row],[Fault Time]])*24)</f>
        <v>0</v>
      </c>
      <c r="AE17" s="82">
        <f>IF(PA[[#This Row],[Work Start time on Fault]]="NA","",(PA[[#This Row],[Work Start time on Fault]]-PA[[#This Row],[Fault Time]])*24)</f>
        <v>0</v>
      </c>
      <c r="AF17" s="111">
        <f>IF(PA[[#This Row],[Status]]="Open","",(PA[[#This Row],[Work Completion time on fault]]-PA[[#This Row],[Fault Time]])*24)</f>
        <v>0.18333333333333268</v>
      </c>
      <c r="AG17" s="82">
        <f>IFERROR((PA[[#This Row],[Work Completion time on fault]]-PA[[#This Row],[Fault Time]])*24,"")</f>
        <v>0.18333333333333268</v>
      </c>
      <c r="AH17" s="110" t="s">
        <v>491</v>
      </c>
      <c r="AI17" s="178" t="s">
        <v>422</v>
      </c>
      <c r="AJ17" s="68">
        <f>IFERROR(PA[[#This Row],[Breakdown Time]]*PA[[#This Row],[Plant Equivalent Weightage]],"")</f>
        <v>1.7294307118563749E-5</v>
      </c>
      <c r="AK17" s="117">
        <v>0.21285000000000001</v>
      </c>
      <c r="AL17" s="116">
        <f>IF(PA[[#This Row],[Lost PoA(Wh/m2)]]&gt;0,_xlfn.XLOOKUP($B17,'Daily KPI'!$A:$A,'Daily KPI'!$AE:$AE)*PA[[#This Row],[Lost PoA(Wh/m2)]]*U17,0)</f>
        <v>5.4257933564979508</v>
      </c>
      <c r="AM17" s="176" t="s">
        <v>492</v>
      </c>
    </row>
    <row r="18" spans="1:39" ht="14" customHeight="1">
      <c r="A18" s="177">
        <f t="shared" si="1"/>
        <v>15</v>
      </c>
      <c r="B18" s="185">
        <v>45771</v>
      </c>
      <c r="C18" s="178" t="s">
        <v>477</v>
      </c>
      <c r="D18" s="176">
        <f>YEAR(PA[[#This Row],[Date]])</f>
        <v>2025</v>
      </c>
      <c r="E18" s="178" t="s">
        <v>361</v>
      </c>
      <c r="F18" s="178" t="s">
        <v>361</v>
      </c>
      <c r="G18" s="179">
        <v>45748</v>
      </c>
      <c r="H18" s="176">
        <f>DAY(EOMONTH(PA[[#This Row],[Month Year]],0))</f>
        <v>30</v>
      </c>
      <c r="I18" s="180">
        <f>VLOOKUP(PA[[#This Row],[Date]],Raw_Data[#All],9,0)</f>
        <v>0.26805555555555555</v>
      </c>
      <c r="J18" s="180">
        <f>VLOOKUP(PA[[#This Row],[Date]],Raw_Data[#All],10,0)</f>
        <v>0.8</v>
      </c>
      <c r="K18" s="68">
        <f>IFERROR((PA[[#This Row],[Sunset Time (POA&lt;20 W/m2)]]-PA[[#This Row],[Sunrise Time (POA&gt;20 W/m2)]])*24,"")</f>
        <v>12.766666666666669</v>
      </c>
      <c r="L18" s="178" t="s">
        <v>454</v>
      </c>
      <c r="M18" s="178" t="s">
        <v>394</v>
      </c>
      <c r="N18" s="178" t="s">
        <v>402</v>
      </c>
      <c r="O18" s="178" t="s">
        <v>396</v>
      </c>
      <c r="P18" s="178" t="s">
        <v>404</v>
      </c>
      <c r="Q18" s="178"/>
      <c r="R18" s="176">
        <f>IF((PA[[#This Row],[String Type(If String BD)]]&amp;PA[[#This Row],[Equipment (If any BD other than PV  array and inv)]])="",1,0)</f>
        <v>0</v>
      </c>
      <c r="S18" s="6">
        <f>IF(PA[[#This Row],[String Type(If String BD)]]="",1,0)</f>
        <v>0</v>
      </c>
      <c r="T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 s="68">
        <f>IFERROR(VLOOKUP(PA[[#This Row],[Affected Equipment ]],'Basic Data '!$A$1:$B$1846,2,0),"")</f>
        <v>31.32</v>
      </c>
      <c r="V18" s="143">
        <f>IFERROR(VLOOKUP(PA[[#This Row],[Affected Equipment ]],'Basic Data '!$A$1:$C$1846,3,0),"")</f>
        <v>9.3467147730019601E-5</v>
      </c>
      <c r="W18" s="178" t="s">
        <v>451</v>
      </c>
      <c r="X18" s="110" t="s">
        <v>491</v>
      </c>
      <c r="Y18" s="110" t="s">
        <v>491</v>
      </c>
      <c r="Z18" s="109">
        <v>0.5854166666666667</v>
      </c>
      <c r="AA18" s="109">
        <v>0.5854166666666667</v>
      </c>
      <c r="AB18" s="109">
        <v>0.5854166666666667</v>
      </c>
      <c r="AC18" s="109">
        <v>0.59861111111111109</v>
      </c>
      <c r="AD18" s="82">
        <f>IF(PA[[#This Row],[Acknowledgement Time ]]="NA","",(PA[[#This Row],[Acknowledgement Time ]]-PA[[#This Row],[Fault Time]])*24)</f>
        <v>0</v>
      </c>
      <c r="AE18" s="82">
        <f>IF(PA[[#This Row],[Work Start time on Fault]]="NA","",(PA[[#This Row],[Work Start time on Fault]]-PA[[#This Row],[Fault Time]])*24)</f>
        <v>0</v>
      </c>
      <c r="AF18" s="111">
        <f>IF(PA[[#This Row],[Status]]="Open","",(PA[[#This Row],[Work Completion time on fault]]-PA[[#This Row],[Fault Time]])*24)</f>
        <v>0.31666666666666554</v>
      </c>
      <c r="AG18" s="82">
        <f>IFERROR((PA[[#This Row],[Work Completion time on fault]]-PA[[#This Row],[Fault Time]])*24,"")</f>
        <v>0.31666666666666554</v>
      </c>
      <c r="AH18" s="110" t="s">
        <v>491</v>
      </c>
      <c r="AI18" s="178" t="s">
        <v>422</v>
      </c>
      <c r="AJ18" s="68">
        <f>IFERROR(PA[[#This Row],[Breakdown Time]]*PA[[#This Row],[Plant Equivalent Weightage]],"")</f>
        <v>2.95979301145061E-5</v>
      </c>
      <c r="AK18" s="117">
        <v>0.33361666666666667</v>
      </c>
      <c r="AL18" s="116">
        <f>IF(PA[[#This Row],[Lost PoA(Wh/m2)]]&gt;0,_xlfn.XLOOKUP($B18,'Daily KPI'!$A:$A,'Daily KPI'!$AE:$AE)*PA[[#This Row],[Lost PoA(Wh/m2)]]*U18,0)</f>
        <v>8.4262548726279256</v>
      </c>
      <c r="AM18" s="176" t="s">
        <v>492</v>
      </c>
    </row>
    <row r="19" spans="1:39" ht="14" customHeight="1">
      <c r="A19" s="177">
        <f t="shared" si="1"/>
        <v>16</v>
      </c>
      <c r="B19" s="185">
        <v>45771</v>
      </c>
      <c r="C19" s="178" t="s">
        <v>477</v>
      </c>
      <c r="D19" s="176">
        <f>YEAR(PA[[#This Row],[Date]])</f>
        <v>2025</v>
      </c>
      <c r="E19" s="178" t="s">
        <v>361</v>
      </c>
      <c r="F19" s="178" t="s">
        <v>361</v>
      </c>
      <c r="G19" s="179">
        <v>45748</v>
      </c>
      <c r="H19" s="176">
        <f>DAY(EOMONTH(PA[[#This Row],[Month Year]],0))</f>
        <v>30</v>
      </c>
      <c r="I19" s="180">
        <f>VLOOKUP(PA[[#This Row],[Date]],Raw_Data[#All],9,0)</f>
        <v>0.26805555555555555</v>
      </c>
      <c r="J19" s="180">
        <f>VLOOKUP(PA[[#This Row],[Date]],Raw_Data[#All],10,0)</f>
        <v>0.8</v>
      </c>
      <c r="K19" s="68">
        <f>IFERROR((PA[[#This Row],[Sunset Time (POA&lt;20 W/m2)]]-PA[[#This Row],[Sunrise Time (POA&gt;20 W/m2)]])*24,"")</f>
        <v>12.766666666666669</v>
      </c>
      <c r="L19" s="178" t="s">
        <v>454</v>
      </c>
      <c r="M19" s="178" t="s">
        <v>408</v>
      </c>
      <c r="N19" s="178" t="s">
        <v>402</v>
      </c>
      <c r="O19" s="178" t="s">
        <v>406</v>
      </c>
      <c r="P19" s="178" t="s">
        <v>404</v>
      </c>
      <c r="Q19" s="178"/>
      <c r="R19" s="176">
        <f>IF((PA[[#This Row],[String Type(If String BD)]]&amp;PA[[#This Row],[Equipment (If any BD other than PV  array and inv)]])="",1,0)</f>
        <v>0</v>
      </c>
      <c r="S19" s="6">
        <f>IF(PA[[#This Row],[String Type(If String BD)]]="",1,0)</f>
        <v>0</v>
      </c>
      <c r="T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 s="68">
        <f>IFERROR(VLOOKUP(PA[[#This Row],[Affected Equipment ]],'Basic Data '!$A$1:$B$1846,2,0),"")</f>
        <v>31.32</v>
      </c>
      <c r="V19" s="143">
        <f>IFERROR(VLOOKUP(PA[[#This Row],[Affected Equipment ]],'Basic Data '!$A$1:$C$1846,3,0),"")</f>
        <v>9.3467147730019601E-5</v>
      </c>
      <c r="W19" s="178" t="s">
        <v>451</v>
      </c>
      <c r="X19" s="110" t="s">
        <v>491</v>
      </c>
      <c r="Y19" s="110" t="s">
        <v>491</v>
      </c>
      <c r="Z19" s="109">
        <v>0.6069444444444444</v>
      </c>
      <c r="AA19" s="109">
        <v>0.6069444444444444</v>
      </c>
      <c r="AB19" s="109">
        <v>0.6069444444444444</v>
      </c>
      <c r="AC19" s="109">
        <v>0.61319444444444449</v>
      </c>
      <c r="AD19" s="82">
        <f>IF(PA[[#This Row],[Acknowledgement Time ]]="NA","",(PA[[#This Row],[Acknowledgement Time ]]-PA[[#This Row],[Fault Time]])*24)</f>
        <v>0</v>
      </c>
      <c r="AE19" s="82">
        <f>IF(PA[[#This Row],[Work Start time on Fault]]="NA","",(PA[[#This Row],[Work Start time on Fault]]-PA[[#This Row],[Fault Time]])*24)</f>
        <v>0</v>
      </c>
      <c r="AF19" s="111">
        <f>IF(PA[[#This Row],[Status]]="Open","",(PA[[#This Row],[Work Completion time on fault]]-PA[[#This Row],[Fault Time]])*24)</f>
        <v>0.15000000000000213</v>
      </c>
      <c r="AG19" s="82">
        <f>IFERROR((PA[[#This Row],[Work Completion time on fault]]-PA[[#This Row],[Fault Time]])*24,"")</f>
        <v>0.15000000000000213</v>
      </c>
      <c r="AH19" s="110" t="s">
        <v>491</v>
      </c>
      <c r="AI19" s="178" t="s">
        <v>422</v>
      </c>
      <c r="AJ19" s="68">
        <f>IFERROR(PA[[#This Row],[Breakdown Time]]*PA[[#This Row],[Plant Equivalent Weightage]],"")</f>
        <v>1.4020072159503139E-5</v>
      </c>
      <c r="AK19" s="117">
        <v>0.15851666666666667</v>
      </c>
      <c r="AL19" s="116">
        <f>IF(PA[[#This Row],[Lost PoA(Wh/m2)]]&gt;0,_xlfn.XLOOKUP($B19,'Daily KPI'!$A:$A,'Daily KPI'!$AE:$AE)*PA[[#This Row],[Lost PoA(Wh/m2)]]*U19,0)</f>
        <v>4.0037023576741877</v>
      </c>
      <c r="AM19" s="176" t="s">
        <v>492</v>
      </c>
    </row>
    <row r="20" spans="1:39" ht="14" customHeight="1">
      <c r="A20" s="177">
        <f t="shared" si="1"/>
        <v>17</v>
      </c>
      <c r="B20" s="185">
        <v>45771</v>
      </c>
      <c r="C20" s="178" t="s">
        <v>477</v>
      </c>
      <c r="D20" s="176">
        <f>YEAR(PA[[#This Row],[Date]])</f>
        <v>2025</v>
      </c>
      <c r="E20" s="178" t="s">
        <v>361</v>
      </c>
      <c r="F20" s="178" t="s">
        <v>361</v>
      </c>
      <c r="G20" s="179">
        <v>45748</v>
      </c>
      <c r="H20" s="176">
        <f>DAY(EOMONTH(PA[[#This Row],[Month Year]],0))</f>
        <v>30</v>
      </c>
      <c r="I20" s="180">
        <f>VLOOKUP(PA[[#This Row],[Date]],Raw_Data[#All],9,0)</f>
        <v>0.26805555555555555</v>
      </c>
      <c r="J20" s="180">
        <f>VLOOKUP(PA[[#This Row],[Date]],Raw_Data[#All],10,0)</f>
        <v>0.8</v>
      </c>
      <c r="K20" s="68">
        <f>IFERROR((PA[[#This Row],[Sunset Time (POA&lt;20 W/m2)]]-PA[[#This Row],[Sunrise Time (POA&gt;20 W/m2)]])*24,"")</f>
        <v>12.766666666666669</v>
      </c>
      <c r="L20" s="178" t="s">
        <v>454</v>
      </c>
      <c r="M20" s="178" t="s">
        <v>414</v>
      </c>
      <c r="N20" s="178" t="s">
        <v>395</v>
      </c>
      <c r="O20" s="178" t="s">
        <v>396</v>
      </c>
      <c r="P20" s="178" t="s">
        <v>404</v>
      </c>
      <c r="Q20" s="178"/>
      <c r="R20" s="176">
        <f>IF((PA[[#This Row],[String Type(If String BD)]]&amp;PA[[#This Row],[Equipment (If any BD other than PV  array and inv)]])="",1,0)</f>
        <v>0</v>
      </c>
      <c r="S20" s="6">
        <f>IF(PA[[#This Row],[String Type(If String BD)]]="",1,0)</f>
        <v>0</v>
      </c>
      <c r="T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 s="68">
        <f>IFERROR(VLOOKUP(PA[[#This Row],[Affected Equipment ]],'Basic Data '!$A$1:$B$1846,2,0),"")</f>
        <v>31.32</v>
      </c>
      <c r="V20" s="143">
        <f>IFERROR(VLOOKUP(PA[[#This Row],[Affected Equipment ]],'Basic Data '!$A$1:$C$1846,3,0),"")</f>
        <v>9.3467147730019601E-5</v>
      </c>
      <c r="W20" s="178" t="s">
        <v>451</v>
      </c>
      <c r="X20" s="110" t="s">
        <v>491</v>
      </c>
      <c r="Y20" s="110" t="s">
        <v>491</v>
      </c>
      <c r="Z20" s="109">
        <v>0.6166666666666667</v>
      </c>
      <c r="AA20" s="109">
        <v>0.6166666666666667</v>
      </c>
      <c r="AB20" s="109">
        <v>0.6166666666666667</v>
      </c>
      <c r="AC20" s="109">
        <v>0.62569444444444444</v>
      </c>
      <c r="AD20" s="82">
        <f>IF(PA[[#This Row],[Acknowledgement Time ]]="NA","",(PA[[#This Row],[Acknowledgement Time ]]-PA[[#This Row],[Fault Time]])*24)</f>
        <v>0</v>
      </c>
      <c r="AE20" s="82">
        <f>IF(PA[[#This Row],[Work Start time on Fault]]="NA","",(PA[[#This Row],[Work Start time on Fault]]-PA[[#This Row],[Fault Time]])*24)</f>
        <v>0</v>
      </c>
      <c r="AF20" s="111">
        <f>IF(PA[[#This Row],[Status]]="Open","",(PA[[#This Row],[Work Completion time on fault]]-PA[[#This Row],[Fault Time]])*24)</f>
        <v>0.2166666666666659</v>
      </c>
      <c r="AG20" s="82">
        <f>IFERROR((PA[[#This Row],[Work Completion time on fault]]-PA[[#This Row],[Fault Time]])*24,"")</f>
        <v>0.2166666666666659</v>
      </c>
      <c r="AH20" s="110" t="s">
        <v>491</v>
      </c>
      <c r="AI20" s="178" t="s">
        <v>422</v>
      </c>
      <c r="AJ20" s="68">
        <f>IFERROR(PA[[#This Row],[Breakdown Time]]*PA[[#This Row],[Plant Equivalent Weightage]],"")</f>
        <v>2.0251215341504173E-5</v>
      </c>
      <c r="AK20" s="117">
        <v>0.20881666666666668</v>
      </c>
      <c r="AL20" s="116">
        <f>IF(PA[[#This Row],[Lost PoA(Wh/m2)]]&gt;0,_xlfn.XLOOKUP($B20,'Daily KPI'!$A:$A,'Daily KPI'!$AE:$AE)*PA[[#This Row],[Lost PoA(Wh/m2)]]*U20,0)</f>
        <v>5.2741443422668377</v>
      </c>
      <c r="AM20" s="176" t="s">
        <v>492</v>
      </c>
    </row>
    <row r="21" spans="1:39" ht="14" customHeight="1">
      <c r="A21" s="177">
        <f t="shared" si="1"/>
        <v>18</v>
      </c>
      <c r="B21" s="185">
        <v>45771</v>
      </c>
      <c r="C21" s="178" t="s">
        <v>477</v>
      </c>
      <c r="D21" s="176">
        <f>YEAR(PA[[#This Row],[Date]])</f>
        <v>2025</v>
      </c>
      <c r="E21" s="178" t="s">
        <v>361</v>
      </c>
      <c r="F21" s="178" t="s">
        <v>361</v>
      </c>
      <c r="G21" s="179">
        <v>45748</v>
      </c>
      <c r="H21" s="176">
        <f>DAY(EOMONTH(PA[[#This Row],[Month Year]],0))</f>
        <v>30</v>
      </c>
      <c r="I21" s="180">
        <f>VLOOKUP(PA[[#This Row],[Date]],Raw_Data[#All],9,0)</f>
        <v>0.26805555555555555</v>
      </c>
      <c r="J21" s="180">
        <f>VLOOKUP(PA[[#This Row],[Date]],Raw_Data[#All],10,0)</f>
        <v>0.8</v>
      </c>
      <c r="K21" s="68">
        <f>IFERROR((PA[[#This Row],[Sunset Time (POA&lt;20 W/m2)]]-PA[[#This Row],[Sunrise Time (POA&gt;20 W/m2)]])*24,"")</f>
        <v>12.766666666666669</v>
      </c>
      <c r="L21" s="178" t="s">
        <v>454</v>
      </c>
      <c r="M21" s="178" t="s">
        <v>401</v>
      </c>
      <c r="N21" s="178" t="s">
        <v>395</v>
      </c>
      <c r="O21" s="178" t="s">
        <v>417</v>
      </c>
      <c r="P21" s="178" t="s">
        <v>404</v>
      </c>
      <c r="Q21" s="178"/>
      <c r="R21" s="176">
        <f>IF((PA[[#This Row],[String Type(If String BD)]]&amp;PA[[#This Row],[Equipment (If any BD other than PV  array and inv)]])="",1,0)</f>
        <v>0</v>
      </c>
      <c r="S21" s="6">
        <f>IF(PA[[#This Row],[String Type(If String BD)]]="",1,0)</f>
        <v>0</v>
      </c>
      <c r="T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 s="68">
        <f>IFERROR(VLOOKUP(PA[[#This Row],[Affected Equipment ]],'Basic Data '!$A$1:$B$1846,2,0),"")</f>
        <v>31.32</v>
      </c>
      <c r="V21" s="143">
        <f>IFERROR(VLOOKUP(PA[[#This Row],[Affected Equipment ]],'Basic Data '!$A$1:$C$1846,3,0),"")</f>
        <v>9.3467147730019601E-5</v>
      </c>
      <c r="W21" s="178" t="s">
        <v>451</v>
      </c>
      <c r="X21" s="110" t="s">
        <v>491</v>
      </c>
      <c r="Y21" s="110" t="s">
        <v>491</v>
      </c>
      <c r="Z21" s="109">
        <v>0.62916666666666665</v>
      </c>
      <c r="AA21" s="109">
        <v>0.62916666666666665</v>
      </c>
      <c r="AB21" s="109">
        <v>0.62916666666666665</v>
      </c>
      <c r="AC21" s="109">
        <v>0.64166666666666672</v>
      </c>
      <c r="AD21" s="82">
        <f>IF(PA[[#This Row],[Acknowledgement Time ]]="NA","",(PA[[#This Row],[Acknowledgement Time ]]-PA[[#This Row],[Fault Time]])*24)</f>
        <v>0</v>
      </c>
      <c r="AE21" s="82">
        <f>IF(PA[[#This Row],[Work Start time on Fault]]="NA","",(PA[[#This Row],[Work Start time on Fault]]-PA[[#This Row],[Fault Time]])*24)</f>
        <v>0</v>
      </c>
      <c r="AF21" s="111">
        <f>IF(PA[[#This Row],[Status]]="Open","",(PA[[#This Row],[Work Completion time on fault]]-PA[[#This Row],[Fault Time]])*24)</f>
        <v>0.3000000000000016</v>
      </c>
      <c r="AG21" s="82">
        <f>IFERROR((PA[[#This Row],[Work Completion time on fault]]-PA[[#This Row],[Fault Time]])*24,"")</f>
        <v>0.3000000000000016</v>
      </c>
      <c r="AH21" s="110" t="s">
        <v>491</v>
      </c>
      <c r="AI21" s="178" t="s">
        <v>422</v>
      </c>
      <c r="AJ21" s="68">
        <f>IFERROR(PA[[#This Row],[Breakdown Time]]*PA[[#This Row],[Plant Equivalent Weightage]],"")</f>
        <v>2.8040144319006031E-5</v>
      </c>
      <c r="AK21" s="117">
        <v>0.26921666666666666</v>
      </c>
      <c r="AL21" s="116">
        <f>IF(PA[[#This Row],[Lost PoA(Wh/m2)]]&gt;0,_xlfn.XLOOKUP($B21,'Daily KPI'!$A:$A,'Daily KPI'!$AE:$AE)*PA[[#This Row],[Lost PoA(Wh/m2)]]*U21,0)</f>
        <v>6.7996850156146724</v>
      </c>
      <c r="AM21" s="176" t="s">
        <v>492</v>
      </c>
    </row>
    <row r="22" spans="1:39" ht="14" customHeight="1">
      <c r="A22" s="177">
        <f t="shared" si="1"/>
        <v>19</v>
      </c>
      <c r="B22" s="185">
        <v>45772</v>
      </c>
      <c r="C22" s="178" t="s">
        <v>477</v>
      </c>
      <c r="D22" s="176">
        <f>YEAR(PA[[#This Row],[Date]])</f>
        <v>2025</v>
      </c>
      <c r="E22" s="178" t="s">
        <v>361</v>
      </c>
      <c r="F22" s="178" t="s">
        <v>361</v>
      </c>
      <c r="G22" s="179">
        <v>45748</v>
      </c>
      <c r="H22" s="176">
        <f>DAY(EOMONTH(PA[[#This Row],[Month Year]],0))</f>
        <v>30</v>
      </c>
      <c r="I22" s="180">
        <f>VLOOKUP(PA[[#This Row],[Date]],Raw_Data[#All],9,0)</f>
        <v>0.26944444444444443</v>
      </c>
      <c r="J22" s="180">
        <f>VLOOKUP(PA[[#This Row],[Date]],Raw_Data[#All],10,0)</f>
        <v>0.7993055555555556</v>
      </c>
      <c r="K22" s="68">
        <f>IFERROR((PA[[#This Row],[Sunset Time (POA&lt;20 W/m2)]]-PA[[#This Row],[Sunrise Time (POA&gt;20 W/m2)]])*24,"")</f>
        <v>12.716666666666667</v>
      </c>
      <c r="L22" s="178" t="s">
        <v>444</v>
      </c>
      <c r="M22" s="178" t="s">
        <v>394</v>
      </c>
      <c r="N22" s="178" t="s">
        <v>395</v>
      </c>
      <c r="O22" s="178" t="s">
        <v>409</v>
      </c>
      <c r="P22" s="178" t="s">
        <v>404</v>
      </c>
      <c r="Q22" s="178"/>
      <c r="R22" s="176">
        <f>IF((PA[[#This Row],[String Type(If String BD)]]&amp;PA[[#This Row],[Equipment (If any BD other than PV  array and inv)]])="",1,0)</f>
        <v>0</v>
      </c>
      <c r="S22" s="6">
        <f>IF(PA[[#This Row],[String Type(If String BD)]]="",1,0)</f>
        <v>0</v>
      </c>
      <c r="T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 s="68">
        <f>IFERROR(VLOOKUP(PA[[#This Row],[Affected Equipment ]],'Basic Data '!$A$1:$B$1846,2,0),"")</f>
        <v>31.32</v>
      </c>
      <c r="V22" s="143">
        <f>IFERROR(VLOOKUP(PA[[#This Row],[Affected Equipment ]],'Basic Data '!$A$1:$C$1846,3,0),"")</f>
        <v>9.3467147730019601E-5</v>
      </c>
      <c r="W22" s="178" t="s">
        <v>451</v>
      </c>
      <c r="X22" s="110" t="s">
        <v>491</v>
      </c>
      <c r="Y22" s="110" t="s">
        <v>491</v>
      </c>
      <c r="Z22" s="109">
        <v>0.4375</v>
      </c>
      <c r="AA22" s="109">
        <v>0.4375</v>
      </c>
      <c r="AB22" s="109">
        <v>0.4375</v>
      </c>
      <c r="AC22" s="109">
        <v>0.44513888888888886</v>
      </c>
      <c r="AD22" s="82">
        <f>IF(PA[[#This Row],[Acknowledgement Time ]]="NA","",(PA[[#This Row],[Acknowledgement Time ]]-PA[[#This Row],[Fault Time]])*24)</f>
        <v>0</v>
      </c>
      <c r="AE22" s="82">
        <f>IF(PA[[#This Row],[Work Start time on Fault]]="NA","",(PA[[#This Row],[Work Start time on Fault]]-PA[[#This Row],[Fault Time]])*24)</f>
        <v>0</v>
      </c>
      <c r="AF22" s="111">
        <f>IF(PA[[#This Row],[Status]]="Open","",(PA[[#This Row],[Work Completion time on fault]]-PA[[#This Row],[Fault Time]])*24)</f>
        <v>0.18333333333333268</v>
      </c>
      <c r="AG22" s="82">
        <f>IFERROR((PA[[#This Row],[Work Completion time on fault]]-PA[[#This Row],[Fault Time]])*24,"")</f>
        <v>0.18333333333333268</v>
      </c>
      <c r="AH22" s="110" t="s">
        <v>491</v>
      </c>
      <c r="AI22" s="178" t="s">
        <v>422</v>
      </c>
      <c r="AJ22" s="68">
        <f>IFERROR(PA[[#This Row],[Breakdown Time]]*PA[[#This Row],[Plant Equivalent Weightage]],"")</f>
        <v>1.7135643750503531E-5</v>
      </c>
      <c r="AK22" s="117">
        <v>0.17551666666666665</v>
      </c>
      <c r="AL22" s="116">
        <f>IF(PA[[#This Row],[Lost PoA(Wh/m2)]]&gt;0,_xlfn.XLOOKUP($B22,'Daily KPI'!$A:$A,'Daily KPI'!$AE:$AE)*PA[[#This Row],[Lost PoA(Wh/m2)]]*U22,0)</f>
        <v>4.4330763882522204</v>
      </c>
      <c r="AM22" s="176" t="s">
        <v>493</v>
      </c>
    </row>
    <row r="23" spans="1:39" ht="14" customHeight="1">
      <c r="A23" s="177">
        <f t="shared" si="1"/>
        <v>20</v>
      </c>
      <c r="B23" s="185">
        <v>45772</v>
      </c>
      <c r="C23" s="178" t="s">
        <v>477</v>
      </c>
      <c r="D23" s="176">
        <f>YEAR(PA[[#This Row],[Date]])</f>
        <v>2025</v>
      </c>
      <c r="E23" s="178" t="s">
        <v>361</v>
      </c>
      <c r="F23" s="178" t="s">
        <v>361</v>
      </c>
      <c r="G23" s="179">
        <v>45748</v>
      </c>
      <c r="H23" s="176">
        <f>DAY(EOMONTH(PA[[#This Row],[Month Year]],0))</f>
        <v>30</v>
      </c>
      <c r="I23" s="180">
        <f>VLOOKUP(PA[[#This Row],[Date]],Raw_Data[#All],9,0)</f>
        <v>0.26944444444444443</v>
      </c>
      <c r="J23" s="180">
        <f>VLOOKUP(PA[[#This Row],[Date]],Raw_Data[#All],10,0)</f>
        <v>0.7993055555555556</v>
      </c>
      <c r="K23" s="68">
        <f>IFERROR((PA[[#This Row],[Sunset Time (POA&lt;20 W/m2)]]-PA[[#This Row],[Sunrise Time (POA&gt;20 W/m2)]])*24,"")</f>
        <v>12.716666666666667</v>
      </c>
      <c r="L23" s="178" t="s">
        <v>444</v>
      </c>
      <c r="M23" s="178" t="s">
        <v>408</v>
      </c>
      <c r="N23" s="178" t="s">
        <v>402</v>
      </c>
      <c r="O23" s="178" t="s">
        <v>406</v>
      </c>
      <c r="P23" s="178" t="s">
        <v>404</v>
      </c>
      <c r="Q23" s="178"/>
      <c r="R23" s="176">
        <f>IF((PA[[#This Row],[String Type(If String BD)]]&amp;PA[[#This Row],[Equipment (If any BD other than PV  array and inv)]])="",1,0)</f>
        <v>0</v>
      </c>
      <c r="S23" s="6">
        <f>IF(PA[[#This Row],[String Type(If String BD)]]="",1,0)</f>
        <v>0</v>
      </c>
      <c r="T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 s="68">
        <f>IFERROR(VLOOKUP(PA[[#This Row],[Affected Equipment ]],'Basic Data '!$A$1:$B$1846,2,0),"")</f>
        <v>31.32</v>
      </c>
      <c r="V23" s="143">
        <f>IFERROR(VLOOKUP(PA[[#This Row],[Affected Equipment ]],'Basic Data '!$A$1:$C$1846,3,0),"")</f>
        <v>9.3467147730019601E-5</v>
      </c>
      <c r="W23" s="178" t="s">
        <v>451</v>
      </c>
      <c r="X23" s="110" t="s">
        <v>491</v>
      </c>
      <c r="Y23" s="110" t="s">
        <v>491</v>
      </c>
      <c r="Z23" s="109">
        <v>0.44791666666666669</v>
      </c>
      <c r="AA23" s="109">
        <v>0.44791666666666669</v>
      </c>
      <c r="AB23" s="109">
        <v>0.44791666666666669</v>
      </c>
      <c r="AC23" s="109">
        <v>0.45624999999999999</v>
      </c>
      <c r="AD23" s="82">
        <f>IF(PA[[#This Row],[Acknowledgement Time ]]="NA","",(PA[[#This Row],[Acknowledgement Time ]]-PA[[#This Row],[Fault Time]])*24)</f>
        <v>0</v>
      </c>
      <c r="AE23" s="82">
        <f>IF(PA[[#This Row],[Work Start time on Fault]]="NA","",(PA[[#This Row],[Work Start time on Fault]]-PA[[#This Row],[Fault Time]])*24)</f>
        <v>0</v>
      </c>
      <c r="AF23" s="111">
        <f>IF(PA[[#This Row],[Status]]="Open","",(PA[[#This Row],[Work Completion time on fault]]-PA[[#This Row],[Fault Time]])*24)</f>
        <v>0.19999999999999929</v>
      </c>
      <c r="AG23" s="82">
        <f>IFERROR((PA[[#This Row],[Work Completion time on fault]]-PA[[#This Row],[Fault Time]])*24,"")</f>
        <v>0.19999999999999929</v>
      </c>
      <c r="AH23" s="110" t="s">
        <v>491</v>
      </c>
      <c r="AI23" s="178" t="s">
        <v>422</v>
      </c>
      <c r="AJ23" s="68">
        <f>IFERROR(PA[[#This Row],[Breakdown Time]]*PA[[#This Row],[Plant Equivalent Weightage]],"")</f>
        <v>1.8693429546003854E-5</v>
      </c>
      <c r="AK23" s="117">
        <v>0.19861666666666666</v>
      </c>
      <c r="AL23" s="116">
        <f>IF(PA[[#This Row],[Lost PoA(Wh/m2)]]&gt;0,_xlfn.XLOOKUP($B23,'Daily KPI'!$A:$A,'Daily KPI'!$AE:$AE)*PA[[#This Row],[Lost PoA(Wh/m2)]]*U23,0)</f>
        <v>5.0165199239200176</v>
      </c>
      <c r="AM23" s="176" t="s">
        <v>493</v>
      </c>
    </row>
    <row r="24" spans="1:39" ht="14" customHeight="1">
      <c r="A24" s="177">
        <f t="shared" si="1"/>
        <v>21</v>
      </c>
      <c r="B24" s="185">
        <v>45772</v>
      </c>
      <c r="C24" s="178" t="s">
        <v>477</v>
      </c>
      <c r="D24" s="176">
        <f>YEAR(PA[[#This Row],[Date]])</f>
        <v>2025</v>
      </c>
      <c r="E24" s="178" t="s">
        <v>361</v>
      </c>
      <c r="F24" s="178" t="s">
        <v>361</v>
      </c>
      <c r="G24" s="179">
        <v>45748</v>
      </c>
      <c r="H24" s="176">
        <f>DAY(EOMONTH(PA[[#This Row],[Month Year]],0))</f>
        <v>30</v>
      </c>
      <c r="I24" s="180">
        <f>VLOOKUP(PA[[#This Row],[Date]],Raw_Data[#All],9,0)</f>
        <v>0.26944444444444443</v>
      </c>
      <c r="J24" s="180">
        <f>VLOOKUP(PA[[#This Row],[Date]],Raw_Data[#All],10,0)</f>
        <v>0.7993055555555556</v>
      </c>
      <c r="K24" s="68">
        <f>IFERROR((PA[[#This Row],[Sunset Time (POA&lt;20 W/m2)]]-PA[[#This Row],[Sunrise Time (POA&gt;20 W/m2)]])*24,"")</f>
        <v>12.716666666666667</v>
      </c>
      <c r="L24" s="178" t="s">
        <v>444</v>
      </c>
      <c r="M24" s="178" t="s">
        <v>414</v>
      </c>
      <c r="N24" s="178" t="s">
        <v>402</v>
      </c>
      <c r="O24" s="178" t="s">
        <v>409</v>
      </c>
      <c r="P24" s="178" t="s">
        <v>404</v>
      </c>
      <c r="Q24" s="178"/>
      <c r="R24" s="176">
        <f>IF((PA[[#This Row],[String Type(If String BD)]]&amp;PA[[#This Row],[Equipment (If any BD other than PV  array and inv)]])="",1,0)</f>
        <v>0</v>
      </c>
      <c r="S24" s="6">
        <f>IF(PA[[#This Row],[String Type(If String BD)]]="",1,0)</f>
        <v>0</v>
      </c>
      <c r="T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4" s="68">
        <f>IFERROR(VLOOKUP(PA[[#This Row],[Affected Equipment ]],'Basic Data '!$A$1:$B$1846,2,0),"")</f>
        <v>31.32</v>
      </c>
      <c r="V24" s="143">
        <f>IFERROR(VLOOKUP(PA[[#This Row],[Affected Equipment ]],'Basic Data '!$A$1:$C$1846,3,0),"")</f>
        <v>9.3467147730019601E-5</v>
      </c>
      <c r="W24" s="178" t="s">
        <v>451</v>
      </c>
      <c r="X24" s="110" t="s">
        <v>491</v>
      </c>
      <c r="Y24" s="110" t="s">
        <v>491</v>
      </c>
      <c r="Z24" s="109">
        <v>0.45833333333333331</v>
      </c>
      <c r="AA24" s="109">
        <v>0.45833333333333331</v>
      </c>
      <c r="AB24" s="109">
        <v>0.45833333333333331</v>
      </c>
      <c r="AC24" s="109">
        <v>0.46527777777777779</v>
      </c>
      <c r="AD24" s="82">
        <f>IF(PA[[#This Row],[Acknowledgement Time ]]="NA","",(PA[[#This Row],[Acknowledgement Time ]]-PA[[#This Row],[Fault Time]])*24)</f>
        <v>0</v>
      </c>
      <c r="AE24" s="82">
        <f>IF(PA[[#This Row],[Work Start time on Fault]]="NA","",(PA[[#This Row],[Work Start time on Fault]]-PA[[#This Row],[Fault Time]])*24)</f>
        <v>0</v>
      </c>
      <c r="AF24" s="111">
        <f>IF(PA[[#This Row],[Status]]="Open","",(PA[[#This Row],[Work Completion time on fault]]-PA[[#This Row],[Fault Time]])*24)</f>
        <v>0.16666666666666741</v>
      </c>
      <c r="AG24" s="82">
        <f>IFERROR((PA[[#This Row],[Work Completion time on fault]]-PA[[#This Row],[Fault Time]])*24,"")</f>
        <v>0.16666666666666741</v>
      </c>
      <c r="AH24" s="110" t="s">
        <v>491</v>
      </c>
      <c r="AI24" s="178" t="s">
        <v>422</v>
      </c>
      <c r="AJ24" s="68">
        <f>IFERROR(PA[[#This Row],[Breakdown Time]]*PA[[#This Row],[Plant Equivalent Weightage]],"")</f>
        <v>1.5577857955003337E-5</v>
      </c>
      <c r="AK24" s="117">
        <v>0.17423333333333332</v>
      </c>
      <c r="AL24" s="116">
        <f>IF(PA[[#This Row],[Lost PoA(Wh/m2)]]&gt;0,_xlfn.XLOOKUP($B24,'Daily KPI'!$A:$A,'Daily KPI'!$AE:$AE)*PA[[#This Row],[Lost PoA(Wh/m2)]]*U24,0)</f>
        <v>4.4006628584928977</v>
      </c>
      <c r="AM24" s="176" t="s">
        <v>493</v>
      </c>
    </row>
    <row r="25" spans="1:39" ht="14" customHeight="1">
      <c r="A25" s="177">
        <f t="shared" si="1"/>
        <v>22</v>
      </c>
      <c r="B25" s="185">
        <v>45772</v>
      </c>
      <c r="C25" s="178" t="s">
        <v>477</v>
      </c>
      <c r="D25" s="176">
        <f>YEAR(PA[[#This Row],[Date]])</f>
        <v>2025</v>
      </c>
      <c r="E25" s="178" t="s">
        <v>361</v>
      </c>
      <c r="F25" s="178" t="s">
        <v>361</v>
      </c>
      <c r="G25" s="179">
        <v>45748</v>
      </c>
      <c r="H25" s="176">
        <f>DAY(EOMONTH(PA[[#This Row],[Month Year]],0))</f>
        <v>30</v>
      </c>
      <c r="I25" s="180">
        <f>VLOOKUP(PA[[#This Row],[Date]],Raw_Data[#All],9,0)</f>
        <v>0.26944444444444443</v>
      </c>
      <c r="J25" s="180">
        <f>VLOOKUP(PA[[#This Row],[Date]],Raw_Data[#All],10,0)</f>
        <v>0.7993055555555556</v>
      </c>
      <c r="K25" s="68">
        <f>IFERROR((PA[[#This Row],[Sunset Time (POA&lt;20 W/m2)]]-PA[[#This Row],[Sunrise Time (POA&gt;20 W/m2)]])*24,"")</f>
        <v>12.716666666666667</v>
      </c>
      <c r="L25" s="178" t="s">
        <v>444</v>
      </c>
      <c r="M25" s="178" t="s">
        <v>401</v>
      </c>
      <c r="N25" s="178" t="s">
        <v>402</v>
      </c>
      <c r="O25" s="178" t="s">
        <v>406</v>
      </c>
      <c r="P25" s="178" t="s">
        <v>445</v>
      </c>
      <c r="Q25" s="178"/>
      <c r="R25" s="176">
        <f>IF((PA[[#This Row],[String Type(If String BD)]]&amp;PA[[#This Row],[Equipment (If any BD other than PV  array and inv)]])="",1,0)</f>
        <v>0</v>
      </c>
      <c r="S25" s="6">
        <f>IF(PA[[#This Row],[String Type(If String BD)]]="",1,0)</f>
        <v>0</v>
      </c>
      <c r="T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5" s="68">
        <f>IFERROR(VLOOKUP(PA[[#This Row],[Affected Equipment ]],'Basic Data '!$A$1:$B$1846,2,0),"")</f>
        <v>26.1</v>
      </c>
      <c r="V25" s="143">
        <f>IFERROR(VLOOKUP(PA[[#This Row],[Affected Equipment ]],'Basic Data '!$A$1:$C$1846,3,0),"")</f>
        <v>7.7889289775016346E-5</v>
      </c>
      <c r="W25" s="178" t="s">
        <v>451</v>
      </c>
      <c r="X25" s="110" t="s">
        <v>491</v>
      </c>
      <c r="Y25" s="110" t="s">
        <v>491</v>
      </c>
      <c r="Z25" s="109">
        <v>0.46875</v>
      </c>
      <c r="AA25" s="109">
        <v>0.46875</v>
      </c>
      <c r="AB25" s="109">
        <v>0.46875</v>
      </c>
      <c r="AC25" s="109">
        <v>0.47499999999999998</v>
      </c>
      <c r="AD25" s="82">
        <f>IF(PA[[#This Row],[Acknowledgement Time ]]="NA","",(PA[[#This Row],[Acknowledgement Time ]]-PA[[#This Row],[Fault Time]])*24)</f>
        <v>0</v>
      </c>
      <c r="AE25" s="82">
        <f>IF(PA[[#This Row],[Work Start time on Fault]]="NA","",(PA[[#This Row],[Work Start time on Fault]]-PA[[#This Row],[Fault Time]])*24)</f>
        <v>0</v>
      </c>
      <c r="AF25" s="111">
        <f>IF(PA[[#This Row],[Status]]="Open","",(PA[[#This Row],[Work Completion time on fault]]-PA[[#This Row],[Fault Time]])*24)</f>
        <v>0.14999999999999947</v>
      </c>
      <c r="AG25" s="82">
        <f>IFERROR((PA[[#This Row],[Work Completion time on fault]]-PA[[#This Row],[Fault Time]])*24,"")</f>
        <v>0.14999999999999947</v>
      </c>
      <c r="AH25" s="110" t="s">
        <v>491</v>
      </c>
      <c r="AI25" s="178" t="s">
        <v>422</v>
      </c>
      <c r="AJ25" s="68">
        <f>IFERROR(PA[[#This Row],[Breakdown Time]]*PA[[#This Row],[Plant Equivalent Weightage]],"")</f>
        <v>1.168339346625241E-5</v>
      </c>
      <c r="AK25" s="117">
        <v>0.1633</v>
      </c>
      <c r="AL25" s="116">
        <f>IF(PA[[#This Row],[Lost PoA(Wh/m2)]]&gt;0,_xlfn.XLOOKUP($B25,'Daily KPI'!$A:$A,'Daily KPI'!$AE:$AE)*PA[[#This Row],[Lost PoA(Wh/m2)]]*U25,0)</f>
        <v>3.4370970192839598</v>
      </c>
      <c r="AM25" s="176" t="s">
        <v>493</v>
      </c>
    </row>
    <row r="26" spans="1:39" ht="14" customHeight="1">
      <c r="A26" s="177">
        <f t="shared" si="1"/>
        <v>23</v>
      </c>
      <c r="B26" s="185">
        <v>45772</v>
      </c>
      <c r="C26" s="178" t="s">
        <v>477</v>
      </c>
      <c r="D26" s="176">
        <f>YEAR(PA[[#This Row],[Date]])</f>
        <v>2025</v>
      </c>
      <c r="E26" s="178" t="s">
        <v>361</v>
      </c>
      <c r="F26" s="178" t="s">
        <v>361</v>
      </c>
      <c r="G26" s="179">
        <v>45748</v>
      </c>
      <c r="H26" s="176">
        <f>DAY(EOMONTH(PA[[#This Row],[Month Year]],0))</f>
        <v>30</v>
      </c>
      <c r="I26" s="180">
        <f>VLOOKUP(PA[[#This Row],[Date]],Raw_Data[#All],9,0)</f>
        <v>0.26944444444444443</v>
      </c>
      <c r="J26" s="180">
        <f>VLOOKUP(PA[[#This Row],[Date]],Raw_Data[#All],10,0)</f>
        <v>0.7993055555555556</v>
      </c>
      <c r="K26" s="68">
        <f>IFERROR((PA[[#This Row],[Sunset Time (POA&lt;20 W/m2)]]-PA[[#This Row],[Sunrise Time (POA&gt;20 W/m2)]])*24,"")</f>
        <v>12.716666666666667</v>
      </c>
      <c r="L26" s="178" t="s">
        <v>416</v>
      </c>
      <c r="M26" s="178" t="s">
        <v>394</v>
      </c>
      <c r="N26" s="178" t="s">
        <v>402</v>
      </c>
      <c r="O26" s="178" t="s">
        <v>403</v>
      </c>
      <c r="P26" s="178" t="s">
        <v>448</v>
      </c>
      <c r="Q26" s="178"/>
      <c r="R26" s="176">
        <f>IF((PA[[#This Row],[String Type(If String BD)]]&amp;PA[[#This Row],[Equipment (If any BD other than PV  array and inv)]])="",1,0)</f>
        <v>0</v>
      </c>
      <c r="S26" s="6">
        <f>IF(PA[[#This Row],[String Type(If String BD)]]="",1,0)</f>
        <v>0</v>
      </c>
      <c r="T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6" s="68">
        <f>IFERROR(VLOOKUP(PA[[#This Row],[Affected Equipment ]],'Basic Data '!$A$1:$B$1846,2,0),"")</f>
        <v>31.61</v>
      </c>
      <c r="V26" s="143">
        <f>IFERROR(VLOOKUP(PA[[#This Row],[Affected Equipment ]],'Basic Data '!$A$1:$C$1846,3,0),"")</f>
        <v>9.4332584283075336E-5</v>
      </c>
      <c r="W26" s="178" t="s">
        <v>451</v>
      </c>
      <c r="X26" s="110" t="s">
        <v>491</v>
      </c>
      <c r="Y26" s="110" t="s">
        <v>491</v>
      </c>
      <c r="Z26" s="109">
        <v>0.4777777777777778</v>
      </c>
      <c r="AA26" s="109">
        <v>0.4777777777777778</v>
      </c>
      <c r="AB26" s="109">
        <v>0.4777777777777778</v>
      </c>
      <c r="AC26" s="109">
        <v>0.4861111111111111</v>
      </c>
      <c r="AD26" s="82">
        <f>IF(PA[[#This Row],[Acknowledgement Time ]]="NA","",(PA[[#This Row],[Acknowledgement Time ]]-PA[[#This Row],[Fault Time]])*24)</f>
        <v>0</v>
      </c>
      <c r="AE26" s="82">
        <f>IF(PA[[#This Row],[Work Start time on Fault]]="NA","",(PA[[#This Row],[Work Start time on Fault]]-PA[[#This Row],[Fault Time]])*24)</f>
        <v>0</v>
      </c>
      <c r="AF26" s="111">
        <f>IF(PA[[#This Row],[Status]]="Open","",(PA[[#This Row],[Work Completion time on fault]]-PA[[#This Row],[Fault Time]])*24)</f>
        <v>0.19999999999999929</v>
      </c>
      <c r="AG26" s="82">
        <f>IFERROR((PA[[#This Row],[Work Completion time on fault]]-PA[[#This Row],[Fault Time]])*24,"")</f>
        <v>0.19999999999999929</v>
      </c>
      <c r="AH26" s="110" t="s">
        <v>491</v>
      </c>
      <c r="AI26" s="178" t="s">
        <v>422</v>
      </c>
      <c r="AJ26" s="68">
        <f>IFERROR(PA[[#This Row],[Breakdown Time]]*PA[[#This Row],[Plant Equivalent Weightage]],"")</f>
        <v>1.8866516856615001E-5</v>
      </c>
      <c r="AK26" s="117">
        <v>0.21728333333333333</v>
      </c>
      <c r="AL26" s="116">
        <f>IF(PA[[#This Row],[Lost PoA(Wh/m2)]]&gt;0,_xlfn.XLOOKUP($B26,'Daily KPI'!$A:$A,'Daily KPI'!$AE:$AE)*PA[[#This Row],[Lost PoA(Wh/m2)]]*U26,0)</f>
        <v>5.5388041648002337</v>
      </c>
      <c r="AM26" s="176" t="s">
        <v>493</v>
      </c>
    </row>
    <row r="27" spans="1:39" ht="14" customHeight="1">
      <c r="A27" s="177">
        <f t="shared" si="1"/>
        <v>24</v>
      </c>
      <c r="B27" s="185">
        <v>45772</v>
      </c>
      <c r="C27" s="178" t="s">
        <v>477</v>
      </c>
      <c r="D27" s="176">
        <f>YEAR(PA[[#This Row],[Date]])</f>
        <v>2025</v>
      </c>
      <c r="E27" s="178" t="s">
        <v>361</v>
      </c>
      <c r="F27" s="178" t="s">
        <v>361</v>
      </c>
      <c r="G27" s="179">
        <v>45748</v>
      </c>
      <c r="H27" s="176">
        <f>DAY(EOMONTH(PA[[#This Row],[Month Year]],0))</f>
        <v>30</v>
      </c>
      <c r="I27" s="180">
        <f>VLOOKUP(PA[[#This Row],[Date]],Raw_Data[#All],9,0)</f>
        <v>0.26944444444444443</v>
      </c>
      <c r="J27" s="180">
        <f>VLOOKUP(PA[[#This Row],[Date]],Raw_Data[#All],10,0)</f>
        <v>0.7993055555555556</v>
      </c>
      <c r="K27" s="68">
        <f>IFERROR((PA[[#This Row],[Sunset Time (POA&lt;20 W/m2)]]-PA[[#This Row],[Sunrise Time (POA&gt;20 W/m2)]])*24,"")</f>
        <v>12.716666666666667</v>
      </c>
      <c r="L27" s="178" t="s">
        <v>416</v>
      </c>
      <c r="M27" s="178" t="s">
        <v>408</v>
      </c>
      <c r="N27" s="178" t="s">
        <v>402</v>
      </c>
      <c r="O27" s="178" t="s">
        <v>396</v>
      </c>
      <c r="P27" s="178" t="s">
        <v>448</v>
      </c>
      <c r="Q27" s="178"/>
      <c r="R27" s="176">
        <f>IF((PA[[#This Row],[String Type(If String BD)]]&amp;PA[[#This Row],[Equipment (If any BD other than PV  array and inv)]])="",1,0)</f>
        <v>0</v>
      </c>
      <c r="S27" s="6">
        <f>IF(PA[[#This Row],[String Type(If String BD)]]="",1,0)</f>
        <v>0</v>
      </c>
      <c r="T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7" s="68">
        <f>IFERROR(VLOOKUP(PA[[#This Row],[Affected Equipment ]],'Basic Data '!$A$1:$B$1846,2,0),"")</f>
        <v>31.61</v>
      </c>
      <c r="V27" s="143">
        <f>IFERROR(VLOOKUP(PA[[#This Row],[Affected Equipment ]],'Basic Data '!$A$1:$C$1846,3,0),"")</f>
        <v>9.4332584283075336E-5</v>
      </c>
      <c r="W27" s="178" t="s">
        <v>451</v>
      </c>
      <c r="X27" s="110" t="s">
        <v>491</v>
      </c>
      <c r="Y27" s="110" t="s">
        <v>491</v>
      </c>
      <c r="Z27" s="109">
        <v>0.48749999999999999</v>
      </c>
      <c r="AA27" s="109">
        <v>0.48749999999999999</v>
      </c>
      <c r="AB27" s="109">
        <v>0.48749999999999999</v>
      </c>
      <c r="AC27" s="109">
        <v>0.49513888888888891</v>
      </c>
      <c r="AD27" s="82">
        <f>IF(PA[[#This Row],[Acknowledgement Time ]]="NA","",(PA[[#This Row],[Acknowledgement Time ]]-PA[[#This Row],[Fault Time]])*24)</f>
        <v>0</v>
      </c>
      <c r="AE27" s="82">
        <f>IF(PA[[#This Row],[Work Start time on Fault]]="NA","",(PA[[#This Row],[Work Start time on Fault]]-PA[[#This Row],[Fault Time]])*24)</f>
        <v>0</v>
      </c>
      <c r="AF27" s="111">
        <f>IF(PA[[#This Row],[Status]]="Open","",(PA[[#This Row],[Work Completion time on fault]]-PA[[#This Row],[Fault Time]])*24)</f>
        <v>0.18333333333333401</v>
      </c>
      <c r="AG27" s="82">
        <f>IFERROR((PA[[#This Row],[Work Completion time on fault]]-PA[[#This Row],[Fault Time]])*24,"")</f>
        <v>0.18333333333333401</v>
      </c>
      <c r="AH27" s="110" t="s">
        <v>491</v>
      </c>
      <c r="AI27" s="178" t="s">
        <v>422</v>
      </c>
      <c r="AJ27" s="68">
        <f>IFERROR(PA[[#This Row],[Breakdown Time]]*PA[[#This Row],[Plant Equivalent Weightage]],"")</f>
        <v>1.7294307118563874E-5</v>
      </c>
      <c r="AK27" s="117">
        <v>0.20496666666666666</v>
      </c>
      <c r="AL27" s="116">
        <f>IF(PA[[#This Row],[Lost PoA(Wh/m2)]]&gt;0,_xlfn.XLOOKUP($B27,'Daily KPI'!$A:$A,'Daily KPI'!$AE:$AE)*PA[[#This Row],[Lost PoA(Wh/m2)]]*U27,0)</f>
        <v>5.2248380469980269</v>
      </c>
      <c r="AM27" s="176" t="s">
        <v>493</v>
      </c>
    </row>
    <row r="28" spans="1:39" ht="14" customHeight="1">
      <c r="A28" s="177">
        <f t="shared" si="1"/>
        <v>25</v>
      </c>
      <c r="B28" s="185">
        <v>45772</v>
      </c>
      <c r="C28" s="178" t="s">
        <v>477</v>
      </c>
      <c r="D28" s="176">
        <f>YEAR(PA[[#This Row],[Date]])</f>
        <v>2025</v>
      </c>
      <c r="E28" s="178" t="s">
        <v>361</v>
      </c>
      <c r="F28" s="178" t="s">
        <v>361</v>
      </c>
      <c r="G28" s="179">
        <v>45748</v>
      </c>
      <c r="H28" s="176">
        <f>DAY(EOMONTH(PA[[#This Row],[Month Year]],0))</f>
        <v>30</v>
      </c>
      <c r="I28" s="180">
        <f>VLOOKUP(PA[[#This Row],[Date]],Raw_Data[#All],9,0)</f>
        <v>0.26944444444444443</v>
      </c>
      <c r="J28" s="180">
        <f>VLOOKUP(PA[[#This Row],[Date]],Raw_Data[#All],10,0)</f>
        <v>0.7993055555555556</v>
      </c>
      <c r="K28" s="68">
        <f>IFERROR((PA[[#This Row],[Sunset Time (POA&lt;20 W/m2)]]-PA[[#This Row],[Sunrise Time (POA&gt;20 W/m2)]])*24,"")</f>
        <v>12.716666666666667</v>
      </c>
      <c r="L28" s="178" t="s">
        <v>416</v>
      </c>
      <c r="M28" s="178" t="s">
        <v>414</v>
      </c>
      <c r="N28" s="178" t="s">
        <v>402</v>
      </c>
      <c r="O28" s="178" t="s">
        <v>417</v>
      </c>
      <c r="P28" s="178" t="s">
        <v>448</v>
      </c>
      <c r="Q28" s="178"/>
      <c r="R28" s="176">
        <f>IF((PA[[#This Row],[String Type(If String BD)]]&amp;PA[[#This Row],[Equipment (If any BD other than PV  array and inv)]])="",1,0)</f>
        <v>0</v>
      </c>
      <c r="S28" s="6">
        <f>IF(PA[[#This Row],[String Type(If String BD)]]="",1,0)</f>
        <v>0</v>
      </c>
      <c r="T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8" s="68">
        <f>IFERROR(VLOOKUP(PA[[#This Row],[Affected Equipment ]],'Basic Data '!$A$1:$B$1846,2,0),"")</f>
        <v>31.61</v>
      </c>
      <c r="V28" s="143">
        <f>IFERROR(VLOOKUP(PA[[#This Row],[Affected Equipment ]],'Basic Data '!$A$1:$C$1846,3,0),"")</f>
        <v>9.4332584283075336E-5</v>
      </c>
      <c r="W28" s="178" t="s">
        <v>451</v>
      </c>
      <c r="X28" s="110" t="s">
        <v>491</v>
      </c>
      <c r="Y28" s="110" t="s">
        <v>491</v>
      </c>
      <c r="Z28" s="109">
        <v>0.49791666666666667</v>
      </c>
      <c r="AA28" s="109">
        <v>0.49791666666666667</v>
      </c>
      <c r="AB28" s="109">
        <v>0.49791666666666667</v>
      </c>
      <c r="AC28" s="109">
        <v>0.50486111111111109</v>
      </c>
      <c r="AD28" s="82">
        <f>IF(PA[[#This Row],[Acknowledgement Time ]]="NA","",(PA[[#This Row],[Acknowledgement Time ]]-PA[[#This Row],[Fault Time]])*24)</f>
        <v>0</v>
      </c>
      <c r="AE28" s="82">
        <f>IF(PA[[#This Row],[Work Start time on Fault]]="NA","",(PA[[#This Row],[Work Start time on Fault]]-PA[[#This Row],[Fault Time]])*24)</f>
        <v>0</v>
      </c>
      <c r="AF28" s="111">
        <f>IF(PA[[#This Row],[Status]]="Open","",(PA[[#This Row],[Work Completion time on fault]]-PA[[#This Row],[Fault Time]])*24)</f>
        <v>0.16666666666666607</v>
      </c>
      <c r="AG28" s="82">
        <f>IFERROR((PA[[#This Row],[Work Completion time on fault]]-PA[[#This Row],[Fault Time]])*24,"")</f>
        <v>0.16666666666666607</v>
      </c>
      <c r="AH28" s="110" t="s">
        <v>491</v>
      </c>
      <c r="AI28" s="178" t="s">
        <v>422</v>
      </c>
      <c r="AJ28" s="68">
        <f>IFERROR(PA[[#This Row],[Breakdown Time]]*PA[[#This Row],[Plant Equivalent Weightage]],"")</f>
        <v>1.5722097380512501E-5</v>
      </c>
      <c r="AK28" s="117">
        <v>0.19011666666666666</v>
      </c>
      <c r="AL28" s="116">
        <f>IF(PA[[#This Row],[Lost PoA(Wh/m2)]]&gt;0,_xlfn.XLOOKUP($B28,'Daily KPI'!$A:$A,'Daily KPI'!$AE:$AE)*PA[[#This Row],[Lost PoA(Wh/m2)]]*U28,0)</f>
        <v>4.8462943244516579</v>
      </c>
      <c r="AM28" s="176" t="s">
        <v>493</v>
      </c>
    </row>
    <row r="29" spans="1:39" ht="14" customHeight="1">
      <c r="A29" s="177">
        <f t="shared" si="1"/>
        <v>26</v>
      </c>
      <c r="B29" s="185">
        <v>45772</v>
      </c>
      <c r="C29" s="178" t="s">
        <v>477</v>
      </c>
      <c r="D29" s="176">
        <f>YEAR(PA[[#This Row],[Date]])</f>
        <v>2025</v>
      </c>
      <c r="E29" s="178" t="s">
        <v>361</v>
      </c>
      <c r="F29" s="178" t="s">
        <v>361</v>
      </c>
      <c r="G29" s="179">
        <v>45748</v>
      </c>
      <c r="H29" s="176">
        <f>DAY(EOMONTH(PA[[#This Row],[Month Year]],0))</f>
        <v>30</v>
      </c>
      <c r="I29" s="180">
        <f>VLOOKUP(PA[[#This Row],[Date]],Raw_Data[#All],9,0)</f>
        <v>0.26944444444444443</v>
      </c>
      <c r="J29" s="180">
        <f>VLOOKUP(PA[[#This Row],[Date]],Raw_Data[#All],10,0)</f>
        <v>0.7993055555555556</v>
      </c>
      <c r="K29" s="68">
        <f>IFERROR((PA[[#This Row],[Sunset Time (POA&lt;20 W/m2)]]-PA[[#This Row],[Sunrise Time (POA&gt;20 W/m2)]])*24,"")</f>
        <v>12.716666666666667</v>
      </c>
      <c r="L29" s="178" t="s">
        <v>416</v>
      </c>
      <c r="M29" s="178" t="s">
        <v>401</v>
      </c>
      <c r="N29" s="178" t="s">
        <v>402</v>
      </c>
      <c r="O29" s="178" t="s">
        <v>406</v>
      </c>
      <c r="P29" s="178" t="s">
        <v>448</v>
      </c>
      <c r="Q29" s="178"/>
      <c r="R29" s="176">
        <f>IF((PA[[#This Row],[String Type(If String BD)]]&amp;PA[[#This Row],[Equipment (If any BD other than PV  array and inv)]])="",1,0)</f>
        <v>0</v>
      </c>
      <c r="S29" s="6">
        <f>IF(PA[[#This Row],[String Type(If String BD)]]="",1,0)</f>
        <v>0</v>
      </c>
      <c r="T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9" s="68">
        <f>IFERROR(VLOOKUP(PA[[#This Row],[Affected Equipment ]],'Basic Data '!$A$1:$B$1846,2,0),"")</f>
        <v>31.61</v>
      </c>
      <c r="V29" s="143">
        <f>IFERROR(VLOOKUP(PA[[#This Row],[Affected Equipment ]],'Basic Data '!$A$1:$C$1846,3,0),"")</f>
        <v>9.4332584283075336E-5</v>
      </c>
      <c r="W29" s="178" t="s">
        <v>451</v>
      </c>
      <c r="X29" s="110" t="s">
        <v>491</v>
      </c>
      <c r="Y29" s="110" t="s">
        <v>491</v>
      </c>
      <c r="Z29" s="109">
        <v>0.50972222222222219</v>
      </c>
      <c r="AA29" s="109">
        <v>0.50972222222222219</v>
      </c>
      <c r="AB29" s="109">
        <v>0.50972222222222219</v>
      </c>
      <c r="AC29" s="109">
        <v>0.51736111111111116</v>
      </c>
      <c r="AD29" s="82">
        <f>IF(PA[[#This Row],[Acknowledgement Time ]]="NA","",(PA[[#This Row],[Acknowledgement Time ]]-PA[[#This Row],[Fault Time]])*24)</f>
        <v>0</v>
      </c>
      <c r="AE29" s="82">
        <f>IF(PA[[#This Row],[Work Start time on Fault]]="NA","",(PA[[#This Row],[Work Start time on Fault]]-PA[[#This Row],[Fault Time]])*24)</f>
        <v>0</v>
      </c>
      <c r="AF29" s="111">
        <f>IF(PA[[#This Row],[Status]]="Open","",(PA[[#This Row],[Work Completion time on fault]]-PA[[#This Row],[Fault Time]])*24)</f>
        <v>0.18333333333333535</v>
      </c>
      <c r="AG29" s="82">
        <f>IFERROR((PA[[#This Row],[Work Completion time on fault]]-PA[[#This Row],[Fault Time]])*24,"")</f>
        <v>0.18333333333333535</v>
      </c>
      <c r="AH29" s="110" t="s">
        <v>491</v>
      </c>
      <c r="AI29" s="178" t="s">
        <v>422</v>
      </c>
      <c r="AJ29" s="68">
        <f>IFERROR(PA[[#This Row],[Breakdown Time]]*PA[[#This Row],[Plant Equivalent Weightage]],"")</f>
        <v>1.7294307118564003E-5</v>
      </c>
      <c r="AK29" s="117">
        <v>0.20878333333333332</v>
      </c>
      <c r="AL29" s="116">
        <f>IF(PA[[#This Row],[Lost PoA(Wh/m2)]]&gt;0,_xlfn.XLOOKUP($B29,'Daily KPI'!$A:$A,'Daily KPI'!$AE:$AE)*PA[[#This Row],[Lost PoA(Wh/m2)]]*U29,0)</f>
        <v>5.3221293067770601</v>
      </c>
      <c r="AM29" s="176" t="s">
        <v>493</v>
      </c>
    </row>
    <row r="30" spans="1:39" ht="14" customHeight="1">
      <c r="A30" s="177">
        <f t="shared" si="1"/>
        <v>27</v>
      </c>
      <c r="B30" s="185">
        <v>45772</v>
      </c>
      <c r="C30" s="178" t="s">
        <v>477</v>
      </c>
      <c r="D30" s="176">
        <f>YEAR(PA[[#This Row],[Date]])</f>
        <v>2025</v>
      </c>
      <c r="E30" s="178" t="s">
        <v>361</v>
      </c>
      <c r="F30" s="178" t="s">
        <v>361</v>
      </c>
      <c r="G30" s="179">
        <v>45748</v>
      </c>
      <c r="H30" s="176">
        <f>DAY(EOMONTH(PA[[#This Row],[Month Year]],0))</f>
        <v>30</v>
      </c>
      <c r="I30" s="180">
        <f>VLOOKUP(PA[[#This Row],[Date]],Raw_Data[#All],9,0)</f>
        <v>0.26944444444444443</v>
      </c>
      <c r="J30" s="180">
        <f>VLOOKUP(PA[[#This Row],[Date]],Raw_Data[#All],10,0)</f>
        <v>0.7993055555555556</v>
      </c>
      <c r="K30" s="68">
        <f>IFERROR((PA[[#This Row],[Sunset Time (POA&lt;20 W/m2)]]-PA[[#This Row],[Sunrise Time (POA&gt;20 W/m2)]])*24,"")</f>
        <v>12.716666666666667</v>
      </c>
      <c r="L30" s="178" t="s">
        <v>434</v>
      </c>
      <c r="M30" s="178" t="s">
        <v>394</v>
      </c>
      <c r="N30" s="178" t="s">
        <v>395</v>
      </c>
      <c r="O30" s="178" t="s">
        <v>406</v>
      </c>
      <c r="P30" s="178" t="s">
        <v>404</v>
      </c>
      <c r="Q30" s="178"/>
      <c r="R30" s="176">
        <f>IF((PA[[#This Row],[String Type(If String BD)]]&amp;PA[[#This Row],[Equipment (If any BD other than PV  array and inv)]])="",1,0)</f>
        <v>0</v>
      </c>
      <c r="S30" s="6">
        <f>IF(PA[[#This Row],[String Type(If String BD)]]="",1,0)</f>
        <v>0</v>
      </c>
      <c r="T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0" s="68">
        <f>IFERROR(VLOOKUP(PA[[#This Row],[Affected Equipment ]],'Basic Data '!$A$1:$B$1846,2,0),"")</f>
        <v>31.32</v>
      </c>
      <c r="V30" s="143">
        <f>IFERROR(VLOOKUP(PA[[#This Row],[Affected Equipment ]],'Basic Data '!$A$1:$C$1846,3,0),"")</f>
        <v>9.3467147730019601E-5</v>
      </c>
      <c r="W30" s="178" t="s">
        <v>451</v>
      </c>
      <c r="X30" s="110" t="s">
        <v>491</v>
      </c>
      <c r="Y30" s="110" t="s">
        <v>491</v>
      </c>
      <c r="Z30" s="109">
        <v>0.52430555555555558</v>
      </c>
      <c r="AA30" s="109">
        <v>0.52430555555555558</v>
      </c>
      <c r="AB30" s="109">
        <v>0.52430555555555558</v>
      </c>
      <c r="AC30" s="109">
        <v>0.53055555555555556</v>
      </c>
      <c r="AD30" s="82">
        <f>IF(PA[[#This Row],[Acknowledgement Time ]]="NA","",(PA[[#This Row],[Acknowledgement Time ]]-PA[[#This Row],[Fault Time]])*24)</f>
        <v>0</v>
      </c>
      <c r="AE30" s="82">
        <f>IF(PA[[#This Row],[Work Start time on Fault]]="NA","",(PA[[#This Row],[Work Start time on Fault]]-PA[[#This Row],[Fault Time]])*24)</f>
        <v>0</v>
      </c>
      <c r="AF30" s="111">
        <f>IF(PA[[#This Row],[Status]]="Open","",(PA[[#This Row],[Work Completion time on fault]]-PA[[#This Row],[Fault Time]])*24)</f>
        <v>0.14999999999999947</v>
      </c>
      <c r="AG30" s="82">
        <f>IFERROR((PA[[#This Row],[Work Completion time on fault]]-PA[[#This Row],[Fault Time]])*24,"")</f>
        <v>0.14999999999999947</v>
      </c>
      <c r="AH30" s="110" t="s">
        <v>491</v>
      </c>
      <c r="AI30" s="178" t="s">
        <v>422</v>
      </c>
      <c r="AJ30" s="68">
        <f>IFERROR(PA[[#This Row],[Breakdown Time]]*PA[[#This Row],[Plant Equivalent Weightage]],"")</f>
        <v>1.402007215950289E-5</v>
      </c>
      <c r="AK30" s="117">
        <v>0.17405000000000001</v>
      </c>
      <c r="AL30" s="116">
        <f>IF(PA[[#This Row],[Lost PoA(Wh/m2)]]&gt;0,_xlfn.XLOOKUP($B30,'Daily KPI'!$A:$A,'Daily KPI'!$AE:$AE)*PA[[#This Row],[Lost PoA(Wh/m2)]]*U30,0)</f>
        <v>4.3960323542415658</v>
      </c>
      <c r="AM30" s="176" t="s">
        <v>493</v>
      </c>
    </row>
    <row r="31" spans="1:39" ht="14" customHeight="1">
      <c r="A31" s="177">
        <f t="shared" si="1"/>
        <v>28</v>
      </c>
      <c r="B31" s="185">
        <v>45772</v>
      </c>
      <c r="C31" s="178" t="s">
        <v>477</v>
      </c>
      <c r="D31" s="176">
        <f>YEAR(PA[[#This Row],[Date]])</f>
        <v>2025</v>
      </c>
      <c r="E31" s="178" t="s">
        <v>361</v>
      </c>
      <c r="F31" s="178" t="s">
        <v>361</v>
      </c>
      <c r="G31" s="179">
        <v>45748</v>
      </c>
      <c r="H31" s="176">
        <f>DAY(EOMONTH(PA[[#This Row],[Month Year]],0))</f>
        <v>30</v>
      </c>
      <c r="I31" s="180">
        <f>VLOOKUP(PA[[#This Row],[Date]],Raw_Data[#All],9,0)</f>
        <v>0.26944444444444443</v>
      </c>
      <c r="J31" s="180">
        <f>VLOOKUP(PA[[#This Row],[Date]],Raw_Data[#All],10,0)</f>
        <v>0.7993055555555556</v>
      </c>
      <c r="K31" s="68">
        <f>IFERROR((PA[[#This Row],[Sunset Time (POA&lt;20 W/m2)]]-PA[[#This Row],[Sunrise Time (POA&gt;20 W/m2)]])*24,"")</f>
        <v>12.716666666666667</v>
      </c>
      <c r="L31" s="178" t="s">
        <v>434</v>
      </c>
      <c r="M31" s="178" t="s">
        <v>408</v>
      </c>
      <c r="N31" s="178" t="s">
        <v>402</v>
      </c>
      <c r="O31" s="178" t="s">
        <v>417</v>
      </c>
      <c r="P31" s="178" t="s">
        <v>404</v>
      </c>
      <c r="Q31" s="178"/>
      <c r="R31" s="176">
        <f>IF((PA[[#This Row],[String Type(If String BD)]]&amp;PA[[#This Row],[Equipment (If any BD other than PV  array and inv)]])="",1,0)</f>
        <v>0</v>
      </c>
      <c r="S31" s="6">
        <f>IF(PA[[#This Row],[String Type(If String BD)]]="",1,0)</f>
        <v>0</v>
      </c>
      <c r="T3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1" s="68">
        <f>IFERROR(VLOOKUP(PA[[#This Row],[Affected Equipment ]],'Basic Data '!$A$1:$B$1846,2,0),"")</f>
        <v>31.32</v>
      </c>
      <c r="V31" s="143">
        <f>IFERROR(VLOOKUP(PA[[#This Row],[Affected Equipment ]],'Basic Data '!$A$1:$C$1846,3,0),"")</f>
        <v>9.3467147730019601E-5</v>
      </c>
      <c r="W31" s="178" t="s">
        <v>451</v>
      </c>
      <c r="X31" s="110" t="s">
        <v>491</v>
      </c>
      <c r="Y31" s="110" t="s">
        <v>491</v>
      </c>
      <c r="Z31" s="109">
        <v>0.53263888888888888</v>
      </c>
      <c r="AA31" s="109">
        <v>0.53263888888888888</v>
      </c>
      <c r="AB31" s="109">
        <v>0.53263888888888888</v>
      </c>
      <c r="AC31" s="109">
        <v>0.54097222222222219</v>
      </c>
      <c r="AD31" s="82">
        <f>IF(PA[[#This Row],[Acknowledgement Time ]]="NA","",(PA[[#This Row],[Acknowledgement Time ]]-PA[[#This Row],[Fault Time]])*24)</f>
        <v>0</v>
      </c>
      <c r="AE31" s="82">
        <f>IF(PA[[#This Row],[Work Start time on Fault]]="NA","",(PA[[#This Row],[Work Start time on Fault]]-PA[[#This Row],[Fault Time]])*24)</f>
        <v>0</v>
      </c>
      <c r="AF31" s="111">
        <f>IF(PA[[#This Row],[Status]]="Open","",(PA[[#This Row],[Work Completion time on fault]]-PA[[#This Row],[Fault Time]])*24)</f>
        <v>0.19999999999999929</v>
      </c>
      <c r="AG31" s="82">
        <f>IFERROR((PA[[#This Row],[Work Completion time on fault]]-PA[[#This Row],[Fault Time]])*24,"")</f>
        <v>0.19999999999999929</v>
      </c>
      <c r="AH31" s="110" t="s">
        <v>491</v>
      </c>
      <c r="AI31" s="178" t="s">
        <v>422</v>
      </c>
      <c r="AJ31" s="68">
        <f>IFERROR(PA[[#This Row],[Breakdown Time]]*PA[[#This Row],[Plant Equivalent Weightage]],"")</f>
        <v>1.8693429546003854E-5</v>
      </c>
      <c r="AK31" s="117">
        <v>0.22575000000000001</v>
      </c>
      <c r="AL31" s="116">
        <f>IF(PA[[#This Row],[Lost PoA(Wh/m2)]]&gt;0,_xlfn.XLOOKUP($B31,'Daily KPI'!$A:$A,'Daily KPI'!$AE:$AE)*PA[[#This Row],[Lost PoA(Wh/m2)]]*U31,0)</f>
        <v>5.7018345531171128</v>
      </c>
      <c r="AM31" s="176" t="s">
        <v>493</v>
      </c>
    </row>
    <row r="32" spans="1:39" ht="14" customHeight="1">
      <c r="A32" s="177">
        <f t="shared" si="1"/>
        <v>29</v>
      </c>
      <c r="B32" s="185">
        <v>45772</v>
      </c>
      <c r="C32" s="178" t="s">
        <v>477</v>
      </c>
      <c r="D32" s="176">
        <f>YEAR(PA[[#This Row],[Date]])</f>
        <v>2025</v>
      </c>
      <c r="E32" s="178" t="s">
        <v>361</v>
      </c>
      <c r="F32" s="178" t="s">
        <v>361</v>
      </c>
      <c r="G32" s="179">
        <v>45748</v>
      </c>
      <c r="H32" s="176">
        <f>DAY(EOMONTH(PA[[#This Row],[Month Year]],0))</f>
        <v>30</v>
      </c>
      <c r="I32" s="180">
        <f>VLOOKUP(PA[[#This Row],[Date]],Raw_Data[#All],9,0)</f>
        <v>0.26944444444444443</v>
      </c>
      <c r="J32" s="180">
        <f>VLOOKUP(PA[[#This Row],[Date]],Raw_Data[#All],10,0)</f>
        <v>0.7993055555555556</v>
      </c>
      <c r="K32" s="68">
        <f>IFERROR((PA[[#This Row],[Sunset Time (POA&lt;20 W/m2)]]-PA[[#This Row],[Sunrise Time (POA&gt;20 W/m2)]])*24,"")</f>
        <v>12.716666666666667</v>
      </c>
      <c r="L32" s="178" t="s">
        <v>434</v>
      </c>
      <c r="M32" s="178" t="s">
        <v>414</v>
      </c>
      <c r="N32" s="178" t="s">
        <v>395</v>
      </c>
      <c r="O32" s="178" t="s">
        <v>412</v>
      </c>
      <c r="P32" s="178" t="s">
        <v>404</v>
      </c>
      <c r="Q32" s="178"/>
      <c r="R32" s="176">
        <f>IF((PA[[#This Row],[String Type(If String BD)]]&amp;PA[[#This Row],[Equipment (If any BD other than PV  array and inv)]])="",1,0)</f>
        <v>0</v>
      </c>
      <c r="S32" s="6">
        <f>IF(PA[[#This Row],[String Type(If String BD)]]="",1,0)</f>
        <v>0</v>
      </c>
      <c r="T3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2" s="68">
        <f>IFERROR(VLOOKUP(PA[[#This Row],[Affected Equipment ]],'Basic Data '!$A$1:$B$1846,2,0),"")</f>
        <v>31.32</v>
      </c>
      <c r="V32" s="143">
        <f>IFERROR(VLOOKUP(PA[[#This Row],[Affected Equipment ]],'Basic Data '!$A$1:$C$1846,3,0),"")</f>
        <v>9.3467147730019601E-5</v>
      </c>
      <c r="W32" s="178" t="s">
        <v>451</v>
      </c>
      <c r="X32" s="110" t="s">
        <v>491</v>
      </c>
      <c r="Y32" s="110" t="s">
        <v>491</v>
      </c>
      <c r="Z32" s="109">
        <v>0.54583333333333328</v>
      </c>
      <c r="AA32" s="109">
        <v>0.54583333333333328</v>
      </c>
      <c r="AB32" s="109">
        <v>0.54583333333333328</v>
      </c>
      <c r="AC32" s="109">
        <v>0.55208333333333337</v>
      </c>
      <c r="AD32" s="82">
        <f>IF(PA[[#This Row],[Acknowledgement Time ]]="NA","",(PA[[#This Row],[Acknowledgement Time ]]-PA[[#This Row],[Fault Time]])*24)</f>
        <v>0</v>
      </c>
      <c r="AE32" s="82">
        <f>IF(PA[[#This Row],[Work Start time on Fault]]="NA","",(PA[[#This Row],[Work Start time on Fault]]-PA[[#This Row],[Fault Time]])*24)</f>
        <v>0</v>
      </c>
      <c r="AF32" s="111">
        <f>IF(PA[[#This Row],[Status]]="Open","",(PA[[#This Row],[Work Completion time on fault]]-PA[[#This Row],[Fault Time]])*24)</f>
        <v>0.15000000000000213</v>
      </c>
      <c r="AG32" s="82">
        <f>IFERROR((PA[[#This Row],[Work Completion time on fault]]-PA[[#This Row],[Fault Time]])*24,"")</f>
        <v>0.15000000000000213</v>
      </c>
      <c r="AH32" s="110" t="s">
        <v>491</v>
      </c>
      <c r="AI32" s="178" t="s">
        <v>422</v>
      </c>
      <c r="AJ32" s="68">
        <f>IFERROR(PA[[#This Row],[Breakdown Time]]*PA[[#This Row],[Plant Equivalent Weightage]],"")</f>
        <v>1.4020072159503139E-5</v>
      </c>
      <c r="AK32" s="117">
        <v>0.17206666666666667</v>
      </c>
      <c r="AL32" s="116">
        <f>IF(PA[[#This Row],[Lost PoA(Wh/m2)]]&gt;0,_xlfn.XLOOKUP($B32,'Daily KPI'!$A:$A,'Daily KPI'!$AE:$AE)*PA[[#This Row],[Lost PoA(Wh/m2)]]*U32,0)</f>
        <v>4.345938717340796</v>
      </c>
      <c r="AM32" s="176" t="s">
        <v>493</v>
      </c>
    </row>
    <row r="33" spans="1:39" ht="14" customHeight="1">
      <c r="A33" s="177">
        <f t="shared" si="1"/>
        <v>30</v>
      </c>
      <c r="B33" s="185">
        <v>45772</v>
      </c>
      <c r="C33" s="178" t="s">
        <v>477</v>
      </c>
      <c r="D33" s="176">
        <f>YEAR(PA[[#This Row],[Date]])</f>
        <v>2025</v>
      </c>
      <c r="E33" s="178" t="s">
        <v>361</v>
      </c>
      <c r="F33" s="178" t="s">
        <v>361</v>
      </c>
      <c r="G33" s="179">
        <v>45748</v>
      </c>
      <c r="H33" s="176">
        <f>DAY(EOMONTH(PA[[#This Row],[Month Year]],0))</f>
        <v>30</v>
      </c>
      <c r="I33" s="180">
        <f>VLOOKUP(PA[[#This Row],[Date]],Raw_Data[#All],9,0)</f>
        <v>0.26944444444444443</v>
      </c>
      <c r="J33" s="180">
        <f>VLOOKUP(PA[[#This Row],[Date]],Raw_Data[#All],10,0)</f>
        <v>0.7993055555555556</v>
      </c>
      <c r="K33" s="68">
        <f>IFERROR((PA[[#This Row],[Sunset Time (POA&lt;20 W/m2)]]-PA[[#This Row],[Sunrise Time (POA&gt;20 W/m2)]])*24,"")</f>
        <v>12.716666666666667</v>
      </c>
      <c r="L33" s="178" t="s">
        <v>434</v>
      </c>
      <c r="M33" s="178" t="s">
        <v>401</v>
      </c>
      <c r="N33" s="178" t="s">
        <v>402</v>
      </c>
      <c r="O33" s="178" t="s">
        <v>409</v>
      </c>
      <c r="P33" s="178" t="s">
        <v>404</v>
      </c>
      <c r="Q33" s="178"/>
      <c r="R33" s="176">
        <f>IF((PA[[#This Row],[String Type(If String BD)]]&amp;PA[[#This Row],[Equipment (If any BD other than PV  array and inv)]])="",1,0)</f>
        <v>0</v>
      </c>
      <c r="S33" s="6">
        <f>IF(PA[[#This Row],[String Type(If String BD)]]="",1,0)</f>
        <v>0</v>
      </c>
      <c r="T3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3" s="68">
        <f>IFERROR(VLOOKUP(PA[[#This Row],[Affected Equipment ]],'Basic Data '!$A$1:$B$1846,2,0),"")</f>
        <v>31.32</v>
      </c>
      <c r="V33" s="143">
        <f>IFERROR(VLOOKUP(PA[[#This Row],[Affected Equipment ]],'Basic Data '!$A$1:$C$1846,3,0),"")</f>
        <v>9.3467147730019601E-5</v>
      </c>
      <c r="W33" s="178" t="s">
        <v>451</v>
      </c>
      <c r="X33" s="110" t="s">
        <v>491</v>
      </c>
      <c r="Y33" s="110" t="s">
        <v>491</v>
      </c>
      <c r="Z33" s="109">
        <v>0.5541666666666667</v>
      </c>
      <c r="AA33" s="109">
        <v>0.5541666666666667</v>
      </c>
      <c r="AB33" s="109">
        <v>0.5541666666666667</v>
      </c>
      <c r="AC33" s="109">
        <v>0.56180555555555556</v>
      </c>
      <c r="AD33" s="82">
        <f>IF(PA[[#This Row],[Acknowledgement Time ]]="NA","",(PA[[#This Row],[Acknowledgement Time ]]-PA[[#This Row],[Fault Time]])*24)</f>
        <v>0</v>
      </c>
      <c r="AE33" s="82">
        <f>IF(PA[[#This Row],[Work Start time on Fault]]="NA","",(PA[[#This Row],[Work Start time on Fault]]-PA[[#This Row],[Fault Time]])*24)</f>
        <v>0</v>
      </c>
      <c r="AF33" s="111">
        <f>IF(PA[[#This Row],[Status]]="Open","",(PA[[#This Row],[Work Completion time on fault]]-PA[[#This Row],[Fault Time]])*24)</f>
        <v>0.18333333333333268</v>
      </c>
      <c r="AG33" s="82">
        <f>IFERROR((PA[[#This Row],[Work Completion time on fault]]-PA[[#This Row],[Fault Time]])*24,"")</f>
        <v>0.18333333333333268</v>
      </c>
      <c r="AH33" s="110" t="s">
        <v>491</v>
      </c>
      <c r="AI33" s="178" t="s">
        <v>422</v>
      </c>
      <c r="AJ33" s="68">
        <f>IFERROR(PA[[#This Row],[Breakdown Time]]*PA[[#This Row],[Plant Equivalent Weightage]],"")</f>
        <v>1.7135643750503531E-5</v>
      </c>
      <c r="AK33" s="117">
        <v>0.20536666666666667</v>
      </c>
      <c r="AL33" s="116">
        <f>IF(PA[[#This Row],[Lost PoA(Wh/m2)]]&gt;0,_xlfn.XLOOKUP($B33,'Daily KPI'!$A:$A,'Daily KPI'!$AE:$AE)*PA[[#This Row],[Lost PoA(Wh/m2)]]*U33,0)</f>
        <v>5.1870066713554133</v>
      </c>
      <c r="AM33" s="176" t="s">
        <v>493</v>
      </c>
    </row>
    <row r="34" spans="1:39" ht="14" customHeight="1">
      <c r="A34" s="177">
        <f t="shared" si="1"/>
        <v>31</v>
      </c>
      <c r="B34" s="185">
        <v>45773</v>
      </c>
      <c r="C34" s="178" t="s">
        <v>477</v>
      </c>
      <c r="D34" s="176">
        <f>YEAR(PA[[#This Row],[Date]])</f>
        <v>2025</v>
      </c>
      <c r="E34" s="178" t="s">
        <v>361</v>
      </c>
      <c r="F34" s="178" t="s">
        <v>361</v>
      </c>
      <c r="G34" s="179">
        <v>45748</v>
      </c>
      <c r="H34" s="176">
        <f>DAY(EOMONTH(PA[[#This Row],[Month Year]],0))</f>
        <v>30</v>
      </c>
      <c r="I34" s="180">
        <f>VLOOKUP(PA[[#This Row],[Date]],Raw_Data[#All],9,0)</f>
        <v>0.26874999999999999</v>
      </c>
      <c r="J34" s="180">
        <f>VLOOKUP(PA[[#This Row],[Date]],Raw_Data[#All],10,0)</f>
        <v>0.8041666666666667</v>
      </c>
      <c r="K34" s="181">
        <f>IFERROR((PA[[#This Row],[Sunset Time (POA&lt;20 W/m2)]]-PA[[#This Row],[Sunrise Time (POA&gt;20 W/m2)]])*24,"")</f>
        <v>12.85</v>
      </c>
      <c r="L34" s="178" t="s">
        <v>407</v>
      </c>
      <c r="M34" s="178"/>
      <c r="N34" s="178"/>
      <c r="O34" s="178"/>
      <c r="P34" s="178"/>
      <c r="Q34" s="178" t="s">
        <v>420</v>
      </c>
      <c r="R34" s="176">
        <f>IF((PA[[#This Row],[String Type(If String BD)]]&amp;PA[[#This Row],[Equipment (If any BD other than PV  array and inv)]])="",1,0)</f>
        <v>0</v>
      </c>
      <c r="S34" s="176">
        <f>IF(PA[[#This Row],[String Type(If String BD)]]="",1,0)</f>
        <v>1</v>
      </c>
      <c r="T3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34" s="181">
        <f>IFERROR(VLOOKUP(PA[[#This Row],[Affected Equipment ]],'Basic Data '!$A$1:$B$1846,2,0),"")</f>
        <v>17570.52</v>
      </c>
      <c r="V34" s="182">
        <f>IFERROR(VLOOKUP(PA[[#This Row],[Affected Equipment ]],'Basic Data '!$A$1:$C$1846,3,0),"")</f>
        <v>5.2435069876541E-2</v>
      </c>
      <c r="W34" s="178" t="s">
        <v>421</v>
      </c>
      <c r="X34" s="183" t="s">
        <v>494</v>
      </c>
      <c r="Y34" s="183" t="s">
        <v>495</v>
      </c>
      <c r="Z34" s="109">
        <v>0.52708333333333335</v>
      </c>
      <c r="AA34" s="109">
        <v>0.52708333333333335</v>
      </c>
      <c r="AB34" s="109">
        <v>0.55000000000000004</v>
      </c>
      <c r="AC34" s="109">
        <v>0.8041666666666667</v>
      </c>
      <c r="AD34" s="82">
        <f>IF(PA[[#This Row],[Acknowledgement Time ]]="NA","",(PA[[#This Row],[Acknowledgement Time ]]-PA[[#This Row],[Fault Time]])*24)</f>
        <v>0</v>
      </c>
      <c r="AE34" s="82">
        <f>IF(PA[[#This Row],[Work Start time on Fault]]="NA","",(PA[[#This Row],[Work Start time on Fault]]-PA[[#This Row],[Fault Time]])*24)</f>
        <v>0.55000000000000071</v>
      </c>
      <c r="AF34" s="111">
        <f>IF(PA[[#This Row],[Status]]="Open","",(PA[[#This Row],[Work Completion time on fault]]-PA[[#This Row],[Fault Time]])*24)</f>
        <v>6.65</v>
      </c>
      <c r="AG34" s="82">
        <f>IFERROR((PA[[#This Row],[Work Completion time on fault]]-PA[[#This Row],[Fault Time]])*24,"")</f>
        <v>6.65</v>
      </c>
      <c r="AH34" s="184" t="s">
        <v>476</v>
      </c>
      <c r="AI34" s="178" t="s">
        <v>422</v>
      </c>
      <c r="AJ34" s="181">
        <f>IFERROR(PA[[#This Row],[Breakdown Time]]*PA[[#This Row],[Plant Equivalent Weightage]],"")</f>
        <v>0.34869321467899766</v>
      </c>
      <c r="AK34" s="117">
        <v>3.9096975500000002</v>
      </c>
      <c r="AL34" s="220">
        <f>IF(PA[[#This Row],[Lost PoA(Wh/m2)]]&gt;0,_xlfn.XLOOKUP($B34,'Daily KPI'!$A:$A,'Daily KPI'!$AE:$AE)*PA[[#This Row],[Lost PoA(Wh/m2)]]*U34,0)</f>
        <v>55397.845647690498</v>
      </c>
      <c r="AM34" s="176" t="s">
        <v>496</v>
      </c>
    </row>
    <row r="35" spans="1:39" ht="14" customHeight="1">
      <c r="A35" s="177">
        <f t="shared" si="1"/>
        <v>32</v>
      </c>
      <c r="B35" s="185">
        <v>45773</v>
      </c>
      <c r="C35" s="178" t="s">
        <v>477</v>
      </c>
      <c r="D35" s="176">
        <f>YEAR(PA[[#This Row],[Date]])</f>
        <v>2025</v>
      </c>
      <c r="E35" s="178" t="s">
        <v>361</v>
      </c>
      <c r="F35" s="178" t="s">
        <v>361</v>
      </c>
      <c r="G35" s="179">
        <v>45748</v>
      </c>
      <c r="H35" s="176">
        <f>DAY(EOMONTH(PA[[#This Row],[Month Year]],0))</f>
        <v>30</v>
      </c>
      <c r="I35" s="180">
        <f>VLOOKUP(PA[[#This Row],[Date]],Raw_Data[#All],9,0)</f>
        <v>0.26874999999999999</v>
      </c>
      <c r="J35" s="180">
        <f>VLOOKUP(PA[[#This Row],[Date]],Raw_Data[#All],10,0)</f>
        <v>0.8041666666666667</v>
      </c>
      <c r="K35" s="68">
        <f>IFERROR((PA[[#This Row],[Sunset Time (POA&lt;20 W/m2)]]-PA[[#This Row],[Sunrise Time (POA&gt;20 W/m2)]])*24,"")</f>
        <v>12.85</v>
      </c>
      <c r="L35" s="178" t="s">
        <v>425</v>
      </c>
      <c r="M35" s="178" t="s">
        <v>394</v>
      </c>
      <c r="N35" s="178" t="s">
        <v>395</v>
      </c>
      <c r="O35" s="178" t="s">
        <v>442</v>
      </c>
      <c r="P35" s="178" t="s">
        <v>448</v>
      </c>
      <c r="Q35" s="178"/>
      <c r="R35" s="176">
        <f>IF((PA[[#This Row],[String Type(If String BD)]]&amp;PA[[#This Row],[Equipment (If any BD other than PV  array and inv)]])="",1,0)</f>
        <v>0</v>
      </c>
      <c r="S35" s="6">
        <f>IF(PA[[#This Row],[String Type(If String BD)]]="",1,0)</f>
        <v>0</v>
      </c>
      <c r="T3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5" s="68">
        <f>IFERROR(VLOOKUP(PA[[#This Row],[Affected Equipment ]],'Basic Data '!$A$1:$B$1846,2,0),"")</f>
        <v>31.61</v>
      </c>
      <c r="V35" s="143">
        <f>IFERROR(VLOOKUP(PA[[#This Row],[Affected Equipment ]],'Basic Data '!$A$1:$C$1846,3,0),"")</f>
        <v>9.4332584283075336E-5</v>
      </c>
      <c r="W35" s="178" t="s">
        <v>451</v>
      </c>
      <c r="X35" s="110" t="s">
        <v>491</v>
      </c>
      <c r="Y35" s="110" t="s">
        <v>491</v>
      </c>
      <c r="Z35" s="109">
        <v>0.49861111111111112</v>
      </c>
      <c r="AA35" s="109">
        <v>0.49861111111111112</v>
      </c>
      <c r="AB35" s="109">
        <v>0.49861111111111112</v>
      </c>
      <c r="AC35" s="109">
        <v>0.50902777777777775</v>
      </c>
      <c r="AD35" s="82">
        <f>IF(PA[[#This Row],[Acknowledgement Time ]]="NA","",(PA[[#This Row],[Acknowledgement Time ]]-PA[[#This Row],[Fault Time]])*24)</f>
        <v>0</v>
      </c>
      <c r="AE35" s="82">
        <f>IF(PA[[#This Row],[Work Start time on Fault]]="NA","",(PA[[#This Row],[Work Start time on Fault]]-PA[[#This Row],[Fault Time]])*24)</f>
        <v>0</v>
      </c>
      <c r="AF35" s="111">
        <f>IF(PA[[#This Row],[Status]]="Open","",(PA[[#This Row],[Work Completion time on fault]]-PA[[#This Row],[Fault Time]])*24)</f>
        <v>0.24999999999999911</v>
      </c>
      <c r="AG35" s="82">
        <f>IFERROR((PA[[#This Row],[Work Completion time on fault]]-PA[[#This Row],[Fault Time]])*24,"")</f>
        <v>0.24999999999999911</v>
      </c>
      <c r="AH35" s="110" t="s">
        <v>491</v>
      </c>
      <c r="AI35" s="178" t="s">
        <v>422</v>
      </c>
      <c r="AJ35" s="68">
        <f>IFERROR(PA[[#This Row],[Breakdown Time]]*PA[[#This Row],[Plant Equivalent Weightage]],"")</f>
        <v>2.3583146070768749E-5</v>
      </c>
      <c r="AK35" s="117">
        <v>0.2656</v>
      </c>
      <c r="AL35" s="116">
        <f>IF(PA[[#This Row],[Lost PoA(Wh/m2)]]&gt;0,_xlfn.XLOOKUP($B35,'Daily KPI'!$A:$A,'Daily KPI'!$AE:$AE)*PA[[#This Row],[Lost PoA(Wh/m2)]]*U35,0)</f>
        <v>6.7704520342300016</v>
      </c>
      <c r="AM35" s="176" t="s">
        <v>497</v>
      </c>
    </row>
    <row r="36" spans="1:39" ht="14" customHeight="1">
      <c r="A36" s="177">
        <f t="shared" si="1"/>
        <v>33</v>
      </c>
      <c r="B36" s="185">
        <v>45773</v>
      </c>
      <c r="C36" s="178" t="s">
        <v>477</v>
      </c>
      <c r="D36" s="176">
        <f>YEAR(PA[[#This Row],[Date]])</f>
        <v>2025</v>
      </c>
      <c r="E36" s="178" t="s">
        <v>361</v>
      </c>
      <c r="F36" s="178" t="s">
        <v>361</v>
      </c>
      <c r="G36" s="179">
        <v>45748</v>
      </c>
      <c r="H36" s="176">
        <f>DAY(EOMONTH(PA[[#This Row],[Month Year]],0))</f>
        <v>30</v>
      </c>
      <c r="I36" s="180">
        <f>VLOOKUP(PA[[#This Row],[Date]],Raw_Data[#All],9,0)</f>
        <v>0.26874999999999999</v>
      </c>
      <c r="J36" s="180">
        <f>VLOOKUP(PA[[#This Row],[Date]],Raw_Data[#All],10,0)</f>
        <v>0.8041666666666667</v>
      </c>
      <c r="K36" s="68">
        <f>IFERROR((PA[[#This Row],[Sunset Time (POA&lt;20 W/m2)]]-PA[[#This Row],[Sunrise Time (POA&gt;20 W/m2)]])*24,"")</f>
        <v>12.85</v>
      </c>
      <c r="L36" s="178" t="s">
        <v>425</v>
      </c>
      <c r="M36" s="178" t="s">
        <v>408</v>
      </c>
      <c r="N36" s="178" t="s">
        <v>402</v>
      </c>
      <c r="O36" s="178" t="s">
        <v>396</v>
      </c>
      <c r="P36" s="178" t="s">
        <v>448</v>
      </c>
      <c r="Q36" s="178"/>
      <c r="R36" s="176">
        <f>IF((PA[[#This Row],[String Type(If String BD)]]&amp;PA[[#This Row],[Equipment (If any BD other than PV  array and inv)]])="",1,0)</f>
        <v>0</v>
      </c>
      <c r="S36" s="6">
        <f>IF(PA[[#This Row],[String Type(If String BD)]]="",1,0)</f>
        <v>0</v>
      </c>
      <c r="T3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6" s="68">
        <f>IFERROR(VLOOKUP(PA[[#This Row],[Affected Equipment ]],'Basic Data '!$A$1:$B$1846,2,0),"")</f>
        <v>31.61</v>
      </c>
      <c r="V36" s="143">
        <f>IFERROR(VLOOKUP(PA[[#This Row],[Affected Equipment ]],'Basic Data '!$A$1:$C$1846,3,0),"")</f>
        <v>9.4332584283075336E-5</v>
      </c>
      <c r="W36" s="178" t="s">
        <v>451</v>
      </c>
      <c r="X36" s="110" t="s">
        <v>491</v>
      </c>
      <c r="Y36" s="110" t="s">
        <v>491</v>
      </c>
      <c r="Z36" s="109">
        <v>0.51388888888888884</v>
      </c>
      <c r="AA36" s="109">
        <v>0.51388888888888884</v>
      </c>
      <c r="AB36" s="109">
        <v>0.51388888888888884</v>
      </c>
      <c r="AC36" s="109">
        <v>0.52152777777777781</v>
      </c>
      <c r="AD36" s="82">
        <f>IF(PA[[#This Row],[Acknowledgement Time ]]="NA","",(PA[[#This Row],[Acknowledgement Time ]]-PA[[#This Row],[Fault Time]])*24)</f>
        <v>0</v>
      </c>
      <c r="AE36" s="82">
        <f>IF(PA[[#This Row],[Work Start time on Fault]]="NA","",(PA[[#This Row],[Work Start time on Fault]]-PA[[#This Row],[Fault Time]])*24)</f>
        <v>0</v>
      </c>
      <c r="AF36" s="111">
        <f>IF(PA[[#This Row],[Status]]="Open","",(PA[[#This Row],[Work Completion time on fault]]-PA[[#This Row],[Fault Time]])*24)</f>
        <v>0.18333333333333535</v>
      </c>
      <c r="AG36" s="82">
        <f>IFERROR((PA[[#This Row],[Work Completion time on fault]]-PA[[#This Row],[Fault Time]])*24,"")</f>
        <v>0.18333333333333535</v>
      </c>
      <c r="AH36" s="110" t="s">
        <v>491</v>
      </c>
      <c r="AI36" s="178" t="s">
        <v>422</v>
      </c>
      <c r="AJ36" s="68">
        <f>IFERROR(PA[[#This Row],[Breakdown Time]]*PA[[#This Row],[Plant Equivalent Weightage]],"")</f>
        <v>1.7294307118564003E-5</v>
      </c>
      <c r="AK36" s="117">
        <v>0.2006</v>
      </c>
      <c r="AL36" s="116">
        <f>IF(PA[[#This Row],[Lost PoA(Wh/m2)]]&gt;0,_xlfn.XLOOKUP($B36,'Daily KPI'!$A:$A,'Daily KPI'!$AE:$AE)*PA[[#This Row],[Lost PoA(Wh/m2)]]*U36,0)</f>
        <v>5.1135266493469063</v>
      </c>
      <c r="AM36" s="176" t="s">
        <v>497</v>
      </c>
    </row>
    <row r="37" spans="1:39" ht="14" customHeight="1">
      <c r="A37" s="177">
        <f t="shared" si="1"/>
        <v>34</v>
      </c>
      <c r="B37" s="185">
        <v>45773</v>
      </c>
      <c r="C37" s="178" t="s">
        <v>477</v>
      </c>
      <c r="D37" s="176">
        <f>YEAR(PA[[#This Row],[Date]])</f>
        <v>2025</v>
      </c>
      <c r="E37" s="178" t="s">
        <v>361</v>
      </c>
      <c r="F37" s="178" t="s">
        <v>361</v>
      </c>
      <c r="G37" s="179">
        <v>45748</v>
      </c>
      <c r="H37" s="176">
        <f>DAY(EOMONTH(PA[[#This Row],[Month Year]],0))</f>
        <v>30</v>
      </c>
      <c r="I37" s="180">
        <f>VLOOKUP(PA[[#This Row],[Date]],Raw_Data[#All],9,0)</f>
        <v>0.26874999999999999</v>
      </c>
      <c r="J37" s="180">
        <f>VLOOKUP(PA[[#This Row],[Date]],Raw_Data[#All],10,0)</f>
        <v>0.8041666666666667</v>
      </c>
      <c r="K37" s="68">
        <f>IFERROR((PA[[#This Row],[Sunset Time (POA&lt;20 W/m2)]]-PA[[#This Row],[Sunrise Time (POA&gt;20 W/m2)]])*24,"")</f>
        <v>12.85</v>
      </c>
      <c r="L37" s="178" t="s">
        <v>425</v>
      </c>
      <c r="M37" s="178" t="s">
        <v>414</v>
      </c>
      <c r="N37" s="178" t="s">
        <v>402</v>
      </c>
      <c r="O37" s="178" t="s">
        <v>406</v>
      </c>
      <c r="P37" s="178" t="s">
        <v>448</v>
      </c>
      <c r="Q37" s="178"/>
      <c r="R37" s="176">
        <f>IF((PA[[#This Row],[String Type(If String BD)]]&amp;PA[[#This Row],[Equipment (If any BD other than PV  array and inv)]])="",1,0)</f>
        <v>0</v>
      </c>
      <c r="S37" s="6">
        <f>IF(PA[[#This Row],[String Type(If String BD)]]="",1,0)</f>
        <v>0</v>
      </c>
      <c r="T3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7" s="68">
        <f>IFERROR(VLOOKUP(PA[[#This Row],[Affected Equipment ]],'Basic Data '!$A$1:$B$1846,2,0),"")</f>
        <v>31.61</v>
      </c>
      <c r="V37" s="143">
        <f>IFERROR(VLOOKUP(PA[[#This Row],[Affected Equipment ]],'Basic Data '!$A$1:$C$1846,3,0),"")</f>
        <v>9.4332584283075336E-5</v>
      </c>
      <c r="W37" s="178" t="s">
        <v>451</v>
      </c>
      <c r="X37" s="110" t="s">
        <v>491</v>
      </c>
      <c r="Y37" s="110" t="s">
        <v>491</v>
      </c>
      <c r="Z37" s="109">
        <v>0.52430555555555558</v>
      </c>
      <c r="AA37" s="109">
        <v>0.52430555555555558</v>
      </c>
      <c r="AB37" s="109">
        <v>0.52430555555555558</v>
      </c>
      <c r="AC37" s="109">
        <v>0.53055555555555556</v>
      </c>
      <c r="AD37" s="82">
        <f>IF(PA[[#This Row],[Acknowledgement Time ]]="NA","",(PA[[#This Row],[Acknowledgement Time ]]-PA[[#This Row],[Fault Time]])*24)</f>
        <v>0</v>
      </c>
      <c r="AE37" s="82">
        <f>IF(PA[[#This Row],[Work Start time on Fault]]="NA","",(PA[[#This Row],[Work Start time on Fault]]-PA[[#This Row],[Fault Time]])*24)</f>
        <v>0</v>
      </c>
      <c r="AF37" s="111">
        <f>IF(PA[[#This Row],[Status]]="Open","",(PA[[#This Row],[Work Completion time on fault]]-PA[[#This Row],[Fault Time]])*24)</f>
        <v>0.14999999999999947</v>
      </c>
      <c r="AG37" s="82">
        <f>IFERROR((PA[[#This Row],[Work Completion time on fault]]-PA[[#This Row],[Fault Time]])*24,"")</f>
        <v>0.14999999999999947</v>
      </c>
      <c r="AH37" s="110" t="s">
        <v>491</v>
      </c>
      <c r="AI37" s="178" t="s">
        <v>422</v>
      </c>
      <c r="AJ37" s="68">
        <f>IFERROR(PA[[#This Row],[Breakdown Time]]*PA[[#This Row],[Plant Equivalent Weightage]],"")</f>
        <v>1.4149887642461251E-5</v>
      </c>
      <c r="AK37" s="117">
        <v>0.16588333333333333</v>
      </c>
      <c r="AL37" s="116">
        <f>IF(PA[[#This Row],[Lost PoA(Wh/m2)]]&gt;0,_xlfn.XLOOKUP($B37,'Daily KPI'!$A:$A,'Daily KPI'!$AE:$AE)*PA[[#This Row],[Lost PoA(Wh/m2)]]*U37,0)</f>
        <v>4.2285585527542171</v>
      </c>
      <c r="AM37" s="176" t="s">
        <v>497</v>
      </c>
    </row>
    <row r="38" spans="1:39" ht="14" customHeight="1">
      <c r="A38" s="177">
        <f t="shared" si="1"/>
        <v>35</v>
      </c>
      <c r="B38" s="185">
        <v>45773</v>
      </c>
      <c r="C38" s="178" t="s">
        <v>477</v>
      </c>
      <c r="D38" s="176">
        <f>YEAR(PA[[#This Row],[Date]])</f>
        <v>2025</v>
      </c>
      <c r="E38" s="178" t="s">
        <v>361</v>
      </c>
      <c r="F38" s="178" t="s">
        <v>361</v>
      </c>
      <c r="G38" s="179">
        <v>45748</v>
      </c>
      <c r="H38" s="176">
        <f>DAY(EOMONTH(PA[[#This Row],[Month Year]],0))</f>
        <v>30</v>
      </c>
      <c r="I38" s="180">
        <f>VLOOKUP(PA[[#This Row],[Date]],Raw_Data[#All],9,0)</f>
        <v>0.26874999999999999</v>
      </c>
      <c r="J38" s="180">
        <f>VLOOKUP(PA[[#This Row],[Date]],Raw_Data[#All],10,0)</f>
        <v>0.8041666666666667</v>
      </c>
      <c r="K38" s="68">
        <f>IFERROR((PA[[#This Row],[Sunset Time (POA&lt;20 W/m2)]]-PA[[#This Row],[Sunrise Time (POA&gt;20 W/m2)]])*24,"")</f>
        <v>12.85</v>
      </c>
      <c r="L38" s="178" t="s">
        <v>425</v>
      </c>
      <c r="M38" s="178" t="s">
        <v>401</v>
      </c>
      <c r="N38" s="178" t="s">
        <v>402</v>
      </c>
      <c r="O38" s="178" t="s">
        <v>417</v>
      </c>
      <c r="P38" s="178" t="s">
        <v>448</v>
      </c>
      <c r="Q38" s="178"/>
      <c r="R38" s="176">
        <f>IF((PA[[#This Row],[String Type(If String BD)]]&amp;PA[[#This Row],[Equipment (If any BD other than PV  array and inv)]])="",1,0)</f>
        <v>0</v>
      </c>
      <c r="S38" s="6">
        <f>IF(PA[[#This Row],[String Type(If String BD)]]="",1,0)</f>
        <v>0</v>
      </c>
      <c r="T3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8" s="68">
        <f>IFERROR(VLOOKUP(PA[[#This Row],[Affected Equipment ]],'Basic Data '!$A$1:$B$1846,2,0),"")</f>
        <v>31.61</v>
      </c>
      <c r="V38" s="143">
        <f>IFERROR(VLOOKUP(PA[[#This Row],[Affected Equipment ]],'Basic Data '!$A$1:$C$1846,3,0),"")</f>
        <v>9.4332584283075336E-5</v>
      </c>
      <c r="W38" s="178" t="s">
        <v>451</v>
      </c>
      <c r="X38" s="110" t="s">
        <v>491</v>
      </c>
      <c r="Y38" s="110" t="s">
        <v>491</v>
      </c>
      <c r="Z38" s="109">
        <v>0.53472222222222221</v>
      </c>
      <c r="AA38" s="109">
        <v>0.53472222222222221</v>
      </c>
      <c r="AB38" s="109">
        <v>0.53472222222222221</v>
      </c>
      <c r="AC38" s="109">
        <v>0.54097222222222219</v>
      </c>
      <c r="AD38" s="82">
        <f>IF(PA[[#This Row],[Acknowledgement Time ]]="NA","",(PA[[#This Row],[Acknowledgement Time ]]-PA[[#This Row],[Fault Time]])*24)</f>
        <v>0</v>
      </c>
      <c r="AE38" s="82">
        <f>IF(PA[[#This Row],[Work Start time on Fault]]="NA","",(PA[[#This Row],[Work Start time on Fault]]-PA[[#This Row],[Fault Time]])*24)</f>
        <v>0</v>
      </c>
      <c r="AF38" s="111">
        <f>IF(PA[[#This Row],[Status]]="Open","",(PA[[#This Row],[Work Completion time on fault]]-PA[[#This Row],[Fault Time]])*24)</f>
        <v>0.14999999999999947</v>
      </c>
      <c r="AG38" s="82">
        <f>IFERROR((PA[[#This Row],[Work Completion time on fault]]-PA[[#This Row],[Fault Time]])*24,"")</f>
        <v>0.14999999999999947</v>
      </c>
      <c r="AH38" s="110" t="s">
        <v>491</v>
      </c>
      <c r="AI38" s="178" t="s">
        <v>422</v>
      </c>
      <c r="AJ38" s="68">
        <f>IFERROR(PA[[#This Row],[Breakdown Time]]*PA[[#This Row],[Plant Equivalent Weightage]],"")</f>
        <v>1.4149887642461251E-5</v>
      </c>
      <c r="AK38" s="117">
        <v>0.16416666666666666</v>
      </c>
      <c r="AL38" s="116">
        <f>IF(PA[[#This Row],[Lost PoA(Wh/m2)]]&gt;0,_xlfn.XLOOKUP($B38,'Daily KPI'!$A:$A,'Daily KPI'!$AE:$AE)*PA[[#This Row],[Lost PoA(Wh/m2)]]*U38,0)</f>
        <v>4.1847987284867916</v>
      </c>
      <c r="AM38" s="176" t="s">
        <v>497</v>
      </c>
    </row>
    <row r="39" spans="1:39" ht="14" customHeight="1">
      <c r="A39" s="177">
        <f t="shared" si="1"/>
        <v>36</v>
      </c>
      <c r="B39" s="185">
        <v>45773</v>
      </c>
      <c r="C39" s="178" t="s">
        <v>477</v>
      </c>
      <c r="D39" s="176">
        <f>YEAR(PA[[#This Row],[Date]])</f>
        <v>2025</v>
      </c>
      <c r="E39" s="178" t="s">
        <v>361</v>
      </c>
      <c r="F39" s="178" t="s">
        <v>361</v>
      </c>
      <c r="G39" s="179">
        <v>45748</v>
      </c>
      <c r="H39" s="176">
        <f>DAY(EOMONTH(PA[[#This Row],[Month Year]],0))</f>
        <v>30</v>
      </c>
      <c r="I39" s="180">
        <f>VLOOKUP(PA[[#This Row],[Date]],Raw_Data[#All],9,0)</f>
        <v>0.26874999999999999</v>
      </c>
      <c r="J39" s="180">
        <f>VLOOKUP(PA[[#This Row],[Date]],Raw_Data[#All],10,0)</f>
        <v>0.8041666666666667</v>
      </c>
      <c r="K39" s="68">
        <f>IFERROR((PA[[#This Row],[Sunset Time (POA&lt;20 W/m2)]]-PA[[#This Row],[Sunrise Time (POA&gt;20 W/m2)]])*24,"")</f>
        <v>12.85</v>
      </c>
      <c r="L39" s="178" t="s">
        <v>447</v>
      </c>
      <c r="M39" s="178" t="s">
        <v>394</v>
      </c>
      <c r="N39" s="178" t="s">
        <v>402</v>
      </c>
      <c r="O39" s="178" t="s">
        <v>406</v>
      </c>
      <c r="P39" s="178" t="s">
        <v>404</v>
      </c>
      <c r="Q39" s="178"/>
      <c r="R39" s="176">
        <f>IF((PA[[#This Row],[String Type(If String BD)]]&amp;PA[[#This Row],[Equipment (If any BD other than PV  array and inv)]])="",1,0)</f>
        <v>0</v>
      </c>
      <c r="S39" s="6">
        <f>IF(PA[[#This Row],[String Type(If String BD)]]="",1,0)</f>
        <v>0</v>
      </c>
      <c r="T3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9" s="68">
        <f>IFERROR(VLOOKUP(PA[[#This Row],[Affected Equipment ]],'Basic Data '!$A$1:$B$1846,2,0),"")</f>
        <v>31.32</v>
      </c>
      <c r="V39" s="143">
        <f>IFERROR(VLOOKUP(PA[[#This Row],[Affected Equipment ]],'Basic Data '!$A$1:$C$1846,3,0),"")</f>
        <v>9.3467147730019601E-5</v>
      </c>
      <c r="W39" s="178" t="s">
        <v>451</v>
      </c>
      <c r="X39" s="110" t="s">
        <v>491</v>
      </c>
      <c r="Y39" s="110" t="s">
        <v>491</v>
      </c>
      <c r="Z39" s="109">
        <v>0.54374999999999996</v>
      </c>
      <c r="AA39" s="109">
        <v>0.54374999999999996</v>
      </c>
      <c r="AB39" s="109">
        <v>0.54374999999999996</v>
      </c>
      <c r="AC39" s="109">
        <v>0.55000000000000004</v>
      </c>
      <c r="AD39" s="82">
        <f>IF(PA[[#This Row],[Acknowledgement Time ]]="NA","",(PA[[#This Row],[Acknowledgement Time ]]-PA[[#This Row],[Fault Time]])*24)</f>
        <v>0</v>
      </c>
      <c r="AE39" s="82">
        <f>IF(PA[[#This Row],[Work Start time on Fault]]="NA","",(PA[[#This Row],[Work Start time on Fault]]-PA[[#This Row],[Fault Time]])*24)</f>
        <v>0</v>
      </c>
      <c r="AF39" s="111">
        <f>IF(PA[[#This Row],[Status]]="Open","",(PA[[#This Row],[Work Completion time on fault]]-PA[[#This Row],[Fault Time]])*24)</f>
        <v>0.15000000000000213</v>
      </c>
      <c r="AG39" s="82">
        <f>IFERROR((PA[[#This Row],[Work Completion time on fault]]-PA[[#This Row],[Fault Time]])*24,"")</f>
        <v>0.15000000000000213</v>
      </c>
      <c r="AH39" s="110" t="s">
        <v>491</v>
      </c>
      <c r="AI39" s="178" t="s">
        <v>422</v>
      </c>
      <c r="AJ39" s="68">
        <f>IFERROR(PA[[#This Row],[Breakdown Time]]*PA[[#This Row],[Plant Equivalent Weightage]],"")</f>
        <v>1.4020072159503139E-5</v>
      </c>
      <c r="AK39" s="117">
        <v>0.16361666666666666</v>
      </c>
      <c r="AL39" s="116">
        <f>IF(PA[[#This Row],[Lost PoA(Wh/m2)]]&gt;0,_xlfn.XLOOKUP($B39,'Daily KPI'!$A:$A,'Daily KPI'!$AE:$AE)*PA[[#This Row],[Lost PoA(Wh/m2)]]*U39,0)</f>
        <v>4.1325145668475969</v>
      </c>
      <c r="AM39" s="176" t="s">
        <v>497</v>
      </c>
    </row>
    <row r="40" spans="1:39" ht="14" customHeight="1">
      <c r="A40" s="177">
        <f t="shared" si="1"/>
        <v>37</v>
      </c>
      <c r="B40" s="185">
        <v>45773</v>
      </c>
      <c r="C40" s="178" t="s">
        <v>477</v>
      </c>
      <c r="D40" s="176">
        <f>YEAR(PA[[#This Row],[Date]])</f>
        <v>2025</v>
      </c>
      <c r="E40" s="178" t="s">
        <v>361</v>
      </c>
      <c r="F40" s="178" t="s">
        <v>361</v>
      </c>
      <c r="G40" s="179">
        <v>45748</v>
      </c>
      <c r="H40" s="176">
        <f>DAY(EOMONTH(PA[[#This Row],[Month Year]],0))</f>
        <v>30</v>
      </c>
      <c r="I40" s="180">
        <f>VLOOKUP(PA[[#This Row],[Date]],Raw_Data[#All],9,0)</f>
        <v>0.26874999999999999</v>
      </c>
      <c r="J40" s="180">
        <f>VLOOKUP(PA[[#This Row],[Date]],Raw_Data[#All],10,0)</f>
        <v>0.8041666666666667</v>
      </c>
      <c r="K40" s="68">
        <f>IFERROR((PA[[#This Row],[Sunset Time (POA&lt;20 W/m2)]]-PA[[#This Row],[Sunrise Time (POA&gt;20 W/m2)]])*24,"")</f>
        <v>12.85</v>
      </c>
      <c r="L40" s="178" t="s">
        <v>447</v>
      </c>
      <c r="M40" s="178" t="s">
        <v>408</v>
      </c>
      <c r="N40" s="178" t="s">
        <v>402</v>
      </c>
      <c r="O40" s="178" t="s">
        <v>403</v>
      </c>
      <c r="P40" s="178" t="s">
        <v>404</v>
      </c>
      <c r="Q40" s="178"/>
      <c r="R40" s="176">
        <f>IF((PA[[#This Row],[String Type(If String BD)]]&amp;PA[[#This Row],[Equipment (If any BD other than PV  array and inv)]])="",1,0)</f>
        <v>0</v>
      </c>
      <c r="S40" s="6">
        <f>IF(PA[[#This Row],[String Type(If String BD)]]="",1,0)</f>
        <v>0</v>
      </c>
      <c r="T4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 s="68">
        <f>IFERROR(VLOOKUP(PA[[#This Row],[Affected Equipment ]],'Basic Data '!$A$1:$B$1846,2,0),"")</f>
        <v>31.32</v>
      </c>
      <c r="V40" s="143">
        <f>IFERROR(VLOOKUP(PA[[#This Row],[Affected Equipment ]],'Basic Data '!$A$1:$C$1846,3,0),"")</f>
        <v>9.3467147730019601E-5</v>
      </c>
      <c r="W40" s="178" t="s">
        <v>451</v>
      </c>
      <c r="X40" s="110" t="s">
        <v>491</v>
      </c>
      <c r="Y40" s="110" t="s">
        <v>491</v>
      </c>
      <c r="Z40" s="109">
        <v>0.55555555555555558</v>
      </c>
      <c r="AA40" s="109">
        <v>0.55555555555555558</v>
      </c>
      <c r="AB40" s="109">
        <v>0.55555555555555558</v>
      </c>
      <c r="AC40" s="109">
        <v>0.56319444444444444</v>
      </c>
      <c r="AD40" s="82">
        <f>IF(PA[[#This Row],[Acknowledgement Time ]]="NA","",(PA[[#This Row],[Acknowledgement Time ]]-PA[[#This Row],[Fault Time]])*24)</f>
        <v>0</v>
      </c>
      <c r="AE40" s="82">
        <f>IF(PA[[#This Row],[Work Start time on Fault]]="NA","",(PA[[#This Row],[Work Start time on Fault]]-PA[[#This Row],[Fault Time]])*24)</f>
        <v>0</v>
      </c>
      <c r="AF40" s="111">
        <f>IF(PA[[#This Row],[Status]]="Open","",(PA[[#This Row],[Work Completion time on fault]]-PA[[#This Row],[Fault Time]])*24)</f>
        <v>0.18333333333333268</v>
      </c>
      <c r="AG40" s="82">
        <f>IFERROR((PA[[#This Row],[Work Completion time on fault]]-PA[[#This Row],[Fault Time]])*24,"")</f>
        <v>0.18333333333333268</v>
      </c>
      <c r="AH40" s="110" t="s">
        <v>491</v>
      </c>
      <c r="AI40" s="178" t="s">
        <v>422</v>
      </c>
      <c r="AJ40" s="68">
        <f>IFERROR(PA[[#This Row],[Breakdown Time]]*PA[[#This Row],[Plant Equivalent Weightage]],"")</f>
        <v>1.7135643750503531E-5</v>
      </c>
      <c r="AK40" s="117">
        <v>0.19170000000000001</v>
      </c>
      <c r="AL40" s="116">
        <f>IF(PA[[#This Row],[Lost PoA(Wh/m2)]]&gt;0,_xlfn.XLOOKUP($B40,'Daily KPI'!$A:$A,'Daily KPI'!$AE:$AE)*PA[[#This Row],[Lost PoA(Wh/m2)]]*U40,0)</f>
        <v>4.8418236271652297</v>
      </c>
      <c r="AM40" s="176" t="s">
        <v>497</v>
      </c>
    </row>
    <row r="41" spans="1:39" ht="14" customHeight="1">
      <c r="A41" s="177">
        <f t="shared" si="1"/>
        <v>38</v>
      </c>
      <c r="B41" s="185">
        <v>45773</v>
      </c>
      <c r="C41" s="178" t="s">
        <v>477</v>
      </c>
      <c r="D41" s="176">
        <f>YEAR(PA[[#This Row],[Date]])</f>
        <v>2025</v>
      </c>
      <c r="E41" s="178" t="s">
        <v>361</v>
      </c>
      <c r="F41" s="178" t="s">
        <v>361</v>
      </c>
      <c r="G41" s="179">
        <v>45748</v>
      </c>
      <c r="H41" s="176">
        <f>DAY(EOMONTH(PA[[#This Row],[Month Year]],0))</f>
        <v>30</v>
      </c>
      <c r="I41" s="180">
        <f>VLOOKUP(PA[[#This Row],[Date]],Raw_Data[#All],9,0)</f>
        <v>0.26874999999999999</v>
      </c>
      <c r="J41" s="180">
        <f>VLOOKUP(PA[[#This Row],[Date]],Raw_Data[#All],10,0)</f>
        <v>0.8041666666666667</v>
      </c>
      <c r="K41" s="68">
        <f>IFERROR((PA[[#This Row],[Sunset Time (POA&lt;20 W/m2)]]-PA[[#This Row],[Sunrise Time (POA&gt;20 W/m2)]])*24,"")</f>
        <v>12.85</v>
      </c>
      <c r="L41" s="178" t="s">
        <v>447</v>
      </c>
      <c r="M41" s="178" t="s">
        <v>414</v>
      </c>
      <c r="N41" s="178" t="s">
        <v>395</v>
      </c>
      <c r="O41" s="178" t="s">
        <v>417</v>
      </c>
      <c r="P41" s="178" t="s">
        <v>404</v>
      </c>
      <c r="Q41" s="178"/>
      <c r="R41" s="176">
        <f>IF((PA[[#This Row],[String Type(If String BD)]]&amp;PA[[#This Row],[Equipment (If any BD other than PV  array and inv)]])="",1,0)</f>
        <v>0</v>
      </c>
      <c r="S41" s="6">
        <f>IF(PA[[#This Row],[String Type(If String BD)]]="",1,0)</f>
        <v>0</v>
      </c>
      <c r="T4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 s="68">
        <f>IFERROR(VLOOKUP(PA[[#This Row],[Affected Equipment ]],'Basic Data '!$A$1:$B$1846,2,0),"")</f>
        <v>31.32</v>
      </c>
      <c r="V41" s="143">
        <f>IFERROR(VLOOKUP(PA[[#This Row],[Affected Equipment ]],'Basic Data '!$A$1:$C$1846,3,0),"")</f>
        <v>9.3467147730019601E-5</v>
      </c>
      <c r="W41" s="178" t="s">
        <v>451</v>
      </c>
      <c r="X41" s="110" t="s">
        <v>491</v>
      </c>
      <c r="Y41" s="110" t="s">
        <v>491</v>
      </c>
      <c r="Z41" s="109">
        <v>0.56527777777777777</v>
      </c>
      <c r="AA41" s="109">
        <v>0.56527777777777777</v>
      </c>
      <c r="AB41" s="109">
        <v>0.56527777777777777</v>
      </c>
      <c r="AC41" s="109">
        <v>0.57291666666666663</v>
      </c>
      <c r="AD41" s="82">
        <f>IF(PA[[#This Row],[Acknowledgement Time ]]="NA","",(PA[[#This Row],[Acknowledgement Time ]]-PA[[#This Row],[Fault Time]])*24)</f>
        <v>0</v>
      </c>
      <c r="AE41" s="82">
        <f>IF(PA[[#This Row],[Work Start time on Fault]]="NA","",(PA[[#This Row],[Work Start time on Fault]]-PA[[#This Row],[Fault Time]])*24)</f>
        <v>0</v>
      </c>
      <c r="AF41" s="111">
        <f>IF(PA[[#This Row],[Status]]="Open","",(PA[[#This Row],[Work Completion time on fault]]-PA[[#This Row],[Fault Time]])*24)</f>
        <v>0.18333333333333268</v>
      </c>
      <c r="AG41" s="82">
        <f>IFERROR((PA[[#This Row],[Work Completion time on fault]]-PA[[#This Row],[Fault Time]])*24,"")</f>
        <v>0.18333333333333268</v>
      </c>
      <c r="AH41" s="110" t="s">
        <v>491</v>
      </c>
      <c r="AI41" s="178" t="s">
        <v>422</v>
      </c>
      <c r="AJ41" s="68">
        <f>IFERROR(PA[[#This Row],[Breakdown Time]]*PA[[#This Row],[Plant Equivalent Weightage]],"")</f>
        <v>1.7135643750503531E-5</v>
      </c>
      <c r="AK41" s="117">
        <v>0.19295000000000001</v>
      </c>
      <c r="AL41" s="116">
        <f>IF(PA[[#This Row],[Lost PoA(Wh/m2)]]&gt;0,_xlfn.XLOOKUP($B41,'Daily KPI'!$A:$A,'Daily KPI'!$AE:$AE)*PA[[#This Row],[Lost PoA(Wh/m2)]]*U41,0)</f>
        <v>4.8733952470606736</v>
      </c>
      <c r="AM41" s="176" t="s">
        <v>497</v>
      </c>
    </row>
    <row r="42" spans="1:39" ht="14" customHeight="1">
      <c r="A42" s="177">
        <f t="shared" si="1"/>
        <v>39</v>
      </c>
      <c r="B42" s="185">
        <v>45773</v>
      </c>
      <c r="C42" s="178" t="s">
        <v>477</v>
      </c>
      <c r="D42" s="176">
        <f>YEAR(PA[[#This Row],[Date]])</f>
        <v>2025</v>
      </c>
      <c r="E42" s="178" t="s">
        <v>361</v>
      </c>
      <c r="F42" s="178" t="s">
        <v>361</v>
      </c>
      <c r="G42" s="179">
        <v>45748</v>
      </c>
      <c r="H42" s="176">
        <f>DAY(EOMONTH(PA[[#This Row],[Month Year]],0))</f>
        <v>30</v>
      </c>
      <c r="I42" s="180">
        <f>VLOOKUP(PA[[#This Row],[Date]],Raw_Data[#All],9,0)</f>
        <v>0.26874999999999999</v>
      </c>
      <c r="J42" s="180">
        <f>VLOOKUP(PA[[#This Row],[Date]],Raw_Data[#All],10,0)</f>
        <v>0.8041666666666667</v>
      </c>
      <c r="K42" s="68">
        <f>IFERROR((PA[[#This Row],[Sunset Time (POA&lt;20 W/m2)]]-PA[[#This Row],[Sunrise Time (POA&gt;20 W/m2)]])*24,"")</f>
        <v>12.85</v>
      </c>
      <c r="L42" s="178" t="s">
        <v>447</v>
      </c>
      <c r="M42" s="178" t="s">
        <v>401</v>
      </c>
      <c r="N42" s="178" t="s">
        <v>395</v>
      </c>
      <c r="O42" s="178" t="s">
        <v>396</v>
      </c>
      <c r="P42" s="178" t="s">
        <v>404</v>
      </c>
      <c r="Q42" s="178"/>
      <c r="R42" s="176">
        <f>IF((PA[[#This Row],[String Type(If String BD)]]&amp;PA[[#This Row],[Equipment (If any BD other than PV  array and inv)]])="",1,0)</f>
        <v>0</v>
      </c>
      <c r="S42" s="6">
        <f>IF(PA[[#This Row],[String Type(If String BD)]]="",1,0)</f>
        <v>0</v>
      </c>
      <c r="T4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 s="68">
        <f>IFERROR(VLOOKUP(PA[[#This Row],[Affected Equipment ]],'Basic Data '!$A$1:$B$1846,2,0),"")</f>
        <v>31.32</v>
      </c>
      <c r="V42" s="143">
        <f>IFERROR(VLOOKUP(PA[[#This Row],[Affected Equipment ]],'Basic Data '!$A$1:$C$1846,3,0),"")</f>
        <v>9.3467147730019601E-5</v>
      </c>
      <c r="W42" s="178" t="s">
        <v>451</v>
      </c>
      <c r="X42" s="110" t="s">
        <v>491</v>
      </c>
      <c r="Y42" s="110" t="s">
        <v>491</v>
      </c>
      <c r="Z42" s="109">
        <v>0.57708333333333328</v>
      </c>
      <c r="AA42" s="109">
        <v>0.57708333333333328</v>
      </c>
      <c r="AB42" s="109">
        <v>0.57708333333333328</v>
      </c>
      <c r="AC42" s="109">
        <v>0.58472222222222225</v>
      </c>
      <c r="AD42" s="82">
        <f>IF(PA[[#This Row],[Acknowledgement Time ]]="NA","",(PA[[#This Row],[Acknowledgement Time ]]-PA[[#This Row],[Fault Time]])*24)</f>
        <v>0</v>
      </c>
      <c r="AE42" s="82">
        <f>IF(PA[[#This Row],[Work Start time on Fault]]="NA","",(PA[[#This Row],[Work Start time on Fault]]-PA[[#This Row],[Fault Time]])*24)</f>
        <v>0</v>
      </c>
      <c r="AF42" s="111">
        <f>IF(PA[[#This Row],[Status]]="Open","",(PA[[#This Row],[Work Completion time on fault]]-PA[[#This Row],[Fault Time]])*24)</f>
        <v>0.18333333333333535</v>
      </c>
      <c r="AG42" s="82">
        <f>IFERROR((PA[[#This Row],[Work Completion time on fault]]-PA[[#This Row],[Fault Time]])*24,"")</f>
        <v>0.18333333333333535</v>
      </c>
      <c r="AH42" s="110" t="s">
        <v>491</v>
      </c>
      <c r="AI42" s="178" t="s">
        <v>422</v>
      </c>
      <c r="AJ42" s="68">
        <f>IFERROR(PA[[#This Row],[Breakdown Time]]*PA[[#This Row],[Plant Equivalent Weightage]],"")</f>
        <v>1.7135643750503782E-5</v>
      </c>
      <c r="AK42" s="117">
        <v>0.18493333333333334</v>
      </c>
      <c r="AL42" s="116">
        <f>IF(PA[[#This Row],[Lost PoA(Wh/m2)]]&gt;0,_xlfn.XLOOKUP($B42,'Daily KPI'!$A:$A,'Daily KPI'!$AE:$AE)*PA[[#This Row],[Lost PoA(Wh/m2)]]*U42,0)</f>
        <v>4.6709159247978951</v>
      </c>
      <c r="AM42" s="176" t="s">
        <v>497</v>
      </c>
    </row>
    <row r="43" spans="1:39" ht="14" customHeight="1">
      <c r="A43" s="177">
        <f t="shared" si="1"/>
        <v>40</v>
      </c>
      <c r="B43" s="185">
        <v>45775</v>
      </c>
      <c r="C43" s="178" t="s">
        <v>477</v>
      </c>
      <c r="D43" s="176">
        <f>YEAR(PA[[#This Row],[Date]])</f>
        <v>2025</v>
      </c>
      <c r="E43" s="178" t="s">
        <v>361</v>
      </c>
      <c r="F43" s="178" t="s">
        <v>361</v>
      </c>
      <c r="G43" s="179">
        <v>45748</v>
      </c>
      <c r="H43" s="176">
        <f>DAY(EOMONTH(PA[[#This Row],[Month Year]],0))</f>
        <v>30</v>
      </c>
      <c r="I43" s="180">
        <f>VLOOKUP(PA[[#This Row],[Date]],Raw_Data[#All],9,0)</f>
        <v>0.26666666666666666</v>
      </c>
      <c r="J43" s="180">
        <f>VLOOKUP(PA[[#This Row],[Date]],Raw_Data[#All],10,0)</f>
        <v>0.80208333333333337</v>
      </c>
      <c r="K43" s="68">
        <f>IFERROR((PA[[#This Row],[Sunset Time (POA&lt;20 W/m2)]]-PA[[#This Row],[Sunrise Time (POA&gt;20 W/m2)]])*24,"")</f>
        <v>12.85</v>
      </c>
      <c r="L43" s="178" t="s">
        <v>423</v>
      </c>
      <c r="M43" s="178" t="s">
        <v>394</v>
      </c>
      <c r="N43" s="178" t="s">
        <v>402</v>
      </c>
      <c r="O43" s="178" t="s">
        <v>403</v>
      </c>
      <c r="P43" s="178" t="s">
        <v>404</v>
      </c>
      <c r="Q43" s="178"/>
      <c r="R43" s="176">
        <f>IF((PA[[#This Row],[String Type(If String BD)]]&amp;PA[[#This Row],[Equipment (If any BD other than PV  array and inv)]])="",1,0)</f>
        <v>0</v>
      </c>
      <c r="S43" s="6">
        <f>IF(PA[[#This Row],[String Type(If String BD)]]="",1,0)</f>
        <v>0</v>
      </c>
      <c r="T4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 s="68">
        <f>IFERROR(VLOOKUP(PA[[#This Row],[Affected Equipment ]],'Basic Data '!$A$1:$B$1846,2,0),"")</f>
        <v>31.32</v>
      </c>
      <c r="V43" s="143">
        <f>IFERROR(VLOOKUP(PA[[#This Row],[Affected Equipment ]],'Basic Data '!$A$1:$C$1846,3,0),"")</f>
        <v>9.3467147730019601E-5</v>
      </c>
      <c r="W43" s="178" t="s">
        <v>451</v>
      </c>
      <c r="X43" s="110" t="s">
        <v>491</v>
      </c>
      <c r="Y43" s="110" t="s">
        <v>491</v>
      </c>
      <c r="Z43" s="109">
        <v>0.49652777777777779</v>
      </c>
      <c r="AA43" s="109">
        <v>0.49652777777777779</v>
      </c>
      <c r="AB43" s="109">
        <v>0.49652777777777779</v>
      </c>
      <c r="AC43" s="109">
        <v>0.50486111111111109</v>
      </c>
      <c r="AD43" s="82">
        <f>IF(PA[[#This Row],[Acknowledgement Time ]]="NA","",(PA[[#This Row],[Acknowledgement Time ]]-PA[[#This Row],[Fault Time]])*24)</f>
        <v>0</v>
      </c>
      <c r="AE43" s="82">
        <f>IF(PA[[#This Row],[Work Start time on Fault]]="NA","",(PA[[#This Row],[Work Start time on Fault]]-PA[[#This Row],[Fault Time]])*24)</f>
        <v>0</v>
      </c>
      <c r="AF43" s="111">
        <f>IF(PA[[#This Row],[Status]]="Open","",(PA[[#This Row],[Work Completion time on fault]]-PA[[#This Row],[Fault Time]])*24)</f>
        <v>0.19999999999999929</v>
      </c>
      <c r="AG43" s="82">
        <f>IFERROR((PA[[#This Row],[Work Completion time on fault]]-PA[[#This Row],[Fault Time]])*24,"")</f>
        <v>0.19999999999999929</v>
      </c>
      <c r="AH43" s="110" t="s">
        <v>491</v>
      </c>
      <c r="AI43" s="178" t="s">
        <v>422</v>
      </c>
      <c r="AJ43" s="68">
        <f>IFERROR(PA[[#This Row],[Breakdown Time]]*PA[[#This Row],[Plant Equivalent Weightage]],"")</f>
        <v>1.8693429546003854E-5</v>
      </c>
      <c r="AK43" s="117">
        <v>0.21631666666666666</v>
      </c>
      <c r="AL43" s="116">
        <f>IF(PA[[#This Row],[Lost PoA(Wh/m2)]]&gt;0,_xlfn.XLOOKUP($B43,'Daily KPI'!$A:$A,'Daily KPI'!$AE:$AE)*PA[[#This Row],[Lost PoA(Wh/m2)]]*U43,0)</f>
        <v>5.4635740616394983</v>
      </c>
      <c r="AM43" s="176" t="s">
        <v>2520</v>
      </c>
    </row>
    <row r="44" spans="1:39" ht="14" customHeight="1">
      <c r="A44" s="177">
        <f t="shared" si="1"/>
        <v>41</v>
      </c>
      <c r="B44" s="185">
        <v>45775</v>
      </c>
      <c r="C44" s="178" t="s">
        <v>477</v>
      </c>
      <c r="D44" s="176">
        <f>YEAR(PA[[#This Row],[Date]])</f>
        <v>2025</v>
      </c>
      <c r="E44" s="178" t="s">
        <v>361</v>
      </c>
      <c r="F44" s="178" t="s">
        <v>361</v>
      </c>
      <c r="G44" s="179">
        <v>45748</v>
      </c>
      <c r="H44" s="176">
        <f>DAY(EOMONTH(PA[[#This Row],[Month Year]],0))</f>
        <v>30</v>
      </c>
      <c r="I44" s="180">
        <f>VLOOKUP(PA[[#This Row],[Date]],Raw_Data[#All],9,0)</f>
        <v>0.26666666666666666</v>
      </c>
      <c r="J44" s="180">
        <f>VLOOKUP(PA[[#This Row],[Date]],Raw_Data[#All],10,0)</f>
        <v>0.80208333333333337</v>
      </c>
      <c r="K44" s="68">
        <f>IFERROR((PA[[#This Row],[Sunset Time (POA&lt;20 W/m2)]]-PA[[#This Row],[Sunrise Time (POA&gt;20 W/m2)]])*24,"")</f>
        <v>12.85</v>
      </c>
      <c r="L44" s="178" t="s">
        <v>423</v>
      </c>
      <c r="M44" s="178" t="s">
        <v>408</v>
      </c>
      <c r="N44" s="178" t="s">
        <v>402</v>
      </c>
      <c r="O44" s="178" t="s">
        <v>413</v>
      </c>
      <c r="P44" s="178" t="s">
        <v>404</v>
      </c>
      <c r="Q44" s="178"/>
      <c r="R44" s="176">
        <f>IF((PA[[#This Row],[String Type(If String BD)]]&amp;PA[[#This Row],[Equipment (If any BD other than PV  array and inv)]])="",1,0)</f>
        <v>0</v>
      </c>
      <c r="S44" s="6">
        <f>IF(PA[[#This Row],[String Type(If String BD)]]="",1,0)</f>
        <v>0</v>
      </c>
      <c r="T4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 s="68">
        <f>IFERROR(VLOOKUP(PA[[#This Row],[Affected Equipment ]],'Basic Data '!$A$1:$B$1846,2,0),"")</f>
        <v>31.32</v>
      </c>
      <c r="V44" s="143">
        <f>IFERROR(VLOOKUP(PA[[#This Row],[Affected Equipment ]],'Basic Data '!$A$1:$C$1846,3,0),"")</f>
        <v>9.3467147730019601E-5</v>
      </c>
      <c r="W44" s="178" t="s">
        <v>451</v>
      </c>
      <c r="X44" s="110" t="s">
        <v>491</v>
      </c>
      <c r="Y44" s="110" t="s">
        <v>491</v>
      </c>
      <c r="Z44" s="109">
        <v>0.50694444444444442</v>
      </c>
      <c r="AA44" s="109">
        <v>0.50694444444444442</v>
      </c>
      <c r="AB44" s="109">
        <v>0.50694444444444442</v>
      </c>
      <c r="AC44" s="109">
        <v>0.51458333333333328</v>
      </c>
      <c r="AD44" s="82">
        <f>IF(PA[[#This Row],[Acknowledgement Time ]]="NA","",(PA[[#This Row],[Acknowledgement Time ]]-PA[[#This Row],[Fault Time]])*24)</f>
        <v>0</v>
      </c>
      <c r="AE44" s="82">
        <f>IF(PA[[#This Row],[Work Start time on Fault]]="NA","",(PA[[#This Row],[Work Start time on Fault]]-PA[[#This Row],[Fault Time]])*24)</f>
        <v>0</v>
      </c>
      <c r="AF44" s="111">
        <f>IF(PA[[#This Row],[Status]]="Open","",(PA[[#This Row],[Work Completion time on fault]]-PA[[#This Row],[Fault Time]])*24)</f>
        <v>0.18333333333333268</v>
      </c>
      <c r="AG44" s="82">
        <f>IFERROR((PA[[#This Row],[Work Completion time on fault]]-PA[[#This Row],[Fault Time]])*24,"")</f>
        <v>0.18333333333333268</v>
      </c>
      <c r="AH44" s="110" t="s">
        <v>491</v>
      </c>
      <c r="AI44" s="178" t="s">
        <v>422</v>
      </c>
      <c r="AJ44" s="68">
        <f>IFERROR(PA[[#This Row],[Breakdown Time]]*PA[[#This Row],[Plant Equivalent Weightage]],"")</f>
        <v>1.7135643750503531E-5</v>
      </c>
      <c r="AK44" s="117">
        <v>0.20386666666666667</v>
      </c>
      <c r="AL44" s="116">
        <f>IF(PA[[#This Row],[Lost PoA(Wh/m2)]]&gt;0,_xlfn.XLOOKUP($B44,'Daily KPI'!$A:$A,'Daily KPI'!$AE:$AE)*PA[[#This Row],[Lost PoA(Wh/m2)]]*U44,0)</f>
        <v>5.1491207274808808</v>
      </c>
      <c r="AM44" s="176" t="s">
        <v>2520</v>
      </c>
    </row>
    <row r="45" spans="1:39" ht="14" customHeight="1">
      <c r="A45" s="177">
        <f t="shared" si="1"/>
        <v>42</v>
      </c>
      <c r="B45" s="185">
        <v>45775</v>
      </c>
      <c r="C45" s="178" t="s">
        <v>477</v>
      </c>
      <c r="D45" s="176">
        <f>YEAR(PA[[#This Row],[Date]])</f>
        <v>2025</v>
      </c>
      <c r="E45" s="178" t="s">
        <v>361</v>
      </c>
      <c r="F45" s="178" t="s">
        <v>361</v>
      </c>
      <c r="G45" s="179">
        <v>45748</v>
      </c>
      <c r="H45" s="176">
        <f>DAY(EOMONTH(PA[[#This Row],[Month Year]],0))</f>
        <v>30</v>
      </c>
      <c r="I45" s="180">
        <f>VLOOKUP(PA[[#This Row],[Date]],Raw_Data[#All],9,0)</f>
        <v>0.26666666666666666</v>
      </c>
      <c r="J45" s="180">
        <f>VLOOKUP(PA[[#This Row],[Date]],Raw_Data[#All],10,0)</f>
        <v>0.80208333333333337</v>
      </c>
      <c r="K45" s="68">
        <f>IFERROR((PA[[#This Row],[Sunset Time (POA&lt;20 W/m2)]]-PA[[#This Row],[Sunrise Time (POA&gt;20 W/m2)]])*24,"")</f>
        <v>12.85</v>
      </c>
      <c r="L45" s="178" t="s">
        <v>423</v>
      </c>
      <c r="M45" s="178" t="s">
        <v>414</v>
      </c>
      <c r="N45" s="178" t="s">
        <v>395</v>
      </c>
      <c r="O45" s="178" t="s">
        <v>403</v>
      </c>
      <c r="P45" s="178" t="s">
        <v>404</v>
      </c>
      <c r="Q45" s="178"/>
      <c r="R45" s="176">
        <f>IF((PA[[#This Row],[String Type(If String BD)]]&amp;PA[[#This Row],[Equipment (If any BD other than PV  array and inv)]])="",1,0)</f>
        <v>0</v>
      </c>
      <c r="S45" s="6">
        <f>IF(PA[[#This Row],[String Type(If String BD)]]="",1,0)</f>
        <v>0</v>
      </c>
      <c r="T4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 s="68">
        <f>IFERROR(VLOOKUP(PA[[#This Row],[Affected Equipment ]],'Basic Data '!$A$1:$B$1846,2,0),"")</f>
        <v>31.32</v>
      </c>
      <c r="V45" s="143">
        <f>IFERROR(VLOOKUP(PA[[#This Row],[Affected Equipment ]],'Basic Data '!$A$1:$C$1846,3,0),"")</f>
        <v>9.3467147730019601E-5</v>
      </c>
      <c r="W45" s="178" t="s">
        <v>451</v>
      </c>
      <c r="X45" s="110" t="s">
        <v>491</v>
      </c>
      <c r="Y45" s="110" t="s">
        <v>491</v>
      </c>
      <c r="Z45" s="109">
        <v>0.5180555555555556</v>
      </c>
      <c r="AA45" s="109">
        <v>0.5180555555555556</v>
      </c>
      <c r="AB45" s="109">
        <v>0.5180555555555556</v>
      </c>
      <c r="AC45" s="109">
        <v>0.52500000000000002</v>
      </c>
      <c r="AD45" s="82">
        <f>IF(PA[[#This Row],[Acknowledgement Time ]]="NA","",(PA[[#This Row],[Acknowledgement Time ]]-PA[[#This Row],[Fault Time]])*24)</f>
        <v>0</v>
      </c>
      <c r="AE45" s="82">
        <f>IF(PA[[#This Row],[Work Start time on Fault]]="NA","",(PA[[#This Row],[Work Start time on Fault]]-PA[[#This Row],[Fault Time]])*24)</f>
        <v>0</v>
      </c>
      <c r="AF45" s="111">
        <f>IF(PA[[#This Row],[Status]]="Open","",(PA[[#This Row],[Work Completion time on fault]]-PA[[#This Row],[Fault Time]])*24)</f>
        <v>0.16666666666666607</v>
      </c>
      <c r="AG45" s="82">
        <f>IFERROR((PA[[#This Row],[Work Completion time on fault]]-PA[[#This Row],[Fault Time]])*24,"")</f>
        <v>0.16666666666666607</v>
      </c>
      <c r="AH45" s="110" t="s">
        <v>491</v>
      </c>
      <c r="AI45" s="178" t="s">
        <v>422</v>
      </c>
      <c r="AJ45" s="68">
        <f>IFERROR(PA[[#This Row],[Breakdown Time]]*PA[[#This Row],[Plant Equivalent Weightage]],"")</f>
        <v>1.5577857955003212E-5</v>
      </c>
      <c r="AK45" s="117">
        <v>0.18786666666666665</v>
      </c>
      <c r="AL45" s="116">
        <f>IF(PA[[#This Row],[Lost PoA(Wh/m2)]]&gt;0,_xlfn.XLOOKUP($B45,'Daily KPI'!$A:$A,'Daily KPI'!$AE:$AE)*PA[[#This Row],[Lost PoA(Wh/m2)]]*U45,0)</f>
        <v>4.7450039928192025</v>
      </c>
      <c r="AM45" s="176" t="s">
        <v>2520</v>
      </c>
    </row>
    <row r="46" spans="1:39" ht="14" customHeight="1">
      <c r="A46" s="177">
        <f t="shared" si="1"/>
        <v>43</v>
      </c>
      <c r="B46" s="185">
        <v>45775</v>
      </c>
      <c r="C46" s="178" t="s">
        <v>477</v>
      </c>
      <c r="D46" s="176">
        <f>YEAR(PA[[#This Row],[Date]])</f>
        <v>2025</v>
      </c>
      <c r="E46" s="178" t="s">
        <v>361</v>
      </c>
      <c r="F46" s="178" t="s">
        <v>361</v>
      </c>
      <c r="G46" s="179">
        <v>45748</v>
      </c>
      <c r="H46" s="176">
        <f>DAY(EOMONTH(PA[[#This Row],[Month Year]],0))</f>
        <v>30</v>
      </c>
      <c r="I46" s="180">
        <f>VLOOKUP(PA[[#This Row],[Date]],Raw_Data[#All],9,0)</f>
        <v>0.26666666666666666</v>
      </c>
      <c r="J46" s="180">
        <f>VLOOKUP(PA[[#This Row],[Date]],Raw_Data[#All],10,0)</f>
        <v>0.80208333333333337</v>
      </c>
      <c r="K46" s="68">
        <f>IFERROR((PA[[#This Row],[Sunset Time (POA&lt;20 W/m2)]]-PA[[#This Row],[Sunrise Time (POA&gt;20 W/m2)]])*24,"")</f>
        <v>12.85</v>
      </c>
      <c r="L46" s="178" t="s">
        <v>423</v>
      </c>
      <c r="M46" s="178" t="s">
        <v>401</v>
      </c>
      <c r="N46" s="178" t="s">
        <v>395</v>
      </c>
      <c r="O46" s="178" t="s">
        <v>442</v>
      </c>
      <c r="P46" s="178" t="s">
        <v>404</v>
      </c>
      <c r="Q46" s="178"/>
      <c r="R46" s="176">
        <f>IF((PA[[#This Row],[String Type(If String BD)]]&amp;PA[[#This Row],[Equipment (If any BD other than PV  array and inv)]])="",1,0)</f>
        <v>0</v>
      </c>
      <c r="S46" s="6">
        <f>IF(PA[[#This Row],[String Type(If String BD)]]="",1,0)</f>
        <v>0</v>
      </c>
      <c r="T4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 s="68">
        <f>IFERROR(VLOOKUP(PA[[#This Row],[Affected Equipment ]],'Basic Data '!$A$1:$B$1846,2,0),"")</f>
        <v>31.32</v>
      </c>
      <c r="V46" s="143">
        <f>IFERROR(VLOOKUP(PA[[#This Row],[Affected Equipment ]],'Basic Data '!$A$1:$C$1846,3,0),"")</f>
        <v>9.3467147730019601E-5</v>
      </c>
      <c r="W46" s="178" t="s">
        <v>451</v>
      </c>
      <c r="X46" s="110" t="s">
        <v>491</v>
      </c>
      <c r="Y46" s="110" t="s">
        <v>491</v>
      </c>
      <c r="Z46" s="109">
        <v>0.52638888888888891</v>
      </c>
      <c r="AA46" s="109">
        <v>0.52638888888888891</v>
      </c>
      <c r="AB46" s="109">
        <v>0.52638888888888891</v>
      </c>
      <c r="AC46" s="109">
        <v>0.53263888888888888</v>
      </c>
      <c r="AD46" s="82">
        <f>IF(PA[[#This Row],[Acknowledgement Time ]]="NA","",(PA[[#This Row],[Acknowledgement Time ]]-PA[[#This Row],[Fault Time]])*24)</f>
        <v>0</v>
      </c>
      <c r="AE46" s="82">
        <f>IF(PA[[#This Row],[Work Start time on Fault]]="NA","",(PA[[#This Row],[Work Start time on Fault]]-PA[[#This Row],[Fault Time]])*24)</f>
        <v>0</v>
      </c>
      <c r="AF46" s="111">
        <f>IF(PA[[#This Row],[Status]]="Open","",(PA[[#This Row],[Work Completion time on fault]]-PA[[#This Row],[Fault Time]])*24)</f>
        <v>0.14999999999999947</v>
      </c>
      <c r="AG46" s="82">
        <f>IFERROR((PA[[#This Row],[Work Completion time on fault]]-PA[[#This Row],[Fault Time]])*24,"")</f>
        <v>0.14999999999999947</v>
      </c>
      <c r="AH46" s="110" t="s">
        <v>491</v>
      </c>
      <c r="AI46" s="178" t="s">
        <v>422</v>
      </c>
      <c r="AJ46" s="68">
        <f>IFERROR(PA[[#This Row],[Breakdown Time]]*PA[[#This Row],[Plant Equivalent Weightage]],"")</f>
        <v>1.402007215950289E-5</v>
      </c>
      <c r="AK46" s="117">
        <v>0.17046666666666666</v>
      </c>
      <c r="AL46" s="116">
        <f>IF(PA[[#This Row],[Lost PoA(Wh/m2)]]&gt;0,_xlfn.XLOOKUP($B46,'Daily KPI'!$A:$A,'Daily KPI'!$AE:$AE)*PA[[#This Row],[Lost PoA(Wh/m2)]]*U46,0)</f>
        <v>4.3055270438746271</v>
      </c>
      <c r="AM46" s="176" t="s">
        <v>2520</v>
      </c>
    </row>
    <row r="47" spans="1:39" ht="14" customHeight="1">
      <c r="A47" s="177">
        <f t="shared" si="1"/>
        <v>44</v>
      </c>
      <c r="B47" s="185">
        <v>45775</v>
      </c>
      <c r="C47" s="178" t="s">
        <v>477</v>
      </c>
      <c r="D47" s="176">
        <f>YEAR(PA[[#This Row],[Date]])</f>
        <v>2025</v>
      </c>
      <c r="E47" s="178" t="s">
        <v>361</v>
      </c>
      <c r="F47" s="178" t="s">
        <v>361</v>
      </c>
      <c r="G47" s="179">
        <v>45748</v>
      </c>
      <c r="H47" s="176">
        <f>DAY(EOMONTH(PA[[#This Row],[Month Year]],0))</f>
        <v>30</v>
      </c>
      <c r="I47" s="180">
        <f>VLOOKUP(PA[[#This Row],[Date]],Raw_Data[#All],9,0)</f>
        <v>0.26666666666666666</v>
      </c>
      <c r="J47" s="180">
        <f>VLOOKUP(PA[[#This Row],[Date]],Raw_Data[#All],10,0)</f>
        <v>0.80208333333333337</v>
      </c>
      <c r="K47" s="68">
        <f>IFERROR((PA[[#This Row],[Sunset Time (POA&lt;20 W/m2)]]-PA[[#This Row],[Sunrise Time (POA&gt;20 W/m2)]])*24,"")</f>
        <v>12.85</v>
      </c>
      <c r="L47" s="178" t="s">
        <v>428</v>
      </c>
      <c r="M47" s="178" t="s">
        <v>394</v>
      </c>
      <c r="N47" s="178" t="s">
        <v>395</v>
      </c>
      <c r="O47" s="178" t="s">
        <v>403</v>
      </c>
      <c r="P47" s="178" t="s">
        <v>404</v>
      </c>
      <c r="Q47" s="178"/>
      <c r="R47" s="176">
        <f>IF((PA[[#This Row],[String Type(If String BD)]]&amp;PA[[#This Row],[Equipment (If any BD other than PV  array and inv)]])="",1,0)</f>
        <v>0</v>
      </c>
      <c r="S47" s="6">
        <f>IF(PA[[#This Row],[String Type(If String BD)]]="",1,0)</f>
        <v>0</v>
      </c>
      <c r="T4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 s="68">
        <f>IFERROR(VLOOKUP(PA[[#This Row],[Affected Equipment ]],'Basic Data '!$A$1:$B$1846,2,0),"")</f>
        <v>31.32</v>
      </c>
      <c r="V47" s="143">
        <f>IFERROR(VLOOKUP(PA[[#This Row],[Affected Equipment ]],'Basic Data '!$A$1:$C$1846,3,0),"")</f>
        <v>9.3467147730019601E-5</v>
      </c>
      <c r="W47" s="178" t="s">
        <v>451</v>
      </c>
      <c r="X47" s="110" t="s">
        <v>491</v>
      </c>
      <c r="Y47" s="110" t="s">
        <v>491</v>
      </c>
      <c r="Z47" s="109">
        <v>0.54305555555555551</v>
      </c>
      <c r="AA47" s="109">
        <v>0.54305555555555551</v>
      </c>
      <c r="AB47" s="109">
        <v>0.54305555555555551</v>
      </c>
      <c r="AC47" s="109">
        <v>0.55069444444444449</v>
      </c>
      <c r="AD47" s="82">
        <f>IF(PA[[#This Row],[Acknowledgement Time ]]="NA","",(PA[[#This Row],[Acknowledgement Time ]]-PA[[#This Row],[Fault Time]])*24)</f>
        <v>0</v>
      </c>
      <c r="AE47" s="82">
        <f>IF(PA[[#This Row],[Work Start time on Fault]]="NA","",(PA[[#This Row],[Work Start time on Fault]]-PA[[#This Row],[Fault Time]])*24)</f>
        <v>0</v>
      </c>
      <c r="AF47" s="111">
        <f>IF(PA[[#This Row],[Status]]="Open","",(PA[[#This Row],[Work Completion time on fault]]-PA[[#This Row],[Fault Time]])*24)</f>
        <v>0.18333333333333535</v>
      </c>
      <c r="AG47" s="82">
        <f>IFERROR((PA[[#This Row],[Work Completion time on fault]]-PA[[#This Row],[Fault Time]])*24,"")</f>
        <v>0.18333333333333535</v>
      </c>
      <c r="AH47" s="110" t="s">
        <v>491</v>
      </c>
      <c r="AI47" s="178" t="s">
        <v>422</v>
      </c>
      <c r="AJ47" s="68">
        <f>IFERROR(PA[[#This Row],[Breakdown Time]]*PA[[#This Row],[Plant Equivalent Weightage]],"")</f>
        <v>1.7135643750503782E-5</v>
      </c>
      <c r="AK47" s="117">
        <v>0.20226666666666668</v>
      </c>
      <c r="AL47" s="116">
        <f>IF(PA[[#This Row],[Lost PoA(Wh/m2)]]&gt;0,_xlfn.XLOOKUP($B47,'Daily KPI'!$A:$A,'Daily KPI'!$AE:$AE)*PA[[#This Row],[Lost PoA(Wh/m2)]]*U47,0)</f>
        <v>5.1087090540147129</v>
      </c>
      <c r="AM47" s="176" t="s">
        <v>2520</v>
      </c>
    </row>
    <row r="48" spans="1:39" ht="14" customHeight="1">
      <c r="A48" s="177">
        <f t="shared" si="1"/>
        <v>45</v>
      </c>
      <c r="B48" s="185">
        <v>45775</v>
      </c>
      <c r="C48" s="178" t="s">
        <v>477</v>
      </c>
      <c r="D48" s="176">
        <f>YEAR(PA[[#This Row],[Date]])</f>
        <v>2025</v>
      </c>
      <c r="E48" s="178" t="s">
        <v>361</v>
      </c>
      <c r="F48" s="178" t="s">
        <v>361</v>
      </c>
      <c r="G48" s="179">
        <v>45748</v>
      </c>
      <c r="H48" s="176">
        <f>DAY(EOMONTH(PA[[#This Row],[Month Year]],0))</f>
        <v>30</v>
      </c>
      <c r="I48" s="180">
        <f>VLOOKUP(PA[[#This Row],[Date]],Raw_Data[#All],9,0)</f>
        <v>0.26666666666666666</v>
      </c>
      <c r="J48" s="180">
        <f>VLOOKUP(PA[[#This Row],[Date]],Raw_Data[#All],10,0)</f>
        <v>0.80208333333333337</v>
      </c>
      <c r="K48" s="68">
        <f>IFERROR((PA[[#This Row],[Sunset Time (POA&lt;20 W/m2)]]-PA[[#This Row],[Sunrise Time (POA&gt;20 W/m2)]])*24,"")</f>
        <v>12.85</v>
      </c>
      <c r="L48" s="178" t="s">
        <v>428</v>
      </c>
      <c r="M48" s="178" t="s">
        <v>408</v>
      </c>
      <c r="N48" s="178" t="s">
        <v>395</v>
      </c>
      <c r="O48" s="178" t="s">
        <v>403</v>
      </c>
      <c r="P48" s="178" t="s">
        <v>404</v>
      </c>
      <c r="Q48" s="178"/>
      <c r="R48" s="176">
        <f>IF((PA[[#This Row],[String Type(If String BD)]]&amp;PA[[#This Row],[Equipment (If any BD other than PV  array and inv)]])="",1,0)</f>
        <v>0</v>
      </c>
      <c r="S48" s="6">
        <f>IF(PA[[#This Row],[String Type(If String BD)]]="",1,0)</f>
        <v>0</v>
      </c>
      <c r="T4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 s="68">
        <f>IFERROR(VLOOKUP(PA[[#This Row],[Affected Equipment ]],'Basic Data '!$A$1:$B$1846,2,0),"")</f>
        <v>31.32</v>
      </c>
      <c r="V48" s="143">
        <f>IFERROR(VLOOKUP(PA[[#This Row],[Affected Equipment ]],'Basic Data '!$A$1:$C$1846,3,0),"")</f>
        <v>9.3467147730019601E-5</v>
      </c>
      <c r="W48" s="178" t="s">
        <v>451</v>
      </c>
      <c r="X48" s="110" t="s">
        <v>491</v>
      </c>
      <c r="Y48" s="110" t="s">
        <v>491</v>
      </c>
      <c r="Z48" s="109">
        <v>0.55555555555555558</v>
      </c>
      <c r="AA48" s="109">
        <v>0.55555555555555558</v>
      </c>
      <c r="AB48" s="109">
        <v>0.55555555555555558</v>
      </c>
      <c r="AC48" s="109">
        <v>0.56319444444444444</v>
      </c>
      <c r="AD48" s="82">
        <f>IF(PA[[#This Row],[Acknowledgement Time ]]="NA","",(PA[[#This Row],[Acknowledgement Time ]]-PA[[#This Row],[Fault Time]])*24)</f>
        <v>0</v>
      </c>
      <c r="AE48" s="82">
        <f>IF(PA[[#This Row],[Work Start time on Fault]]="NA","",(PA[[#This Row],[Work Start time on Fault]]-PA[[#This Row],[Fault Time]])*24)</f>
        <v>0</v>
      </c>
      <c r="AF48" s="111">
        <f>IF(PA[[#This Row],[Status]]="Open","",(PA[[#This Row],[Work Completion time on fault]]-PA[[#This Row],[Fault Time]])*24)</f>
        <v>0.18333333333333268</v>
      </c>
      <c r="AG48" s="82">
        <f>IFERROR((PA[[#This Row],[Work Completion time on fault]]-PA[[#This Row],[Fault Time]])*24,"")</f>
        <v>0.18333333333333268</v>
      </c>
      <c r="AH48" s="110" t="s">
        <v>491</v>
      </c>
      <c r="AI48" s="178" t="s">
        <v>422</v>
      </c>
      <c r="AJ48" s="68">
        <f>IFERROR(PA[[#This Row],[Breakdown Time]]*PA[[#This Row],[Plant Equivalent Weightage]],"")</f>
        <v>1.7135643750503531E-5</v>
      </c>
      <c r="AK48" s="117">
        <v>0.20093333333333332</v>
      </c>
      <c r="AL48" s="116">
        <f>IF(PA[[#This Row],[Lost PoA(Wh/m2)]]&gt;0,_xlfn.XLOOKUP($B48,'Daily KPI'!$A:$A,'Daily KPI'!$AE:$AE)*PA[[#This Row],[Lost PoA(Wh/m2)]]*U48,0)</f>
        <v>5.0750326594595734</v>
      </c>
      <c r="AM48" s="176" t="s">
        <v>2520</v>
      </c>
    </row>
    <row r="49" spans="1:39" ht="14" customHeight="1">
      <c r="A49" s="177">
        <f t="shared" si="1"/>
        <v>46</v>
      </c>
      <c r="B49" s="185">
        <v>45775</v>
      </c>
      <c r="C49" s="178" t="s">
        <v>477</v>
      </c>
      <c r="D49" s="176">
        <f>YEAR(PA[[#This Row],[Date]])</f>
        <v>2025</v>
      </c>
      <c r="E49" s="178" t="s">
        <v>361</v>
      </c>
      <c r="F49" s="178" t="s">
        <v>361</v>
      </c>
      <c r="G49" s="179">
        <v>45748</v>
      </c>
      <c r="H49" s="176">
        <f>DAY(EOMONTH(PA[[#This Row],[Month Year]],0))</f>
        <v>30</v>
      </c>
      <c r="I49" s="180">
        <f>VLOOKUP(PA[[#This Row],[Date]],Raw_Data[#All],9,0)</f>
        <v>0.26666666666666666</v>
      </c>
      <c r="J49" s="180">
        <f>VLOOKUP(PA[[#This Row],[Date]],Raw_Data[#All],10,0)</f>
        <v>0.80208333333333337</v>
      </c>
      <c r="K49" s="68">
        <f>IFERROR((PA[[#This Row],[Sunset Time (POA&lt;20 W/m2)]]-PA[[#This Row],[Sunrise Time (POA&gt;20 W/m2)]])*24,"")</f>
        <v>12.85</v>
      </c>
      <c r="L49" s="178" t="s">
        <v>428</v>
      </c>
      <c r="M49" s="178" t="s">
        <v>414</v>
      </c>
      <c r="N49" s="178" t="s">
        <v>395</v>
      </c>
      <c r="O49" s="178" t="s">
        <v>409</v>
      </c>
      <c r="P49" s="178" t="s">
        <v>404</v>
      </c>
      <c r="Q49" s="178"/>
      <c r="R49" s="176">
        <f>IF((PA[[#This Row],[String Type(If String BD)]]&amp;PA[[#This Row],[Equipment (If any BD other than PV  array and inv)]])="",1,0)</f>
        <v>0</v>
      </c>
      <c r="S49" s="6">
        <f>IF(PA[[#This Row],[String Type(If String BD)]]="",1,0)</f>
        <v>0</v>
      </c>
      <c r="T4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 s="68">
        <f>IFERROR(VLOOKUP(PA[[#This Row],[Affected Equipment ]],'Basic Data '!$A$1:$B$1846,2,0),"")</f>
        <v>31.32</v>
      </c>
      <c r="V49" s="143">
        <f>IFERROR(VLOOKUP(PA[[#This Row],[Affected Equipment ]],'Basic Data '!$A$1:$C$1846,3,0),"")</f>
        <v>9.3467147730019601E-5</v>
      </c>
      <c r="W49" s="178" t="s">
        <v>451</v>
      </c>
      <c r="X49" s="110" t="s">
        <v>491</v>
      </c>
      <c r="Y49" s="110" t="s">
        <v>491</v>
      </c>
      <c r="Z49" s="109">
        <v>0.56458333333333333</v>
      </c>
      <c r="AA49" s="109">
        <v>0.56458333333333333</v>
      </c>
      <c r="AB49" s="109">
        <v>0.56458333333333333</v>
      </c>
      <c r="AC49" s="109">
        <v>0.5708333333333333</v>
      </c>
      <c r="AD49" s="82">
        <f>IF(PA[[#This Row],[Acknowledgement Time ]]="NA","",(PA[[#This Row],[Acknowledgement Time ]]-PA[[#This Row],[Fault Time]])*24)</f>
        <v>0</v>
      </c>
      <c r="AE49" s="82">
        <f>IF(PA[[#This Row],[Work Start time on Fault]]="NA","",(PA[[#This Row],[Work Start time on Fault]]-PA[[#This Row],[Fault Time]])*24)</f>
        <v>0</v>
      </c>
      <c r="AF49" s="111">
        <f>IF(PA[[#This Row],[Status]]="Open","",(PA[[#This Row],[Work Completion time on fault]]-PA[[#This Row],[Fault Time]])*24)</f>
        <v>0.14999999999999947</v>
      </c>
      <c r="AG49" s="82">
        <f>IFERROR((PA[[#This Row],[Work Completion time on fault]]-PA[[#This Row],[Fault Time]])*24,"")</f>
        <v>0.14999999999999947</v>
      </c>
      <c r="AH49" s="110" t="s">
        <v>491</v>
      </c>
      <c r="AI49" s="178" t="s">
        <v>422</v>
      </c>
      <c r="AJ49" s="68">
        <f>IFERROR(PA[[#This Row],[Breakdown Time]]*PA[[#This Row],[Plant Equivalent Weightage]],"")</f>
        <v>1.402007215950289E-5</v>
      </c>
      <c r="AK49" s="117">
        <v>0.16383333333333333</v>
      </c>
      <c r="AL49" s="116">
        <f>IF(PA[[#This Row],[Lost PoA(Wh/m2)]]&gt;0,_xlfn.XLOOKUP($B49,'Daily KPI'!$A:$A,'Daily KPI'!$AE:$AE)*PA[[#This Row],[Lost PoA(Wh/m2)]]*U49,0)</f>
        <v>4.1379869809628067</v>
      </c>
      <c r="AM49" s="176" t="s">
        <v>2520</v>
      </c>
    </row>
    <row r="50" spans="1:39" ht="14" customHeight="1">
      <c r="A50" s="177">
        <f t="shared" si="1"/>
        <v>47</v>
      </c>
      <c r="B50" s="185">
        <v>45775</v>
      </c>
      <c r="C50" s="178" t="s">
        <v>477</v>
      </c>
      <c r="D50" s="176">
        <f>YEAR(PA[[#This Row],[Date]])</f>
        <v>2025</v>
      </c>
      <c r="E50" s="178" t="s">
        <v>361</v>
      </c>
      <c r="F50" s="178" t="s">
        <v>361</v>
      </c>
      <c r="G50" s="179">
        <v>45748</v>
      </c>
      <c r="H50" s="176">
        <f>DAY(EOMONTH(PA[[#This Row],[Month Year]],0))</f>
        <v>30</v>
      </c>
      <c r="I50" s="180">
        <f>VLOOKUP(PA[[#This Row],[Date]],Raw_Data[#All],9,0)</f>
        <v>0.26666666666666666</v>
      </c>
      <c r="J50" s="180">
        <f>VLOOKUP(PA[[#This Row],[Date]],Raw_Data[#All],10,0)</f>
        <v>0.80208333333333337</v>
      </c>
      <c r="K50" s="68">
        <f>IFERROR((PA[[#This Row],[Sunset Time (POA&lt;20 W/m2)]]-PA[[#This Row],[Sunrise Time (POA&gt;20 W/m2)]])*24,"")</f>
        <v>12.85</v>
      </c>
      <c r="L50" s="178" t="s">
        <v>428</v>
      </c>
      <c r="M50" s="178" t="s">
        <v>401</v>
      </c>
      <c r="N50" s="178" t="s">
        <v>395</v>
      </c>
      <c r="O50" s="178" t="s">
        <v>406</v>
      </c>
      <c r="P50" s="178" t="s">
        <v>404</v>
      </c>
      <c r="Q50" s="178"/>
      <c r="R50" s="176">
        <f>IF((PA[[#This Row],[String Type(If String BD)]]&amp;PA[[#This Row],[Equipment (If any BD other than PV  array and inv)]])="",1,0)</f>
        <v>0</v>
      </c>
      <c r="S50" s="6">
        <f>IF(PA[[#This Row],[String Type(If String BD)]]="",1,0)</f>
        <v>0</v>
      </c>
      <c r="T5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 s="68">
        <f>IFERROR(VLOOKUP(PA[[#This Row],[Affected Equipment ]],'Basic Data '!$A$1:$B$1846,2,0),"")</f>
        <v>31.32</v>
      </c>
      <c r="V50" s="143">
        <f>IFERROR(VLOOKUP(PA[[#This Row],[Affected Equipment ]],'Basic Data '!$A$1:$C$1846,3,0),"")</f>
        <v>9.3467147730019601E-5</v>
      </c>
      <c r="W50" s="178" t="s">
        <v>451</v>
      </c>
      <c r="X50" s="110" t="s">
        <v>491</v>
      </c>
      <c r="Y50" s="110" t="s">
        <v>491</v>
      </c>
      <c r="Z50" s="109">
        <v>0.57361111111111107</v>
      </c>
      <c r="AA50" s="109">
        <v>0.57361111111111107</v>
      </c>
      <c r="AB50" s="109">
        <v>0.57361111111111107</v>
      </c>
      <c r="AC50" s="109">
        <v>0.5805555555555556</v>
      </c>
      <c r="AD50" s="82">
        <f>IF(PA[[#This Row],[Acknowledgement Time ]]="NA","",(PA[[#This Row],[Acknowledgement Time ]]-PA[[#This Row],[Fault Time]])*24)</f>
        <v>0</v>
      </c>
      <c r="AE50" s="82">
        <f>IF(PA[[#This Row],[Work Start time on Fault]]="NA","",(PA[[#This Row],[Work Start time on Fault]]-PA[[#This Row],[Fault Time]])*24)</f>
        <v>0</v>
      </c>
      <c r="AF50" s="111">
        <f>IF(PA[[#This Row],[Status]]="Open","",(PA[[#This Row],[Work Completion time on fault]]-PA[[#This Row],[Fault Time]])*24)</f>
        <v>0.16666666666666874</v>
      </c>
      <c r="AG50" s="82">
        <f>IFERROR((PA[[#This Row],[Work Completion time on fault]]-PA[[#This Row],[Fault Time]])*24,"")</f>
        <v>0.16666666666666874</v>
      </c>
      <c r="AH50" s="110" t="s">
        <v>491</v>
      </c>
      <c r="AI50" s="178" t="s">
        <v>422</v>
      </c>
      <c r="AJ50" s="68">
        <f>IFERROR(PA[[#This Row],[Breakdown Time]]*PA[[#This Row],[Plant Equivalent Weightage]],"")</f>
        <v>1.5577857955003462E-5</v>
      </c>
      <c r="AK50" s="117">
        <v>0.17563333333333334</v>
      </c>
      <c r="AL50" s="116">
        <f>IF(PA[[#This Row],[Lost PoA(Wh/m2)]]&gt;0,_xlfn.XLOOKUP($B50,'Daily KPI'!$A:$A,'Daily KPI'!$AE:$AE)*PA[[#This Row],[Lost PoA(Wh/m2)]]*U50,0)</f>
        <v>4.4360230727757948</v>
      </c>
      <c r="AM50" s="176" t="s">
        <v>2520</v>
      </c>
    </row>
    <row r="51" spans="1:39" ht="14" customHeight="1">
      <c r="A51" s="177">
        <f t="shared" si="1"/>
        <v>48</v>
      </c>
      <c r="B51" s="185">
        <v>45776</v>
      </c>
      <c r="C51" s="178" t="s">
        <v>477</v>
      </c>
      <c r="D51" s="176">
        <f>YEAR(PA[[#This Row],[Date]])</f>
        <v>2025</v>
      </c>
      <c r="E51" s="178" t="s">
        <v>361</v>
      </c>
      <c r="F51" s="178" t="s">
        <v>361</v>
      </c>
      <c r="G51" s="179">
        <v>45748</v>
      </c>
      <c r="H51" s="176">
        <f>DAY(EOMONTH(PA[[#This Row],[Month Year]],0))</f>
        <v>30</v>
      </c>
      <c r="I51" s="180">
        <f>VLOOKUP(PA[[#This Row],[Date]],Raw_Data[#All],9,0)</f>
        <v>0.2673611111111111</v>
      </c>
      <c r="J51" s="180">
        <f>VLOOKUP(PA[[#This Row],[Date]],Raw_Data[#All],10,0)</f>
        <v>0.80347222222222225</v>
      </c>
      <c r="K51" s="68">
        <f>IFERROR((PA[[#This Row],[Sunset Time (POA&lt;20 W/m2)]]-PA[[#This Row],[Sunrise Time (POA&gt;20 W/m2)]])*24,"")</f>
        <v>12.866666666666669</v>
      </c>
      <c r="L51" s="178" t="s">
        <v>426</v>
      </c>
      <c r="M51" s="178" t="s">
        <v>394</v>
      </c>
      <c r="N51" s="178" t="s">
        <v>395</v>
      </c>
      <c r="O51" s="178" t="s">
        <v>417</v>
      </c>
      <c r="P51" s="178" t="s">
        <v>404</v>
      </c>
      <c r="Q51" s="178"/>
      <c r="R51" s="176">
        <f>IF((PA[[#This Row],[String Type(If String BD)]]&amp;PA[[#This Row],[Equipment (If any BD other than PV  array and inv)]])="",1,0)</f>
        <v>0</v>
      </c>
      <c r="S51" s="6">
        <f>IF(PA[[#This Row],[String Type(If String BD)]]="",1,0)</f>
        <v>0</v>
      </c>
      <c r="T5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 s="68">
        <f>IFERROR(VLOOKUP(PA[[#This Row],[Affected Equipment ]],'Basic Data '!$A$1:$B$1846,2,0),"")</f>
        <v>31.32</v>
      </c>
      <c r="V51" s="143">
        <f>IFERROR(VLOOKUP(PA[[#This Row],[Affected Equipment ]],'Basic Data '!$A$1:$C$1846,3,0),"")</f>
        <v>9.3467147730019601E-5</v>
      </c>
      <c r="W51" s="178" t="s">
        <v>451</v>
      </c>
      <c r="X51" s="110" t="s">
        <v>491</v>
      </c>
      <c r="Y51" s="110" t="s">
        <v>491</v>
      </c>
      <c r="Z51" s="109">
        <v>0.44097222222222221</v>
      </c>
      <c r="AA51" s="109">
        <v>0.44097222222222221</v>
      </c>
      <c r="AB51" s="109">
        <v>0.44097222222222221</v>
      </c>
      <c r="AC51" s="109">
        <v>0.44861111111111113</v>
      </c>
      <c r="AD51" s="82">
        <f>IF(PA[[#This Row],[Acknowledgement Time ]]="NA","",(PA[[#This Row],[Acknowledgement Time ]]-PA[[#This Row],[Fault Time]])*24)</f>
        <v>0</v>
      </c>
      <c r="AE51" s="82">
        <f>IF(PA[[#This Row],[Work Start time on Fault]]="NA","",(PA[[#This Row],[Work Start time on Fault]]-PA[[#This Row],[Fault Time]])*24)</f>
        <v>0</v>
      </c>
      <c r="AF51" s="111">
        <f>IF(PA[[#This Row],[Status]]="Open","",(PA[[#This Row],[Work Completion time on fault]]-PA[[#This Row],[Fault Time]])*24)</f>
        <v>0.18333333333333401</v>
      </c>
      <c r="AG51" s="82">
        <f>IFERROR((PA[[#This Row],[Work Completion time on fault]]-PA[[#This Row],[Fault Time]])*24,"")</f>
        <v>0.18333333333333401</v>
      </c>
      <c r="AH51" s="110" t="s">
        <v>491</v>
      </c>
      <c r="AI51" s="178" t="s">
        <v>422</v>
      </c>
      <c r="AJ51" s="68">
        <f>IFERROR(PA[[#This Row],[Breakdown Time]]*PA[[#This Row],[Plant Equivalent Weightage]],"")</f>
        <v>1.7135643750503656E-5</v>
      </c>
      <c r="AK51" s="117">
        <v>0.15532666666666667</v>
      </c>
      <c r="AL51" s="116">
        <f>IF(PA[[#This Row],[Lost PoA(Wh/m2)]]&gt;0,_xlfn.XLOOKUP($B51,'Daily KPI'!$A:$A,'Daily KPI'!$AE:$AE)*PA[[#This Row],[Lost PoA(Wh/m2)]]*U51,0)</f>
        <v>3.9231315837010148</v>
      </c>
      <c r="AM51" s="176" t="s">
        <v>2521</v>
      </c>
    </row>
    <row r="52" spans="1:39" ht="14" customHeight="1">
      <c r="A52" s="177">
        <f t="shared" si="1"/>
        <v>49</v>
      </c>
      <c r="B52" s="185">
        <v>45776</v>
      </c>
      <c r="C52" s="178" t="s">
        <v>477</v>
      </c>
      <c r="D52" s="176">
        <f>YEAR(PA[[#This Row],[Date]])</f>
        <v>2025</v>
      </c>
      <c r="E52" s="178" t="s">
        <v>361</v>
      </c>
      <c r="F52" s="178" t="s">
        <v>361</v>
      </c>
      <c r="G52" s="179">
        <v>45748</v>
      </c>
      <c r="H52" s="176">
        <f>DAY(EOMONTH(PA[[#This Row],[Month Year]],0))</f>
        <v>30</v>
      </c>
      <c r="I52" s="180">
        <f>VLOOKUP(PA[[#This Row],[Date]],Raw_Data[#All],9,0)</f>
        <v>0.2673611111111111</v>
      </c>
      <c r="J52" s="180">
        <f>VLOOKUP(PA[[#This Row],[Date]],Raw_Data[#All],10,0)</f>
        <v>0.80347222222222225</v>
      </c>
      <c r="K52" s="68">
        <f>IFERROR((PA[[#This Row],[Sunset Time (POA&lt;20 W/m2)]]-PA[[#This Row],[Sunrise Time (POA&gt;20 W/m2)]])*24,"")</f>
        <v>12.866666666666669</v>
      </c>
      <c r="L52" s="178" t="s">
        <v>426</v>
      </c>
      <c r="M52" s="178" t="s">
        <v>408</v>
      </c>
      <c r="N52" s="178" t="s">
        <v>395</v>
      </c>
      <c r="O52" s="178" t="s">
        <v>409</v>
      </c>
      <c r="P52" s="178" t="s">
        <v>404</v>
      </c>
      <c r="Q52" s="178"/>
      <c r="R52" s="176">
        <f>IF((PA[[#This Row],[String Type(If String BD)]]&amp;PA[[#This Row],[Equipment (If any BD other than PV  array and inv)]])="",1,0)</f>
        <v>0</v>
      </c>
      <c r="S52" s="6">
        <f>IF(PA[[#This Row],[String Type(If String BD)]]="",1,0)</f>
        <v>0</v>
      </c>
      <c r="T5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 s="68">
        <f>IFERROR(VLOOKUP(PA[[#This Row],[Affected Equipment ]],'Basic Data '!$A$1:$B$1846,2,0),"")</f>
        <v>31.32</v>
      </c>
      <c r="V52" s="143">
        <f>IFERROR(VLOOKUP(PA[[#This Row],[Affected Equipment ]],'Basic Data '!$A$1:$C$1846,3,0),"")</f>
        <v>9.3467147730019601E-5</v>
      </c>
      <c r="W52" s="178" t="s">
        <v>451</v>
      </c>
      <c r="X52" s="110" t="s">
        <v>491</v>
      </c>
      <c r="Y52" s="110" t="s">
        <v>491</v>
      </c>
      <c r="Z52" s="109">
        <v>0.45208333333333334</v>
      </c>
      <c r="AA52" s="109">
        <v>0.45208333333333334</v>
      </c>
      <c r="AB52" s="109">
        <v>0.45208333333333334</v>
      </c>
      <c r="AC52" s="109">
        <v>0.45902777777777776</v>
      </c>
      <c r="AD52" s="82">
        <f>IF(PA[[#This Row],[Acknowledgement Time ]]="NA","",(PA[[#This Row],[Acknowledgement Time ]]-PA[[#This Row],[Fault Time]])*24)</f>
        <v>0</v>
      </c>
      <c r="AE52" s="82">
        <f>IF(PA[[#This Row],[Work Start time on Fault]]="NA","",(PA[[#This Row],[Work Start time on Fault]]-PA[[#This Row],[Fault Time]])*24)</f>
        <v>0</v>
      </c>
      <c r="AF52" s="111">
        <f>IF(PA[[#This Row],[Status]]="Open","",(PA[[#This Row],[Work Completion time on fault]]-PA[[#This Row],[Fault Time]])*24)</f>
        <v>0.16666666666666607</v>
      </c>
      <c r="AG52" s="82">
        <f>IFERROR((PA[[#This Row],[Work Completion time on fault]]-PA[[#This Row],[Fault Time]])*24,"")</f>
        <v>0.16666666666666607</v>
      </c>
      <c r="AH52" s="110" t="s">
        <v>491</v>
      </c>
      <c r="AI52" s="178" t="s">
        <v>422</v>
      </c>
      <c r="AJ52" s="68">
        <f>IFERROR(PA[[#This Row],[Breakdown Time]]*PA[[#This Row],[Plant Equivalent Weightage]],"")</f>
        <v>1.5577857955003212E-5</v>
      </c>
      <c r="AK52" s="117">
        <v>0.16386666666666666</v>
      </c>
      <c r="AL52" s="116">
        <f>IF(PA[[#This Row],[Lost PoA(Wh/m2)]]&gt;0,_xlfn.XLOOKUP($B52,'Daily KPI'!$A:$A,'Daily KPI'!$AE:$AE)*PA[[#This Row],[Lost PoA(Wh/m2)]]*U52,0)</f>
        <v>4.1388288908266855</v>
      </c>
      <c r="AM52" s="176" t="s">
        <v>2521</v>
      </c>
    </row>
    <row r="53" spans="1:39" ht="14" customHeight="1">
      <c r="A53" s="177">
        <f t="shared" si="1"/>
        <v>50</v>
      </c>
      <c r="B53" s="185">
        <v>45776</v>
      </c>
      <c r="C53" s="178" t="s">
        <v>477</v>
      </c>
      <c r="D53" s="176">
        <f>YEAR(PA[[#This Row],[Date]])</f>
        <v>2025</v>
      </c>
      <c r="E53" s="178" t="s">
        <v>361</v>
      </c>
      <c r="F53" s="178" t="s">
        <v>361</v>
      </c>
      <c r="G53" s="179">
        <v>45748</v>
      </c>
      <c r="H53" s="176">
        <f>DAY(EOMONTH(PA[[#This Row],[Month Year]],0))</f>
        <v>30</v>
      </c>
      <c r="I53" s="180">
        <f>VLOOKUP(PA[[#This Row],[Date]],Raw_Data[#All],9,0)</f>
        <v>0.2673611111111111</v>
      </c>
      <c r="J53" s="180">
        <f>VLOOKUP(PA[[#This Row],[Date]],Raw_Data[#All],10,0)</f>
        <v>0.80347222222222225</v>
      </c>
      <c r="K53" s="68">
        <f>IFERROR((PA[[#This Row],[Sunset Time (POA&lt;20 W/m2)]]-PA[[#This Row],[Sunrise Time (POA&gt;20 W/m2)]])*24,"")</f>
        <v>12.866666666666669</v>
      </c>
      <c r="L53" s="178" t="s">
        <v>426</v>
      </c>
      <c r="M53" s="178" t="s">
        <v>414</v>
      </c>
      <c r="N53" s="178" t="s">
        <v>402</v>
      </c>
      <c r="O53" s="178" t="s">
        <v>415</v>
      </c>
      <c r="P53" s="178" t="s">
        <v>404</v>
      </c>
      <c r="Q53" s="178"/>
      <c r="R53" s="176">
        <f>IF((PA[[#This Row],[String Type(If String BD)]]&amp;PA[[#This Row],[Equipment (If any BD other than PV  array and inv)]])="",1,0)</f>
        <v>0</v>
      </c>
      <c r="S53" s="6">
        <f>IF(PA[[#This Row],[String Type(If String BD)]]="",1,0)</f>
        <v>0</v>
      </c>
      <c r="T5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3" s="68">
        <f>IFERROR(VLOOKUP(PA[[#This Row],[Affected Equipment ]],'Basic Data '!$A$1:$B$1846,2,0),"")</f>
        <v>31.32</v>
      </c>
      <c r="V53" s="143">
        <f>IFERROR(VLOOKUP(PA[[#This Row],[Affected Equipment ]],'Basic Data '!$A$1:$C$1846,3,0),"")</f>
        <v>9.3467147730019601E-5</v>
      </c>
      <c r="W53" s="178" t="s">
        <v>451</v>
      </c>
      <c r="X53" s="110" t="s">
        <v>491</v>
      </c>
      <c r="Y53" s="110" t="s">
        <v>491</v>
      </c>
      <c r="Z53" s="109">
        <v>0.46180555555555558</v>
      </c>
      <c r="AA53" s="109">
        <v>0.46180555555555558</v>
      </c>
      <c r="AB53" s="109">
        <v>0.46180555555555558</v>
      </c>
      <c r="AC53" s="109">
        <v>0.46944444444444444</v>
      </c>
      <c r="AD53" s="82">
        <f>IF(PA[[#This Row],[Acknowledgement Time ]]="NA","",(PA[[#This Row],[Acknowledgement Time ]]-PA[[#This Row],[Fault Time]])*24)</f>
        <v>0</v>
      </c>
      <c r="AE53" s="82">
        <f>IF(PA[[#This Row],[Work Start time on Fault]]="NA","",(PA[[#This Row],[Work Start time on Fault]]-PA[[#This Row],[Fault Time]])*24)</f>
        <v>0</v>
      </c>
      <c r="AF53" s="111">
        <f>IF(PA[[#This Row],[Status]]="Open","",(PA[[#This Row],[Work Completion time on fault]]-PA[[#This Row],[Fault Time]])*24)</f>
        <v>0.18333333333333268</v>
      </c>
      <c r="AG53" s="82">
        <f>IFERROR((PA[[#This Row],[Work Completion time on fault]]-PA[[#This Row],[Fault Time]])*24,"")</f>
        <v>0.18333333333333268</v>
      </c>
      <c r="AH53" s="110" t="s">
        <v>491</v>
      </c>
      <c r="AI53" s="178" t="s">
        <v>422</v>
      </c>
      <c r="AJ53" s="68">
        <f>IFERROR(PA[[#This Row],[Breakdown Time]]*PA[[#This Row],[Plant Equivalent Weightage]],"")</f>
        <v>1.7135643750503531E-5</v>
      </c>
      <c r="AK53" s="117">
        <v>0.16527999999999998</v>
      </c>
      <c r="AL53" s="116">
        <f>IF(PA[[#This Row],[Lost PoA(Wh/m2)]]&gt;0,_xlfn.XLOOKUP($B53,'Daily KPI'!$A:$A,'Daily KPI'!$AE:$AE)*PA[[#This Row],[Lost PoA(Wh/m2)]]*U53,0)</f>
        <v>4.1745258690551337</v>
      </c>
      <c r="AM53" s="176" t="s">
        <v>2521</v>
      </c>
    </row>
    <row r="54" spans="1:39" ht="14" customHeight="1">
      <c r="A54" s="177">
        <f t="shared" si="1"/>
        <v>51</v>
      </c>
      <c r="B54" s="185">
        <v>45776</v>
      </c>
      <c r="C54" s="178" t="s">
        <v>477</v>
      </c>
      <c r="D54" s="176">
        <f>YEAR(PA[[#This Row],[Date]])</f>
        <v>2025</v>
      </c>
      <c r="E54" s="178" t="s">
        <v>361</v>
      </c>
      <c r="F54" s="178" t="s">
        <v>361</v>
      </c>
      <c r="G54" s="179">
        <v>45748</v>
      </c>
      <c r="H54" s="176">
        <f>DAY(EOMONTH(PA[[#This Row],[Month Year]],0))</f>
        <v>30</v>
      </c>
      <c r="I54" s="180">
        <f>VLOOKUP(PA[[#This Row],[Date]],Raw_Data[#All],9,0)</f>
        <v>0.2673611111111111</v>
      </c>
      <c r="J54" s="180">
        <f>VLOOKUP(PA[[#This Row],[Date]],Raw_Data[#All],10,0)</f>
        <v>0.80347222222222225</v>
      </c>
      <c r="K54" s="68">
        <f>IFERROR((PA[[#This Row],[Sunset Time (POA&lt;20 W/m2)]]-PA[[#This Row],[Sunrise Time (POA&gt;20 W/m2)]])*24,"")</f>
        <v>12.866666666666669</v>
      </c>
      <c r="L54" s="178" t="s">
        <v>426</v>
      </c>
      <c r="M54" s="178" t="s">
        <v>401</v>
      </c>
      <c r="N54" s="178" t="s">
        <v>402</v>
      </c>
      <c r="O54" s="178" t="s">
        <v>417</v>
      </c>
      <c r="P54" s="178" t="s">
        <v>404</v>
      </c>
      <c r="Q54" s="178"/>
      <c r="R54" s="176">
        <f>IF((PA[[#This Row],[String Type(If String BD)]]&amp;PA[[#This Row],[Equipment (If any BD other than PV  array and inv)]])="",1,0)</f>
        <v>0</v>
      </c>
      <c r="S54" s="6">
        <f>IF(PA[[#This Row],[String Type(If String BD)]]="",1,0)</f>
        <v>0</v>
      </c>
      <c r="T5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4" s="68">
        <f>IFERROR(VLOOKUP(PA[[#This Row],[Affected Equipment ]],'Basic Data '!$A$1:$B$1846,2,0),"")</f>
        <v>31.32</v>
      </c>
      <c r="V54" s="143">
        <f>IFERROR(VLOOKUP(PA[[#This Row],[Affected Equipment ]],'Basic Data '!$A$1:$C$1846,3,0),"")</f>
        <v>9.3467147730019601E-5</v>
      </c>
      <c r="W54" s="178" t="s">
        <v>451</v>
      </c>
      <c r="X54" s="110" t="s">
        <v>491</v>
      </c>
      <c r="Y54" s="110" t="s">
        <v>491</v>
      </c>
      <c r="Z54" s="109">
        <v>0.47291666666666665</v>
      </c>
      <c r="AA54" s="109">
        <v>0.47291666666666665</v>
      </c>
      <c r="AB54" s="109">
        <v>0.47291666666666665</v>
      </c>
      <c r="AC54" s="109">
        <v>0.48125000000000001</v>
      </c>
      <c r="AD54" s="82">
        <f>IF(PA[[#This Row],[Acknowledgement Time ]]="NA","",(PA[[#This Row],[Acknowledgement Time ]]-PA[[#This Row],[Fault Time]])*24)</f>
        <v>0</v>
      </c>
      <c r="AE54" s="82">
        <f>IF(PA[[#This Row],[Work Start time on Fault]]="NA","",(PA[[#This Row],[Work Start time on Fault]]-PA[[#This Row],[Fault Time]])*24)</f>
        <v>0</v>
      </c>
      <c r="AF54" s="111">
        <f>IF(PA[[#This Row],[Status]]="Open","",(PA[[#This Row],[Work Completion time on fault]]-PA[[#This Row],[Fault Time]])*24)</f>
        <v>0.20000000000000062</v>
      </c>
      <c r="AG54" s="82">
        <f>IFERROR((PA[[#This Row],[Work Completion time on fault]]-PA[[#This Row],[Fault Time]])*24,"")</f>
        <v>0.20000000000000062</v>
      </c>
      <c r="AH54" s="110" t="s">
        <v>491</v>
      </c>
      <c r="AI54" s="178" t="s">
        <v>422</v>
      </c>
      <c r="AJ54" s="68">
        <f>IFERROR(PA[[#This Row],[Breakdown Time]]*PA[[#This Row],[Plant Equivalent Weightage]],"")</f>
        <v>1.8693429546003979E-5</v>
      </c>
      <c r="AK54" s="117">
        <v>0.20649999999999999</v>
      </c>
      <c r="AL54" s="116">
        <f>IF(PA[[#This Row],[Lost PoA(Wh/m2)]]&gt;0,_xlfn.XLOOKUP($B54,'Daily KPI'!$A:$A,'Daily KPI'!$AE:$AE)*PA[[#This Row],[Lost PoA(Wh/m2)]]*U54,0)</f>
        <v>5.2156316067272819</v>
      </c>
      <c r="AM54" s="176" t="s">
        <v>2521</v>
      </c>
    </row>
    <row r="55" spans="1:39" ht="14" customHeight="1">
      <c r="A55" s="177">
        <f t="shared" si="1"/>
        <v>52</v>
      </c>
      <c r="B55" s="185">
        <v>45776</v>
      </c>
      <c r="C55" s="178" t="s">
        <v>477</v>
      </c>
      <c r="D55" s="176">
        <f>YEAR(PA[[#This Row],[Date]])</f>
        <v>2025</v>
      </c>
      <c r="E55" s="178" t="s">
        <v>361</v>
      </c>
      <c r="F55" s="178" t="s">
        <v>361</v>
      </c>
      <c r="G55" s="179">
        <v>45748</v>
      </c>
      <c r="H55" s="176">
        <f>DAY(EOMONTH(PA[[#This Row],[Month Year]],0))</f>
        <v>30</v>
      </c>
      <c r="I55" s="180">
        <f>VLOOKUP(PA[[#This Row],[Date]],Raw_Data[#All],9,0)</f>
        <v>0.2673611111111111</v>
      </c>
      <c r="J55" s="180">
        <f>VLOOKUP(PA[[#This Row],[Date]],Raw_Data[#All],10,0)</f>
        <v>0.80347222222222225</v>
      </c>
      <c r="K55" s="68">
        <f>IFERROR((PA[[#This Row],[Sunset Time (POA&lt;20 W/m2)]]-PA[[#This Row],[Sunrise Time (POA&gt;20 W/m2)]])*24,"")</f>
        <v>12.866666666666669</v>
      </c>
      <c r="L55" s="178" t="s">
        <v>446</v>
      </c>
      <c r="M55" s="178" t="s">
        <v>394</v>
      </c>
      <c r="N55" s="178" t="s">
        <v>402</v>
      </c>
      <c r="O55" s="178" t="s">
        <v>406</v>
      </c>
      <c r="P55" s="178" t="s">
        <v>404</v>
      </c>
      <c r="Q55" s="178"/>
      <c r="R55" s="176">
        <f>IF((PA[[#This Row],[String Type(If String BD)]]&amp;PA[[#This Row],[Equipment (If any BD other than PV  array and inv)]])="",1,0)</f>
        <v>0</v>
      </c>
      <c r="S55" s="6">
        <f>IF(PA[[#This Row],[String Type(If String BD)]]="",1,0)</f>
        <v>0</v>
      </c>
      <c r="T5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5" s="68">
        <f>IFERROR(VLOOKUP(PA[[#This Row],[Affected Equipment ]],'Basic Data '!$A$1:$B$1846,2,0),"")</f>
        <v>31.32</v>
      </c>
      <c r="V55" s="143">
        <f>IFERROR(VLOOKUP(PA[[#This Row],[Affected Equipment ]],'Basic Data '!$A$1:$C$1846,3,0),"")</f>
        <v>9.3467147730019601E-5</v>
      </c>
      <c r="W55" s="178" t="s">
        <v>451</v>
      </c>
      <c r="X55" s="110" t="s">
        <v>491</v>
      </c>
      <c r="Y55" s="110" t="s">
        <v>491</v>
      </c>
      <c r="Z55" s="109">
        <v>0.49652777777777779</v>
      </c>
      <c r="AA55" s="109">
        <v>0.49652777777777779</v>
      </c>
      <c r="AB55" s="109">
        <v>0.49652777777777779</v>
      </c>
      <c r="AC55" s="109">
        <v>0.50347222222222221</v>
      </c>
      <c r="AD55" s="82">
        <f>IF(PA[[#This Row],[Acknowledgement Time ]]="NA","",(PA[[#This Row],[Acknowledgement Time ]]-PA[[#This Row],[Fault Time]])*24)</f>
        <v>0</v>
      </c>
      <c r="AE55" s="82">
        <f>IF(PA[[#This Row],[Work Start time on Fault]]="NA","",(PA[[#This Row],[Work Start time on Fault]]-PA[[#This Row],[Fault Time]])*24)</f>
        <v>0</v>
      </c>
      <c r="AF55" s="111">
        <f>IF(PA[[#This Row],[Status]]="Open","",(PA[[#This Row],[Work Completion time on fault]]-PA[[#This Row],[Fault Time]])*24)</f>
        <v>0.16666666666666607</v>
      </c>
      <c r="AG55" s="82">
        <f>IFERROR((PA[[#This Row],[Work Completion time on fault]]-PA[[#This Row],[Fault Time]])*24,"")</f>
        <v>0.16666666666666607</v>
      </c>
      <c r="AH55" s="110" t="s">
        <v>491</v>
      </c>
      <c r="AI55" s="178" t="s">
        <v>422</v>
      </c>
      <c r="AJ55" s="68">
        <f>IFERROR(PA[[#This Row],[Breakdown Time]]*PA[[#This Row],[Plant Equivalent Weightage]],"")</f>
        <v>1.5577857955003212E-5</v>
      </c>
      <c r="AK55" s="117">
        <v>0.18366666666666667</v>
      </c>
      <c r="AL55" s="116">
        <f>IF(PA[[#This Row],[Lost PoA(Wh/m2)]]&gt;0,_xlfn.XLOOKUP($B55,'Daily KPI'!$A:$A,'Daily KPI'!$AE:$AE)*PA[[#This Row],[Lost PoA(Wh/m2)]]*U55,0)</f>
        <v>4.6389233499705123</v>
      </c>
      <c r="AM55" s="176" t="s">
        <v>2521</v>
      </c>
    </row>
    <row r="56" spans="1:39" ht="14" customHeight="1">
      <c r="A56" s="177">
        <f t="shared" si="1"/>
        <v>53</v>
      </c>
      <c r="B56" s="185">
        <v>45776</v>
      </c>
      <c r="C56" s="178" t="s">
        <v>477</v>
      </c>
      <c r="D56" s="176">
        <f>YEAR(PA[[#This Row],[Date]])</f>
        <v>2025</v>
      </c>
      <c r="E56" s="178" t="s">
        <v>361</v>
      </c>
      <c r="F56" s="178" t="s">
        <v>361</v>
      </c>
      <c r="G56" s="179">
        <v>45748</v>
      </c>
      <c r="H56" s="176">
        <f>DAY(EOMONTH(PA[[#This Row],[Month Year]],0))</f>
        <v>30</v>
      </c>
      <c r="I56" s="180">
        <f>VLOOKUP(PA[[#This Row],[Date]],Raw_Data[#All],9,0)</f>
        <v>0.2673611111111111</v>
      </c>
      <c r="J56" s="180">
        <f>VLOOKUP(PA[[#This Row],[Date]],Raw_Data[#All],10,0)</f>
        <v>0.80347222222222225</v>
      </c>
      <c r="K56" s="68">
        <f>IFERROR((PA[[#This Row],[Sunset Time (POA&lt;20 W/m2)]]-PA[[#This Row],[Sunrise Time (POA&gt;20 W/m2)]])*24,"")</f>
        <v>12.866666666666669</v>
      </c>
      <c r="L56" s="178" t="s">
        <v>446</v>
      </c>
      <c r="M56" s="178" t="s">
        <v>408</v>
      </c>
      <c r="N56" s="178" t="s">
        <v>395</v>
      </c>
      <c r="O56" s="178" t="s">
        <v>442</v>
      </c>
      <c r="P56" s="178" t="s">
        <v>404</v>
      </c>
      <c r="Q56" s="178"/>
      <c r="R56" s="176">
        <f>IF((PA[[#This Row],[String Type(If String BD)]]&amp;PA[[#This Row],[Equipment (If any BD other than PV  array and inv)]])="",1,0)</f>
        <v>0</v>
      </c>
      <c r="S56" s="6">
        <f>IF(PA[[#This Row],[String Type(If String BD)]]="",1,0)</f>
        <v>0</v>
      </c>
      <c r="T5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6" s="68">
        <f>IFERROR(VLOOKUP(PA[[#This Row],[Affected Equipment ]],'Basic Data '!$A$1:$B$1846,2,0),"")</f>
        <v>31.32</v>
      </c>
      <c r="V56" s="143">
        <f>IFERROR(VLOOKUP(PA[[#This Row],[Affected Equipment ]],'Basic Data '!$A$1:$C$1846,3,0),"")</f>
        <v>9.3467147730019601E-5</v>
      </c>
      <c r="W56" s="178" t="s">
        <v>451</v>
      </c>
      <c r="X56" s="110" t="s">
        <v>491</v>
      </c>
      <c r="Y56" s="110" t="s">
        <v>491</v>
      </c>
      <c r="Z56" s="109">
        <v>0.50902777777777775</v>
      </c>
      <c r="AA56" s="109">
        <v>0.50902777777777775</v>
      </c>
      <c r="AB56" s="109">
        <v>0.50902777777777775</v>
      </c>
      <c r="AC56" s="109">
        <v>0.51666666666666672</v>
      </c>
      <c r="AD56" s="82">
        <f>IF(PA[[#This Row],[Acknowledgement Time ]]="NA","",(PA[[#This Row],[Acknowledgement Time ]]-PA[[#This Row],[Fault Time]])*24)</f>
        <v>0</v>
      </c>
      <c r="AE56" s="82">
        <f>IF(PA[[#This Row],[Work Start time on Fault]]="NA","",(PA[[#This Row],[Work Start time on Fault]]-PA[[#This Row],[Fault Time]])*24)</f>
        <v>0</v>
      </c>
      <c r="AF56" s="111">
        <f>IF(PA[[#This Row],[Status]]="Open","",(PA[[#This Row],[Work Completion time on fault]]-PA[[#This Row],[Fault Time]])*24)</f>
        <v>0.18333333333333535</v>
      </c>
      <c r="AG56" s="82">
        <f>IFERROR((PA[[#This Row],[Work Completion time on fault]]-PA[[#This Row],[Fault Time]])*24,"")</f>
        <v>0.18333333333333535</v>
      </c>
      <c r="AH56" s="110" t="s">
        <v>491</v>
      </c>
      <c r="AI56" s="178" t="s">
        <v>422</v>
      </c>
      <c r="AJ56" s="68">
        <f>IFERROR(PA[[#This Row],[Breakdown Time]]*PA[[#This Row],[Plant Equivalent Weightage]],"")</f>
        <v>1.7135643750503782E-5</v>
      </c>
      <c r="AK56" s="117">
        <v>0.20125000000000001</v>
      </c>
      <c r="AL56" s="116">
        <f>IF(PA[[#This Row],[Lost PoA(Wh/m2)]]&gt;0,_xlfn.XLOOKUP($B56,'Daily KPI'!$A:$A,'Daily KPI'!$AE:$AE)*PA[[#This Row],[Lost PoA(Wh/m2)]]*U56,0)</f>
        <v>5.0830308031664195</v>
      </c>
      <c r="AM56" s="176" t="s">
        <v>2521</v>
      </c>
    </row>
    <row r="57" spans="1:39" ht="14" customHeight="1">
      <c r="A57" s="177">
        <f t="shared" si="1"/>
        <v>54</v>
      </c>
      <c r="B57" s="185">
        <v>45776</v>
      </c>
      <c r="C57" s="178" t="s">
        <v>477</v>
      </c>
      <c r="D57" s="176">
        <f>YEAR(PA[[#This Row],[Date]])</f>
        <v>2025</v>
      </c>
      <c r="E57" s="178" t="s">
        <v>361</v>
      </c>
      <c r="F57" s="178" t="s">
        <v>361</v>
      </c>
      <c r="G57" s="179">
        <v>45748</v>
      </c>
      <c r="H57" s="176">
        <f>DAY(EOMONTH(PA[[#This Row],[Month Year]],0))</f>
        <v>30</v>
      </c>
      <c r="I57" s="180">
        <f>VLOOKUP(PA[[#This Row],[Date]],Raw_Data[#All],9,0)</f>
        <v>0.2673611111111111</v>
      </c>
      <c r="J57" s="180">
        <f>VLOOKUP(PA[[#This Row],[Date]],Raw_Data[#All],10,0)</f>
        <v>0.80347222222222225</v>
      </c>
      <c r="K57" s="68">
        <f>IFERROR((PA[[#This Row],[Sunset Time (POA&lt;20 W/m2)]]-PA[[#This Row],[Sunrise Time (POA&gt;20 W/m2)]])*24,"")</f>
        <v>12.866666666666669</v>
      </c>
      <c r="L57" s="178" t="s">
        <v>446</v>
      </c>
      <c r="M57" s="178" t="s">
        <v>414</v>
      </c>
      <c r="N57" s="178" t="s">
        <v>402</v>
      </c>
      <c r="O57" s="178" t="s">
        <v>403</v>
      </c>
      <c r="P57" s="178" t="s">
        <v>404</v>
      </c>
      <c r="Q57" s="178"/>
      <c r="R57" s="176">
        <f>IF((PA[[#This Row],[String Type(If String BD)]]&amp;PA[[#This Row],[Equipment (If any BD other than PV  array and inv)]])="",1,0)</f>
        <v>0</v>
      </c>
      <c r="S57" s="6">
        <f>IF(PA[[#This Row],[String Type(If String BD)]]="",1,0)</f>
        <v>0</v>
      </c>
      <c r="T5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7" s="68">
        <f>IFERROR(VLOOKUP(PA[[#This Row],[Affected Equipment ]],'Basic Data '!$A$1:$B$1846,2,0),"")</f>
        <v>31.32</v>
      </c>
      <c r="V57" s="143">
        <f>IFERROR(VLOOKUP(PA[[#This Row],[Affected Equipment ]],'Basic Data '!$A$1:$C$1846,3,0),"")</f>
        <v>9.3467147730019601E-5</v>
      </c>
      <c r="W57" s="178" t="s">
        <v>451</v>
      </c>
      <c r="X57" s="110" t="s">
        <v>491</v>
      </c>
      <c r="Y57" s="110" t="s">
        <v>491</v>
      </c>
      <c r="Z57" s="109">
        <v>0.52430555555555558</v>
      </c>
      <c r="AA57" s="109">
        <v>0.52430555555555558</v>
      </c>
      <c r="AB57" s="109">
        <v>0.52430555555555558</v>
      </c>
      <c r="AC57" s="109">
        <v>0.53194444444444444</v>
      </c>
      <c r="AD57" s="82">
        <f>IF(PA[[#This Row],[Acknowledgement Time ]]="NA","",(PA[[#This Row],[Acknowledgement Time ]]-PA[[#This Row],[Fault Time]])*24)</f>
        <v>0</v>
      </c>
      <c r="AE57" s="82">
        <f>IF(PA[[#This Row],[Work Start time on Fault]]="NA","",(PA[[#This Row],[Work Start time on Fault]]-PA[[#This Row],[Fault Time]])*24)</f>
        <v>0</v>
      </c>
      <c r="AF57" s="111">
        <f>IF(PA[[#This Row],[Status]]="Open","",(PA[[#This Row],[Work Completion time on fault]]-PA[[#This Row],[Fault Time]])*24)</f>
        <v>0.18333333333333268</v>
      </c>
      <c r="AG57" s="82">
        <f>IFERROR((PA[[#This Row],[Work Completion time on fault]]-PA[[#This Row],[Fault Time]])*24,"")</f>
        <v>0.18333333333333268</v>
      </c>
      <c r="AH57" s="110" t="s">
        <v>491</v>
      </c>
      <c r="AI57" s="178" t="s">
        <v>422</v>
      </c>
      <c r="AJ57" s="68">
        <f>IFERROR(PA[[#This Row],[Breakdown Time]]*PA[[#This Row],[Plant Equivalent Weightage]],"")</f>
        <v>1.7135643750503531E-5</v>
      </c>
      <c r="AK57" s="117">
        <v>0.20648333333333332</v>
      </c>
      <c r="AL57" s="116">
        <f>IF(PA[[#This Row],[Lost PoA(Wh/m2)]]&gt;0,_xlfn.XLOOKUP($B57,'Daily KPI'!$A:$A,'Daily KPI'!$AE:$AE)*PA[[#This Row],[Lost PoA(Wh/m2)]]*U57,0)</f>
        <v>5.215210651795342</v>
      </c>
      <c r="AM57" s="176" t="s">
        <v>2521</v>
      </c>
    </row>
    <row r="58" spans="1:39" ht="14" customHeight="1">
      <c r="A58" s="177">
        <f t="shared" si="1"/>
        <v>55</v>
      </c>
      <c r="B58" s="185">
        <v>45776</v>
      </c>
      <c r="C58" s="178" t="s">
        <v>477</v>
      </c>
      <c r="D58" s="176">
        <f>YEAR(PA[[#This Row],[Date]])</f>
        <v>2025</v>
      </c>
      <c r="E58" s="178" t="s">
        <v>361</v>
      </c>
      <c r="F58" s="178" t="s">
        <v>361</v>
      </c>
      <c r="G58" s="179">
        <v>45748</v>
      </c>
      <c r="H58" s="176">
        <f>DAY(EOMONTH(PA[[#This Row],[Month Year]],0))</f>
        <v>30</v>
      </c>
      <c r="I58" s="180">
        <f>VLOOKUP(PA[[#This Row],[Date]],Raw_Data[#All],9,0)</f>
        <v>0.2673611111111111</v>
      </c>
      <c r="J58" s="180">
        <f>VLOOKUP(PA[[#This Row],[Date]],Raw_Data[#All],10,0)</f>
        <v>0.80347222222222225</v>
      </c>
      <c r="K58" s="68">
        <f>IFERROR((PA[[#This Row],[Sunset Time (POA&lt;20 W/m2)]]-PA[[#This Row],[Sunrise Time (POA&gt;20 W/m2)]])*24,"")</f>
        <v>12.866666666666669</v>
      </c>
      <c r="L58" s="178" t="s">
        <v>446</v>
      </c>
      <c r="M58" s="178" t="s">
        <v>401</v>
      </c>
      <c r="N58" s="178" t="s">
        <v>402</v>
      </c>
      <c r="O58" s="178" t="s">
        <v>406</v>
      </c>
      <c r="P58" s="178" t="s">
        <v>404</v>
      </c>
      <c r="Q58" s="178"/>
      <c r="R58" s="176">
        <f>IF((PA[[#This Row],[String Type(If String BD)]]&amp;PA[[#This Row],[Equipment (If any BD other than PV  array and inv)]])="",1,0)</f>
        <v>0</v>
      </c>
      <c r="S58" s="6">
        <f>IF(PA[[#This Row],[String Type(If String BD)]]="",1,0)</f>
        <v>0</v>
      </c>
      <c r="T5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8" s="68">
        <f>IFERROR(VLOOKUP(PA[[#This Row],[Affected Equipment ]],'Basic Data '!$A$1:$B$1846,2,0),"")</f>
        <v>31.32</v>
      </c>
      <c r="V58" s="143">
        <f>IFERROR(VLOOKUP(PA[[#This Row],[Affected Equipment ]],'Basic Data '!$A$1:$C$1846,3,0),"")</f>
        <v>9.3467147730019601E-5</v>
      </c>
      <c r="W58" s="178" t="s">
        <v>451</v>
      </c>
      <c r="X58" s="110" t="s">
        <v>491</v>
      </c>
      <c r="Y58" s="110" t="s">
        <v>491</v>
      </c>
      <c r="Z58" s="109">
        <v>0.5395833333333333</v>
      </c>
      <c r="AA58" s="109">
        <v>0.5395833333333333</v>
      </c>
      <c r="AB58" s="109">
        <v>0.5395833333333333</v>
      </c>
      <c r="AC58" s="109">
        <v>0.54722222222222228</v>
      </c>
      <c r="AD58" s="82">
        <f>IF(PA[[#This Row],[Acknowledgement Time ]]="NA","",(PA[[#This Row],[Acknowledgement Time ]]-PA[[#This Row],[Fault Time]])*24)</f>
        <v>0</v>
      </c>
      <c r="AE58" s="82">
        <f>IF(PA[[#This Row],[Work Start time on Fault]]="NA","",(PA[[#This Row],[Work Start time on Fault]]-PA[[#This Row],[Fault Time]])*24)</f>
        <v>0</v>
      </c>
      <c r="AF58" s="111">
        <f>IF(PA[[#This Row],[Status]]="Open","",(PA[[#This Row],[Work Completion time on fault]]-PA[[#This Row],[Fault Time]])*24)</f>
        <v>0.18333333333333535</v>
      </c>
      <c r="AG58" s="82">
        <f>IFERROR((PA[[#This Row],[Work Completion time on fault]]-PA[[#This Row],[Fault Time]])*24,"")</f>
        <v>0.18333333333333535</v>
      </c>
      <c r="AH58" s="110" t="s">
        <v>491</v>
      </c>
      <c r="AI58" s="178" t="s">
        <v>422</v>
      </c>
      <c r="AJ58" s="68">
        <f>IFERROR(PA[[#This Row],[Breakdown Time]]*PA[[#This Row],[Plant Equivalent Weightage]],"")</f>
        <v>1.7135643750503782E-5</v>
      </c>
      <c r="AK58" s="117">
        <v>0.17515</v>
      </c>
      <c r="AL58" s="116">
        <f>IF(PA[[#This Row],[Lost PoA(Wh/m2)]]&gt;0,_xlfn.XLOOKUP($B58,'Daily KPI'!$A:$A,'Daily KPI'!$AE:$AE)*PA[[#This Row],[Lost PoA(Wh/m2)]]*U58,0)</f>
        <v>4.4238153797495565</v>
      </c>
      <c r="AM58" s="176" t="s">
        <v>2521</v>
      </c>
    </row>
    <row r="59" spans="1:39" ht="14" customHeight="1">
      <c r="A59" s="177">
        <f t="shared" si="1"/>
        <v>56</v>
      </c>
      <c r="B59" s="185">
        <v>45776</v>
      </c>
      <c r="C59" s="178" t="s">
        <v>477</v>
      </c>
      <c r="D59" s="176">
        <f>YEAR(PA[[#This Row],[Date]])</f>
        <v>2025</v>
      </c>
      <c r="E59" s="178" t="s">
        <v>361</v>
      </c>
      <c r="F59" s="178" t="s">
        <v>361</v>
      </c>
      <c r="G59" s="179">
        <v>45748</v>
      </c>
      <c r="H59" s="176">
        <f>DAY(EOMONTH(PA[[#This Row],[Month Year]],0))</f>
        <v>30</v>
      </c>
      <c r="I59" s="180">
        <f>VLOOKUP(PA[[#This Row],[Date]],Raw_Data[#All],9,0)</f>
        <v>0.2673611111111111</v>
      </c>
      <c r="J59" s="180">
        <f>VLOOKUP(PA[[#This Row],[Date]],Raw_Data[#All],10,0)</f>
        <v>0.80347222222222225</v>
      </c>
      <c r="K59" s="68">
        <f>IFERROR((PA[[#This Row],[Sunset Time (POA&lt;20 W/m2)]]-PA[[#This Row],[Sunrise Time (POA&gt;20 W/m2)]])*24,"")</f>
        <v>12.866666666666669</v>
      </c>
      <c r="L59" s="178" t="s">
        <v>423</v>
      </c>
      <c r="M59" s="178" t="s">
        <v>401</v>
      </c>
      <c r="N59" s="178" t="s">
        <v>395</v>
      </c>
      <c r="O59" s="178" t="s">
        <v>396</v>
      </c>
      <c r="P59" s="178" t="s">
        <v>429</v>
      </c>
      <c r="Q59" s="178"/>
      <c r="R59" s="176">
        <f>IF((PA[[#This Row],[String Type(If String BD)]]&amp;PA[[#This Row],[Equipment (If any BD other than PV  array and inv)]])="",1,0)</f>
        <v>0</v>
      </c>
      <c r="S59" s="6">
        <f>IF(PA[[#This Row],[String Type(If String BD)]]="",1,0)</f>
        <v>0</v>
      </c>
      <c r="T5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9" s="68">
        <f>IFERROR(VLOOKUP(PA[[#This Row],[Affected Equipment ]],'Basic Data '!$A$1:$B$1846,2,0),"")</f>
        <v>15.66</v>
      </c>
      <c r="V59" s="143">
        <f>IFERROR(VLOOKUP(PA[[#This Row],[Affected Equipment ]],'Basic Data '!$A$1:$C$1846,3,0),"")</f>
        <v>4.6733573865009801E-5</v>
      </c>
      <c r="W59" s="178" t="s">
        <v>453</v>
      </c>
      <c r="X59" s="110" t="s">
        <v>469</v>
      </c>
      <c r="Y59" s="110" t="s">
        <v>469</v>
      </c>
      <c r="Z59" s="10">
        <v>0.2673611111111111</v>
      </c>
      <c r="AA59" s="10">
        <v>0.2673611111111111</v>
      </c>
      <c r="AB59" s="10">
        <v>0.2673611111111111</v>
      </c>
      <c r="AC59" s="10">
        <v>0.80347222222222225</v>
      </c>
      <c r="AD59" s="82">
        <f>IF(PA[[#This Row],[Acknowledgement Time ]]="NA","",(PA[[#This Row],[Acknowledgement Time ]]-PA[[#This Row],[Fault Time]])*24)</f>
        <v>0</v>
      </c>
      <c r="AE59" s="82">
        <f>IF(PA[[#This Row],[Work Start time on Fault]]="NA","",(PA[[#This Row],[Work Start time on Fault]]-PA[[#This Row],[Fault Time]])*24)</f>
        <v>0</v>
      </c>
      <c r="AF59" s="111">
        <f>IF(PA[[#This Row],[Status]]="Open","",(PA[[#This Row],[Work Completion time on fault]]-PA[[#This Row],[Fault Time]])*24)</f>
        <v>12.866666666666669</v>
      </c>
      <c r="AG59" s="82">
        <f>IFERROR((PA[[#This Row],[Work Completion time on fault]]-PA[[#This Row],[Fault Time]])*24,"")</f>
        <v>12.866666666666669</v>
      </c>
      <c r="AH59" s="110" t="s">
        <v>2522</v>
      </c>
      <c r="AI59" s="178" t="s">
        <v>422</v>
      </c>
      <c r="AJ59" s="68">
        <f>IFERROR(PA[[#This Row],[Breakdown Time]]*PA[[#This Row],[Plant Equivalent Weightage]],"")</f>
        <v>6.0130531706312619E-4</v>
      </c>
      <c r="AK59" s="117">
        <v>7.05</v>
      </c>
      <c r="AL59" s="116">
        <f>IF(PA[[#This Row],[Lost PoA(Wh/m2)]]&gt;0,_xlfn.XLOOKUP($B59,'Daily KPI'!$A:$A,'Daily KPI'!$AE:$AE)*PA[[#This Row],[Lost PoA(Wh/m2)]]*U59,0)</f>
        <v>89.031968105150938</v>
      </c>
      <c r="AM59" s="176" t="s">
        <v>2523</v>
      </c>
    </row>
    <row r="60" spans="1:39" ht="14" customHeight="1">
      <c r="A60" s="177">
        <f t="shared" si="1"/>
        <v>57</v>
      </c>
      <c r="B60" s="185">
        <v>45776</v>
      </c>
      <c r="C60" s="178" t="s">
        <v>477</v>
      </c>
      <c r="D60" s="176">
        <f>YEAR(PA[[#This Row],[Date]])</f>
        <v>2025</v>
      </c>
      <c r="E60" s="178" t="s">
        <v>361</v>
      </c>
      <c r="F60" s="178" t="s">
        <v>361</v>
      </c>
      <c r="G60" s="179">
        <v>45748</v>
      </c>
      <c r="H60" s="176">
        <f>DAY(EOMONTH(PA[[#This Row],[Month Year]],0))</f>
        <v>30</v>
      </c>
      <c r="I60" s="180">
        <f>VLOOKUP(PA[[#This Row],[Date]],Raw_Data[#All],9,0)</f>
        <v>0.2673611111111111</v>
      </c>
      <c r="J60" s="180">
        <f>VLOOKUP(PA[[#This Row],[Date]],Raw_Data[#All],10,0)</f>
        <v>0.80347222222222225</v>
      </c>
      <c r="K60" s="68">
        <f>IFERROR((PA[[#This Row],[Sunset Time (POA&lt;20 W/m2)]]-PA[[#This Row],[Sunrise Time (POA&gt;20 W/m2)]])*24,"")</f>
        <v>12.866666666666669</v>
      </c>
      <c r="L60" s="178" t="s">
        <v>425</v>
      </c>
      <c r="M60" s="178" t="s">
        <v>408</v>
      </c>
      <c r="N60" s="178" t="s">
        <v>402</v>
      </c>
      <c r="O60" s="178" t="s">
        <v>412</v>
      </c>
      <c r="P60" s="178" t="s">
        <v>458</v>
      </c>
      <c r="Q60" s="178"/>
      <c r="R60" s="176">
        <f>IF((PA[[#This Row],[String Type(If String BD)]]&amp;PA[[#This Row],[Equipment (If any BD other than PV  array and inv)]])="",1,0)</f>
        <v>0</v>
      </c>
      <c r="S60" s="6">
        <f>IF(PA[[#This Row],[String Type(If String BD)]]="",1,0)</f>
        <v>0</v>
      </c>
      <c r="T6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60" s="68">
        <f>IFERROR(VLOOKUP(PA[[#This Row],[Affected Equipment ]],'Basic Data '!$A$1:$B$1846,2,0),"")</f>
        <v>15.805</v>
      </c>
      <c r="V60" s="143">
        <f>IFERROR(VLOOKUP(PA[[#This Row],[Affected Equipment ]],'Basic Data '!$A$1:$C$1846,3,0),"")</f>
        <v>4.7166292141537668E-5</v>
      </c>
      <c r="W60" s="178" t="s">
        <v>451</v>
      </c>
      <c r="X60" s="110" t="s">
        <v>466</v>
      </c>
      <c r="Y60" s="110" t="s">
        <v>466</v>
      </c>
      <c r="Z60" s="10">
        <v>0.2673611111111111</v>
      </c>
      <c r="AA60" s="10">
        <v>0.2673611111111111</v>
      </c>
      <c r="AB60" s="10">
        <v>0.2673611111111111</v>
      </c>
      <c r="AC60" s="10">
        <v>0.80347222222222225</v>
      </c>
      <c r="AD60" s="82">
        <f>IF(PA[[#This Row],[Acknowledgement Time ]]="NA","",(PA[[#This Row],[Acknowledgement Time ]]-PA[[#This Row],[Fault Time]])*24)</f>
        <v>0</v>
      </c>
      <c r="AE60" s="82">
        <f>IF(PA[[#This Row],[Work Start time on Fault]]="NA","",(PA[[#This Row],[Work Start time on Fault]]-PA[[#This Row],[Fault Time]])*24)</f>
        <v>0</v>
      </c>
      <c r="AF60" s="111">
        <f>IF(PA[[#This Row],[Status]]="Open","",(PA[[#This Row],[Work Completion time on fault]]-PA[[#This Row],[Fault Time]])*24)</f>
        <v>12.866666666666669</v>
      </c>
      <c r="AG60" s="82">
        <f>IFERROR((PA[[#This Row],[Work Completion time on fault]]-PA[[#This Row],[Fault Time]])*24,"")</f>
        <v>12.866666666666669</v>
      </c>
      <c r="AH60" s="110" t="s">
        <v>464</v>
      </c>
      <c r="AI60" s="178" t="s">
        <v>422</v>
      </c>
      <c r="AJ60" s="68">
        <f>IFERROR(PA[[#This Row],[Breakdown Time]]*PA[[#This Row],[Plant Equivalent Weightage]],"")</f>
        <v>6.0687295888778477E-4</v>
      </c>
      <c r="AK60" s="117">
        <v>7.05</v>
      </c>
      <c r="AL60" s="116">
        <f>IF(PA[[#This Row],[Lost PoA(Wh/m2)]]&gt;0,_xlfn.XLOOKUP($B60,'Daily KPI'!$A:$A,'Daily KPI'!$AE:$AE)*PA[[#This Row],[Lost PoA(Wh/m2)]]*U60,0)</f>
        <v>89.85633818019862</v>
      </c>
      <c r="AM60" s="176" t="s">
        <v>2523</v>
      </c>
    </row>
    <row r="61" spans="1:39" ht="14" customHeight="1">
      <c r="A61" s="177">
        <f t="shared" si="1"/>
        <v>58</v>
      </c>
      <c r="B61" s="185">
        <v>45776</v>
      </c>
      <c r="C61" s="178" t="s">
        <v>477</v>
      </c>
      <c r="D61" s="176">
        <f>YEAR(PA[[#This Row],[Date]])</f>
        <v>2025</v>
      </c>
      <c r="E61" s="178" t="s">
        <v>361</v>
      </c>
      <c r="F61" s="178" t="s">
        <v>361</v>
      </c>
      <c r="G61" s="179">
        <v>45748</v>
      </c>
      <c r="H61" s="176">
        <f>DAY(EOMONTH(PA[[#This Row],[Month Year]],0))</f>
        <v>30</v>
      </c>
      <c r="I61" s="180">
        <f>VLOOKUP(PA[[#This Row],[Date]],Raw_Data[#All],9,0)</f>
        <v>0.2673611111111111</v>
      </c>
      <c r="J61" s="180">
        <f>VLOOKUP(PA[[#This Row],[Date]],Raw_Data[#All],10,0)</f>
        <v>0.80347222222222225</v>
      </c>
      <c r="K61" s="68">
        <f>IFERROR((PA[[#This Row],[Sunset Time (POA&lt;20 W/m2)]]-PA[[#This Row],[Sunrise Time (POA&gt;20 W/m2)]])*24,"")</f>
        <v>12.866666666666669</v>
      </c>
      <c r="L61" s="178" t="s">
        <v>428</v>
      </c>
      <c r="M61" s="178" t="s">
        <v>401</v>
      </c>
      <c r="N61" s="178" t="s">
        <v>402</v>
      </c>
      <c r="O61" s="178" t="s">
        <v>415</v>
      </c>
      <c r="P61" s="178" t="s">
        <v>429</v>
      </c>
      <c r="Q61" s="178"/>
      <c r="R61" s="176">
        <f>IF((PA[[#This Row],[String Type(If String BD)]]&amp;PA[[#This Row],[Equipment (If any BD other than PV  array and inv)]])="",1,0)</f>
        <v>0</v>
      </c>
      <c r="S61" s="6">
        <f>IF(PA[[#This Row],[String Type(If String BD)]]="",1,0)</f>
        <v>0</v>
      </c>
      <c r="T6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61" s="68">
        <f>IFERROR(VLOOKUP(PA[[#This Row],[Affected Equipment ]],'Basic Data '!$A$1:$B$1846,2,0),"")</f>
        <v>15.66</v>
      </c>
      <c r="V61" s="143">
        <f>IFERROR(VLOOKUP(PA[[#This Row],[Affected Equipment ]],'Basic Data '!$A$1:$C$1846,3,0),"")</f>
        <v>4.6733573865009801E-5</v>
      </c>
      <c r="W61" s="178" t="s">
        <v>453</v>
      </c>
      <c r="X61" s="110" t="s">
        <v>469</v>
      </c>
      <c r="Y61" s="110" t="s">
        <v>469</v>
      </c>
      <c r="Z61" s="10">
        <v>0.2673611111111111</v>
      </c>
      <c r="AA61" s="10">
        <v>0.2673611111111111</v>
      </c>
      <c r="AB61" s="10">
        <v>0.2673611111111111</v>
      </c>
      <c r="AC61" s="10">
        <v>0.80347222222222225</v>
      </c>
      <c r="AD61" s="82">
        <f>IF(PA[[#This Row],[Acknowledgement Time ]]="NA","",(PA[[#This Row],[Acknowledgement Time ]]-PA[[#This Row],[Fault Time]])*24)</f>
        <v>0</v>
      </c>
      <c r="AE61" s="82">
        <f>IF(PA[[#This Row],[Work Start time on Fault]]="NA","",(PA[[#This Row],[Work Start time on Fault]]-PA[[#This Row],[Fault Time]])*24)</f>
        <v>0</v>
      </c>
      <c r="AF61" s="111">
        <f>IF(PA[[#This Row],[Status]]="Open","",(PA[[#This Row],[Work Completion time on fault]]-PA[[#This Row],[Fault Time]])*24)</f>
        <v>12.866666666666669</v>
      </c>
      <c r="AG61" s="82">
        <f>IFERROR((PA[[#This Row],[Work Completion time on fault]]-PA[[#This Row],[Fault Time]])*24,"")</f>
        <v>12.866666666666669</v>
      </c>
      <c r="AH61" s="110" t="s">
        <v>2522</v>
      </c>
      <c r="AI61" s="178" t="s">
        <v>422</v>
      </c>
      <c r="AJ61" s="68">
        <f>IFERROR(PA[[#This Row],[Breakdown Time]]*PA[[#This Row],[Plant Equivalent Weightage]],"")</f>
        <v>6.0130531706312619E-4</v>
      </c>
      <c r="AK61" s="117">
        <v>7.05</v>
      </c>
      <c r="AL61" s="116">
        <f>IF(PA[[#This Row],[Lost PoA(Wh/m2)]]&gt;0,_xlfn.XLOOKUP($B61,'Daily KPI'!$A:$A,'Daily KPI'!$AE:$AE)*PA[[#This Row],[Lost PoA(Wh/m2)]]*U61,0)</f>
        <v>89.031968105150938</v>
      </c>
      <c r="AM61" s="176" t="s">
        <v>2523</v>
      </c>
    </row>
    <row r="62" spans="1:39" ht="14" customHeight="1">
      <c r="A62" s="177">
        <f t="shared" si="1"/>
        <v>59</v>
      </c>
      <c r="B62" s="185">
        <v>45778</v>
      </c>
      <c r="C62" s="178" t="s">
        <v>477</v>
      </c>
      <c r="D62" s="176">
        <f>YEAR(PA[[#This Row],[Date]])</f>
        <v>2025</v>
      </c>
      <c r="E62" s="178" t="s">
        <v>361</v>
      </c>
      <c r="F62" s="178" t="s">
        <v>361</v>
      </c>
      <c r="G62" s="179">
        <v>45778</v>
      </c>
      <c r="H62" s="176">
        <f>DAY(EOMONTH(PA[[#This Row],[Month Year]],0))</f>
        <v>31</v>
      </c>
      <c r="I62" s="180">
        <f>VLOOKUP(PA[[#This Row],[Date]],Raw_Data[#All],9,0)</f>
        <v>0.27013888888888887</v>
      </c>
      <c r="J62" s="180">
        <f>VLOOKUP(PA[[#This Row],[Date]],Raw_Data[#All],10,0)</f>
        <v>0.71944444444444444</v>
      </c>
      <c r="K62" s="68">
        <f>IFERROR((PA[[#This Row],[Sunset Time (POA&lt;20 W/m2)]]-PA[[#This Row],[Sunrise Time (POA&gt;20 W/m2)]])*24,"")</f>
        <v>10.783333333333333</v>
      </c>
      <c r="L62" s="178" t="s">
        <v>439</v>
      </c>
      <c r="M62" s="178" t="s">
        <v>394</v>
      </c>
      <c r="N62" s="178" t="s">
        <v>402</v>
      </c>
      <c r="O62" s="178" t="s">
        <v>409</v>
      </c>
      <c r="P62" s="178" t="s">
        <v>404</v>
      </c>
      <c r="Q62" s="178"/>
      <c r="R62" s="176">
        <f>IF((PA[[#This Row],[String Type(If String BD)]]&amp;PA[[#This Row],[Equipment (If any BD other than PV  array and inv)]])="",1,0)</f>
        <v>0</v>
      </c>
      <c r="S62" s="6">
        <f>IF(PA[[#This Row],[String Type(If String BD)]]="",1,0)</f>
        <v>0</v>
      </c>
      <c r="T6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2" s="68">
        <f>IFERROR(VLOOKUP(PA[[#This Row],[Affected Equipment ]],'Basic Data '!$A$1:$B$1846,2,0),"")</f>
        <v>31.32</v>
      </c>
      <c r="V62" s="143">
        <f>IFERROR(VLOOKUP(PA[[#This Row],[Affected Equipment ]],'Basic Data '!$A$1:$C$1846,3,0),"")</f>
        <v>9.3467147730019601E-5</v>
      </c>
      <c r="W62" s="178" t="s">
        <v>451</v>
      </c>
      <c r="X62" s="110" t="s">
        <v>491</v>
      </c>
      <c r="Y62" s="110" t="s">
        <v>491</v>
      </c>
      <c r="Z62" s="109">
        <v>0.41805555555555557</v>
      </c>
      <c r="AA62" s="109">
        <v>0.41805555555555557</v>
      </c>
      <c r="AB62" s="109">
        <v>0.41805555555555557</v>
      </c>
      <c r="AC62" s="109">
        <v>0.42569444444444443</v>
      </c>
      <c r="AD62" s="82">
        <f>IF(PA[[#This Row],[Acknowledgement Time ]]="NA","",(PA[[#This Row],[Acknowledgement Time ]]-PA[[#This Row],[Fault Time]])*24)</f>
        <v>0</v>
      </c>
      <c r="AE62" s="82">
        <f>IF(PA[[#This Row],[Work Start time on Fault]]="NA","",(PA[[#This Row],[Work Start time on Fault]]-PA[[#This Row],[Fault Time]])*24)</f>
        <v>0</v>
      </c>
      <c r="AF62" s="111">
        <f>IF(PA[[#This Row],[Status]]="Open","",(PA[[#This Row],[Work Completion time on fault]]-PA[[#This Row],[Fault Time]])*24)</f>
        <v>0.18333333333333268</v>
      </c>
      <c r="AG62" s="82">
        <f>IFERROR((PA[[#This Row],[Work Completion time on fault]]-PA[[#This Row],[Fault Time]])*24,"")</f>
        <v>0.18333333333333268</v>
      </c>
      <c r="AH62" s="110" t="s">
        <v>491</v>
      </c>
      <c r="AI62" s="178" t="s">
        <v>422</v>
      </c>
      <c r="AJ62" s="68">
        <f>IFERROR(PA[[#This Row],[Breakdown Time]]*PA[[#This Row],[Plant Equivalent Weightage]],"")</f>
        <v>1.7135643750503531E-5</v>
      </c>
      <c r="AK62" s="117">
        <v>0.14256833333333335</v>
      </c>
      <c r="AL62" s="116">
        <f>IF(PA[[#This Row],[Lost PoA(Wh/m2)]]&gt;0,_xlfn.XLOOKUP($B62,'Daily KPI'!$A:$A,'Daily KPI'!$AE:$AE)*PA[[#This Row],[Lost PoA(Wh/m2)]]*U62,0)</f>
        <v>3.6501653800502156</v>
      </c>
      <c r="AM62" s="176" t="s">
        <v>2524</v>
      </c>
    </row>
    <row r="63" spans="1:39" ht="14" customHeight="1">
      <c r="A63" s="177">
        <f t="shared" si="1"/>
        <v>60</v>
      </c>
      <c r="B63" s="185">
        <v>45778</v>
      </c>
      <c r="C63" s="178" t="s">
        <v>477</v>
      </c>
      <c r="D63" s="176">
        <f>YEAR(PA[[#This Row],[Date]])</f>
        <v>2025</v>
      </c>
      <c r="E63" s="178" t="s">
        <v>361</v>
      </c>
      <c r="F63" s="178" t="s">
        <v>361</v>
      </c>
      <c r="G63" s="179">
        <v>45778</v>
      </c>
      <c r="H63" s="176">
        <f>DAY(EOMONTH(PA[[#This Row],[Month Year]],0))</f>
        <v>31</v>
      </c>
      <c r="I63" s="180">
        <f>VLOOKUP(PA[[#This Row],[Date]],Raw_Data[#All],9,0)</f>
        <v>0.27013888888888887</v>
      </c>
      <c r="J63" s="180">
        <f>VLOOKUP(PA[[#This Row],[Date]],Raw_Data[#All],10,0)</f>
        <v>0.71944444444444444</v>
      </c>
      <c r="K63" s="68">
        <f>IFERROR((PA[[#This Row],[Sunset Time (POA&lt;20 W/m2)]]-PA[[#This Row],[Sunrise Time (POA&gt;20 W/m2)]])*24,"")</f>
        <v>10.783333333333333</v>
      </c>
      <c r="L63" s="178" t="s">
        <v>439</v>
      </c>
      <c r="M63" s="178" t="s">
        <v>408</v>
      </c>
      <c r="N63" s="178" t="s">
        <v>395</v>
      </c>
      <c r="O63" s="178" t="s">
        <v>412</v>
      </c>
      <c r="P63" s="178" t="s">
        <v>404</v>
      </c>
      <c r="Q63" s="178"/>
      <c r="R63" s="176">
        <f>IF((PA[[#This Row],[String Type(If String BD)]]&amp;PA[[#This Row],[Equipment (If any BD other than PV  array and inv)]])="",1,0)</f>
        <v>0</v>
      </c>
      <c r="S63" s="6">
        <f>IF(PA[[#This Row],[String Type(If String BD)]]="",1,0)</f>
        <v>0</v>
      </c>
      <c r="T6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3" s="68">
        <f>IFERROR(VLOOKUP(PA[[#This Row],[Affected Equipment ]],'Basic Data '!$A$1:$B$1846,2,0),"")</f>
        <v>31.32</v>
      </c>
      <c r="V63" s="143">
        <f>IFERROR(VLOOKUP(PA[[#This Row],[Affected Equipment ]],'Basic Data '!$A$1:$C$1846,3,0),"")</f>
        <v>9.3467147730019601E-5</v>
      </c>
      <c r="W63" s="178" t="s">
        <v>451</v>
      </c>
      <c r="X63" s="110" t="s">
        <v>491</v>
      </c>
      <c r="Y63" s="110" t="s">
        <v>491</v>
      </c>
      <c r="Z63" s="109">
        <v>0.42777777777777776</v>
      </c>
      <c r="AA63" s="109">
        <v>0.42777777777777776</v>
      </c>
      <c r="AB63" s="109">
        <v>0.42777777777777776</v>
      </c>
      <c r="AC63" s="109">
        <v>0.43611111111111112</v>
      </c>
      <c r="AD63" s="82">
        <f>IF(PA[[#This Row],[Acknowledgement Time ]]="NA","",(PA[[#This Row],[Acknowledgement Time ]]-PA[[#This Row],[Fault Time]])*24)</f>
        <v>0</v>
      </c>
      <c r="AE63" s="82">
        <f>IF(PA[[#This Row],[Work Start time on Fault]]="NA","",(PA[[#This Row],[Work Start time on Fault]]-PA[[#This Row],[Fault Time]])*24)</f>
        <v>0</v>
      </c>
      <c r="AF63" s="111">
        <f>IF(PA[[#This Row],[Status]]="Open","",(PA[[#This Row],[Work Completion time on fault]]-PA[[#This Row],[Fault Time]])*24)</f>
        <v>0.20000000000000062</v>
      </c>
      <c r="AG63" s="82">
        <f>IFERROR((PA[[#This Row],[Work Completion time on fault]]-PA[[#This Row],[Fault Time]])*24,"")</f>
        <v>0.20000000000000062</v>
      </c>
      <c r="AH63" s="110" t="s">
        <v>491</v>
      </c>
      <c r="AI63" s="178" t="s">
        <v>422</v>
      </c>
      <c r="AJ63" s="68">
        <f>IFERROR(PA[[#This Row],[Breakdown Time]]*PA[[#This Row],[Plant Equivalent Weightage]],"")</f>
        <v>1.8693429546003979E-5</v>
      </c>
      <c r="AK63" s="117">
        <v>0.16362499999999999</v>
      </c>
      <c r="AL63" s="116">
        <f>IF(PA[[#This Row],[Lost PoA(Wh/m2)]]&gt;0,_xlfn.XLOOKUP($B63,'Daily KPI'!$A:$A,'Daily KPI'!$AE:$AE)*PA[[#This Row],[Lost PoA(Wh/m2)]]*U63,0)</f>
        <v>4.1892774948437577</v>
      </c>
      <c r="AM63" s="176" t="s">
        <v>2524</v>
      </c>
    </row>
    <row r="64" spans="1:39" ht="14" customHeight="1">
      <c r="A64" s="177">
        <f t="shared" si="1"/>
        <v>61</v>
      </c>
      <c r="B64" s="185">
        <v>45778</v>
      </c>
      <c r="C64" s="178" t="s">
        <v>477</v>
      </c>
      <c r="D64" s="176">
        <f>YEAR(PA[[#This Row],[Date]])</f>
        <v>2025</v>
      </c>
      <c r="E64" s="178" t="s">
        <v>361</v>
      </c>
      <c r="F64" s="178" t="s">
        <v>361</v>
      </c>
      <c r="G64" s="179">
        <v>45778</v>
      </c>
      <c r="H64" s="176">
        <f>DAY(EOMONTH(PA[[#This Row],[Month Year]],0))</f>
        <v>31</v>
      </c>
      <c r="I64" s="180">
        <f>VLOOKUP(PA[[#This Row],[Date]],Raw_Data[#All],9,0)</f>
        <v>0.27013888888888887</v>
      </c>
      <c r="J64" s="180">
        <f>VLOOKUP(PA[[#This Row],[Date]],Raw_Data[#All],10,0)</f>
        <v>0.71944444444444444</v>
      </c>
      <c r="K64" s="68">
        <f>IFERROR((PA[[#This Row],[Sunset Time (POA&lt;20 W/m2)]]-PA[[#This Row],[Sunrise Time (POA&gt;20 W/m2)]])*24,"")</f>
        <v>10.783333333333333</v>
      </c>
      <c r="L64" s="178" t="s">
        <v>439</v>
      </c>
      <c r="M64" s="178" t="s">
        <v>414</v>
      </c>
      <c r="N64" s="178" t="s">
        <v>395</v>
      </c>
      <c r="O64" s="178" t="s">
        <v>413</v>
      </c>
      <c r="P64" s="178" t="s">
        <v>404</v>
      </c>
      <c r="Q64" s="178"/>
      <c r="R64" s="176">
        <f>IF((PA[[#This Row],[String Type(If String BD)]]&amp;PA[[#This Row],[Equipment (If any BD other than PV  array and inv)]])="",1,0)</f>
        <v>0</v>
      </c>
      <c r="S64" s="6">
        <f>IF(PA[[#This Row],[String Type(If String BD)]]="",1,0)</f>
        <v>0</v>
      </c>
      <c r="T6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4" s="68">
        <f>IFERROR(VLOOKUP(PA[[#This Row],[Affected Equipment ]],'Basic Data '!$A$1:$B$1846,2,0),"")</f>
        <v>31.32</v>
      </c>
      <c r="V64" s="143">
        <f>IFERROR(VLOOKUP(PA[[#This Row],[Affected Equipment ]],'Basic Data '!$A$1:$C$1846,3,0),"")</f>
        <v>9.3467147730019601E-5</v>
      </c>
      <c r="W64" s="178" t="s">
        <v>451</v>
      </c>
      <c r="X64" s="110" t="s">
        <v>491</v>
      </c>
      <c r="Y64" s="110" t="s">
        <v>491</v>
      </c>
      <c r="Z64" s="109">
        <v>0.44444444444444442</v>
      </c>
      <c r="AA64" s="109">
        <v>0.44444444444444442</v>
      </c>
      <c r="AB64" s="109">
        <v>0.44444444444444442</v>
      </c>
      <c r="AC64" s="109">
        <v>0.45347222222222222</v>
      </c>
      <c r="AD64" s="82">
        <f>IF(PA[[#This Row],[Acknowledgement Time ]]="NA","",(PA[[#This Row],[Acknowledgement Time ]]-PA[[#This Row],[Fault Time]])*24)</f>
        <v>0</v>
      </c>
      <c r="AE64" s="82">
        <f>IF(PA[[#This Row],[Work Start time on Fault]]="NA","",(PA[[#This Row],[Work Start time on Fault]]-PA[[#This Row],[Fault Time]])*24)</f>
        <v>0</v>
      </c>
      <c r="AF64" s="111">
        <f>IF(PA[[#This Row],[Status]]="Open","",(PA[[#This Row],[Work Completion time on fault]]-PA[[#This Row],[Fault Time]])*24)</f>
        <v>0.21666666666666723</v>
      </c>
      <c r="AG64" s="82">
        <f>IFERROR((PA[[#This Row],[Work Completion time on fault]]-PA[[#This Row],[Fault Time]])*24,"")</f>
        <v>0.21666666666666723</v>
      </c>
      <c r="AH64" s="110" t="s">
        <v>491</v>
      </c>
      <c r="AI64" s="178" t="s">
        <v>422</v>
      </c>
      <c r="AJ64" s="68">
        <f>IFERROR(PA[[#This Row],[Breakdown Time]]*PA[[#This Row],[Plant Equivalent Weightage]],"")</f>
        <v>2.0251215341504299E-5</v>
      </c>
      <c r="AK64" s="117">
        <v>0.19213333333333332</v>
      </c>
      <c r="AL64" s="116">
        <f>IF(PA[[#This Row],[Lost PoA(Wh/m2)]]&gt;0,_xlfn.XLOOKUP($B64,'Daily KPI'!$A:$A,'Daily KPI'!$AE:$AE)*PA[[#This Row],[Lost PoA(Wh/m2)]]*U64,0)</f>
        <v>4.9191740219565911</v>
      </c>
      <c r="AM64" s="176" t="s">
        <v>2524</v>
      </c>
    </row>
    <row r="65" spans="1:39" ht="14" customHeight="1">
      <c r="A65" s="177">
        <f t="shared" si="1"/>
        <v>62</v>
      </c>
      <c r="B65" s="185">
        <v>45778</v>
      </c>
      <c r="C65" s="178" t="s">
        <v>477</v>
      </c>
      <c r="D65" s="176">
        <f>YEAR(PA[[#This Row],[Date]])</f>
        <v>2025</v>
      </c>
      <c r="E65" s="178" t="s">
        <v>361</v>
      </c>
      <c r="F65" s="178" t="s">
        <v>361</v>
      </c>
      <c r="G65" s="179">
        <v>45778</v>
      </c>
      <c r="H65" s="176">
        <f>DAY(EOMONTH(PA[[#This Row],[Month Year]],0))</f>
        <v>31</v>
      </c>
      <c r="I65" s="180">
        <f>VLOOKUP(PA[[#This Row],[Date]],Raw_Data[#All],9,0)</f>
        <v>0.27013888888888887</v>
      </c>
      <c r="J65" s="180">
        <f>VLOOKUP(PA[[#This Row],[Date]],Raw_Data[#All],10,0)</f>
        <v>0.71944444444444444</v>
      </c>
      <c r="K65" s="68">
        <f>IFERROR((PA[[#This Row],[Sunset Time (POA&lt;20 W/m2)]]-PA[[#This Row],[Sunrise Time (POA&gt;20 W/m2)]])*24,"")</f>
        <v>10.783333333333333</v>
      </c>
      <c r="L65" s="178" t="s">
        <v>439</v>
      </c>
      <c r="M65" s="178" t="s">
        <v>401</v>
      </c>
      <c r="N65" s="178" t="s">
        <v>395</v>
      </c>
      <c r="O65" s="178" t="s">
        <v>442</v>
      </c>
      <c r="P65" s="178" t="s">
        <v>404</v>
      </c>
      <c r="Q65" s="178"/>
      <c r="R65" s="176">
        <f>IF((PA[[#This Row],[String Type(If String BD)]]&amp;PA[[#This Row],[Equipment (If any BD other than PV  array and inv)]])="",1,0)</f>
        <v>0</v>
      </c>
      <c r="S65" s="6">
        <f>IF(PA[[#This Row],[String Type(If String BD)]]="",1,0)</f>
        <v>0</v>
      </c>
      <c r="T6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5" s="68">
        <f>IFERROR(VLOOKUP(PA[[#This Row],[Affected Equipment ]],'Basic Data '!$A$1:$B$1846,2,0),"")</f>
        <v>31.32</v>
      </c>
      <c r="V65" s="143">
        <f>IFERROR(VLOOKUP(PA[[#This Row],[Affected Equipment ]],'Basic Data '!$A$1:$C$1846,3,0),"")</f>
        <v>9.3467147730019601E-5</v>
      </c>
      <c r="W65" s="178" t="s">
        <v>451</v>
      </c>
      <c r="X65" s="110" t="s">
        <v>491</v>
      </c>
      <c r="Y65" s="110" t="s">
        <v>491</v>
      </c>
      <c r="Z65" s="109">
        <v>0.47152777777777777</v>
      </c>
      <c r="AA65" s="109">
        <v>0.47152777777777777</v>
      </c>
      <c r="AB65" s="109">
        <v>0.47152777777777777</v>
      </c>
      <c r="AC65" s="109">
        <v>0.4777777777777778</v>
      </c>
      <c r="AD65" s="82">
        <f>IF(PA[[#This Row],[Acknowledgement Time ]]="NA","",(PA[[#This Row],[Acknowledgement Time ]]-PA[[#This Row],[Fault Time]])*24)</f>
        <v>0</v>
      </c>
      <c r="AE65" s="82">
        <f>IF(PA[[#This Row],[Work Start time on Fault]]="NA","",(PA[[#This Row],[Work Start time on Fault]]-PA[[#This Row],[Fault Time]])*24)</f>
        <v>0</v>
      </c>
      <c r="AF65" s="111">
        <f>IF(PA[[#This Row],[Status]]="Open","",(PA[[#This Row],[Work Completion time on fault]]-PA[[#This Row],[Fault Time]])*24)</f>
        <v>0.1500000000000008</v>
      </c>
      <c r="AG65" s="82">
        <f>IFERROR((PA[[#This Row],[Work Completion time on fault]]-PA[[#This Row],[Fault Time]])*24,"")</f>
        <v>0.1500000000000008</v>
      </c>
      <c r="AH65" s="110" t="s">
        <v>491</v>
      </c>
      <c r="AI65" s="178" t="s">
        <v>422</v>
      </c>
      <c r="AJ65" s="68">
        <f>IFERROR(PA[[#This Row],[Breakdown Time]]*PA[[#This Row],[Plant Equivalent Weightage]],"")</f>
        <v>1.4020072159503016E-5</v>
      </c>
      <c r="AK65" s="117">
        <v>0.14928333333333332</v>
      </c>
      <c r="AL65" s="116">
        <f>IF(PA[[#This Row],[Lost PoA(Wh/m2)]]&gt;0,_xlfn.XLOOKUP($B65,'Daily KPI'!$A:$A,'Daily KPI'!$AE:$AE)*PA[[#This Row],[Lost PoA(Wh/m2)]]*U65,0)</f>
        <v>3.8220889759425041</v>
      </c>
      <c r="AM65" s="176" t="s">
        <v>2524</v>
      </c>
    </row>
    <row r="66" spans="1:39" ht="14" customHeight="1">
      <c r="A66" s="177">
        <f t="shared" si="1"/>
        <v>63</v>
      </c>
      <c r="B66" s="185">
        <v>45778</v>
      </c>
      <c r="C66" s="178" t="s">
        <v>477</v>
      </c>
      <c r="D66" s="176">
        <f>YEAR(PA[[#This Row],[Date]])</f>
        <v>2025</v>
      </c>
      <c r="E66" s="178" t="s">
        <v>361</v>
      </c>
      <c r="F66" s="178" t="s">
        <v>361</v>
      </c>
      <c r="G66" s="179">
        <v>45778</v>
      </c>
      <c r="H66" s="176">
        <f>DAY(EOMONTH(PA[[#This Row],[Month Year]],0))</f>
        <v>31</v>
      </c>
      <c r="I66" s="180">
        <f>VLOOKUP(PA[[#This Row],[Date]],Raw_Data[#All],9,0)</f>
        <v>0.27013888888888887</v>
      </c>
      <c r="J66" s="180">
        <f>VLOOKUP(PA[[#This Row],[Date]],Raw_Data[#All],10,0)</f>
        <v>0.71944444444444444</v>
      </c>
      <c r="K66" s="68">
        <f>IFERROR((PA[[#This Row],[Sunset Time (POA&lt;20 W/m2)]]-PA[[#This Row],[Sunrise Time (POA&gt;20 W/m2)]])*24,"")</f>
        <v>10.783333333333333</v>
      </c>
      <c r="L66" s="178" t="s">
        <v>405</v>
      </c>
      <c r="M66" s="178" t="s">
        <v>394</v>
      </c>
      <c r="N66" s="178" t="s">
        <v>402</v>
      </c>
      <c r="O66" s="178" t="s">
        <v>403</v>
      </c>
      <c r="P66" s="178" t="s">
        <v>404</v>
      </c>
      <c r="Q66" s="178"/>
      <c r="R66" s="176">
        <f>IF((PA[[#This Row],[String Type(If String BD)]]&amp;PA[[#This Row],[Equipment (If any BD other than PV  array and inv)]])="",1,0)</f>
        <v>0</v>
      </c>
      <c r="S66" s="6">
        <f>IF(PA[[#This Row],[String Type(If String BD)]]="",1,0)</f>
        <v>0</v>
      </c>
      <c r="T6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6" s="68">
        <f>IFERROR(VLOOKUP(PA[[#This Row],[Affected Equipment ]],'Basic Data '!$A$1:$B$1846,2,0),"")</f>
        <v>31.32</v>
      </c>
      <c r="V66" s="143">
        <f>IFERROR(VLOOKUP(PA[[#This Row],[Affected Equipment ]],'Basic Data '!$A$1:$C$1846,3,0),"")</f>
        <v>9.3467147730019601E-5</v>
      </c>
      <c r="W66" s="178" t="s">
        <v>451</v>
      </c>
      <c r="X66" s="110" t="s">
        <v>491</v>
      </c>
      <c r="Y66" s="110" t="s">
        <v>491</v>
      </c>
      <c r="Z66" s="109">
        <v>0.48958333333333331</v>
      </c>
      <c r="AA66" s="109">
        <v>0.48958333333333331</v>
      </c>
      <c r="AB66" s="109">
        <v>0.48958333333333331</v>
      </c>
      <c r="AC66" s="109">
        <v>0.49513888888888891</v>
      </c>
      <c r="AD66" s="82">
        <f>IF(PA[[#This Row],[Acknowledgement Time ]]="NA","",(PA[[#This Row],[Acknowledgement Time ]]-PA[[#This Row],[Fault Time]])*24)</f>
        <v>0</v>
      </c>
      <c r="AE66" s="82">
        <f>IF(PA[[#This Row],[Work Start time on Fault]]="NA","",(PA[[#This Row],[Work Start time on Fault]]-PA[[#This Row],[Fault Time]])*24)</f>
        <v>0</v>
      </c>
      <c r="AF66" s="111">
        <f>IF(PA[[#This Row],[Status]]="Open","",(PA[[#This Row],[Work Completion time on fault]]-PA[[#This Row],[Fault Time]])*24)</f>
        <v>0.13333333333333419</v>
      </c>
      <c r="AG66" s="82">
        <f>IFERROR((PA[[#This Row],[Work Completion time on fault]]-PA[[#This Row],[Fault Time]])*24,"")</f>
        <v>0.13333333333333419</v>
      </c>
      <c r="AH66" s="110" t="s">
        <v>491</v>
      </c>
      <c r="AI66" s="178" t="s">
        <v>422</v>
      </c>
      <c r="AJ66" s="68">
        <f>IFERROR(PA[[#This Row],[Breakdown Time]]*PA[[#This Row],[Plant Equivalent Weightage]],"")</f>
        <v>1.2462286364002695E-5</v>
      </c>
      <c r="AK66" s="117">
        <v>0.14051666666666668</v>
      </c>
      <c r="AL66" s="116">
        <f>IF(PA[[#This Row],[Lost PoA(Wh/m2)]]&gt;0,_xlfn.XLOOKUP($B66,'Daily KPI'!$A:$A,'Daily KPI'!$AE:$AE)*PA[[#This Row],[Lost PoA(Wh/m2)]]*U66,0)</f>
        <v>3.5976367261551028</v>
      </c>
      <c r="AM66" s="176" t="s">
        <v>2524</v>
      </c>
    </row>
    <row r="67" spans="1:39" ht="14" customHeight="1">
      <c r="A67" s="177">
        <f t="shared" si="1"/>
        <v>64</v>
      </c>
      <c r="B67" s="185">
        <v>45778</v>
      </c>
      <c r="C67" s="178" t="s">
        <v>477</v>
      </c>
      <c r="D67" s="176">
        <f>YEAR(PA[[#This Row],[Date]])</f>
        <v>2025</v>
      </c>
      <c r="E67" s="178" t="s">
        <v>361</v>
      </c>
      <c r="F67" s="178" t="s">
        <v>361</v>
      </c>
      <c r="G67" s="179">
        <v>45778</v>
      </c>
      <c r="H67" s="176">
        <f>DAY(EOMONTH(PA[[#This Row],[Month Year]],0))</f>
        <v>31</v>
      </c>
      <c r="I67" s="180">
        <f>VLOOKUP(PA[[#This Row],[Date]],Raw_Data[#All],9,0)</f>
        <v>0.27013888888888887</v>
      </c>
      <c r="J67" s="180">
        <f>VLOOKUP(PA[[#This Row],[Date]],Raw_Data[#All],10,0)</f>
        <v>0.71944444444444444</v>
      </c>
      <c r="K67" s="68">
        <f>IFERROR((PA[[#This Row],[Sunset Time (POA&lt;20 W/m2)]]-PA[[#This Row],[Sunrise Time (POA&gt;20 W/m2)]])*24,"")</f>
        <v>10.783333333333333</v>
      </c>
      <c r="L67" s="178" t="s">
        <v>405</v>
      </c>
      <c r="M67" s="178" t="s">
        <v>408</v>
      </c>
      <c r="N67" s="178" t="s">
        <v>402</v>
      </c>
      <c r="O67" s="178" t="s">
        <v>406</v>
      </c>
      <c r="P67" s="178" t="s">
        <v>404</v>
      </c>
      <c r="Q67" s="178"/>
      <c r="R67" s="176">
        <f>IF((PA[[#This Row],[String Type(If String BD)]]&amp;PA[[#This Row],[Equipment (If any BD other than PV  array and inv)]])="",1,0)</f>
        <v>0</v>
      </c>
      <c r="S67" s="6">
        <f>IF(PA[[#This Row],[String Type(If String BD)]]="",1,0)</f>
        <v>0</v>
      </c>
      <c r="T6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7" s="68">
        <f>IFERROR(VLOOKUP(PA[[#This Row],[Affected Equipment ]],'Basic Data '!$A$1:$B$1846,2,0),"")</f>
        <v>31.32</v>
      </c>
      <c r="V67" s="143">
        <f>IFERROR(VLOOKUP(PA[[#This Row],[Affected Equipment ]],'Basic Data '!$A$1:$C$1846,3,0),"")</f>
        <v>9.3467147730019601E-5</v>
      </c>
      <c r="W67" s="178" t="s">
        <v>451</v>
      </c>
      <c r="X67" s="110" t="s">
        <v>491</v>
      </c>
      <c r="Y67" s="110" t="s">
        <v>491</v>
      </c>
      <c r="Z67" s="109">
        <v>0.50347222222222221</v>
      </c>
      <c r="AA67" s="109">
        <v>0.50347222222222221</v>
      </c>
      <c r="AB67" s="109">
        <v>0.50347222222222221</v>
      </c>
      <c r="AC67" s="109">
        <v>0.51111111111111107</v>
      </c>
      <c r="AD67" s="82">
        <f>IF(PA[[#This Row],[Acknowledgement Time ]]="NA","",(PA[[#This Row],[Acknowledgement Time ]]-PA[[#This Row],[Fault Time]])*24)</f>
        <v>0</v>
      </c>
      <c r="AE67" s="82">
        <f>IF(PA[[#This Row],[Work Start time on Fault]]="NA","",(PA[[#This Row],[Work Start time on Fault]]-PA[[#This Row],[Fault Time]])*24)</f>
        <v>0</v>
      </c>
      <c r="AF67" s="111">
        <f>IF(PA[[#This Row],[Status]]="Open","",(PA[[#This Row],[Work Completion time on fault]]-PA[[#This Row],[Fault Time]])*24)</f>
        <v>0.18333333333333268</v>
      </c>
      <c r="AG67" s="82">
        <f>IFERROR((PA[[#This Row],[Work Completion time on fault]]-PA[[#This Row],[Fault Time]])*24,"")</f>
        <v>0.18333333333333268</v>
      </c>
      <c r="AH67" s="110" t="s">
        <v>491</v>
      </c>
      <c r="AI67" s="178" t="s">
        <v>422</v>
      </c>
      <c r="AJ67" s="68">
        <f>IFERROR(PA[[#This Row],[Breakdown Time]]*PA[[#This Row],[Plant Equivalent Weightage]],"")</f>
        <v>1.7135643750503531E-5</v>
      </c>
      <c r="AK67" s="117">
        <v>0.19171666666666667</v>
      </c>
      <c r="AL67" s="116">
        <f>IF(PA[[#This Row],[Lost PoA(Wh/m2)]]&gt;0,_xlfn.XLOOKUP($B67,'Daily KPI'!$A:$A,'Daily KPI'!$AE:$AE)*PA[[#This Row],[Lost PoA(Wh/m2)]]*U67,0)</f>
        <v>4.9085061393621334</v>
      </c>
      <c r="AM67" s="176" t="s">
        <v>2524</v>
      </c>
    </row>
    <row r="68" spans="1:39" ht="14" customHeight="1">
      <c r="A68" s="177">
        <f t="shared" si="1"/>
        <v>65</v>
      </c>
      <c r="B68" s="185">
        <v>45778</v>
      </c>
      <c r="C68" s="178" t="s">
        <v>477</v>
      </c>
      <c r="D68" s="176">
        <f>YEAR(PA[[#This Row],[Date]])</f>
        <v>2025</v>
      </c>
      <c r="E68" s="178" t="s">
        <v>361</v>
      </c>
      <c r="F68" s="178" t="s">
        <v>361</v>
      </c>
      <c r="G68" s="179">
        <v>45778</v>
      </c>
      <c r="H68" s="176">
        <f>DAY(EOMONTH(PA[[#This Row],[Month Year]],0))</f>
        <v>31</v>
      </c>
      <c r="I68" s="180">
        <f>VLOOKUP(PA[[#This Row],[Date]],Raw_Data[#All],9,0)</f>
        <v>0.27013888888888887</v>
      </c>
      <c r="J68" s="180">
        <f>VLOOKUP(PA[[#This Row],[Date]],Raw_Data[#All],10,0)</f>
        <v>0.71944444444444444</v>
      </c>
      <c r="K68" s="68">
        <f>IFERROR((PA[[#This Row],[Sunset Time (POA&lt;20 W/m2)]]-PA[[#This Row],[Sunrise Time (POA&gt;20 W/m2)]])*24,"")</f>
        <v>10.783333333333333</v>
      </c>
      <c r="L68" s="178" t="s">
        <v>405</v>
      </c>
      <c r="M68" s="178" t="s">
        <v>414</v>
      </c>
      <c r="N68" s="178" t="s">
        <v>402</v>
      </c>
      <c r="O68" s="178" t="s">
        <v>412</v>
      </c>
      <c r="P68" s="178" t="s">
        <v>404</v>
      </c>
      <c r="Q68" s="178"/>
      <c r="R68" s="176">
        <f>IF((PA[[#This Row],[String Type(If String BD)]]&amp;PA[[#This Row],[Equipment (If any BD other than PV  array and inv)]])="",1,0)</f>
        <v>0</v>
      </c>
      <c r="S68" s="6">
        <f>IF(PA[[#This Row],[String Type(If String BD)]]="",1,0)</f>
        <v>0</v>
      </c>
      <c r="T6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8" s="68">
        <f>IFERROR(VLOOKUP(PA[[#This Row],[Affected Equipment ]],'Basic Data '!$A$1:$B$1846,2,0),"")</f>
        <v>31.32</v>
      </c>
      <c r="V68" s="143">
        <f>IFERROR(VLOOKUP(PA[[#This Row],[Affected Equipment ]],'Basic Data '!$A$1:$C$1846,3,0),"")</f>
        <v>9.3467147730019601E-5</v>
      </c>
      <c r="W68" s="178" t="s">
        <v>451</v>
      </c>
      <c r="X68" s="110" t="s">
        <v>491</v>
      </c>
      <c r="Y68" s="110" t="s">
        <v>491</v>
      </c>
      <c r="Z68" s="109">
        <v>0.51736111111111116</v>
      </c>
      <c r="AA68" s="109">
        <v>0.51736111111111116</v>
      </c>
      <c r="AB68" s="109">
        <v>0.51736111111111116</v>
      </c>
      <c r="AC68" s="109">
        <v>0.52430555555555558</v>
      </c>
      <c r="AD68" s="82">
        <f>IF(PA[[#This Row],[Acknowledgement Time ]]="NA","",(PA[[#This Row],[Acknowledgement Time ]]-PA[[#This Row],[Fault Time]])*24)</f>
        <v>0</v>
      </c>
      <c r="AE68" s="82">
        <f>IF(PA[[#This Row],[Work Start time on Fault]]="NA","",(PA[[#This Row],[Work Start time on Fault]]-PA[[#This Row],[Fault Time]])*24)</f>
        <v>0</v>
      </c>
      <c r="AF68" s="111">
        <f>IF(PA[[#This Row],[Status]]="Open","",(PA[[#This Row],[Work Completion time on fault]]-PA[[#This Row],[Fault Time]])*24)</f>
        <v>0.16666666666666607</v>
      </c>
      <c r="AG68" s="82">
        <f>IFERROR((PA[[#This Row],[Work Completion time on fault]]-PA[[#This Row],[Fault Time]])*24,"")</f>
        <v>0.16666666666666607</v>
      </c>
      <c r="AH68" s="110" t="s">
        <v>491</v>
      </c>
      <c r="AI68" s="178" t="s">
        <v>422</v>
      </c>
      <c r="AJ68" s="68">
        <f>IFERROR(PA[[#This Row],[Breakdown Time]]*PA[[#This Row],[Plant Equivalent Weightage]],"")</f>
        <v>1.5577857955003212E-5</v>
      </c>
      <c r="AK68" s="117">
        <v>0.17758333333333334</v>
      </c>
      <c r="AL68" s="116">
        <f>IF(PA[[#This Row],[Lost PoA(Wh/m2)]]&gt;0,_xlfn.XLOOKUP($B68,'Daily KPI'!$A:$A,'Daily KPI'!$AE:$AE)*PA[[#This Row],[Lost PoA(Wh/m2)]]*U68,0)</f>
        <v>4.54665156175811</v>
      </c>
      <c r="AM68" s="176" t="s">
        <v>2524</v>
      </c>
    </row>
    <row r="69" spans="1:39" ht="14" customHeight="1">
      <c r="A69" s="177">
        <f t="shared" si="1"/>
        <v>66</v>
      </c>
      <c r="B69" s="185">
        <v>45778</v>
      </c>
      <c r="C69" s="178" t="s">
        <v>477</v>
      </c>
      <c r="D69" s="176">
        <f>YEAR(PA[[#This Row],[Date]])</f>
        <v>2025</v>
      </c>
      <c r="E69" s="178" t="s">
        <v>361</v>
      </c>
      <c r="F69" s="178" t="s">
        <v>361</v>
      </c>
      <c r="G69" s="179">
        <v>45778</v>
      </c>
      <c r="H69" s="176">
        <f>DAY(EOMONTH(PA[[#This Row],[Month Year]],0))</f>
        <v>31</v>
      </c>
      <c r="I69" s="180">
        <f>VLOOKUP(PA[[#This Row],[Date]],Raw_Data[#All],9,0)</f>
        <v>0.27013888888888887</v>
      </c>
      <c r="J69" s="180">
        <f>VLOOKUP(PA[[#This Row],[Date]],Raw_Data[#All],10,0)</f>
        <v>0.71944444444444444</v>
      </c>
      <c r="K69" s="68">
        <f>IFERROR((PA[[#This Row],[Sunset Time (POA&lt;20 W/m2)]]-PA[[#This Row],[Sunrise Time (POA&gt;20 W/m2)]])*24,"")</f>
        <v>10.783333333333333</v>
      </c>
      <c r="L69" s="178" t="s">
        <v>405</v>
      </c>
      <c r="M69" s="178" t="s">
        <v>401</v>
      </c>
      <c r="N69" s="178" t="s">
        <v>402</v>
      </c>
      <c r="O69" s="178" t="s">
        <v>406</v>
      </c>
      <c r="P69" s="178" t="s">
        <v>404</v>
      </c>
      <c r="Q69" s="178"/>
      <c r="R69" s="176">
        <f>IF((PA[[#This Row],[String Type(If String BD)]]&amp;PA[[#This Row],[Equipment (If any BD other than PV  array and inv)]])="",1,0)</f>
        <v>0</v>
      </c>
      <c r="S69" s="6">
        <f>IF(PA[[#This Row],[String Type(If String BD)]]="",1,0)</f>
        <v>0</v>
      </c>
      <c r="T6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9" s="68">
        <f>IFERROR(VLOOKUP(PA[[#This Row],[Affected Equipment ]],'Basic Data '!$A$1:$B$1846,2,0),"")</f>
        <v>31.32</v>
      </c>
      <c r="V69" s="143">
        <f>IFERROR(VLOOKUP(PA[[#This Row],[Affected Equipment ]],'Basic Data '!$A$1:$C$1846,3,0),"")</f>
        <v>9.3467147730019601E-5</v>
      </c>
      <c r="W69" s="178" t="s">
        <v>451</v>
      </c>
      <c r="X69" s="110" t="s">
        <v>491</v>
      </c>
      <c r="Y69" s="110" t="s">
        <v>491</v>
      </c>
      <c r="Z69" s="109">
        <v>0.52916666666666667</v>
      </c>
      <c r="AA69" s="109">
        <v>0.52916666666666667</v>
      </c>
      <c r="AB69" s="109">
        <v>0.52916666666666667</v>
      </c>
      <c r="AC69" s="109">
        <v>0.53680555555555554</v>
      </c>
      <c r="AD69" s="82">
        <f>IF(PA[[#This Row],[Acknowledgement Time ]]="NA","",(PA[[#This Row],[Acknowledgement Time ]]-PA[[#This Row],[Fault Time]])*24)</f>
        <v>0</v>
      </c>
      <c r="AE69" s="82">
        <f>IF(PA[[#This Row],[Work Start time on Fault]]="NA","",(PA[[#This Row],[Work Start time on Fault]]-PA[[#This Row],[Fault Time]])*24)</f>
        <v>0</v>
      </c>
      <c r="AF69" s="111">
        <f>IF(PA[[#This Row],[Status]]="Open","",(PA[[#This Row],[Work Completion time on fault]]-PA[[#This Row],[Fault Time]])*24)</f>
        <v>0.18333333333333268</v>
      </c>
      <c r="AG69" s="82">
        <f>IFERROR((PA[[#This Row],[Work Completion time on fault]]-PA[[#This Row],[Fault Time]])*24,"")</f>
        <v>0.18333333333333268</v>
      </c>
      <c r="AH69" s="110" t="s">
        <v>491</v>
      </c>
      <c r="AI69" s="178" t="s">
        <v>422</v>
      </c>
      <c r="AJ69" s="68">
        <f>IFERROR(PA[[#This Row],[Breakdown Time]]*PA[[#This Row],[Plant Equivalent Weightage]],"")</f>
        <v>1.7135643750503531E-5</v>
      </c>
      <c r="AK69" s="117">
        <v>0.19448333333333334</v>
      </c>
      <c r="AL69" s="116">
        <f>IF(PA[[#This Row],[Lost PoA(Wh/m2)]]&gt;0,_xlfn.XLOOKUP($B69,'Daily KPI'!$A:$A,'Daily KPI'!$AE:$AE)*PA[[#This Row],[Lost PoA(Wh/m2)]]*U69,0)</f>
        <v>4.9793408797893361</v>
      </c>
      <c r="AM69" s="176" t="s">
        <v>2524</v>
      </c>
    </row>
    <row r="70" spans="1:39" ht="14" customHeight="1">
      <c r="A70" s="177">
        <f t="shared" ref="A70:A133" si="2">A69+1</f>
        <v>67</v>
      </c>
      <c r="B70" s="185">
        <v>45779</v>
      </c>
      <c r="C70" s="178" t="s">
        <v>477</v>
      </c>
      <c r="D70" s="176">
        <f>YEAR(PA[[#This Row],[Date]])</f>
        <v>2025</v>
      </c>
      <c r="E70" s="178" t="s">
        <v>361</v>
      </c>
      <c r="F70" s="178" t="s">
        <v>361</v>
      </c>
      <c r="G70" s="179">
        <v>45778</v>
      </c>
      <c r="H70" s="176">
        <f>DAY(EOMONTH(PA[[#This Row],[Month Year]],0))</f>
        <v>31</v>
      </c>
      <c r="I70" s="180">
        <f>VLOOKUP(PA[[#This Row],[Date]],Raw_Data[#All],9,0)</f>
        <v>0.2673611111111111</v>
      </c>
      <c r="J70" s="180">
        <f>VLOOKUP(PA[[#This Row],[Date]],Raw_Data[#All],10,0)</f>
        <v>0.79791666666666672</v>
      </c>
      <c r="K70" s="68">
        <f>IFERROR((PA[[#This Row],[Sunset Time (POA&lt;20 W/m2)]]-PA[[#This Row],[Sunrise Time (POA&gt;20 W/m2)]])*24,"")</f>
        <v>12.733333333333336</v>
      </c>
      <c r="L70" s="178" t="s">
        <v>447</v>
      </c>
      <c r="M70" s="178" t="s">
        <v>401</v>
      </c>
      <c r="N70" s="178" t="s">
        <v>395</v>
      </c>
      <c r="O70" s="178" t="s">
        <v>409</v>
      </c>
      <c r="P70" s="178" t="s">
        <v>429</v>
      </c>
      <c r="Q70" s="178"/>
      <c r="R70" s="176">
        <f>IF((PA[[#This Row],[String Type(If String BD)]]&amp;PA[[#This Row],[Equipment (If any BD other than PV  array and inv)]])="",1,0)</f>
        <v>0</v>
      </c>
      <c r="S70" s="6">
        <f>IF(PA[[#This Row],[String Type(If String BD)]]="",1,0)</f>
        <v>0</v>
      </c>
      <c r="T7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0" s="68">
        <f>IFERROR(VLOOKUP(PA[[#This Row],[Affected Equipment ]],'Basic Data '!$A$1:$B$1846,2,0),"")</f>
        <v>15.66</v>
      </c>
      <c r="V70" s="143">
        <f>IFERROR(VLOOKUP(PA[[#This Row],[Affected Equipment ]],'Basic Data '!$A$1:$C$1846,3,0),"")</f>
        <v>4.6733573865009801E-5</v>
      </c>
      <c r="W70" s="178" t="s">
        <v>451</v>
      </c>
      <c r="X70" s="110" t="s">
        <v>2525</v>
      </c>
      <c r="Y70" s="110" t="s">
        <v>2525</v>
      </c>
      <c r="Z70" s="109">
        <v>0.2673611111111111</v>
      </c>
      <c r="AA70" s="109">
        <v>0.2673611111111111</v>
      </c>
      <c r="AB70" s="109">
        <v>0.2673611111111111</v>
      </c>
      <c r="AC70" s="109">
        <v>0.79791666666666672</v>
      </c>
      <c r="AD70" s="82">
        <f>IF(PA[[#This Row],[Acknowledgement Time ]]="NA","",(PA[[#This Row],[Acknowledgement Time ]]-PA[[#This Row],[Fault Time]])*24)</f>
        <v>0</v>
      </c>
      <c r="AE70" s="82">
        <f>IF(PA[[#This Row],[Work Start time on Fault]]="NA","",(PA[[#This Row],[Work Start time on Fault]]-PA[[#This Row],[Fault Time]])*24)</f>
        <v>0</v>
      </c>
      <c r="AF70" s="111">
        <f>IF(PA[[#This Row],[Status]]="Open","",(PA[[#This Row],[Work Completion time on fault]]-PA[[#This Row],[Fault Time]])*24)</f>
        <v>12.733333333333336</v>
      </c>
      <c r="AG70" s="82">
        <f>IFERROR((PA[[#This Row],[Work Completion time on fault]]-PA[[#This Row],[Fault Time]])*24,"")</f>
        <v>12.733333333333336</v>
      </c>
      <c r="AH70" s="110" t="s">
        <v>2525</v>
      </c>
      <c r="AI70" s="178" t="s">
        <v>422</v>
      </c>
      <c r="AJ70" s="68">
        <f>IFERROR(PA[[#This Row],[Breakdown Time]]*PA[[#This Row],[Plant Equivalent Weightage]],"")</f>
        <v>5.950741738811249E-4</v>
      </c>
      <c r="AK70" s="117">
        <v>6.52</v>
      </c>
      <c r="AL70" s="116">
        <f>IF(PA[[#This Row],[Lost PoA(Wh/m2)]]&gt;0,_xlfn.XLOOKUP($B70,'Daily KPI'!$A:$A,'Daily KPI'!$AE:$AE)*PA[[#This Row],[Lost PoA(Wh/m2)]]*U70,0)</f>
        <v>83.4655134190414</v>
      </c>
      <c r="AM70" s="176" t="s">
        <v>2526</v>
      </c>
    </row>
    <row r="71" spans="1:39" ht="14" customHeight="1">
      <c r="A71" s="177">
        <f t="shared" si="2"/>
        <v>68</v>
      </c>
      <c r="B71" s="185">
        <v>45779</v>
      </c>
      <c r="C71" s="178" t="s">
        <v>477</v>
      </c>
      <c r="D71" s="176">
        <f>YEAR(PA[[#This Row],[Date]])</f>
        <v>2025</v>
      </c>
      <c r="E71" s="178" t="s">
        <v>361</v>
      </c>
      <c r="F71" s="178" t="s">
        <v>361</v>
      </c>
      <c r="G71" s="179">
        <v>45778</v>
      </c>
      <c r="H71" s="176">
        <f>DAY(EOMONTH(PA[[#This Row],[Month Year]],0))</f>
        <v>31</v>
      </c>
      <c r="I71" s="180">
        <f>VLOOKUP(PA[[#This Row],[Date]],Raw_Data[#All],9,0)</f>
        <v>0.2673611111111111</v>
      </c>
      <c r="J71" s="180">
        <f>VLOOKUP(PA[[#This Row],[Date]],Raw_Data[#All],10,0)</f>
        <v>0.79791666666666672</v>
      </c>
      <c r="K71" s="68">
        <f>IFERROR((PA[[#This Row],[Sunset Time (POA&lt;20 W/m2)]]-PA[[#This Row],[Sunrise Time (POA&gt;20 W/m2)]])*24,"")</f>
        <v>12.733333333333336</v>
      </c>
      <c r="L71" s="178" t="s">
        <v>425</v>
      </c>
      <c r="M71" s="178" t="s">
        <v>414</v>
      </c>
      <c r="N71" s="178" t="s">
        <v>402</v>
      </c>
      <c r="O71" s="178" t="s">
        <v>413</v>
      </c>
      <c r="P71" s="178" t="s">
        <v>429</v>
      </c>
      <c r="Q71" s="178"/>
      <c r="R71" s="176">
        <f>IF((PA[[#This Row],[String Type(If String BD)]]&amp;PA[[#This Row],[Equipment (If any BD other than PV  array and inv)]])="",1,0)</f>
        <v>0</v>
      </c>
      <c r="S71" s="6">
        <f>IF(PA[[#This Row],[String Type(If String BD)]]="",1,0)</f>
        <v>0</v>
      </c>
      <c r="T7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1" s="68">
        <f>IFERROR(VLOOKUP(PA[[#This Row],[Affected Equipment ]],'Basic Data '!$A$1:$B$1846,2,0),"")</f>
        <v>15.66</v>
      </c>
      <c r="V71" s="143">
        <f>IFERROR(VLOOKUP(PA[[#This Row],[Affected Equipment ]],'Basic Data '!$A$1:$C$1846,3,0),"")</f>
        <v>4.6733573865009801E-5</v>
      </c>
      <c r="W71" s="178" t="s">
        <v>451</v>
      </c>
      <c r="X71" s="110" t="s">
        <v>2525</v>
      </c>
      <c r="Y71" s="110" t="s">
        <v>2525</v>
      </c>
      <c r="Z71" s="109">
        <v>0.2673611111111111</v>
      </c>
      <c r="AA71" s="109">
        <v>0.2673611111111111</v>
      </c>
      <c r="AB71" s="109">
        <v>0.2673611111111111</v>
      </c>
      <c r="AC71" s="109">
        <v>0.79791666666666672</v>
      </c>
      <c r="AD71" s="82">
        <f>IF(PA[[#This Row],[Acknowledgement Time ]]="NA","",(PA[[#This Row],[Acknowledgement Time ]]-PA[[#This Row],[Fault Time]])*24)</f>
        <v>0</v>
      </c>
      <c r="AE71" s="82">
        <f>IF(PA[[#This Row],[Work Start time on Fault]]="NA","",(PA[[#This Row],[Work Start time on Fault]]-PA[[#This Row],[Fault Time]])*24)</f>
        <v>0</v>
      </c>
      <c r="AF71" s="111">
        <f>IF(PA[[#This Row],[Status]]="Open","",(PA[[#This Row],[Work Completion time on fault]]-PA[[#This Row],[Fault Time]])*24)</f>
        <v>12.733333333333336</v>
      </c>
      <c r="AG71" s="82">
        <f>IFERROR((PA[[#This Row],[Work Completion time on fault]]-PA[[#This Row],[Fault Time]])*24,"")</f>
        <v>12.733333333333336</v>
      </c>
      <c r="AH71" s="110" t="s">
        <v>2525</v>
      </c>
      <c r="AI71" s="178" t="s">
        <v>422</v>
      </c>
      <c r="AJ71" s="68">
        <f>IFERROR(PA[[#This Row],[Breakdown Time]]*PA[[#This Row],[Plant Equivalent Weightage]],"")</f>
        <v>5.950741738811249E-4</v>
      </c>
      <c r="AK71" s="117">
        <v>6.52</v>
      </c>
      <c r="AL71" s="116">
        <f>IF(PA[[#This Row],[Lost PoA(Wh/m2)]]&gt;0,_xlfn.XLOOKUP($B71,'Daily KPI'!$A:$A,'Daily KPI'!$AE:$AE)*PA[[#This Row],[Lost PoA(Wh/m2)]]*U71,0)</f>
        <v>83.4655134190414</v>
      </c>
      <c r="AM71" s="176" t="s">
        <v>2526</v>
      </c>
    </row>
    <row r="72" spans="1:39" ht="14" customHeight="1">
      <c r="A72" s="177">
        <f t="shared" si="2"/>
        <v>69</v>
      </c>
      <c r="B72" s="185">
        <v>45779</v>
      </c>
      <c r="C72" s="178" t="s">
        <v>477</v>
      </c>
      <c r="D72" s="176">
        <f>YEAR(PA[[#This Row],[Date]])</f>
        <v>2025</v>
      </c>
      <c r="E72" s="178" t="s">
        <v>361</v>
      </c>
      <c r="F72" s="178" t="s">
        <v>361</v>
      </c>
      <c r="G72" s="179">
        <v>45778</v>
      </c>
      <c r="H72" s="176">
        <f>DAY(EOMONTH(PA[[#This Row],[Month Year]],0))</f>
        <v>31</v>
      </c>
      <c r="I72" s="180">
        <f>VLOOKUP(PA[[#This Row],[Date]],Raw_Data[#All],9,0)</f>
        <v>0.2673611111111111</v>
      </c>
      <c r="J72" s="180">
        <f>VLOOKUP(PA[[#This Row],[Date]],Raw_Data[#All],10,0)</f>
        <v>0.79791666666666672</v>
      </c>
      <c r="K72" s="68">
        <f>IFERROR((PA[[#This Row],[Sunset Time (POA&lt;20 W/m2)]]-PA[[#This Row],[Sunrise Time (POA&gt;20 W/m2)]])*24,"")</f>
        <v>12.733333333333336</v>
      </c>
      <c r="L72" s="178" t="s">
        <v>419</v>
      </c>
      <c r="M72" s="178" t="s">
        <v>414</v>
      </c>
      <c r="N72" s="178" t="s">
        <v>395</v>
      </c>
      <c r="O72" s="178" t="s">
        <v>418</v>
      </c>
      <c r="P72" s="178" t="s">
        <v>429</v>
      </c>
      <c r="Q72" s="178"/>
      <c r="R72" s="176">
        <f>IF((PA[[#This Row],[String Type(If String BD)]]&amp;PA[[#This Row],[Equipment (If any BD other than PV  array and inv)]])="",1,0)</f>
        <v>0</v>
      </c>
      <c r="S72" s="6">
        <f>IF(PA[[#This Row],[String Type(If String BD)]]="",1,0)</f>
        <v>0</v>
      </c>
      <c r="T7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2" s="68">
        <f>IFERROR(VLOOKUP(PA[[#This Row],[Affected Equipment ]],'Basic Data '!$A$1:$B$1846,2,0),"")</f>
        <v>15.66</v>
      </c>
      <c r="V72" s="143">
        <f>IFERROR(VLOOKUP(PA[[#This Row],[Affected Equipment ]],'Basic Data '!$A$1:$C$1846,3,0),"")</f>
        <v>4.6733573865009801E-5</v>
      </c>
      <c r="W72" s="178" t="s">
        <v>451</v>
      </c>
      <c r="X72" s="110" t="s">
        <v>2525</v>
      </c>
      <c r="Y72" s="110" t="s">
        <v>2525</v>
      </c>
      <c r="Z72" s="109">
        <v>0.2673611111111111</v>
      </c>
      <c r="AA72" s="109">
        <v>0.2673611111111111</v>
      </c>
      <c r="AB72" s="109">
        <v>0.2673611111111111</v>
      </c>
      <c r="AC72" s="109">
        <v>0.79791666666666672</v>
      </c>
      <c r="AD72" s="82">
        <f>IF(PA[[#This Row],[Acknowledgement Time ]]="NA","",(PA[[#This Row],[Acknowledgement Time ]]-PA[[#This Row],[Fault Time]])*24)</f>
        <v>0</v>
      </c>
      <c r="AE72" s="82">
        <f>IF(PA[[#This Row],[Work Start time on Fault]]="NA","",(PA[[#This Row],[Work Start time on Fault]]-PA[[#This Row],[Fault Time]])*24)</f>
        <v>0</v>
      </c>
      <c r="AF72" s="111">
        <f>IF(PA[[#This Row],[Status]]="Open","",(PA[[#This Row],[Work Completion time on fault]]-PA[[#This Row],[Fault Time]])*24)</f>
        <v>12.733333333333336</v>
      </c>
      <c r="AG72" s="82">
        <f>IFERROR((PA[[#This Row],[Work Completion time on fault]]-PA[[#This Row],[Fault Time]])*24,"")</f>
        <v>12.733333333333336</v>
      </c>
      <c r="AH72" s="110" t="s">
        <v>2525</v>
      </c>
      <c r="AI72" s="178" t="s">
        <v>422</v>
      </c>
      <c r="AJ72" s="68">
        <f>IFERROR(PA[[#This Row],[Breakdown Time]]*PA[[#This Row],[Plant Equivalent Weightage]],"")</f>
        <v>5.950741738811249E-4</v>
      </c>
      <c r="AK72" s="117">
        <v>6.52</v>
      </c>
      <c r="AL72" s="116">
        <f>IF(PA[[#This Row],[Lost PoA(Wh/m2)]]&gt;0,_xlfn.XLOOKUP($B72,'Daily KPI'!$A:$A,'Daily KPI'!$AE:$AE)*PA[[#This Row],[Lost PoA(Wh/m2)]]*U72,0)</f>
        <v>83.4655134190414</v>
      </c>
      <c r="AM72" s="176" t="s">
        <v>2526</v>
      </c>
    </row>
    <row r="73" spans="1:39" ht="14" customHeight="1">
      <c r="A73" s="177">
        <f t="shared" si="2"/>
        <v>70</v>
      </c>
      <c r="B73" s="185">
        <v>45779</v>
      </c>
      <c r="C73" s="178" t="s">
        <v>477</v>
      </c>
      <c r="D73" s="176">
        <f>YEAR(PA[[#This Row],[Date]])</f>
        <v>2025</v>
      </c>
      <c r="E73" s="178" t="s">
        <v>361</v>
      </c>
      <c r="F73" s="178" t="s">
        <v>361</v>
      </c>
      <c r="G73" s="179">
        <v>45778</v>
      </c>
      <c r="H73" s="176">
        <f>DAY(EOMONTH(PA[[#This Row],[Month Year]],0))</f>
        <v>31</v>
      </c>
      <c r="I73" s="180">
        <f>VLOOKUP(PA[[#This Row],[Date]],Raw_Data[#All],9,0)</f>
        <v>0.2673611111111111</v>
      </c>
      <c r="J73" s="180">
        <f>VLOOKUP(PA[[#This Row],[Date]],Raw_Data[#All],10,0)</f>
        <v>0.79791666666666672</v>
      </c>
      <c r="K73" s="68">
        <f>IFERROR((PA[[#This Row],[Sunset Time (POA&lt;20 W/m2)]]-PA[[#This Row],[Sunrise Time (POA&gt;20 W/m2)]])*24,"")</f>
        <v>12.733333333333336</v>
      </c>
      <c r="L73" s="178" t="s">
        <v>419</v>
      </c>
      <c r="M73" s="178" t="s">
        <v>414</v>
      </c>
      <c r="N73" s="178" t="s">
        <v>402</v>
      </c>
      <c r="O73" s="178" t="s">
        <v>403</v>
      </c>
      <c r="P73" s="178" t="s">
        <v>429</v>
      </c>
      <c r="Q73" s="178"/>
      <c r="R73" s="176">
        <f>IF((PA[[#This Row],[String Type(If String BD)]]&amp;PA[[#This Row],[Equipment (If any BD other than PV  array and inv)]])="",1,0)</f>
        <v>0</v>
      </c>
      <c r="S73" s="6">
        <f>IF(PA[[#This Row],[String Type(If String BD)]]="",1,0)</f>
        <v>0</v>
      </c>
      <c r="T7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3" s="68">
        <f>IFERROR(VLOOKUP(PA[[#This Row],[Affected Equipment ]],'Basic Data '!$A$1:$B$1846,2,0),"")</f>
        <v>15.66</v>
      </c>
      <c r="V73" s="143">
        <f>IFERROR(VLOOKUP(PA[[#This Row],[Affected Equipment ]],'Basic Data '!$A$1:$C$1846,3,0),"")</f>
        <v>4.6733573865009801E-5</v>
      </c>
      <c r="W73" s="178" t="s">
        <v>451</v>
      </c>
      <c r="X73" s="110" t="s">
        <v>2525</v>
      </c>
      <c r="Y73" s="110" t="s">
        <v>2525</v>
      </c>
      <c r="Z73" s="109">
        <v>0.2673611111111111</v>
      </c>
      <c r="AA73" s="109">
        <v>0.2673611111111111</v>
      </c>
      <c r="AB73" s="109">
        <v>0.2673611111111111</v>
      </c>
      <c r="AC73" s="109">
        <v>0.79791666666666672</v>
      </c>
      <c r="AD73" s="82">
        <f>IF(PA[[#This Row],[Acknowledgement Time ]]="NA","",(PA[[#This Row],[Acknowledgement Time ]]-PA[[#This Row],[Fault Time]])*24)</f>
        <v>0</v>
      </c>
      <c r="AE73" s="82">
        <f>IF(PA[[#This Row],[Work Start time on Fault]]="NA","",(PA[[#This Row],[Work Start time on Fault]]-PA[[#This Row],[Fault Time]])*24)</f>
        <v>0</v>
      </c>
      <c r="AF73" s="111">
        <f>IF(PA[[#This Row],[Status]]="Open","",(PA[[#This Row],[Work Completion time on fault]]-PA[[#This Row],[Fault Time]])*24)</f>
        <v>12.733333333333336</v>
      </c>
      <c r="AG73" s="82">
        <f>IFERROR((PA[[#This Row],[Work Completion time on fault]]-PA[[#This Row],[Fault Time]])*24,"")</f>
        <v>12.733333333333336</v>
      </c>
      <c r="AH73" s="110" t="s">
        <v>2525</v>
      </c>
      <c r="AI73" s="178" t="s">
        <v>422</v>
      </c>
      <c r="AJ73" s="68">
        <f>IFERROR(PA[[#This Row],[Breakdown Time]]*PA[[#This Row],[Plant Equivalent Weightage]],"")</f>
        <v>5.950741738811249E-4</v>
      </c>
      <c r="AK73" s="117">
        <v>6.52</v>
      </c>
      <c r="AL73" s="116">
        <f>IF(PA[[#This Row],[Lost PoA(Wh/m2)]]&gt;0,_xlfn.XLOOKUP($B73,'Daily KPI'!$A:$A,'Daily KPI'!$AE:$AE)*PA[[#This Row],[Lost PoA(Wh/m2)]]*U73,0)</f>
        <v>83.4655134190414</v>
      </c>
      <c r="AM73" s="176" t="s">
        <v>2526</v>
      </c>
    </row>
    <row r="74" spans="1:39" ht="14" customHeight="1">
      <c r="A74" s="177">
        <f t="shared" si="2"/>
        <v>71</v>
      </c>
      <c r="B74" s="185">
        <v>45779</v>
      </c>
      <c r="C74" s="178" t="s">
        <v>477</v>
      </c>
      <c r="D74" s="176">
        <f>YEAR(PA[[#This Row],[Date]])</f>
        <v>2025</v>
      </c>
      <c r="E74" s="178" t="s">
        <v>361</v>
      </c>
      <c r="F74" s="178" t="s">
        <v>361</v>
      </c>
      <c r="G74" s="179">
        <v>45778</v>
      </c>
      <c r="H74" s="176">
        <f>DAY(EOMONTH(PA[[#This Row],[Month Year]],0))</f>
        <v>31</v>
      </c>
      <c r="I74" s="180">
        <f>VLOOKUP(PA[[#This Row],[Date]],Raw_Data[#All],9,0)</f>
        <v>0.2673611111111111</v>
      </c>
      <c r="J74" s="180">
        <f>VLOOKUP(PA[[#This Row],[Date]],Raw_Data[#All],10,0)</f>
        <v>0.79791666666666672</v>
      </c>
      <c r="K74" s="68">
        <f>IFERROR((PA[[#This Row],[Sunset Time (POA&lt;20 W/m2)]]-PA[[#This Row],[Sunrise Time (POA&gt;20 W/m2)]])*24,"")</f>
        <v>12.733333333333336</v>
      </c>
      <c r="L74" s="178" t="s">
        <v>419</v>
      </c>
      <c r="M74" s="178" t="s">
        <v>414</v>
      </c>
      <c r="N74" s="178" t="s">
        <v>402</v>
      </c>
      <c r="O74" s="178" t="s">
        <v>406</v>
      </c>
      <c r="P74" s="178" t="s">
        <v>429</v>
      </c>
      <c r="Q74" s="178"/>
      <c r="R74" s="176">
        <f>IF((PA[[#This Row],[String Type(If String BD)]]&amp;PA[[#This Row],[Equipment (If any BD other than PV  array and inv)]])="",1,0)</f>
        <v>0</v>
      </c>
      <c r="S74" s="6">
        <f>IF(PA[[#This Row],[String Type(If String BD)]]="",1,0)</f>
        <v>0</v>
      </c>
      <c r="T7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4" s="68">
        <f>IFERROR(VLOOKUP(PA[[#This Row],[Affected Equipment ]],'Basic Data '!$A$1:$B$1846,2,0),"")</f>
        <v>15.66</v>
      </c>
      <c r="V74" s="143">
        <f>IFERROR(VLOOKUP(PA[[#This Row],[Affected Equipment ]],'Basic Data '!$A$1:$C$1846,3,0),"")</f>
        <v>4.6733573865009801E-5</v>
      </c>
      <c r="W74" s="178" t="s">
        <v>451</v>
      </c>
      <c r="X74" s="110" t="s">
        <v>2525</v>
      </c>
      <c r="Y74" s="110" t="s">
        <v>2525</v>
      </c>
      <c r="Z74" s="109">
        <v>0.2673611111111111</v>
      </c>
      <c r="AA74" s="109">
        <v>0.2673611111111111</v>
      </c>
      <c r="AB74" s="109">
        <v>0.2673611111111111</v>
      </c>
      <c r="AC74" s="109">
        <v>0.79791666666666672</v>
      </c>
      <c r="AD74" s="82">
        <f>IF(PA[[#This Row],[Acknowledgement Time ]]="NA","",(PA[[#This Row],[Acknowledgement Time ]]-PA[[#This Row],[Fault Time]])*24)</f>
        <v>0</v>
      </c>
      <c r="AE74" s="82">
        <f>IF(PA[[#This Row],[Work Start time on Fault]]="NA","",(PA[[#This Row],[Work Start time on Fault]]-PA[[#This Row],[Fault Time]])*24)</f>
        <v>0</v>
      </c>
      <c r="AF74" s="111">
        <f>IF(PA[[#This Row],[Status]]="Open","",(PA[[#This Row],[Work Completion time on fault]]-PA[[#This Row],[Fault Time]])*24)</f>
        <v>12.733333333333336</v>
      </c>
      <c r="AG74" s="82">
        <f>IFERROR((PA[[#This Row],[Work Completion time on fault]]-PA[[#This Row],[Fault Time]])*24,"")</f>
        <v>12.733333333333336</v>
      </c>
      <c r="AH74" s="110" t="s">
        <v>2525</v>
      </c>
      <c r="AI74" s="178" t="s">
        <v>422</v>
      </c>
      <c r="AJ74" s="68">
        <f>IFERROR(PA[[#This Row],[Breakdown Time]]*PA[[#This Row],[Plant Equivalent Weightage]],"")</f>
        <v>5.950741738811249E-4</v>
      </c>
      <c r="AK74" s="117">
        <v>6.52</v>
      </c>
      <c r="AL74" s="116">
        <f>IF(PA[[#This Row],[Lost PoA(Wh/m2)]]&gt;0,_xlfn.XLOOKUP($B74,'Daily KPI'!$A:$A,'Daily KPI'!$AE:$AE)*PA[[#This Row],[Lost PoA(Wh/m2)]]*U74,0)</f>
        <v>83.4655134190414</v>
      </c>
      <c r="AM74" s="176" t="s">
        <v>2526</v>
      </c>
    </row>
    <row r="75" spans="1:39" ht="14" customHeight="1">
      <c r="A75" s="177">
        <f t="shared" si="2"/>
        <v>72</v>
      </c>
      <c r="B75" s="185">
        <v>45779</v>
      </c>
      <c r="C75" s="178" t="s">
        <v>477</v>
      </c>
      <c r="D75" s="176">
        <f>YEAR(PA[[#This Row],[Date]])</f>
        <v>2025</v>
      </c>
      <c r="E75" s="178" t="s">
        <v>361</v>
      </c>
      <c r="F75" s="178" t="s">
        <v>361</v>
      </c>
      <c r="G75" s="179">
        <v>45778</v>
      </c>
      <c r="H75" s="176">
        <f>DAY(EOMONTH(PA[[#This Row],[Month Year]],0))</f>
        <v>31</v>
      </c>
      <c r="I75" s="180">
        <f>VLOOKUP(PA[[#This Row],[Date]],Raw_Data[#All],9,0)</f>
        <v>0.2673611111111111</v>
      </c>
      <c r="J75" s="180">
        <f>VLOOKUP(PA[[#This Row],[Date]],Raw_Data[#All],10,0)</f>
        <v>0.79791666666666672</v>
      </c>
      <c r="K75" s="68">
        <f>IFERROR((PA[[#This Row],[Sunset Time (POA&lt;20 W/m2)]]-PA[[#This Row],[Sunrise Time (POA&gt;20 W/m2)]])*24,"")</f>
        <v>12.733333333333336</v>
      </c>
      <c r="L75" s="178" t="s">
        <v>419</v>
      </c>
      <c r="M75" s="178" t="s">
        <v>401</v>
      </c>
      <c r="N75" s="178" t="s">
        <v>402</v>
      </c>
      <c r="O75" s="178" t="s">
        <v>403</v>
      </c>
      <c r="P75" s="178" t="s">
        <v>429</v>
      </c>
      <c r="Q75" s="178"/>
      <c r="R75" s="176">
        <f>IF((PA[[#This Row],[String Type(If String BD)]]&amp;PA[[#This Row],[Equipment (If any BD other than PV  array and inv)]])="",1,0)</f>
        <v>0</v>
      </c>
      <c r="S75" s="6">
        <f>IF(PA[[#This Row],[String Type(If String BD)]]="",1,0)</f>
        <v>0</v>
      </c>
      <c r="T7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5" s="68">
        <f>IFERROR(VLOOKUP(PA[[#This Row],[Affected Equipment ]],'Basic Data '!$A$1:$B$1846,2,0),"")</f>
        <v>15.66</v>
      </c>
      <c r="V75" s="143">
        <f>IFERROR(VLOOKUP(PA[[#This Row],[Affected Equipment ]],'Basic Data '!$A$1:$C$1846,3,0),"")</f>
        <v>4.6733573865009801E-5</v>
      </c>
      <c r="W75" s="178" t="s">
        <v>451</v>
      </c>
      <c r="X75" s="110" t="s">
        <v>2525</v>
      </c>
      <c r="Y75" s="110" t="s">
        <v>2525</v>
      </c>
      <c r="Z75" s="109">
        <v>0.2673611111111111</v>
      </c>
      <c r="AA75" s="109">
        <v>0.2673611111111111</v>
      </c>
      <c r="AB75" s="109">
        <v>0.2673611111111111</v>
      </c>
      <c r="AC75" s="109">
        <v>0.79791666666666672</v>
      </c>
      <c r="AD75" s="82">
        <f>IF(PA[[#This Row],[Acknowledgement Time ]]="NA","",(PA[[#This Row],[Acknowledgement Time ]]-PA[[#This Row],[Fault Time]])*24)</f>
        <v>0</v>
      </c>
      <c r="AE75" s="82">
        <f>IF(PA[[#This Row],[Work Start time on Fault]]="NA","",(PA[[#This Row],[Work Start time on Fault]]-PA[[#This Row],[Fault Time]])*24)</f>
        <v>0</v>
      </c>
      <c r="AF75" s="111">
        <f>IF(PA[[#This Row],[Status]]="Open","",(PA[[#This Row],[Work Completion time on fault]]-PA[[#This Row],[Fault Time]])*24)</f>
        <v>12.733333333333336</v>
      </c>
      <c r="AG75" s="82">
        <f>IFERROR((PA[[#This Row],[Work Completion time on fault]]-PA[[#This Row],[Fault Time]])*24,"")</f>
        <v>12.733333333333336</v>
      </c>
      <c r="AH75" s="110" t="s">
        <v>2525</v>
      </c>
      <c r="AI75" s="178" t="s">
        <v>422</v>
      </c>
      <c r="AJ75" s="68">
        <f>IFERROR(PA[[#This Row],[Breakdown Time]]*PA[[#This Row],[Plant Equivalent Weightage]],"")</f>
        <v>5.950741738811249E-4</v>
      </c>
      <c r="AK75" s="117">
        <v>6.52</v>
      </c>
      <c r="AL75" s="116">
        <f>IF(PA[[#This Row],[Lost PoA(Wh/m2)]]&gt;0,_xlfn.XLOOKUP($B75,'Daily KPI'!$A:$A,'Daily KPI'!$AE:$AE)*PA[[#This Row],[Lost PoA(Wh/m2)]]*U75,0)</f>
        <v>83.4655134190414</v>
      </c>
      <c r="AM75" s="176" t="s">
        <v>2526</v>
      </c>
    </row>
    <row r="76" spans="1:39" ht="14" customHeight="1">
      <c r="A76" s="177">
        <f t="shared" si="2"/>
        <v>73</v>
      </c>
      <c r="B76" s="185">
        <v>45779</v>
      </c>
      <c r="C76" s="178" t="s">
        <v>477</v>
      </c>
      <c r="D76" s="176">
        <f>YEAR(PA[[#This Row],[Date]])</f>
        <v>2025</v>
      </c>
      <c r="E76" s="178" t="s">
        <v>361</v>
      </c>
      <c r="F76" s="178" t="s">
        <v>361</v>
      </c>
      <c r="G76" s="179">
        <v>45778</v>
      </c>
      <c r="H76" s="176">
        <f>DAY(EOMONTH(PA[[#This Row],[Month Year]],0))</f>
        <v>31</v>
      </c>
      <c r="I76" s="180">
        <f>VLOOKUP(PA[[#This Row],[Date]],Raw_Data[#All],9,0)</f>
        <v>0.2673611111111111</v>
      </c>
      <c r="J76" s="180">
        <f>VLOOKUP(PA[[#This Row],[Date]],Raw_Data[#All],10,0)</f>
        <v>0.79791666666666672</v>
      </c>
      <c r="K76" s="68">
        <f>IFERROR((PA[[#This Row],[Sunset Time (POA&lt;20 W/m2)]]-PA[[#This Row],[Sunrise Time (POA&gt;20 W/m2)]])*24,"")</f>
        <v>12.733333333333336</v>
      </c>
      <c r="L76" s="178" t="s">
        <v>423</v>
      </c>
      <c r="M76" s="178" t="s">
        <v>401</v>
      </c>
      <c r="N76" s="178" t="s">
        <v>395</v>
      </c>
      <c r="O76" s="178" t="s">
        <v>415</v>
      </c>
      <c r="P76" s="178" t="s">
        <v>429</v>
      </c>
      <c r="Q76" s="178"/>
      <c r="R76" s="176">
        <f>IF((PA[[#This Row],[String Type(If String BD)]]&amp;PA[[#This Row],[Equipment (If any BD other than PV  array and inv)]])="",1,0)</f>
        <v>0</v>
      </c>
      <c r="S76" s="6">
        <f>IF(PA[[#This Row],[String Type(If String BD)]]="",1,0)</f>
        <v>0</v>
      </c>
      <c r="T7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6" s="68">
        <f>IFERROR(VLOOKUP(PA[[#This Row],[Affected Equipment ]],'Basic Data '!$A$1:$B$1846,2,0),"")</f>
        <v>15.66</v>
      </c>
      <c r="V76" s="143">
        <f>IFERROR(VLOOKUP(PA[[#This Row],[Affected Equipment ]],'Basic Data '!$A$1:$C$1846,3,0),"")</f>
        <v>4.6733573865009801E-5</v>
      </c>
      <c r="W76" s="178" t="s">
        <v>451</v>
      </c>
      <c r="X76" s="110" t="s">
        <v>2525</v>
      </c>
      <c r="Y76" s="110" t="s">
        <v>2525</v>
      </c>
      <c r="Z76" s="109">
        <v>0.2673611111111111</v>
      </c>
      <c r="AA76" s="109">
        <v>0.2673611111111111</v>
      </c>
      <c r="AB76" s="109">
        <v>0.2673611111111111</v>
      </c>
      <c r="AC76" s="109">
        <v>0.79791666666666672</v>
      </c>
      <c r="AD76" s="82">
        <f>IF(PA[[#This Row],[Acknowledgement Time ]]="NA","",(PA[[#This Row],[Acknowledgement Time ]]-PA[[#This Row],[Fault Time]])*24)</f>
        <v>0</v>
      </c>
      <c r="AE76" s="82">
        <f>IF(PA[[#This Row],[Work Start time on Fault]]="NA","",(PA[[#This Row],[Work Start time on Fault]]-PA[[#This Row],[Fault Time]])*24)</f>
        <v>0</v>
      </c>
      <c r="AF76" s="111">
        <f>IF(PA[[#This Row],[Status]]="Open","",(PA[[#This Row],[Work Completion time on fault]]-PA[[#This Row],[Fault Time]])*24)</f>
        <v>12.733333333333336</v>
      </c>
      <c r="AG76" s="82">
        <f>IFERROR((PA[[#This Row],[Work Completion time on fault]]-PA[[#This Row],[Fault Time]])*24,"")</f>
        <v>12.733333333333336</v>
      </c>
      <c r="AH76" s="110" t="s">
        <v>2525</v>
      </c>
      <c r="AI76" s="178" t="s">
        <v>422</v>
      </c>
      <c r="AJ76" s="68">
        <f>IFERROR(PA[[#This Row],[Breakdown Time]]*PA[[#This Row],[Plant Equivalent Weightage]],"")</f>
        <v>5.950741738811249E-4</v>
      </c>
      <c r="AK76" s="117">
        <v>6.52</v>
      </c>
      <c r="AL76" s="116">
        <f>IF(PA[[#This Row],[Lost PoA(Wh/m2)]]&gt;0,_xlfn.XLOOKUP($B76,'Daily KPI'!$A:$A,'Daily KPI'!$AE:$AE)*PA[[#This Row],[Lost PoA(Wh/m2)]]*U76,0)</f>
        <v>83.4655134190414</v>
      </c>
      <c r="AM76" s="176" t="s">
        <v>2526</v>
      </c>
    </row>
    <row r="77" spans="1:39" ht="14" customHeight="1">
      <c r="A77" s="177">
        <f t="shared" si="2"/>
        <v>74</v>
      </c>
      <c r="B77" s="185">
        <v>45779</v>
      </c>
      <c r="C77" s="178" t="s">
        <v>477</v>
      </c>
      <c r="D77" s="176">
        <f>YEAR(PA[[#This Row],[Date]])</f>
        <v>2025</v>
      </c>
      <c r="E77" s="178" t="s">
        <v>361</v>
      </c>
      <c r="F77" s="178" t="s">
        <v>361</v>
      </c>
      <c r="G77" s="179">
        <v>45778</v>
      </c>
      <c r="H77" s="176">
        <f>DAY(EOMONTH(PA[[#This Row],[Month Year]],0))</f>
        <v>31</v>
      </c>
      <c r="I77" s="180">
        <f>VLOOKUP(PA[[#This Row],[Date]],Raw_Data[#All],9,0)</f>
        <v>0.2673611111111111</v>
      </c>
      <c r="J77" s="180">
        <f>VLOOKUP(PA[[#This Row],[Date]],Raw_Data[#All],10,0)</f>
        <v>0.79791666666666672</v>
      </c>
      <c r="K77" s="68">
        <f>IFERROR((PA[[#This Row],[Sunset Time (POA&lt;20 W/m2)]]-PA[[#This Row],[Sunrise Time (POA&gt;20 W/m2)]])*24,"")</f>
        <v>12.733333333333336</v>
      </c>
      <c r="L77" s="178" t="s">
        <v>454</v>
      </c>
      <c r="M77" s="178" t="s">
        <v>401</v>
      </c>
      <c r="N77" s="178" t="s">
        <v>402</v>
      </c>
      <c r="O77" s="178" t="s">
        <v>409</v>
      </c>
      <c r="P77" s="178" t="s">
        <v>429</v>
      </c>
      <c r="Q77" s="178"/>
      <c r="R77" s="176">
        <f>IF((PA[[#This Row],[String Type(If String BD)]]&amp;PA[[#This Row],[Equipment (If any BD other than PV  array and inv)]])="",1,0)</f>
        <v>0</v>
      </c>
      <c r="S77" s="6">
        <f>IF(PA[[#This Row],[String Type(If String BD)]]="",1,0)</f>
        <v>0</v>
      </c>
      <c r="T7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7" s="68">
        <f>IFERROR(VLOOKUP(PA[[#This Row],[Affected Equipment ]],'Basic Data '!$A$1:$B$1846,2,0),"")</f>
        <v>15.66</v>
      </c>
      <c r="V77" s="143">
        <f>IFERROR(VLOOKUP(PA[[#This Row],[Affected Equipment ]],'Basic Data '!$A$1:$C$1846,3,0),"")</f>
        <v>4.6733573865009801E-5</v>
      </c>
      <c r="W77" s="178" t="s">
        <v>451</v>
      </c>
      <c r="X77" s="110" t="s">
        <v>2525</v>
      </c>
      <c r="Y77" s="110" t="s">
        <v>2525</v>
      </c>
      <c r="Z77" s="109">
        <v>0.2673611111111111</v>
      </c>
      <c r="AA77" s="109">
        <v>0.2673611111111111</v>
      </c>
      <c r="AB77" s="109">
        <v>0.2673611111111111</v>
      </c>
      <c r="AC77" s="109">
        <v>0.79791666666666672</v>
      </c>
      <c r="AD77" s="82">
        <f>IF(PA[[#This Row],[Acknowledgement Time ]]="NA","",(PA[[#This Row],[Acknowledgement Time ]]-PA[[#This Row],[Fault Time]])*24)</f>
        <v>0</v>
      </c>
      <c r="AE77" s="82">
        <f>IF(PA[[#This Row],[Work Start time on Fault]]="NA","",(PA[[#This Row],[Work Start time on Fault]]-PA[[#This Row],[Fault Time]])*24)</f>
        <v>0</v>
      </c>
      <c r="AF77" s="111">
        <f>IF(PA[[#This Row],[Status]]="Open","",(PA[[#This Row],[Work Completion time on fault]]-PA[[#This Row],[Fault Time]])*24)</f>
        <v>12.733333333333336</v>
      </c>
      <c r="AG77" s="82">
        <f>IFERROR((PA[[#This Row],[Work Completion time on fault]]-PA[[#This Row],[Fault Time]])*24,"")</f>
        <v>12.733333333333336</v>
      </c>
      <c r="AH77" s="110" t="s">
        <v>2525</v>
      </c>
      <c r="AI77" s="178" t="s">
        <v>422</v>
      </c>
      <c r="AJ77" s="68">
        <f>IFERROR(PA[[#This Row],[Breakdown Time]]*PA[[#This Row],[Plant Equivalent Weightage]],"")</f>
        <v>5.950741738811249E-4</v>
      </c>
      <c r="AK77" s="117">
        <v>6.52</v>
      </c>
      <c r="AL77" s="116">
        <f>IF(PA[[#This Row],[Lost PoA(Wh/m2)]]&gt;0,_xlfn.XLOOKUP($B77,'Daily KPI'!$A:$A,'Daily KPI'!$AE:$AE)*PA[[#This Row],[Lost PoA(Wh/m2)]]*U77,0)</f>
        <v>83.4655134190414</v>
      </c>
      <c r="AM77" s="176" t="s">
        <v>2526</v>
      </c>
    </row>
    <row r="78" spans="1:39" ht="14" customHeight="1">
      <c r="A78" s="177">
        <f t="shared" si="2"/>
        <v>75</v>
      </c>
      <c r="B78" s="185">
        <v>45779</v>
      </c>
      <c r="C78" s="178" t="s">
        <v>477</v>
      </c>
      <c r="D78" s="176">
        <f>YEAR(PA[[#This Row],[Date]])</f>
        <v>2025</v>
      </c>
      <c r="E78" s="178" t="s">
        <v>361</v>
      </c>
      <c r="F78" s="178" t="s">
        <v>361</v>
      </c>
      <c r="G78" s="179">
        <v>45778</v>
      </c>
      <c r="H78" s="176">
        <f>DAY(EOMONTH(PA[[#This Row],[Month Year]],0))</f>
        <v>31</v>
      </c>
      <c r="I78" s="180">
        <f>VLOOKUP(PA[[#This Row],[Date]],Raw_Data[#All],9,0)</f>
        <v>0.2673611111111111</v>
      </c>
      <c r="J78" s="180">
        <f>VLOOKUP(PA[[#This Row],[Date]],Raw_Data[#All],10,0)</f>
        <v>0.79791666666666672</v>
      </c>
      <c r="K78" s="68">
        <f>IFERROR((PA[[#This Row],[Sunset Time (POA&lt;20 W/m2)]]-PA[[#This Row],[Sunrise Time (POA&gt;20 W/m2)]])*24,"")</f>
        <v>12.733333333333336</v>
      </c>
      <c r="L78" s="178" t="s">
        <v>441</v>
      </c>
      <c r="M78" s="178" t="s">
        <v>408</v>
      </c>
      <c r="N78" s="178" t="s">
        <v>395</v>
      </c>
      <c r="O78" s="178" t="s">
        <v>406</v>
      </c>
      <c r="P78" s="178" t="s">
        <v>443</v>
      </c>
      <c r="Q78" s="178"/>
      <c r="R78" s="176">
        <f>IF((PA[[#This Row],[String Type(If String BD)]]&amp;PA[[#This Row],[Equipment (If any BD other than PV  array and inv)]])="",1,0)</f>
        <v>0</v>
      </c>
      <c r="S78" s="6">
        <f>IF(PA[[#This Row],[String Type(If String BD)]]="",1,0)</f>
        <v>0</v>
      </c>
      <c r="T7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Str_Typ2 (450*29)</v>
      </c>
      <c r="U78" s="68">
        <f>IFERROR(VLOOKUP(PA[[#This Row],[Affected Equipment ]],'Basic Data '!$A$1:$B$1846,2,0),"")</f>
        <v>13.05</v>
      </c>
      <c r="V78" s="143">
        <f>IFERROR(VLOOKUP(PA[[#This Row],[Affected Equipment ]],'Basic Data '!$A$1:$C$1846,3,0),"")</f>
        <v>3.8944644887508173E-5</v>
      </c>
      <c r="W78" s="178" t="s">
        <v>451</v>
      </c>
      <c r="X78" s="110" t="s">
        <v>2525</v>
      </c>
      <c r="Y78" s="110" t="s">
        <v>2525</v>
      </c>
      <c r="Z78" s="109">
        <v>0.2673611111111111</v>
      </c>
      <c r="AA78" s="109">
        <v>0.2673611111111111</v>
      </c>
      <c r="AB78" s="109">
        <v>0.2673611111111111</v>
      </c>
      <c r="AC78" s="109">
        <v>0.79791666666666672</v>
      </c>
      <c r="AD78" s="82">
        <f>IF(PA[[#This Row],[Acknowledgement Time ]]="NA","",(PA[[#This Row],[Acknowledgement Time ]]-PA[[#This Row],[Fault Time]])*24)</f>
        <v>0</v>
      </c>
      <c r="AE78" s="82">
        <f>IF(PA[[#This Row],[Work Start time on Fault]]="NA","",(PA[[#This Row],[Work Start time on Fault]]-PA[[#This Row],[Fault Time]])*24)</f>
        <v>0</v>
      </c>
      <c r="AF78" s="111">
        <f>IF(PA[[#This Row],[Status]]="Open","",(PA[[#This Row],[Work Completion time on fault]]-PA[[#This Row],[Fault Time]])*24)</f>
        <v>12.733333333333336</v>
      </c>
      <c r="AG78" s="82">
        <f>IFERROR((PA[[#This Row],[Work Completion time on fault]]-PA[[#This Row],[Fault Time]])*24,"")</f>
        <v>12.733333333333336</v>
      </c>
      <c r="AH78" s="110" t="s">
        <v>2525</v>
      </c>
      <c r="AI78" s="178" t="s">
        <v>422</v>
      </c>
      <c r="AJ78" s="68">
        <f>IFERROR(PA[[#This Row],[Breakdown Time]]*PA[[#This Row],[Plant Equivalent Weightage]],"")</f>
        <v>4.9589514490093749E-4</v>
      </c>
      <c r="AK78" s="117">
        <v>6.52</v>
      </c>
      <c r="AL78" s="116">
        <f>IF(PA[[#This Row],[Lost PoA(Wh/m2)]]&gt;0,_xlfn.XLOOKUP($B78,'Daily KPI'!$A:$A,'Daily KPI'!$AE:$AE)*PA[[#This Row],[Lost PoA(Wh/m2)]]*U78,0)</f>
        <v>69.554594515867834</v>
      </c>
      <c r="AM78" s="176" t="s">
        <v>2526</v>
      </c>
    </row>
    <row r="79" spans="1:39" ht="14" customHeight="1">
      <c r="A79" s="177">
        <f t="shared" si="2"/>
        <v>76</v>
      </c>
      <c r="B79" s="185">
        <v>45779</v>
      </c>
      <c r="C79" s="178" t="s">
        <v>477</v>
      </c>
      <c r="D79" s="176">
        <f>YEAR(PA[[#This Row],[Date]])</f>
        <v>2025</v>
      </c>
      <c r="E79" s="178" t="s">
        <v>361</v>
      </c>
      <c r="F79" s="178" t="s">
        <v>361</v>
      </c>
      <c r="G79" s="179">
        <v>45778</v>
      </c>
      <c r="H79" s="176">
        <f>DAY(EOMONTH(PA[[#This Row],[Month Year]],0))</f>
        <v>31</v>
      </c>
      <c r="I79" s="180">
        <f>VLOOKUP(PA[[#This Row],[Date]],Raw_Data[#All],9,0)</f>
        <v>0.2673611111111111</v>
      </c>
      <c r="J79" s="180">
        <f>VLOOKUP(PA[[#This Row],[Date]],Raw_Data[#All],10,0)</f>
        <v>0.79791666666666672</v>
      </c>
      <c r="K79" s="68">
        <f>IFERROR((PA[[#This Row],[Sunset Time (POA&lt;20 W/m2)]]-PA[[#This Row],[Sunrise Time (POA&gt;20 W/m2)]])*24,"")</f>
        <v>12.733333333333336</v>
      </c>
      <c r="L79" s="178" t="s">
        <v>446</v>
      </c>
      <c r="M79" s="178" t="s">
        <v>401</v>
      </c>
      <c r="N79" s="178" t="s">
        <v>395</v>
      </c>
      <c r="O79" s="178" t="s">
        <v>417</v>
      </c>
      <c r="P79" s="178" t="s">
        <v>429</v>
      </c>
      <c r="Q79" s="178"/>
      <c r="R79" s="176">
        <f>IF((PA[[#This Row],[String Type(If String BD)]]&amp;PA[[#This Row],[Equipment (If any BD other than PV  array and inv)]])="",1,0)</f>
        <v>0</v>
      </c>
      <c r="S79" s="6">
        <f>IF(PA[[#This Row],[String Type(If String BD)]]="",1,0)</f>
        <v>0</v>
      </c>
      <c r="T7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9" s="68">
        <f>IFERROR(VLOOKUP(PA[[#This Row],[Affected Equipment ]],'Basic Data '!$A$1:$B$1846,2,0),"")</f>
        <v>15.66</v>
      </c>
      <c r="V79" s="143">
        <f>IFERROR(VLOOKUP(PA[[#This Row],[Affected Equipment ]],'Basic Data '!$A$1:$C$1846,3,0),"")</f>
        <v>4.6733573865009801E-5</v>
      </c>
      <c r="W79" s="178" t="s">
        <v>451</v>
      </c>
      <c r="X79" s="110" t="s">
        <v>2525</v>
      </c>
      <c r="Y79" s="110" t="s">
        <v>2525</v>
      </c>
      <c r="Z79" s="109">
        <v>0.2673611111111111</v>
      </c>
      <c r="AA79" s="109">
        <v>0.2673611111111111</v>
      </c>
      <c r="AB79" s="109">
        <v>0.2673611111111111</v>
      </c>
      <c r="AC79" s="109">
        <v>0.79791666666666672</v>
      </c>
      <c r="AD79" s="82">
        <f>IF(PA[[#This Row],[Acknowledgement Time ]]="NA","",(PA[[#This Row],[Acknowledgement Time ]]-PA[[#This Row],[Fault Time]])*24)</f>
        <v>0</v>
      </c>
      <c r="AE79" s="82">
        <f>IF(PA[[#This Row],[Work Start time on Fault]]="NA","",(PA[[#This Row],[Work Start time on Fault]]-PA[[#This Row],[Fault Time]])*24)</f>
        <v>0</v>
      </c>
      <c r="AF79" s="111">
        <f>IF(PA[[#This Row],[Status]]="Open","",(PA[[#This Row],[Work Completion time on fault]]-PA[[#This Row],[Fault Time]])*24)</f>
        <v>12.733333333333336</v>
      </c>
      <c r="AG79" s="82">
        <f>IFERROR((PA[[#This Row],[Work Completion time on fault]]-PA[[#This Row],[Fault Time]])*24,"")</f>
        <v>12.733333333333336</v>
      </c>
      <c r="AH79" s="110" t="s">
        <v>2525</v>
      </c>
      <c r="AI79" s="178" t="s">
        <v>422</v>
      </c>
      <c r="AJ79" s="68">
        <f>IFERROR(PA[[#This Row],[Breakdown Time]]*PA[[#This Row],[Plant Equivalent Weightage]],"")</f>
        <v>5.950741738811249E-4</v>
      </c>
      <c r="AK79" s="117">
        <v>6.52</v>
      </c>
      <c r="AL79" s="116">
        <f>IF(PA[[#This Row],[Lost PoA(Wh/m2)]]&gt;0,_xlfn.XLOOKUP($B79,'Daily KPI'!$A:$A,'Daily KPI'!$AE:$AE)*PA[[#This Row],[Lost PoA(Wh/m2)]]*U79,0)</f>
        <v>83.4655134190414</v>
      </c>
      <c r="AM79" s="176" t="s">
        <v>2526</v>
      </c>
    </row>
    <row r="80" spans="1:39" ht="14" customHeight="1">
      <c r="A80" s="177">
        <f t="shared" si="2"/>
        <v>77</v>
      </c>
      <c r="B80" s="185">
        <v>45779</v>
      </c>
      <c r="C80" s="178" t="s">
        <v>477</v>
      </c>
      <c r="D80" s="176">
        <f>YEAR(PA[[#This Row],[Date]])</f>
        <v>2025</v>
      </c>
      <c r="E80" s="178" t="s">
        <v>361</v>
      </c>
      <c r="F80" s="178" t="s">
        <v>361</v>
      </c>
      <c r="G80" s="179">
        <v>45778</v>
      </c>
      <c r="H80" s="176">
        <f>DAY(EOMONTH(PA[[#This Row],[Month Year]],0))</f>
        <v>31</v>
      </c>
      <c r="I80" s="180">
        <f>VLOOKUP(PA[[#This Row],[Date]],Raw_Data[#All],9,0)</f>
        <v>0.2673611111111111</v>
      </c>
      <c r="J80" s="180">
        <f>VLOOKUP(PA[[#This Row],[Date]],Raw_Data[#All],10,0)</f>
        <v>0.79791666666666672</v>
      </c>
      <c r="K80" s="68">
        <f>IFERROR((PA[[#This Row],[Sunset Time (POA&lt;20 W/m2)]]-PA[[#This Row],[Sunrise Time (POA&gt;20 W/m2)]])*24,"")</f>
        <v>12.733333333333336</v>
      </c>
      <c r="L80" s="178" t="s">
        <v>430</v>
      </c>
      <c r="M80" s="178" t="s">
        <v>414</v>
      </c>
      <c r="N80" s="178" t="s">
        <v>395</v>
      </c>
      <c r="O80" s="178" t="s">
        <v>412</v>
      </c>
      <c r="P80" s="178" t="s">
        <v>424</v>
      </c>
      <c r="Q80" s="178"/>
      <c r="R80" s="176">
        <f>IF((PA[[#This Row],[String Type(If String BD)]]&amp;PA[[#This Row],[Equipment (If any BD other than PV  array and inv)]])="",1,0)</f>
        <v>0</v>
      </c>
      <c r="S80" s="6">
        <f>IF(PA[[#This Row],[String Type(If String BD)]]="",1,0)</f>
        <v>0</v>
      </c>
      <c r="T8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80" s="68">
        <f>IFERROR(VLOOKUP(PA[[#This Row],[Affected Equipment ]],'Basic Data '!$A$1:$B$1846,2,0),"")</f>
        <v>12.904999999999999</v>
      </c>
      <c r="V80" s="143">
        <f>IFERROR(VLOOKUP(PA[[#This Row],[Affected Equipment ]],'Basic Data '!$A$1:$C$1846,3,0),"")</f>
        <v>3.8511926610980299E-5</v>
      </c>
      <c r="W80" s="178" t="s">
        <v>451</v>
      </c>
      <c r="X80" s="110" t="s">
        <v>2525</v>
      </c>
      <c r="Y80" s="110" t="s">
        <v>2525</v>
      </c>
      <c r="Z80" s="109">
        <v>0.2673611111111111</v>
      </c>
      <c r="AA80" s="109">
        <v>0.2673611111111111</v>
      </c>
      <c r="AB80" s="109">
        <v>0.2673611111111111</v>
      </c>
      <c r="AC80" s="109">
        <v>0.79791666666666672</v>
      </c>
      <c r="AD80" s="82">
        <f>IF(PA[[#This Row],[Acknowledgement Time ]]="NA","",(PA[[#This Row],[Acknowledgement Time ]]-PA[[#This Row],[Fault Time]])*24)</f>
        <v>0</v>
      </c>
      <c r="AE80" s="82">
        <f>IF(PA[[#This Row],[Work Start time on Fault]]="NA","",(PA[[#This Row],[Work Start time on Fault]]-PA[[#This Row],[Fault Time]])*24)</f>
        <v>0</v>
      </c>
      <c r="AF80" s="111">
        <f>IF(PA[[#This Row],[Status]]="Open","",(PA[[#This Row],[Work Completion time on fault]]-PA[[#This Row],[Fault Time]])*24)</f>
        <v>12.733333333333336</v>
      </c>
      <c r="AG80" s="82">
        <f>IFERROR((PA[[#This Row],[Work Completion time on fault]]-PA[[#This Row],[Fault Time]])*24,"")</f>
        <v>12.733333333333336</v>
      </c>
      <c r="AH80" s="110" t="s">
        <v>2525</v>
      </c>
      <c r="AI80" s="178" t="s">
        <v>422</v>
      </c>
      <c r="AJ80" s="68">
        <f>IFERROR(PA[[#This Row],[Breakdown Time]]*PA[[#This Row],[Plant Equivalent Weightage]],"")</f>
        <v>4.9038519884648255E-4</v>
      </c>
      <c r="AK80" s="117">
        <v>6.52</v>
      </c>
      <c r="AL80" s="116">
        <f>IF(PA[[#This Row],[Lost PoA(Wh/m2)]]&gt;0,_xlfn.XLOOKUP($B80,'Daily KPI'!$A:$A,'Daily KPI'!$AE:$AE)*PA[[#This Row],[Lost PoA(Wh/m2)]]*U80,0)</f>
        <v>68.781765687913747</v>
      </c>
      <c r="AM80" s="176" t="s">
        <v>2526</v>
      </c>
    </row>
    <row r="81" spans="1:39" ht="14" customHeight="1">
      <c r="A81" s="177">
        <f t="shared" si="2"/>
        <v>78</v>
      </c>
      <c r="B81" s="185">
        <v>45779</v>
      </c>
      <c r="C81" s="178" t="s">
        <v>477</v>
      </c>
      <c r="D81" s="176">
        <f>YEAR(PA[[#This Row],[Date]])</f>
        <v>2025</v>
      </c>
      <c r="E81" s="178" t="s">
        <v>361</v>
      </c>
      <c r="F81" s="178" t="s">
        <v>361</v>
      </c>
      <c r="G81" s="179">
        <v>45778</v>
      </c>
      <c r="H81" s="176">
        <f>DAY(EOMONTH(PA[[#This Row],[Month Year]],0))</f>
        <v>31</v>
      </c>
      <c r="I81" s="180">
        <f>VLOOKUP(PA[[#This Row],[Date]],Raw_Data[#All],9,0)</f>
        <v>0.2673611111111111</v>
      </c>
      <c r="J81" s="180">
        <f>VLOOKUP(PA[[#This Row],[Date]],Raw_Data[#All],10,0)</f>
        <v>0.79791666666666672</v>
      </c>
      <c r="K81" s="68">
        <f>IFERROR((PA[[#This Row],[Sunset Time (POA&lt;20 W/m2)]]-PA[[#This Row],[Sunrise Time (POA&gt;20 W/m2)]])*24,"")</f>
        <v>12.733333333333336</v>
      </c>
      <c r="L81" s="178" t="s">
        <v>405</v>
      </c>
      <c r="M81" s="178" t="s">
        <v>401</v>
      </c>
      <c r="N81" s="178" t="s">
        <v>395</v>
      </c>
      <c r="O81" s="178" t="s">
        <v>403</v>
      </c>
      <c r="P81" s="178" t="s">
        <v>429</v>
      </c>
      <c r="Q81" s="178"/>
      <c r="R81" s="176">
        <f>IF((PA[[#This Row],[String Type(If String BD)]]&amp;PA[[#This Row],[Equipment (If any BD other than PV  array and inv)]])="",1,0)</f>
        <v>0</v>
      </c>
      <c r="S81" s="6">
        <f>IF(PA[[#This Row],[String Type(If String BD)]]="",1,0)</f>
        <v>0</v>
      </c>
      <c r="T8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1" s="68">
        <f>IFERROR(VLOOKUP(PA[[#This Row],[Affected Equipment ]],'Basic Data '!$A$1:$B$1846,2,0),"")</f>
        <v>15.66</v>
      </c>
      <c r="V81" s="143">
        <f>IFERROR(VLOOKUP(PA[[#This Row],[Affected Equipment ]],'Basic Data '!$A$1:$C$1846,3,0),"")</f>
        <v>4.6733573865009801E-5</v>
      </c>
      <c r="W81" s="178" t="s">
        <v>451</v>
      </c>
      <c r="X81" s="110" t="s">
        <v>2525</v>
      </c>
      <c r="Y81" s="110" t="s">
        <v>2525</v>
      </c>
      <c r="Z81" s="109">
        <v>0.2673611111111111</v>
      </c>
      <c r="AA81" s="109">
        <v>0.2673611111111111</v>
      </c>
      <c r="AB81" s="109">
        <v>0.2673611111111111</v>
      </c>
      <c r="AC81" s="109">
        <v>0.79791666666666672</v>
      </c>
      <c r="AD81" s="82">
        <f>IF(PA[[#This Row],[Acknowledgement Time ]]="NA","",(PA[[#This Row],[Acknowledgement Time ]]-PA[[#This Row],[Fault Time]])*24)</f>
        <v>0</v>
      </c>
      <c r="AE81" s="82">
        <f>IF(PA[[#This Row],[Work Start time on Fault]]="NA","",(PA[[#This Row],[Work Start time on Fault]]-PA[[#This Row],[Fault Time]])*24)</f>
        <v>0</v>
      </c>
      <c r="AF81" s="111">
        <f>IF(PA[[#This Row],[Status]]="Open","",(PA[[#This Row],[Work Completion time on fault]]-PA[[#This Row],[Fault Time]])*24)</f>
        <v>12.733333333333336</v>
      </c>
      <c r="AG81" s="82">
        <f>IFERROR((PA[[#This Row],[Work Completion time on fault]]-PA[[#This Row],[Fault Time]])*24,"")</f>
        <v>12.733333333333336</v>
      </c>
      <c r="AH81" s="110" t="s">
        <v>2525</v>
      </c>
      <c r="AI81" s="178" t="s">
        <v>422</v>
      </c>
      <c r="AJ81" s="68">
        <f>IFERROR(PA[[#This Row],[Breakdown Time]]*PA[[#This Row],[Plant Equivalent Weightage]],"")</f>
        <v>5.950741738811249E-4</v>
      </c>
      <c r="AK81" s="117">
        <v>6.52</v>
      </c>
      <c r="AL81" s="116">
        <f>IF(PA[[#This Row],[Lost PoA(Wh/m2)]]&gt;0,_xlfn.XLOOKUP($B81,'Daily KPI'!$A:$A,'Daily KPI'!$AE:$AE)*PA[[#This Row],[Lost PoA(Wh/m2)]]*U81,0)</f>
        <v>83.4655134190414</v>
      </c>
      <c r="AM81" s="176" t="s">
        <v>2526</v>
      </c>
    </row>
    <row r="82" spans="1:39" ht="14" customHeight="1">
      <c r="A82" s="177">
        <f t="shared" si="2"/>
        <v>79</v>
      </c>
      <c r="B82" s="185">
        <v>45779</v>
      </c>
      <c r="C82" s="178" t="s">
        <v>477</v>
      </c>
      <c r="D82" s="176">
        <f>YEAR(PA[[#This Row],[Date]])</f>
        <v>2025</v>
      </c>
      <c r="E82" s="178" t="s">
        <v>361</v>
      </c>
      <c r="F82" s="178" t="s">
        <v>361</v>
      </c>
      <c r="G82" s="179">
        <v>45778</v>
      </c>
      <c r="H82" s="176">
        <f>DAY(EOMONTH(PA[[#This Row],[Month Year]],0))</f>
        <v>31</v>
      </c>
      <c r="I82" s="180">
        <f>VLOOKUP(PA[[#This Row],[Date]],Raw_Data[#All],9,0)</f>
        <v>0.2673611111111111</v>
      </c>
      <c r="J82" s="180">
        <f>VLOOKUP(PA[[#This Row],[Date]],Raw_Data[#All],10,0)</f>
        <v>0.79791666666666672</v>
      </c>
      <c r="K82" s="68">
        <f>IFERROR((PA[[#This Row],[Sunset Time (POA&lt;20 W/m2)]]-PA[[#This Row],[Sunrise Time (POA&gt;20 W/m2)]])*24,"")</f>
        <v>12.733333333333336</v>
      </c>
      <c r="L82" s="178" t="s">
        <v>405</v>
      </c>
      <c r="M82" s="178" t="s">
        <v>401</v>
      </c>
      <c r="N82" s="178" t="s">
        <v>395</v>
      </c>
      <c r="O82" s="178" t="s">
        <v>403</v>
      </c>
      <c r="P82" s="178" t="s">
        <v>429</v>
      </c>
      <c r="Q82" s="178"/>
      <c r="R82" s="176">
        <f>IF((PA[[#This Row],[String Type(If String BD)]]&amp;PA[[#This Row],[Equipment (If any BD other than PV  array and inv)]])="",1,0)</f>
        <v>0</v>
      </c>
      <c r="S82" s="6">
        <f>IF(PA[[#This Row],[String Type(If String BD)]]="",1,0)</f>
        <v>0</v>
      </c>
      <c r="T8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2" s="68">
        <f>IFERROR(VLOOKUP(PA[[#This Row],[Affected Equipment ]],'Basic Data '!$A$1:$B$1846,2,0),"")</f>
        <v>15.66</v>
      </c>
      <c r="V82" s="143">
        <f>IFERROR(VLOOKUP(PA[[#This Row],[Affected Equipment ]],'Basic Data '!$A$1:$C$1846,3,0),"")</f>
        <v>4.6733573865009801E-5</v>
      </c>
      <c r="W82" s="178" t="s">
        <v>451</v>
      </c>
      <c r="X82" s="110" t="s">
        <v>2525</v>
      </c>
      <c r="Y82" s="110" t="s">
        <v>2525</v>
      </c>
      <c r="Z82" s="109">
        <v>0.2673611111111111</v>
      </c>
      <c r="AA82" s="109">
        <v>0.2673611111111111</v>
      </c>
      <c r="AB82" s="109">
        <v>0.2673611111111111</v>
      </c>
      <c r="AC82" s="109">
        <v>0.79791666666666672</v>
      </c>
      <c r="AD82" s="82">
        <f>IF(PA[[#This Row],[Acknowledgement Time ]]="NA","",(PA[[#This Row],[Acknowledgement Time ]]-PA[[#This Row],[Fault Time]])*24)</f>
        <v>0</v>
      </c>
      <c r="AE82" s="82">
        <f>IF(PA[[#This Row],[Work Start time on Fault]]="NA","",(PA[[#This Row],[Work Start time on Fault]]-PA[[#This Row],[Fault Time]])*24)</f>
        <v>0</v>
      </c>
      <c r="AF82" s="111">
        <f>IF(PA[[#This Row],[Status]]="Open","",(PA[[#This Row],[Work Completion time on fault]]-PA[[#This Row],[Fault Time]])*24)</f>
        <v>12.733333333333336</v>
      </c>
      <c r="AG82" s="82">
        <f>IFERROR((PA[[#This Row],[Work Completion time on fault]]-PA[[#This Row],[Fault Time]])*24,"")</f>
        <v>12.733333333333336</v>
      </c>
      <c r="AH82" s="110" t="s">
        <v>2525</v>
      </c>
      <c r="AI82" s="178" t="s">
        <v>422</v>
      </c>
      <c r="AJ82" s="68">
        <f>IFERROR(PA[[#This Row],[Breakdown Time]]*PA[[#This Row],[Plant Equivalent Weightage]],"")</f>
        <v>5.950741738811249E-4</v>
      </c>
      <c r="AK82" s="117">
        <v>6.52</v>
      </c>
      <c r="AL82" s="116">
        <f>IF(PA[[#This Row],[Lost PoA(Wh/m2)]]&gt;0,_xlfn.XLOOKUP($B82,'Daily KPI'!$A:$A,'Daily KPI'!$AE:$AE)*PA[[#This Row],[Lost PoA(Wh/m2)]]*U82,0)</f>
        <v>83.4655134190414</v>
      </c>
      <c r="AM82" s="176" t="s">
        <v>2526</v>
      </c>
    </row>
    <row r="83" spans="1:39" ht="14" customHeight="1">
      <c r="A83" s="177">
        <f t="shared" si="2"/>
        <v>80</v>
      </c>
      <c r="B83" s="185">
        <v>45779</v>
      </c>
      <c r="C83" s="178" t="s">
        <v>477</v>
      </c>
      <c r="D83" s="176">
        <f>YEAR(PA[[#This Row],[Date]])</f>
        <v>2025</v>
      </c>
      <c r="E83" s="178" t="s">
        <v>361</v>
      </c>
      <c r="F83" s="178" t="s">
        <v>361</v>
      </c>
      <c r="G83" s="179">
        <v>45778</v>
      </c>
      <c r="H83" s="176">
        <f>DAY(EOMONTH(PA[[#This Row],[Month Year]],0))</f>
        <v>31</v>
      </c>
      <c r="I83" s="180">
        <f>VLOOKUP(PA[[#This Row],[Date]],Raw_Data[#All],9,0)</f>
        <v>0.2673611111111111</v>
      </c>
      <c r="J83" s="180">
        <f>VLOOKUP(PA[[#This Row],[Date]],Raw_Data[#All],10,0)</f>
        <v>0.79791666666666672</v>
      </c>
      <c r="K83" s="68">
        <f>IFERROR((PA[[#This Row],[Sunset Time (POA&lt;20 W/m2)]]-PA[[#This Row],[Sunrise Time (POA&gt;20 W/m2)]])*24,"")</f>
        <v>12.733333333333336</v>
      </c>
      <c r="L83" s="178" t="s">
        <v>439</v>
      </c>
      <c r="M83" s="178" t="s">
        <v>394</v>
      </c>
      <c r="N83" s="178" t="s">
        <v>402</v>
      </c>
      <c r="O83" s="178" t="s">
        <v>406</v>
      </c>
      <c r="P83" s="178" t="s">
        <v>429</v>
      </c>
      <c r="Q83" s="178"/>
      <c r="R83" s="176">
        <f>IF((PA[[#This Row],[String Type(If String BD)]]&amp;PA[[#This Row],[Equipment (If any BD other than PV  array and inv)]])="",1,0)</f>
        <v>0</v>
      </c>
      <c r="S83" s="6">
        <f>IF(PA[[#This Row],[String Type(If String BD)]]="",1,0)</f>
        <v>0</v>
      </c>
      <c r="T8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3" s="68">
        <f>IFERROR(VLOOKUP(PA[[#This Row],[Affected Equipment ]],'Basic Data '!$A$1:$B$1846,2,0),"")</f>
        <v>15.66</v>
      </c>
      <c r="V83" s="143">
        <f>IFERROR(VLOOKUP(PA[[#This Row],[Affected Equipment ]],'Basic Data '!$A$1:$C$1846,3,0),"")</f>
        <v>4.6733573865009801E-5</v>
      </c>
      <c r="W83" s="178" t="s">
        <v>451</v>
      </c>
      <c r="X83" s="110" t="s">
        <v>2525</v>
      </c>
      <c r="Y83" s="110" t="s">
        <v>2525</v>
      </c>
      <c r="Z83" s="109">
        <v>0.2673611111111111</v>
      </c>
      <c r="AA83" s="109">
        <v>0.2673611111111111</v>
      </c>
      <c r="AB83" s="109">
        <v>0.2673611111111111</v>
      </c>
      <c r="AC83" s="109">
        <v>0.79791666666666672</v>
      </c>
      <c r="AD83" s="82">
        <f>IF(PA[[#This Row],[Acknowledgement Time ]]="NA","",(PA[[#This Row],[Acknowledgement Time ]]-PA[[#This Row],[Fault Time]])*24)</f>
        <v>0</v>
      </c>
      <c r="AE83" s="82">
        <f>IF(PA[[#This Row],[Work Start time on Fault]]="NA","",(PA[[#This Row],[Work Start time on Fault]]-PA[[#This Row],[Fault Time]])*24)</f>
        <v>0</v>
      </c>
      <c r="AF83" s="111">
        <f>IF(PA[[#This Row],[Status]]="Open","",(PA[[#This Row],[Work Completion time on fault]]-PA[[#This Row],[Fault Time]])*24)</f>
        <v>12.733333333333336</v>
      </c>
      <c r="AG83" s="82">
        <f>IFERROR((PA[[#This Row],[Work Completion time on fault]]-PA[[#This Row],[Fault Time]])*24,"")</f>
        <v>12.733333333333336</v>
      </c>
      <c r="AH83" s="110" t="s">
        <v>2525</v>
      </c>
      <c r="AI83" s="178" t="s">
        <v>422</v>
      </c>
      <c r="AJ83" s="68">
        <f>IFERROR(PA[[#This Row],[Breakdown Time]]*PA[[#This Row],[Plant Equivalent Weightage]],"")</f>
        <v>5.950741738811249E-4</v>
      </c>
      <c r="AK83" s="117">
        <v>6.52</v>
      </c>
      <c r="AL83" s="116">
        <f>IF(PA[[#This Row],[Lost PoA(Wh/m2)]]&gt;0,_xlfn.XLOOKUP($B83,'Daily KPI'!$A:$A,'Daily KPI'!$AE:$AE)*PA[[#This Row],[Lost PoA(Wh/m2)]]*U83,0)</f>
        <v>83.4655134190414</v>
      </c>
      <c r="AM83" s="176" t="s">
        <v>2526</v>
      </c>
    </row>
    <row r="84" spans="1:39" ht="14" customHeight="1">
      <c r="A84" s="177">
        <f t="shared" si="2"/>
        <v>81</v>
      </c>
      <c r="B84" s="185">
        <v>45779</v>
      </c>
      <c r="C84" s="178" t="s">
        <v>477</v>
      </c>
      <c r="D84" s="176">
        <f>YEAR(PA[[#This Row],[Date]])</f>
        <v>2025</v>
      </c>
      <c r="E84" s="178" t="s">
        <v>361</v>
      </c>
      <c r="F84" s="178" t="s">
        <v>361</v>
      </c>
      <c r="G84" s="179">
        <v>45778</v>
      </c>
      <c r="H84" s="176">
        <f>DAY(EOMONTH(PA[[#This Row],[Month Year]],0))</f>
        <v>31</v>
      </c>
      <c r="I84" s="180">
        <f>VLOOKUP(PA[[#This Row],[Date]],Raw_Data[#All],9,0)</f>
        <v>0.2673611111111111</v>
      </c>
      <c r="J84" s="180">
        <f>VLOOKUP(PA[[#This Row],[Date]],Raw_Data[#All],10,0)</f>
        <v>0.79791666666666672</v>
      </c>
      <c r="K84" s="68">
        <f>IFERROR((PA[[#This Row],[Sunset Time (POA&lt;20 W/m2)]]-PA[[#This Row],[Sunrise Time (POA&gt;20 W/m2)]])*24,"")</f>
        <v>12.733333333333336</v>
      </c>
      <c r="L84" s="178" t="s">
        <v>407</v>
      </c>
      <c r="M84" s="178" t="s">
        <v>394</v>
      </c>
      <c r="N84" s="178" t="s">
        <v>402</v>
      </c>
      <c r="O84" s="178" t="s">
        <v>409</v>
      </c>
      <c r="P84" s="178" t="s">
        <v>429</v>
      </c>
      <c r="Q84" s="178"/>
      <c r="R84" s="176">
        <f>IF((PA[[#This Row],[String Type(If String BD)]]&amp;PA[[#This Row],[Equipment (If any BD other than PV  array and inv)]])="",1,0)</f>
        <v>0</v>
      </c>
      <c r="S84" s="6">
        <f>IF(PA[[#This Row],[String Type(If String BD)]]="",1,0)</f>
        <v>0</v>
      </c>
      <c r="T8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4" s="68">
        <f>IFERROR(VLOOKUP(PA[[#This Row],[Affected Equipment ]],'Basic Data '!$A$1:$B$1846,2,0),"")</f>
        <v>15.66</v>
      </c>
      <c r="V84" s="143">
        <f>IFERROR(VLOOKUP(PA[[#This Row],[Affected Equipment ]],'Basic Data '!$A$1:$C$1846,3,0),"")</f>
        <v>4.6733573865009801E-5</v>
      </c>
      <c r="W84" s="178" t="s">
        <v>451</v>
      </c>
      <c r="X84" s="110" t="s">
        <v>2525</v>
      </c>
      <c r="Y84" s="110" t="s">
        <v>2525</v>
      </c>
      <c r="Z84" s="109">
        <v>0.2673611111111111</v>
      </c>
      <c r="AA84" s="109">
        <v>0.2673611111111111</v>
      </c>
      <c r="AB84" s="109">
        <v>0.2673611111111111</v>
      </c>
      <c r="AC84" s="109">
        <v>0.79791666666666672</v>
      </c>
      <c r="AD84" s="82">
        <f>IF(PA[[#This Row],[Acknowledgement Time ]]="NA","",(PA[[#This Row],[Acknowledgement Time ]]-PA[[#This Row],[Fault Time]])*24)</f>
        <v>0</v>
      </c>
      <c r="AE84" s="82">
        <f>IF(PA[[#This Row],[Work Start time on Fault]]="NA","",(PA[[#This Row],[Work Start time on Fault]]-PA[[#This Row],[Fault Time]])*24)</f>
        <v>0</v>
      </c>
      <c r="AF84" s="111">
        <f>IF(PA[[#This Row],[Status]]="Open","",(PA[[#This Row],[Work Completion time on fault]]-PA[[#This Row],[Fault Time]])*24)</f>
        <v>12.733333333333336</v>
      </c>
      <c r="AG84" s="82">
        <f>IFERROR((PA[[#This Row],[Work Completion time on fault]]-PA[[#This Row],[Fault Time]])*24,"")</f>
        <v>12.733333333333336</v>
      </c>
      <c r="AH84" s="110" t="s">
        <v>2525</v>
      </c>
      <c r="AI84" s="178" t="s">
        <v>422</v>
      </c>
      <c r="AJ84" s="68">
        <f>IFERROR(PA[[#This Row],[Breakdown Time]]*PA[[#This Row],[Plant Equivalent Weightage]],"")</f>
        <v>5.950741738811249E-4</v>
      </c>
      <c r="AK84" s="117">
        <v>6.52</v>
      </c>
      <c r="AL84" s="116">
        <f>IF(PA[[#This Row],[Lost PoA(Wh/m2)]]&gt;0,_xlfn.XLOOKUP($B84,'Daily KPI'!$A:$A,'Daily KPI'!$AE:$AE)*PA[[#This Row],[Lost PoA(Wh/m2)]]*U84,0)</f>
        <v>83.4655134190414</v>
      </c>
      <c r="AM84" s="176" t="s">
        <v>2526</v>
      </c>
    </row>
    <row r="85" spans="1:39" ht="14" customHeight="1">
      <c r="A85" s="177">
        <f t="shared" si="2"/>
        <v>82</v>
      </c>
      <c r="B85" s="185">
        <v>45779</v>
      </c>
      <c r="C85" s="178" t="s">
        <v>477</v>
      </c>
      <c r="D85" s="176">
        <f>YEAR(PA[[#This Row],[Date]])</f>
        <v>2025</v>
      </c>
      <c r="E85" s="178" t="s">
        <v>361</v>
      </c>
      <c r="F85" s="178" t="s">
        <v>361</v>
      </c>
      <c r="G85" s="179">
        <v>45778</v>
      </c>
      <c r="H85" s="176">
        <f>DAY(EOMONTH(PA[[#This Row],[Month Year]],0))</f>
        <v>31</v>
      </c>
      <c r="I85" s="180">
        <f>VLOOKUP(PA[[#This Row],[Date]],Raw_Data[#All],9,0)</f>
        <v>0.2673611111111111</v>
      </c>
      <c r="J85" s="180">
        <f>VLOOKUP(PA[[#This Row],[Date]],Raw_Data[#All],10,0)</f>
        <v>0.79791666666666672</v>
      </c>
      <c r="K85" s="68">
        <f>IFERROR((PA[[#This Row],[Sunset Time (POA&lt;20 W/m2)]]-PA[[#This Row],[Sunrise Time (POA&gt;20 W/m2)]])*24,"")</f>
        <v>12.733333333333336</v>
      </c>
      <c r="L85" s="178" t="s">
        <v>400</v>
      </c>
      <c r="M85" s="178" t="s">
        <v>401</v>
      </c>
      <c r="N85" s="178" t="s">
        <v>402</v>
      </c>
      <c r="O85" s="178" t="s">
        <v>417</v>
      </c>
      <c r="P85" s="178" t="s">
        <v>429</v>
      </c>
      <c r="Q85" s="178"/>
      <c r="R85" s="176">
        <f>IF((PA[[#This Row],[String Type(If String BD)]]&amp;PA[[#This Row],[Equipment (If any BD other than PV  array and inv)]])="",1,0)</f>
        <v>0</v>
      </c>
      <c r="S85" s="6">
        <f>IF(PA[[#This Row],[String Type(If String BD)]]="",1,0)</f>
        <v>0</v>
      </c>
      <c r="T8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5" s="68">
        <f>IFERROR(VLOOKUP(PA[[#This Row],[Affected Equipment ]],'Basic Data '!$A$1:$B$1846,2,0),"")</f>
        <v>15.66</v>
      </c>
      <c r="V85" s="143">
        <f>IFERROR(VLOOKUP(PA[[#This Row],[Affected Equipment ]],'Basic Data '!$A$1:$C$1846,3,0),"")</f>
        <v>4.6733573865009801E-5</v>
      </c>
      <c r="W85" s="178" t="s">
        <v>451</v>
      </c>
      <c r="X85" s="110" t="s">
        <v>2525</v>
      </c>
      <c r="Y85" s="110" t="s">
        <v>2525</v>
      </c>
      <c r="Z85" s="109">
        <v>0.2673611111111111</v>
      </c>
      <c r="AA85" s="109">
        <v>0.2673611111111111</v>
      </c>
      <c r="AB85" s="109">
        <v>0.2673611111111111</v>
      </c>
      <c r="AC85" s="109">
        <v>0.79791666666666672</v>
      </c>
      <c r="AD85" s="82">
        <f>IF(PA[[#This Row],[Acknowledgement Time ]]="NA","",(PA[[#This Row],[Acknowledgement Time ]]-PA[[#This Row],[Fault Time]])*24)</f>
        <v>0</v>
      </c>
      <c r="AE85" s="82">
        <f>IF(PA[[#This Row],[Work Start time on Fault]]="NA","",(PA[[#This Row],[Work Start time on Fault]]-PA[[#This Row],[Fault Time]])*24)</f>
        <v>0</v>
      </c>
      <c r="AF85" s="111">
        <f>IF(PA[[#This Row],[Status]]="Open","",(PA[[#This Row],[Work Completion time on fault]]-PA[[#This Row],[Fault Time]])*24)</f>
        <v>12.733333333333336</v>
      </c>
      <c r="AG85" s="82">
        <f>IFERROR((PA[[#This Row],[Work Completion time on fault]]-PA[[#This Row],[Fault Time]])*24,"")</f>
        <v>12.733333333333336</v>
      </c>
      <c r="AH85" s="110" t="s">
        <v>2525</v>
      </c>
      <c r="AI85" s="178" t="s">
        <v>422</v>
      </c>
      <c r="AJ85" s="68">
        <f>IFERROR(PA[[#This Row],[Breakdown Time]]*PA[[#This Row],[Plant Equivalent Weightage]],"")</f>
        <v>5.950741738811249E-4</v>
      </c>
      <c r="AK85" s="117">
        <v>6.52</v>
      </c>
      <c r="AL85" s="116">
        <f>IF(PA[[#This Row],[Lost PoA(Wh/m2)]]&gt;0,_xlfn.XLOOKUP($B85,'Daily KPI'!$A:$A,'Daily KPI'!$AE:$AE)*PA[[#This Row],[Lost PoA(Wh/m2)]]*U85,0)</f>
        <v>83.4655134190414</v>
      </c>
      <c r="AM85" s="176" t="s">
        <v>2526</v>
      </c>
    </row>
    <row r="86" spans="1:39" ht="14" customHeight="1">
      <c r="A86" s="177">
        <f t="shared" si="2"/>
        <v>83</v>
      </c>
      <c r="B86" s="185">
        <v>45779</v>
      </c>
      <c r="C86" s="178" t="s">
        <v>477</v>
      </c>
      <c r="D86" s="176">
        <f>YEAR(PA[[#This Row],[Date]])</f>
        <v>2025</v>
      </c>
      <c r="E86" s="178" t="s">
        <v>361</v>
      </c>
      <c r="F86" s="178" t="s">
        <v>361</v>
      </c>
      <c r="G86" s="179">
        <v>45778</v>
      </c>
      <c r="H86" s="176">
        <f>DAY(EOMONTH(PA[[#This Row],[Month Year]],0))</f>
        <v>31</v>
      </c>
      <c r="I86" s="180">
        <f>VLOOKUP(PA[[#This Row],[Date]],Raw_Data[#All],9,0)</f>
        <v>0.2673611111111111</v>
      </c>
      <c r="J86" s="180">
        <f>VLOOKUP(PA[[#This Row],[Date]],Raw_Data[#All],10,0)</f>
        <v>0.79791666666666672</v>
      </c>
      <c r="K86" s="68">
        <f>IFERROR((PA[[#This Row],[Sunset Time (POA&lt;20 W/m2)]]-PA[[#This Row],[Sunrise Time (POA&gt;20 W/m2)]])*24,"")</f>
        <v>12.733333333333336</v>
      </c>
      <c r="L86" s="178" t="s">
        <v>400</v>
      </c>
      <c r="M86" s="178" t="s">
        <v>408</v>
      </c>
      <c r="N86" s="178" t="s">
        <v>395</v>
      </c>
      <c r="O86" s="178" t="s">
        <v>403</v>
      </c>
      <c r="P86" s="178" t="s">
        <v>429</v>
      </c>
      <c r="Q86" s="178"/>
      <c r="R86" s="176">
        <f>IF((PA[[#This Row],[String Type(If String BD)]]&amp;PA[[#This Row],[Equipment (If any BD other than PV  array and inv)]])="",1,0)</f>
        <v>0</v>
      </c>
      <c r="S86" s="6">
        <f>IF(PA[[#This Row],[String Type(If String BD)]]="",1,0)</f>
        <v>0</v>
      </c>
      <c r="T8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6" s="68">
        <f>IFERROR(VLOOKUP(PA[[#This Row],[Affected Equipment ]],'Basic Data '!$A$1:$B$1846,2,0),"")</f>
        <v>15.66</v>
      </c>
      <c r="V86" s="143">
        <f>IFERROR(VLOOKUP(PA[[#This Row],[Affected Equipment ]],'Basic Data '!$A$1:$C$1846,3,0),"")</f>
        <v>4.6733573865009801E-5</v>
      </c>
      <c r="W86" s="178" t="s">
        <v>451</v>
      </c>
      <c r="X86" s="110" t="s">
        <v>2525</v>
      </c>
      <c r="Y86" s="110" t="s">
        <v>2525</v>
      </c>
      <c r="Z86" s="109">
        <v>0.2673611111111111</v>
      </c>
      <c r="AA86" s="109">
        <v>0.2673611111111111</v>
      </c>
      <c r="AB86" s="109">
        <v>0.2673611111111111</v>
      </c>
      <c r="AC86" s="109">
        <v>0.79791666666666672</v>
      </c>
      <c r="AD86" s="82">
        <f>IF(PA[[#This Row],[Acknowledgement Time ]]="NA","",(PA[[#This Row],[Acknowledgement Time ]]-PA[[#This Row],[Fault Time]])*24)</f>
        <v>0</v>
      </c>
      <c r="AE86" s="82">
        <f>IF(PA[[#This Row],[Work Start time on Fault]]="NA","",(PA[[#This Row],[Work Start time on Fault]]-PA[[#This Row],[Fault Time]])*24)</f>
        <v>0</v>
      </c>
      <c r="AF86" s="111">
        <f>IF(PA[[#This Row],[Status]]="Open","",(PA[[#This Row],[Work Completion time on fault]]-PA[[#This Row],[Fault Time]])*24)</f>
        <v>12.733333333333336</v>
      </c>
      <c r="AG86" s="82">
        <f>IFERROR((PA[[#This Row],[Work Completion time on fault]]-PA[[#This Row],[Fault Time]])*24,"")</f>
        <v>12.733333333333336</v>
      </c>
      <c r="AH86" s="110" t="s">
        <v>2525</v>
      </c>
      <c r="AI86" s="178" t="s">
        <v>422</v>
      </c>
      <c r="AJ86" s="68">
        <f>IFERROR(PA[[#This Row],[Breakdown Time]]*PA[[#This Row],[Plant Equivalent Weightage]],"")</f>
        <v>5.950741738811249E-4</v>
      </c>
      <c r="AK86" s="117">
        <v>6.52</v>
      </c>
      <c r="AL86" s="116">
        <f>IF(PA[[#This Row],[Lost PoA(Wh/m2)]]&gt;0,_xlfn.XLOOKUP($B86,'Daily KPI'!$A:$A,'Daily KPI'!$AE:$AE)*PA[[#This Row],[Lost PoA(Wh/m2)]]*U86,0)</f>
        <v>83.4655134190414</v>
      </c>
      <c r="AM86" s="176" t="s">
        <v>2526</v>
      </c>
    </row>
    <row r="87" spans="1:39" ht="14" customHeight="1">
      <c r="A87" s="177">
        <f t="shared" si="2"/>
        <v>84</v>
      </c>
      <c r="B87" s="185">
        <v>45779</v>
      </c>
      <c r="C87" s="178" t="s">
        <v>477</v>
      </c>
      <c r="D87" s="176">
        <f>YEAR(PA[[#This Row],[Date]])</f>
        <v>2025</v>
      </c>
      <c r="E87" s="178" t="s">
        <v>361</v>
      </c>
      <c r="F87" s="178" t="s">
        <v>361</v>
      </c>
      <c r="G87" s="179">
        <v>45778</v>
      </c>
      <c r="H87" s="176">
        <f>DAY(EOMONTH(PA[[#This Row],[Month Year]],0))</f>
        <v>31</v>
      </c>
      <c r="I87" s="180">
        <f>VLOOKUP(PA[[#This Row],[Date]],Raw_Data[#All],9,0)</f>
        <v>0.2673611111111111</v>
      </c>
      <c r="J87" s="180">
        <f>VLOOKUP(PA[[#This Row],[Date]],Raw_Data[#All],10,0)</f>
        <v>0.79791666666666672</v>
      </c>
      <c r="K87" s="68">
        <f>IFERROR((PA[[#This Row],[Sunset Time (POA&lt;20 W/m2)]]-PA[[#This Row],[Sunrise Time (POA&gt;20 W/m2)]])*24,"")</f>
        <v>12.733333333333336</v>
      </c>
      <c r="L87" s="178" t="s">
        <v>400</v>
      </c>
      <c r="M87" s="178" t="s">
        <v>408</v>
      </c>
      <c r="N87" s="178" t="s">
        <v>402</v>
      </c>
      <c r="O87" s="178" t="s">
        <v>417</v>
      </c>
      <c r="P87" s="178" t="s">
        <v>429</v>
      </c>
      <c r="Q87" s="178"/>
      <c r="R87" s="176">
        <f>IF((PA[[#This Row],[String Type(If String BD)]]&amp;PA[[#This Row],[Equipment (If any BD other than PV  array and inv)]])="",1,0)</f>
        <v>0</v>
      </c>
      <c r="S87" s="6">
        <f>IF(PA[[#This Row],[String Type(If String BD)]]="",1,0)</f>
        <v>0</v>
      </c>
      <c r="T8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7" s="68">
        <f>IFERROR(VLOOKUP(PA[[#This Row],[Affected Equipment ]],'Basic Data '!$A$1:$B$1846,2,0),"")</f>
        <v>15.66</v>
      </c>
      <c r="V87" s="143">
        <f>IFERROR(VLOOKUP(PA[[#This Row],[Affected Equipment ]],'Basic Data '!$A$1:$C$1846,3,0),"")</f>
        <v>4.6733573865009801E-5</v>
      </c>
      <c r="W87" s="178" t="s">
        <v>451</v>
      </c>
      <c r="X87" s="110" t="s">
        <v>2525</v>
      </c>
      <c r="Y87" s="110" t="s">
        <v>2525</v>
      </c>
      <c r="Z87" s="109">
        <v>0.2673611111111111</v>
      </c>
      <c r="AA87" s="109">
        <v>0.2673611111111111</v>
      </c>
      <c r="AB87" s="109">
        <v>0.2673611111111111</v>
      </c>
      <c r="AC87" s="109">
        <v>0.79791666666666672</v>
      </c>
      <c r="AD87" s="82">
        <f>IF(PA[[#This Row],[Acknowledgement Time ]]="NA","",(PA[[#This Row],[Acknowledgement Time ]]-PA[[#This Row],[Fault Time]])*24)</f>
        <v>0</v>
      </c>
      <c r="AE87" s="82">
        <f>IF(PA[[#This Row],[Work Start time on Fault]]="NA","",(PA[[#This Row],[Work Start time on Fault]]-PA[[#This Row],[Fault Time]])*24)</f>
        <v>0</v>
      </c>
      <c r="AF87" s="111">
        <f>IF(PA[[#This Row],[Status]]="Open","",(PA[[#This Row],[Work Completion time on fault]]-PA[[#This Row],[Fault Time]])*24)</f>
        <v>12.733333333333336</v>
      </c>
      <c r="AG87" s="82">
        <f>IFERROR((PA[[#This Row],[Work Completion time on fault]]-PA[[#This Row],[Fault Time]])*24,"")</f>
        <v>12.733333333333336</v>
      </c>
      <c r="AH87" s="110" t="s">
        <v>2525</v>
      </c>
      <c r="AI87" s="178" t="s">
        <v>422</v>
      </c>
      <c r="AJ87" s="68">
        <f>IFERROR(PA[[#This Row],[Breakdown Time]]*PA[[#This Row],[Plant Equivalent Weightage]],"")</f>
        <v>5.950741738811249E-4</v>
      </c>
      <c r="AK87" s="117">
        <v>6.52</v>
      </c>
      <c r="AL87" s="116">
        <f>IF(PA[[#This Row],[Lost PoA(Wh/m2)]]&gt;0,_xlfn.XLOOKUP($B87,'Daily KPI'!$A:$A,'Daily KPI'!$AE:$AE)*PA[[#This Row],[Lost PoA(Wh/m2)]]*U87,0)</f>
        <v>83.4655134190414</v>
      </c>
      <c r="AM87" s="176" t="s">
        <v>2526</v>
      </c>
    </row>
    <row r="88" spans="1:39" ht="14" customHeight="1">
      <c r="A88" s="177">
        <f t="shared" si="2"/>
        <v>85</v>
      </c>
      <c r="B88" s="185">
        <v>45779</v>
      </c>
      <c r="C88" s="178" t="s">
        <v>477</v>
      </c>
      <c r="D88" s="176">
        <f>YEAR(PA[[#This Row],[Date]])</f>
        <v>2025</v>
      </c>
      <c r="E88" s="178" t="s">
        <v>361</v>
      </c>
      <c r="F88" s="178" t="s">
        <v>361</v>
      </c>
      <c r="G88" s="179">
        <v>45778</v>
      </c>
      <c r="H88" s="176">
        <f>DAY(EOMONTH(PA[[#This Row],[Month Year]],0))</f>
        <v>31</v>
      </c>
      <c r="I88" s="180">
        <f>VLOOKUP(PA[[#This Row],[Date]],Raw_Data[#All],9,0)</f>
        <v>0.2673611111111111</v>
      </c>
      <c r="J88" s="180">
        <f>VLOOKUP(PA[[#This Row],[Date]],Raw_Data[#All],10,0)</f>
        <v>0.79791666666666672</v>
      </c>
      <c r="K88" s="68">
        <f>IFERROR((PA[[#This Row],[Sunset Time (POA&lt;20 W/m2)]]-PA[[#This Row],[Sunrise Time (POA&gt;20 W/m2)]])*24,"")</f>
        <v>12.733333333333336</v>
      </c>
      <c r="L88" s="178" t="s">
        <v>400</v>
      </c>
      <c r="M88" s="178" t="s">
        <v>414</v>
      </c>
      <c r="N88" s="178" t="s">
        <v>395</v>
      </c>
      <c r="O88" s="178" t="s">
        <v>442</v>
      </c>
      <c r="P88" s="178" t="s">
        <v>429</v>
      </c>
      <c r="Q88" s="178"/>
      <c r="R88" s="176">
        <f>IF((PA[[#This Row],[String Type(If String BD)]]&amp;PA[[#This Row],[Equipment (If any BD other than PV  array and inv)]])="",1,0)</f>
        <v>0</v>
      </c>
      <c r="S88" s="6">
        <f>IF(PA[[#This Row],[String Type(If String BD)]]="",1,0)</f>
        <v>0</v>
      </c>
      <c r="T8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8" s="68">
        <f>IFERROR(VLOOKUP(PA[[#This Row],[Affected Equipment ]],'Basic Data '!$A$1:$B$1846,2,0),"")</f>
        <v>15.66</v>
      </c>
      <c r="V88" s="143">
        <f>IFERROR(VLOOKUP(PA[[#This Row],[Affected Equipment ]],'Basic Data '!$A$1:$C$1846,3,0),"")</f>
        <v>4.6733573865009801E-5</v>
      </c>
      <c r="W88" s="178" t="s">
        <v>451</v>
      </c>
      <c r="X88" s="110" t="s">
        <v>2525</v>
      </c>
      <c r="Y88" s="110" t="s">
        <v>2525</v>
      </c>
      <c r="Z88" s="109">
        <v>0.2673611111111111</v>
      </c>
      <c r="AA88" s="109">
        <v>0.2673611111111111</v>
      </c>
      <c r="AB88" s="109">
        <v>0.2673611111111111</v>
      </c>
      <c r="AC88" s="109">
        <v>0.79791666666666672</v>
      </c>
      <c r="AD88" s="82">
        <f>IF(PA[[#This Row],[Acknowledgement Time ]]="NA","",(PA[[#This Row],[Acknowledgement Time ]]-PA[[#This Row],[Fault Time]])*24)</f>
        <v>0</v>
      </c>
      <c r="AE88" s="82">
        <f>IF(PA[[#This Row],[Work Start time on Fault]]="NA","",(PA[[#This Row],[Work Start time on Fault]]-PA[[#This Row],[Fault Time]])*24)</f>
        <v>0</v>
      </c>
      <c r="AF88" s="111">
        <f>IF(PA[[#This Row],[Status]]="Open","",(PA[[#This Row],[Work Completion time on fault]]-PA[[#This Row],[Fault Time]])*24)</f>
        <v>12.733333333333336</v>
      </c>
      <c r="AG88" s="82">
        <f>IFERROR((PA[[#This Row],[Work Completion time on fault]]-PA[[#This Row],[Fault Time]])*24,"")</f>
        <v>12.733333333333336</v>
      </c>
      <c r="AH88" s="110" t="s">
        <v>2525</v>
      </c>
      <c r="AI88" s="178" t="s">
        <v>422</v>
      </c>
      <c r="AJ88" s="68">
        <f>IFERROR(PA[[#This Row],[Breakdown Time]]*PA[[#This Row],[Plant Equivalent Weightage]],"")</f>
        <v>5.950741738811249E-4</v>
      </c>
      <c r="AK88" s="117">
        <v>6.52</v>
      </c>
      <c r="AL88" s="116">
        <f>IF(PA[[#This Row],[Lost PoA(Wh/m2)]]&gt;0,_xlfn.XLOOKUP($B88,'Daily KPI'!$A:$A,'Daily KPI'!$AE:$AE)*PA[[#This Row],[Lost PoA(Wh/m2)]]*U88,0)</f>
        <v>83.4655134190414</v>
      </c>
      <c r="AM88" s="176" t="s">
        <v>2526</v>
      </c>
    </row>
    <row r="89" spans="1:39" ht="14" customHeight="1">
      <c r="A89" s="177">
        <f t="shared" si="2"/>
        <v>86</v>
      </c>
      <c r="B89" s="185">
        <v>45780</v>
      </c>
      <c r="C89" s="178" t="s">
        <v>477</v>
      </c>
      <c r="D89" s="176">
        <f>YEAR(PA[[#This Row],[Date]])</f>
        <v>2025</v>
      </c>
      <c r="E89" s="178" t="s">
        <v>361</v>
      </c>
      <c r="F89" s="178" t="s">
        <v>361</v>
      </c>
      <c r="G89" s="179">
        <v>45778</v>
      </c>
      <c r="H89" s="176">
        <f>DAY(EOMONTH(PA[[#This Row],[Month Year]],0))</f>
        <v>31</v>
      </c>
      <c r="I89" s="180">
        <f>VLOOKUP(PA[[#This Row],[Date]],Raw_Data[#All],9,0)</f>
        <v>0.27430555555555558</v>
      </c>
      <c r="J89" s="180">
        <f>VLOOKUP(PA[[#This Row],[Date]],Raw_Data[#All],10,0)</f>
        <v>0.80555555555555558</v>
      </c>
      <c r="K89" s="68">
        <f>IFERROR((PA[[#This Row],[Sunset Time (POA&lt;20 W/m2)]]-PA[[#This Row],[Sunrise Time (POA&gt;20 W/m2)]])*24,"")</f>
        <v>12.75</v>
      </c>
      <c r="L89" s="178" t="s">
        <v>407</v>
      </c>
      <c r="M89" s="178" t="s">
        <v>394</v>
      </c>
      <c r="N89" s="178" t="s">
        <v>402</v>
      </c>
      <c r="O89" s="178"/>
      <c r="P89" s="178"/>
      <c r="Q89" s="178"/>
      <c r="R89" s="176">
        <f>IF((PA[[#This Row],[String Type(If String BD)]]&amp;PA[[#This Row],[Equipment (If any BD other than PV  array and inv)]])="",1,0)</f>
        <v>1</v>
      </c>
      <c r="S89" s="6">
        <f>IF(PA[[#This Row],[String Type(If String BD)]]="",1,0)</f>
        <v>1</v>
      </c>
      <c r="T8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IS19INV1M1</v>
      </c>
      <c r="U89" s="68">
        <f>IFERROR(VLOOKUP(PA[[#This Row],[Affected Equipment ]],'Basic Data '!$A$1:$B$1846,2,0),"")</f>
        <v>2161.08</v>
      </c>
      <c r="V89" s="143">
        <f>IFERROR(VLOOKUP(PA[[#This Row],[Affected Equipment ]],'Basic Data '!$A$1:$C$1846,3,0),"")</f>
        <v>6.4492331933713523E-3</v>
      </c>
      <c r="W89" s="178" t="s">
        <v>427</v>
      </c>
      <c r="X89" s="110" t="s">
        <v>473</v>
      </c>
      <c r="Y89" s="110" t="s">
        <v>474</v>
      </c>
      <c r="Z89" s="109">
        <v>0.58333333333333337</v>
      </c>
      <c r="AA89" s="109">
        <v>0.58333333333333337</v>
      </c>
      <c r="AB89" s="109">
        <v>0.58333333333333337</v>
      </c>
      <c r="AC89" s="109">
        <v>0.80555555555555558</v>
      </c>
      <c r="AD89" s="82">
        <f>IF(PA[[#This Row],[Acknowledgement Time ]]="NA","",(PA[[#This Row],[Acknowledgement Time ]]-PA[[#This Row],[Fault Time]])*24)</f>
        <v>0</v>
      </c>
      <c r="AE89" s="82">
        <f>IF(PA[[#This Row],[Work Start time on Fault]]="NA","",(PA[[#This Row],[Work Start time on Fault]]-PA[[#This Row],[Fault Time]])*24)</f>
        <v>0</v>
      </c>
      <c r="AF89" s="111">
        <f>IF(PA[[#This Row],[Status]]="Open","",(PA[[#This Row],[Work Completion time on fault]]-PA[[#This Row],[Fault Time]])*24)</f>
        <v>5.333333333333333</v>
      </c>
      <c r="AG89" s="82">
        <f>IFERROR((PA[[#This Row],[Work Completion time on fault]]-PA[[#This Row],[Fault Time]])*24,"")</f>
        <v>5.333333333333333</v>
      </c>
      <c r="AH89" s="110" t="s">
        <v>2527</v>
      </c>
      <c r="AI89" s="178" t="s">
        <v>422</v>
      </c>
      <c r="AJ89" s="68">
        <f>IFERROR(PA[[#This Row],[Breakdown Time]]*PA[[#This Row],[Plant Equivalent Weightage]],"")</f>
        <v>3.439591036464721E-2</v>
      </c>
      <c r="AK89" s="117">
        <v>2.61</v>
      </c>
      <c r="AL89" s="116">
        <f>IF(PA[[#This Row],[Lost PoA(Wh/m2)]]&gt;0,_xlfn.XLOOKUP($B89,'Daily KPI'!$A:$A,'Daily KPI'!$AE:$AE)*PA[[#This Row],[Lost PoA(Wh/m2)]]*U89,0)</f>
        <v>4610.8295434463689</v>
      </c>
      <c r="AM89" s="176" t="s">
        <v>2528</v>
      </c>
    </row>
    <row r="90" spans="1:39" ht="14" customHeight="1">
      <c r="A90" s="177">
        <f t="shared" si="2"/>
        <v>87</v>
      </c>
      <c r="B90" s="185">
        <v>45780</v>
      </c>
      <c r="C90" s="178" t="s">
        <v>477</v>
      </c>
      <c r="D90" s="176">
        <f>YEAR(PA[[#This Row],[Date]])</f>
        <v>2025</v>
      </c>
      <c r="E90" s="178" t="s">
        <v>361</v>
      </c>
      <c r="F90" s="178" t="s">
        <v>361</v>
      </c>
      <c r="G90" s="179">
        <v>45778</v>
      </c>
      <c r="H90" s="176">
        <f>DAY(EOMONTH(PA[[#This Row],[Month Year]],0))</f>
        <v>31</v>
      </c>
      <c r="I90" s="180">
        <f>VLOOKUP(PA[[#This Row],[Date]],Raw_Data[#All],9,0)</f>
        <v>0.27430555555555558</v>
      </c>
      <c r="J90" s="180">
        <f>VLOOKUP(PA[[#This Row],[Date]],Raw_Data[#All],10,0)</f>
        <v>0.80555555555555558</v>
      </c>
      <c r="K90" s="68">
        <f>IFERROR((PA[[#This Row],[Sunset Time (POA&lt;20 W/m2)]]-PA[[#This Row],[Sunrise Time (POA&gt;20 W/m2)]])*24,"")</f>
        <v>12.75</v>
      </c>
      <c r="L90" s="178" t="s">
        <v>407</v>
      </c>
      <c r="M90" s="178" t="s">
        <v>394</v>
      </c>
      <c r="N90" s="178" t="s">
        <v>395</v>
      </c>
      <c r="O90" s="178"/>
      <c r="P90" s="178"/>
      <c r="Q90" s="178"/>
      <c r="R90" s="176">
        <f>IF((PA[[#This Row],[String Type(If String BD)]]&amp;PA[[#This Row],[Equipment (If any BD other than PV  array and inv)]])="",1,0)</f>
        <v>1</v>
      </c>
      <c r="S90" s="6">
        <f>IF(PA[[#This Row],[String Type(If String BD)]]="",1,0)</f>
        <v>1</v>
      </c>
      <c r="T9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IS19INV1M2</v>
      </c>
      <c r="U90" s="68">
        <f>IFERROR(VLOOKUP(PA[[#This Row],[Affected Equipment ]],'Basic Data '!$A$1:$B$1846,2,0),"")</f>
        <v>2255.04</v>
      </c>
      <c r="V90" s="143">
        <f>IFERROR(VLOOKUP(PA[[#This Row],[Affected Equipment ]],'Basic Data '!$A$1:$C$1846,3,0),"")</f>
        <v>6.7296346365614112E-3</v>
      </c>
      <c r="W90" s="178" t="s">
        <v>427</v>
      </c>
      <c r="X90" s="110" t="s">
        <v>473</v>
      </c>
      <c r="Y90" s="110" t="s">
        <v>474</v>
      </c>
      <c r="Z90" s="109">
        <v>0.58333333333333337</v>
      </c>
      <c r="AA90" s="109">
        <v>0.58333333333333337</v>
      </c>
      <c r="AB90" s="109">
        <v>0.58333333333333337</v>
      </c>
      <c r="AC90" s="109">
        <v>0.80555555555555558</v>
      </c>
      <c r="AD90" s="82">
        <f>IF(PA[[#This Row],[Acknowledgement Time ]]="NA","",(PA[[#This Row],[Acknowledgement Time ]]-PA[[#This Row],[Fault Time]])*24)</f>
        <v>0</v>
      </c>
      <c r="AE90" s="82">
        <f>IF(PA[[#This Row],[Work Start time on Fault]]="NA","",(PA[[#This Row],[Work Start time on Fault]]-PA[[#This Row],[Fault Time]])*24)</f>
        <v>0</v>
      </c>
      <c r="AF90" s="111">
        <f>IF(PA[[#This Row],[Status]]="Open","",(PA[[#This Row],[Work Completion time on fault]]-PA[[#This Row],[Fault Time]])*24)</f>
        <v>5.333333333333333</v>
      </c>
      <c r="AG90" s="82">
        <f>IFERROR((PA[[#This Row],[Work Completion time on fault]]-PA[[#This Row],[Fault Time]])*24,"")</f>
        <v>5.333333333333333</v>
      </c>
      <c r="AH90" s="110" t="s">
        <v>2527</v>
      </c>
      <c r="AI90" s="178" t="s">
        <v>422</v>
      </c>
      <c r="AJ90" s="68">
        <f>IFERROR(PA[[#This Row],[Breakdown Time]]*PA[[#This Row],[Plant Equivalent Weightage]],"")</f>
        <v>3.5891384728327522E-2</v>
      </c>
      <c r="AK90" s="117">
        <v>2.61</v>
      </c>
      <c r="AL90" s="116">
        <f>IF(PA[[#This Row],[Lost PoA(Wh/m2)]]&gt;0,_xlfn.XLOOKUP($B90,'Daily KPI'!$A:$A,'Daily KPI'!$AE:$AE)*PA[[#This Row],[Lost PoA(Wh/m2)]]*U90,0)</f>
        <v>4811.3003931614285</v>
      </c>
      <c r="AM90" s="176" t="s">
        <v>2528</v>
      </c>
    </row>
    <row r="91" spans="1:39" ht="14" customHeight="1">
      <c r="A91" s="177">
        <f t="shared" si="2"/>
        <v>88</v>
      </c>
      <c r="B91" s="185">
        <v>45781</v>
      </c>
      <c r="C91" s="178" t="s">
        <v>477</v>
      </c>
      <c r="D91" s="176">
        <f>YEAR(PA[[#This Row],[Date]])</f>
        <v>2025</v>
      </c>
      <c r="E91" s="178" t="s">
        <v>361</v>
      </c>
      <c r="F91" s="178" t="s">
        <v>361</v>
      </c>
      <c r="G91" s="179">
        <v>45778</v>
      </c>
      <c r="H91" s="176">
        <f>DAY(EOMONTH(PA[[#This Row],[Month Year]],0))</f>
        <v>31</v>
      </c>
      <c r="I91" s="180">
        <f>VLOOKUP(PA[[#This Row],[Date]],Raw_Data[#All],9,0)</f>
        <v>0.26944444444444443</v>
      </c>
      <c r="J91" s="180">
        <f>VLOOKUP(PA[[#This Row],[Date]],Raw_Data[#All],10,0)</f>
        <v>0.80138888888888893</v>
      </c>
      <c r="K91" s="68">
        <f>IFERROR((PA[[#This Row],[Sunset Time (POA&lt;20 W/m2)]]-PA[[#This Row],[Sunrise Time (POA&gt;20 W/m2)]])*24,"")</f>
        <v>12.766666666666669</v>
      </c>
      <c r="L91" s="178" t="s">
        <v>425</v>
      </c>
      <c r="M91" s="178" t="s">
        <v>414</v>
      </c>
      <c r="N91" s="178" t="s">
        <v>395</v>
      </c>
      <c r="O91" s="178" t="s">
        <v>415</v>
      </c>
      <c r="P91" s="178" t="s">
        <v>448</v>
      </c>
      <c r="Q91" s="178"/>
      <c r="R91" s="176">
        <f>IF((PA[[#This Row],[String Type(If String BD)]]&amp;PA[[#This Row],[Equipment (If any BD other than PV  array and inv)]])="",1,0)</f>
        <v>0</v>
      </c>
      <c r="S91" s="6">
        <f>IF(PA[[#This Row],[String Type(If String BD)]]="",1,0)</f>
        <v>0</v>
      </c>
      <c r="T9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91" s="68">
        <f>IFERROR(VLOOKUP(PA[[#This Row],[Affected Equipment ]],'Basic Data '!$A$1:$B$1846,2,0),"")</f>
        <v>31.61</v>
      </c>
      <c r="V91" s="143">
        <f>IFERROR(VLOOKUP(PA[[#This Row],[Affected Equipment ]],'Basic Data '!$A$1:$C$1846,3,0),"")</f>
        <v>9.4332584283075336E-5</v>
      </c>
      <c r="W91" s="178" t="s">
        <v>451</v>
      </c>
      <c r="X91" s="110" t="s">
        <v>469</v>
      </c>
      <c r="Y91" s="110" t="s">
        <v>469</v>
      </c>
      <c r="Z91" s="109">
        <v>0.26944444444444443</v>
      </c>
      <c r="AA91" s="109">
        <v>0.26944444444444443</v>
      </c>
      <c r="AB91" s="109">
        <v>0.26944444444444443</v>
      </c>
      <c r="AC91" s="109">
        <v>0.80138888888888893</v>
      </c>
      <c r="AD91" s="82">
        <f>IF(PA[[#This Row],[Acknowledgement Time ]]="NA","",(PA[[#This Row],[Acknowledgement Time ]]-PA[[#This Row],[Fault Time]])*24)</f>
        <v>0</v>
      </c>
      <c r="AE91" s="82">
        <f>IF(PA[[#This Row],[Work Start time on Fault]]="NA","",(PA[[#This Row],[Work Start time on Fault]]-PA[[#This Row],[Fault Time]])*24)</f>
        <v>0</v>
      </c>
      <c r="AF91" s="111">
        <f>IF(PA[[#This Row],[Status]]="Open","",(PA[[#This Row],[Work Completion time on fault]]-PA[[#This Row],[Fault Time]])*24)</f>
        <v>12.766666666666669</v>
      </c>
      <c r="AG91" s="82">
        <f>IFERROR((PA[[#This Row],[Work Completion time on fault]]-PA[[#This Row],[Fault Time]])*24,"")</f>
        <v>12.766666666666669</v>
      </c>
      <c r="AH91" s="110" t="s">
        <v>2522</v>
      </c>
      <c r="AI91" s="178" t="s">
        <v>422</v>
      </c>
      <c r="AJ91" s="68">
        <f>IFERROR(PA[[#This Row],[Breakdown Time]]*PA[[#This Row],[Plant Equivalent Weightage]],"")</f>
        <v>1.204312659347262E-3</v>
      </c>
      <c r="AK91" s="117">
        <v>6.89</v>
      </c>
      <c r="AL91" s="116">
        <f>IF(PA[[#This Row],[Lost PoA(Wh/m2)]]&gt;0,_xlfn.XLOOKUP($B91,'Daily KPI'!$A:$A,'Daily KPI'!$AE:$AE)*PA[[#This Row],[Lost PoA(Wh/m2)]]*U91,0)</f>
        <v>178.03747793920209</v>
      </c>
      <c r="AM91" s="176" t="s">
        <v>2529</v>
      </c>
    </row>
    <row r="92" spans="1:39" ht="14" customHeight="1">
      <c r="A92" s="177">
        <f t="shared" si="2"/>
        <v>89</v>
      </c>
      <c r="B92" s="185">
        <v>45781</v>
      </c>
      <c r="C92" s="178" t="s">
        <v>477</v>
      </c>
      <c r="D92" s="176">
        <f>YEAR(PA[[#This Row],[Date]])</f>
        <v>2025</v>
      </c>
      <c r="E92" s="178" t="s">
        <v>361</v>
      </c>
      <c r="F92" s="178" t="s">
        <v>361</v>
      </c>
      <c r="G92" s="179">
        <v>45778</v>
      </c>
      <c r="H92" s="176">
        <f>DAY(EOMONTH(PA[[#This Row],[Month Year]],0))</f>
        <v>31</v>
      </c>
      <c r="I92" s="180">
        <f>VLOOKUP(PA[[#This Row],[Date]],Raw_Data[#All],9,0)</f>
        <v>0.26944444444444443</v>
      </c>
      <c r="J92" s="180">
        <f>VLOOKUP(PA[[#This Row],[Date]],Raw_Data[#All],10,0)</f>
        <v>0.80138888888888893</v>
      </c>
      <c r="K92" s="68">
        <f>IFERROR((PA[[#This Row],[Sunset Time (POA&lt;20 W/m2)]]-PA[[#This Row],[Sunrise Time (POA&gt;20 W/m2)]])*24,"")</f>
        <v>12.766666666666669</v>
      </c>
      <c r="L92" s="178" t="s">
        <v>400</v>
      </c>
      <c r="M92" s="178" t="s">
        <v>408</v>
      </c>
      <c r="N92" s="178" t="s">
        <v>402</v>
      </c>
      <c r="O92" s="178" t="s">
        <v>396</v>
      </c>
      <c r="P92" s="178" t="s">
        <v>429</v>
      </c>
      <c r="Q92" s="178"/>
      <c r="R92" s="176">
        <f>IF((PA[[#This Row],[String Type(If String BD)]]&amp;PA[[#This Row],[Equipment (If any BD other than PV  array and inv)]])="",1,0)</f>
        <v>0</v>
      </c>
      <c r="S92" s="6">
        <f>IF(PA[[#This Row],[String Type(If String BD)]]="",1,0)</f>
        <v>0</v>
      </c>
      <c r="T9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2" s="68">
        <f>IFERROR(VLOOKUP(PA[[#This Row],[Affected Equipment ]],'Basic Data '!$A$1:$B$1846,2,0),"")</f>
        <v>15.66</v>
      </c>
      <c r="V92" s="143">
        <f>IFERROR(VLOOKUP(PA[[#This Row],[Affected Equipment ]],'Basic Data '!$A$1:$C$1846,3,0),"")</f>
        <v>4.6733573865009801E-5</v>
      </c>
      <c r="W92" s="178" t="s">
        <v>451</v>
      </c>
      <c r="X92" s="110" t="s">
        <v>466</v>
      </c>
      <c r="Y92" s="110" t="s">
        <v>466</v>
      </c>
      <c r="Z92" s="109">
        <v>0.26944444444444443</v>
      </c>
      <c r="AA92" s="109">
        <v>0.26944444444444443</v>
      </c>
      <c r="AB92" s="109">
        <v>0.26944444444444443</v>
      </c>
      <c r="AC92" s="109">
        <v>0.80138888888888893</v>
      </c>
      <c r="AD92" s="82">
        <f>IF(PA[[#This Row],[Acknowledgement Time ]]="NA","",(PA[[#This Row],[Acknowledgement Time ]]-PA[[#This Row],[Fault Time]])*24)</f>
        <v>0</v>
      </c>
      <c r="AE92" s="82">
        <f>IF(PA[[#This Row],[Work Start time on Fault]]="NA","",(PA[[#This Row],[Work Start time on Fault]]-PA[[#This Row],[Fault Time]])*24)</f>
        <v>0</v>
      </c>
      <c r="AF92" s="111">
        <f>IF(PA[[#This Row],[Status]]="Open","",(PA[[#This Row],[Work Completion time on fault]]-PA[[#This Row],[Fault Time]])*24)</f>
        <v>12.766666666666669</v>
      </c>
      <c r="AG92" s="82">
        <f>IFERROR((PA[[#This Row],[Work Completion time on fault]]-PA[[#This Row],[Fault Time]])*24,"")</f>
        <v>12.766666666666669</v>
      </c>
      <c r="AH92" s="110" t="s">
        <v>464</v>
      </c>
      <c r="AI92" s="178" t="s">
        <v>422</v>
      </c>
      <c r="AJ92" s="68">
        <f>IFERROR(PA[[#This Row],[Breakdown Time]]*PA[[#This Row],[Plant Equivalent Weightage]],"")</f>
        <v>5.966319596766252E-4</v>
      </c>
      <c r="AK92" s="117">
        <v>6.89</v>
      </c>
      <c r="AL92" s="116">
        <f>IF(PA[[#This Row],[Lost PoA(Wh/m2)]]&gt;0,_xlfn.XLOOKUP($B92,'Daily KPI'!$A:$A,'Daily KPI'!$AE:$AE)*PA[[#This Row],[Lost PoA(Wh/m2)]]*U92,0)</f>
        <v>88.202053290980857</v>
      </c>
      <c r="AM92" s="176" t="s">
        <v>2529</v>
      </c>
    </row>
    <row r="93" spans="1:39" ht="14" customHeight="1">
      <c r="A93" s="177">
        <f t="shared" si="2"/>
        <v>90</v>
      </c>
      <c r="B93" s="185">
        <v>45781</v>
      </c>
      <c r="C93" s="178" t="s">
        <v>477</v>
      </c>
      <c r="D93" s="176">
        <f>YEAR(PA[[#This Row],[Date]])</f>
        <v>2025</v>
      </c>
      <c r="E93" s="178" t="s">
        <v>361</v>
      </c>
      <c r="F93" s="178" t="s">
        <v>361</v>
      </c>
      <c r="G93" s="179">
        <v>45778</v>
      </c>
      <c r="H93" s="176">
        <f>DAY(EOMONTH(PA[[#This Row],[Month Year]],0))</f>
        <v>31</v>
      </c>
      <c r="I93" s="180">
        <f>VLOOKUP(PA[[#This Row],[Date]],Raw_Data[#All],9,0)</f>
        <v>0.26944444444444443</v>
      </c>
      <c r="J93" s="180">
        <f>VLOOKUP(PA[[#This Row],[Date]],Raw_Data[#All],10,0)</f>
        <v>0.80138888888888893</v>
      </c>
      <c r="K93" s="68">
        <f>IFERROR((PA[[#This Row],[Sunset Time (POA&lt;20 W/m2)]]-PA[[#This Row],[Sunrise Time (POA&gt;20 W/m2)]])*24,"")</f>
        <v>12.766666666666669</v>
      </c>
      <c r="L93" s="178" t="s">
        <v>419</v>
      </c>
      <c r="M93" s="178" t="s">
        <v>414</v>
      </c>
      <c r="N93" s="178" t="s">
        <v>395</v>
      </c>
      <c r="O93" s="178" t="s">
        <v>412</v>
      </c>
      <c r="P93" s="178" t="s">
        <v>429</v>
      </c>
      <c r="Q93" s="178"/>
      <c r="R93" s="176">
        <f>IF((PA[[#This Row],[String Type(If String BD)]]&amp;PA[[#This Row],[Equipment (If any BD other than PV  array and inv)]])="",1,0)</f>
        <v>0</v>
      </c>
      <c r="S93" s="6">
        <f>IF(PA[[#This Row],[String Type(If String BD)]]="",1,0)</f>
        <v>0</v>
      </c>
      <c r="T9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3" s="68">
        <f>IFERROR(VLOOKUP(PA[[#This Row],[Affected Equipment ]],'Basic Data '!$A$1:$B$1846,2,0),"")</f>
        <v>15.66</v>
      </c>
      <c r="V93" s="143">
        <f>IFERROR(VLOOKUP(PA[[#This Row],[Affected Equipment ]],'Basic Data '!$A$1:$C$1846,3,0),"")</f>
        <v>4.6733573865009801E-5</v>
      </c>
      <c r="W93" s="178" t="s">
        <v>451</v>
      </c>
      <c r="X93" s="110" t="s">
        <v>466</v>
      </c>
      <c r="Y93" s="110" t="s">
        <v>466</v>
      </c>
      <c r="Z93" s="109">
        <v>0.26944444444444443</v>
      </c>
      <c r="AA93" s="109">
        <v>0.26944444444444443</v>
      </c>
      <c r="AB93" s="109">
        <v>0.26944444444444443</v>
      </c>
      <c r="AC93" s="109">
        <v>0.80138888888888893</v>
      </c>
      <c r="AD93" s="82">
        <f>IF(PA[[#This Row],[Acknowledgement Time ]]="NA","",(PA[[#This Row],[Acknowledgement Time ]]-PA[[#This Row],[Fault Time]])*24)</f>
        <v>0</v>
      </c>
      <c r="AE93" s="82">
        <f>IF(PA[[#This Row],[Work Start time on Fault]]="NA","",(PA[[#This Row],[Work Start time on Fault]]-PA[[#This Row],[Fault Time]])*24)</f>
        <v>0</v>
      </c>
      <c r="AF93" s="111">
        <f>IF(PA[[#This Row],[Status]]="Open","",(PA[[#This Row],[Work Completion time on fault]]-PA[[#This Row],[Fault Time]])*24)</f>
        <v>12.766666666666669</v>
      </c>
      <c r="AG93" s="82">
        <f>IFERROR((PA[[#This Row],[Work Completion time on fault]]-PA[[#This Row],[Fault Time]])*24,"")</f>
        <v>12.766666666666669</v>
      </c>
      <c r="AH93" s="110" t="s">
        <v>464</v>
      </c>
      <c r="AI93" s="178" t="s">
        <v>422</v>
      </c>
      <c r="AJ93" s="68">
        <f>IFERROR(PA[[#This Row],[Breakdown Time]]*PA[[#This Row],[Plant Equivalent Weightage]],"")</f>
        <v>5.966319596766252E-4</v>
      </c>
      <c r="AK93" s="117">
        <v>6.89</v>
      </c>
      <c r="AL93" s="116">
        <f>IF(PA[[#This Row],[Lost PoA(Wh/m2)]]&gt;0,_xlfn.XLOOKUP($B93,'Daily KPI'!$A:$A,'Daily KPI'!$AE:$AE)*PA[[#This Row],[Lost PoA(Wh/m2)]]*U93,0)</f>
        <v>88.202053290980857</v>
      </c>
      <c r="AM93" s="176" t="s">
        <v>2529</v>
      </c>
    </row>
    <row r="94" spans="1:39" ht="14" customHeight="1">
      <c r="A94" s="177">
        <f t="shared" si="2"/>
        <v>91</v>
      </c>
      <c r="B94" s="185">
        <v>45782</v>
      </c>
      <c r="C94" s="178" t="s">
        <v>477</v>
      </c>
      <c r="D94" s="176">
        <f>YEAR(PA[[#This Row],[Date]])</f>
        <v>2025</v>
      </c>
      <c r="E94" s="178" t="s">
        <v>361</v>
      </c>
      <c r="F94" s="178" t="s">
        <v>361</v>
      </c>
      <c r="G94" s="179">
        <v>45778</v>
      </c>
      <c r="H94" s="176">
        <f>DAY(EOMONTH(PA[[#This Row],[Month Year]],0))</f>
        <v>31</v>
      </c>
      <c r="I94" s="180">
        <f>VLOOKUP(PA[[#This Row],[Date]],Raw_Data[#All],9,0)</f>
        <v>0.31111111111111112</v>
      </c>
      <c r="J94" s="180">
        <f>VLOOKUP(PA[[#This Row],[Date]],Raw_Data[#All],10,0)</f>
        <v>0.80069444444444449</v>
      </c>
      <c r="K94" s="68">
        <f>IFERROR((PA[[#This Row],[Sunset Time (POA&lt;20 W/m2)]]-PA[[#This Row],[Sunrise Time (POA&gt;20 W/m2)]])*24,"")</f>
        <v>11.75</v>
      </c>
      <c r="L94" s="178" t="s">
        <v>400</v>
      </c>
      <c r="M94" s="178" t="s">
        <v>414</v>
      </c>
      <c r="N94" s="178" t="s">
        <v>402</v>
      </c>
      <c r="O94" s="178"/>
      <c r="P94" s="178"/>
      <c r="Q94" s="178"/>
      <c r="R94" s="176">
        <f>IF((PA[[#This Row],[String Type(If String BD)]]&amp;PA[[#This Row],[Equipment (If any BD other than PV  array and inv)]])="",1,0)</f>
        <v>1</v>
      </c>
      <c r="S94" s="6">
        <f>IF(PA[[#This Row],[String Type(If String BD)]]="",1,0)</f>
        <v>1</v>
      </c>
      <c r="T9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IS20INV3M1</v>
      </c>
      <c r="U94" s="68">
        <f>IFERROR(VLOOKUP(PA[[#This Row],[Affected Equipment ]],'Basic Data '!$A$1:$B$1846,2,0),"")</f>
        <v>2255.04</v>
      </c>
      <c r="V94" s="143">
        <f>IFERROR(VLOOKUP(PA[[#This Row],[Affected Equipment ]],'Basic Data '!$A$1:$C$1846,3,0),"")</f>
        <v>6.7296346365614112E-3</v>
      </c>
      <c r="W94" s="178" t="s">
        <v>427</v>
      </c>
      <c r="X94" s="110" t="s">
        <v>440</v>
      </c>
      <c r="Y94" s="110" t="s">
        <v>440</v>
      </c>
      <c r="Z94" s="109">
        <v>0.31111111111111112</v>
      </c>
      <c r="AA94" s="109">
        <v>0.31111111111111112</v>
      </c>
      <c r="AB94" s="109">
        <v>0.31111111111111112</v>
      </c>
      <c r="AC94" s="109">
        <v>0.34027777777777779</v>
      </c>
      <c r="AD94" s="82">
        <f>IF(PA[[#This Row],[Acknowledgement Time ]]="NA","",(PA[[#This Row],[Acknowledgement Time ]]-PA[[#This Row],[Fault Time]])*24)</f>
        <v>0</v>
      </c>
      <c r="AE94" s="82">
        <f>IF(PA[[#This Row],[Work Start time on Fault]]="NA","",(PA[[#This Row],[Work Start time on Fault]]-PA[[#This Row],[Fault Time]])*24)</f>
        <v>0</v>
      </c>
      <c r="AF94" s="111">
        <f>IF(PA[[#This Row],[Status]]="Open","",(PA[[#This Row],[Work Completion time on fault]]-PA[[#This Row],[Fault Time]])*24)</f>
        <v>0.70000000000000018</v>
      </c>
      <c r="AG94" s="82">
        <f>IFERROR((PA[[#This Row],[Work Completion time on fault]]-PA[[#This Row],[Fault Time]])*24,"")</f>
        <v>0.70000000000000018</v>
      </c>
      <c r="AH94" s="79" t="s">
        <v>456</v>
      </c>
      <c r="AI94" s="178" t="s">
        <v>422</v>
      </c>
      <c r="AJ94" s="68">
        <f>IFERROR(PA[[#This Row],[Breakdown Time]]*PA[[#This Row],[Plant Equivalent Weightage]],"")</f>
        <v>4.7107442455929889E-3</v>
      </c>
      <c r="AK94" s="117">
        <v>3.3891166666666667E-2</v>
      </c>
      <c r="AL94" s="116">
        <f>IF(PA[[#This Row],[Lost PoA(Wh/m2)]]&gt;0,_xlfn.XLOOKUP($B94,'Daily KPI'!$A:$A,'Daily KPI'!$AE:$AE)*PA[[#This Row],[Lost PoA(Wh/m2)]]*U94,0)</f>
        <v>62.475319351736729</v>
      </c>
      <c r="AM94" s="176" t="s">
        <v>2532</v>
      </c>
    </row>
    <row r="95" spans="1:39" ht="14" customHeight="1">
      <c r="A95" s="177">
        <f t="shared" si="2"/>
        <v>92</v>
      </c>
      <c r="B95" s="185">
        <v>45782</v>
      </c>
      <c r="C95" s="178" t="s">
        <v>477</v>
      </c>
      <c r="D95" s="176">
        <f>YEAR(PA[[#This Row],[Date]])</f>
        <v>2025</v>
      </c>
      <c r="E95" s="178" t="s">
        <v>361</v>
      </c>
      <c r="F95" s="178" t="s">
        <v>361</v>
      </c>
      <c r="G95" s="179">
        <v>45778</v>
      </c>
      <c r="H95" s="176">
        <f>DAY(EOMONTH(PA[[#This Row],[Month Year]],0))</f>
        <v>31</v>
      </c>
      <c r="I95" s="180">
        <f>VLOOKUP(PA[[#This Row],[Date]],Raw_Data[#All],9,0)</f>
        <v>0.31111111111111112</v>
      </c>
      <c r="J95" s="180">
        <f>VLOOKUP(PA[[#This Row],[Date]],Raw_Data[#All],10,0)</f>
        <v>0.80069444444444449</v>
      </c>
      <c r="K95" s="68">
        <f>IFERROR((PA[[#This Row],[Sunset Time (POA&lt;20 W/m2)]]-PA[[#This Row],[Sunrise Time (POA&gt;20 W/m2)]])*24,"")</f>
        <v>11.75</v>
      </c>
      <c r="L95" s="178" t="s">
        <v>407</v>
      </c>
      <c r="M95" s="178" t="s">
        <v>414</v>
      </c>
      <c r="N95" s="178" t="s">
        <v>402</v>
      </c>
      <c r="O95" s="178"/>
      <c r="P95" s="178"/>
      <c r="Q95" s="178"/>
      <c r="R95" s="176">
        <f>IF((PA[[#This Row],[String Type(If String BD)]]&amp;PA[[#This Row],[Equipment (If any BD other than PV  array and inv)]])="",1,0)</f>
        <v>1</v>
      </c>
      <c r="S95" s="6">
        <f>IF(PA[[#This Row],[String Type(If String BD)]]="",1,0)</f>
        <v>1</v>
      </c>
      <c r="T9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IS19INV3M1</v>
      </c>
      <c r="U95" s="68">
        <f>IFERROR(VLOOKUP(PA[[#This Row],[Affected Equipment ]],'Basic Data '!$A$1:$B$1846,2,0),"")</f>
        <v>2223.7199999999998</v>
      </c>
      <c r="V95" s="143">
        <f>IFERROR(VLOOKUP(PA[[#This Row],[Affected Equipment ]],'Basic Data '!$A$1:$C$1846,3,0),"")</f>
        <v>6.6361674888313913E-3</v>
      </c>
      <c r="W95" s="178" t="s">
        <v>427</v>
      </c>
      <c r="X95" s="110" t="s">
        <v>440</v>
      </c>
      <c r="Y95" s="110" t="s">
        <v>440</v>
      </c>
      <c r="Z95" s="109">
        <v>0.31111111111111112</v>
      </c>
      <c r="AA95" s="109">
        <v>0.31111111111111112</v>
      </c>
      <c r="AB95" s="109">
        <v>0.31111111111111112</v>
      </c>
      <c r="AC95" s="109">
        <v>0.34513888888888888</v>
      </c>
      <c r="AD95" s="82">
        <f>IF(PA[[#This Row],[Acknowledgement Time ]]="NA","",(PA[[#This Row],[Acknowledgement Time ]]-PA[[#This Row],[Fault Time]])*24)</f>
        <v>0</v>
      </c>
      <c r="AE95" s="82">
        <f>IF(PA[[#This Row],[Work Start time on Fault]]="NA","",(PA[[#This Row],[Work Start time on Fault]]-PA[[#This Row],[Fault Time]])*24)</f>
        <v>0</v>
      </c>
      <c r="AF95" s="111">
        <f>IF(PA[[#This Row],[Status]]="Open","",(PA[[#This Row],[Work Completion time on fault]]-PA[[#This Row],[Fault Time]])*24)</f>
        <v>0.81666666666666643</v>
      </c>
      <c r="AG95" s="82">
        <f>IFERROR((PA[[#This Row],[Work Completion time on fault]]-PA[[#This Row],[Fault Time]])*24,"")</f>
        <v>0.81666666666666643</v>
      </c>
      <c r="AH95" s="79" t="s">
        <v>456</v>
      </c>
      <c r="AI95" s="178" t="s">
        <v>422</v>
      </c>
      <c r="AJ95" s="68">
        <f>IFERROR(PA[[#This Row],[Breakdown Time]]*PA[[#This Row],[Plant Equivalent Weightage]],"")</f>
        <v>5.419536782545635E-3</v>
      </c>
      <c r="AK95" s="117">
        <v>4.9312833333333334E-2</v>
      </c>
      <c r="AL95" s="116">
        <f>IF(PA[[#This Row],[Lost PoA(Wh/m2)]]&gt;0,_xlfn.XLOOKUP($B95,'Daily KPI'!$A:$A,'Daily KPI'!$AE:$AE)*PA[[#This Row],[Lost PoA(Wh/m2)]]*U95,0)</f>
        <v>89.64122319457492</v>
      </c>
      <c r="AM95" s="176" t="s">
        <v>2532</v>
      </c>
    </row>
    <row r="96" spans="1:39" ht="14" customHeight="1">
      <c r="A96" s="177">
        <f t="shared" si="2"/>
        <v>93</v>
      </c>
      <c r="B96" s="185">
        <v>45782</v>
      </c>
      <c r="C96" s="178" t="s">
        <v>477</v>
      </c>
      <c r="D96" s="176">
        <f>YEAR(PA[[#This Row],[Date]])</f>
        <v>2025</v>
      </c>
      <c r="E96" s="178" t="s">
        <v>361</v>
      </c>
      <c r="F96" s="178" t="s">
        <v>361</v>
      </c>
      <c r="G96" s="179">
        <v>45778</v>
      </c>
      <c r="H96" s="176">
        <f>DAY(EOMONTH(PA[[#This Row],[Month Year]],0))</f>
        <v>31</v>
      </c>
      <c r="I96" s="180">
        <f>VLOOKUP(PA[[#This Row],[Date]],Raw_Data[#All],9,0)</f>
        <v>0.31111111111111112</v>
      </c>
      <c r="J96" s="180">
        <f>VLOOKUP(PA[[#This Row],[Date]],Raw_Data[#All],10,0)</f>
        <v>0.80069444444444449</v>
      </c>
      <c r="K96" s="68">
        <f>IFERROR((PA[[#This Row],[Sunset Time (POA&lt;20 W/m2)]]-PA[[#This Row],[Sunrise Time (POA&gt;20 W/m2)]])*24,"")</f>
        <v>11.75</v>
      </c>
      <c r="L96" s="178" t="s">
        <v>426</v>
      </c>
      <c r="M96" s="178" t="s">
        <v>414</v>
      </c>
      <c r="N96" s="178" t="s">
        <v>402</v>
      </c>
      <c r="O96" s="178"/>
      <c r="P96" s="178"/>
      <c r="Q96" s="178"/>
      <c r="R96" s="176">
        <f>IF((PA[[#This Row],[String Type(If String BD)]]&amp;PA[[#This Row],[Equipment (If any BD other than PV  array and inv)]])="",1,0)</f>
        <v>1</v>
      </c>
      <c r="S96" s="6">
        <f>IF(PA[[#This Row],[String Type(If String BD)]]="",1,0)</f>
        <v>1</v>
      </c>
      <c r="T9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96" s="68">
        <f>IFERROR(VLOOKUP(PA[[#This Row],[Affected Equipment ]],'Basic Data '!$A$1:$B$1846,2,0),"")</f>
        <v>2223.7199999999998</v>
      </c>
      <c r="V96" s="143">
        <f>IFERROR(VLOOKUP(PA[[#This Row],[Affected Equipment ]],'Basic Data '!$A$1:$C$1846,3,0),"")</f>
        <v>6.6361674888313913E-3</v>
      </c>
      <c r="W96" s="178" t="s">
        <v>427</v>
      </c>
      <c r="X96" s="110" t="s">
        <v>440</v>
      </c>
      <c r="Y96" s="110" t="s">
        <v>440</v>
      </c>
      <c r="Z96" s="109">
        <v>0.31111111111111112</v>
      </c>
      <c r="AA96" s="109">
        <v>0.31111111111111112</v>
      </c>
      <c r="AB96" s="109">
        <v>0.31111111111111112</v>
      </c>
      <c r="AC96" s="109">
        <v>0.35486111111111113</v>
      </c>
      <c r="AD96" s="82">
        <f>IF(PA[[#This Row],[Acknowledgement Time ]]="NA","",(PA[[#This Row],[Acknowledgement Time ]]-PA[[#This Row],[Fault Time]])*24)</f>
        <v>0</v>
      </c>
      <c r="AE96" s="82">
        <f>IF(PA[[#This Row],[Work Start time on Fault]]="NA","",(PA[[#This Row],[Work Start time on Fault]]-PA[[#This Row],[Fault Time]])*24)</f>
        <v>0</v>
      </c>
      <c r="AF96" s="111">
        <f>IF(PA[[#This Row],[Status]]="Open","",(PA[[#This Row],[Work Completion time on fault]]-PA[[#This Row],[Fault Time]])*24)</f>
        <v>1.0500000000000003</v>
      </c>
      <c r="AG96" s="82">
        <f>IFERROR((PA[[#This Row],[Work Completion time on fault]]-PA[[#This Row],[Fault Time]])*24,"")</f>
        <v>1.0500000000000003</v>
      </c>
      <c r="AH96" s="79" t="s">
        <v>456</v>
      </c>
      <c r="AI96" s="178" t="s">
        <v>422</v>
      </c>
      <c r="AJ96" s="68">
        <f>IFERROR(PA[[#This Row],[Breakdown Time]]*PA[[#This Row],[Plant Equivalent Weightage]],"")</f>
        <v>6.9679758632729622E-3</v>
      </c>
      <c r="AK96" s="117">
        <v>9.8205500000000001E-2</v>
      </c>
      <c r="AL96" s="116">
        <f>IF(PA[[#This Row],[Lost PoA(Wh/m2)]]&gt;0,_xlfn.XLOOKUP($B96,'Daily KPI'!$A:$A,'Daily KPI'!$AE:$AE)*PA[[#This Row],[Lost PoA(Wh/m2)]]*U96,0)</f>
        <v>178.51866439976396</v>
      </c>
      <c r="AM96" s="176" t="s">
        <v>2532</v>
      </c>
    </row>
    <row r="97" spans="1:43" ht="14" customHeight="1">
      <c r="A97" s="177">
        <f t="shared" si="2"/>
        <v>94</v>
      </c>
      <c r="B97" s="185">
        <v>45782</v>
      </c>
      <c r="C97" s="178" t="s">
        <v>477</v>
      </c>
      <c r="D97" s="176">
        <f>YEAR(PA[[#This Row],[Date]])</f>
        <v>2025</v>
      </c>
      <c r="E97" s="178" t="s">
        <v>361</v>
      </c>
      <c r="F97" s="178" t="s">
        <v>361</v>
      </c>
      <c r="G97" s="179">
        <v>45778</v>
      </c>
      <c r="H97" s="176">
        <f>DAY(EOMONTH(PA[[#This Row],[Month Year]],0))</f>
        <v>31</v>
      </c>
      <c r="I97" s="180">
        <f>VLOOKUP(PA[[#This Row],[Date]],Raw_Data[#All],9,0)</f>
        <v>0.31111111111111112</v>
      </c>
      <c r="J97" s="180">
        <f>VLOOKUP(PA[[#This Row],[Date]],Raw_Data[#All],10,0)</f>
        <v>0.80069444444444449</v>
      </c>
      <c r="K97" s="68">
        <f>IFERROR((PA[[#This Row],[Sunset Time (POA&lt;20 W/m2)]]-PA[[#This Row],[Sunrise Time (POA&gt;20 W/m2)]])*24,"")</f>
        <v>11.75</v>
      </c>
      <c r="L97" s="178" t="s">
        <v>423</v>
      </c>
      <c r="M97" s="178" t="s">
        <v>394</v>
      </c>
      <c r="N97" s="178" t="s">
        <v>402</v>
      </c>
      <c r="O97" s="178"/>
      <c r="P97" s="178"/>
      <c r="Q97" s="178"/>
      <c r="R97" s="176">
        <f>IF((PA[[#This Row],[String Type(If String BD)]]&amp;PA[[#This Row],[Equipment (If any BD other than PV  array and inv)]])="",1,0)</f>
        <v>1</v>
      </c>
      <c r="S97" s="6">
        <f>IF(PA[[#This Row],[String Type(If String BD)]]="",1,0)</f>
        <v>1</v>
      </c>
      <c r="T9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7" s="68">
        <f>IFERROR(VLOOKUP(PA[[#This Row],[Affected Equipment ]],'Basic Data '!$A$1:$B$1846,2,0),"")</f>
        <v>2004.4799999999998</v>
      </c>
      <c r="V97" s="143">
        <f>IFERROR(VLOOKUP(PA[[#This Row],[Affected Equipment ]],'Basic Data '!$A$1:$C$1846,3,0),"")</f>
        <v>5.9818974547212545E-3</v>
      </c>
      <c r="W97" s="178" t="s">
        <v>427</v>
      </c>
      <c r="X97" s="110" t="s">
        <v>440</v>
      </c>
      <c r="Y97" s="110" t="s">
        <v>440</v>
      </c>
      <c r="Z97" s="109">
        <v>0.31111111111111112</v>
      </c>
      <c r="AA97" s="109">
        <v>0.31111111111111112</v>
      </c>
      <c r="AB97" s="109">
        <v>0.31111111111111112</v>
      </c>
      <c r="AC97" s="109">
        <v>0.34444444444444444</v>
      </c>
      <c r="AD97" s="82">
        <f>IF(PA[[#This Row],[Acknowledgement Time ]]="NA","",(PA[[#This Row],[Acknowledgement Time ]]-PA[[#This Row],[Fault Time]])*24)</f>
        <v>0</v>
      </c>
      <c r="AE97" s="82">
        <f>IF(PA[[#This Row],[Work Start time on Fault]]="NA","",(PA[[#This Row],[Work Start time on Fault]]-PA[[#This Row],[Fault Time]])*24)</f>
        <v>0</v>
      </c>
      <c r="AF97" s="111">
        <f>IF(PA[[#This Row],[Status]]="Open","",(PA[[#This Row],[Work Completion time on fault]]-PA[[#This Row],[Fault Time]])*24)</f>
        <v>0.79999999999999982</v>
      </c>
      <c r="AG97" s="82">
        <f>IFERROR((PA[[#This Row],[Work Completion time on fault]]-PA[[#This Row],[Fault Time]])*24,"")</f>
        <v>0.79999999999999982</v>
      </c>
      <c r="AH97" s="79" t="s">
        <v>456</v>
      </c>
      <c r="AI97" s="178" t="s">
        <v>422</v>
      </c>
      <c r="AJ97" s="68">
        <f>IFERROR(PA[[#This Row],[Breakdown Time]]*PA[[#This Row],[Plant Equivalent Weightage]],"")</f>
        <v>4.7855179637770022E-3</v>
      </c>
      <c r="AK97" s="117">
        <v>5.2687166666666667E-2</v>
      </c>
      <c r="AL97" s="116">
        <f>IF(PA[[#This Row],[Lost PoA(Wh/m2)]]&gt;0,_xlfn.XLOOKUP($B97,'Daily KPI'!$A:$A,'Daily KPI'!$AE:$AE)*PA[[#This Row],[Lost PoA(Wh/m2)]]*U97,0)</f>
        <v>86.332494064842933</v>
      </c>
      <c r="AM97" s="176" t="s">
        <v>2532</v>
      </c>
    </row>
    <row r="98" spans="1:43" ht="14" customHeight="1">
      <c r="A98" s="177">
        <f t="shared" si="2"/>
        <v>95</v>
      </c>
      <c r="B98" s="185">
        <v>45782</v>
      </c>
      <c r="C98" s="178" t="s">
        <v>477</v>
      </c>
      <c r="D98" s="176">
        <f>YEAR(PA[[#This Row],[Date]])</f>
        <v>2025</v>
      </c>
      <c r="E98" s="178" t="s">
        <v>361</v>
      </c>
      <c r="F98" s="178" t="s">
        <v>361</v>
      </c>
      <c r="G98" s="179">
        <v>45778</v>
      </c>
      <c r="H98" s="176">
        <f>DAY(EOMONTH(PA[[#This Row],[Month Year]],0))</f>
        <v>31</v>
      </c>
      <c r="I98" s="180">
        <f>VLOOKUP(PA[[#This Row],[Date]],Raw_Data[#All],9,0)</f>
        <v>0.31111111111111112</v>
      </c>
      <c r="J98" s="180">
        <f>VLOOKUP(PA[[#This Row],[Date]],Raw_Data[#All],10,0)</f>
        <v>0.80069444444444449</v>
      </c>
      <c r="K98" s="68">
        <f>IFERROR((PA[[#This Row],[Sunset Time (POA&lt;20 W/m2)]]-PA[[#This Row],[Sunrise Time (POA&gt;20 W/m2)]])*24,"")</f>
        <v>11.75</v>
      </c>
      <c r="L98" s="178"/>
      <c r="M98" s="178"/>
      <c r="N98" s="178"/>
      <c r="O98" s="178"/>
      <c r="P98" s="178"/>
      <c r="Q98" s="178" t="s">
        <v>431</v>
      </c>
      <c r="R98" s="176">
        <f>IF((PA[[#This Row],[String Type(If String BD)]]&amp;PA[[#This Row],[Equipment (If any BD other than PV  array and inv)]])="",1,0)</f>
        <v>0</v>
      </c>
      <c r="S98" s="6">
        <f>IF(PA[[#This Row],[String Type(If String BD)]]="",1,0)</f>
        <v>1</v>
      </c>
      <c r="T9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8" s="68">
        <f>IFERROR(VLOOKUP(PA[[#This Row],[Affected Equipment ]],'Basic Data '!$A$1:$B$1846,2,0),"")</f>
        <v>167322.75</v>
      </c>
      <c r="V98" s="143">
        <f>IFERROR(VLOOKUP(PA[[#This Row],[Affected Equipment ]],'Basic Data '!$A$1:$C$1846,3,0),"")</f>
        <v>0.49933525519933392</v>
      </c>
      <c r="W98" s="178" t="s">
        <v>435</v>
      </c>
      <c r="X98" s="110" t="s">
        <v>2533</v>
      </c>
      <c r="Y98" s="110" t="s">
        <v>2533</v>
      </c>
      <c r="Z98" s="109">
        <v>0.59236111111111112</v>
      </c>
      <c r="AA98" s="109">
        <v>0.59236111111111112</v>
      </c>
      <c r="AB98" s="109">
        <v>0.60347222222222219</v>
      </c>
      <c r="AC98" s="109">
        <v>0.62847222222222221</v>
      </c>
      <c r="AD98" s="82">
        <f>IF(PA[[#This Row],[Acknowledgement Time ]]="NA","",(PA[[#This Row],[Acknowledgement Time ]]-PA[[#This Row],[Fault Time]])*24)</f>
        <v>0</v>
      </c>
      <c r="AE98" s="82">
        <f>IF(PA[[#This Row],[Work Start time on Fault]]="NA","",(PA[[#This Row],[Work Start time on Fault]]-PA[[#This Row],[Fault Time]])*24)</f>
        <v>0.26666666666666572</v>
      </c>
      <c r="AF98" s="111">
        <f>IF(PA[[#This Row],[Status]]="Open","",(PA[[#This Row],[Work Completion time on fault]]-PA[[#This Row],[Fault Time]])*24)</f>
        <v>0.86666666666666625</v>
      </c>
      <c r="AG98" s="82">
        <f>IFERROR((PA[[#This Row],[Work Completion time on fault]]-PA[[#This Row],[Fault Time]])*24,"")</f>
        <v>0.86666666666666625</v>
      </c>
      <c r="AH98" s="110" t="s">
        <v>2534</v>
      </c>
      <c r="AI98" s="178" t="s">
        <v>422</v>
      </c>
      <c r="AJ98" s="68">
        <f>IFERROR(PA[[#This Row],[Breakdown Time]]*PA[[#This Row],[Plant Equivalent Weightage]],"")</f>
        <v>0.43275722117275583</v>
      </c>
      <c r="AK98" s="117">
        <v>0.73943199999999998</v>
      </c>
      <c r="AL98" s="116">
        <f>IF(PA[[#This Row],[Lost PoA(Wh/m2)]]&gt;0,_xlfn.XLOOKUP($B98,'Daily KPI'!$A:$A,'Daily KPI'!$AE:$AE)*PA[[#This Row],[Lost PoA(Wh/m2)]]*U98,0)</f>
        <v>101139.53459261653</v>
      </c>
      <c r="AM98" s="176" t="s">
        <v>2531</v>
      </c>
    </row>
    <row r="99" spans="1:43" ht="14" customHeight="1">
      <c r="A99" s="177">
        <f t="shared" si="2"/>
        <v>96</v>
      </c>
      <c r="B99" s="185">
        <v>45784</v>
      </c>
      <c r="C99" s="178" t="s">
        <v>477</v>
      </c>
      <c r="D99" s="176">
        <f>YEAR(PA[[#This Row],[Date]])</f>
        <v>2025</v>
      </c>
      <c r="E99" s="178" t="s">
        <v>361</v>
      </c>
      <c r="F99" s="178" t="s">
        <v>361</v>
      </c>
      <c r="G99" s="179">
        <v>45778</v>
      </c>
      <c r="H99" s="176">
        <f>DAY(EOMONTH(PA[[#This Row],[Month Year]],0))</f>
        <v>31</v>
      </c>
      <c r="I99" s="180">
        <f>VLOOKUP(PA[[#This Row],[Date]],Raw_Data[#All],9,0)</f>
        <v>0.2638888888888889</v>
      </c>
      <c r="J99" s="180">
        <f>VLOOKUP(PA[[#This Row],[Date]],Raw_Data[#All],10,0)</f>
        <v>0.80277777777777781</v>
      </c>
      <c r="K99" s="68">
        <f>IFERROR((PA[[#This Row],[Sunset Time (POA&lt;20 W/m2)]]-PA[[#This Row],[Sunrise Time (POA&gt;20 W/m2)]])*24,"")</f>
        <v>12.933333333333335</v>
      </c>
      <c r="L99" s="178" t="s">
        <v>423</v>
      </c>
      <c r="M99" s="178" t="s">
        <v>394</v>
      </c>
      <c r="N99" s="178" t="s">
        <v>402</v>
      </c>
      <c r="O99" s="178"/>
      <c r="P99" s="178"/>
      <c r="Q99" s="178"/>
      <c r="R99" s="176">
        <f>IF((PA[[#This Row],[String Type(If String BD)]]&amp;PA[[#This Row],[Equipment (If any BD other than PV  array and inv)]])="",1,0)</f>
        <v>1</v>
      </c>
      <c r="S99" s="6">
        <f>IF(PA[[#This Row],[String Type(If String BD)]]="",1,0)</f>
        <v>1</v>
      </c>
      <c r="T9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9" s="68">
        <f>IFERROR(VLOOKUP(PA[[#This Row],[Affected Equipment ]],'Basic Data '!$A$1:$B$1846,2,0),"")</f>
        <v>2004.4799999999998</v>
      </c>
      <c r="V99" s="143">
        <f>IFERROR(VLOOKUP(PA[[#This Row],[Affected Equipment ]],'Basic Data '!$A$1:$C$1846,3,0),"")</f>
        <v>5.9818974547212545E-3</v>
      </c>
      <c r="W99" s="178" t="s">
        <v>427</v>
      </c>
      <c r="X99" s="110" t="s">
        <v>449</v>
      </c>
      <c r="Y99" s="183" t="s">
        <v>449</v>
      </c>
      <c r="Z99" s="109">
        <v>0.31111111111111112</v>
      </c>
      <c r="AA99" s="109">
        <v>0.31111111111111112</v>
      </c>
      <c r="AB99" s="109">
        <v>0.31666666666666665</v>
      </c>
      <c r="AC99" s="109">
        <v>0.33263888888888887</v>
      </c>
      <c r="AD99" s="82">
        <f>IF(PA[[#This Row],[Acknowledgement Time ]]="NA","",(PA[[#This Row],[Acknowledgement Time ]]-PA[[#This Row],[Fault Time]])*24)</f>
        <v>0</v>
      </c>
      <c r="AE99" s="82">
        <f>IF(PA[[#This Row],[Work Start time on Fault]]="NA","",(PA[[#This Row],[Work Start time on Fault]]-PA[[#This Row],[Fault Time]])*24)</f>
        <v>0.13333333333333286</v>
      </c>
      <c r="AF99" s="111">
        <f>IF(PA[[#This Row],[Status]]="Open","",(PA[[#This Row],[Work Completion time on fault]]-PA[[#This Row],[Fault Time]])*24)</f>
        <v>0.51666666666666616</v>
      </c>
      <c r="AG99" s="82">
        <f>IFERROR((PA[[#This Row],[Work Completion time on fault]]-PA[[#This Row],[Fault Time]])*24,"")</f>
        <v>0.51666666666666616</v>
      </c>
      <c r="AH99" s="110" t="s">
        <v>2535</v>
      </c>
      <c r="AI99" s="178" t="s">
        <v>422</v>
      </c>
      <c r="AJ99" s="68">
        <f>IFERROR(PA[[#This Row],[Breakdown Time]]*PA[[#This Row],[Plant Equivalent Weightage]],"")</f>
        <v>3.0906470182726453E-3</v>
      </c>
      <c r="AK99" s="117">
        <v>0.13064000000000001</v>
      </c>
      <c r="AL99" s="116">
        <f>IF(PA[[#This Row],[Lost PoA(Wh/m2)]]&gt;0,_xlfn.XLOOKUP($B99,'Daily KPI'!$A:$A,'Daily KPI'!$AE:$AE)*PA[[#This Row],[Lost PoA(Wh/m2)]]*U99,0)</f>
        <v>214.06497517670809</v>
      </c>
      <c r="AM99" s="176" t="s">
        <v>2536</v>
      </c>
    </row>
    <row r="100" spans="1:43" ht="14" customHeight="1">
      <c r="A100" s="177">
        <f t="shared" si="2"/>
        <v>97</v>
      </c>
      <c r="B100" s="185">
        <v>45784</v>
      </c>
      <c r="C100" s="178" t="s">
        <v>477</v>
      </c>
      <c r="D100" s="18">
        <f>YEAR(PA[[#This Row],[Date]])</f>
        <v>2025</v>
      </c>
      <c r="E100" s="178" t="s">
        <v>361</v>
      </c>
      <c r="F100" s="178" t="s">
        <v>361</v>
      </c>
      <c r="G100" s="179">
        <v>45778</v>
      </c>
      <c r="H100" s="176">
        <f>DAY(EOMONTH(PA[[#This Row],[Month Year]],0))</f>
        <v>31</v>
      </c>
      <c r="I100" s="180">
        <f>VLOOKUP(PA[[#This Row],[Date]],Raw_Data[#All],9,0)</f>
        <v>0.2638888888888889</v>
      </c>
      <c r="J100" s="180">
        <f>VLOOKUP(PA[[#This Row],[Date]],Raw_Data[#All],10,0)</f>
        <v>0.80277777777777781</v>
      </c>
      <c r="K100" s="74">
        <f>IFERROR((PA[[#This Row],[Sunset Time (POA&lt;20 W/m2)]]-PA[[#This Row],[Sunrise Time (POA&gt;20 W/m2)]])*24,"")</f>
        <v>12.933333333333335</v>
      </c>
      <c r="L100" s="178" t="s">
        <v>423</v>
      </c>
      <c r="M100" s="178" t="s">
        <v>394</v>
      </c>
      <c r="N100" s="178" t="s">
        <v>395</v>
      </c>
      <c r="O100" s="178"/>
      <c r="P100" s="178"/>
      <c r="Q100" s="178"/>
      <c r="R100" s="176">
        <f>IF((PA[[#This Row],[String Type(If String BD)]]&amp;PA[[#This Row],[Equipment (If any BD other than PV  array and inv)]])="",1,0)</f>
        <v>1</v>
      </c>
      <c r="S100" s="6">
        <f>IF(PA[[#This Row],[String Type(If String BD)]]="",1,0)</f>
        <v>1</v>
      </c>
      <c r="T10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IS13INV1M2</v>
      </c>
      <c r="U100" s="68">
        <f>IFERROR(VLOOKUP(PA[[#This Row],[Affected Equipment ]],'Basic Data '!$A$1:$B$1846,2,0),"")</f>
        <v>2004.4799999999998</v>
      </c>
      <c r="V100" s="143">
        <f>IFERROR(VLOOKUP(PA[[#This Row],[Affected Equipment ]],'Basic Data '!$A$1:$C$1846,3,0),"")</f>
        <v>5.9818974547212545E-3</v>
      </c>
      <c r="W100" s="178" t="s">
        <v>427</v>
      </c>
      <c r="X100" s="110" t="s">
        <v>478</v>
      </c>
      <c r="Y100" s="183" t="s">
        <v>478</v>
      </c>
      <c r="Z100" s="109">
        <v>0.31805555555555554</v>
      </c>
      <c r="AA100" s="109">
        <v>0.31805555555555554</v>
      </c>
      <c r="AB100" s="109">
        <v>0.31805555555555554</v>
      </c>
      <c r="AC100" s="109">
        <v>0.33263888888888887</v>
      </c>
      <c r="AD100" s="82">
        <f>IF(PA[[#This Row],[Acknowledgement Time ]]="NA","",(PA[[#This Row],[Acknowledgement Time ]]-PA[[#This Row],[Fault Time]])*24)</f>
        <v>0</v>
      </c>
      <c r="AE100" s="82">
        <f>IF(PA[[#This Row],[Work Start time on Fault]]="NA","",(PA[[#This Row],[Work Start time on Fault]]-PA[[#This Row],[Fault Time]])*24)</f>
        <v>0</v>
      </c>
      <c r="AF100" s="111">
        <f>IF(PA[[#This Row],[Status]]="Open","",(PA[[#This Row],[Work Completion time on fault]]-PA[[#This Row],[Fault Time]])*24)</f>
        <v>0.35000000000000009</v>
      </c>
      <c r="AG100" s="82">
        <f>IFERROR((PA[[#This Row],[Work Completion time on fault]]-PA[[#This Row],[Fault Time]])*24,"")</f>
        <v>0.35000000000000009</v>
      </c>
      <c r="AH100" s="183" t="s">
        <v>478</v>
      </c>
      <c r="AI100" s="178" t="s">
        <v>422</v>
      </c>
      <c r="AJ100" s="68">
        <f>IFERROR(PA[[#This Row],[Breakdown Time]]*PA[[#This Row],[Plant Equivalent Weightage]],"")</f>
        <v>2.0936641091524395E-3</v>
      </c>
      <c r="AK100" s="117">
        <v>9.6260000000000012E-2</v>
      </c>
      <c r="AL100" s="116">
        <f>IF(PA[[#This Row],[Lost PoA(Wh/m2)]]&gt;0,_xlfn.XLOOKUP($B100,'Daily KPI'!$A:$A,'Daily KPI'!$AE:$AE)*PA[[#This Row],[Lost PoA(Wh/m2)]]*U100,0)</f>
        <v>157.73036214413597</v>
      </c>
      <c r="AM100" s="176" t="s">
        <v>2536</v>
      </c>
    </row>
    <row r="101" spans="1:43" ht="14" customHeight="1">
      <c r="A101" s="177">
        <f t="shared" si="2"/>
        <v>98</v>
      </c>
      <c r="B101" s="185">
        <v>45784</v>
      </c>
      <c r="C101" s="178" t="s">
        <v>477</v>
      </c>
      <c r="D101" s="18">
        <f>YEAR(PA[[#This Row],[Date]])</f>
        <v>2025</v>
      </c>
      <c r="E101" s="178" t="s">
        <v>361</v>
      </c>
      <c r="F101" s="178" t="s">
        <v>361</v>
      </c>
      <c r="G101" s="179">
        <v>45778</v>
      </c>
      <c r="H101" s="176">
        <f>DAY(EOMONTH(PA[[#This Row],[Month Year]],0))</f>
        <v>31</v>
      </c>
      <c r="I101" s="180">
        <f>VLOOKUP(PA[[#This Row],[Date]],Raw_Data[#All],9,0)</f>
        <v>0.2638888888888889</v>
      </c>
      <c r="J101" s="180">
        <f>VLOOKUP(PA[[#This Row],[Date]],Raw_Data[#All],10,0)</f>
        <v>0.80277777777777781</v>
      </c>
      <c r="K101" s="74">
        <f>IFERROR((PA[[#This Row],[Sunset Time (POA&lt;20 W/m2)]]-PA[[#This Row],[Sunrise Time (POA&gt;20 W/m2)]])*24,"")</f>
        <v>12.933333333333335</v>
      </c>
      <c r="L101" s="178" t="s">
        <v>438</v>
      </c>
      <c r="M101" s="178" t="s">
        <v>401</v>
      </c>
      <c r="N101" s="178" t="s">
        <v>402</v>
      </c>
      <c r="O101" s="178" t="s">
        <v>442</v>
      </c>
      <c r="P101" s="178" t="s">
        <v>397</v>
      </c>
      <c r="Q101" s="178"/>
      <c r="R101" s="176">
        <f>IF((PA[[#This Row],[String Type(If String BD)]]&amp;PA[[#This Row],[Equipment (If any BD other than PV  array and inv)]])="",1,0)</f>
        <v>0</v>
      </c>
      <c r="S101" s="6">
        <f>IF(PA[[#This Row],[String Type(If String BD)]]="",1,0)</f>
        <v>0</v>
      </c>
      <c r="T10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1" s="68">
        <f>IFERROR(VLOOKUP(PA[[#This Row],[Affected Equipment ]],'Basic Data '!$A$1:$B$1846,2,0),"")</f>
        <v>25.81</v>
      </c>
      <c r="V101" s="143">
        <f>IFERROR(VLOOKUP(PA[[#This Row],[Affected Equipment ]],'Basic Data '!$A$1:$C$1846,3,0),"")</f>
        <v>7.7023853221960597E-5</v>
      </c>
      <c r="W101" s="178" t="s">
        <v>398</v>
      </c>
      <c r="X101" s="110" t="s">
        <v>410</v>
      </c>
      <c r="Y101" s="183" t="s">
        <v>411</v>
      </c>
      <c r="Z101" s="109">
        <v>0.2638888888888889</v>
      </c>
      <c r="AA101" s="109">
        <v>0.2638888888888889</v>
      </c>
      <c r="AB101" s="109">
        <v>0.2638888888888889</v>
      </c>
      <c r="AC101" s="109">
        <v>0.80277777777777781</v>
      </c>
      <c r="AD101" s="82">
        <f>IF(PA[[#This Row],[Acknowledgement Time ]]="NA","",(PA[[#This Row],[Acknowledgement Time ]]-PA[[#This Row],[Fault Time]])*24)</f>
        <v>0</v>
      </c>
      <c r="AE101" s="82">
        <f>IF(PA[[#This Row],[Work Start time on Fault]]="NA","",(PA[[#This Row],[Work Start time on Fault]]-PA[[#This Row],[Fault Time]])*24)</f>
        <v>0</v>
      </c>
      <c r="AF101" s="111">
        <f>IF(PA[[#This Row],[Status]]="Open","",(PA[[#This Row],[Work Completion time on fault]]-PA[[#This Row],[Fault Time]])*24)</f>
        <v>12.933333333333335</v>
      </c>
      <c r="AG101" s="82">
        <f>IFERROR((PA[[#This Row],[Work Completion time on fault]]-PA[[#This Row],[Fault Time]])*24,"")</f>
        <v>12.933333333333335</v>
      </c>
      <c r="AH101" s="183" t="s">
        <v>2660</v>
      </c>
      <c r="AI101" s="178" t="s">
        <v>422</v>
      </c>
      <c r="AJ101" s="68">
        <f>IFERROR(PA[[#This Row],[Breakdown Time]]*PA[[#This Row],[Plant Equivalent Weightage]],"")</f>
        <v>9.9617516833735726E-4</v>
      </c>
      <c r="AK101" s="117">
        <v>7.21</v>
      </c>
      <c r="AL101" s="116">
        <f>IF(PA[[#This Row],[Lost PoA(Wh/m2)]]&gt;0,_xlfn.XLOOKUP($B101,'Daily KPI'!$A:$A,'Daily KPI'!$AE:$AE)*PA[[#This Row],[Lost PoA(Wh/m2)]]*U101,0)</f>
        <v>152.12163515639821</v>
      </c>
      <c r="AM101" s="176" t="s">
        <v>2537</v>
      </c>
      <c r="AQ101" t="s">
        <v>2661</v>
      </c>
    </row>
    <row r="102" spans="1:43" ht="14" customHeight="1">
      <c r="A102" s="177">
        <f t="shared" si="2"/>
        <v>99</v>
      </c>
      <c r="B102" s="185">
        <v>45784</v>
      </c>
      <c r="C102" s="178" t="s">
        <v>477</v>
      </c>
      <c r="D102" s="18">
        <f>YEAR(PA[[#This Row],[Date]])</f>
        <v>2025</v>
      </c>
      <c r="E102" s="178" t="s">
        <v>361</v>
      </c>
      <c r="F102" s="178" t="s">
        <v>361</v>
      </c>
      <c r="G102" s="179">
        <v>45778</v>
      </c>
      <c r="H102" s="176">
        <f>DAY(EOMONTH(PA[[#This Row],[Month Year]],0))</f>
        <v>31</v>
      </c>
      <c r="I102" s="180">
        <f>VLOOKUP(PA[[#This Row],[Date]],Raw_Data[#All],9,0)</f>
        <v>0.2638888888888889</v>
      </c>
      <c r="J102" s="180">
        <f>VLOOKUP(PA[[#This Row],[Date]],Raw_Data[#All],10,0)</f>
        <v>0.80277777777777781</v>
      </c>
      <c r="K102" s="74">
        <f>IFERROR((PA[[#This Row],[Sunset Time (POA&lt;20 W/m2)]]-PA[[#This Row],[Sunrise Time (POA&gt;20 W/m2)]])*24,"")</f>
        <v>12.933333333333335</v>
      </c>
      <c r="L102" s="178" t="s">
        <v>438</v>
      </c>
      <c r="M102" s="178" t="s">
        <v>401</v>
      </c>
      <c r="N102" s="178" t="s">
        <v>402</v>
      </c>
      <c r="O102" s="178" t="s">
        <v>409</v>
      </c>
      <c r="P102" s="178" t="s">
        <v>397</v>
      </c>
      <c r="Q102" s="178"/>
      <c r="R102" s="176">
        <f>IF((PA[[#This Row],[String Type(If String BD)]]&amp;PA[[#This Row],[Equipment (If any BD other than PV  array and inv)]])="",1,0)</f>
        <v>0</v>
      </c>
      <c r="S102" s="6">
        <f>IF(PA[[#This Row],[String Type(If String BD)]]="",1,0)</f>
        <v>0</v>
      </c>
      <c r="T10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2" s="68">
        <f>IFERROR(VLOOKUP(PA[[#This Row],[Affected Equipment ]],'Basic Data '!$A$1:$B$1846,2,0),"")</f>
        <v>25.81</v>
      </c>
      <c r="V102" s="143">
        <f>IFERROR(VLOOKUP(PA[[#This Row],[Affected Equipment ]],'Basic Data '!$A$1:$C$1846,3,0),"")</f>
        <v>7.7023853221960597E-5</v>
      </c>
      <c r="W102" s="178" t="s">
        <v>398</v>
      </c>
      <c r="X102" s="110" t="s">
        <v>410</v>
      </c>
      <c r="Y102" s="183" t="s">
        <v>411</v>
      </c>
      <c r="Z102" s="109">
        <v>0.2638888888888889</v>
      </c>
      <c r="AA102" s="109">
        <v>0.2638888888888889</v>
      </c>
      <c r="AB102" s="109">
        <v>0.2638888888888889</v>
      </c>
      <c r="AC102" s="109">
        <v>0.80277777777777781</v>
      </c>
      <c r="AD102" s="82">
        <f>IF(PA[[#This Row],[Acknowledgement Time ]]="NA","",(PA[[#This Row],[Acknowledgement Time ]]-PA[[#This Row],[Fault Time]])*24)</f>
        <v>0</v>
      </c>
      <c r="AE102" s="82">
        <f>IF(PA[[#This Row],[Work Start time on Fault]]="NA","",(PA[[#This Row],[Work Start time on Fault]]-PA[[#This Row],[Fault Time]])*24)</f>
        <v>0</v>
      </c>
      <c r="AF102" s="111">
        <f>IF(PA[[#This Row],[Status]]="Open","",(PA[[#This Row],[Work Completion time on fault]]-PA[[#This Row],[Fault Time]])*24)</f>
        <v>12.933333333333335</v>
      </c>
      <c r="AG102" s="82">
        <f>IFERROR((PA[[#This Row],[Work Completion time on fault]]-PA[[#This Row],[Fault Time]])*24,"")</f>
        <v>12.933333333333335</v>
      </c>
      <c r="AH102" s="183" t="s">
        <v>2660</v>
      </c>
      <c r="AI102" s="178" t="s">
        <v>422</v>
      </c>
      <c r="AJ102" s="68">
        <f>IFERROR(PA[[#This Row],[Breakdown Time]]*PA[[#This Row],[Plant Equivalent Weightage]],"")</f>
        <v>9.9617516833735726E-4</v>
      </c>
      <c r="AK102" s="117">
        <v>7.21</v>
      </c>
      <c r="AL102" s="116">
        <f>IF(PA[[#This Row],[Lost PoA(Wh/m2)]]&gt;0,_xlfn.XLOOKUP($B102,'Daily KPI'!$A:$A,'Daily KPI'!$AE:$AE)*PA[[#This Row],[Lost PoA(Wh/m2)]]*U102,0)</f>
        <v>152.12163515639821</v>
      </c>
      <c r="AM102" s="176" t="s">
        <v>2537</v>
      </c>
    </row>
    <row r="103" spans="1:43" ht="14" customHeight="1">
      <c r="A103" s="177">
        <f t="shared" si="2"/>
        <v>100</v>
      </c>
      <c r="B103" s="185">
        <v>45784</v>
      </c>
      <c r="C103" s="178" t="s">
        <v>477</v>
      </c>
      <c r="D103" s="18">
        <f>YEAR(PA[[#This Row],[Date]])</f>
        <v>2025</v>
      </c>
      <c r="E103" s="178" t="s">
        <v>361</v>
      </c>
      <c r="F103" s="178" t="s">
        <v>361</v>
      </c>
      <c r="G103" s="179">
        <v>45778</v>
      </c>
      <c r="H103" s="176">
        <f>DAY(EOMONTH(PA[[#This Row],[Month Year]],0))</f>
        <v>31</v>
      </c>
      <c r="I103" s="180">
        <f>VLOOKUP(PA[[#This Row],[Date]],Raw_Data[#All],9,0)</f>
        <v>0.2638888888888889</v>
      </c>
      <c r="J103" s="180">
        <f>VLOOKUP(PA[[#This Row],[Date]],Raw_Data[#All],10,0)</f>
        <v>0.80277777777777781</v>
      </c>
      <c r="K103" s="74">
        <f>IFERROR((PA[[#This Row],[Sunset Time (POA&lt;20 W/m2)]]-PA[[#This Row],[Sunrise Time (POA&gt;20 W/m2)]])*24,"")</f>
        <v>12.933333333333335</v>
      </c>
      <c r="L103" s="178" t="s">
        <v>419</v>
      </c>
      <c r="M103" s="178" t="s">
        <v>414</v>
      </c>
      <c r="N103" s="178" t="s">
        <v>395</v>
      </c>
      <c r="O103" s="178" t="s">
        <v>417</v>
      </c>
      <c r="P103" s="178" t="s">
        <v>404</v>
      </c>
      <c r="Q103" s="178"/>
      <c r="R103" s="176">
        <f>IF((PA[[#This Row],[String Type(If String BD)]]&amp;PA[[#This Row],[Equipment (If any BD other than PV  array and inv)]])="",1,0)</f>
        <v>0</v>
      </c>
      <c r="S103" s="6">
        <f>IF(PA[[#This Row],[String Type(If String BD)]]="",1,0)</f>
        <v>0</v>
      </c>
      <c r="T10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3" s="68">
        <f>IFERROR(VLOOKUP(PA[[#This Row],[Affected Equipment ]],'Basic Data '!$A$1:$B$1846,2,0),"")</f>
        <v>31.32</v>
      </c>
      <c r="V103" s="143">
        <f>IFERROR(VLOOKUP(PA[[#This Row],[Affected Equipment ]],'Basic Data '!$A$1:$C$1846,3,0),"")</f>
        <v>9.3467147730019601E-5</v>
      </c>
      <c r="W103" s="178" t="s">
        <v>398</v>
      </c>
      <c r="X103" s="110" t="s">
        <v>410</v>
      </c>
      <c r="Y103" s="183" t="s">
        <v>411</v>
      </c>
      <c r="Z103" s="109">
        <v>0.2638888888888889</v>
      </c>
      <c r="AA103" s="109">
        <v>0.2638888888888889</v>
      </c>
      <c r="AB103" s="109">
        <v>0.2638888888888889</v>
      </c>
      <c r="AC103" s="109">
        <v>0.80277777777777781</v>
      </c>
      <c r="AD103" s="82">
        <f>IF(PA[[#This Row],[Acknowledgement Time ]]="NA","",(PA[[#This Row],[Acknowledgement Time ]]-PA[[#This Row],[Fault Time]])*24)</f>
        <v>0</v>
      </c>
      <c r="AE103" s="82">
        <f>IF(PA[[#This Row],[Work Start time on Fault]]="NA","",(PA[[#This Row],[Work Start time on Fault]]-PA[[#This Row],[Fault Time]])*24)</f>
        <v>0</v>
      </c>
      <c r="AF103" s="111">
        <f>IF(PA[[#This Row],[Status]]="Open","",(PA[[#This Row],[Work Completion time on fault]]-PA[[#This Row],[Fault Time]])*24)</f>
        <v>12.933333333333335</v>
      </c>
      <c r="AG103" s="82">
        <f>IFERROR((PA[[#This Row],[Work Completion time on fault]]-PA[[#This Row],[Fault Time]])*24,"")</f>
        <v>12.933333333333335</v>
      </c>
      <c r="AH103" s="183" t="s">
        <v>2660</v>
      </c>
      <c r="AI103" s="178" t="s">
        <v>422</v>
      </c>
      <c r="AJ103" s="68">
        <f>IFERROR(PA[[#This Row],[Breakdown Time]]*PA[[#This Row],[Plant Equivalent Weightage]],"")</f>
        <v>1.2088417773082538E-3</v>
      </c>
      <c r="AK103" s="117">
        <v>7.21</v>
      </c>
      <c r="AL103" s="116">
        <f>IF(PA[[#This Row],[Lost PoA(Wh/m2)]]&gt;0,_xlfn.XLOOKUP($B103,'Daily KPI'!$A:$A,'Daily KPI'!$AE:$AE)*PA[[#This Row],[Lost PoA(Wh/m2)]]*U103,0)</f>
        <v>184.5970404145057</v>
      </c>
      <c r="AM103" s="176" t="s">
        <v>2537</v>
      </c>
    </row>
    <row r="104" spans="1:43" ht="14" customHeight="1">
      <c r="A104" s="177">
        <f t="shared" si="2"/>
        <v>101</v>
      </c>
      <c r="B104" s="185">
        <v>45784</v>
      </c>
      <c r="C104" s="178" t="s">
        <v>477</v>
      </c>
      <c r="D104" s="18">
        <f>YEAR(PA[[#This Row],[Date]])</f>
        <v>2025</v>
      </c>
      <c r="E104" s="178" t="s">
        <v>361</v>
      </c>
      <c r="F104" s="178" t="s">
        <v>361</v>
      </c>
      <c r="G104" s="179">
        <v>45778</v>
      </c>
      <c r="H104" s="176">
        <f>DAY(EOMONTH(PA[[#This Row],[Month Year]],0))</f>
        <v>31</v>
      </c>
      <c r="I104" s="180">
        <f>VLOOKUP(PA[[#This Row],[Date]],Raw_Data[#All],9,0)</f>
        <v>0.2638888888888889</v>
      </c>
      <c r="J104" s="180">
        <f>VLOOKUP(PA[[#This Row],[Date]],Raw_Data[#All],10,0)</f>
        <v>0.80277777777777781</v>
      </c>
      <c r="K104" s="74">
        <f>IFERROR((PA[[#This Row],[Sunset Time (POA&lt;20 W/m2)]]-PA[[#This Row],[Sunrise Time (POA&gt;20 W/m2)]])*24,"")</f>
        <v>12.933333333333335</v>
      </c>
      <c r="L104" s="178" t="s">
        <v>419</v>
      </c>
      <c r="M104" s="178" t="s">
        <v>414</v>
      </c>
      <c r="N104" s="178" t="s">
        <v>402</v>
      </c>
      <c r="O104" s="178" t="s">
        <v>406</v>
      </c>
      <c r="P104" s="178" t="s">
        <v>404</v>
      </c>
      <c r="Q104" s="178"/>
      <c r="R104" s="176">
        <f>IF((PA[[#This Row],[String Type(If String BD)]]&amp;PA[[#This Row],[Equipment (If any BD other than PV  array and inv)]])="",1,0)</f>
        <v>0</v>
      </c>
      <c r="S104" s="6">
        <f>IF(PA[[#This Row],[String Type(If String BD)]]="",1,0)</f>
        <v>0</v>
      </c>
      <c r="T10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4" s="68">
        <f>IFERROR(VLOOKUP(PA[[#This Row],[Affected Equipment ]],'Basic Data '!$A$1:$B$1846,2,0),"")</f>
        <v>31.32</v>
      </c>
      <c r="V104" s="143">
        <f>IFERROR(VLOOKUP(PA[[#This Row],[Affected Equipment ]],'Basic Data '!$A$1:$C$1846,3,0),"")</f>
        <v>9.3467147730019601E-5</v>
      </c>
      <c r="W104" s="178" t="s">
        <v>398</v>
      </c>
      <c r="X104" s="110" t="s">
        <v>410</v>
      </c>
      <c r="Y104" s="183" t="s">
        <v>411</v>
      </c>
      <c r="Z104" s="109">
        <v>0.2638888888888889</v>
      </c>
      <c r="AA104" s="109">
        <v>0.2638888888888889</v>
      </c>
      <c r="AB104" s="109">
        <v>0.2638888888888889</v>
      </c>
      <c r="AC104" s="109">
        <v>0.80277777777777781</v>
      </c>
      <c r="AD104" s="82">
        <f>IF(PA[[#This Row],[Acknowledgement Time ]]="NA","",(PA[[#This Row],[Acknowledgement Time ]]-PA[[#This Row],[Fault Time]])*24)</f>
        <v>0</v>
      </c>
      <c r="AE104" s="82">
        <f>IF(PA[[#This Row],[Work Start time on Fault]]="NA","",(PA[[#This Row],[Work Start time on Fault]]-PA[[#This Row],[Fault Time]])*24)</f>
        <v>0</v>
      </c>
      <c r="AF104" s="111">
        <f>IF(PA[[#This Row],[Status]]="Open","",(PA[[#This Row],[Work Completion time on fault]]-PA[[#This Row],[Fault Time]])*24)</f>
        <v>12.933333333333335</v>
      </c>
      <c r="AG104" s="82">
        <f>IFERROR((PA[[#This Row],[Work Completion time on fault]]-PA[[#This Row],[Fault Time]])*24,"")</f>
        <v>12.933333333333335</v>
      </c>
      <c r="AH104" s="183" t="s">
        <v>2660</v>
      </c>
      <c r="AI104" s="178" t="s">
        <v>422</v>
      </c>
      <c r="AJ104" s="68">
        <f>IFERROR(PA[[#This Row],[Breakdown Time]]*PA[[#This Row],[Plant Equivalent Weightage]],"")</f>
        <v>1.2088417773082538E-3</v>
      </c>
      <c r="AK104" s="117">
        <v>7.21</v>
      </c>
      <c r="AL104" s="116">
        <f>IF(PA[[#This Row],[Lost PoA(Wh/m2)]]&gt;0,_xlfn.XLOOKUP($B104,'Daily KPI'!$A:$A,'Daily KPI'!$AE:$AE)*PA[[#This Row],[Lost PoA(Wh/m2)]]*U104,0)</f>
        <v>184.5970404145057</v>
      </c>
      <c r="AM104" s="176" t="s">
        <v>2537</v>
      </c>
    </row>
    <row r="105" spans="1:43" ht="14" customHeight="1">
      <c r="A105" s="177">
        <f t="shared" si="2"/>
        <v>102</v>
      </c>
      <c r="B105" s="185">
        <v>45784</v>
      </c>
      <c r="C105" s="178" t="s">
        <v>477</v>
      </c>
      <c r="D105" s="18">
        <f>YEAR(PA[[#This Row],[Date]])</f>
        <v>2025</v>
      </c>
      <c r="E105" s="178" t="s">
        <v>361</v>
      </c>
      <c r="F105" s="178" t="s">
        <v>361</v>
      </c>
      <c r="G105" s="179">
        <v>45778</v>
      </c>
      <c r="H105" s="176">
        <f>DAY(EOMONTH(PA[[#This Row],[Month Year]],0))</f>
        <v>31</v>
      </c>
      <c r="I105" s="180">
        <f>VLOOKUP(PA[[#This Row],[Date]],Raw_Data[#All],9,0)</f>
        <v>0.2638888888888889</v>
      </c>
      <c r="J105" s="180">
        <f>VLOOKUP(PA[[#This Row],[Date]],Raw_Data[#All],10,0)</f>
        <v>0.80277777777777781</v>
      </c>
      <c r="K105" s="74">
        <f>IFERROR((PA[[#This Row],[Sunset Time (POA&lt;20 W/m2)]]-PA[[#This Row],[Sunrise Time (POA&gt;20 W/m2)]])*24,"")</f>
        <v>12.933333333333335</v>
      </c>
      <c r="L105" s="178" t="s">
        <v>416</v>
      </c>
      <c r="M105" s="178" t="s">
        <v>414</v>
      </c>
      <c r="N105" s="178" t="s">
        <v>402</v>
      </c>
      <c r="O105" s="178" t="s">
        <v>403</v>
      </c>
      <c r="P105" s="178" t="s">
        <v>448</v>
      </c>
      <c r="Q105" s="178"/>
      <c r="R105" s="176">
        <f>IF((PA[[#This Row],[String Type(If String BD)]]&amp;PA[[#This Row],[Equipment (If any BD other than PV  array and inv)]])="",1,0)</f>
        <v>0</v>
      </c>
      <c r="S105" s="6">
        <f>IF(PA[[#This Row],[String Type(If String BD)]]="",1,0)</f>
        <v>0</v>
      </c>
      <c r="T10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05" s="68">
        <f>IFERROR(VLOOKUP(PA[[#This Row],[Affected Equipment ]],'Basic Data '!$A$1:$B$1846,2,0),"")</f>
        <v>31.61</v>
      </c>
      <c r="V105" s="143">
        <f>IFERROR(VLOOKUP(PA[[#This Row],[Affected Equipment ]],'Basic Data '!$A$1:$C$1846,3,0),"")</f>
        <v>9.4332584283075336E-5</v>
      </c>
      <c r="W105" s="178" t="s">
        <v>398</v>
      </c>
      <c r="X105" s="110" t="s">
        <v>410</v>
      </c>
      <c r="Y105" s="183" t="s">
        <v>411</v>
      </c>
      <c r="Z105" s="109">
        <v>0.2638888888888889</v>
      </c>
      <c r="AA105" s="109">
        <v>0.2638888888888889</v>
      </c>
      <c r="AB105" s="109">
        <v>0.2638888888888889</v>
      </c>
      <c r="AC105" s="109">
        <v>0.80277777777777781</v>
      </c>
      <c r="AD105" s="82">
        <f>IF(PA[[#This Row],[Acknowledgement Time ]]="NA","",(PA[[#This Row],[Acknowledgement Time ]]-PA[[#This Row],[Fault Time]])*24)</f>
        <v>0</v>
      </c>
      <c r="AE105" s="82">
        <f>IF(PA[[#This Row],[Work Start time on Fault]]="NA","",(PA[[#This Row],[Work Start time on Fault]]-PA[[#This Row],[Fault Time]])*24)</f>
        <v>0</v>
      </c>
      <c r="AF105" s="111">
        <f>IF(PA[[#This Row],[Status]]="Open","",(PA[[#This Row],[Work Completion time on fault]]-PA[[#This Row],[Fault Time]])*24)</f>
        <v>12.933333333333335</v>
      </c>
      <c r="AG105" s="82">
        <f>IFERROR((PA[[#This Row],[Work Completion time on fault]]-PA[[#This Row],[Fault Time]])*24,"")</f>
        <v>12.933333333333335</v>
      </c>
      <c r="AH105" s="183" t="s">
        <v>2660</v>
      </c>
      <c r="AI105" s="178" t="s">
        <v>422</v>
      </c>
      <c r="AJ105" s="68">
        <f>IFERROR(PA[[#This Row],[Breakdown Time]]*PA[[#This Row],[Plant Equivalent Weightage]],"")</f>
        <v>1.2200347567277745E-3</v>
      </c>
      <c r="AK105" s="117">
        <v>7.21</v>
      </c>
      <c r="AL105" s="116">
        <f>IF(PA[[#This Row],[Lost PoA(Wh/m2)]]&gt;0,_xlfn.XLOOKUP($B105,'Daily KPI'!$A:$A,'Daily KPI'!$AE:$AE)*PA[[#This Row],[Lost PoA(Wh/m2)]]*U105,0)</f>
        <v>186.30627227019556</v>
      </c>
      <c r="AM105" s="176" t="s">
        <v>2537</v>
      </c>
    </row>
    <row r="106" spans="1:43" ht="14" customHeight="1">
      <c r="A106" s="177">
        <f t="shared" si="2"/>
        <v>103</v>
      </c>
      <c r="B106" s="185">
        <v>45784</v>
      </c>
      <c r="C106" s="178" t="s">
        <v>477</v>
      </c>
      <c r="D106" s="18">
        <f>YEAR(PA[[#This Row],[Date]])</f>
        <v>2025</v>
      </c>
      <c r="E106" s="178" t="s">
        <v>361</v>
      </c>
      <c r="F106" s="178" t="s">
        <v>361</v>
      </c>
      <c r="G106" s="179">
        <v>45778</v>
      </c>
      <c r="H106" s="176">
        <f>DAY(EOMONTH(PA[[#This Row],[Month Year]],0))</f>
        <v>31</v>
      </c>
      <c r="I106" s="180">
        <f>VLOOKUP(PA[[#This Row],[Date]],Raw_Data[#All],9,0)</f>
        <v>0.2638888888888889</v>
      </c>
      <c r="J106" s="180">
        <f>VLOOKUP(PA[[#This Row],[Date]],Raw_Data[#All],10,0)</f>
        <v>0.80277777777777781</v>
      </c>
      <c r="K106" s="74">
        <f>IFERROR((PA[[#This Row],[Sunset Time (POA&lt;20 W/m2)]]-PA[[#This Row],[Sunrise Time (POA&gt;20 W/m2)]])*24,"")</f>
        <v>12.933333333333335</v>
      </c>
      <c r="L106" s="178" t="s">
        <v>400</v>
      </c>
      <c r="M106" s="178" t="s">
        <v>408</v>
      </c>
      <c r="N106" s="178" t="s">
        <v>402</v>
      </c>
      <c r="O106" s="178" t="s">
        <v>412</v>
      </c>
      <c r="P106" s="178" t="s">
        <v>404</v>
      </c>
      <c r="Q106" s="178"/>
      <c r="R106" s="176">
        <f>IF((PA[[#This Row],[String Type(If String BD)]]&amp;PA[[#This Row],[Equipment (If any BD other than PV  array and inv)]])="",1,0)</f>
        <v>0</v>
      </c>
      <c r="S106" s="6">
        <f>IF(PA[[#This Row],[String Type(If String BD)]]="",1,0)</f>
        <v>0</v>
      </c>
      <c r="T10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6" s="68">
        <f>IFERROR(VLOOKUP(PA[[#This Row],[Affected Equipment ]],'Basic Data '!$A$1:$B$1846,2,0),"")</f>
        <v>31.32</v>
      </c>
      <c r="V106" s="143">
        <f>IFERROR(VLOOKUP(PA[[#This Row],[Affected Equipment ]],'Basic Data '!$A$1:$C$1846,3,0),"")</f>
        <v>9.3467147730019601E-5</v>
      </c>
      <c r="W106" s="178" t="s">
        <v>398</v>
      </c>
      <c r="X106" s="110" t="s">
        <v>410</v>
      </c>
      <c r="Y106" s="183" t="s">
        <v>411</v>
      </c>
      <c r="Z106" s="109">
        <v>0.2638888888888889</v>
      </c>
      <c r="AA106" s="109">
        <v>0.2638888888888889</v>
      </c>
      <c r="AB106" s="109">
        <v>0.2638888888888889</v>
      </c>
      <c r="AC106" s="109">
        <v>0.80277777777777781</v>
      </c>
      <c r="AD106" s="82">
        <f>IF(PA[[#This Row],[Acknowledgement Time ]]="NA","",(PA[[#This Row],[Acknowledgement Time ]]-PA[[#This Row],[Fault Time]])*24)</f>
        <v>0</v>
      </c>
      <c r="AE106" s="82">
        <f>IF(PA[[#This Row],[Work Start time on Fault]]="NA","",(PA[[#This Row],[Work Start time on Fault]]-PA[[#This Row],[Fault Time]])*24)</f>
        <v>0</v>
      </c>
      <c r="AF106" s="111">
        <f>IF(PA[[#This Row],[Status]]="Open","",(PA[[#This Row],[Work Completion time on fault]]-PA[[#This Row],[Fault Time]])*24)</f>
        <v>12.933333333333335</v>
      </c>
      <c r="AG106" s="82">
        <f>IFERROR((PA[[#This Row],[Work Completion time on fault]]-PA[[#This Row],[Fault Time]])*24,"")</f>
        <v>12.933333333333335</v>
      </c>
      <c r="AH106" s="183" t="s">
        <v>2660</v>
      </c>
      <c r="AI106" s="178" t="s">
        <v>422</v>
      </c>
      <c r="AJ106" s="68">
        <f>IFERROR(PA[[#This Row],[Breakdown Time]]*PA[[#This Row],[Plant Equivalent Weightage]],"")</f>
        <v>1.2088417773082538E-3</v>
      </c>
      <c r="AK106" s="117">
        <v>7.21</v>
      </c>
      <c r="AL106" s="116">
        <f>IF(PA[[#This Row],[Lost PoA(Wh/m2)]]&gt;0,_xlfn.XLOOKUP($B106,'Daily KPI'!$A:$A,'Daily KPI'!$AE:$AE)*PA[[#This Row],[Lost PoA(Wh/m2)]]*U106,0)</f>
        <v>184.5970404145057</v>
      </c>
      <c r="AM106" s="176" t="s">
        <v>2537</v>
      </c>
    </row>
    <row r="107" spans="1:43" ht="14" customHeight="1">
      <c r="A107" s="177">
        <f t="shared" si="2"/>
        <v>104</v>
      </c>
      <c r="B107" s="185">
        <v>45784</v>
      </c>
      <c r="C107" s="178" t="s">
        <v>477</v>
      </c>
      <c r="D107" s="18">
        <f>YEAR(PA[[#This Row],[Date]])</f>
        <v>2025</v>
      </c>
      <c r="E107" s="178" t="s">
        <v>361</v>
      </c>
      <c r="F107" s="178" t="s">
        <v>361</v>
      </c>
      <c r="G107" s="179">
        <v>45778</v>
      </c>
      <c r="H107" s="176">
        <f>DAY(EOMONTH(PA[[#This Row],[Month Year]],0))</f>
        <v>31</v>
      </c>
      <c r="I107" s="180">
        <f>VLOOKUP(PA[[#This Row],[Date]],Raw_Data[#All],9,0)</f>
        <v>0.2638888888888889</v>
      </c>
      <c r="J107" s="180">
        <f>VLOOKUP(PA[[#This Row],[Date]],Raw_Data[#All],10,0)</f>
        <v>0.80277777777777781</v>
      </c>
      <c r="K107" s="74">
        <f>IFERROR((PA[[#This Row],[Sunset Time (POA&lt;20 W/m2)]]-PA[[#This Row],[Sunrise Time (POA&gt;20 W/m2)]])*24,"")</f>
        <v>12.933333333333335</v>
      </c>
      <c r="L107" s="178" t="s">
        <v>400</v>
      </c>
      <c r="M107" s="178" t="s">
        <v>408</v>
      </c>
      <c r="N107" s="178" t="s">
        <v>402</v>
      </c>
      <c r="O107" s="178" t="s">
        <v>412</v>
      </c>
      <c r="P107" s="178" t="s">
        <v>404</v>
      </c>
      <c r="Q107" s="178"/>
      <c r="R107" s="176">
        <f>IF((PA[[#This Row],[String Type(If String BD)]]&amp;PA[[#This Row],[Equipment (If any BD other than PV  array and inv)]])="",1,0)</f>
        <v>0</v>
      </c>
      <c r="S107" s="6">
        <f>IF(PA[[#This Row],[String Type(If String BD)]]="",1,0)</f>
        <v>0</v>
      </c>
      <c r="T10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7" s="68">
        <f>IFERROR(VLOOKUP(PA[[#This Row],[Affected Equipment ]],'Basic Data '!$A$1:$B$1846,2,0),"")</f>
        <v>31.32</v>
      </c>
      <c r="V107" s="143">
        <f>IFERROR(VLOOKUP(PA[[#This Row],[Affected Equipment ]],'Basic Data '!$A$1:$C$1846,3,0),"")</f>
        <v>9.3467147730019601E-5</v>
      </c>
      <c r="W107" s="178" t="s">
        <v>398</v>
      </c>
      <c r="X107" s="110" t="s">
        <v>410</v>
      </c>
      <c r="Y107" s="183" t="s">
        <v>411</v>
      </c>
      <c r="Z107" s="109">
        <v>0.2638888888888889</v>
      </c>
      <c r="AA107" s="109">
        <v>0.2638888888888889</v>
      </c>
      <c r="AB107" s="109">
        <v>0.2638888888888889</v>
      </c>
      <c r="AC107" s="109">
        <v>0.80277777777777781</v>
      </c>
      <c r="AD107" s="82">
        <f>IF(PA[[#This Row],[Acknowledgement Time ]]="NA","",(PA[[#This Row],[Acknowledgement Time ]]-PA[[#This Row],[Fault Time]])*24)</f>
        <v>0</v>
      </c>
      <c r="AE107" s="82">
        <f>IF(PA[[#This Row],[Work Start time on Fault]]="NA","",(PA[[#This Row],[Work Start time on Fault]]-PA[[#This Row],[Fault Time]])*24)</f>
        <v>0</v>
      </c>
      <c r="AF107" s="111">
        <f>IF(PA[[#This Row],[Status]]="Open","",(PA[[#This Row],[Work Completion time on fault]]-PA[[#This Row],[Fault Time]])*24)</f>
        <v>12.933333333333335</v>
      </c>
      <c r="AG107" s="82">
        <f>IFERROR((PA[[#This Row],[Work Completion time on fault]]-PA[[#This Row],[Fault Time]])*24,"")</f>
        <v>12.933333333333335</v>
      </c>
      <c r="AH107" s="183" t="s">
        <v>2660</v>
      </c>
      <c r="AI107" s="178" t="s">
        <v>422</v>
      </c>
      <c r="AJ107" s="68">
        <f>IFERROR(PA[[#This Row],[Breakdown Time]]*PA[[#This Row],[Plant Equivalent Weightage]],"")</f>
        <v>1.2088417773082538E-3</v>
      </c>
      <c r="AK107" s="117">
        <v>7.21</v>
      </c>
      <c r="AL107" s="116">
        <f>IF(PA[[#This Row],[Lost PoA(Wh/m2)]]&gt;0,_xlfn.XLOOKUP($B107,'Daily KPI'!$A:$A,'Daily KPI'!$AE:$AE)*PA[[#This Row],[Lost PoA(Wh/m2)]]*U107,0)</f>
        <v>184.5970404145057</v>
      </c>
      <c r="AM107" s="176" t="s">
        <v>2537</v>
      </c>
    </row>
    <row r="108" spans="1:43" ht="14" customHeight="1">
      <c r="A108" s="177">
        <f t="shared" si="2"/>
        <v>105</v>
      </c>
      <c r="B108" s="185">
        <v>45784</v>
      </c>
      <c r="C108" s="178" t="s">
        <v>477</v>
      </c>
      <c r="D108" s="18">
        <f>YEAR(PA[[#This Row],[Date]])</f>
        <v>2025</v>
      </c>
      <c r="E108" s="178" t="s">
        <v>361</v>
      </c>
      <c r="F108" s="178" t="s">
        <v>361</v>
      </c>
      <c r="G108" s="179">
        <v>45778</v>
      </c>
      <c r="H108" s="176">
        <f>DAY(EOMONTH(PA[[#This Row],[Month Year]],0))</f>
        <v>31</v>
      </c>
      <c r="I108" s="180">
        <f>VLOOKUP(PA[[#This Row],[Date]],Raw_Data[#All],9,0)</f>
        <v>0.2638888888888889</v>
      </c>
      <c r="J108" s="180">
        <f>VLOOKUP(PA[[#This Row],[Date]],Raw_Data[#All],10,0)</f>
        <v>0.80277777777777781</v>
      </c>
      <c r="K108" s="74">
        <f>IFERROR((PA[[#This Row],[Sunset Time (POA&lt;20 W/m2)]]-PA[[#This Row],[Sunrise Time (POA&gt;20 W/m2)]])*24,"")</f>
        <v>12.933333333333335</v>
      </c>
      <c r="L108" s="178" t="s">
        <v>400</v>
      </c>
      <c r="M108" s="178" t="s">
        <v>408</v>
      </c>
      <c r="N108" s="178" t="s">
        <v>402</v>
      </c>
      <c r="O108" s="178" t="s">
        <v>413</v>
      </c>
      <c r="P108" s="178" t="s">
        <v>404</v>
      </c>
      <c r="Q108" s="178"/>
      <c r="R108" s="176">
        <f>IF((PA[[#This Row],[String Type(If String BD)]]&amp;PA[[#This Row],[Equipment (If any BD other than PV  array and inv)]])="",1,0)</f>
        <v>0</v>
      </c>
      <c r="S108" s="6">
        <f>IF(PA[[#This Row],[String Type(If String BD)]]="",1,0)</f>
        <v>0</v>
      </c>
      <c r="T10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8" s="68">
        <f>IFERROR(VLOOKUP(PA[[#This Row],[Affected Equipment ]],'Basic Data '!$A$1:$B$1846,2,0),"")</f>
        <v>31.32</v>
      </c>
      <c r="V108" s="143">
        <f>IFERROR(VLOOKUP(PA[[#This Row],[Affected Equipment ]],'Basic Data '!$A$1:$C$1846,3,0),"")</f>
        <v>9.3467147730019601E-5</v>
      </c>
      <c r="W108" s="178" t="s">
        <v>398</v>
      </c>
      <c r="X108" s="110" t="s">
        <v>410</v>
      </c>
      <c r="Y108" s="183" t="s">
        <v>411</v>
      </c>
      <c r="Z108" s="109">
        <v>0.2638888888888889</v>
      </c>
      <c r="AA108" s="109">
        <v>0.2638888888888889</v>
      </c>
      <c r="AB108" s="109">
        <v>0.2638888888888889</v>
      </c>
      <c r="AC108" s="109">
        <v>0.80277777777777781</v>
      </c>
      <c r="AD108" s="82">
        <f>IF(PA[[#This Row],[Acknowledgement Time ]]="NA","",(PA[[#This Row],[Acknowledgement Time ]]-PA[[#This Row],[Fault Time]])*24)</f>
        <v>0</v>
      </c>
      <c r="AE108" s="82">
        <f>IF(PA[[#This Row],[Work Start time on Fault]]="NA","",(PA[[#This Row],[Work Start time on Fault]]-PA[[#This Row],[Fault Time]])*24)</f>
        <v>0</v>
      </c>
      <c r="AF108" s="111">
        <f>IF(PA[[#This Row],[Status]]="Open","",(PA[[#This Row],[Work Completion time on fault]]-PA[[#This Row],[Fault Time]])*24)</f>
        <v>12.933333333333335</v>
      </c>
      <c r="AG108" s="82">
        <f>IFERROR((PA[[#This Row],[Work Completion time on fault]]-PA[[#This Row],[Fault Time]])*24,"")</f>
        <v>12.933333333333335</v>
      </c>
      <c r="AH108" s="183" t="s">
        <v>2660</v>
      </c>
      <c r="AI108" s="178" t="s">
        <v>422</v>
      </c>
      <c r="AJ108" s="68">
        <f>IFERROR(PA[[#This Row],[Breakdown Time]]*PA[[#This Row],[Plant Equivalent Weightage]],"")</f>
        <v>1.2088417773082538E-3</v>
      </c>
      <c r="AK108" s="117">
        <v>7.21</v>
      </c>
      <c r="AL108" s="116">
        <f>IF(PA[[#This Row],[Lost PoA(Wh/m2)]]&gt;0,_xlfn.XLOOKUP($B108,'Daily KPI'!$A:$A,'Daily KPI'!$AE:$AE)*PA[[#This Row],[Lost PoA(Wh/m2)]]*U108,0)</f>
        <v>184.5970404145057</v>
      </c>
      <c r="AM108" s="176" t="s">
        <v>2537</v>
      </c>
    </row>
    <row r="109" spans="1:43" ht="14" customHeight="1">
      <c r="A109" s="177">
        <f t="shared" si="2"/>
        <v>106</v>
      </c>
      <c r="B109" s="185">
        <v>45784</v>
      </c>
      <c r="C109" s="178" t="s">
        <v>477</v>
      </c>
      <c r="D109" s="18">
        <f>YEAR(PA[[#This Row],[Date]])</f>
        <v>2025</v>
      </c>
      <c r="E109" s="178" t="s">
        <v>361</v>
      </c>
      <c r="F109" s="178" t="s">
        <v>361</v>
      </c>
      <c r="G109" s="179">
        <v>45778</v>
      </c>
      <c r="H109" s="176">
        <f>DAY(EOMONTH(PA[[#This Row],[Month Year]],0))</f>
        <v>31</v>
      </c>
      <c r="I109" s="180">
        <f>VLOOKUP(PA[[#This Row],[Date]],Raw_Data[#All],9,0)</f>
        <v>0.2638888888888889</v>
      </c>
      <c r="J109" s="180">
        <f>VLOOKUP(PA[[#This Row],[Date]],Raw_Data[#All],10,0)</f>
        <v>0.80277777777777781</v>
      </c>
      <c r="K109" s="74">
        <f>IFERROR((PA[[#This Row],[Sunset Time (POA&lt;20 W/m2)]]-PA[[#This Row],[Sunrise Time (POA&gt;20 W/m2)]])*24,"")</f>
        <v>12.933333333333335</v>
      </c>
      <c r="L109" s="178" t="s">
        <v>400</v>
      </c>
      <c r="M109" s="178" t="s">
        <v>408</v>
      </c>
      <c r="N109" s="178" t="s">
        <v>395</v>
      </c>
      <c r="O109" s="178" t="s">
        <v>409</v>
      </c>
      <c r="P109" s="178" t="s">
        <v>404</v>
      </c>
      <c r="Q109" s="178"/>
      <c r="R109" s="176">
        <f>IF((PA[[#This Row],[String Type(If String BD)]]&amp;PA[[#This Row],[Equipment (If any BD other than PV  array and inv)]])="",1,0)</f>
        <v>0</v>
      </c>
      <c r="S109" s="6">
        <f>IF(PA[[#This Row],[String Type(If String BD)]]="",1,0)</f>
        <v>0</v>
      </c>
      <c r="T10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9" s="68">
        <f>IFERROR(VLOOKUP(PA[[#This Row],[Affected Equipment ]],'Basic Data '!$A$1:$B$1846,2,0),"")</f>
        <v>31.32</v>
      </c>
      <c r="V109" s="143">
        <f>IFERROR(VLOOKUP(PA[[#This Row],[Affected Equipment ]],'Basic Data '!$A$1:$C$1846,3,0),"")</f>
        <v>9.3467147730019601E-5</v>
      </c>
      <c r="W109" s="178" t="s">
        <v>398</v>
      </c>
      <c r="X109" s="110" t="s">
        <v>410</v>
      </c>
      <c r="Y109" s="183" t="s">
        <v>411</v>
      </c>
      <c r="Z109" s="109">
        <v>0.2638888888888889</v>
      </c>
      <c r="AA109" s="109">
        <v>0.2638888888888889</v>
      </c>
      <c r="AB109" s="109">
        <v>0.2638888888888889</v>
      </c>
      <c r="AC109" s="109">
        <v>0.80277777777777781</v>
      </c>
      <c r="AD109" s="82">
        <f>IF(PA[[#This Row],[Acknowledgement Time ]]="NA","",(PA[[#This Row],[Acknowledgement Time ]]-PA[[#This Row],[Fault Time]])*24)</f>
        <v>0</v>
      </c>
      <c r="AE109" s="82">
        <f>IF(PA[[#This Row],[Work Start time on Fault]]="NA","",(PA[[#This Row],[Work Start time on Fault]]-PA[[#This Row],[Fault Time]])*24)</f>
        <v>0</v>
      </c>
      <c r="AF109" s="111">
        <f>IF(PA[[#This Row],[Status]]="Open","",(PA[[#This Row],[Work Completion time on fault]]-PA[[#This Row],[Fault Time]])*24)</f>
        <v>12.933333333333335</v>
      </c>
      <c r="AG109" s="82">
        <f>IFERROR((PA[[#This Row],[Work Completion time on fault]]-PA[[#This Row],[Fault Time]])*24,"")</f>
        <v>12.933333333333335</v>
      </c>
      <c r="AH109" s="183" t="s">
        <v>2660</v>
      </c>
      <c r="AI109" s="178" t="s">
        <v>422</v>
      </c>
      <c r="AJ109" s="68">
        <f>IFERROR(PA[[#This Row],[Breakdown Time]]*PA[[#This Row],[Plant Equivalent Weightage]],"")</f>
        <v>1.2088417773082538E-3</v>
      </c>
      <c r="AK109" s="117">
        <v>7.21</v>
      </c>
      <c r="AL109" s="116">
        <f>IF(PA[[#This Row],[Lost PoA(Wh/m2)]]&gt;0,_xlfn.XLOOKUP($B109,'Daily KPI'!$A:$A,'Daily KPI'!$AE:$AE)*PA[[#This Row],[Lost PoA(Wh/m2)]]*U109,0)</f>
        <v>184.5970404145057</v>
      </c>
      <c r="AM109" s="176" t="s">
        <v>2537</v>
      </c>
    </row>
    <row r="110" spans="1:43" ht="14" customHeight="1">
      <c r="A110" s="177">
        <f t="shared" si="2"/>
        <v>107</v>
      </c>
      <c r="B110" s="185">
        <v>45784</v>
      </c>
      <c r="C110" s="178" t="s">
        <v>477</v>
      </c>
      <c r="D110" s="18">
        <f>YEAR(PA[[#This Row],[Date]])</f>
        <v>2025</v>
      </c>
      <c r="E110" s="178" t="s">
        <v>361</v>
      </c>
      <c r="F110" s="178" t="s">
        <v>361</v>
      </c>
      <c r="G110" s="179">
        <v>45778</v>
      </c>
      <c r="H110" s="176">
        <f>DAY(EOMONTH(PA[[#This Row],[Month Year]],0))</f>
        <v>31</v>
      </c>
      <c r="I110" s="180">
        <f>VLOOKUP(PA[[#This Row],[Date]],Raw_Data[#All],9,0)</f>
        <v>0.2638888888888889</v>
      </c>
      <c r="J110" s="180">
        <f>VLOOKUP(PA[[#This Row],[Date]],Raw_Data[#All],10,0)</f>
        <v>0.80277777777777781</v>
      </c>
      <c r="K110" s="74">
        <f>IFERROR((PA[[#This Row],[Sunset Time (POA&lt;20 W/m2)]]-PA[[#This Row],[Sunrise Time (POA&gt;20 W/m2)]])*24,"")</f>
        <v>12.933333333333335</v>
      </c>
      <c r="L110" s="178" t="s">
        <v>407</v>
      </c>
      <c r="M110" s="178" t="s">
        <v>401</v>
      </c>
      <c r="N110" s="178" t="s">
        <v>402</v>
      </c>
      <c r="O110" s="178" t="s">
        <v>415</v>
      </c>
      <c r="P110" s="178" t="s">
        <v>404</v>
      </c>
      <c r="Q110" s="178"/>
      <c r="R110" s="176">
        <f>IF((PA[[#This Row],[String Type(If String BD)]]&amp;PA[[#This Row],[Equipment (If any BD other than PV  array and inv)]])="",1,0)</f>
        <v>0</v>
      </c>
      <c r="S110" s="6">
        <f>IF(PA[[#This Row],[String Type(If String BD)]]="",1,0)</f>
        <v>0</v>
      </c>
      <c r="T1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0" s="68">
        <f>IFERROR(VLOOKUP(PA[[#This Row],[Affected Equipment ]],'Basic Data '!$A$1:$B$1846,2,0),"")</f>
        <v>31.32</v>
      </c>
      <c r="V110" s="143">
        <f>IFERROR(VLOOKUP(PA[[#This Row],[Affected Equipment ]],'Basic Data '!$A$1:$C$1846,3,0),"")</f>
        <v>9.3467147730019601E-5</v>
      </c>
      <c r="W110" s="178" t="s">
        <v>398</v>
      </c>
      <c r="X110" s="110" t="s">
        <v>410</v>
      </c>
      <c r="Y110" s="183" t="s">
        <v>411</v>
      </c>
      <c r="Z110" s="109">
        <v>0.2638888888888889</v>
      </c>
      <c r="AA110" s="109">
        <v>0.2638888888888889</v>
      </c>
      <c r="AB110" s="109">
        <v>0.2638888888888889</v>
      </c>
      <c r="AC110" s="109">
        <v>0.80277777777777781</v>
      </c>
      <c r="AD110" s="82">
        <f>IF(PA[[#This Row],[Acknowledgement Time ]]="NA","",(PA[[#This Row],[Acknowledgement Time ]]-PA[[#This Row],[Fault Time]])*24)</f>
        <v>0</v>
      </c>
      <c r="AE110" s="82">
        <f>IF(PA[[#This Row],[Work Start time on Fault]]="NA","",(PA[[#This Row],[Work Start time on Fault]]-PA[[#This Row],[Fault Time]])*24)</f>
        <v>0</v>
      </c>
      <c r="AF110" s="111">
        <f>IF(PA[[#This Row],[Status]]="Open","",(PA[[#This Row],[Work Completion time on fault]]-PA[[#This Row],[Fault Time]])*24)</f>
        <v>12.933333333333335</v>
      </c>
      <c r="AG110" s="82">
        <f>IFERROR((PA[[#This Row],[Work Completion time on fault]]-PA[[#This Row],[Fault Time]])*24,"")</f>
        <v>12.933333333333335</v>
      </c>
      <c r="AH110" s="183" t="s">
        <v>2660</v>
      </c>
      <c r="AI110" s="178" t="s">
        <v>422</v>
      </c>
      <c r="AJ110" s="68">
        <f>IFERROR(PA[[#This Row],[Breakdown Time]]*PA[[#This Row],[Plant Equivalent Weightage]],"")</f>
        <v>1.2088417773082538E-3</v>
      </c>
      <c r="AK110" s="117">
        <v>7.21</v>
      </c>
      <c r="AL110" s="116">
        <f>IF(PA[[#This Row],[Lost PoA(Wh/m2)]]&gt;0,_xlfn.XLOOKUP($B110,'Daily KPI'!$A:$A,'Daily KPI'!$AE:$AE)*PA[[#This Row],[Lost PoA(Wh/m2)]]*U110,0)</f>
        <v>184.5970404145057</v>
      </c>
      <c r="AM110" s="176" t="s">
        <v>2537</v>
      </c>
    </row>
    <row r="111" spans="1:43" ht="14" customHeight="1">
      <c r="A111" s="177">
        <f t="shared" si="2"/>
        <v>108</v>
      </c>
      <c r="B111" s="185">
        <v>45784</v>
      </c>
      <c r="C111" s="178" t="s">
        <v>477</v>
      </c>
      <c r="D111" s="18">
        <f>YEAR(PA[[#This Row],[Date]])</f>
        <v>2025</v>
      </c>
      <c r="E111" s="178" t="s">
        <v>361</v>
      </c>
      <c r="F111" s="178" t="s">
        <v>361</v>
      </c>
      <c r="G111" s="179">
        <v>45778</v>
      </c>
      <c r="H111" s="176">
        <f>DAY(EOMONTH(PA[[#This Row],[Month Year]],0))</f>
        <v>31</v>
      </c>
      <c r="I111" s="180">
        <f>VLOOKUP(PA[[#This Row],[Date]],Raw_Data[#All],9,0)</f>
        <v>0.2638888888888889</v>
      </c>
      <c r="J111" s="180">
        <f>VLOOKUP(PA[[#This Row],[Date]],Raw_Data[#All],10,0)</f>
        <v>0.80277777777777781</v>
      </c>
      <c r="K111" s="74">
        <f>IFERROR((PA[[#This Row],[Sunset Time (POA&lt;20 W/m2)]]-PA[[#This Row],[Sunrise Time (POA&gt;20 W/m2)]])*24,"")</f>
        <v>12.933333333333335</v>
      </c>
      <c r="L111" s="178" t="s">
        <v>430</v>
      </c>
      <c r="M111" s="178" t="s">
        <v>408</v>
      </c>
      <c r="N111" s="178" t="s">
        <v>395</v>
      </c>
      <c r="O111" s="178" t="s">
        <v>403</v>
      </c>
      <c r="P111" s="178" t="s">
        <v>397</v>
      </c>
      <c r="Q111" s="178"/>
      <c r="R111" s="176">
        <f>IF((PA[[#This Row],[String Type(If String BD)]]&amp;PA[[#This Row],[Equipment (If any BD other than PV  array and inv)]])="",1,0)</f>
        <v>0</v>
      </c>
      <c r="S111" s="6">
        <f>IF(PA[[#This Row],[String Type(If String BD)]]="",1,0)</f>
        <v>0</v>
      </c>
      <c r="T1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1" s="68">
        <f>IFERROR(VLOOKUP(PA[[#This Row],[Affected Equipment ]],'Basic Data '!$A$1:$B$1846,2,0),"")</f>
        <v>25.81</v>
      </c>
      <c r="V111" s="143">
        <f>IFERROR(VLOOKUP(PA[[#This Row],[Affected Equipment ]],'Basic Data '!$A$1:$C$1846,3,0),"")</f>
        <v>7.7023853221960597E-5</v>
      </c>
      <c r="W111" s="178" t="s">
        <v>398</v>
      </c>
      <c r="X111" s="110" t="s">
        <v>410</v>
      </c>
      <c r="Y111" s="183" t="s">
        <v>411</v>
      </c>
      <c r="Z111" s="109">
        <v>0.2638888888888889</v>
      </c>
      <c r="AA111" s="109">
        <v>0.2638888888888889</v>
      </c>
      <c r="AB111" s="109">
        <v>0.2638888888888889</v>
      </c>
      <c r="AC111" s="109">
        <v>0.80277777777777781</v>
      </c>
      <c r="AD111" s="82">
        <f>IF(PA[[#This Row],[Acknowledgement Time ]]="NA","",(PA[[#This Row],[Acknowledgement Time ]]-PA[[#This Row],[Fault Time]])*24)</f>
        <v>0</v>
      </c>
      <c r="AE111" s="82">
        <f>IF(PA[[#This Row],[Work Start time on Fault]]="NA","",(PA[[#This Row],[Work Start time on Fault]]-PA[[#This Row],[Fault Time]])*24)</f>
        <v>0</v>
      </c>
      <c r="AF111" s="111">
        <f>IF(PA[[#This Row],[Status]]="Open","",(PA[[#This Row],[Work Completion time on fault]]-PA[[#This Row],[Fault Time]])*24)</f>
        <v>12.933333333333335</v>
      </c>
      <c r="AG111" s="82">
        <f>IFERROR((PA[[#This Row],[Work Completion time on fault]]-PA[[#This Row],[Fault Time]])*24,"")</f>
        <v>12.933333333333335</v>
      </c>
      <c r="AH111" s="183" t="s">
        <v>2660</v>
      </c>
      <c r="AI111" s="178" t="s">
        <v>422</v>
      </c>
      <c r="AJ111" s="68">
        <f>IFERROR(PA[[#This Row],[Breakdown Time]]*PA[[#This Row],[Plant Equivalent Weightage]],"")</f>
        <v>9.9617516833735726E-4</v>
      </c>
      <c r="AK111" s="117">
        <v>7.21</v>
      </c>
      <c r="AL111" s="116">
        <f>IF(PA[[#This Row],[Lost PoA(Wh/m2)]]&gt;0,_xlfn.XLOOKUP($B111,'Daily KPI'!$A:$A,'Daily KPI'!$AE:$AE)*PA[[#This Row],[Lost PoA(Wh/m2)]]*U111,0)</f>
        <v>152.12163515639821</v>
      </c>
      <c r="AM111" s="176" t="s">
        <v>2537</v>
      </c>
    </row>
    <row r="112" spans="1:43" ht="14" customHeight="1">
      <c r="A112" s="177">
        <f t="shared" si="2"/>
        <v>109</v>
      </c>
      <c r="B112" s="185">
        <v>45785</v>
      </c>
      <c r="C112" s="178" t="s">
        <v>477</v>
      </c>
      <c r="D112" s="6">
        <f>YEAR(PA[[#This Row],[Date]])</f>
        <v>2025</v>
      </c>
      <c r="E112" s="178" t="s">
        <v>361</v>
      </c>
      <c r="F112" s="178" t="s">
        <v>361</v>
      </c>
      <c r="G112" s="179">
        <v>45778</v>
      </c>
      <c r="H112" s="176">
        <f>DAY(EOMONTH(PA[[#This Row],[Month Year]],0))</f>
        <v>31</v>
      </c>
      <c r="I112" s="180">
        <f>VLOOKUP(PA[[#This Row],[Date]],Raw_Data[#All],9,0)</f>
        <v>0.26597222222222222</v>
      </c>
      <c r="J112" s="180">
        <f>VLOOKUP(PA[[#This Row],[Date]],Raw_Data[#All],10,0)</f>
        <v>0.8</v>
      </c>
      <c r="K112" s="68">
        <f>IFERROR((PA[[#This Row],[Sunset Time (POA&lt;20 W/m2)]]-PA[[#This Row],[Sunrise Time (POA&gt;20 W/m2)]])*24,"")</f>
        <v>12.816666666666666</v>
      </c>
      <c r="L112" s="178" t="s">
        <v>441</v>
      </c>
      <c r="M112" s="178" t="s">
        <v>394</v>
      </c>
      <c r="N112" s="178" t="s">
        <v>395</v>
      </c>
      <c r="O112" s="178" t="s">
        <v>412</v>
      </c>
      <c r="P112" s="178" t="s">
        <v>445</v>
      </c>
      <c r="Q112" s="178"/>
      <c r="R112" s="176">
        <f>IF((PA[[#This Row],[String Type(If String BD)]]&amp;PA[[#This Row],[Equipment (If any BD other than PV  array and inv)]])="",1,0)</f>
        <v>0</v>
      </c>
      <c r="S112" s="6">
        <f>IF(PA[[#This Row],[String Type(If String BD)]]="",1,0)</f>
        <v>0</v>
      </c>
      <c r="T1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2" s="68">
        <f>IFERROR(VLOOKUP(PA[[#This Row],[Affected Equipment ]],'Basic Data '!$A$1:$B$1846,2,0),"")</f>
        <v>26.1</v>
      </c>
      <c r="V112" s="143">
        <f>IFERROR(VLOOKUP(PA[[#This Row],[Affected Equipment ]],'Basic Data '!$A$1:$C$1846,3,0),"")</f>
        <v>7.7889289775016346E-5</v>
      </c>
      <c r="W112" s="178" t="s">
        <v>398</v>
      </c>
      <c r="X112" s="110" t="s">
        <v>410</v>
      </c>
      <c r="Y112" s="183" t="s">
        <v>411</v>
      </c>
      <c r="Z112" s="109">
        <v>0.26597222222222222</v>
      </c>
      <c r="AA112" s="109">
        <v>0.26597222222222222</v>
      </c>
      <c r="AB112" s="109">
        <v>0.26597222222222222</v>
      </c>
      <c r="AC112" s="109">
        <v>0.8</v>
      </c>
      <c r="AD112" s="82">
        <f>IF(PA[[#This Row],[Acknowledgement Time ]]="NA","",(PA[[#This Row],[Acknowledgement Time ]]-PA[[#This Row],[Fault Time]])*24)</f>
        <v>0</v>
      </c>
      <c r="AE112" s="82">
        <f>IF(PA[[#This Row],[Work Start time on Fault]]="NA","",(PA[[#This Row],[Work Start time on Fault]]-PA[[#This Row],[Fault Time]])*24)</f>
        <v>0</v>
      </c>
      <c r="AF112" s="111">
        <f>IF(PA[[#This Row],[Status]]="Open","",(PA[[#This Row],[Work Completion time on fault]]-PA[[#This Row],[Fault Time]])*24)</f>
        <v>12.816666666666666</v>
      </c>
      <c r="AG112" s="82">
        <f>IFERROR((PA[[#This Row],[Work Completion time on fault]]-PA[[#This Row],[Fault Time]])*24,"")</f>
        <v>12.816666666666666</v>
      </c>
      <c r="AH112" s="183" t="s">
        <v>2660</v>
      </c>
      <c r="AI112" s="178" t="s">
        <v>422</v>
      </c>
      <c r="AJ112" s="68">
        <f>IFERROR(PA[[#This Row],[Breakdown Time]]*PA[[#This Row],[Plant Equivalent Weightage]],"")</f>
        <v>9.982810639497929E-4</v>
      </c>
      <c r="AK112" s="117">
        <v>6.9</v>
      </c>
      <c r="AL112" s="116">
        <f>IF(PA[[#This Row],[Lost PoA(Wh/m2)]]&gt;0,_xlfn.XLOOKUP($B112,'Daily KPI'!$A:$A,'Daily KPI'!$AE:$AE)*PA[[#This Row],[Lost PoA(Wh/m2)]]*U112,0)</f>
        <v>147.21677980352396</v>
      </c>
      <c r="AM112" s="176" t="s">
        <v>2538</v>
      </c>
    </row>
    <row r="113" spans="1:39" ht="14" customHeight="1">
      <c r="A113" s="177">
        <f t="shared" si="2"/>
        <v>110</v>
      </c>
      <c r="B113" s="185">
        <v>45785</v>
      </c>
      <c r="C113" s="178" t="s">
        <v>477</v>
      </c>
      <c r="D113" s="6">
        <f>YEAR(PA[[#This Row],[Date]])</f>
        <v>2025</v>
      </c>
      <c r="E113" s="178" t="s">
        <v>361</v>
      </c>
      <c r="F113" s="178" t="s">
        <v>361</v>
      </c>
      <c r="G113" s="179">
        <v>45778</v>
      </c>
      <c r="H113" s="176">
        <f>DAY(EOMONTH(PA[[#This Row],[Month Year]],0))</f>
        <v>31</v>
      </c>
      <c r="I113" s="180">
        <f>VLOOKUP(PA[[#This Row],[Date]],Raw_Data[#All],9,0)</f>
        <v>0.26597222222222222</v>
      </c>
      <c r="J113" s="180">
        <f>VLOOKUP(PA[[#This Row],[Date]],Raw_Data[#All],10,0)</f>
        <v>0.8</v>
      </c>
      <c r="K113" s="68">
        <f>IFERROR((PA[[#This Row],[Sunset Time (POA&lt;20 W/m2)]]-PA[[#This Row],[Sunrise Time (POA&gt;20 W/m2)]])*24,"")</f>
        <v>12.816666666666666</v>
      </c>
      <c r="L113" s="178" t="s">
        <v>444</v>
      </c>
      <c r="M113" s="178" t="s">
        <v>401</v>
      </c>
      <c r="N113" s="178" t="s">
        <v>402</v>
      </c>
      <c r="O113" s="178" t="s">
        <v>406</v>
      </c>
      <c r="P113" s="178" t="s">
        <v>445</v>
      </c>
      <c r="Q113" s="178"/>
      <c r="R113" s="176">
        <f>IF((PA[[#This Row],[String Type(If String BD)]]&amp;PA[[#This Row],[Equipment (If any BD other than PV  array and inv)]])="",1,0)</f>
        <v>0</v>
      </c>
      <c r="S113" s="6">
        <f>IF(PA[[#This Row],[String Type(If String BD)]]="",1,0)</f>
        <v>0</v>
      </c>
      <c r="T1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3" s="68">
        <f>IFERROR(VLOOKUP(PA[[#This Row],[Affected Equipment ]],'Basic Data '!$A$1:$B$1846,2,0),"")</f>
        <v>26.1</v>
      </c>
      <c r="V113" s="143">
        <f>IFERROR(VLOOKUP(PA[[#This Row],[Affected Equipment ]],'Basic Data '!$A$1:$C$1846,3,0),"")</f>
        <v>7.7889289775016346E-5</v>
      </c>
      <c r="W113" s="178" t="s">
        <v>398</v>
      </c>
      <c r="X113" s="110" t="s">
        <v>410</v>
      </c>
      <c r="Y113" s="183" t="s">
        <v>411</v>
      </c>
      <c r="Z113" s="109">
        <v>0.26597222222222222</v>
      </c>
      <c r="AA113" s="109">
        <v>0.26597222222222222</v>
      </c>
      <c r="AB113" s="109">
        <v>0.26597222222222222</v>
      </c>
      <c r="AC113" s="109">
        <v>0.8</v>
      </c>
      <c r="AD113" s="82">
        <f>IF(PA[[#This Row],[Acknowledgement Time ]]="NA","",(PA[[#This Row],[Acknowledgement Time ]]-PA[[#This Row],[Fault Time]])*24)</f>
        <v>0</v>
      </c>
      <c r="AE113" s="82">
        <f>IF(PA[[#This Row],[Work Start time on Fault]]="NA","",(PA[[#This Row],[Work Start time on Fault]]-PA[[#This Row],[Fault Time]])*24)</f>
        <v>0</v>
      </c>
      <c r="AF113" s="111">
        <f>IF(PA[[#This Row],[Status]]="Open","",(PA[[#This Row],[Work Completion time on fault]]-PA[[#This Row],[Fault Time]])*24)</f>
        <v>12.816666666666666</v>
      </c>
      <c r="AG113" s="82">
        <f>IFERROR((PA[[#This Row],[Work Completion time on fault]]-PA[[#This Row],[Fault Time]])*24,"")</f>
        <v>12.816666666666666</v>
      </c>
      <c r="AH113" s="183" t="s">
        <v>2660</v>
      </c>
      <c r="AI113" s="178" t="s">
        <v>422</v>
      </c>
      <c r="AJ113" s="68">
        <f>IFERROR(PA[[#This Row],[Breakdown Time]]*PA[[#This Row],[Plant Equivalent Weightage]],"")</f>
        <v>9.982810639497929E-4</v>
      </c>
      <c r="AK113" s="117">
        <v>6.9</v>
      </c>
      <c r="AL113" s="116">
        <f>IF(PA[[#This Row],[Lost PoA(Wh/m2)]]&gt;0,_xlfn.XLOOKUP($B113,'Daily KPI'!$A:$A,'Daily KPI'!$AE:$AE)*PA[[#This Row],[Lost PoA(Wh/m2)]]*U113,0)</f>
        <v>147.21677980352396</v>
      </c>
      <c r="AM113" s="176" t="s">
        <v>2538</v>
      </c>
    </row>
    <row r="114" spans="1:39" ht="14" customHeight="1">
      <c r="A114" s="177">
        <f t="shared" si="2"/>
        <v>111</v>
      </c>
      <c r="B114" s="185">
        <v>45785</v>
      </c>
      <c r="C114" s="178" t="s">
        <v>477</v>
      </c>
      <c r="D114" s="6">
        <f>YEAR(PA[[#This Row],[Date]])</f>
        <v>2025</v>
      </c>
      <c r="E114" s="178" t="s">
        <v>361</v>
      </c>
      <c r="F114" s="178" t="s">
        <v>361</v>
      </c>
      <c r="G114" s="179">
        <v>45778</v>
      </c>
      <c r="H114" s="176">
        <f>DAY(EOMONTH(PA[[#This Row],[Month Year]],0))</f>
        <v>31</v>
      </c>
      <c r="I114" s="180">
        <f>VLOOKUP(PA[[#This Row],[Date]],Raw_Data[#All],9,0)</f>
        <v>0.26597222222222222</v>
      </c>
      <c r="J114" s="180">
        <f>VLOOKUP(PA[[#This Row],[Date]],Raw_Data[#All],10,0)</f>
        <v>0.8</v>
      </c>
      <c r="K114" s="68">
        <f>IFERROR((PA[[#This Row],[Sunset Time (POA&lt;20 W/m2)]]-PA[[#This Row],[Sunrise Time (POA&gt;20 W/m2)]])*24,"")</f>
        <v>12.816666666666666</v>
      </c>
      <c r="L114" s="178" t="s">
        <v>393</v>
      </c>
      <c r="M114" s="178" t="s">
        <v>414</v>
      </c>
      <c r="N114" s="178" t="s">
        <v>395</v>
      </c>
      <c r="O114" s="178" t="s">
        <v>417</v>
      </c>
      <c r="P114" s="178" t="s">
        <v>397</v>
      </c>
      <c r="Q114" s="178"/>
      <c r="R114" s="176">
        <f>IF((PA[[#This Row],[String Type(If String BD)]]&amp;PA[[#This Row],[Equipment (If any BD other than PV  array and inv)]])="",1,0)</f>
        <v>0</v>
      </c>
      <c r="S114" s="6">
        <f>IF(PA[[#This Row],[String Type(If String BD)]]="",1,0)</f>
        <v>0</v>
      </c>
      <c r="T1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4" s="68">
        <f>IFERROR(VLOOKUP(PA[[#This Row],[Affected Equipment ]],'Basic Data '!$A$1:$B$1846,2,0),"")</f>
        <v>25.81</v>
      </c>
      <c r="V114" s="143">
        <f>IFERROR(VLOOKUP(PA[[#This Row],[Affected Equipment ]],'Basic Data '!$A$1:$C$1846,3,0),"")</f>
        <v>7.7023853221960597E-5</v>
      </c>
      <c r="W114" s="178" t="s">
        <v>398</v>
      </c>
      <c r="X114" s="110" t="s">
        <v>410</v>
      </c>
      <c r="Y114" s="183" t="s">
        <v>411</v>
      </c>
      <c r="Z114" s="109">
        <v>0.26597222222222222</v>
      </c>
      <c r="AA114" s="109">
        <v>0.26597222222222222</v>
      </c>
      <c r="AB114" s="109">
        <v>0.26597222222222222</v>
      </c>
      <c r="AC114" s="109">
        <v>0.8</v>
      </c>
      <c r="AD114" s="82">
        <f>IF(PA[[#This Row],[Acknowledgement Time ]]="NA","",(PA[[#This Row],[Acknowledgement Time ]]-PA[[#This Row],[Fault Time]])*24)</f>
        <v>0</v>
      </c>
      <c r="AE114" s="82">
        <f>IF(PA[[#This Row],[Work Start time on Fault]]="NA","",(PA[[#This Row],[Work Start time on Fault]]-PA[[#This Row],[Fault Time]])*24)</f>
        <v>0</v>
      </c>
      <c r="AF114" s="111">
        <f>IF(PA[[#This Row],[Status]]="Open","",(PA[[#This Row],[Work Completion time on fault]]-PA[[#This Row],[Fault Time]])*24)</f>
        <v>12.816666666666666</v>
      </c>
      <c r="AG114" s="82">
        <f>IFERROR((PA[[#This Row],[Work Completion time on fault]]-PA[[#This Row],[Fault Time]])*24,"")</f>
        <v>12.816666666666666</v>
      </c>
      <c r="AH114" s="183" t="s">
        <v>2660</v>
      </c>
      <c r="AI114" s="84" t="s">
        <v>422</v>
      </c>
      <c r="AJ114" s="68">
        <f>IFERROR(PA[[#This Row],[Breakdown Time]]*PA[[#This Row],[Plant Equivalent Weightage]],"")</f>
        <v>9.8718905212812828E-4</v>
      </c>
      <c r="AK114" s="117">
        <v>6.9</v>
      </c>
      <c r="AL114" s="116">
        <f>IF(PA[[#This Row],[Lost PoA(Wh/m2)]]&gt;0,_xlfn.XLOOKUP($B114,'Daily KPI'!$A:$A,'Daily KPI'!$AE:$AE)*PA[[#This Row],[Lost PoA(Wh/m2)]]*U114,0)</f>
        <v>145.58103780570701</v>
      </c>
      <c r="AM114" s="176" t="s">
        <v>2538</v>
      </c>
    </row>
    <row r="115" spans="1:39" ht="14" customHeight="1">
      <c r="A115" s="177">
        <f t="shared" si="2"/>
        <v>112</v>
      </c>
      <c r="B115" s="185">
        <v>45785</v>
      </c>
      <c r="C115" s="178" t="s">
        <v>477</v>
      </c>
      <c r="D115" s="6">
        <f>YEAR(PA[[#This Row],[Date]])</f>
        <v>2025</v>
      </c>
      <c r="E115" s="178" t="s">
        <v>361</v>
      </c>
      <c r="F115" s="178" t="s">
        <v>361</v>
      </c>
      <c r="G115" s="179">
        <v>45778</v>
      </c>
      <c r="H115" s="176">
        <f>DAY(EOMONTH(PA[[#This Row],[Month Year]],0))</f>
        <v>31</v>
      </c>
      <c r="I115" s="180">
        <f>VLOOKUP(PA[[#This Row],[Date]],Raw_Data[#All],9,0)</f>
        <v>0.26597222222222222</v>
      </c>
      <c r="J115" s="180">
        <f>VLOOKUP(PA[[#This Row],[Date]],Raw_Data[#All],10,0)</f>
        <v>0.8</v>
      </c>
      <c r="K115" s="68">
        <f>IFERROR((PA[[#This Row],[Sunset Time (POA&lt;20 W/m2)]]-PA[[#This Row],[Sunrise Time (POA&gt;20 W/m2)]])*24,"")</f>
        <v>12.816666666666666</v>
      </c>
      <c r="L115" s="178" t="s">
        <v>423</v>
      </c>
      <c r="M115" s="178" t="s">
        <v>414</v>
      </c>
      <c r="N115" s="178" t="s">
        <v>395</v>
      </c>
      <c r="O115" s="178" t="s">
        <v>403</v>
      </c>
      <c r="P115" s="178" t="s">
        <v>404</v>
      </c>
      <c r="Q115" s="178"/>
      <c r="R115" s="176">
        <f>IF((PA[[#This Row],[String Type(If String BD)]]&amp;PA[[#This Row],[Equipment (If any BD other than PV  array and inv)]])="",1,0)</f>
        <v>0</v>
      </c>
      <c r="S115" s="6">
        <f>IF(PA[[#This Row],[String Type(If String BD)]]="",1,0)</f>
        <v>0</v>
      </c>
      <c r="T1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5" s="68">
        <f>IFERROR(VLOOKUP(PA[[#This Row],[Affected Equipment ]],'Basic Data '!$A$1:$B$1846,2,0),"")</f>
        <v>31.32</v>
      </c>
      <c r="V115" s="143">
        <f>IFERROR(VLOOKUP(PA[[#This Row],[Affected Equipment ]],'Basic Data '!$A$1:$C$1846,3,0),"")</f>
        <v>9.3467147730019601E-5</v>
      </c>
      <c r="W115" s="178" t="s">
        <v>398</v>
      </c>
      <c r="X115" s="110" t="s">
        <v>410</v>
      </c>
      <c r="Y115" s="183" t="s">
        <v>411</v>
      </c>
      <c r="Z115" s="109">
        <v>0.26597222222222222</v>
      </c>
      <c r="AA115" s="109">
        <v>0.26597222222222222</v>
      </c>
      <c r="AB115" s="109">
        <v>0.26597222222222222</v>
      </c>
      <c r="AC115" s="109">
        <v>0.8</v>
      </c>
      <c r="AD115" s="82">
        <f>IF(PA[[#This Row],[Acknowledgement Time ]]="NA","",(PA[[#This Row],[Acknowledgement Time ]]-PA[[#This Row],[Fault Time]])*24)</f>
        <v>0</v>
      </c>
      <c r="AE115" s="82">
        <f>IF(PA[[#This Row],[Work Start time on Fault]]="NA","",(PA[[#This Row],[Work Start time on Fault]]-PA[[#This Row],[Fault Time]])*24)</f>
        <v>0</v>
      </c>
      <c r="AF115" s="111">
        <f>IF(PA[[#This Row],[Status]]="Open","",(PA[[#This Row],[Work Completion time on fault]]-PA[[#This Row],[Fault Time]])*24)</f>
        <v>12.816666666666666</v>
      </c>
      <c r="AG115" s="82">
        <f>IFERROR((PA[[#This Row],[Work Completion time on fault]]-PA[[#This Row],[Fault Time]])*24,"")</f>
        <v>12.816666666666666</v>
      </c>
      <c r="AH115" s="183" t="s">
        <v>2660</v>
      </c>
      <c r="AI115" s="84" t="s">
        <v>422</v>
      </c>
      <c r="AJ115" s="68">
        <f>IFERROR(PA[[#This Row],[Breakdown Time]]*PA[[#This Row],[Plant Equivalent Weightage]],"")</f>
        <v>1.1979372767397512E-3</v>
      </c>
      <c r="AK115" s="117">
        <v>6.9</v>
      </c>
      <c r="AL115" s="116">
        <f>IF(PA[[#This Row],[Lost PoA(Wh/m2)]]&gt;0,_xlfn.XLOOKUP($B115,'Daily KPI'!$A:$A,'Daily KPI'!$AE:$AE)*PA[[#This Row],[Lost PoA(Wh/m2)]]*U115,0)</f>
        <v>176.66013576422876</v>
      </c>
      <c r="AM115" s="176" t="s">
        <v>2538</v>
      </c>
    </row>
    <row r="116" spans="1:39" ht="14" customHeight="1">
      <c r="A116" s="177">
        <f t="shared" si="2"/>
        <v>113</v>
      </c>
      <c r="B116" s="185">
        <v>45785</v>
      </c>
      <c r="C116" s="178" t="s">
        <v>477</v>
      </c>
      <c r="D116" s="6">
        <f>YEAR(PA[[#This Row],[Date]])</f>
        <v>2025</v>
      </c>
      <c r="E116" s="178" t="s">
        <v>361</v>
      </c>
      <c r="F116" s="178" t="s">
        <v>361</v>
      </c>
      <c r="G116" s="179">
        <v>45778</v>
      </c>
      <c r="H116" s="176">
        <f>DAY(EOMONTH(PA[[#This Row],[Month Year]],0))</f>
        <v>31</v>
      </c>
      <c r="I116" s="180">
        <f>VLOOKUP(PA[[#This Row],[Date]],Raw_Data[#All],9,0)</f>
        <v>0.26597222222222222</v>
      </c>
      <c r="J116" s="180">
        <f>VLOOKUP(PA[[#This Row],[Date]],Raw_Data[#All],10,0)</f>
        <v>0.8</v>
      </c>
      <c r="K116" s="68">
        <f>IFERROR((PA[[#This Row],[Sunset Time (POA&lt;20 W/m2)]]-PA[[#This Row],[Sunrise Time (POA&gt;20 W/m2)]])*24,"")</f>
        <v>12.816666666666666</v>
      </c>
      <c r="L116" s="178" t="s">
        <v>441</v>
      </c>
      <c r="M116" s="178" t="s">
        <v>401</v>
      </c>
      <c r="N116" s="178" t="s">
        <v>402</v>
      </c>
      <c r="O116" s="178" t="s">
        <v>406</v>
      </c>
      <c r="P116" s="178" t="s">
        <v>445</v>
      </c>
      <c r="Q116" s="178"/>
      <c r="R116" s="176">
        <f>IF((PA[[#This Row],[String Type(If String BD)]]&amp;PA[[#This Row],[Equipment (If any BD other than PV  array and inv)]])="",1,0)</f>
        <v>0</v>
      </c>
      <c r="S116" s="6">
        <f>IF(PA[[#This Row],[String Type(If String BD)]]="",1,0)</f>
        <v>0</v>
      </c>
      <c r="T1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6" s="68">
        <f>IFERROR(VLOOKUP(PA[[#This Row],[Affected Equipment ]],'Basic Data '!$A$1:$B$1846,2,0),"")</f>
        <v>26.1</v>
      </c>
      <c r="V116" s="143">
        <f>IFERROR(VLOOKUP(PA[[#This Row],[Affected Equipment ]],'Basic Data '!$A$1:$C$1846,3,0),"")</f>
        <v>7.7889289775016346E-5</v>
      </c>
      <c r="W116" s="178" t="s">
        <v>398</v>
      </c>
      <c r="X116" s="110" t="s">
        <v>410</v>
      </c>
      <c r="Y116" s="183" t="s">
        <v>411</v>
      </c>
      <c r="Z116" s="109">
        <v>0.26597222222222222</v>
      </c>
      <c r="AA116" s="109">
        <v>0.26597222222222222</v>
      </c>
      <c r="AB116" s="109">
        <v>0.26597222222222222</v>
      </c>
      <c r="AC116" s="109">
        <v>0.8</v>
      </c>
      <c r="AD116" s="82">
        <f>IF(PA[[#This Row],[Acknowledgement Time ]]="NA","",(PA[[#This Row],[Acknowledgement Time ]]-PA[[#This Row],[Fault Time]])*24)</f>
        <v>0</v>
      </c>
      <c r="AE116" s="82">
        <f>IF(PA[[#This Row],[Work Start time on Fault]]="NA","",(PA[[#This Row],[Work Start time on Fault]]-PA[[#This Row],[Fault Time]])*24)</f>
        <v>0</v>
      </c>
      <c r="AF116" s="111">
        <f>IF(PA[[#This Row],[Status]]="Open","",(PA[[#This Row],[Work Completion time on fault]]-PA[[#This Row],[Fault Time]])*24)</f>
        <v>12.816666666666666</v>
      </c>
      <c r="AG116" s="82">
        <f>IFERROR((PA[[#This Row],[Work Completion time on fault]]-PA[[#This Row],[Fault Time]])*24,"")</f>
        <v>12.816666666666666</v>
      </c>
      <c r="AH116" s="183" t="s">
        <v>2660</v>
      </c>
      <c r="AI116" s="178" t="s">
        <v>422</v>
      </c>
      <c r="AJ116" s="68">
        <f>IFERROR(PA[[#This Row],[Breakdown Time]]*PA[[#This Row],[Plant Equivalent Weightage]],"")</f>
        <v>9.982810639497929E-4</v>
      </c>
      <c r="AK116" s="117">
        <v>6.9</v>
      </c>
      <c r="AL116" s="116">
        <f>IF(PA[[#This Row],[Lost PoA(Wh/m2)]]&gt;0,_xlfn.XLOOKUP($B116,'Daily KPI'!$A:$A,'Daily KPI'!$AE:$AE)*PA[[#This Row],[Lost PoA(Wh/m2)]]*U116,0)</f>
        <v>147.21677980352396</v>
      </c>
      <c r="AM116" s="176" t="s">
        <v>2538</v>
      </c>
    </row>
    <row r="117" spans="1:39" ht="14" customHeight="1">
      <c r="A117" s="177">
        <f t="shared" si="2"/>
        <v>114</v>
      </c>
      <c r="B117" s="185">
        <v>45786</v>
      </c>
      <c r="C117" s="178" t="s">
        <v>477</v>
      </c>
      <c r="D117" s="6">
        <f>YEAR(PA[[#This Row],[Date]])</f>
        <v>2025</v>
      </c>
      <c r="E117" s="178" t="s">
        <v>361</v>
      </c>
      <c r="F117" s="178" t="s">
        <v>361</v>
      </c>
      <c r="G117" s="179">
        <v>45778</v>
      </c>
      <c r="H117" s="176">
        <f>DAY(EOMONTH(PA[[#This Row],[Month Year]],0))</f>
        <v>31</v>
      </c>
      <c r="I117" s="180">
        <f>VLOOKUP(PA[[#This Row],[Date]],Raw_Data[#All],9,0)</f>
        <v>0.28055555555555556</v>
      </c>
      <c r="J117" s="180">
        <f>VLOOKUP(PA[[#This Row],[Date]],Raw_Data[#All],10,0)</f>
        <v>0.80347222222222225</v>
      </c>
      <c r="K117" s="68">
        <f>IFERROR((PA[[#This Row],[Sunset Time (POA&lt;20 W/m2)]]-PA[[#This Row],[Sunrise Time (POA&gt;20 W/m2)]])*24,"")</f>
        <v>12.55</v>
      </c>
      <c r="L117" s="178" t="s">
        <v>393</v>
      </c>
      <c r="M117" s="178" t="s">
        <v>394</v>
      </c>
      <c r="N117" s="178" t="s">
        <v>395</v>
      </c>
      <c r="O117" s="178" t="s">
        <v>415</v>
      </c>
      <c r="P117" s="178" t="s">
        <v>397</v>
      </c>
      <c r="Q117" s="178"/>
      <c r="R117" s="176">
        <f>IF((PA[[#This Row],[String Type(If String BD)]]&amp;PA[[#This Row],[Equipment (If any BD other than PV  array and inv)]])="",1,0)</f>
        <v>0</v>
      </c>
      <c r="S117" s="6">
        <f>IF(PA[[#This Row],[String Type(If String BD)]]="",1,0)</f>
        <v>0</v>
      </c>
      <c r="T1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7" s="68">
        <f>IFERROR(VLOOKUP(PA[[#This Row],[Affected Equipment ]],'Basic Data '!$A$1:$B$1846,2,0),"")</f>
        <v>25.81</v>
      </c>
      <c r="V117" s="143">
        <f>IFERROR(VLOOKUP(PA[[#This Row],[Affected Equipment ]],'Basic Data '!$A$1:$C$1846,3,0),"")</f>
        <v>7.7023853221960597E-5</v>
      </c>
      <c r="W117" s="178" t="s">
        <v>433</v>
      </c>
      <c r="X117" s="110" t="s">
        <v>472</v>
      </c>
      <c r="Y117" s="110" t="s">
        <v>472</v>
      </c>
      <c r="Z117" s="109">
        <v>0.28055555555555556</v>
      </c>
      <c r="AA117" s="109">
        <v>0.28055555555555556</v>
      </c>
      <c r="AB117" s="109">
        <v>0.28055555555555556</v>
      </c>
      <c r="AC117" s="109">
        <v>0.80347222222222225</v>
      </c>
      <c r="AD117" s="82">
        <f>IF(PA[[#This Row],[Acknowledgement Time ]]="NA","",(PA[[#This Row],[Acknowledgement Time ]]-PA[[#This Row],[Fault Time]])*24)</f>
        <v>0</v>
      </c>
      <c r="AE117" s="82">
        <f>IF(PA[[#This Row],[Work Start time on Fault]]="NA","",(PA[[#This Row],[Work Start time on Fault]]-PA[[#This Row],[Fault Time]])*24)</f>
        <v>0</v>
      </c>
      <c r="AF117" s="111">
        <f>IF(PA[[#This Row],[Status]]="Open","",(PA[[#This Row],[Work Completion time on fault]]-PA[[#This Row],[Fault Time]])*24)</f>
        <v>12.55</v>
      </c>
      <c r="AG117" s="82">
        <f>IFERROR((PA[[#This Row],[Work Completion time on fault]]-PA[[#This Row],[Fault Time]])*24,"")</f>
        <v>12.55</v>
      </c>
      <c r="AH117" s="110" t="s">
        <v>2539</v>
      </c>
      <c r="AI117" s="84" t="s">
        <v>422</v>
      </c>
      <c r="AJ117" s="68">
        <f>IFERROR(PA[[#This Row],[Breakdown Time]]*PA[[#This Row],[Plant Equivalent Weightage]],"")</f>
        <v>9.6664935793560551E-4</v>
      </c>
      <c r="AK117" s="117">
        <v>6.5</v>
      </c>
      <c r="AL117" s="116">
        <f>IF(PA[[#This Row],[Lost PoA(Wh/m2)]]&gt;0,_xlfn.XLOOKUP($B117,'Daily KPI'!$A:$A,'Daily KPI'!$AE:$AE)*PA[[#This Row],[Lost PoA(Wh/m2)]]*U117,0)</f>
        <v>137.14155735320224</v>
      </c>
      <c r="AM117" s="176" t="s">
        <v>2544</v>
      </c>
    </row>
    <row r="118" spans="1:39" ht="14" customHeight="1">
      <c r="A118" s="177">
        <f t="shared" si="2"/>
        <v>115</v>
      </c>
      <c r="B118" s="185">
        <v>45786</v>
      </c>
      <c r="C118" s="178" t="s">
        <v>477</v>
      </c>
      <c r="D118" s="6">
        <f>YEAR(PA[[#This Row],[Date]])</f>
        <v>2025</v>
      </c>
      <c r="E118" s="178" t="s">
        <v>361</v>
      </c>
      <c r="F118" s="178" t="s">
        <v>361</v>
      </c>
      <c r="G118" s="179">
        <v>45778</v>
      </c>
      <c r="H118" s="176">
        <f>DAY(EOMONTH(PA[[#This Row],[Month Year]],0))</f>
        <v>31</v>
      </c>
      <c r="I118" s="180">
        <f>VLOOKUP(PA[[#This Row],[Date]],Raw_Data[#All],9,0)</f>
        <v>0.28055555555555556</v>
      </c>
      <c r="J118" s="180">
        <f>VLOOKUP(PA[[#This Row],[Date]],Raw_Data[#All],10,0)</f>
        <v>0.80347222222222225</v>
      </c>
      <c r="K118" s="68">
        <f>IFERROR((PA[[#This Row],[Sunset Time (POA&lt;20 W/m2)]]-PA[[#This Row],[Sunrise Time (POA&gt;20 W/m2)]])*24,"")</f>
        <v>12.55</v>
      </c>
      <c r="L118" s="178" t="s">
        <v>447</v>
      </c>
      <c r="M118" s="178" t="s">
        <v>408</v>
      </c>
      <c r="N118" s="178" t="s">
        <v>402</v>
      </c>
      <c r="O118" s="178" t="s">
        <v>417</v>
      </c>
      <c r="P118" s="178" t="s">
        <v>429</v>
      </c>
      <c r="Q118" s="178"/>
      <c r="R118" s="176">
        <f>IF((PA[[#This Row],[String Type(If String BD)]]&amp;PA[[#This Row],[Equipment (If any BD other than PV  array and inv)]])="",1,0)</f>
        <v>0</v>
      </c>
      <c r="S118" s="6">
        <f>IF(PA[[#This Row],[String Type(If String BD)]]="",1,0)</f>
        <v>0</v>
      </c>
      <c r="T1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118" s="68">
        <f>IFERROR(VLOOKUP(PA[[#This Row],[Affected Equipment ]],'Basic Data '!$A$1:$B$1846,2,0),"")</f>
        <v>15.66</v>
      </c>
      <c r="V118" s="143">
        <f>IFERROR(VLOOKUP(PA[[#This Row],[Affected Equipment ]],'Basic Data '!$A$1:$C$1846,3,0),"")</f>
        <v>4.6733573865009801E-5</v>
      </c>
      <c r="W118" s="178" t="s">
        <v>451</v>
      </c>
      <c r="X118" s="110" t="s">
        <v>2540</v>
      </c>
      <c r="Y118" s="110" t="s">
        <v>2540</v>
      </c>
      <c r="Z118" s="109">
        <v>0.28055555555555556</v>
      </c>
      <c r="AA118" s="109">
        <v>0.28055555555555556</v>
      </c>
      <c r="AB118" s="109">
        <v>0.28055555555555556</v>
      </c>
      <c r="AC118" s="109">
        <v>0.80347222222222225</v>
      </c>
      <c r="AD118" s="82">
        <f>IF(PA[[#This Row],[Acknowledgement Time ]]="NA","",(PA[[#This Row],[Acknowledgement Time ]]-PA[[#This Row],[Fault Time]])*24)</f>
        <v>0</v>
      </c>
      <c r="AE118" s="82">
        <f>IF(PA[[#This Row],[Work Start time on Fault]]="NA","",(PA[[#This Row],[Work Start time on Fault]]-PA[[#This Row],[Fault Time]])*24)</f>
        <v>0</v>
      </c>
      <c r="AF118" s="111">
        <f>IF(PA[[#This Row],[Status]]="Open","",(PA[[#This Row],[Work Completion time on fault]]-PA[[#This Row],[Fault Time]])*24)</f>
        <v>12.55</v>
      </c>
      <c r="AG118" s="82">
        <f>IFERROR((PA[[#This Row],[Work Completion time on fault]]-PA[[#This Row],[Fault Time]])*24,"")</f>
        <v>12.55</v>
      </c>
      <c r="AH118" s="110" t="s">
        <v>2541</v>
      </c>
      <c r="AI118" s="178" t="s">
        <v>422</v>
      </c>
      <c r="AJ118" s="68">
        <f>IFERROR(PA[[#This Row],[Breakdown Time]]*PA[[#This Row],[Plant Equivalent Weightage]],"")</f>
        <v>5.86506352005873E-4</v>
      </c>
      <c r="AK118" s="117">
        <v>6.5</v>
      </c>
      <c r="AL118" s="116">
        <f>IF(PA[[#This Row],[Lost PoA(Wh/m2)]]&gt;0,_xlfn.XLOOKUP($B118,'Daily KPI'!$A:$A,'Daily KPI'!$AE:$AE)*PA[[#This Row],[Lost PoA(Wh/m2)]]*U118,0)</f>
        <v>83.209484236774401</v>
      </c>
      <c r="AM118" s="176" t="s">
        <v>2544</v>
      </c>
    </row>
    <row r="119" spans="1:39" ht="14" customHeight="1">
      <c r="A119" s="177">
        <f t="shared" si="2"/>
        <v>116</v>
      </c>
      <c r="B119" s="185">
        <v>45786</v>
      </c>
      <c r="C119" s="178" t="s">
        <v>477</v>
      </c>
      <c r="D119" s="6">
        <f>YEAR(PA[[#This Row],[Date]])</f>
        <v>2025</v>
      </c>
      <c r="E119" s="178" t="s">
        <v>361</v>
      </c>
      <c r="F119" s="178" t="s">
        <v>361</v>
      </c>
      <c r="G119" s="179">
        <v>45778</v>
      </c>
      <c r="H119" s="176">
        <f>DAY(EOMONTH(PA[[#This Row],[Month Year]],0))</f>
        <v>31</v>
      </c>
      <c r="I119" s="180">
        <f>VLOOKUP(PA[[#This Row],[Date]],Raw_Data[#All],9,0)</f>
        <v>0.28055555555555556</v>
      </c>
      <c r="J119" s="180">
        <f>VLOOKUP(PA[[#This Row],[Date]],Raw_Data[#All],10,0)</f>
        <v>0.80347222222222225</v>
      </c>
      <c r="K119" s="68">
        <f>IFERROR((PA[[#This Row],[Sunset Time (POA&lt;20 W/m2)]]-PA[[#This Row],[Sunrise Time (POA&gt;20 W/m2)]])*24,"")</f>
        <v>12.55</v>
      </c>
      <c r="L119" s="178" t="s">
        <v>425</v>
      </c>
      <c r="M119" s="178" t="s">
        <v>394</v>
      </c>
      <c r="N119" s="178" t="s">
        <v>402</v>
      </c>
      <c r="O119" s="178" t="s">
        <v>412</v>
      </c>
      <c r="P119" s="178" t="s">
        <v>458</v>
      </c>
      <c r="Q119" s="178"/>
      <c r="R119" s="176">
        <f>IF((PA[[#This Row],[String Type(If String BD)]]&amp;PA[[#This Row],[Equipment (If any BD other than PV  array and inv)]])="",1,0)</f>
        <v>0</v>
      </c>
      <c r="S119" s="6">
        <f>IF(PA[[#This Row],[String Type(If String BD)]]="",1,0)</f>
        <v>0</v>
      </c>
      <c r="T1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119" s="68">
        <f>IFERROR(VLOOKUP(PA[[#This Row],[Affected Equipment ]],'Basic Data '!$A$1:$B$1846,2,0),"")</f>
        <v>15.805</v>
      </c>
      <c r="V119" s="143">
        <f>IFERROR(VLOOKUP(PA[[#This Row],[Affected Equipment ]],'Basic Data '!$A$1:$C$1846,3,0),"")</f>
        <v>4.7166292141537668E-5</v>
      </c>
      <c r="W119" s="178" t="s">
        <v>451</v>
      </c>
      <c r="X119" s="110" t="s">
        <v>2542</v>
      </c>
      <c r="Y119" s="110" t="s">
        <v>2542</v>
      </c>
      <c r="Z119" s="109">
        <v>0.28055555555555556</v>
      </c>
      <c r="AA119" s="109">
        <v>0.28055555555555556</v>
      </c>
      <c r="AB119" s="109">
        <v>0.28055555555555556</v>
      </c>
      <c r="AC119" s="109">
        <v>0.80347222222222225</v>
      </c>
      <c r="AD119" s="82">
        <f>IF(PA[[#This Row],[Acknowledgement Time ]]="NA","",(PA[[#This Row],[Acknowledgement Time ]]-PA[[#This Row],[Fault Time]])*24)</f>
        <v>0</v>
      </c>
      <c r="AE119" s="82">
        <f>IF(PA[[#This Row],[Work Start time on Fault]]="NA","",(PA[[#This Row],[Work Start time on Fault]]-PA[[#This Row],[Fault Time]])*24)</f>
        <v>0</v>
      </c>
      <c r="AF119" s="111">
        <f>IF(PA[[#This Row],[Status]]="Open","",(PA[[#This Row],[Work Completion time on fault]]-PA[[#This Row],[Fault Time]])*24)</f>
        <v>12.55</v>
      </c>
      <c r="AG119" s="82">
        <f>IFERROR((PA[[#This Row],[Work Completion time on fault]]-PA[[#This Row],[Fault Time]])*24,"")</f>
        <v>12.55</v>
      </c>
      <c r="AH119" s="110" t="s">
        <v>2543</v>
      </c>
      <c r="AI119" s="178" t="s">
        <v>422</v>
      </c>
      <c r="AJ119" s="68">
        <f>IFERROR(PA[[#This Row],[Breakdown Time]]*PA[[#This Row],[Plant Equivalent Weightage]],"")</f>
        <v>5.9193696637629772E-4</v>
      </c>
      <c r="AK119" s="117">
        <v>6.5</v>
      </c>
      <c r="AL119" s="116">
        <f>IF(PA[[#This Row],[Lost PoA(Wh/m2)]]&gt;0,_xlfn.XLOOKUP($B119,'Daily KPI'!$A:$A,'Daily KPI'!$AE:$AE)*PA[[#This Row],[Lost PoA(Wh/m2)]]*U119,0)</f>
        <v>83.979942424151943</v>
      </c>
      <c r="AM119" s="176" t="s">
        <v>2544</v>
      </c>
    </row>
    <row r="120" spans="1:39" ht="14" customHeight="1">
      <c r="A120" s="177">
        <f t="shared" si="2"/>
        <v>117</v>
      </c>
      <c r="B120" s="185">
        <v>45791</v>
      </c>
      <c r="C120" s="178" t="s">
        <v>477</v>
      </c>
      <c r="D120" s="6">
        <f>YEAR(PA[[#This Row],[Date]])</f>
        <v>2025</v>
      </c>
      <c r="E120" s="178" t="s">
        <v>361</v>
      </c>
      <c r="F120" s="178" t="s">
        <v>361</v>
      </c>
      <c r="G120" s="179">
        <v>45778</v>
      </c>
      <c r="H120" s="176">
        <f>DAY(EOMONTH(PA[[#This Row],[Month Year]],0))</f>
        <v>31</v>
      </c>
      <c r="I120" s="180">
        <f>VLOOKUP(PA[[#This Row],[Date]],Raw_Data[#All],9,0)</f>
        <v>0.26319444444444445</v>
      </c>
      <c r="J120" s="180">
        <f>VLOOKUP(PA[[#This Row],[Date]],Raw_Data[#All],10,0)</f>
        <v>0.80555555555555558</v>
      </c>
      <c r="K120" s="68">
        <f>IFERROR((PA[[#This Row],[Sunset Time (POA&lt;20 W/m2)]]-PA[[#This Row],[Sunrise Time (POA&gt;20 W/m2)]])*24,"")</f>
        <v>13.016666666666666</v>
      </c>
      <c r="L120" s="178" t="s">
        <v>454</v>
      </c>
      <c r="M120" s="178"/>
      <c r="N120" s="178"/>
      <c r="O120" s="178"/>
      <c r="P120" s="178"/>
      <c r="Q120" s="178" t="s">
        <v>420</v>
      </c>
      <c r="R120" s="176">
        <f>IF((PA[[#This Row],[String Type(If String BD)]]&amp;PA[[#This Row],[Equipment (If any BD other than PV  array and inv)]])="",1,0)</f>
        <v>0</v>
      </c>
      <c r="S120" s="6">
        <f>IF(PA[[#This Row],[String Type(If String BD)]]="",1,0)</f>
        <v>1</v>
      </c>
      <c r="T1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0" s="68">
        <f>IFERROR(VLOOKUP(PA[[#This Row],[Affected Equipment ]],'Basic Data '!$A$1:$B$1846,2,0),"")</f>
        <v>16443</v>
      </c>
      <c r="V120" s="143">
        <f>IFERROR(VLOOKUP(PA[[#This Row],[Affected Equipment ]],'Basic Data '!$A$1:$C$1846,3,0),"")</f>
        <v>4.9070252558260294E-2</v>
      </c>
      <c r="W120" s="178" t="s">
        <v>421</v>
      </c>
      <c r="X120" s="110" t="s">
        <v>2547</v>
      </c>
      <c r="Y120" s="110" t="s">
        <v>457</v>
      </c>
      <c r="Z120" s="109">
        <v>0.53888888888888886</v>
      </c>
      <c r="AA120" s="109">
        <v>0.53888888888888886</v>
      </c>
      <c r="AB120" s="109">
        <v>0.53888888888888886</v>
      </c>
      <c r="AC120" s="109">
        <v>0.55069444444444449</v>
      </c>
      <c r="AD120" s="82">
        <f>IF(PA[[#This Row],[Acknowledgement Time ]]="NA","",(PA[[#This Row],[Acknowledgement Time ]]-PA[[#This Row],[Fault Time]])*24)</f>
        <v>0</v>
      </c>
      <c r="AE120" s="82">
        <f>IF(PA[[#This Row],[Work Start time on Fault]]="NA","",(PA[[#This Row],[Work Start time on Fault]]-PA[[#This Row],[Fault Time]])*24)</f>
        <v>0</v>
      </c>
      <c r="AF120" s="111">
        <f>IF(PA[[#This Row],[Status]]="Open","",(PA[[#This Row],[Work Completion time on fault]]-PA[[#This Row],[Fault Time]])*24)</f>
        <v>0.28333333333333499</v>
      </c>
      <c r="AG120" s="82">
        <f>IFERROR((PA[[#This Row],[Work Completion time on fault]]-PA[[#This Row],[Fault Time]])*24,"")</f>
        <v>0.28333333333333499</v>
      </c>
      <c r="AH120" s="110" t="s">
        <v>2549</v>
      </c>
      <c r="AI120" s="178" t="s">
        <v>422</v>
      </c>
      <c r="AJ120" s="68">
        <f>IFERROR(PA[[#This Row],[Breakdown Time]]*PA[[#This Row],[Plant Equivalent Weightage]],"")</f>
        <v>1.3903238224840499E-2</v>
      </c>
      <c r="AK120" s="117">
        <v>0.3</v>
      </c>
      <c r="AL120" s="116">
        <f>IF(PA[[#This Row],[Lost PoA(Wh/m2)]]&gt;0,_xlfn.XLOOKUP($B120,'Daily KPI'!$A:$A,'Daily KPI'!$AE:$AE)*PA[[#This Row],[Lost PoA(Wh/m2)]]*U120,0)</f>
        <v>4032.4596207052214</v>
      </c>
      <c r="AM120" s="176" t="s">
        <v>2551</v>
      </c>
    </row>
    <row r="121" spans="1:39" ht="14" customHeight="1">
      <c r="A121" s="177">
        <f t="shared" si="2"/>
        <v>118</v>
      </c>
      <c r="B121" s="185">
        <v>45791</v>
      </c>
      <c r="C121" s="178" t="s">
        <v>477</v>
      </c>
      <c r="D121" s="6">
        <f>YEAR(PA[[#This Row],[Date]])</f>
        <v>2025</v>
      </c>
      <c r="E121" s="178" t="s">
        <v>361</v>
      </c>
      <c r="F121" s="178" t="s">
        <v>361</v>
      </c>
      <c r="G121" s="179">
        <v>45778</v>
      </c>
      <c r="H121" s="176">
        <f>DAY(EOMONTH(PA[[#This Row],[Month Year]],0))</f>
        <v>31</v>
      </c>
      <c r="I121" s="180">
        <f>VLOOKUP(PA[[#This Row],[Date]],Raw_Data[#All],9,0)</f>
        <v>0.26319444444444445</v>
      </c>
      <c r="J121" s="180">
        <f>VLOOKUP(PA[[#This Row],[Date]],Raw_Data[#All],10,0)</f>
        <v>0.80555555555555558</v>
      </c>
      <c r="K121" s="68">
        <f>IFERROR((PA[[#This Row],[Sunset Time (POA&lt;20 W/m2)]]-PA[[#This Row],[Sunrise Time (POA&gt;20 W/m2)]])*24,"")</f>
        <v>13.016666666666666</v>
      </c>
      <c r="L121" s="178" t="s">
        <v>454</v>
      </c>
      <c r="M121" s="178"/>
      <c r="N121" s="178"/>
      <c r="O121" s="178"/>
      <c r="P121" s="178"/>
      <c r="Q121" s="178" t="s">
        <v>420</v>
      </c>
      <c r="R121" s="176">
        <f>IF((PA[[#This Row],[String Type(If String BD)]]&amp;PA[[#This Row],[Equipment (If any BD other than PV  array and inv)]])="",1,0)</f>
        <v>0</v>
      </c>
      <c r="S121" s="6">
        <f>IF(PA[[#This Row],[String Type(If String BD)]]="",1,0)</f>
        <v>1</v>
      </c>
      <c r="T1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1" s="68">
        <f>IFERROR(VLOOKUP(PA[[#This Row],[Affected Equipment ]],'Basic Data '!$A$1:$B$1846,2,0),"")</f>
        <v>16443</v>
      </c>
      <c r="V121" s="143">
        <f>IFERROR(VLOOKUP(PA[[#This Row],[Affected Equipment ]],'Basic Data '!$A$1:$C$1846,3,0),"")</f>
        <v>4.9070252558260294E-2</v>
      </c>
      <c r="W121" s="178" t="s">
        <v>421</v>
      </c>
      <c r="X121" s="110" t="s">
        <v>2548</v>
      </c>
      <c r="Y121" s="110" t="s">
        <v>457</v>
      </c>
      <c r="Z121" s="109">
        <v>0.56736111111111109</v>
      </c>
      <c r="AA121" s="109">
        <v>0.56736111111111109</v>
      </c>
      <c r="AB121" s="109">
        <v>0.56736111111111109</v>
      </c>
      <c r="AC121" s="109">
        <v>0.5756944444444444</v>
      </c>
      <c r="AD121" s="82">
        <f>IF(PA[[#This Row],[Acknowledgement Time ]]="NA","",(PA[[#This Row],[Acknowledgement Time ]]-PA[[#This Row],[Fault Time]])*24)</f>
        <v>0</v>
      </c>
      <c r="AE121" s="82">
        <f>IF(PA[[#This Row],[Work Start time on Fault]]="NA","",(PA[[#This Row],[Work Start time on Fault]]-PA[[#This Row],[Fault Time]])*24)</f>
        <v>0</v>
      </c>
      <c r="AF121" s="111">
        <f>IF(PA[[#This Row],[Status]]="Open","",(PA[[#This Row],[Work Completion time on fault]]-PA[[#This Row],[Fault Time]])*24)</f>
        <v>0.19999999999999929</v>
      </c>
      <c r="AG121" s="82">
        <f>IFERROR((PA[[#This Row],[Work Completion time on fault]]-PA[[#This Row],[Fault Time]])*24,"")</f>
        <v>0.19999999999999929</v>
      </c>
      <c r="AH121" s="110" t="s">
        <v>2550</v>
      </c>
      <c r="AI121" s="178" t="s">
        <v>422</v>
      </c>
      <c r="AJ121" s="68">
        <f>IFERROR(PA[[#This Row],[Breakdown Time]]*PA[[#This Row],[Plant Equivalent Weightage]],"")</f>
        <v>9.8140505116520241E-3</v>
      </c>
      <c r="AK121" s="117">
        <v>0.21</v>
      </c>
      <c r="AL121" s="116">
        <f>IF(PA[[#This Row],[Lost PoA(Wh/m2)]]&gt;0,_xlfn.XLOOKUP($B121,'Daily KPI'!$A:$A,'Daily KPI'!$AE:$AE)*PA[[#This Row],[Lost PoA(Wh/m2)]]*U121,0)</f>
        <v>2822.7217344936548</v>
      </c>
      <c r="AM121" s="176" t="s">
        <v>2551</v>
      </c>
    </row>
    <row r="122" spans="1:39" ht="14" customHeight="1">
      <c r="A122" s="177">
        <f t="shared" si="2"/>
        <v>119</v>
      </c>
      <c r="B122" s="185">
        <v>45792</v>
      </c>
      <c r="C122" s="178" t="s">
        <v>477</v>
      </c>
      <c r="D122" s="6">
        <f>YEAR(PA[[#This Row],[Date]])</f>
        <v>2025</v>
      </c>
      <c r="E122" s="178" t="s">
        <v>361</v>
      </c>
      <c r="F122" s="178" t="s">
        <v>361</v>
      </c>
      <c r="G122" s="179">
        <v>45778</v>
      </c>
      <c r="H122" s="176">
        <f>DAY(EOMONTH(PA[[#This Row],[Month Year]],0))</f>
        <v>31</v>
      </c>
      <c r="I122" s="180">
        <f>VLOOKUP(PA[[#This Row],[Date]],Raw_Data[#All],9,0)</f>
        <v>0.26250000000000001</v>
      </c>
      <c r="J122" s="180">
        <f>VLOOKUP(PA[[#This Row],[Date]],Raw_Data[#All],10,0)</f>
        <v>0.80486111111111114</v>
      </c>
      <c r="K122" s="68">
        <f>IFERROR((PA[[#This Row],[Sunset Time (POA&lt;20 W/m2)]]-PA[[#This Row],[Sunrise Time (POA&gt;20 W/m2)]])*24,"")</f>
        <v>13.016666666666666</v>
      </c>
      <c r="L122" s="178" t="s">
        <v>416</v>
      </c>
      <c r="M122" s="178" t="s">
        <v>394</v>
      </c>
      <c r="N122" s="178" t="s">
        <v>395</v>
      </c>
      <c r="O122" s="178" t="s">
        <v>415</v>
      </c>
      <c r="P122" s="178" t="s">
        <v>404</v>
      </c>
      <c r="Q122" s="178"/>
      <c r="R122" s="176">
        <f>IF((PA[[#This Row],[String Type(If String BD)]]&amp;PA[[#This Row],[Equipment (If any BD other than PV  array and inv)]])="",1,0)</f>
        <v>0</v>
      </c>
      <c r="S122" s="6">
        <f>IF(PA[[#This Row],[String Type(If String BD)]]="",1,0)</f>
        <v>0</v>
      </c>
      <c r="T1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2" s="68">
        <f>IFERROR(VLOOKUP(PA[[#This Row],[Affected Equipment ]],'Basic Data '!$A$1:$B$1846,2,0),"")</f>
        <v>31.32</v>
      </c>
      <c r="V122" s="143">
        <f>IFERROR(VLOOKUP(PA[[#This Row],[Affected Equipment ]],'Basic Data '!$A$1:$C$1846,3,0),"")</f>
        <v>9.3467147730019601E-5</v>
      </c>
      <c r="W122" s="178" t="s">
        <v>451</v>
      </c>
      <c r="X122" s="110" t="s">
        <v>491</v>
      </c>
      <c r="Y122" s="110" t="s">
        <v>491</v>
      </c>
      <c r="Z122" s="109">
        <v>0.50902777777777775</v>
      </c>
      <c r="AA122" s="109">
        <v>0.50902777777777775</v>
      </c>
      <c r="AB122" s="109">
        <v>0.50902777777777775</v>
      </c>
      <c r="AC122" s="109">
        <v>0.53611111111111109</v>
      </c>
      <c r="AD122" s="82">
        <f>IF(PA[[#This Row],[Acknowledgement Time ]]="NA","",(PA[[#This Row],[Acknowledgement Time ]]-PA[[#This Row],[Fault Time]])*24)</f>
        <v>0</v>
      </c>
      <c r="AE122" s="82">
        <f>IF(PA[[#This Row],[Work Start time on Fault]]="NA","",(PA[[#This Row],[Work Start time on Fault]]-PA[[#This Row],[Fault Time]])*24)</f>
        <v>0</v>
      </c>
      <c r="AF122" s="111">
        <f>IF(PA[[#This Row],[Status]]="Open","",(PA[[#This Row],[Work Completion time on fault]]-PA[[#This Row],[Fault Time]])*24)</f>
        <v>0.65000000000000036</v>
      </c>
      <c r="AG122" s="82">
        <f>IFERROR((PA[[#This Row],[Work Completion time on fault]]-PA[[#This Row],[Fault Time]])*24,"")</f>
        <v>0.65000000000000036</v>
      </c>
      <c r="AH122" s="110" t="s">
        <v>491</v>
      </c>
      <c r="AI122" s="178" t="s">
        <v>422</v>
      </c>
      <c r="AJ122" s="68">
        <f>IFERROR(PA[[#This Row],[Breakdown Time]]*PA[[#This Row],[Plant Equivalent Weightage]],"")</f>
        <v>6.0753646024512774E-5</v>
      </c>
      <c r="AK122" s="117">
        <v>0.65010000000000001</v>
      </c>
      <c r="AL122" s="116">
        <f>IF(PA[[#This Row],[Lost PoA(Wh/m2)]]&gt;0,_xlfn.XLOOKUP($B122,'Daily KPI'!$A:$A,'Daily KPI'!$AE:$AE)*PA[[#This Row],[Lost PoA(Wh/m2)]]*U122,0)</f>
        <v>16.64445713917755</v>
      </c>
      <c r="AM122" s="176" t="s">
        <v>2552</v>
      </c>
    </row>
    <row r="123" spans="1:39" ht="14" customHeight="1">
      <c r="A123" s="177">
        <f t="shared" si="2"/>
        <v>120</v>
      </c>
      <c r="B123" s="185">
        <v>45792</v>
      </c>
      <c r="C123" s="178" t="s">
        <v>477</v>
      </c>
      <c r="D123" s="6">
        <f>YEAR(PA[[#This Row],[Date]])</f>
        <v>2025</v>
      </c>
      <c r="E123" s="178" t="s">
        <v>361</v>
      </c>
      <c r="F123" s="178" t="s">
        <v>361</v>
      </c>
      <c r="G123" s="179">
        <v>45778</v>
      </c>
      <c r="H123" s="176">
        <f>DAY(EOMONTH(PA[[#This Row],[Month Year]],0))</f>
        <v>31</v>
      </c>
      <c r="I123" s="180">
        <f>VLOOKUP(PA[[#This Row],[Date]],Raw_Data[#All],9,0)</f>
        <v>0.26250000000000001</v>
      </c>
      <c r="J123" s="180">
        <f>VLOOKUP(PA[[#This Row],[Date]],Raw_Data[#All],10,0)</f>
        <v>0.80486111111111114</v>
      </c>
      <c r="K123" s="68">
        <f>IFERROR((PA[[#This Row],[Sunset Time (POA&lt;20 W/m2)]]-PA[[#This Row],[Sunrise Time (POA&gt;20 W/m2)]])*24,"")</f>
        <v>13.016666666666666</v>
      </c>
      <c r="L123" s="178" t="s">
        <v>416</v>
      </c>
      <c r="M123" s="178" t="s">
        <v>394</v>
      </c>
      <c r="N123" s="178" t="s">
        <v>395</v>
      </c>
      <c r="O123" s="178" t="s">
        <v>415</v>
      </c>
      <c r="P123" s="178" t="s">
        <v>404</v>
      </c>
      <c r="Q123" s="178"/>
      <c r="R123" s="176">
        <f>IF((PA[[#This Row],[String Type(If String BD)]]&amp;PA[[#This Row],[Equipment (If any BD other than PV  array and inv)]])="",1,0)</f>
        <v>0</v>
      </c>
      <c r="S123" s="6">
        <f>IF(PA[[#This Row],[String Type(If String BD)]]="",1,0)</f>
        <v>0</v>
      </c>
      <c r="T1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3" s="68">
        <f>IFERROR(VLOOKUP(PA[[#This Row],[Affected Equipment ]],'Basic Data '!$A$1:$B$1846,2,0),"")</f>
        <v>31.32</v>
      </c>
      <c r="V123" s="143">
        <f>IFERROR(VLOOKUP(PA[[#This Row],[Affected Equipment ]],'Basic Data '!$A$1:$C$1846,3,0),"")</f>
        <v>9.3467147730019601E-5</v>
      </c>
      <c r="W123" s="178" t="s">
        <v>451</v>
      </c>
      <c r="X123" s="110" t="s">
        <v>491</v>
      </c>
      <c r="Y123" s="110" t="s">
        <v>491</v>
      </c>
      <c r="Z123" s="109">
        <v>0.53819444444444442</v>
      </c>
      <c r="AA123" s="109">
        <v>0.53819444444444442</v>
      </c>
      <c r="AB123" s="109">
        <v>0.53819444444444442</v>
      </c>
      <c r="AC123" s="109">
        <v>0.57361111111111107</v>
      </c>
      <c r="AD123" s="82">
        <f>IF(PA[[#This Row],[Acknowledgement Time ]]="NA","",(PA[[#This Row],[Acknowledgement Time ]]-PA[[#This Row],[Fault Time]])*24)</f>
        <v>0</v>
      </c>
      <c r="AE123" s="82">
        <f>IF(PA[[#This Row],[Work Start time on Fault]]="NA","",(PA[[#This Row],[Work Start time on Fault]]-PA[[#This Row],[Fault Time]])*24)</f>
        <v>0</v>
      </c>
      <c r="AF123" s="111">
        <f>IF(PA[[#This Row],[Status]]="Open","",(PA[[#This Row],[Work Completion time on fault]]-PA[[#This Row],[Fault Time]])*24)</f>
        <v>0.84999999999999964</v>
      </c>
      <c r="AG123" s="82">
        <f>IFERROR((PA[[#This Row],[Work Completion time on fault]]-PA[[#This Row],[Fault Time]])*24,"")</f>
        <v>0.84999999999999964</v>
      </c>
      <c r="AH123" s="110" t="s">
        <v>491</v>
      </c>
      <c r="AI123" s="178" t="s">
        <v>422</v>
      </c>
      <c r="AJ123" s="68">
        <f>IFERROR(PA[[#This Row],[Breakdown Time]]*PA[[#This Row],[Plant Equivalent Weightage]],"")</f>
        <v>7.9447075570516628E-5</v>
      </c>
      <c r="AK123" s="117">
        <v>0.82918333333333338</v>
      </c>
      <c r="AL123" s="116">
        <f>IF(PA[[#This Row],[Lost PoA(Wh/m2)]]&gt;0,_xlfn.XLOOKUP($B123,'Daily KPI'!$A:$A,'Daily KPI'!$AE:$AE)*PA[[#This Row],[Lost PoA(Wh/m2)]]*U123,0)</f>
        <v>21.229513078275708</v>
      </c>
      <c r="AM123" s="176" t="s">
        <v>2552</v>
      </c>
    </row>
    <row r="124" spans="1:39" ht="14" customHeight="1">
      <c r="A124" s="177">
        <f t="shared" si="2"/>
        <v>121</v>
      </c>
      <c r="B124" s="185">
        <v>45795</v>
      </c>
      <c r="C124" s="178" t="s">
        <v>477</v>
      </c>
      <c r="D124" s="6">
        <f>YEAR(PA[[#This Row],[Date]])</f>
        <v>2025</v>
      </c>
      <c r="E124" s="178" t="s">
        <v>361</v>
      </c>
      <c r="F124" s="178" t="s">
        <v>361</v>
      </c>
      <c r="G124" s="179">
        <v>45778</v>
      </c>
      <c r="H124" s="176">
        <f>DAY(EOMONTH(PA[[#This Row],[Month Year]],0))</f>
        <v>31</v>
      </c>
      <c r="I124" s="180">
        <f>VLOOKUP(PA[[#This Row],[Date]],Raw_Data[#All],9,0)</f>
        <v>0.26319444444444445</v>
      </c>
      <c r="J124" s="180">
        <f>VLOOKUP(PA[[#This Row],[Date]],Raw_Data[#All],10,0)</f>
        <v>0.80694444444444446</v>
      </c>
      <c r="K124" s="68">
        <f>IFERROR((PA[[#This Row],[Sunset Time (POA&lt;20 W/m2)]]-PA[[#This Row],[Sunrise Time (POA&gt;20 W/m2)]])*24,"")</f>
        <v>13.049999999999999</v>
      </c>
      <c r="L124" s="178" t="s">
        <v>423</v>
      </c>
      <c r="M124" s="178" t="s">
        <v>414</v>
      </c>
      <c r="N124" s="178" t="s">
        <v>395</v>
      </c>
      <c r="O124" s="178" t="s">
        <v>403</v>
      </c>
      <c r="P124" s="178" t="s">
        <v>404</v>
      </c>
      <c r="Q124" s="178"/>
      <c r="R124" s="176">
        <f>IF((PA[[#This Row],[String Type(If String BD)]]&amp;PA[[#This Row],[Equipment (If any BD other than PV  array and inv)]])="",1,0)</f>
        <v>0</v>
      </c>
      <c r="S124" s="6">
        <f>IF(PA[[#This Row],[String Type(If String BD)]]="",1,0)</f>
        <v>0</v>
      </c>
      <c r="T1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4" s="68">
        <f>IFERROR(VLOOKUP(PA[[#This Row],[Affected Equipment ]],'Basic Data '!$A$1:$B$1846,2,0),"")</f>
        <v>31.32</v>
      </c>
      <c r="V124" s="143">
        <f>IFERROR(VLOOKUP(PA[[#This Row],[Affected Equipment ]],'Basic Data '!$A$1:$C$1846,3,0),"")</f>
        <v>9.3467147730019601E-5</v>
      </c>
      <c r="W124" s="178" t="s">
        <v>398</v>
      </c>
      <c r="X124" s="110" t="s">
        <v>410</v>
      </c>
      <c r="Y124" s="183" t="s">
        <v>411</v>
      </c>
      <c r="Z124" s="109">
        <v>0.26319444444444445</v>
      </c>
      <c r="AA124" s="109">
        <v>0.26319444444444445</v>
      </c>
      <c r="AB124" s="109">
        <v>0.26319444444444445</v>
      </c>
      <c r="AC124" s="109">
        <v>0.80694444444444446</v>
      </c>
      <c r="AD124" s="82">
        <f>IF(PA[[#This Row],[Acknowledgement Time ]]="NA","",(PA[[#This Row],[Acknowledgement Time ]]-PA[[#This Row],[Fault Time]])*24)</f>
        <v>0</v>
      </c>
      <c r="AE124" s="82">
        <f>IF(PA[[#This Row],[Work Start time on Fault]]="NA","",(PA[[#This Row],[Work Start time on Fault]]-PA[[#This Row],[Fault Time]])*24)</f>
        <v>0</v>
      </c>
      <c r="AF124" s="111">
        <f>IF(PA[[#This Row],[Status]]="Open","",(PA[[#This Row],[Work Completion time on fault]]-PA[[#This Row],[Fault Time]])*24)</f>
        <v>13.049999999999999</v>
      </c>
      <c r="AG124" s="82">
        <f>IFERROR((PA[[#This Row],[Work Completion time on fault]]-PA[[#This Row],[Fault Time]])*24,"")</f>
        <v>13.049999999999999</v>
      </c>
      <c r="AH124" s="183" t="s">
        <v>2660</v>
      </c>
      <c r="AI124" s="178" t="s">
        <v>422</v>
      </c>
      <c r="AJ124" s="68">
        <f>IFERROR(PA[[#This Row],[Breakdown Time]]*PA[[#This Row],[Plant Equivalent Weightage]],"")</f>
        <v>1.2197462778767557E-3</v>
      </c>
      <c r="AK124" s="117">
        <v>7.48</v>
      </c>
      <c r="AL124" s="116">
        <f>IF(PA[[#This Row],[Lost PoA(Wh/m2)]]&gt;0,_xlfn.XLOOKUP($B124,'Daily KPI'!$A:$A,'Daily KPI'!$AE:$AE)*PA[[#This Row],[Lost PoA(Wh/m2)]]*U124,0)</f>
        <v>191.50982833571464</v>
      </c>
      <c r="AM124" s="176" t="s">
        <v>2553</v>
      </c>
    </row>
    <row r="125" spans="1:39" ht="14" customHeight="1">
      <c r="A125" s="177">
        <f t="shared" si="2"/>
        <v>122</v>
      </c>
      <c r="B125" s="185">
        <v>45795</v>
      </c>
      <c r="C125" s="178" t="s">
        <v>477</v>
      </c>
      <c r="D125" s="6">
        <f>YEAR(PA[[#This Row],[Date]])</f>
        <v>2025</v>
      </c>
      <c r="E125" s="178" t="s">
        <v>361</v>
      </c>
      <c r="F125" s="178" t="s">
        <v>361</v>
      </c>
      <c r="G125" s="179">
        <v>45778</v>
      </c>
      <c r="H125" s="176">
        <f>DAY(EOMONTH(PA[[#This Row],[Month Year]],0))</f>
        <v>31</v>
      </c>
      <c r="I125" s="180">
        <f>VLOOKUP(PA[[#This Row],[Date]],Raw_Data[#All],9,0)</f>
        <v>0.26319444444444445</v>
      </c>
      <c r="J125" s="180">
        <f>VLOOKUP(PA[[#This Row],[Date]],Raw_Data[#All],10,0)</f>
        <v>0.80694444444444446</v>
      </c>
      <c r="K125" s="68">
        <f>IFERROR((PA[[#This Row],[Sunset Time (POA&lt;20 W/m2)]]-PA[[#This Row],[Sunrise Time (POA&gt;20 W/m2)]])*24,"")</f>
        <v>13.049999999999999</v>
      </c>
      <c r="L125" s="178" t="s">
        <v>419</v>
      </c>
      <c r="M125" s="178" t="s">
        <v>414</v>
      </c>
      <c r="N125" s="178" t="s">
        <v>395</v>
      </c>
      <c r="O125" s="178" t="s">
        <v>417</v>
      </c>
      <c r="P125" s="178" t="s">
        <v>404</v>
      </c>
      <c r="Q125" s="178"/>
      <c r="R125" s="176">
        <f>IF((PA[[#This Row],[String Type(If String BD)]]&amp;PA[[#This Row],[Equipment (If any BD other than PV  array and inv)]])="",1,0)</f>
        <v>0</v>
      </c>
      <c r="S125" s="6">
        <f>IF(PA[[#This Row],[String Type(If String BD)]]="",1,0)</f>
        <v>0</v>
      </c>
      <c r="T1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5" s="68">
        <f>IFERROR(VLOOKUP(PA[[#This Row],[Affected Equipment ]],'Basic Data '!$A$1:$B$1846,2,0),"")</f>
        <v>31.32</v>
      </c>
      <c r="V125" s="143">
        <f>IFERROR(VLOOKUP(PA[[#This Row],[Affected Equipment ]],'Basic Data '!$A$1:$C$1846,3,0),"")</f>
        <v>9.3467147730019601E-5</v>
      </c>
      <c r="W125" s="178" t="s">
        <v>398</v>
      </c>
      <c r="X125" s="110" t="s">
        <v>410</v>
      </c>
      <c r="Y125" s="183" t="s">
        <v>411</v>
      </c>
      <c r="Z125" s="109">
        <v>0.26319444444444445</v>
      </c>
      <c r="AA125" s="109">
        <v>0.26319444444444445</v>
      </c>
      <c r="AB125" s="109">
        <v>0.26319444444444445</v>
      </c>
      <c r="AC125" s="109">
        <v>0.80694444444444446</v>
      </c>
      <c r="AD125" s="82">
        <f>IF(PA[[#This Row],[Acknowledgement Time ]]="NA","",(PA[[#This Row],[Acknowledgement Time ]]-PA[[#This Row],[Fault Time]])*24)</f>
        <v>0</v>
      </c>
      <c r="AE125" s="82">
        <f>IF(PA[[#This Row],[Work Start time on Fault]]="NA","",(PA[[#This Row],[Work Start time on Fault]]-PA[[#This Row],[Fault Time]])*24)</f>
        <v>0</v>
      </c>
      <c r="AF125" s="111">
        <f>IF(PA[[#This Row],[Status]]="Open","",(PA[[#This Row],[Work Completion time on fault]]-PA[[#This Row],[Fault Time]])*24)</f>
        <v>13.049999999999999</v>
      </c>
      <c r="AG125" s="82">
        <f>IFERROR((PA[[#This Row],[Work Completion time on fault]]-PA[[#This Row],[Fault Time]])*24,"")</f>
        <v>13.049999999999999</v>
      </c>
      <c r="AH125" s="183" t="s">
        <v>2660</v>
      </c>
      <c r="AI125" s="178" t="s">
        <v>422</v>
      </c>
      <c r="AJ125" s="68">
        <f>IFERROR(PA[[#This Row],[Breakdown Time]]*PA[[#This Row],[Plant Equivalent Weightage]],"")</f>
        <v>1.2197462778767557E-3</v>
      </c>
      <c r="AK125" s="117">
        <v>7.48</v>
      </c>
      <c r="AL125" s="116">
        <f>IF(PA[[#This Row],[Lost PoA(Wh/m2)]]&gt;0,_xlfn.XLOOKUP($B125,'Daily KPI'!$A:$A,'Daily KPI'!$AE:$AE)*PA[[#This Row],[Lost PoA(Wh/m2)]]*U125,0)</f>
        <v>191.50982833571464</v>
      </c>
      <c r="AM125" s="176" t="s">
        <v>2553</v>
      </c>
    </row>
    <row r="126" spans="1:39" ht="14" customHeight="1">
      <c r="A126" s="177">
        <f t="shared" si="2"/>
        <v>123</v>
      </c>
      <c r="B126" s="185">
        <v>45795</v>
      </c>
      <c r="C126" s="178" t="s">
        <v>477</v>
      </c>
      <c r="D126" s="6">
        <f>YEAR(PA[[#This Row],[Date]])</f>
        <v>2025</v>
      </c>
      <c r="E126" s="178" t="s">
        <v>361</v>
      </c>
      <c r="F126" s="178" t="s">
        <v>361</v>
      </c>
      <c r="G126" s="179">
        <v>45778</v>
      </c>
      <c r="H126" s="176">
        <f>DAY(EOMONTH(PA[[#This Row],[Month Year]],0))</f>
        <v>31</v>
      </c>
      <c r="I126" s="180">
        <f>VLOOKUP(PA[[#This Row],[Date]],Raw_Data[#All],9,0)</f>
        <v>0.26319444444444445</v>
      </c>
      <c r="J126" s="180">
        <f>VLOOKUP(PA[[#This Row],[Date]],Raw_Data[#All],10,0)</f>
        <v>0.80694444444444446</v>
      </c>
      <c r="K126" s="68">
        <f>IFERROR((PA[[#This Row],[Sunset Time (POA&lt;20 W/m2)]]-PA[[#This Row],[Sunrise Time (POA&gt;20 W/m2)]])*24,"")</f>
        <v>13.049999999999999</v>
      </c>
      <c r="L126" s="178" t="s">
        <v>419</v>
      </c>
      <c r="M126" s="178" t="s">
        <v>414</v>
      </c>
      <c r="N126" s="178" t="s">
        <v>402</v>
      </c>
      <c r="O126" s="178" t="s">
        <v>406</v>
      </c>
      <c r="P126" s="178" t="s">
        <v>404</v>
      </c>
      <c r="Q126" s="178"/>
      <c r="R126" s="176">
        <f>IF((PA[[#This Row],[String Type(If String BD)]]&amp;PA[[#This Row],[Equipment (If any BD other than PV  array and inv)]])="",1,0)</f>
        <v>0</v>
      </c>
      <c r="S126" s="6">
        <f>IF(PA[[#This Row],[String Type(If String BD)]]="",1,0)</f>
        <v>0</v>
      </c>
      <c r="T1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6" s="68">
        <f>IFERROR(VLOOKUP(PA[[#This Row],[Affected Equipment ]],'Basic Data '!$A$1:$B$1846,2,0),"")</f>
        <v>31.32</v>
      </c>
      <c r="V126" s="143">
        <f>IFERROR(VLOOKUP(PA[[#This Row],[Affected Equipment ]],'Basic Data '!$A$1:$C$1846,3,0),"")</f>
        <v>9.3467147730019601E-5</v>
      </c>
      <c r="W126" s="178" t="s">
        <v>398</v>
      </c>
      <c r="X126" s="110" t="s">
        <v>410</v>
      </c>
      <c r="Y126" s="183" t="s">
        <v>411</v>
      </c>
      <c r="Z126" s="109">
        <v>0.26319444444444445</v>
      </c>
      <c r="AA126" s="109">
        <v>0.26319444444444445</v>
      </c>
      <c r="AB126" s="109">
        <v>0.26319444444444445</v>
      </c>
      <c r="AC126" s="109">
        <v>0.80694444444444446</v>
      </c>
      <c r="AD126" s="82">
        <f>IF(PA[[#This Row],[Acknowledgement Time ]]="NA","",(PA[[#This Row],[Acknowledgement Time ]]-PA[[#This Row],[Fault Time]])*24)</f>
        <v>0</v>
      </c>
      <c r="AE126" s="82">
        <f>IF(PA[[#This Row],[Work Start time on Fault]]="NA","",(PA[[#This Row],[Work Start time on Fault]]-PA[[#This Row],[Fault Time]])*24)</f>
        <v>0</v>
      </c>
      <c r="AF126" s="111">
        <f>IF(PA[[#This Row],[Status]]="Open","",(PA[[#This Row],[Work Completion time on fault]]-PA[[#This Row],[Fault Time]])*24)</f>
        <v>13.049999999999999</v>
      </c>
      <c r="AG126" s="82">
        <f>IFERROR((PA[[#This Row],[Work Completion time on fault]]-PA[[#This Row],[Fault Time]])*24,"")</f>
        <v>13.049999999999999</v>
      </c>
      <c r="AH126" s="183" t="s">
        <v>2660</v>
      </c>
      <c r="AI126" s="178" t="s">
        <v>422</v>
      </c>
      <c r="AJ126" s="68">
        <f>IFERROR(PA[[#This Row],[Breakdown Time]]*PA[[#This Row],[Plant Equivalent Weightage]],"")</f>
        <v>1.2197462778767557E-3</v>
      </c>
      <c r="AK126" s="117">
        <v>7.48</v>
      </c>
      <c r="AL126" s="116">
        <f>IF(PA[[#This Row],[Lost PoA(Wh/m2)]]&gt;0,_xlfn.XLOOKUP($B126,'Daily KPI'!$A:$A,'Daily KPI'!$AE:$AE)*PA[[#This Row],[Lost PoA(Wh/m2)]]*U126,0)</f>
        <v>191.50982833571464</v>
      </c>
      <c r="AM126" s="176" t="s">
        <v>2553</v>
      </c>
    </row>
    <row r="127" spans="1:39" ht="14" customHeight="1">
      <c r="A127" s="177">
        <f t="shared" si="2"/>
        <v>124</v>
      </c>
      <c r="B127" s="185">
        <v>45795</v>
      </c>
      <c r="C127" s="178" t="s">
        <v>477</v>
      </c>
      <c r="D127" s="6">
        <f>YEAR(PA[[#This Row],[Date]])</f>
        <v>2025</v>
      </c>
      <c r="E127" s="178" t="s">
        <v>361</v>
      </c>
      <c r="F127" s="178" t="s">
        <v>361</v>
      </c>
      <c r="G127" s="179">
        <v>45778</v>
      </c>
      <c r="H127" s="176">
        <f>DAY(EOMONTH(PA[[#This Row],[Month Year]],0))</f>
        <v>31</v>
      </c>
      <c r="I127" s="180">
        <f>VLOOKUP(PA[[#This Row],[Date]],Raw_Data[#All],9,0)</f>
        <v>0.26319444444444445</v>
      </c>
      <c r="J127" s="180">
        <f>VLOOKUP(PA[[#This Row],[Date]],Raw_Data[#All],10,0)</f>
        <v>0.80694444444444446</v>
      </c>
      <c r="K127" s="68">
        <f>IFERROR((PA[[#This Row],[Sunset Time (POA&lt;20 W/m2)]]-PA[[#This Row],[Sunrise Time (POA&gt;20 W/m2)]])*24,"")</f>
        <v>13.049999999999999</v>
      </c>
      <c r="L127" s="178" t="s">
        <v>416</v>
      </c>
      <c r="M127" s="178" t="s">
        <v>414</v>
      </c>
      <c r="N127" s="178" t="s">
        <v>402</v>
      </c>
      <c r="O127" s="178" t="s">
        <v>403</v>
      </c>
      <c r="P127" s="178" t="s">
        <v>448</v>
      </c>
      <c r="Q127" s="178"/>
      <c r="R127" s="176">
        <f>IF((PA[[#This Row],[String Type(If String BD)]]&amp;PA[[#This Row],[Equipment (If any BD other than PV  array and inv)]])="",1,0)</f>
        <v>0</v>
      </c>
      <c r="S127" s="6">
        <f>IF(PA[[#This Row],[String Type(If String BD)]]="",1,0)</f>
        <v>0</v>
      </c>
      <c r="T1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27" s="68">
        <f>IFERROR(VLOOKUP(PA[[#This Row],[Affected Equipment ]],'Basic Data '!$A$1:$B$1846,2,0),"")</f>
        <v>31.61</v>
      </c>
      <c r="V127" s="143">
        <f>IFERROR(VLOOKUP(PA[[#This Row],[Affected Equipment ]],'Basic Data '!$A$1:$C$1846,3,0),"")</f>
        <v>9.4332584283075336E-5</v>
      </c>
      <c r="W127" s="178" t="s">
        <v>398</v>
      </c>
      <c r="X127" s="110" t="s">
        <v>410</v>
      </c>
      <c r="Y127" s="183" t="s">
        <v>411</v>
      </c>
      <c r="Z127" s="109">
        <v>0.26319444444444445</v>
      </c>
      <c r="AA127" s="109">
        <v>0.26319444444444445</v>
      </c>
      <c r="AB127" s="109">
        <v>0.26319444444444445</v>
      </c>
      <c r="AC127" s="109">
        <v>0.80694444444444446</v>
      </c>
      <c r="AD127" s="82">
        <f>IF(PA[[#This Row],[Acknowledgement Time ]]="NA","",(PA[[#This Row],[Acknowledgement Time ]]-PA[[#This Row],[Fault Time]])*24)</f>
        <v>0</v>
      </c>
      <c r="AE127" s="82">
        <f>IF(PA[[#This Row],[Work Start time on Fault]]="NA","",(PA[[#This Row],[Work Start time on Fault]]-PA[[#This Row],[Fault Time]])*24)</f>
        <v>0</v>
      </c>
      <c r="AF127" s="111">
        <f>IF(PA[[#This Row],[Status]]="Open","",(PA[[#This Row],[Work Completion time on fault]]-PA[[#This Row],[Fault Time]])*24)</f>
        <v>13.049999999999999</v>
      </c>
      <c r="AG127" s="82">
        <f>IFERROR((PA[[#This Row],[Work Completion time on fault]]-PA[[#This Row],[Fault Time]])*24,"")</f>
        <v>13.049999999999999</v>
      </c>
      <c r="AH127" s="183" t="s">
        <v>2660</v>
      </c>
      <c r="AI127" s="178" t="s">
        <v>422</v>
      </c>
      <c r="AJ127" s="68">
        <f>IFERROR(PA[[#This Row],[Breakdown Time]]*PA[[#This Row],[Plant Equivalent Weightage]],"")</f>
        <v>1.2310402248941331E-3</v>
      </c>
      <c r="AK127" s="117">
        <v>7.48</v>
      </c>
      <c r="AL127" s="116">
        <f>IF(PA[[#This Row],[Lost PoA(Wh/m2)]]&gt;0,_xlfn.XLOOKUP($B127,'Daily KPI'!$A:$A,'Daily KPI'!$AE:$AE)*PA[[#This Row],[Lost PoA(Wh/m2)]]*U127,0)</f>
        <v>193.28306748697125</v>
      </c>
      <c r="AM127" s="176" t="s">
        <v>2553</v>
      </c>
    </row>
    <row r="128" spans="1:39" ht="14" customHeight="1">
      <c r="A128" s="177">
        <f t="shared" si="2"/>
        <v>125</v>
      </c>
      <c r="B128" s="185">
        <v>45795</v>
      </c>
      <c r="C128" s="178" t="s">
        <v>477</v>
      </c>
      <c r="D128" s="6">
        <f>YEAR(PA[[#This Row],[Date]])</f>
        <v>2025</v>
      </c>
      <c r="E128" s="178" t="s">
        <v>361</v>
      </c>
      <c r="F128" s="178" t="s">
        <v>361</v>
      </c>
      <c r="G128" s="179">
        <v>45778</v>
      </c>
      <c r="H128" s="176">
        <f>DAY(EOMONTH(PA[[#This Row],[Month Year]],0))</f>
        <v>31</v>
      </c>
      <c r="I128" s="180">
        <f>VLOOKUP(PA[[#This Row],[Date]],Raw_Data[#All],9,0)</f>
        <v>0.26319444444444445</v>
      </c>
      <c r="J128" s="180">
        <f>VLOOKUP(PA[[#This Row],[Date]],Raw_Data[#All],10,0)</f>
        <v>0.80694444444444446</v>
      </c>
      <c r="K128" s="68">
        <f>IFERROR((PA[[#This Row],[Sunset Time (POA&lt;20 W/m2)]]-PA[[#This Row],[Sunrise Time (POA&gt;20 W/m2)]])*24,"")</f>
        <v>13.049999999999999</v>
      </c>
      <c r="L128" s="178" t="s">
        <v>438</v>
      </c>
      <c r="M128" s="178" t="s">
        <v>401</v>
      </c>
      <c r="N128" s="178" t="s">
        <v>402</v>
      </c>
      <c r="O128" s="178" t="s">
        <v>442</v>
      </c>
      <c r="P128" s="178" t="s">
        <v>397</v>
      </c>
      <c r="Q128" s="178"/>
      <c r="R128" s="176">
        <f>IF((PA[[#This Row],[String Type(If String BD)]]&amp;PA[[#This Row],[Equipment (If any BD other than PV  array and inv)]])="",1,0)</f>
        <v>0</v>
      </c>
      <c r="S128" s="6">
        <f>IF(PA[[#This Row],[String Type(If String BD)]]="",1,0)</f>
        <v>0</v>
      </c>
      <c r="T1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8" s="68">
        <f>IFERROR(VLOOKUP(PA[[#This Row],[Affected Equipment ]],'Basic Data '!$A$1:$B$1846,2,0),"")</f>
        <v>25.81</v>
      </c>
      <c r="V128" s="143">
        <f>IFERROR(VLOOKUP(PA[[#This Row],[Affected Equipment ]],'Basic Data '!$A$1:$C$1846,3,0),"")</f>
        <v>7.7023853221960597E-5</v>
      </c>
      <c r="W128" s="178" t="s">
        <v>398</v>
      </c>
      <c r="X128" s="110" t="s">
        <v>410</v>
      </c>
      <c r="Y128" s="183" t="s">
        <v>411</v>
      </c>
      <c r="Z128" s="109">
        <v>0.26319444444444445</v>
      </c>
      <c r="AA128" s="109">
        <v>0.26319444444444445</v>
      </c>
      <c r="AB128" s="109">
        <v>0.26319444444444445</v>
      </c>
      <c r="AC128" s="109">
        <v>0.80694444444444446</v>
      </c>
      <c r="AD128" s="82">
        <f>IF(PA[[#This Row],[Acknowledgement Time ]]="NA","",(PA[[#This Row],[Acknowledgement Time ]]-PA[[#This Row],[Fault Time]])*24)</f>
        <v>0</v>
      </c>
      <c r="AE128" s="82">
        <f>IF(PA[[#This Row],[Work Start time on Fault]]="NA","",(PA[[#This Row],[Work Start time on Fault]]-PA[[#This Row],[Fault Time]])*24)</f>
        <v>0</v>
      </c>
      <c r="AF128" s="111">
        <f>IF(PA[[#This Row],[Status]]="Open","",(PA[[#This Row],[Work Completion time on fault]]-PA[[#This Row],[Fault Time]])*24)</f>
        <v>13.049999999999999</v>
      </c>
      <c r="AG128" s="82">
        <f>IFERROR((PA[[#This Row],[Work Completion time on fault]]-PA[[#This Row],[Fault Time]])*24,"")</f>
        <v>13.049999999999999</v>
      </c>
      <c r="AH128" s="183" t="s">
        <v>2660</v>
      </c>
      <c r="AI128" s="178" t="s">
        <v>422</v>
      </c>
      <c r="AJ128" s="68">
        <f>IFERROR(PA[[#This Row],[Breakdown Time]]*PA[[#This Row],[Plant Equivalent Weightage]],"")</f>
        <v>1.0051612845465858E-3</v>
      </c>
      <c r="AK128" s="117">
        <v>7.48</v>
      </c>
      <c r="AL128" s="116">
        <f>IF(PA[[#This Row],[Lost PoA(Wh/m2)]]&gt;0,_xlfn.XLOOKUP($B128,'Daily KPI'!$A:$A,'Daily KPI'!$AE:$AE)*PA[[#This Row],[Lost PoA(Wh/m2)]]*U128,0)</f>
        <v>157.81828446183891</v>
      </c>
      <c r="AM128" s="176" t="s">
        <v>2553</v>
      </c>
    </row>
    <row r="129" spans="1:39" ht="14" customHeight="1">
      <c r="A129" s="177">
        <f t="shared" si="2"/>
        <v>126</v>
      </c>
      <c r="B129" s="185">
        <v>45795</v>
      </c>
      <c r="C129" s="178" t="s">
        <v>477</v>
      </c>
      <c r="D129" s="6">
        <f>YEAR(PA[[#This Row],[Date]])</f>
        <v>2025</v>
      </c>
      <c r="E129" s="178" t="s">
        <v>361</v>
      </c>
      <c r="F129" s="178" t="s">
        <v>361</v>
      </c>
      <c r="G129" s="179">
        <v>45778</v>
      </c>
      <c r="H129" s="176">
        <f>DAY(EOMONTH(PA[[#This Row],[Month Year]],0))</f>
        <v>31</v>
      </c>
      <c r="I129" s="180">
        <f>VLOOKUP(PA[[#This Row],[Date]],Raw_Data[#All],9,0)</f>
        <v>0.26319444444444445</v>
      </c>
      <c r="J129" s="180">
        <f>VLOOKUP(PA[[#This Row],[Date]],Raw_Data[#All],10,0)</f>
        <v>0.80694444444444446</v>
      </c>
      <c r="K129" s="68">
        <f>IFERROR((PA[[#This Row],[Sunset Time (POA&lt;20 W/m2)]]-PA[[#This Row],[Sunrise Time (POA&gt;20 W/m2)]])*24,"")</f>
        <v>13.049999999999999</v>
      </c>
      <c r="L129" s="178" t="s">
        <v>438</v>
      </c>
      <c r="M129" s="178" t="s">
        <v>401</v>
      </c>
      <c r="N129" s="178" t="s">
        <v>402</v>
      </c>
      <c r="O129" s="178" t="s">
        <v>409</v>
      </c>
      <c r="P129" s="178" t="s">
        <v>397</v>
      </c>
      <c r="Q129" s="178"/>
      <c r="R129" s="176">
        <f>IF((PA[[#This Row],[String Type(If String BD)]]&amp;PA[[#This Row],[Equipment (If any BD other than PV  array and inv)]])="",1,0)</f>
        <v>0</v>
      </c>
      <c r="S129" s="6">
        <f>IF(PA[[#This Row],[String Type(If String BD)]]="",1,0)</f>
        <v>0</v>
      </c>
      <c r="T1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9" s="68">
        <f>IFERROR(VLOOKUP(PA[[#This Row],[Affected Equipment ]],'Basic Data '!$A$1:$B$1846,2,0),"")</f>
        <v>25.81</v>
      </c>
      <c r="V129" s="143">
        <f>IFERROR(VLOOKUP(PA[[#This Row],[Affected Equipment ]],'Basic Data '!$A$1:$C$1846,3,0),"")</f>
        <v>7.7023853221960597E-5</v>
      </c>
      <c r="W129" s="178" t="s">
        <v>398</v>
      </c>
      <c r="X129" s="110" t="s">
        <v>410</v>
      </c>
      <c r="Y129" s="183" t="s">
        <v>411</v>
      </c>
      <c r="Z129" s="109">
        <v>0.26319444444444445</v>
      </c>
      <c r="AA129" s="109">
        <v>0.26319444444444445</v>
      </c>
      <c r="AB129" s="109">
        <v>0.26319444444444445</v>
      </c>
      <c r="AC129" s="109">
        <v>0.80694444444444446</v>
      </c>
      <c r="AD129" s="82">
        <f>IF(PA[[#This Row],[Acknowledgement Time ]]="NA","",(PA[[#This Row],[Acknowledgement Time ]]-PA[[#This Row],[Fault Time]])*24)</f>
        <v>0</v>
      </c>
      <c r="AE129" s="82">
        <f>IF(PA[[#This Row],[Work Start time on Fault]]="NA","",(PA[[#This Row],[Work Start time on Fault]]-PA[[#This Row],[Fault Time]])*24)</f>
        <v>0</v>
      </c>
      <c r="AF129" s="111">
        <f>IF(PA[[#This Row],[Status]]="Open","",(PA[[#This Row],[Work Completion time on fault]]-PA[[#This Row],[Fault Time]])*24)</f>
        <v>13.049999999999999</v>
      </c>
      <c r="AG129" s="82">
        <f>IFERROR((PA[[#This Row],[Work Completion time on fault]]-PA[[#This Row],[Fault Time]])*24,"")</f>
        <v>13.049999999999999</v>
      </c>
      <c r="AH129" s="183" t="s">
        <v>2660</v>
      </c>
      <c r="AI129" s="178" t="s">
        <v>422</v>
      </c>
      <c r="AJ129" s="68">
        <f>IFERROR(PA[[#This Row],[Breakdown Time]]*PA[[#This Row],[Plant Equivalent Weightage]],"")</f>
        <v>1.0051612845465858E-3</v>
      </c>
      <c r="AK129" s="117">
        <v>7.48</v>
      </c>
      <c r="AL129" s="116">
        <f>IF(PA[[#This Row],[Lost PoA(Wh/m2)]]&gt;0,_xlfn.XLOOKUP($B129,'Daily KPI'!$A:$A,'Daily KPI'!$AE:$AE)*PA[[#This Row],[Lost PoA(Wh/m2)]]*U129,0)</f>
        <v>157.81828446183891</v>
      </c>
      <c r="AM129" s="176" t="s">
        <v>2553</v>
      </c>
    </row>
    <row r="130" spans="1:39" ht="14" customHeight="1">
      <c r="A130" s="177">
        <f t="shared" si="2"/>
        <v>127</v>
      </c>
      <c r="B130" s="185">
        <v>45795</v>
      </c>
      <c r="C130" s="178" t="s">
        <v>477</v>
      </c>
      <c r="D130" s="6">
        <f>YEAR(PA[[#This Row],[Date]])</f>
        <v>2025</v>
      </c>
      <c r="E130" s="178" t="s">
        <v>361</v>
      </c>
      <c r="F130" s="178" t="s">
        <v>361</v>
      </c>
      <c r="G130" s="179">
        <v>45778</v>
      </c>
      <c r="H130" s="176">
        <f>DAY(EOMONTH(PA[[#This Row],[Month Year]],0))</f>
        <v>31</v>
      </c>
      <c r="I130" s="180">
        <f>VLOOKUP(PA[[#This Row],[Date]],Raw_Data[#All],9,0)</f>
        <v>0.26319444444444445</v>
      </c>
      <c r="J130" s="180">
        <f>VLOOKUP(PA[[#This Row],[Date]],Raw_Data[#All],10,0)</f>
        <v>0.80694444444444446</v>
      </c>
      <c r="K130" s="68">
        <f>IFERROR((PA[[#This Row],[Sunset Time (POA&lt;20 W/m2)]]-PA[[#This Row],[Sunrise Time (POA&gt;20 W/m2)]])*24,"")</f>
        <v>13.049999999999999</v>
      </c>
      <c r="L130" s="178" t="s">
        <v>444</v>
      </c>
      <c r="M130" s="178" t="s">
        <v>401</v>
      </c>
      <c r="N130" s="178" t="s">
        <v>402</v>
      </c>
      <c r="O130" s="178" t="s">
        <v>406</v>
      </c>
      <c r="P130" s="178" t="s">
        <v>445</v>
      </c>
      <c r="Q130" s="178"/>
      <c r="R130" s="176">
        <f>IF((PA[[#This Row],[String Type(If String BD)]]&amp;PA[[#This Row],[Equipment (If any BD other than PV  array and inv)]])="",1,0)</f>
        <v>0</v>
      </c>
      <c r="S130" s="6">
        <f>IF(PA[[#This Row],[String Type(If String BD)]]="",1,0)</f>
        <v>0</v>
      </c>
      <c r="T1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0" s="68">
        <f>IFERROR(VLOOKUP(PA[[#This Row],[Affected Equipment ]],'Basic Data '!$A$1:$B$1846,2,0),"")</f>
        <v>26.1</v>
      </c>
      <c r="V130" s="143">
        <f>IFERROR(VLOOKUP(PA[[#This Row],[Affected Equipment ]],'Basic Data '!$A$1:$C$1846,3,0),"")</f>
        <v>7.7889289775016346E-5</v>
      </c>
      <c r="W130" s="178" t="s">
        <v>398</v>
      </c>
      <c r="X130" s="110" t="s">
        <v>410</v>
      </c>
      <c r="Y130" s="183" t="s">
        <v>411</v>
      </c>
      <c r="Z130" s="109">
        <v>0.26319444444444445</v>
      </c>
      <c r="AA130" s="109">
        <v>0.26319444444444445</v>
      </c>
      <c r="AB130" s="109">
        <v>0.26319444444444445</v>
      </c>
      <c r="AC130" s="109">
        <v>0.80694444444444446</v>
      </c>
      <c r="AD130" s="82">
        <f>IF(PA[[#This Row],[Acknowledgement Time ]]="NA","",(PA[[#This Row],[Acknowledgement Time ]]-PA[[#This Row],[Fault Time]])*24)</f>
        <v>0</v>
      </c>
      <c r="AE130" s="82">
        <f>IF(PA[[#This Row],[Work Start time on Fault]]="NA","",(PA[[#This Row],[Work Start time on Fault]]-PA[[#This Row],[Fault Time]])*24)</f>
        <v>0</v>
      </c>
      <c r="AF130" s="111">
        <f>IF(PA[[#This Row],[Status]]="Open","",(PA[[#This Row],[Work Completion time on fault]]-PA[[#This Row],[Fault Time]])*24)</f>
        <v>13.049999999999999</v>
      </c>
      <c r="AG130" s="82">
        <f>IFERROR((PA[[#This Row],[Work Completion time on fault]]-PA[[#This Row],[Fault Time]])*24,"")</f>
        <v>13.049999999999999</v>
      </c>
      <c r="AH130" s="183" t="s">
        <v>2660</v>
      </c>
      <c r="AI130" s="178" t="s">
        <v>422</v>
      </c>
      <c r="AJ130" s="68">
        <f>IFERROR(PA[[#This Row],[Breakdown Time]]*PA[[#This Row],[Plant Equivalent Weightage]],"")</f>
        <v>1.0164552315639632E-3</v>
      </c>
      <c r="AK130" s="117">
        <v>7.48</v>
      </c>
      <c r="AL130" s="116">
        <f>IF(PA[[#This Row],[Lost PoA(Wh/m2)]]&gt;0,_xlfn.XLOOKUP($B130,'Daily KPI'!$A:$A,'Daily KPI'!$AE:$AE)*PA[[#This Row],[Lost PoA(Wh/m2)]]*U130,0)</f>
        <v>159.59152361309555</v>
      </c>
      <c r="AM130" s="176" t="s">
        <v>2553</v>
      </c>
    </row>
    <row r="131" spans="1:39" ht="14" customHeight="1">
      <c r="A131" s="177">
        <f t="shared" si="2"/>
        <v>128</v>
      </c>
      <c r="B131" s="185">
        <v>45796</v>
      </c>
      <c r="C131" s="178" t="s">
        <v>477</v>
      </c>
      <c r="D131" s="18">
        <f>YEAR(PA[[#This Row],[Date]])</f>
        <v>2025</v>
      </c>
      <c r="E131" s="178" t="s">
        <v>361</v>
      </c>
      <c r="F131" s="178" t="s">
        <v>361</v>
      </c>
      <c r="G131" s="179">
        <v>45778</v>
      </c>
      <c r="H131" s="176">
        <f>DAY(EOMONTH(PA[[#This Row],[Month Year]],0))</f>
        <v>31</v>
      </c>
      <c r="I131" s="180">
        <f>VLOOKUP(PA[[#This Row],[Date]],Raw_Data[#All],9,0)</f>
        <v>0.26180555555555557</v>
      </c>
      <c r="J131" s="180">
        <f>VLOOKUP(PA[[#This Row],[Date]],Raw_Data[#All],10,0)</f>
        <v>0.80763888888888891</v>
      </c>
      <c r="K131" s="68">
        <f>IFERROR((PA[[#This Row],[Sunset Time (POA&lt;20 W/m2)]]-PA[[#This Row],[Sunrise Time (POA&gt;20 W/m2)]])*24,"")</f>
        <v>13.100000000000001</v>
      </c>
      <c r="L131" s="251" t="s">
        <v>393</v>
      </c>
      <c r="M131" s="251" t="s">
        <v>414</v>
      </c>
      <c r="N131" s="251" t="s">
        <v>395</v>
      </c>
      <c r="O131" s="251" t="s">
        <v>417</v>
      </c>
      <c r="P131" s="251" t="s">
        <v>397</v>
      </c>
      <c r="Q131" s="178"/>
      <c r="R131" s="18">
        <f>IF((PA[[#This Row],[String Type(If String BD)]]&amp;PA[[#This Row],[Equipment (If any BD other than PV  array and inv)]])="",1,0)</f>
        <v>0</v>
      </c>
      <c r="S131" s="18">
        <f>IF(PA[[#This Row],[String Type(If String BD)]]="",1,0)</f>
        <v>0</v>
      </c>
      <c r="T13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1" s="74">
        <f>IFERROR(VLOOKUP(PA[[#This Row],[Affected Equipment ]],'Basic Data '!$A$1:$B$1846,2,0),"")</f>
        <v>25.81</v>
      </c>
      <c r="V131" s="144">
        <f>IFERROR(VLOOKUP(PA[[#This Row],[Affected Equipment ]],'Basic Data '!$A$1:$C$1846,3,0),"")</f>
        <v>7.7023853221960597E-5</v>
      </c>
      <c r="W131" s="178" t="s">
        <v>398</v>
      </c>
      <c r="X131" s="110" t="s">
        <v>410</v>
      </c>
      <c r="Y131" s="183" t="s">
        <v>411</v>
      </c>
      <c r="Z131" s="109">
        <v>0.26180555555555557</v>
      </c>
      <c r="AA131" s="109">
        <v>0.26180555555555557</v>
      </c>
      <c r="AB131" s="109">
        <v>0.26180555555555557</v>
      </c>
      <c r="AC131" s="109">
        <v>0.80763888888888891</v>
      </c>
      <c r="AD131" s="82">
        <f>IF(PA[[#This Row],[Acknowledgement Time ]]="NA","",(PA[[#This Row],[Acknowledgement Time ]]-PA[[#This Row],[Fault Time]])*24)</f>
        <v>0</v>
      </c>
      <c r="AE131" s="82">
        <f>IF(PA[[#This Row],[Work Start time on Fault]]="NA","",(PA[[#This Row],[Work Start time on Fault]]-PA[[#This Row],[Fault Time]])*24)</f>
        <v>0</v>
      </c>
      <c r="AF131" s="111">
        <f>IF(PA[[#This Row],[Status]]="Open","",(PA[[#This Row],[Work Completion time on fault]]-PA[[#This Row],[Fault Time]])*24)</f>
        <v>13.100000000000001</v>
      </c>
      <c r="AG131" s="82">
        <f>IFERROR((PA[[#This Row],[Work Completion time on fault]]-PA[[#This Row],[Fault Time]])*24,"")</f>
        <v>13.100000000000001</v>
      </c>
      <c r="AH131" s="183" t="s">
        <v>2660</v>
      </c>
      <c r="AI131" s="84" t="s">
        <v>422</v>
      </c>
      <c r="AJ131" s="74">
        <f>IFERROR(PA[[#This Row],[Breakdown Time]]*PA[[#This Row],[Plant Equivalent Weightage]],"")</f>
        <v>1.0090124772076838E-3</v>
      </c>
      <c r="AK131" s="117">
        <v>7.56</v>
      </c>
      <c r="AL131" s="116">
        <f>IF(PA[[#This Row],[Lost PoA(Wh/m2)]]&gt;0,_xlfn.XLOOKUP($B131,'Daily KPI'!$A:$A,'Daily KPI'!$AE:$AE)*PA[[#This Row],[Lost PoA(Wh/m2)]]*U131,0)</f>
        <v>159.50618055233986</v>
      </c>
      <c r="AM131" s="176" t="s">
        <v>2556</v>
      </c>
    </row>
    <row r="132" spans="1:39" ht="14" customHeight="1">
      <c r="A132" s="177">
        <f t="shared" si="2"/>
        <v>129</v>
      </c>
      <c r="B132" s="185">
        <v>45796</v>
      </c>
      <c r="C132" s="178" t="s">
        <v>477</v>
      </c>
      <c r="D132" s="6">
        <f>YEAR(PA[[#This Row],[Date]])</f>
        <v>2025</v>
      </c>
      <c r="E132" s="178" t="s">
        <v>361</v>
      </c>
      <c r="F132" s="178" t="s">
        <v>361</v>
      </c>
      <c r="G132" s="179">
        <v>45778</v>
      </c>
      <c r="H132" s="176">
        <f>DAY(EOMONTH(PA[[#This Row],[Month Year]],0))</f>
        <v>31</v>
      </c>
      <c r="I132" s="180">
        <f>VLOOKUP(PA[[#This Row],[Date]],Raw_Data[#All],9,0)</f>
        <v>0.26180555555555557</v>
      </c>
      <c r="J132" s="180">
        <f>VLOOKUP(PA[[#This Row],[Date]],Raw_Data[#All],10,0)</f>
        <v>0.80763888888888891</v>
      </c>
      <c r="K132" s="68">
        <f>IFERROR((PA[[#This Row],[Sunset Time (POA&lt;20 W/m2)]]-PA[[#This Row],[Sunrise Time (POA&gt;20 W/m2)]])*24,"")</f>
        <v>13.100000000000001</v>
      </c>
      <c r="L132" s="178" t="s">
        <v>430</v>
      </c>
      <c r="M132" s="178" t="s">
        <v>408</v>
      </c>
      <c r="N132" s="178" t="s">
        <v>395</v>
      </c>
      <c r="O132" s="178" t="s">
        <v>403</v>
      </c>
      <c r="P132" s="178" t="s">
        <v>397</v>
      </c>
      <c r="Q132" s="178"/>
      <c r="R132" s="6">
        <f>IF((PA[[#This Row],[String Type(If String BD)]]&amp;PA[[#This Row],[Equipment (If any BD other than PV  array and inv)]])="",1,0)</f>
        <v>0</v>
      </c>
      <c r="S132" s="6">
        <f>IF(PA[[#This Row],[String Type(If String BD)]]="",1,0)</f>
        <v>0</v>
      </c>
      <c r="T1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2" s="68">
        <f>IFERROR(VLOOKUP(PA[[#This Row],[Affected Equipment ]],'Basic Data '!$A$1:$B$1846,2,0),"")</f>
        <v>25.81</v>
      </c>
      <c r="V132" s="143">
        <f>IFERROR(VLOOKUP(PA[[#This Row],[Affected Equipment ]],'Basic Data '!$A$1:$C$1846,3,0),"")</f>
        <v>7.7023853221960597E-5</v>
      </c>
      <c r="W132" s="178" t="s">
        <v>398</v>
      </c>
      <c r="X132" s="110" t="s">
        <v>410</v>
      </c>
      <c r="Y132" s="183" t="s">
        <v>411</v>
      </c>
      <c r="Z132" s="109">
        <v>0.26180555555555557</v>
      </c>
      <c r="AA132" s="109">
        <v>0.26180555555555557</v>
      </c>
      <c r="AB132" s="109">
        <v>0.26180555555555557</v>
      </c>
      <c r="AC132" s="109">
        <v>0.80763888888888891</v>
      </c>
      <c r="AD132" s="82">
        <f>IF(PA[[#This Row],[Acknowledgement Time ]]="NA","",(PA[[#This Row],[Acknowledgement Time ]]-PA[[#This Row],[Fault Time]])*24)</f>
        <v>0</v>
      </c>
      <c r="AE132" s="82">
        <f>IF(PA[[#This Row],[Work Start time on Fault]]="NA","",(PA[[#This Row],[Work Start time on Fault]]-PA[[#This Row],[Fault Time]])*24)</f>
        <v>0</v>
      </c>
      <c r="AF132" s="111">
        <f>IF(PA[[#This Row],[Status]]="Open","",(PA[[#This Row],[Work Completion time on fault]]-PA[[#This Row],[Fault Time]])*24)</f>
        <v>13.100000000000001</v>
      </c>
      <c r="AG132" s="82">
        <f>IFERROR((PA[[#This Row],[Work Completion time on fault]]-PA[[#This Row],[Fault Time]])*24,"")</f>
        <v>13.100000000000001</v>
      </c>
      <c r="AH132" s="183" t="s">
        <v>2660</v>
      </c>
      <c r="AI132" s="178" t="s">
        <v>422</v>
      </c>
      <c r="AJ132" s="68">
        <f>IFERROR(PA[[#This Row],[Breakdown Time]]*PA[[#This Row],[Plant Equivalent Weightage]],"")</f>
        <v>1.0090124772076838E-3</v>
      </c>
      <c r="AK132" s="117">
        <v>7.56</v>
      </c>
      <c r="AL132" s="116">
        <f>IF(PA[[#This Row],[Lost PoA(Wh/m2)]]&gt;0,_xlfn.XLOOKUP($B132,'Daily KPI'!$A:$A,'Daily KPI'!$AE:$AE)*PA[[#This Row],[Lost PoA(Wh/m2)]]*U132,0)</f>
        <v>159.50618055233986</v>
      </c>
      <c r="AM132" s="176" t="s">
        <v>2556</v>
      </c>
    </row>
    <row r="133" spans="1:39" ht="14" customHeight="1">
      <c r="A133" s="177">
        <f t="shared" si="2"/>
        <v>130</v>
      </c>
      <c r="B133" s="185">
        <v>45796</v>
      </c>
      <c r="C133" s="178" t="s">
        <v>477</v>
      </c>
      <c r="D133" s="6">
        <f>YEAR(PA[[#This Row],[Date]])</f>
        <v>2025</v>
      </c>
      <c r="E133" s="178" t="s">
        <v>361</v>
      </c>
      <c r="F133" s="178" t="s">
        <v>361</v>
      </c>
      <c r="G133" s="179">
        <v>45778</v>
      </c>
      <c r="H133" s="176">
        <f>DAY(EOMONTH(PA[[#This Row],[Month Year]],0))</f>
        <v>31</v>
      </c>
      <c r="I133" s="180">
        <f>VLOOKUP(PA[[#This Row],[Date]],Raw_Data[#All],9,0)</f>
        <v>0.26180555555555557</v>
      </c>
      <c r="J133" s="180">
        <f>VLOOKUP(PA[[#This Row],[Date]],Raw_Data[#All],10,0)</f>
        <v>0.80763888888888891</v>
      </c>
      <c r="K133" s="68">
        <f>IFERROR((PA[[#This Row],[Sunset Time (POA&lt;20 W/m2)]]-PA[[#This Row],[Sunrise Time (POA&gt;20 W/m2)]])*24,"")</f>
        <v>13.100000000000001</v>
      </c>
      <c r="L133" s="178" t="s">
        <v>441</v>
      </c>
      <c r="M133" s="178" t="s">
        <v>394</v>
      </c>
      <c r="N133" s="178" t="s">
        <v>395</v>
      </c>
      <c r="O133" s="178" t="s">
        <v>412</v>
      </c>
      <c r="P133" s="178" t="s">
        <v>445</v>
      </c>
      <c r="Q133" s="178"/>
      <c r="R133" s="6">
        <f>IF((PA[[#This Row],[String Type(If String BD)]]&amp;PA[[#This Row],[Equipment (If any BD other than PV  array and inv)]])="",1,0)</f>
        <v>0</v>
      </c>
      <c r="S133" s="6">
        <f>IF(PA[[#This Row],[String Type(If String BD)]]="",1,0)</f>
        <v>0</v>
      </c>
      <c r="T1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3" s="68">
        <f>IFERROR(VLOOKUP(PA[[#This Row],[Affected Equipment ]],'Basic Data '!$A$1:$B$1846,2,0),"")</f>
        <v>26.1</v>
      </c>
      <c r="V133" s="143">
        <f>IFERROR(VLOOKUP(PA[[#This Row],[Affected Equipment ]],'Basic Data '!$A$1:$C$1846,3,0),"")</f>
        <v>7.7889289775016346E-5</v>
      </c>
      <c r="W133" s="178" t="s">
        <v>398</v>
      </c>
      <c r="X133" s="110" t="s">
        <v>410</v>
      </c>
      <c r="Y133" s="183" t="s">
        <v>411</v>
      </c>
      <c r="Z133" s="109">
        <v>0.26180555555555557</v>
      </c>
      <c r="AA133" s="109">
        <v>0.26180555555555557</v>
      </c>
      <c r="AB133" s="109">
        <v>0.26180555555555557</v>
      </c>
      <c r="AC133" s="109">
        <v>0.80763888888888891</v>
      </c>
      <c r="AD133" s="82">
        <f>IF(PA[[#This Row],[Acknowledgement Time ]]="NA","",(PA[[#This Row],[Acknowledgement Time ]]-PA[[#This Row],[Fault Time]])*24)</f>
        <v>0</v>
      </c>
      <c r="AE133" s="82">
        <f>IF(PA[[#This Row],[Work Start time on Fault]]="NA","",(PA[[#This Row],[Work Start time on Fault]]-PA[[#This Row],[Fault Time]])*24)</f>
        <v>0</v>
      </c>
      <c r="AF133" s="111">
        <f>IF(PA[[#This Row],[Status]]="Open","",(PA[[#This Row],[Work Completion time on fault]]-PA[[#This Row],[Fault Time]])*24)</f>
        <v>13.100000000000001</v>
      </c>
      <c r="AG133" s="82">
        <f>IFERROR((PA[[#This Row],[Work Completion time on fault]]-PA[[#This Row],[Fault Time]])*24,"")</f>
        <v>13.100000000000001</v>
      </c>
      <c r="AH133" s="183" t="s">
        <v>2660</v>
      </c>
      <c r="AI133" s="178" t="s">
        <v>422</v>
      </c>
      <c r="AJ133" s="68">
        <f>IFERROR(PA[[#This Row],[Breakdown Time]]*PA[[#This Row],[Plant Equivalent Weightage]],"")</f>
        <v>1.0203496960527142E-3</v>
      </c>
      <c r="AK133" s="117">
        <v>7.56</v>
      </c>
      <c r="AL133" s="116">
        <f>IF(PA[[#This Row],[Lost PoA(Wh/m2)]]&gt;0,_xlfn.XLOOKUP($B133,'Daily KPI'!$A:$A,'Daily KPI'!$AE:$AE)*PA[[#This Row],[Lost PoA(Wh/m2)]]*U133,0)</f>
        <v>161.29838482820884</v>
      </c>
      <c r="AM133" s="176" t="s">
        <v>2556</v>
      </c>
    </row>
    <row r="134" spans="1:39" ht="14" customHeight="1">
      <c r="A134" s="177">
        <f t="shared" ref="A134:A197" si="3">A133+1</f>
        <v>131</v>
      </c>
      <c r="B134" s="185">
        <v>45796</v>
      </c>
      <c r="C134" s="178" t="s">
        <v>477</v>
      </c>
      <c r="D134" s="6">
        <f>YEAR(PA[[#This Row],[Date]])</f>
        <v>2025</v>
      </c>
      <c r="E134" s="178" t="s">
        <v>361</v>
      </c>
      <c r="F134" s="178" t="s">
        <v>361</v>
      </c>
      <c r="G134" s="179">
        <v>45778</v>
      </c>
      <c r="H134" s="176">
        <f>DAY(EOMONTH(PA[[#This Row],[Month Year]],0))</f>
        <v>31</v>
      </c>
      <c r="I134" s="180">
        <f>VLOOKUP(PA[[#This Row],[Date]],Raw_Data[#All],9,0)</f>
        <v>0.26180555555555557</v>
      </c>
      <c r="J134" s="180">
        <f>VLOOKUP(PA[[#This Row],[Date]],Raw_Data[#All],10,0)</f>
        <v>0.80763888888888891</v>
      </c>
      <c r="K134" s="68">
        <f>IFERROR((PA[[#This Row],[Sunset Time (POA&lt;20 W/m2)]]-PA[[#This Row],[Sunrise Time (POA&gt;20 W/m2)]])*24,"")</f>
        <v>13.100000000000001</v>
      </c>
      <c r="L134" s="178" t="s">
        <v>400</v>
      </c>
      <c r="M134" s="178" t="s">
        <v>408</v>
      </c>
      <c r="N134" s="178" t="s">
        <v>402</v>
      </c>
      <c r="O134" s="178" t="s">
        <v>412</v>
      </c>
      <c r="P134" s="178" t="s">
        <v>404</v>
      </c>
      <c r="Q134" s="178"/>
      <c r="R134" s="6">
        <f>IF((PA[[#This Row],[String Type(If String BD)]]&amp;PA[[#This Row],[Equipment (If any BD other than PV  array and inv)]])="",1,0)</f>
        <v>0</v>
      </c>
      <c r="S134" s="6">
        <f>IF(PA[[#This Row],[String Type(If String BD)]]="",1,0)</f>
        <v>0</v>
      </c>
      <c r="T1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4" s="68">
        <f>IFERROR(VLOOKUP(PA[[#This Row],[Affected Equipment ]],'Basic Data '!$A$1:$B$1846,2,0),"")</f>
        <v>31.32</v>
      </c>
      <c r="V134" s="143">
        <f>IFERROR(VLOOKUP(PA[[#This Row],[Affected Equipment ]],'Basic Data '!$A$1:$C$1846,3,0),"")</f>
        <v>9.3467147730019601E-5</v>
      </c>
      <c r="W134" s="178" t="s">
        <v>398</v>
      </c>
      <c r="X134" s="110" t="s">
        <v>410</v>
      </c>
      <c r="Y134" s="183" t="s">
        <v>411</v>
      </c>
      <c r="Z134" s="109">
        <v>0.26180555555555557</v>
      </c>
      <c r="AA134" s="109">
        <v>0.26180555555555557</v>
      </c>
      <c r="AB134" s="109">
        <v>0.26180555555555557</v>
      </c>
      <c r="AC134" s="109">
        <v>0.80763888888888891</v>
      </c>
      <c r="AD134" s="82">
        <f>IF(PA[[#This Row],[Acknowledgement Time ]]="NA","",(PA[[#This Row],[Acknowledgement Time ]]-PA[[#This Row],[Fault Time]])*24)</f>
        <v>0</v>
      </c>
      <c r="AE134" s="82">
        <f>IF(PA[[#This Row],[Work Start time on Fault]]="NA","",(PA[[#This Row],[Work Start time on Fault]]-PA[[#This Row],[Fault Time]])*24)</f>
        <v>0</v>
      </c>
      <c r="AF134" s="111">
        <f>IF(PA[[#This Row],[Status]]="Open","",(PA[[#This Row],[Work Completion time on fault]]-PA[[#This Row],[Fault Time]])*24)</f>
        <v>13.100000000000001</v>
      </c>
      <c r="AG134" s="82">
        <f>IFERROR((PA[[#This Row],[Work Completion time on fault]]-PA[[#This Row],[Fault Time]])*24,"")</f>
        <v>13.100000000000001</v>
      </c>
      <c r="AH134" s="183" t="s">
        <v>2660</v>
      </c>
      <c r="AI134" s="178" t="s">
        <v>422</v>
      </c>
      <c r="AJ134" s="68">
        <f>IFERROR(PA[[#This Row],[Breakdown Time]]*PA[[#This Row],[Plant Equivalent Weightage]],"")</f>
        <v>1.224419635263257E-3</v>
      </c>
      <c r="AK134" s="117">
        <v>7.56</v>
      </c>
      <c r="AL134" s="116">
        <f>IF(PA[[#This Row],[Lost PoA(Wh/m2)]]&gt;0,_xlfn.XLOOKUP($B134,'Daily KPI'!$A:$A,'Daily KPI'!$AE:$AE)*PA[[#This Row],[Lost PoA(Wh/m2)]]*U134,0)</f>
        <v>193.55806179385061</v>
      </c>
      <c r="AM134" s="176" t="s">
        <v>2556</v>
      </c>
    </row>
    <row r="135" spans="1:39" ht="14" customHeight="1">
      <c r="A135" s="177">
        <f t="shared" si="3"/>
        <v>132</v>
      </c>
      <c r="B135" s="185">
        <v>45796</v>
      </c>
      <c r="C135" s="178" t="s">
        <v>477</v>
      </c>
      <c r="D135" s="6">
        <f>YEAR(PA[[#This Row],[Date]])</f>
        <v>2025</v>
      </c>
      <c r="E135" s="178" t="s">
        <v>361</v>
      </c>
      <c r="F135" s="178" t="s">
        <v>361</v>
      </c>
      <c r="G135" s="179">
        <v>45778</v>
      </c>
      <c r="H135" s="176">
        <f>DAY(EOMONTH(PA[[#This Row],[Month Year]],0))</f>
        <v>31</v>
      </c>
      <c r="I135" s="180">
        <f>VLOOKUP(PA[[#This Row],[Date]],Raw_Data[#All],9,0)</f>
        <v>0.26180555555555557</v>
      </c>
      <c r="J135" s="180">
        <f>VLOOKUP(PA[[#This Row],[Date]],Raw_Data[#All],10,0)</f>
        <v>0.80763888888888891</v>
      </c>
      <c r="K135" s="68">
        <f>IFERROR((PA[[#This Row],[Sunset Time (POA&lt;20 W/m2)]]-PA[[#This Row],[Sunrise Time (POA&gt;20 W/m2)]])*24,"")</f>
        <v>13.100000000000001</v>
      </c>
      <c r="L135" s="178" t="s">
        <v>400</v>
      </c>
      <c r="M135" s="178" t="s">
        <v>408</v>
      </c>
      <c r="N135" s="178" t="s">
        <v>402</v>
      </c>
      <c r="O135" s="178" t="s">
        <v>412</v>
      </c>
      <c r="P135" s="178" t="s">
        <v>404</v>
      </c>
      <c r="Q135" s="178"/>
      <c r="R135" s="6">
        <f>IF((PA[[#This Row],[String Type(If String BD)]]&amp;PA[[#This Row],[Equipment (If any BD other than PV  array and inv)]])="",1,0)</f>
        <v>0</v>
      </c>
      <c r="S135" s="6">
        <f>IF(PA[[#This Row],[String Type(If String BD)]]="",1,0)</f>
        <v>0</v>
      </c>
      <c r="T1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5" s="68">
        <f>IFERROR(VLOOKUP(PA[[#This Row],[Affected Equipment ]],'Basic Data '!$A$1:$B$1846,2,0),"")</f>
        <v>31.32</v>
      </c>
      <c r="V135" s="143">
        <f>IFERROR(VLOOKUP(PA[[#This Row],[Affected Equipment ]],'Basic Data '!$A$1:$C$1846,3,0),"")</f>
        <v>9.3467147730019601E-5</v>
      </c>
      <c r="W135" s="178" t="s">
        <v>398</v>
      </c>
      <c r="X135" s="110" t="s">
        <v>410</v>
      </c>
      <c r="Y135" s="183" t="s">
        <v>411</v>
      </c>
      <c r="Z135" s="109">
        <v>0.26180555555555557</v>
      </c>
      <c r="AA135" s="109">
        <v>0.26180555555555557</v>
      </c>
      <c r="AB135" s="109">
        <v>0.26180555555555557</v>
      </c>
      <c r="AC135" s="109">
        <v>0.80763888888888891</v>
      </c>
      <c r="AD135" s="82">
        <f>IF(PA[[#This Row],[Acknowledgement Time ]]="NA","",(PA[[#This Row],[Acknowledgement Time ]]-PA[[#This Row],[Fault Time]])*24)</f>
        <v>0</v>
      </c>
      <c r="AE135" s="82">
        <f>IF(PA[[#This Row],[Work Start time on Fault]]="NA","",(PA[[#This Row],[Work Start time on Fault]]-PA[[#This Row],[Fault Time]])*24)</f>
        <v>0</v>
      </c>
      <c r="AF135" s="111">
        <f>IF(PA[[#This Row],[Status]]="Open","",(PA[[#This Row],[Work Completion time on fault]]-PA[[#This Row],[Fault Time]])*24)</f>
        <v>13.100000000000001</v>
      </c>
      <c r="AG135" s="82">
        <f>IFERROR((PA[[#This Row],[Work Completion time on fault]]-PA[[#This Row],[Fault Time]])*24,"")</f>
        <v>13.100000000000001</v>
      </c>
      <c r="AH135" s="183" t="s">
        <v>2660</v>
      </c>
      <c r="AI135" s="178" t="s">
        <v>422</v>
      </c>
      <c r="AJ135" s="68">
        <f>IFERROR(PA[[#This Row],[Breakdown Time]]*PA[[#This Row],[Plant Equivalent Weightage]],"")</f>
        <v>1.224419635263257E-3</v>
      </c>
      <c r="AK135" s="117">
        <v>7.56</v>
      </c>
      <c r="AL135" s="116">
        <f>IF(PA[[#This Row],[Lost PoA(Wh/m2)]]&gt;0,_xlfn.XLOOKUP($B135,'Daily KPI'!$A:$A,'Daily KPI'!$AE:$AE)*PA[[#This Row],[Lost PoA(Wh/m2)]]*U135,0)</f>
        <v>193.55806179385061</v>
      </c>
      <c r="AM135" s="176" t="s">
        <v>2556</v>
      </c>
    </row>
    <row r="136" spans="1:39" ht="14" customHeight="1">
      <c r="A136" s="177">
        <f t="shared" si="3"/>
        <v>133</v>
      </c>
      <c r="B136" s="185">
        <v>45796</v>
      </c>
      <c r="C136" s="178" t="s">
        <v>477</v>
      </c>
      <c r="D136" s="6">
        <f>YEAR(PA[[#This Row],[Date]])</f>
        <v>2025</v>
      </c>
      <c r="E136" s="178" t="s">
        <v>361</v>
      </c>
      <c r="F136" s="178" t="s">
        <v>361</v>
      </c>
      <c r="G136" s="179">
        <v>45778</v>
      </c>
      <c r="H136" s="176">
        <f>DAY(EOMONTH(PA[[#This Row],[Month Year]],0))</f>
        <v>31</v>
      </c>
      <c r="I136" s="180">
        <f>VLOOKUP(PA[[#This Row],[Date]],Raw_Data[#All],9,0)</f>
        <v>0.26180555555555557</v>
      </c>
      <c r="J136" s="180">
        <f>VLOOKUP(PA[[#This Row],[Date]],Raw_Data[#All],10,0)</f>
        <v>0.80763888888888891</v>
      </c>
      <c r="K136" s="68">
        <f>IFERROR((PA[[#This Row],[Sunset Time (POA&lt;20 W/m2)]]-PA[[#This Row],[Sunrise Time (POA&gt;20 W/m2)]])*24,"")</f>
        <v>13.100000000000001</v>
      </c>
      <c r="L136" s="178" t="s">
        <v>400</v>
      </c>
      <c r="M136" s="178" t="s">
        <v>408</v>
      </c>
      <c r="N136" s="178" t="s">
        <v>402</v>
      </c>
      <c r="O136" s="178" t="s">
        <v>413</v>
      </c>
      <c r="P136" s="178" t="s">
        <v>404</v>
      </c>
      <c r="Q136" s="178"/>
      <c r="R136" s="6">
        <f>IF((PA[[#This Row],[String Type(If String BD)]]&amp;PA[[#This Row],[Equipment (If any BD other than PV  array and inv)]])="",1,0)</f>
        <v>0</v>
      </c>
      <c r="S136" s="6">
        <f>IF(PA[[#This Row],[String Type(If String BD)]]="",1,0)</f>
        <v>0</v>
      </c>
      <c r="T1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6" s="68">
        <f>IFERROR(VLOOKUP(PA[[#This Row],[Affected Equipment ]],'Basic Data '!$A$1:$B$1846,2,0),"")</f>
        <v>31.32</v>
      </c>
      <c r="V136" s="143">
        <f>IFERROR(VLOOKUP(PA[[#This Row],[Affected Equipment ]],'Basic Data '!$A$1:$C$1846,3,0),"")</f>
        <v>9.3467147730019601E-5</v>
      </c>
      <c r="W136" s="178" t="s">
        <v>398</v>
      </c>
      <c r="X136" s="110" t="s">
        <v>410</v>
      </c>
      <c r="Y136" s="183" t="s">
        <v>411</v>
      </c>
      <c r="Z136" s="109">
        <v>0.26180555555555557</v>
      </c>
      <c r="AA136" s="109">
        <v>0.26180555555555557</v>
      </c>
      <c r="AB136" s="109">
        <v>0.26180555555555557</v>
      </c>
      <c r="AC136" s="109">
        <v>0.80763888888888891</v>
      </c>
      <c r="AD136" s="82">
        <f>IF(PA[[#This Row],[Acknowledgement Time ]]="NA","",(PA[[#This Row],[Acknowledgement Time ]]-PA[[#This Row],[Fault Time]])*24)</f>
        <v>0</v>
      </c>
      <c r="AE136" s="82">
        <f>IF(PA[[#This Row],[Work Start time on Fault]]="NA","",(PA[[#This Row],[Work Start time on Fault]]-PA[[#This Row],[Fault Time]])*24)</f>
        <v>0</v>
      </c>
      <c r="AF136" s="111">
        <f>IF(PA[[#This Row],[Status]]="Open","",(PA[[#This Row],[Work Completion time on fault]]-PA[[#This Row],[Fault Time]])*24)</f>
        <v>13.100000000000001</v>
      </c>
      <c r="AG136" s="82">
        <f>IFERROR((PA[[#This Row],[Work Completion time on fault]]-PA[[#This Row],[Fault Time]])*24,"")</f>
        <v>13.100000000000001</v>
      </c>
      <c r="AH136" s="183" t="s">
        <v>2660</v>
      </c>
      <c r="AI136" s="178" t="s">
        <v>422</v>
      </c>
      <c r="AJ136" s="68">
        <f>IFERROR(PA[[#This Row],[Breakdown Time]]*PA[[#This Row],[Plant Equivalent Weightage]],"")</f>
        <v>1.224419635263257E-3</v>
      </c>
      <c r="AK136" s="117">
        <v>7.56</v>
      </c>
      <c r="AL136" s="116">
        <f>IF(PA[[#This Row],[Lost PoA(Wh/m2)]]&gt;0,_xlfn.XLOOKUP($B136,'Daily KPI'!$A:$A,'Daily KPI'!$AE:$AE)*PA[[#This Row],[Lost PoA(Wh/m2)]]*U136,0)</f>
        <v>193.55806179385061</v>
      </c>
      <c r="AM136" s="176" t="s">
        <v>2556</v>
      </c>
    </row>
    <row r="137" spans="1:39" ht="14" customHeight="1">
      <c r="A137" s="177">
        <f t="shared" si="3"/>
        <v>134</v>
      </c>
      <c r="B137" s="185">
        <v>45796</v>
      </c>
      <c r="C137" s="178" t="s">
        <v>477</v>
      </c>
      <c r="D137" s="6">
        <f>YEAR(PA[[#This Row],[Date]])</f>
        <v>2025</v>
      </c>
      <c r="E137" s="178" t="s">
        <v>361</v>
      </c>
      <c r="F137" s="178" t="s">
        <v>361</v>
      </c>
      <c r="G137" s="179">
        <v>45778</v>
      </c>
      <c r="H137" s="176">
        <f>DAY(EOMONTH(PA[[#This Row],[Month Year]],0))</f>
        <v>31</v>
      </c>
      <c r="I137" s="180">
        <f>VLOOKUP(PA[[#This Row],[Date]],Raw_Data[#All],9,0)</f>
        <v>0.26180555555555557</v>
      </c>
      <c r="J137" s="180">
        <f>VLOOKUP(PA[[#This Row],[Date]],Raw_Data[#All],10,0)</f>
        <v>0.80763888888888891</v>
      </c>
      <c r="K137" s="68">
        <f>IFERROR((PA[[#This Row],[Sunset Time (POA&lt;20 W/m2)]]-PA[[#This Row],[Sunrise Time (POA&gt;20 W/m2)]])*24,"")</f>
        <v>13.100000000000001</v>
      </c>
      <c r="L137" s="178" t="s">
        <v>400</v>
      </c>
      <c r="M137" s="178" t="s">
        <v>408</v>
      </c>
      <c r="N137" s="178" t="s">
        <v>395</v>
      </c>
      <c r="O137" s="178" t="s">
        <v>409</v>
      </c>
      <c r="P137" s="178" t="s">
        <v>404</v>
      </c>
      <c r="Q137" s="178"/>
      <c r="R137" s="6">
        <f>IF((PA[[#This Row],[String Type(If String BD)]]&amp;PA[[#This Row],[Equipment (If any BD other than PV  array and inv)]])="",1,0)</f>
        <v>0</v>
      </c>
      <c r="S137" s="6">
        <f>IF(PA[[#This Row],[String Type(If String BD)]]="",1,0)</f>
        <v>0</v>
      </c>
      <c r="T1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7" s="68">
        <f>IFERROR(VLOOKUP(PA[[#This Row],[Affected Equipment ]],'Basic Data '!$A$1:$B$1846,2,0),"")</f>
        <v>31.32</v>
      </c>
      <c r="V137" s="143">
        <f>IFERROR(VLOOKUP(PA[[#This Row],[Affected Equipment ]],'Basic Data '!$A$1:$C$1846,3,0),"")</f>
        <v>9.3467147730019601E-5</v>
      </c>
      <c r="W137" s="178" t="s">
        <v>398</v>
      </c>
      <c r="X137" s="110" t="s">
        <v>410</v>
      </c>
      <c r="Y137" s="183" t="s">
        <v>411</v>
      </c>
      <c r="Z137" s="109">
        <v>0.26180555555555557</v>
      </c>
      <c r="AA137" s="109">
        <v>0.26180555555555557</v>
      </c>
      <c r="AB137" s="109">
        <v>0.26180555555555557</v>
      </c>
      <c r="AC137" s="109">
        <v>0.80763888888888891</v>
      </c>
      <c r="AD137" s="82">
        <f>IF(PA[[#This Row],[Acknowledgement Time ]]="NA","",(PA[[#This Row],[Acknowledgement Time ]]-PA[[#This Row],[Fault Time]])*24)</f>
        <v>0</v>
      </c>
      <c r="AE137" s="82">
        <f>IF(PA[[#This Row],[Work Start time on Fault]]="NA","",(PA[[#This Row],[Work Start time on Fault]]-PA[[#This Row],[Fault Time]])*24)</f>
        <v>0</v>
      </c>
      <c r="AF137" s="111">
        <f>IF(PA[[#This Row],[Status]]="Open","",(PA[[#This Row],[Work Completion time on fault]]-PA[[#This Row],[Fault Time]])*24)</f>
        <v>13.100000000000001</v>
      </c>
      <c r="AG137" s="82">
        <f>IFERROR((PA[[#This Row],[Work Completion time on fault]]-PA[[#This Row],[Fault Time]])*24,"")</f>
        <v>13.100000000000001</v>
      </c>
      <c r="AH137" s="183" t="s">
        <v>2660</v>
      </c>
      <c r="AI137" s="178" t="s">
        <v>422</v>
      </c>
      <c r="AJ137" s="68">
        <f>IFERROR(PA[[#This Row],[Breakdown Time]]*PA[[#This Row],[Plant Equivalent Weightage]],"")</f>
        <v>1.224419635263257E-3</v>
      </c>
      <c r="AK137" s="117">
        <v>7.56</v>
      </c>
      <c r="AL137" s="116">
        <f>IF(PA[[#This Row],[Lost PoA(Wh/m2)]]&gt;0,_xlfn.XLOOKUP($B137,'Daily KPI'!$A:$A,'Daily KPI'!$AE:$AE)*PA[[#This Row],[Lost PoA(Wh/m2)]]*U137,0)</f>
        <v>193.55806179385061</v>
      </c>
      <c r="AM137" s="176" t="s">
        <v>2556</v>
      </c>
    </row>
    <row r="138" spans="1:39" ht="14" customHeight="1">
      <c r="A138" s="177">
        <f t="shared" si="3"/>
        <v>135</v>
      </c>
      <c r="B138" s="185">
        <v>45796</v>
      </c>
      <c r="C138" s="178" t="s">
        <v>477</v>
      </c>
      <c r="D138" s="6">
        <f>YEAR(PA[[#This Row],[Date]])</f>
        <v>2025</v>
      </c>
      <c r="E138" s="178" t="s">
        <v>361</v>
      </c>
      <c r="F138" s="178" t="s">
        <v>361</v>
      </c>
      <c r="G138" s="179">
        <v>45778</v>
      </c>
      <c r="H138" s="176">
        <f>DAY(EOMONTH(PA[[#This Row],[Month Year]],0))</f>
        <v>31</v>
      </c>
      <c r="I138" s="180">
        <f>VLOOKUP(PA[[#This Row],[Date]],Raw_Data[#All],9,0)</f>
        <v>0.26180555555555557</v>
      </c>
      <c r="J138" s="180">
        <f>VLOOKUP(PA[[#This Row],[Date]],Raw_Data[#All],10,0)</f>
        <v>0.80763888888888891</v>
      </c>
      <c r="K138" s="68">
        <f>IFERROR((PA[[#This Row],[Sunset Time (POA&lt;20 W/m2)]]-PA[[#This Row],[Sunrise Time (POA&gt;20 W/m2)]])*24,"")</f>
        <v>13.100000000000001</v>
      </c>
      <c r="L138" s="178" t="s">
        <v>407</v>
      </c>
      <c r="M138" s="178" t="s">
        <v>401</v>
      </c>
      <c r="N138" s="178" t="s">
        <v>402</v>
      </c>
      <c r="O138" s="178" t="s">
        <v>415</v>
      </c>
      <c r="P138" s="178" t="s">
        <v>404</v>
      </c>
      <c r="Q138" s="178"/>
      <c r="R138" s="6">
        <f>IF((PA[[#This Row],[String Type(If String BD)]]&amp;PA[[#This Row],[Equipment (If any BD other than PV  array and inv)]])="",1,0)</f>
        <v>0</v>
      </c>
      <c r="S138" s="6">
        <f>IF(PA[[#This Row],[String Type(If String BD)]]="",1,0)</f>
        <v>0</v>
      </c>
      <c r="T1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8" s="68">
        <f>IFERROR(VLOOKUP(PA[[#This Row],[Affected Equipment ]],'Basic Data '!$A$1:$B$1846,2,0),"")</f>
        <v>31.32</v>
      </c>
      <c r="V138" s="143">
        <f>IFERROR(VLOOKUP(PA[[#This Row],[Affected Equipment ]],'Basic Data '!$A$1:$C$1846,3,0),"")</f>
        <v>9.3467147730019601E-5</v>
      </c>
      <c r="W138" s="178" t="s">
        <v>398</v>
      </c>
      <c r="X138" s="110" t="s">
        <v>410</v>
      </c>
      <c r="Y138" s="183" t="s">
        <v>411</v>
      </c>
      <c r="Z138" s="109">
        <v>0.26180555555555557</v>
      </c>
      <c r="AA138" s="109">
        <v>0.26180555555555557</v>
      </c>
      <c r="AB138" s="109">
        <v>0.26180555555555557</v>
      </c>
      <c r="AC138" s="109">
        <v>0.80763888888888891</v>
      </c>
      <c r="AD138" s="82">
        <f>IF(PA[[#This Row],[Acknowledgement Time ]]="NA","",(PA[[#This Row],[Acknowledgement Time ]]-PA[[#This Row],[Fault Time]])*24)</f>
        <v>0</v>
      </c>
      <c r="AE138" s="82">
        <f>IF(PA[[#This Row],[Work Start time on Fault]]="NA","",(PA[[#This Row],[Work Start time on Fault]]-PA[[#This Row],[Fault Time]])*24)</f>
        <v>0</v>
      </c>
      <c r="AF138" s="111">
        <f>IF(PA[[#This Row],[Status]]="Open","",(PA[[#This Row],[Work Completion time on fault]]-PA[[#This Row],[Fault Time]])*24)</f>
        <v>13.100000000000001</v>
      </c>
      <c r="AG138" s="82">
        <f>IFERROR((PA[[#This Row],[Work Completion time on fault]]-PA[[#This Row],[Fault Time]])*24,"")</f>
        <v>13.100000000000001</v>
      </c>
      <c r="AH138" s="183" t="s">
        <v>2660</v>
      </c>
      <c r="AI138" s="178" t="s">
        <v>422</v>
      </c>
      <c r="AJ138" s="68">
        <f>IFERROR(PA[[#This Row],[Breakdown Time]]*PA[[#This Row],[Plant Equivalent Weightage]],"")</f>
        <v>1.224419635263257E-3</v>
      </c>
      <c r="AK138" s="117">
        <v>7.56</v>
      </c>
      <c r="AL138" s="116">
        <f>IF(PA[[#This Row],[Lost PoA(Wh/m2)]]&gt;0,_xlfn.XLOOKUP($B138,'Daily KPI'!$A:$A,'Daily KPI'!$AE:$AE)*PA[[#This Row],[Lost PoA(Wh/m2)]]*U138,0)</f>
        <v>193.55806179385061</v>
      </c>
      <c r="AM138" s="176" t="s">
        <v>2556</v>
      </c>
    </row>
    <row r="139" spans="1:39" ht="14" customHeight="1">
      <c r="A139" s="177">
        <f t="shared" si="3"/>
        <v>136</v>
      </c>
      <c r="B139" s="185">
        <v>45797</v>
      </c>
      <c r="C139" s="178" t="s">
        <v>477</v>
      </c>
      <c r="D139" s="6">
        <f>YEAR(PA[[#This Row],[Date]])</f>
        <v>2025</v>
      </c>
      <c r="E139" s="178" t="s">
        <v>361</v>
      </c>
      <c r="F139" s="178" t="s">
        <v>361</v>
      </c>
      <c r="G139" s="179">
        <v>45778</v>
      </c>
      <c r="H139" s="176">
        <f>DAY(EOMONTH(PA[[#This Row],[Month Year]],0))</f>
        <v>31</v>
      </c>
      <c r="I139" s="180">
        <f>VLOOKUP(PA[[#This Row],[Date]],Raw_Data[#All],9,0)</f>
        <v>0.26250000000000001</v>
      </c>
      <c r="J139" s="180">
        <f>VLOOKUP(PA[[#This Row],[Date]],Raw_Data[#All],10,0)</f>
        <v>0.80833333333333335</v>
      </c>
      <c r="K139" s="68">
        <f>IFERROR((PA[[#This Row],[Sunset Time (POA&lt;20 W/m2)]]-PA[[#This Row],[Sunrise Time (POA&gt;20 W/m2)]])*24,"")</f>
        <v>13.100000000000001</v>
      </c>
      <c r="L139" s="178" t="s">
        <v>423</v>
      </c>
      <c r="M139" s="178" t="s">
        <v>414</v>
      </c>
      <c r="N139" s="178" t="s">
        <v>395</v>
      </c>
      <c r="O139" s="178" t="s">
        <v>403</v>
      </c>
      <c r="P139" s="178" t="s">
        <v>404</v>
      </c>
      <c r="Q139" s="178"/>
      <c r="R139" s="6">
        <f>IF((PA[[#This Row],[String Type(If String BD)]]&amp;PA[[#This Row],[Equipment (If any BD other than PV  array and inv)]])="",1,0)</f>
        <v>0</v>
      </c>
      <c r="S139" s="6">
        <f>IF(PA[[#This Row],[String Type(If String BD)]]="",1,0)</f>
        <v>0</v>
      </c>
      <c r="T1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9" s="68">
        <f>IFERROR(VLOOKUP(PA[[#This Row],[Affected Equipment ]],'Basic Data '!$A$1:$B$1846,2,0),"")</f>
        <v>31.32</v>
      </c>
      <c r="V139" s="143">
        <f>IFERROR(VLOOKUP(PA[[#This Row],[Affected Equipment ]],'Basic Data '!$A$1:$C$1846,3,0),"")</f>
        <v>9.3467147730019601E-5</v>
      </c>
      <c r="W139" s="178" t="s">
        <v>398</v>
      </c>
      <c r="X139" s="110" t="s">
        <v>410</v>
      </c>
      <c r="Y139" s="183" t="s">
        <v>411</v>
      </c>
      <c r="Z139" s="109">
        <v>0.26250000000000001</v>
      </c>
      <c r="AA139" s="109">
        <v>0.26250000000000001</v>
      </c>
      <c r="AB139" s="109">
        <v>0.26250000000000001</v>
      </c>
      <c r="AC139" s="109">
        <v>0.80833333333333335</v>
      </c>
      <c r="AD139" s="82">
        <f>IF(PA[[#This Row],[Acknowledgement Time ]]="NA","",(PA[[#This Row],[Acknowledgement Time ]]-PA[[#This Row],[Fault Time]])*24)</f>
        <v>0</v>
      </c>
      <c r="AE139" s="82">
        <f>IF(PA[[#This Row],[Work Start time on Fault]]="NA","",(PA[[#This Row],[Work Start time on Fault]]-PA[[#This Row],[Fault Time]])*24)</f>
        <v>0</v>
      </c>
      <c r="AF139" s="111">
        <f>IF(PA[[#This Row],[Status]]="Open","",(PA[[#This Row],[Work Completion time on fault]]-PA[[#This Row],[Fault Time]])*24)</f>
        <v>13.100000000000001</v>
      </c>
      <c r="AG139" s="82">
        <f>IFERROR((PA[[#This Row],[Work Completion time on fault]]-PA[[#This Row],[Fault Time]])*24,"")</f>
        <v>13.100000000000001</v>
      </c>
      <c r="AH139" s="183" t="s">
        <v>2660</v>
      </c>
      <c r="AI139" s="178" t="s">
        <v>422</v>
      </c>
      <c r="AJ139" s="68">
        <f>IFERROR(PA[[#This Row],[Breakdown Time]]*PA[[#This Row],[Plant Equivalent Weightage]],"")</f>
        <v>1.224419635263257E-3</v>
      </c>
      <c r="AK139" s="117">
        <v>7.5</v>
      </c>
      <c r="AL139" s="116">
        <f>IF(PA[[#This Row],[Lost PoA(Wh/m2)]]&gt;0,_xlfn.XLOOKUP($B139,'Daily KPI'!$A:$A,'Daily KPI'!$AE:$AE)*PA[[#This Row],[Lost PoA(Wh/m2)]]*U139,0)</f>
        <v>192.02188670024864</v>
      </c>
      <c r="AM139" s="176" t="s">
        <v>2553</v>
      </c>
    </row>
    <row r="140" spans="1:39" ht="14" customHeight="1">
      <c r="A140" s="177">
        <f t="shared" si="3"/>
        <v>137</v>
      </c>
      <c r="B140" s="185">
        <v>45797</v>
      </c>
      <c r="C140" s="178" t="s">
        <v>477</v>
      </c>
      <c r="D140" s="6">
        <f>YEAR(PA[[#This Row],[Date]])</f>
        <v>2025</v>
      </c>
      <c r="E140" s="178" t="s">
        <v>361</v>
      </c>
      <c r="F140" s="178" t="s">
        <v>361</v>
      </c>
      <c r="G140" s="179">
        <v>45778</v>
      </c>
      <c r="H140" s="176">
        <f>DAY(EOMONTH(PA[[#This Row],[Month Year]],0))</f>
        <v>31</v>
      </c>
      <c r="I140" s="180">
        <f>VLOOKUP(PA[[#This Row],[Date]],Raw_Data[#All],9,0)</f>
        <v>0.26250000000000001</v>
      </c>
      <c r="J140" s="180">
        <f>VLOOKUP(PA[[#This Row],[Date]],Raw_Data[#All],10,0)</f>
        <v>0.80833333333333335</v>
      </c>
      <c r="K140" s="68">
        <f>IFERROR((PA[[#This Row],[Sunset Time (POA&lt;20 W/m2)]]-PA[[#This Row],[Sunrise Time (POA&gt;20 W/m2)]])*24,"")</f>
        <v>13.100000000000001</v>
      </c>
      <c r="L140" s="178" t="s">
        <v>419</v>
      </c>
      <c r="M140" s="178" t="s">
        <v>414</v>
      </c>
      <c r="N140" s="178" t="s">
        <v>395</v>
      </c>
      <c r="O140" s="178" t="s">
        <v>417</v>
      </c>
      <c r="P140" s="178" t="s">
        <v>404</v>
      </c>
      <c r="Q140" s="178"/>
      <c r="R140" s="6">
        <f>IF((PA[[#This Row],[String Type(If String BD)]]&amp;PA[[#This Row],[Equipment (If any BD other than PV  array and inv)]])="",1,0)</f>
        <v>0</v>
      </c>
      <c r="S140" s="6">
        <f>IF(PA[[#This Row],[String Type(If String BD)]]="",1,0)</f>
        <v>0</v>
      </c>
      <c r="T1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0" s="68">
        <f>IFERROR(VLOOKUP(PA[[#This Row],[Affected Equipment ]],'Basic Data '!$A$1:$B$1846,2,0),"")</f>
        <v>31.32</v>
      </c>
      <c r="V140" s="143">
        <f>IFERROR(VLOOKUP(PA[[#This Row],[Affected Equipment ]],'Basic Data '!$A$1:$C$1846,3,0),"")</f>
        <v>9.3467147730019601E-5</v>
      </c>
      <c r="W140" s="178" t="s">
        <v>398</v>
      </c>
      <c r="X140" s="110" t="s">
        <v>410</v>
      </c>
      <c r="Y140" s="183" t="s">
        <v>411</v>
      </c>
      <c r="Z140" s="109">
        <v>0.26250000000000001</v>
      </c>
      <c r="AA140" s="109">
        <v>0.26250000000000001</v>
      </c>
      <c r="AB140" s="109">
        <v>0.26250000000000001</v>
      </c>
      <c r="AC140" s="109">
        <v>0.80833333333333335</v>
      </c>
      <c r="AD140" s="82">
        <f>IF(PA[[#This Row],[Acknowledgement Time ]]="NA","",(PA[[#This Row],[Acknowledgement Time ]]-PA[[#This Row],[Fault Time]])*24)</f>
        <v>0</v>
      </c>
      <c r="AE140" s="82">
        <f>IF(PA[[#This Row],[Work Start time on Fault]]="NA","",(PA[[#This Row],[Work Start time on Fault]]-PA[[#This Row],[Fault Time]])*24)</f>
        <v>0</v>
      </c>
      <c r="AF140" s="111">
        <f>IF(PA[[#This Row],[Status]]="Open","",(PA[[#This Row],[Work Completion time on fault]]-PA[[#This Row],[Fault Time]])*24)</f>
        <v>13.100000000000001</v>
      </c>
      <c r="AG140" s="82">
        <f>IFERROR((PA[[#This Row],[Work Completion time on fault]]-PA[[#This Row],[Fault Time]])*24,"")</f>
        <v>13.100000000000001</v>
      </c>
      <c r="AH140" s="183" t="s">
        <v>2660</v>
      </c>
      <c r="AI140" s="178" t="s">
        <v>422</v>
      </c>
      <c r="AJ140" s="68">
        <f>IFERROR(PA[[#This Row],[Breakdown Time]]*PA[[#This Row],[Plant Equivalent Weightage]],"")</f>
        <v>1.224419635263257E-3</v>
      </c>
      <c r="AK140" s="117">
        <v>7.5</v>
      </c>
      <c r="AL140" s="116">
        <f>IF(PA[[#This Row],[Lost PoA(Wh/m2)]]&gt;0,_xlfn.XLOOKUP($B140,'Daily KPI'!$A:$A,'Daily KPI'!$AE:$AE)*PA[[#This Row],[Lost PoA(Wh/m2)]]*U140,0)</f>
        <v>192.02188670024864</v>
      </c>
      <c r="AM140" s="176" t="s">
        <v>2553</v>
      </c>
    </row>
    <row r="141" spans="1:39" ht="14" customHeight="1">
      <c r="A141" s="177">
        <f t="shared" si="3"/>
        <v>138</v>
      </c>
      <c r="B141" s="185">
        <v>45797</v>
      </c>
      <c r="C141" s="178" t="s">
        <v>477</v>
      </c>
      <c r="D141" s="6">
        <f>YEAR(PA[[#This Row],[Date]])</f>
        <v>2025</v>
      </c>
      <c r="E141" s="178" t="s">
        <v>361</v>
      </c>
      <c r="F141" s="178" t="s">
        <v>361</v>
      </c>
      <c r="G141" s="179">
        <v>45778</v>
      </c>
      <c r="H141" s="176">
        <f>DAY(EOMONTH(PA[[#This Row],[Month Year]],0))</f>
        <v>31</v>
      </c>
      <c r="I141" s="180">
        <f>VLOOKUP(PA[[#This Row],[Date]],Raw_Data[#All],9,0)</f>
        <v>0.26250000000000001</v>
      </c>
      <c r="J141" s="180">
        <f>VLOOKUP(PA[[#This Row],[Date]],Raw_Data[#All],10,0)</f>
        <v>0.80833333333333335</v>
      </c>
      <c r="K141" s="68">
        <f>IFERROR((PA[[#This Row],[Sunset Time (POA&lt;20 W/m2)]]-PA[[#This Row],[Sunrise Time (POA&gt;20 W/m2)]])*24,"")</f>
        <v>13.100000000000001</v>
      </c>
      <c r="L141" s="178" t="s">
        <v>419</v>
      </c>
      <c r="M141" s="178" t="s">
        <v>414</v>
      </c>
      <c r="N141" s="178" t="s">
        <v>402</v>
      </c>
      <c r="O141" s="178" t="s">
        <v>406</v>
      </c>
      <c r="P141" s="178" t="s">
        <v>404</v>
      </c>
      <c r="Q141" s="178"/>
      <c r="R141" s="6">
        <f>IF((PA[[#This Row],[String Type(If String BD)]]&amp;PA[[#This Row],[Equipment (If any BD other than PV  array and inv)]])="",1,0)</f>
        <v>0</v>
      </c>
      <c r="S141" s="6">
        <f>IF(PA[[#This Row],[String Type(If String BD)]]="",1,0)</f>
        <v>0</v>
      </c>
      <c r="T1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1" s="68">
        <f>IFERROR(VLOOKUP(PA[[#This Row],[Affected Equipment ]],'Basic Data '!$A$1:$B$1846,2,0),"")</f>
        <v>31.32</v>
      </c>
      <c r="V141" s="143">
        <f>IFERROR(VLOOKUP(PA[[#This Row],[Affected Equipment ]],'Basic Data '!$A$1:$C$1846,3,0),"")</f>
        <v>9.3467147730019601E-5</v>
      </c>
      <c r="W141" s="178" t="s">
        <v>398</v>
      </c>
      <c r="X141" s="110" t="s">
        <v>410</v>
      </c>
      <c r="Y141" s="183" t="s">
        <v>411</v>
      </c>
      <c r="Z141" s="109">
        <v>0.26250000000000001</v>
      </c>
      <c r="AA141" s="109">
        <v>0.26250000000000001</v>
      </c>
      <c r="AB141" s="109">
        <v>0.26250000000000001</v>
      </c>
      <c r="AC141" s="109">
        <v>0.80833333333333335</v>
      </c>
      <c r="AD141" s="82">
        <f>IF(PA[[#This Row],[Acknowledgement Time ]]="NA","",(PA[[#This Row],[Acknowledgement Time ]]-PA[[#This Row],[Fault Time]])*24)</f>
        <v>0</v>
      </c>
      <c r="AE141" s="82">
        <f>IF(PA[[#This Row],[Work Start time on Fault]]="NA","",(PA[[#This Row],[Work Start time on Fault]]-PA[[#This Row],[Fault Time]])*24)</f>
        <v>0</v>
      </c>
      <c r="AF141" s="111">
        <f>IF(PA[[#This Row],[Status]]="Open","",(PA[[#This Row],[Work Completion time on fault]]-PA[[#This Row],[Fault Time]])*24)</f>
        <v>13.100000000000001</v>
      </c>
      <c r="AG141" s="82">
        <f>IFERROR((PA[[#This Row],[Work Completion time on fault]]-PA[[#This Row],[Fault Time]])*24,"")</f>
        <v>13.100000000000001</v>
      </c>
      <c r="AH141" s="183" t="s">
        <v>2660</v>
      </c>
      <c r="AI141" s="178" t="s">
        <v>422</v>
      </c>
      <c r="AJ141" s="68">
        <f>IFERROR(PA[[#This Row],[Breakdown Time]]*PA[[#This Row],[Plant Equivalent Weightage]],"")</f>
        <v>1.224419635263257E-3</v>
      </c>
      <c r="AK141" s="117">
        <v>7.5</v>
      </c>
      <c r="AL141" s="116">
        <f>IF(PA[[#This Row],[Lost PoA(Wh/m2)]]&gt;0,_xlfn.XLOOKUP($B141,'Daily KPI'!$A:$A,'Daily KPI'!$AE:$AE)*PA[[#This Row],[Lost PoA(Wh/m2)]]*U141,0)</f>
        <v>192.02188670024864</v>
      </c>
      <c r="AM141" s="176" t="s">
        <v>2553</v>
      </c>
    </row>
    <row r="142" spans="1:39" ht="14" customHeight="1">
      <c r="A142" s="177">
        <f t="shared" si="3"/>
        <v>139</v>
      </c>
      <c r="B142" s="185">
        <v>45797</v>
      </c>
      <c r="C142" s="178" t="s">
        <v>477</v>
      </c>
      <c r="D142" s="6">
        <f>YEAR(PA[[#This Row],[Date]])</f>
        <v>2025</v>
      </c>
      <c r="E142" s="178" t="s">
        <v>361</v>
      </c>
      <c r="F142" s="178" t="s">
        <v>361</v>
      </c>
      <c r="G142" s="179">
        <v>45778</v>
      </c>
      <c r="H142" s="176">
        <f>DAY(EOMONTH(PA[[#This Row],[Month Year]],0))</f>
        <v>31</v>
      </c>
      <c r="I142" s="180">
        <f>VLOOKUP(PA[[#This Row],[Date]],Raw_Data[#All],9,0)</f>
        <v>0.26250000000000001</v>
      </c>
      <c r="J142" s="180">
        <f>VLOOKUP(PA[[#This Row],[Date]],Raw_Data[#All],10,0)</f>
        <v>0.80833333333333335</v>
      </c>
      <c r="K142" s="68">
        <f>IFERROR((PA[[#This Row],[Sunset Time (POA&lt;20 W/m2)]]-PA[[#This Row],[Sunrise Time (POA&gt;20 W/m2)]])*24,"")</f>
        <v>13.100000000000001</v>
      </c>
      <c r="L142" s="178" t="s">
        <v>416</v>
      </c>
      <c r="M142" s="178" t="s">
        <v>414</v>
      </c>
      <c r="N142" s="178" t="s">
        <v>402</v>
      </c>
      <c r="O142" s="178" t="s">
        <v>403</v>
      </c>
      <c r="P142" s="178" t="s">
        <v>448</v>
      </c>
      <c r="Q142" s="178"/>
      <c r="R142" s="6">
        <f>IF((PA[[#This Row],[String Type(If String BD)]]&amp;PA[[#This Row],[Equipment (If any BD other than PV  array and inv)]])="",1,0)</f>
        <v>0</v>
      </c>
      <c r="S142" s="6">
        <f>IF(PA[[#This Row],[String Type(If String BD)]]="",1,0)</f>
        <v>0</v>
      </c>
      <c r="T1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2" s="68">
        <f>IFERROR(VLOOKUP(PA[[#This Row],[Affected Equipment ]],'Basic Data '!$A$1:$B$1846,2,0),"")</f>
        <v>31.61</v>
      </c>
      <c r="V142" s="143">
        <f>IFERROR(VLOOKUP(PA[[#This Row],[Affected Equipment ]],'Basic Data '!$A$1:$C$1846,3,0),"")</f>
        <v>9.4332584283075336E-5</v>
      </c>
      <c r="W142" s="178" t="s">
        <v>398</v>
      </c>
      <c r="X142" s="110" t="s">
        <v>410</v>
      </c>
      <c r="Y142" s="183" t="s">
        <v>411</v>
      </c>
      <c r="Z142" s="109">
        <v>0.26250000000000001</v>
      </c>
      <c r="AA142" s="109">
        <v>0.26250000000000001</v>
      </c>
      <c r="AB142" s="109">
        <v>0.26250000000000001</v>
      </c>
      <c r="AC142" s="109">
        <v>0.80833333333333335</v>
      </c>
      <c r="AD142" s="82">
        <f>IF(PA[[#This Row],[Acknowledgement Time ]]="NA","",(PA[[#This Row],[Acknowledgement Time ]]-PA[[#This Row],[Fault Time]])*24)</f>
        <v>0</v>
      </c>
      <c r="AE142" s="82">
        <f>IF(PA[[#This Row],[Work Start time on Fault]]="NA","",(PA[[#This Row],[Work Start time on Fault]]-PA[[#This Row],[Fault Time]])*24)</f>
        <v>0</v>
      </c>
      <c r="AF142" s="111">
        <f>IF(PA[[#This Row],[Status]]="Open","",(PA[[#This Row],[Work Completion time on fault]]-PA[[#This Row],[Fault Time]])*24)</f>
        <v>13.100000000000001</v>
      </c>
      <c r="AG142" s="82">
        <f>IFERROR((PA[[#This Row],[Work Completion time on fault]]-PA[[#This Row],[Fault Time]])*24,"")</f>
        <v>13.100000000000001</v>
      </c>
      <c r="AH142" s="183" t="s">
        <v>2660</v>
      </c>
      <c r="AI142" s="178" t="s">
        <v>422</v>
      </c>
      <c r="AJ142" s="68">
        <f>IFERROR(PA[[#This Row],[Breakdown Time]]*PA[[#This Row],[Plant Equivalent Weightage]],"")</f>
        <v>1.2357568541082871E-3</v>
      </c>
      <c r="AK142" s="117">
        <v>7.5</v>
      </c>
      <c r="AL142" s="116">
        <f>IF(PA[[#This Row],[Lost PoA(Wh/m2)]]&gt;0,_xlfn.XLOOKUP($B142,'Daily KPI'!$A:$A,'Daily KPI'!$AE:$AE)*PA[[#This Row],[Lost PoA(Wh/m2)]]*U142,0)</f>
        <v>193.79986713265833</v>
      </c>
      <c r="AM142" s="176" t="s">
        <v>2553</v>
      </c>
    </row>
    <row r="143" spans="1:39" ht="14" customHeight="1">
      <c r="A143" s="177">
        <f t="shared" si="3"/>
        <v>140</v>
      </c>
      <c r="B143" s="185">
        <v>45797</v>
      </c>
      <c r="C143" s="178" t="s">
        <v>477</v>
      </c>
      <c r="D143" s="6">
        <f>YEAR(PA[[#This Row],[Date]])</f>
        <v>2025</v>
      </c>
      <c r="E143" s="178" t="s">
        <v>361</v>
      </c>
      <c r="F143" s="178" t="s">
        <v>361</v>
      </c>
      <c r="G143" s="179">
        <v>45778</v>
      </c>
      <c r="H143" s="176">
        <f>DAY(EOMONTH(PA[[#This Row],[Month Year]],0))</f>
        <v>31</v>
      </c>
      <c r="I143" s="180">
        <f>VLOOKUP(PA[[#This Row],[Date]],Raw_Data[#All],9,0)</f>
        <v>0.26250000000000001</v>
      </c>
      <c r="J143" s="180">
        <f>VLOOKUP(PA[[#This Row],[Date]],Raw_Data[#All],10,0)</f>
        <v>0.80833333333333335</v>
      </c>
      <c r="K143" s="68">
        <f>IFERROR((PA[[#This Row],[Sunset Time (POA&lt;20 W/m2)]]-PA[[#This Row],[Sunrise Time (POA&gt;20 W/m2)]])*24,"")</f>
        <v>13.100000000000001</v>
      </c>
      <c r="L143" s="178" t="s">
        <v>438</v>
      </c>
      <c r="M143" s="178" t="s">
        <v>401</v>
      </c>
      <c r="N143" s="178" t="s">
        <v>402</v>
      </c>
      <c r="O143" s="178" t="s">
        <v>442</v>
      </c>
      <c r="P143" s="178" t="s">
        <v>397</v>
      </c>
      <c r="Q143" s="178"/>
      <c r="R143" s="6">
        <f>IF((PA[[#This Row],[String Type(If String BD)]]&amp;PA[[#This Row],[Equipment (If any BD other than PV  array and inv)]])="",1,0)</f>
        <v>0</v>
      </c>
      <c r="S143" s="6">
        <f>IF(PA[[#This Row],[String Type(If String BD)]]="",1,0)</f>
        <v>0</v>
      </c>
      <c r="T1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3" s="68">
        <f>IFERROR(VLOOKUP(PA[[#This Row],[Affected Equipment ]],'Basic Data '!$A$1:$B$1846,2,0),"")</f>
        <v>25.81</v>
      </c>
      <c r="V143" s="143">
        <f>IFERROR(VLOOKUP(PA[[#This Row],[Affected Equipment ]],'Basic Data '!$A$1:$C$1846,3,0),"")</f>
        <v>7.7023853221960597E-5</v>
      </c>
      <c r="W143" s="178" t="s">
        <v>398</v>
      </c>
      <c r="X143" s="110" t="s">
        <v>410</v>
      </c>
      <c r="Y143" s="183" t="s">
        <v>411</v>
      </c>
      <c r="Z143" s="109">
        <v>0.26250000000000001</v>
      </c>
      <c r="AA143" s="109">
        <v>0.26250000000000001</v>
      </c>
      <c r="AB143" s="109">
        <v>0.26250000000000001</v>
      </c>
      <c r="AC143" s="109">
        <v>0.80833333333333335</v>
      </c>
      <c r="AD143" s="82">
        <f>IF(PA[[#This Row],[Acknowledgement Time ]]="NA","",(PA[[#This Row],[Acknowledgement Time ]]-PA[[#This Row],[Fault Time]])*24)</f>
        <v>0</v>
      </c>
      <c r="AE143" s="82">
        <f>IF(PA[[#This Row],[Work Start time on Fault]]="NA","",(PA[[#This Row],[Work Start time on Fault]]-PA[[#This Row],[Fault Time]])*24)</f>
        <v>0</v>
      </c>
      <c r="AF143" s="111">
        <f>IF(PA[[#This Row],[Status]]="Open","",(PA[[#This Row],[Work Completion time on fault]]-PA[[#This Row],[Fault Time]])*24)</f>
        <v>13.100000000000001</v>
      </c>
      <c r="AG143" s="82">
        <f>IFERROR((PA[[#This Row],[Work Completion time on fault]]-PA[[#This Row],[Fault Time]])*24,"")</f>
        <v>13.100000000000001</v>
      </c>
      <c r="AH143" s="183" t="s">
        <v>2660</v>
      </c>
      <c r="AI143" s="178" t="s">
        <v>422</v>
      </c>
      <c r="AJ143" s="68">
        <f>IFERROR(PA[[#This Row],[Breakdown Time]]*PA[[#This Row],[Plant Equivalent Weightage]],"")</f>
        <v>1.0090124772076838E-3</v>
      </c>
      <c r="AK143" s="117">
        <v>7.5</v>
      </c>
      <c r="AL143" s="116">
        <f>IF(PA[[#This Row],[Lost PoA(Wh/m2)]]&gt;0,_xlfn.XLOOKUP($B143,'Daily KPI'!$A:$A,'Daily KPI'!$AE:$AE)*PA[[#This Row],[Lost PoA(Wh/m2)]]*U143,0)</f>
        <v>158.24025848446414</v>
      </c>
      <c r="AM143" s="176" t="s">
        <v>2553</v>
      </c>
    </row>
    <row r="144" spans="1:39" ht="14" customHeight="1">
      <c r="A144" s="177">
        <f t="shared" si="3"/>
        <v>141</v>
      </c>
      <c r="B144" s="185">
        <v>45797</v>
      </c>
      <c r="C144" s="178" t="s">
        <v>477</v>
      </c>
      <c r="D144" s="6">
        <f>YEAR(PA[[#This Row],[Date]])</f>
        <v>2025</v>
      </c>
      <c r="E144" s="178" t="s">
        <v>361</v>
      </c>
      <c r="F144" s="178" t="s">
        <v>361</v>
      </c>
      <c r="G144" s="179">
        <v>45778</v>
      </c>
      <c r="H144" s="176">
        <f>DAY(EOMONTH(PA[[#This Row],[Month Year]],0))</f>
        <v>31</v>
      </c>
      <c r="I144" s="180">
        <f>VLOOKUP(PA[[#This Row],[Date]],Raw_Data[#All],9,0)</f>
        <v>0.26250000000000001</v>
      </c>
      <c r="J144" s="180">
        <f>VLOOKUP(PA[[#This Row],[Date]],Raw_Data[#All],10,0)</f>
        <v>0.80833333333333335</v>
      </c>
      <c r="K144" s="68">
        <f>IFERROR((PA[[#This Row],[Sunset Time (POA&lt;20 W/m2)]]-PA[[#This Row],[Sunrise Time (POA&gt;20 W/m2)]])*24,"")</f>
        <v>13.100000000000001</v>
      </c>
      <c r="L144" s="178" t="s">
        <v>438</v>
      </c>
      <c r="M144" s="178" t="s">
        <v>401</v>
      </c>
      <c r="N144" s="178" t="s">
        <v>402</v>
      </c>
      <c r="O144" s="178" t="s">
        <v>409</v>
      </c>
      <c r="P144" s="178" t="s">
        <v>397</v>
      </c>
      <c r="Q144" s="178"/>
      <c r="R144" s="6">
        <f>IF((PA[[#This Row],[String Type(If String BD)]]&amp;PA[[#This Row],[Equipment (If any BD other than PV  array and inv)]])="",1,0)</f>
        <v>0</v>
      </c>
      <c r="S144" s="6">
        <f>IF(PA[[#This Row],[String Type(If String BD)]]="",1,0)</f>
        <v>0</v>
      </c>
      <c r="T1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4" s="68">
        <f>IFERROR(VLOOKUP(PA[[#This Row],[Affected Equipment ]],'Basic Data '!$A$1:$B$1846,2,0),"")</f>
        <v>25.81</v>
      </c>
      <c r="V144" s="143">
        <f>IFERROR(VLOOKUP(PA[[#This Row],[Affected Equipment ]],'Basic Data '!$A$1:$C$1846,3,0),"")</f>
        <v>7.7023853221960597E-5</v>
      </c>
      <c r="W144" s="178" t="s">
        <v>398</v>
      </c>
      <c r="X144" s="110" t="s">
        <v>410</v>
      </c>
      <c r="Y144" s="183" t="s">
        <v>411</v>
      </c>
      <c r="Z144" s="109">
        <v>0.26250000000000001</v>
      </c>
      <c r="AA144" s="109">
        <v>0.26250000000000001</v>
      </c>
      <c r="AB144" s="109">
        <v>0.26250000000000001</v>
      </c>
      <c r="AC144" s="109">
        <v>0.80833333333333335</v>
      </c>
      <c r="AD144" s="82">
        <f>IF(PA[[#This Row],[Acknowledgement Time ]]="NA","",(PA[[#This Row],[Acknowledgement Time ]]-PA[[#This Row],[Fault Time]])*24)</f>
        <v>0</v>
      </c>
      <c r="AE144" s="82">
        <f>IF(PA[[#This Row],[Work Start time on Fault]]="NA","",(PA[[#This Row],[Work Start time on Fault]]-PA[[#This Row],[Fault Time]])*24)</f>
        <v>0</v>
      </c>
      <c r="AF144" s="111">
        <f>IF(PA[[#This Row],[Status]]="Open","",(PA[[#This Row],[Work Completion time on fault]]-PA[[#This Row],[Fault Time]])*24)</f>
        <v>13.100000000000001</v>
      </c>
      <c r="AG144" s="82">
        <f>IFERROR((PA[[#This Row],[Work Completion time on fault]]-PA[[#This Row],[Fault Time]])*24,"")</f>
        <v>13.100000000000001</v>
      </c>
      <c r="AH144" s="183" t="s">
        <v>2660</v>
      </c>
      <c r="AI144" s="178" t="s">
        <v>422</v>
      </c>
      <c r="AJ144" s="68">
        <f>IFERROR(PA[[#This Row],[Breakdown Time]]*PA[[#This Row],[Plant Equivalent Weightage]],"")</f>
        <v>1.0090124772076838E-3</v>
      </c>
      <c r="AK144" s="117">
        <v>7.5</v>
      </c>
      <c r="AL144" s="116">
        <f>IF(PA[[#This Row],[Lost PoA(Wh/m2)]]&gt;0,_xlfn.XLOOKUP($B144,'Daily KPI'!$A:$A,'Daily KPI'!$AE:$AE)*PA[[#This Row],[Lost PoA(Wh/m2)]]*U144,0)</f>
        <v>158.24025848446414</v>
      </c>
      <c r="AM144" s="176" t="s">
        <v>2553</v>
      </c>
    </row>
    <row r="145" spans="1:39" ht="14" customHeight="1">
      <c r="A145" s="177">
        <f t="shared" si="3"/>
        <v>142</v>
      </c>
      <c r="B145" s="185">
        <v>45797</v>
      </c>
      <c r="C145" s="178" t="s">
        <v>477</v>
      </c>
      <c r="D145" s="6">
        <f>YEAR(PA[[#This Row],[Date]])</f>
        <v>2025</v>
      </c>
      <c r="E145" s="178" t="s">
        <v>361</v>
      </c>
      <c r="F145" s="178" t="s">
        <v>361</v>
      </c>
      <c r="G145" s="179">
        <v>45778</v>
      </c>
      <c r="H145" s="176">
        <f>DAY(EOMONTH(PA[[#This Row],[Month Year]],0))</f>
        <v>31</v>
      </c>
      <c r="I145" s="180">
        <f>VLOOKUP(PA[[#This Row],[Date]],Raw_Data[#All],9,0)</f>
        <v>0.26250000000000001</v>
      </c>
      <c r="J145" s="180">
        <f>VLOOKUP(PA[[#This Row],[Date]],Raw_Data[#All],10,0)</f>
        <v>0.80833333333333335</v>
      </c>
      <c r="K145" s="68">
        <f>IFERROR((PA[[#This Row],[Sunset Time (POA&lt;20 W/m2)]]-PA[[#This Row],[Sunrise Time (POA&gt;20 W/m2)]])*24,"")</f>
        <v>13.100000000000001</v>
      </c>
      <c r="L145" s="178" t="s">
        <v>444</v>
      </c>
      <c r="M145" s="178" t="s">
        <v>401</v>
      </c>
      <c r="N145" s="178" t="s">
        <v>402</v>
      </c>
      <c r="O145" s="178" t="s">
        <v>406</v>
      </c>
      <c r="P145" s="178" t="s">
        <v>445</v>
      </c>
      <c r="Q145" s="178"/>
      <c r="R145" s="6">
        <f>IF((PA[[#This Row],[String Type(If String BD)]]&amp;PA[[#This Row],[Equipment (If any BD other than PV  array and inv)]])="",1,0)</f>
        <v>0</v>
      </c>
      <c r="S145" s="6">
        <f>IF(PA[[#This Row],[String Type(If String BD)]]="",1,0)</f>
        <v>0</v>
      </c>
      <c r="T1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5" s="68">
        <f>IFERROR(VLOOKUP(PA[[#This Row],[Affected Equipment ]],'Basic Data '!$A$1:$B$1846,2,0),"")</f>
        <v>26.1</v>
      </c>
      <c r="V145" s="143">
        <f>IFERROR(VLOOKUP(PA[[#This Row],[Affected Equipment ]],'Basic Data '!$A$1:$C$1846,3,0),"")</f>
        <v>7.7889289775016346E-5</v>
      </c>
      <c r="W145" s="178" t="s">
        <v>398</v>
      </c>
      <c r="X145" s="110" t="s">
        <v>410</v>
      </c>
      <c r="Y145" s="183" t="s">
        <v>411</v>
      </c>
      <c r="Z145" s="109">
        <v>0.26250000000000001</v>
      </c>
      <c r="AA145" s="109">
        <v>0.26250000000000001</v>
      </c>
      <c r="AB145" s="109">
        <v>0.26250000000000001</v>
      </c>
      <c r="AC145" s="109">
        <v>0.80833333333333335</v>
      </c>
      <c r="AD145" s="82">
        <f>IF(PA[[#This Row],[Acknowledgement Time ]]="NA","",(PA[[#This Row],[Acknowledgement Time ]]-PA[[#This Row],[Fault Time]])*24)</f>
        <v>0</v>
      </c>
      <c r="AE145" s="82">
        <f>IF(PA[[#This Row],[Work Start time on Fault]]="NA","",(PA[[#This Row],[Work Start time on Fault]]-PA[[#This Row],[Fault Time]])*24)</f>
        <v>0</v>
      </c>
      <c r="AF145" s="111">
        <f>IF(PA[[#This Row],[Status]]="Open","",(PA[[#This Row],[Work Completion time on fault]]-PA[[#This Row],[Fault Time]])*24)</f>
        <v>13.100000000000001</v>
      </c>
      <c r="AG145" s="82">
        <f>IFERROR((PA[[#This Row],[Work Completion time on fault]]-PA[[#This Row],[Fault Time]])*24,"")</f>
        <v>13.100000000000001</v>
      </c>
      <c r="AH145" s="183" t="s">
        <v>2660</v>
      </c>
      <c r="AI145" s="178" t="s">
        <v>422</v>
      </c>
      <c r="AJ145" s="68">
        <f>IFERROR(PA[[#This Row],[Breakdown Time]]*PA[[#This Row],[Plant Equivalent Weightage]],"")</f>
        <v>1.0203496960527142E-3</v>
      </c>
      <c r="AK145" s="117">
        <v>7.5</v>
      </c>
      <c r="AL145" s="116">
        <f>IF(PA[[#This Row],[Lost PoA(Wh/m2)]]&gt;0,_xlfn.XLOOKUP($B145,'Daily KPI'!$A:$A,'Daily KPI'!$AE:$AE)*PA[[#This Row],[Lost PoA(Wh/m2)]]*U145,0)</f>
        <v>160.01823891687388</v>
      </c>
      <c r="AM145" s="176" t="s">
        <v>2553</v>
      </c>
    </row>
    <row r="146" spans="1:39" ht="14" customHeight="1">
      <c r="A146" s="177">
        <f t="shared" si="3"/>
        <v>143</v>
      </c>
      <c r="B146" s="185">
        <v>45797</v>
      </c>
      <c r="C146" s="178" t="s">
        <v>477</v>
      </c>
      <c r="D146" s="6">
        <f>YEAR(PA[[#This Row],[Date]])</f>
        <v>2025</v>
      </c>
      <c r="E146" s="178" t="s">
        <v>361</v>
      </c>
      <c r="F146" s="178" t="s">
        <v>361</v>
      </c>
      <c r="G146" s="179">
        <v>45778</v>
      </c>
      <c r="H146" s="176">
        <f>DAY(EOMONTH(PA[[#This Row],[Month Year]],0))</f>
        <v>31</v>
      </c>
      <c r="I146" s="180">
        <f>VLOOKUP(PA[[#This Row],[Date]],Raw_Data[#All],9,0)</f>
        <v>0.26250000000000001</v>
      </c>
      <c r="J146" s="180">
        <f>VLOOKUP(PA[[#This Row],[Date]],Raw_Data[#All],10,0)</f>
        <v>0.80833333333333335</v>
      </c>
      <c r="K146" s="68">
        <f>IFERROR((PA[[#This Row],[Sunset Time (POA&lt;20 W/m2)]]-PA[[#This Row],[Sunrise Time (POA&gt;20 W/m2)]])*24,"")</f>
        <v>13.100000000000001</v>
      </c>
      <c r="L146" s="251" t="s">
        <v>393</v>
      </c>
      <c r="M146" s="251" t="s">
        <v>414</v>
      </c>
      <c r="N146" s="251" t="s">
        <v>395</v>
      </c>
      <c r="O146" s="251" t="s">
        <v>417</v>
      </c>
      <c r="P146" s="251" t="s">
        <v>397</v>
      </c>
      <c r="Q146" s="178"/>
      <c r="R146" s="6">
        <f>IF((PA[[#This Row],[String Type(If String BD)]]&amp;PA[[#This Row],[Equipment (If any BD other than PV  array and inv)]])="",1,0)</f>
        <v>0</v>
      </c>
      <c r="S146" s="6">
        <f>IF(PA[[#This Row],[String Type(If String BD)]]="",1,0)</f>
        <v>0</v>
      </c>
      <c r="T1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6" s="68">
        <f>IFERROR(VLOOKUP(PA[[#This Row],[Affected Equipment ]],'Basic Data '!$A$1:$B$1846,2,0),"")</f>
        <v>25.81</v>
      </c>
      <c r="V146" s="143">
        <f>IFERROR(VLOOKUP(PA[[#This Row],[Affected Equipment ]],'Basic Data '!$A$1:$C$1846,3,0),"")</f>
        <v>7.7023853221960597E-5</v>
      </c>
      <c r="W146" s="178" t="s">
        <v>398</v>
      </c>
      <c r="X146" s="110" t="s">
        <v>410</v>
      </c>
      <c r="Y146" s="183" t="s">
        <v>411</v>
      </c>
      <c r="Z146" s="109">
        <v>0.26250000000000001</v>
      </c>
      <c r="AA146" s="109">
        <v>0.26250000000000001</v>
      </c>
      <c r="AB146" s="109">
        <v>0.26250000000000001</v>
      </c>
      <c r="AC146" s="109">
        <v>0.80833333333333335</v>
      </c>
      <c r="AD146" s="82">
        <f>IF(PA[[#This Row],[Acknowledgement Time ]]="NA","",(PA[[#This Row],[Acknowledgement Time ]]-PA[[#This Row],[Fault Time]])*24)</f>
        <v>0</v>
      </c>
      <c r="AE146" s="82">
        <f>IF(PA[[#This Row],[Work Start time on Fault]]="NA","",(PA[[#This Row],[Work Start time on Fault]]-PA[[#This Row],[Fault Time]])*24)</f>
        <v>0</v>
      </c>
      <c r="AF146" s="111">
        <f>IF(PA[[#This Row],[Status]]="Open","",(PA[[#This Row],[Work Completion time on fault]]-PA[[#This Row],[Fault Time]])*24)</f>
        <v>13.100000000000001</v>
      </c>
      <c r="AG146" s="82">
        <f>IFERROR((PA[[#This Row],[Work Completion time on fault]]-PA[[#This Row],[Fault Time]])*24,"")</f>
        <v>13.100000000000001</v>
      </c>
      <c r="AH146" s="183" t="s">
        <v>2660</v>
      </c>
      <c r="AI146" s="84" t="s">
        <v>422</v>
      </c>
      <c r="AJ146" s="68">
        <f>IFERROR(PA[[#This Row],[Breakdown Time]]*PA[[#This Row],[Plant Equivalent Weightage]],"")</f>
        <v>1.0090124772076838E-3</v>
      </c>
      <c r="AK146" s="117">
        <v>7.5</v>
      </c>
      <c r="AL146" s="116">
        <f>IF(PA[[#This Row],[Lost PoA(Wh/m2)]]&gt;0,_xlfn.XLOOKUP($B146,'Daily KPI'!$A:$A,'Daily KPI'!$AE:$AE)*PA[[#This Row],[Lost PoA(Wh/m2)]]*U146,0)</f>
        <v>158.24025848446414</v>
      </c>
      <c r="AM146" s="176" t="s">
        <v>2556</v>
      </c>
    </row>
    <row r="147" spans="1:39" ht="14" customHeight="1">
      <c r="A147" s="177">
        <f t="shared" si="3"/>
        <v>144</v>
      </c>
      <c r="B147" s="185">
        <v>45797</v>
      </c>
      <c r="C147" s="178" t="s">
        <v>477</v>
      </c>
      <c r="D147" s="6">
        <f>YEAR(PA[[#This Row],[Date]])</f>
        <v>2025</v>
      </c>
      <c r="E147" s="178" t="s">
        <v>361</v>
      </c>
      <c r="F147" s="178" t="s">
        <v>361</v>
      </c>
      <c r="G147" s="179">
        <v>45778</v>
      </c>
      <c r="H147" s="176">
        <f>DAY(EOMONTH(PA[[#This Row],[Month Year]],0))</f>
        <v>31</v>
      </c>
      <c r="I147" s="180">
        <f>VLOOKUP(PA[[#This Row],[Date]],Raw_Data[#All],9,0)</f>
        <v>0.26250000000000001</v>
      </c>
      <c r="J147" s="180">
        <f>VLOOKUP(PA[[#This Row],[Date]],Raw_Data[#All],10,0)</f>
        <v>0.80833333333333335</v>
      </c>
      <c r="K147" s="68">
        <f>IFERROR((PA[[#This Row],[Sunset Time (POA&lt;20 W/m2)]]-PA[[#This Row],[Sunrise Time (POA&gt;20 W/m2)]])*24,"")</f>
        <v>13.100000000000001</v>
      </c>
      <c r="L147" s="178" t="s">
        <v>430</v>
      </c>
      <c r="M147" s="178" t="s">
        <v>408</v>
      </c>
      <c r="N147" s="178" t="s">
        <v>395</v>
      </c>
      <c r="O147" s="178" t="s">
        <v>403</v>
      </c>
      <c r="P147" s="178" t="s">
        <v>397</v>
      </c>
      <c r="Q147" s="178"/>
      <c r="R147" s="6">
        <f>IF((PA[[#This Row],[String Type(If String BD)]]&amp;PA[[#This Row],[Equipment (If any BD other than PV  array and inv)]])="",1,0)</f>
        <v>0</v>
      </c>
      <c r="S147" s="6">
        <f>IF(PA[[#This Row],[String Type(If String BD)]]="",1,0)</f>
        <v>0</v>
      </c>
      <c r="T1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7" s="68">
        <f>IFERROR(VLOOKUP(PA[[#This Row],[Affected Equipment ]],'Basic Data '!$A$1:$B$1846,2,0),"")</f>
        <v>25.81</v>
      </c>
      <c r="V147" s="143">
        <f>IFERROR(VLOOKUP(PA[[#This Row],[Affected Equipment ]],'Basic Data '!$A$1:$C$1846,3,0),"")</f>
        <v>7.7023853221960597E-5</v>
      </c>
      <c r="W147" s="178" t="s">
        <v>398</v>
      </c>
      <c r="X147" s="110" t="s">
        <v>410</v>
      </c>
      <c r="Y147" s="183" t="s">
        <v>411</v>
      </c>
      <c r="Z147" s="109">
        <v>0.26250000000000001</v>
      </c>
      <c r="AA147" s="109">
        <v>0.26250000000000001</v>
      </c>
      <c r="AB147" s="109">
        <v>0.26250000000000001</v>
      </c>
      <c r="AC147" s="109">
        <v>0.80833333333333335</v>
      </c>
      <c r="AD147" s="82">
        <f>IF(PA[[#This Row],[Acknowledgement Time ]]="NA","",(PA[[#This Row],[Acknowledgement Time ]]-PA[[#This Row],[Fault Time]])*24)</f>
        <v>0</v>
      </c>
      <c r="AE147" s="82">
        <f>IF(PA[[#This Row],[Work Start time on Fault]]="NA","",(PA[[#This Row],[Work Start time on Fault]]-PA[[#This Row],[Fault Time]])*24)</f>
        <v>0</v>
      </c>
      <c r="AF147" s="111">
        <f>IF(PA[[#This Row],[Status]]="Open","",(PA[[#This Row],[Work Completion time on fault]]-PA[[#This Row],[Fault Time]])*24)</f>
        <v>13.100000000000001</v>
      </c>
      <c r="AG147" s="82">
        <f>IFERROR((PA[[#This Row],[Work Completion time on fault]]-PA[[#This Row],[Fault Time]])*24,"")</f>
        <v>13.100000000000001</v>
      </c>
      <c r="AH147" s="183" t="s">
        <v>2660</v>
      </c>
      <c r="AI147" s="178" t="s">
        <v>422</v>
      </c>
      <c r="AJ147" s="68">
        <f>IFERROR(PA[[#This Row],[Breakdown Time]]*PA[[#This Row],[Plant Equivalent Weightage]],"")</f>
        <v>1.0090124772076838E-3</v>
      </c>
      <c r="AK147" s="117">
        <v>7.5</v>
      </c>
      <c r="AL147" s="116">
        <f>IF(PA[[#This Row],[Lost PoA(Wh/m2)]]&gt;0,_xlfn.XLOOKUP($B147,'Daily KPI'!$A:$A,'Daily KPI'!$AE:$AE)*PA[[#This Row],[Lost PoA(Wh/m2)]]*U147,0)</f>
        <v>158.24025848446414</v>
      </c>
      <c r="AM147" s="176" t="s">
        <v>2556</v>
      </c>
    </row>
    <row r="148" spans="1:39" ht="14" customHeight="1">
      <c r="A148" s="177">
        <f t="shared" si="3"/>
        <v>145</v>
      </c>
      <c r="B148" s="185">
        <v>45797</v>
      </c>
      <c r="C148" s="178" t="s">
        <v>477</v>
      </c>
      <c r="D148" s="6">
        <f>YEAR(PA[[#This Row],[Date]])</f>
        <v>2025</v>
      </c>
      <c r="E148" s="178" t="s">
        <v>361</v>
      </c>
      <c r="F148" s="178" t="s">
        <v>361</v>
      </c>
      <c r="G148" s="179">
        <v>45778</v>
      </c>
      <c r="H148" s="176">
        <f>DAY(EOMONTH(PA[[#This Row],[Month Year]],0))</f>
        <v>31</v>
      </c>
      <c r="I148" s="180">
        <f>VLOOKUP(PA[[#This Row],[Date]],Raw_Data[#All],9,0)</f>
        <v>0.26250000000000001</v>
      </c>
      <c r="J148" s="180">
        <f>VLOOKUP(PA[[#This Row],[Date]],Raw_Data[#All],10,0)</f>
        <v>0.80833333333333335</v>
      </c>
      <c r="K148" s="68">
        <f>IFERROR((PA[[#This Row],[Sunset Time (POA&lt;20 W/m2)]]-PA[[#This Row],[Sunrise Time (POA&gt;20 W/m2)]])*24,"")</f>
        <v>13.100000000000001</v>
      </c>
      <c r="L148" s="178" t="s">
        <v>441</v>
      </c>
      <c r="M148" s="178" t="s">
        <v>394</v>
      </c>
      <c r="N148" s="178" t="s">
        <v>395</v>
      </c>
      <c r="O148" s="178" t="s">
        <v>412</v>
      </c>
      <c r="P148" s="178" t="s">
        <v>445</v>
      </c>
      <c r="Q148" s="178"/>
      <c r="R148" s="6">
        <f>IF((PA[[#This Row],[String Type(If String BD)]]&amp;PA[[#This Row],[Equipment (If any BD other than PV  array and inv)]])="",1,0)</f>
        <v>0</v>
      </c>
      <c r="S148" s="6">
        <f>IF(PA[[#This Row],[String Type(If String BD)]]="",1,0)</f>
        <v>0</v>
      </c>
      <c r="T1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8" s="68">
        <f>IFERROR(VLOOKUP(PA[[#This Row],[Affected Equipment ]],'Basic Data '!$A$1:$B$1846,2,0),"")</f>
        <v>26.1</v>
      </c>
      <c r="V148" s="143">
        <f>IFERROR(VLOOKUP(PA[[#This Row],[Affected Equipment ]],'Basic Data '!$A$1:$C$1846,3,0),"")</f>
        <v>7.7889289775016346E-5</v>
      </c>
      <c r="W148" s="178" t="s">
        <v>398</v>
      </c>
      <c r="X148" s="110" t="s">
        <v>410</v>
      </c>
      <c r="Y148" s="183" t="s">
        <v>411</v>
      </c>
      <c r="Z148" s="109">
        <v>0.26250000000000001</v>
      </c>
      <c r="AA148" s="109">
        <v>0.26250000000000001</v>
      </c>
      <c r="AB148" s="109">
        <v>0.26250000000000001</v>
      </c>
      <c r="AC148" s="109">
        <v>0.80833333333333335</v>
      </c>
      <c r="AD148" s="82">
        <f>IF(PA[[#This Row],[Acknowledgement Time ]]="NA","",(PA[[#This Row],[Acknowledgement Time ]]-PA[[#This Row],[Fault Time]])*24)</f>
        <v>0</v>
      </c>
      <c r="AE148" s="82">
        <f>IF(PA[[#This Row],[Work Start time on Fault]]="NA","",(PA[[#This Row],[Work Start time on Fault]]-PA[[#This Row],[Fault Time]])*24)</f>
        <v>0</v>
      </c>
      <c r="AF148" s="111">
        <f>IF(PA[[#This Row],[Status]]="Open","",(PA[[#This Row],[Work Completion time on fault]]-PA[[#This Row],[Fault Time]])*24)</f>
        <v>13.100000000000001</v>
      </c>
      <c r="AG148" s="82">
        <f>IFERROR((PA[[#This Row],[Work Completion time on fault]]-PA[[#This Row],[Fault Time]])*24,"")</f>
        <v>13.100000000000001</v>
      </c>
      <c r="AH148" s="183" t="s">
        <v>2660</v>
      </c>
      <c r="AI148" s="178" t="s">
        <v>422</v>
      </c>
      <c r="AJ148" s="68">
        <f>IFERROR(PA[[#This Row],[Breakdown Time]]*PA[[#This Row],[Plant Equivalent Weightage]],"")</f>
        <v>1.0203496960527142E-3</v>
      </c>
      <c r="AK148" s="117">
        <v>7.5</v>
      </c>
      <c r="AL148" s="116">
        <f>IF(PA[[#This Row],[Lost PoA(Wh/m2)]]&gt;0,_xlfn.XLOOKUP($B148,'Daily KPI'!$A:$A,'Daily KPI'!$AE:$AE)*PA[[#This Row],[Lost PoA(Wh/m2)]]*U148,0)</f>
        <v>160.01823891687388</v>
      </c>
      <c r="AM148" s="176" t="s">
        <v>2556</v>
      </c>
    </row>
    <row r="149" spans="1:39" ht="14" customHeight="1">
      <c r="A149" s="177">
        <f t="shared" si="3"/>
        <v>146</v>
      </c>
      <c r="B149" s="185">
        <v>45797</v>
      </c>
      <c r="C149" s="178" t="s">
        <v>477</v>
      </c>
      <c r="D149" s="6">
        <f>YEAR(PA[[#This Row],[Date]])</f>
        <v>2025</v>
      </c>
      <c r="E149" s="178" t="s">
        <v>361</v>
      </c>
      <c r="F149" s="178" t="s">
        <v>361</v>
      </c>
      <c r="G149" s="179">
        <v>45778</v>
      </c>
      <c r="H149" s="176">
        <f>DAY(EOMONTH(PA[[#This Row],[Month Year]],0))</f>
        <v>31</v>
      </c>
      <c r="I149" s="180">
        <f>VLOOKUP(PA[[#This Row],[Date]],Raw_Data[#All],9,0)</f>
        <v>0.26250000000000001</v>
      </c>
      <c r="J149" s="180">
        <f>VLOOKUP(PA[[#This Row],[Date]],Raw_Data[#All],10,0)</f>
        <v>0.80833333333333335</v>
      </c>
      <c r="K149" s="68">
        <f>IFERROR((PA[[#This Row],[Sunset Time (POA&lt;20 W/m2)]]-PA[[#This Row],[Sunrise Time (POA&gt;20 W/m2)]])*24,"")</f>
        <v>13.100000000000001</v>
      </c>
      <c r="L149" s="178" t="s">
        <v>400</v>
      </c>
      <c r="M149" s="178" t="s">
        <v>408</v>
      </c>
      <c r="N149" s="178" t="s">
        <v>402</v>
      </c>
      <c r="O149" s="178" t="s">
        <v>412</v>
      </c>
      <c r="P149" s="178" t="s">
        <v>404</v>
      </c>
      <c r="Q149" s="178"/>
      <c r="R149" s="6">
        <f>IF((PA[[#This Row],[String Type(If String BD)]]&amp;PA[[#This Row],[Equipment (If any BD other than PV  array and inv)]])="",1,0)</f>
        <v>0</v>
      </c>
      <c r="S149" s="6">
        <f>IF(PA[[#This Row],[String Type(If String BD)]]="",1,0)</f>
        <v>0</v>
      </c>
      <c r="T1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9" s="68">
        <f>IFERROR(VLOOKUP(PA[[#This Row],[Affected Equipment ]],'Basic Data '!$A$1:$B$1846,2,0),"")</f>
        <v>31.32</v>
      </c>
      <c r="V149" s="143">
        <f>IFERROR(VLOOKUP(PA[[#This Row],[Affected Equipment ]],'Basic Data '!$A$1:$C$1846,3,0),"")</f>
        <v>9.3467147730019601E-5</v>
      </c>
      <c r="W149" s="178" t="s">
        <v>398</v>
      </c>
      <c r="X149" s="110" t="s">
        <v>410</v>
      </c>
      <c r="Y149" s="183" t="s">
        <v>411</v>
      </c>
      <c r="Z149" s="109">
        <v>0.26250000000000001</v>
      </c>
      <c r="AA149" s="109">
        <v>0.26250000000000001</v>
      </c>
      <c r="AB149" s="109">
        <v>0.26250000000000001</v>
      </c>
      <c r="AC149" s="109">
        <v>0.80833333333333335</v>
      </c>
      <c r="AD149" s="82">
        <f>IF(PA[[#This Row],[Acknowledgement Time ]]="NA","",(PA[[#This Row],[Acknowledgement Time ]]-PA[[#This Row],[Fault Time]])*24)</f>
        <v>0</v>
      </c>
      <c r="AE149" s="82">
        <f>IF(PA[[#This Row],[Work Start time on Fault]]="NA","",(PA[[#This Row],[Work Start time on Fault]]-PA[[#This Row],[Fault Time]])*24)</f>
        <v>0</v>
      </c>
      <c r="AF149" s="111">
        <f>IF(PA[[#This Row],[Status]]="Open","",(PA[[#This Row],[Work Completion time on fault]]-PA[[#This Row],[Fault Time]])*24)</f>
        <v>13.100000000000001</v>
      </c>
      <c r="AG149" s="82">
        <f>IFERROR((PA[[#This Row],[Work Completion time on fault]]-PA[[#This Row],[Fault Time]])*24,"")</f>
        <v>13.100000000000001</v>
      </c>
      <c r="AH149" s="183" t="s">
        <v>2660</v>
      </c>
      <c r="AI149" s="178" t="s">
        <v>422</v>
      </c>
      <c r="AJ149" s="68">
        <f>IFERROR(PA[[#This Row],[Breakdown Time]]*PA[[#This Row],[Plant Equivalent Weightage]],"")</f>
        <v>1.224419635263257E-3</v>
      </c>
      <c r="AK149" s="117">
        <v>7.5</v>
      </c>
      <c r="AL149" s="116">
        <f>IF(PA[[#This Row],[Lost PoA(Wh/m2)]]&gt;0,_xlfn.XLOOKUP($B149,'Daily KPI'!$A:$A,'Daily KPI'!$AE:$AE)*PA[[#This Row],[Lost PoA(Wh/m2)]]*U149,0)</f>
        <v>192.02188670024864</v>
      </c>
      <c r="AM149" s="176" t="s">
        <v>2556</v>
      </c>
    </row>
    <row r="150" spans="1:39" ht="14" customHeight="1">
      <c r="A150" s="177">
        <f t="shared" si="3"/>
        <v>147</v>
      </c>
      <c r="B150" s="185">
        <v>45797</v>
      </c>
      <c r="C150" s="178" t="s">
        <v>477</v>
      </c>
      <c r="D150" s="6">
        <f>YEAR(PA[[#This Row],[Date]])</f>
        <v>2025</v>
      </c>
      <c r="E150" s="178" t="s">
        <v>361</v>
      </c>
      <c r="F150" s="178" t="s">
        <v>361</v>
      </c>
      <c r="G150" s="179">
        <v>45778</v>
      </c>
      <c r="H150" s="176">
        <f>DAY(EOMONTH(PA[[#This Row],[Month Year]],0))</f>
        <v>31</v>
      </c>
      <c r="I150" s="180">
        <f>VLOOKUP(PA[[#This Row],[Date]],Raw_Data[#All],9,0)</f>
        <v>0.26250000000000001</v>
      </c>
      <c r="J150" s="180">
        <f>VLOOKUP(PA[[#This Row],[Date]],Raw_Data[#All],10,0)</f>
        <v>0.80833333333333335</v>
      </c>
      <c r="K150" s="68">
        <f>IFERROR((PA[[#This Row],[Sunset Time (POA&lt;20 W/m2)]]-PA[[#This Row],[Sunrise Time (POA&gt;20 W/m2)]])*24,"")</f>
        <v>13.100000000000001</v>
      </c>
      <c r="L150" s="178" t="s">
        <v>400</v>
      </c>
      <c r="M150" s="178" t="s">
        <v>408</v>
      </c>
      <c r="N150" s="178" t="s">
        <v>402</v>
      </c>
      <c r="O150" s="178" t="s">
        <v>412</v>
      </c>
      <c r="P150" s="178" t="s">
        <v>404</v>
      </c>
      <c r="Q150" s="178"/>
      <c r="R150" s="6">
        <f>IF((PA[[#This Row],[String Type(If String BD)]]&amp;PA[[#This Row],[Equipment (If any BD other than PV  array and inv)]])="",1,0)</f>
        <v>0</v>
      </c>
      <c r="S150" s="6">
        <f>IF(PA[[#This Row],[String Type(If String BD)]]="",1,0)</f>
        <v>0</v>
      </c>
      <c r="T1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0" s="68">
        <f>IFERROR(VLOOKUP(PA[[#This Row],[Affected Equipment ]],'Basic Data '!$A$1:$B$1846,2,0),"")</f>
        <v>31.32</v>
      </c>
      <c r="V150" s="143">
        <f>IFERROR(VLOOKUP(PA[[#This Row],[Affected Equipment ]],'Basic Data '!$A$1:$C$1846,3,0),"")</f>
        <v>9.3467147730019601E-5</v>
      </c>
      <c r="W150" s="178" t="s">
        <v>398</v>
      </c>
      <c r="X150" s="110" t="s">
        <v>410</v>
      </c>
      <c r="Y150" s="183" t="s">
        <v>411</v>
      </c>
      <c r="Z150" s="109">
        <v>0.26250000000000001</v>
      </c>
      <c r="AA150" s="109">
        <v>0.26250000000000001</v>
      </c>
      <c r="AB150" s="109">
        <v>0.26250000000000001</v>
      </c>
      <c r="AC150" s="109">
        <v>0.80833333333333335</v>
      </c>
      <c r="AD150" s="82">
        <f>IF(PA[[#This Row],[Acknowledgement Time ]]="NA","",(PA[[#This Row],[Acknowledgement Time ]]-PA[[#This Row],[Fault Time]])*24)</f>
        <v>0</v>
      </c>
      <c r="AE150" s="82">
        <f>IF(PA[[#This Row],[Work Start time on Fault]]="NA","",(PA[[#This Row],[Work Start time on Fault]]-PA[[#This Row],[Fault Time]])*24)</f>
        <v>0</v>
      </c>
      <c r="AF150" s="111">
        <f>IF(PA[[#This Row],[Status]]="Open","",(PA[[#This Row],[Work Completion time on fault]]-PA[[#This Row],[Fault Time]])*24)</f>
        <v>13.100000000000001</v>
      </c>
      <c r="AG150" s="82">
        <f>IFERROR((PA[[#This Row],[Work Completion time on fault]]-PA[[#This Row],[Fault Time]])*24,"")</f>
        <v>13.100000000000001</v>
      </c>
      <c r="AH150" s="183" t="s">
        <v>2660</v>
      </c>
      <c r="AI150" s="178" t="s">
        <v>422</v>
      </c>
      <c r="AJ150" s="68">
        <f>IFERROR(PA[[#This Row],[Breakdown Time]]*PA[[#This Row],[Plant Equivalent Weightage]],"")</f>
        <v>1.224419635263257E-3</v>
      </c>
      <c r="AK150" s="117">
        <v>7.5</v>
      </c>
      <c r="AL150" s="116">
        <f>IF(PA[[#This Row],[Lost PoA(Wh/m2)]]&gt;0,_xlfn.XLOOKUP($B150,'Daily KPI'!$A:$A,'Daily KPI'!$AE:$AE)*PA[[#This Row],[Lost PoA(Wh/m2)]]*U150,0)</f>
        <v>192.02188670024864</v>
      </c>
      <c r="AM150" s="176" t="s">
        <v>2556</v>
      </c>
    </row>
    <row r="151" spans="1:39" ht="14" customHeight="1">
      <c r="A151" s="177">
        <f t="shared" si="3"/>
        <v>148</v>
      </c>
      <c r="B151" s="185">
        <v>45797</v>
      </c>
      <c r="C151" s="178" t="s">
        <v>477</v>
      </c>
      <c r="D151" s="6">
        <f>YEAR(PA[[#This Row],[Date]])</f>
        <v>2025</v>
      </c>
      <c r="E151" s="178" t="s">
        <v>361</v>
      </c>
      <c r="F151" s="178" t="s">
        <v>361</v>
      </c>
      <c r="G151" s="179">
        <v>45778</v>
      </c>
      <c r="H151" s="176">
        <f>DAY(EOMONTH(PA[[#This Row],[Month Year]],0))</f>
        <v>31</v>
      </c>
      <c r="I151" s="180">
        <f>VLOOKUP(PA[[#This Row],[Date]],Raw_Data[#All],9,0)</f>
        <v>0.26250000000000001</v>
      </c>
      <c r="J151" s="180">
        <f>VLOOKUP(PA[[#This Row],[Date]],Raw_Data[#All],10,0)</f>
        <v>0.80833333333333335</v>
      </c>
      <c r="K151" s="68">
        <f>IFERROR((PA[[#This Row],[Sunset Time (POA&lt;20 W/m2)]]-PA[[#This Row],[Sunrise Time (POA&gt;20 W/m2)]])*24,"")</f>
        <v>13.100000000000001</v>
      </c>
      <c r="L151" s="178" t="s">
        <v>400</v>
      </c>
      <c r="M151" s="178" t="s">
        <v>408</v>
      </c>
      <c r="N151" s="178" t="s">
        <v>402</v>
      </c>
      <c r="O151" s="178" t="s">
        <v>413</v>
      </c>
      <c r="P151" s="178" t="s">
        <v>404</v>
      </c>
      <c r="Q151" s="178"/>
      <c r="R151" s="6">
        <f>IF((PA[[#This Row],[String Type(If String BD)]]&amp;PA[[#This Row],[Equipment (If any BD other than PV  array and inv)]])="",1,0)</f>
        <v>0</v>
      </c>
      <c r="S151" s="6">
        <f>IF(PA[[#This Row],[String Type(If String BD)]]="",1,0)</f>
        <v>0</v>
      </c>
      <c r="T1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1" s="68">
        <f>IFERROR(VLOOKUP(PA[[#This Row],[Affected Equipment ]],'Basic Data '!$A$1:$B$1846,2,0),"")</f>
        <v>31.32</v>
      </c>
      <c r="V151" s="143">
        <f>IFERROR(VLOOKUP(PA[[#This Row],[Affected Equipment ]],'Basic Data '!$A$1:$C$1846,3,0),"")</f>
        <v>9.3467147730019601E-5</v>
      </c>
      <c r="W151" s="178" t="s">
        <v>398</v>
      </c>
      <c r="X151" s="110" t="s">
        <v>410</v>
      </c>
      <c r="Y151" s="183" t="s">
        <v>411</v>
      </c>
      <c r="Z151" s="109">
        <v>0.26250000000000001</v>
      </c>
      <c r="AA151" s="109">
        <v>0.26250000000000001</v>
      </c>
      <c r="AB151" s="109">
        <v>0.26250000000000001</v>
      </c>
      <c r="AC151" s="109">
        <v>0.80833333333333335</v>
      </c>
      <c r="AD151" s="82">
        <f>IF(PA[[#This Row],[Acknowledgement Time ]]="NA","",(PA[[#This Row],[Acknowledgement Time ]]-PA[[#This Row],[Fault Time]])*24)</f>
        <v>0</v>
      </c>
      <c r="AE151" s="82">
        <f>IF(PA[[#This Row],[Work Start time on Fault]]="NA","",(PA[[#This Row],[Work Start time on Fault]]-PA[[#This Row],[Fault Time]])*24)</f>
        <v>0</v>
      </c>
      <c r="AF151" s="111">
        <f>IF(PA[[#This Row],[Status]]="Open","",(PA[[#This Row],[Work Completion time on fault]]-PA[[#This Row],[Fault Time]])*24)</f>
        <v>13.100000000000001</v>
      </c>
      <c r="AG151" s="82">
        <f>IFERROR((PA[[#This Row],[Work Completion time on fault]]-PA[[#This Row],[Fault Time]])*24,"")</f>
        <v>13.100000000000001</v>
      </c>
      <c r="AH151" s="183" t="s">
        <v>2660</v>
      </c>
      <c r="AI151" s="178" t="s">
        <v>422</v>
      </c>
      <c r="AJ151" s="68">
        <f>IFERROR(PA[[#This Row],[Breakdown Time]]*PA[[#This Row],[Plant Equivalent Weightage]],"")</f>
        <v>1.224419635263257E-3</v>
      </c>
      <c r="AK151" s="117">
        <v>7.5</v>
      </c>
      <c r="AL151" s="116">
        <f>IF(PA[[#This Row],[Lost PoA(Wh/m2)]]&gt;0,_xlfn.XLOOKUP($B151,'Daily KPI'!$A:$A,'Daily KPI'!$AE:$AE)*PA[[#This Row],[Lost PoA(Wh/m2)]]*U151,0)</f>
        <v>192.02188670024864</v>
      </c>
      <c r="AM151" s="176" t="s">
        <v>2556</v>
      </c>
    </row>
    <row r="152" spans="1:39" ht="14" customHeight="1">
      <c r="A152" s="177">
        <f t="shared" si="3"/>
        <v>149</v>
      </c>
      <c r="B152" s="185">
        <v>45797</v>
      </c>
      <c r="C152" s="178" t="s">
        <v>477</v>
      </c>
      <c r="D152" s="6">
        <f>YEAR(PA[[#This Row],[Date]])</f>
        <v>2025</v>
      </c>
      <c r="E152" s="178" t="s">
        <v>361</v>
      </c>
      <c r="F152" s="178" t="s">
        <v>361</v>
      </c>
      <c r="G152" s="179">
        <v>45778</v>
      </c>
      <c r="H152" s="176">
        <f>DAY(EOMONTH(PA[[#This Row],[Month Year]],0))</f>
        <v>31</v>
      </c>
      <c r="I152" s="180">
        <f>VLOOKUP(PA[[#This Row],[Date]],Raw_Data[#All],9,0)</f>
        <v>0.26250000000000001</v>
      </c>
      <c r="J152" s="180">
        <f>VLOOKUP(PA[[#This Row],[Date]],Raw_Data[#All],10,0)</f>
        <v>0.80833333333333335</v>
      </c>
      <c r="K152" s="68">
        <f>IFERROR((PA[[#This Row],[Sunset Time (POA&lt;20 W/m2)]]-PA[[#This Row],[Sunrise Time (POA&gt;20 W/m2)]])*24,"")</f>
        <v>13.100000000000001</v>
      </c>
      <c r="L152" s="178" t="s">
        <v>400</v>
      </c>
      <c r="M152" s="178" t="s">
        <v>408</v>
      </c>
      <c r="N152" s="178" t="s">
        <v>395</v>
      </c>
      <c r="O152" s="178" t="s">
        <v>409</v>
      </c>
      <c r="P152" s="178" t="s">
        <v>404</v>
      </c>
      <c r="Q152" s="178"/>
      <c r="R152" s="6">
        <f>IF((PA[[#This Row],[String Type(If String BD)]]&amp;PA[[#This Row],[Equipment (If any BD other than PV  array and inv)]])="",1,0)</f>
        <v>0</v>
      </c>
      <c r="S152" s="6">
        <f>IF(PA[[#This Row],[String Type(If String BD)]]="",1,0)</f>
        <v>0</v>
      </c>
      <c r="T1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2" s="68">
        <f>IFERROR(VLOOKUP(PA[[#This Row],[Affected Equipment ]],'Basic Data '!$A$1:$B$1846,2,0),"")</f>
        <v>31.32</v>
      </c>
      <c r="V152" s="143">
        <f>IFERROR(VLOOKUP(PA[[#This Row],[Affected Equipment ]],'Basic Data '!$A$1:$C$1846,3,0),"")</f>
        <v>9.3467147730019601E-5</v>
      </c>
      <c r="W152" s="178" t="s">
        <v>398</v>
      </c>
      <c r="X152" s="110" t="s">
        <v>410</v>
      </c>
      <c r="Y152" s="183" t="s">
        <v>411</v>
      </c>
      <c r="Z152" s="109">
        <v>0.26250000000000001</v>
      </c>
      <c r="AA152" s="109">
        <v>0.26250000000000001</v>
      </c>
      <c r="AB152" s="109">
        <v>0.26250000000000001</v>
      </c>
      <c r="AC152" s="109">
        <v>0.80833333333333335</v>
      </c>
      <c r="AD152" s="82">
        <f>IF(PA[[#This Row],[Acknowledgement Time ]]="NA","",(PA[[#This Row],[Acknowledgement Time ]]-PA[[#This Row],[Fault Time]])*24)</f>
        <v>0</v>
      </c>
      <c r="AE152" s="82">
        <f>IF(PA[[#This Row],[Work Start time on Fault]]="NA","",(PA[[#This Row],[Work Start time on Fault]]-PA[[#This Row],[Fault Time]])*24)</f>
        <v>0</v>
      </c>
      <c r="AF152" s="111">
        <f>IF(PA[[#This Row],[Status]]="Open","",(PA[[#This Row],[Work Completion time on fault]]-PA[[#This Row],[Fault Time]])*24)</f>
        <v>13.100000000000001</v>
      </c>
      <c r="AG152" s="82">
        <f>IFERROR((PA[[#This Row],[Work Completion time on fault]]-PA[[#This Row],[Fault Time]])*24,"")</f>
        <v>13.100000000000001</v>
      </c>
      <c r="AH152" s="183" t="s">
        <v>2660</v>
      </c>
      <c r="AI152" s="178" t="s">
        <v>422</v>
      </c>
      <c r="AJ152" s="68">
        <f>IFERROR(PA[[#This Row],[Breakdown Time]]*PA[[#This Row],[Plant Equivalent Weightage]],"")</f>
        <v>1.224419635263257E-3</v>
      </c>
      <c r="AK152" s="117">
        <v>7.5</v>
      </c>
      <c r="AL152" s="116">
        <f>IF(PA[[#This Row],[Lost PoA(Wh/m2)]]&gt;0,_xlfn.XLOOKUP($B152,'Daily KPI'!$A:$A,'Daily KPI'!$AE:$AE)*PA[[#This Row],[Lost PoA(Wh/m2)]]*U152,0)</f>
        <v>192.02188670024864</v>
      </c>
      <c r="AM152" s="176" t="s">
        <v>2556</v>
      </c>
    </row>
    <row r="153" spans="1:39" ht="14" customHeight="1">
      <c r="A153" s="177">
        <f t="shared" si="3"/>
        <v>150</v>
      </c>
      <c r="B153" s="185">
        <v>45797</v>
      </c>
      <c r="C153" s="178" t="s">
        <v>477</v>
      </c>
      <c r="D153" s="6">
        <f>YEAR(PA[[#This Row],[Date]])</f>
        <v>2025</v>
      </c>
      <c r="E153" s="178" t="s">
        <v>361</v>
      </c>
      <c r="F153" s="178" t="s">
        <v>361</v>
      </c>
      <c r="G153" s="179">
        <v>45778</v>
      </c>
      <c r="H153" s="176">
        <f>DAY(EOMONTH(PA[[#This Row],[Month Year]],0))</f>
        <v>31</v>
      </c>
      <c r="I153" s="180">
        <f>VLOOKUP(PA[[#This Row],[Date]],Raw_Data[#All],9,0)</f>
        <v>0.26250000000000001</v>
      </c>
      <c r="J153" s="180">
        <f>VLOOKUP(PA[[#This Row],[Date]],Raw_Data[#All],10,0)</f>
        <v>0.80833333333333335</v>
      </c>
      <c r="K153" s="68">
        <f>IFERROR((PA[[#This Row],[Sunset Time (POA&lt;20 W/m2)]]-PA[[#This Row],[Sunrise Time (POA&gt;20 W/m2)]])*24,"")</f>
        <v>13.100000000000001</v>
      </c>
      <c r="L153" s="178" t="s">
        <v>407</v>
      </c>
      <c r="M153" s="178" t="s">
        <v>401</v>
      </c>
      <c r="N153" s="178" t="s">
        <v>402</v>
      </c>
      <c r="O153" s="178" t="s">
        <v>415</v>
      </c>
      <c r="P153" s="178" t="s">
        <v>404</v>
      </c>
      <c r="Q153" s="178"/>
      <c r="R153" s="6">
        <f>IF((PA[[#This Row],[String Type(If String BD)]]&amp;PA[[#This Row],[Equipment (If any BD other than PV  array and inv)]])="",1,0)</f>
        <v>0</v>
      </c>
      <c r="S153" s="6">
        <f>IF(PA[[#This Row],[String Type(If String BD)]]="",1,0)</f>
        <v>0</v>
      </c>
      <c r="T1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3" s="68">
        <f>IFERROR(VLOOKUP(PA[[#This Row],[Affected Equipment ]],'Basic Data '!$A$1:$B$1846,2,0),"")</f>
        <v>31.32</v>
      </c>
      <c r="V153" s="143">
        <f>IFERROR(VLOOKUP(PA[[#This Row],[Affected Equipment ]],'Basic Data '!$A$1:$C$1846,3,0),"")</f>
        <v>9.3467147730019601E-5</v>
      </c>
      <c r="W153" s="178" t="s">
        <v>398</v>
      </c>
      <c r="X153" s="110" t="s">
        <v>410</v>
      </c>
      <c r="Y153" s="183" t="s">
        <v>411</v>
      </c>
      <c r="Z153" s="109">
        <v>0.26250000000000001</v>
      </c>
      <c r="AA153" s="109">
        <v>0.26250000000000001</v>
      </c>
      <c r="AB153" s="109">
        <v>0.26250000000000001</v>
      </c>
      <c r="AC153" s="109">
        <v>0.80833333333333335</v>
      </c>
      <c r="AD153" s="82">
        <f>IF(PA[[#This Row],[Acknowledgement Time ]]="NA","",(PA[[#This Row],[Acknowledgement Time ]]-PA[[#This Row],[Fault Time]])*24)</f>
        <v>0</v>
      </c>
      <c r="AE153" s="82">
        <f>IF(PA[[#This Row],[Work Start time on Fault]]="NA","",(PA[[#This Row],[Work Start time on Fault]]-PA[[#This Row],[Fault Time]])*24)</f>
        <v>0</v>
      </c>
      <c r="AF153" s="111">
        <f>IF(PA[[#This Row],[Status]]="Open","",(PA[[#This Row],[Work Completion time on fault]]-PA[[#This Row],[Fault Time]])*24)</f>
        <v>13.100000000000001</v>
      </c>
      <c r="AG153" s="82">
        <f>IFERROR((PA[[#This Row],[Work Completion time on fault]]-PA[[#This Row],[Fault Time]])*24,"")</f>
        <v>13.100000000000001</v>
      </c>
      <c r="AH153" s="183" t="s">
        <v>2660</v>
      </c>
      <c r="AI153" s="178" t="s">
        <v>422</v>
      </c>
      <c r="AJ153" s="68">
        <f>IFERROR(PA[[#This Row],[Breakdown Time]]*PA[[#This Row],[Plant Equivalent Weightage]],"")</f>
        <v>1.224419635263257E-3</v>
      </c>
      <c r="AK153" s="117">
        <v>7.5</v>
      </c>
      <c r="AL153" s="116">
        <f>IF(PA[[#This Row],[Lost PoA(Wh/m2)]]&gt;0,_xlfn.XLOOKUP($B153,'Daily KPI'!$A:$A,'Daily KPI'!$AE:$AE)*PA[[#This Row],[Lost PoA(Wh/m2)]]*U153,0)</f>
        <v>192.02188670024864</v>
      </c>
      <c r="AM153" s="176" t="s">
        <v>2556</v>
      </c>
    </row>
    <row r="154" spans="1:39" ht="14" customHeight="1">
      <c r="A154" s="177">
        <f t="shared" si="3"/>
        <v>151</v>
      </c>
      <c r="B154" s="185">
        <v>45798</v>
      </c>
      <c r="C154" s="178" t="s">
        <v>477</v>
      </c>
      <c r="D154" s="6">
        <f>YEAR(PA[[#This Row],[Date]])</f>
        <v>2025</v>
      </c>
      <c r="E154" s="178" t="s">
        <v>361</v>
      </c>
      <c r="F154" s="178" t="s">
        <v>361</v>
      </c>
      <c r="G154" s="179">
        <v>45778</v>
      </c>
      <c r="H154" s="176">
        <f>DAY(EOMONTH(PA[[#This Row],[Month Year]],0))</f>
        <v>31</v>
      </c>
      <c r="I154" s="180">
        <f>VLOOKUP(PA[[#This Row],[Date]],Raw_Data[#All],9,0)</f>
        <v>0.26250000000000001</v>
      </c>
      <c r="J154" s="180">
        <f>VLOOKUP(PA[[#This Row],[Date]],Raw_Data[#All],10,0)</f>
        <v>0.80833333333333335</v>
      </c>
      <c r="K154" s="68">
        <f>IFERROR((PA[[#This Row],[Sunset Time (POA&lt;20 W/m2)]]-PA[[#This Row],[Sunrise Time (POA&gt;20 W/m2)]])*24,"")</f>
        <v>13.100000000000001</v>
      </c>
      <c r="L154" s="178" t="s">
        <v>423</v>
      </c>
      <c r="M154" s="178" t="s">
        <v>414</v>
      </c>
      <c r="N154" s="178" t="s">
        <v>395</v>
      </c>
      <c r="O154" s="178" t="s">
        <v>403</v>
      </c>
      <c r="P154" s="178" t="s">
        <v>404</v>
      </c>
      <c r="Q154" s="178"/>
      <c r="R154" s="6">
        <f>IF((PA[[#This Row],[String Type(If String BD)]]&amp;PA[[#This Row],[Equipment (If any BD other than PV  array and inv)]])="",1,0)</f>
        <v>0</v>
      </c>
      <c r="S154" s="6">
        <f>IF(PA[[#This Row],[String Type(If String BD)]]="",1,0)</f>
        <v>0</v>
      </c>
      <c r="T1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4" s="68">
        <f>IFERROR(VLOOKUP(PA[[#This Row],[Affected Equipment ]],'Basic Data '!$A$1:$B$1846,2,0),"")</f>
        <v>31.32</v>
      </c>
      <c r="V154" s="143">
        <f>IFERROR(VLOOKUP(PA[[#This Row],[Affected Equipment ]],'Basic Data '!$A$1:$C$1846,3,0),"")</f>
        <v>9.3467147730019601E-5</v>
      </c>
      <c r="W154" s="178" t="s">
        <v>398</v>
      </c>
      <c r="X154" s="110" t="s">
        <v>410</v>
      </c>
      <c r="Y154" s="183" t="s">
        <v>411</v>
      </c>
      <c r="Z154" s="109">
        <v>0.26250000000000001</v>
      </c>
      <c r="AA154" s="109">
        <v>0.26250000000000001</v>
      </c>
      <c r="AB154" s="109">
        <v>0.26250000000000001</v>
      </c>
      <c r="AC154" s="109">
        <v>0.80833333333333335</v>
      </c>
      <c r="AD154" s="82">
        <f>IF(PA[[#This Row],[Acknowledgement Time ]]="NA","",(PA[[#This Row],[Acknowledgement Time ]]-PA[[#This Row],[Fault Time]])*24)</f>
        <v>0</v>
      </c>
      <c r="AE154" s="82">
        <f>IF(PA[[#This Row],[Work Start time on Fault]]="NA","",(PA[[#This Row],[Work Start time on Fault]]-PA[[#This Row],[Fault Time]])*24)</f>
        <v>0</v>
      </c>
      <c r="AF154" s="111">
        <f>IF(PA[[#This Row],[Status]]="Open","",(PA[[#This Row],[Work Completion time on fault]]-PA[[#This Row],[Fault Time]])*24)</f>
        <v>13.100000000000001</v>
      </c>
      <c r="AG154" s="82">
        <f>IFERROR((PA[[#This Row],[Work Completion time on fault]]-PA[[#This Row],[Fault Time]])*24,"")</f>
        <v>13.100000000000001</v>
      </c>
      <c r="AH154" s="183" t="s">
        <v>2660</v>
      </c>
      <c r="AI154" s="178" t="s">
        <v>422</v>
      </c>
      <c r="AJ154" s="68">
        <f>IFERROR(PA[[#This Row],[Breakdown Time]]*PA[[#This Row],[Plant Equivalent Weightage]],"")</f>
        <v>1.224419635263257E-3</v>
      </c>
      <c r="AK154" s="117">
        <v>7.75</v>
      </c>
      <c r="AL154" s="116">
        <f>IF(PA[[#This Row],[Lost PoA(Wh/m2)]]&gt;0,_xlfn.XLOOKUP($B154,'Daily KPI'!$A:$A,'Daily KPI'!$AE:$AE)*PA[[#This Row],[Lost PoA(Wh/m2)]]*U154,0)</f>
        <v>198.42261625692356</v>
      </c>
      <c r="AM154" s="176" t="s">
        <v>2553</v>
      </c>
    </row>
    <row r="155" spans="1:39" ht="14" customHeight="1">
      <c r="A155" s="177">
        <f t="shared" si="3"/>
        <v>152</v>
      </c>
      <c r="B155" s="185">
        <v>45798</v>
      </c>
      <c r="C155" s="178" t="s">
        <v>477</v>
      </c>
      <c r="D155" s="6">
        <f>YEAR(PA[[#This Row],[Date]])</f>
        <v>2025</v>
      </c>
      <c r="E155" s="178" t="s">
        <v>361</v>
      </c>
      <c r="F155" s="178" t="s">
        <v>361</v>
      </c>
      <c r="G155" s="179">
        <v>45778</v>
      </c>
      <c r="H155" s="176">
        <f>DAY(EOMONTH(PA[[#This Row],[Month Year]],0))</f>
        <v>31</v>
      </c>
      <c r="I155" s="180">
        <f>VLOOKUP(PA[[#This Row],[Date]],Raw_Data[#All],9,0)</f>
        <v>0.26250000000000001</v>
      </c>
      <c r="J155" s="180">
        <f>VLOOKUP(PA[[#This Row],[Date]],Raw_Data[#All],10,0)</f>
        <v>0.80833333333333335</v>
      </c>
      <c r="K155" s="68">
        <f>IFERROR((PA[[#This Row],[Sunset Time (POA&lt;20 W/m2)]]-PA[[#This Row],[Sunrise Time (POA&gt;20 W/m2)]])*24,"")</f>
        <v>13.100000000000001</v>
      </c>
      <c r="L155" s="178" t="s">
        <v>419</v>
      </c>
      <c r="M155" s="178" t="s">
        <v>414</v>
      </c>
      <c r="N155" s="178" t="s">
        <v>395</v>
      </c>
      <c r="O155" s="178" t="s">
        <v>417</v>
      </c>
      <c r="P155" s="178" t="s">
        <v>404</v>
      </c>
      <c r="Q155" s="178"/>
      <c r="R155" s="6">
        <f>IF((PA[[#This Row],[String Type(If String BD)]]&amp;PA[[#This Row],[Equipment (If any BD other than PV  array and inv)]])="",1,0)</f>
        <v>0</v>
      </c>
      <c r="S155" s="6">
        <f>IF(PA[[#This Row],[String Type(If String BD)]]="",1,0)</f>
        <v>0</v>
      </c>
      <c r="T1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5" s="68">
        <f>IFERROR(VLOOKUP(PA[[#This Row],[Affected Equipment ]],'Basic Data '!$A$1:$B$1846,2,0),"")</f>
        <v>31.32</v>
      </c>
      <c r="V155" s="143">
        <f>IFERROR(VLOOKUP(PA[[#This Row],[Affected Equipment ]],'Basic Data '!$A$1:$C$1846,3,0),"")</f>
        <v>9.3467147730019601E-5</v>
      </c>
      <c r="W155" s="178" t="s">
        <v>398</v>
      </c>
      <c r="X155" s="110" t="s">
        <v>410</v>
      </c>
      <c r="Y155" s="183" t="s">
        <v>411</v>
      </c>
      <c r="Z155" s="109">
        <v>0.26250000000000001</v>
      </c>
      <c r="AA155" s="109">
        <v>0.26250000000000001</v>
      </c>
      <c r="AB155" s="109">
        <v>0.26250000000000001</v>
      </c>
      <c r="AC155" s="109">
        <v>0.80833333333333335</v>
      </c>
      <c r="AD155" s="82">
        <f>IF(PA[[#This Row],[Acknowledgement Time ]]="NA","",(PA[[#This Row],[Acknowledgement Time ]]-PA[[#This Row],[Fault Time]])*24)</f>
        <v>0</v>
      </c>
      <c r="AE155" s="82">
        <f>IF(PA[[#This Row],[Work Start time on Fault]]="NA","",(PA[[#This Row],[Work Start time on Fault]]-PA[[#This Row],[Fault Time]])*24)</f>
        <v>0</v>
      </c>
      <c r="AF155" s="111">
        <f>IF(PA[[#This Row],[Status]]="Open","",(PA[[#This Row],[Work Completion time on fault]]-PA[[#This Row],[Fault Time]])*24)</f>
        <v>13.100000000000001</v>
      </c>
      <c r="AG155" s="82">
        <f>IFERROR((PA[[#This Row],[Work Completion time on fault]]-PA[[#This Row],[Fault Time]])*24,"")</f>
        <v>13.100000000000001</v>
      </c>
      <c r="AH155" s="183" t="s">
        <v>2660</v>
      </c>
      <c r="AI155" s="178" t="s">
        <v>422</v>
      </c>
      <c r="AJ155" s="68">
        <f>IFERROR(PA[[#This Row],[Breakdown Time]]*PA[[#This Row],[Plant Equivalent Weightage]],"")</f>
        <v>1.224419635263257E-3</v>
      </c>
      <c r="AK155" s="117">
        <v>7.75</v>
      </c>
      <c r="AL155" s="116">
        <f>IF(PA[[#This Row],[Lost PoA(Wh/m2)]]&gt;0,_xlfn.XLOOKUP($B155,'Daily KPI'!$A:$A,'Daily KPI'!$AE:$AE)*PA[[#This Row],[Lost PoA(Wh/m2)]]*U155,0)</f>
        <v>198.42261625692356</v>
      </c>
      <c r="AM155" s="176" t="s">
        <v>2553</v>
      </c>
    </row>
    <row r="156" spans="1:39" ht="14" customHeight="1">
      <c r="A156" s="177">
        <f t="shared" si="3"/>
        <v>153</v>
      </c>
      <c r="B156" s="185">
        <v>45798</v>
      </c>
      <c r="C156" s="178" t="s">
        <v>477</v>
      </c>
      <c r="D156" s="6">
        <f>YEAR(PA[[#This Row],[Date]])</f>
        <v>2025</v>
      </c>
      <c r="E156" s="178" t="s">
        <v>361</v>
      </c>
      <c r="F156" s="178" t="s">
        <v>361</v>
      </c>
      <c r="G156" s="179">
        <v>45778</v>
      </c>
      <c r="H156" s="176">
        <f>DAY(EOMONTH(PA[[#This Row],[Month Year]],0))</f>
        <v>31</v>
      </c>
      <c r="I156" s="180">
        <f>VLOOKUP(PA[[#This Row],[Date]],Raw_Data[#All],9,0)</f>
        <v>0.26250000000000001</v>
      </c>
      <c r="J156" s="180">
        <f>VLOOKUP(PA[[#This Row],[Date]],Raw_Data[#All],10,0)</f>
        <v>0.80833333333333335</v>
      </c>
      <c r="K156" s="68">
        <f>IFERROR((PA[[#This Row],[Sunset Time (POA&lt;20 W/m2)]]-PA[[#This Row],[Sunrise Time (POA&gt;20 W/m2)]])*24,"")</f>
        <v>13.100000000000001</v>
      </c>
      <c r="L156" s="178" t="s">
        <v>419</v>
      </c>
      <c r="M156" s="178" t="s">
        <v>414</v>
      </c>
      <c r="N156" s="178" t="s">
        <v>402</v>
      </c>
      <c r="O156" s="178" t="s">
        <v>406</v>
      </c>
      <c r="P156" s="178" t="s">
        <v>404</v>
      </c>
      <c r="Q156" s="178"/>
      <c r="R156" s="6">
        <f>IF((PA[[#This Row],[String Type(If String BD)]]&amp;PA[[#This Row],[Equipment (If any BD other than PV  array and inv)]])="",1,0)</f>
        <v>0</v>
      </c>
      <c r="S156" s="6">
        <f>IF(PA[[#This Row],[String Type(If String BD)]]="",1,0)</f>
        <v>0</v>
      </c>
      <c r="T1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6" s="68">
        <f>IFERROR(VLOOKUP(PA[[#This Row],[Affected Equipment ]],'Basic Data '!$A$1:$B$1846,2,0),"")</f>
        <v>31.32</v>
      </c>
      <c r="V156" s="143">
        <f>IFERROR(VLOOKUP(PA[[#This Row],[Affected Equipment ]],'Basic Data '!$A$1:$C$1846,3,0),"")</f>
        <v>9.3467147730019601E-5</v>
      </c>
      <c r="W156" s="178" t="s">
        <v>398</v>
      </c>
      <c r="X156" s="110" t="s">
        <v>410</v>
      </c>
      <c r="Y156" s="183" t="s">
        <v>411</v>
      </c>
      <c r="Z156" s="109">
        <v>0.26250000000000001</v>
      </c>
      <c r="AA156" s="109">
        <v>0.26250000000000001</v>
      </c>
      <c r="AB156" s="109">
        <v>0.26250000000000001</v>
      </c>
      <c r="AC156" s="109">
        <v>0.80833333333333335</v>
      </c>
      <c r="AD156" s="82">
        <f>IF(PA[[#This Row],[Acknowledgement Time ]]="NA","",(PA[[#This Row],[Acknowledgement Time ]]-PA[[#This Row],[Fault Time]])*24)</f>
        <v>0</v>
      </c>
      <c r="AE156" s="82">
        <f>IF(PA[[#This Row],[Work Start time on Fault]]="NA","",(PA[[#This Row],[Work Start time on Fault]]-PA[[#This Row],[Fault Time]])*24)</f>
        <v>0</v>
      </c>
      <c r="AF156" s="111">
        <f>IF(PA[[#This Row],[Status]]="Open","",(PA[[#This Row],[Work Completion time on fault]]-PA[[#This Row],[Fault Time]])*24)</f>
        <v>13.100000000000001</v>
      </c>
      <c r="AG156" s="82">
        <f>IFERROR((PA[[#This Row],[Work Completion time on fault]]-PA[[#This Row],[Fault Time]])*24,"")</f>
        <v>13.100000000000001</v>
      </c>
      <c r="AH156" s="183" t="s">
        <v>2660</v>
      </c>
      <c r="AI156" s="178" t="s">
        <v>422</v>
      </c>
      <c r="AJ156" s="68">
        <f>IFERROR(PA[[#This Row],[Breakdown Time]]*PA[[#This Row],[Plant Equivalent Weightage]],"")</f>
        <v>1.224419635263257E-3</v>
      </c>
      <c r="AK156" s="117">
        <v>7.75</v>
      </c>
      <c r="AL156" s="116">
        <f>IF(PA[[#This Row],[Lost PoA(Wh/m2)]]&gt;0,_xlfn.XLOOKUP($B156,'Daily KPI'!$A:$A,'Daily KPI'!$AE:$AE)*PA[[#This Row],[Lost PoA(Wh/m2)]]*U156,0)</f>
        <v>198.42261625692356</v>
      </c>
      <c r="AM156" s="176" t="s">
        <v>2553</v>
      </c>
    </row>
    <row r="157" spans="1:39" ht="14" customHeight="1">
      <c r="A157" s="177">
        <f t="shared" si="3"/>
        <v>154</v>
      </c>
      <c r="B157" s="185">
        <v>45798</v>
      </c>
      <c r="C157" s="178" t="s">
        <v>477</v>
      </c>
      <c r="D157" s="6">
        <f>YEAR(PA[[#This Row],[Date]])</f>
        <v>2025</v>
      </c>
      <c r="E157" s="178" t="s">
        <v>361</v>
      </c>
      <c r="F157" s="178" t="s">
        <v>361</v>
      </c>
      <c r="G157" s="179">
        <v>45778</v>
      </c>
      <c r="H157" s="176">
        <f>DAY(EOMONTH(PA[[#This Row],[Month Year]],0))</f>
        <v>31</v>
      </c>
      <c r="I157" s="180">
        <f>VLOOKUP(PA[[#This Row],[Date]],Raw_Data[#All],9,0)</f>
        <v>0.26250000000000001</v>
      </c>
      <c r="J157" s="180">
        <f>VLOOKUP(PA[[#This Row],[Date]],Raw_Data[#All],10,0)</f>
        <v>0.80833333333333335</v>
      </c>
      <c r="K157" s="68">
        <f>IFERROR((PA[[#This Row],[Sunset Time (POA&lt;20 W/m2)]]-PA[[#This Row],[Sunrise Time (POA&gt;20 W/m2)]])*24,"")</f>
        <v>13.100000000000001</v>
      </c>
      <c r="L157" s="178" t="s">
        <v>416</v>
      </c>
      <c r="M157" s="178" t="s">
        <v>414</v>
      </c>
      <c r="N157" s="178" t="s">
        <v>402</v>
      </c>
      <c r="O157" s="178" t="s">
        <v>403</v>
      </c>
      <c r="P157" s="178" t="s">
        <v>448</v>
      </c>
      <c r="Q157" s="178"/>
      <c r="R157" s="6">
        <f>IF((PA[[#This Row],[String Type(If String BD)]]&amp;PA[[#This Row],[Equipment (If any BD other than PV  array and inv)]])="",1,0)</f>
        <v>0</v>
      </c>
      <c r="S157" s="6">
        <f>IF(PA[[#This Row],[String Type(If String BD)]]="",1,0)</f>
        <v>0</v>
      </c>
      <c r="T1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7" s="68">
        <f>IFERROR(VLOOKUP(PA[[#This Row],[Affected Equipment ]],'Basic Data '!$A$1:$B$1846,2,0),"")</f>
        <v>31.61</v>
      </c>
      <c r="V157" s="143">
        <f>IFERROR(VLOOKUP(PA[[#This Row],[Affected Equipment ]],'Basic Data '!$A$1:$C$1846,3,0),"")</f>
        <v>9.4332584283075336E-5</v>
      </c>
      <c r="W157" s="178" t="s">
        <v>398</v>
      </c>
      <c r="X157" s="110" t="s">
        <v>410</v>
      </c>
      <c r="Y157" s="183" t="s">
        <v>411</v>
      </c>
      <c r="Z157" s="109">
        <v>0.26250000000000001</v>
      </c>
      <c r="AA157" s="109">
        <v>0.26250000000000001</v>
      </c>
      <c r="AB157" s="109">
        <v>0.26250000000000001</v>
      </c>
      <c r="AC157" s="109">
        <v>0.80833333333333335</v>
      </c>
      <c r="AD157" s="82">
        <f>IF(PA[[#This Row],[Acknowledgement Time ]]="NA","",(PA[[#This Row],[Acknowledgement Time ]]-PA[[#This Row],[Fault Time]])*24)</f>
        <v>0</v>
      </c>
      <c r="AE157" s="82">
        <f>IF(PA[[#This Row],[Work Start time on Fault]]="NA","",(PA[[#This Row],[Work Start time on Fault]]-PA[[#This Row],[Fault Time]])*24)</f>
        <v>0</v>
      </c>
      <c r="AF157" s="111">
        <f>IF(PA[[#This Row],[Status]]="Open","",(PA[[#This Row],[Work Completion time on fault]]-PA[[#This Row],[Fault Time]])*24)</f>
        <v>13.100000000000001</v>
      </c>
      <c r="AG157" s="82">
        <f>IFERROR((PA[[#This Row],[Work Completion time on fault]]-PA[[#This Row],[Fault Time]])*24,"")</f>
        <v>13.100000000000001</v>
      </c>
      <c r="AH157" s="183" t="s">
        <v>2660</v>
      </c>
      <c r="AI157" s="178" t="s">
        <v>422</v>
      </c>
      <c r="AJ157" s="68">
        <f>IFERROR(PA[[#This Row],[Breakdown Time]]*PA[[#This Row],[Plant Equivalent Weightage]],"")</f>
        <v>1.2357568541082871E-3</v>
      </c>
      <c r="AK157" s="117">
        <v>7.75</v>
      </c>
      <c r="AL157" s="116">
        <f>IF(PA[[#This Row],[Lost PoA(Wh/m2)]]&gt;0,_xlfn.XLOOKUP($B157,'Daily KPI'!$A:$A,'Daily KPI'!$AE:$AE)*PA[[#This Row],[Lost PoA(Wh/m2)]]*U157,0)</f>
        <v>200.25986270374693</v>
      </c>
      <c r="AM157" s="176" t="s">
        <v>2553</v>
      </c>
    </row>
    <row r="158" spans="1:39" ht="14" customHeight="1">
      <c r="A158" s="177">
        <f t="shared" si="3"/>
        <v>155</v>
      </c>
      <c r="B158" s="185">
        <v>45798</v>
      </c>
      <c r="C158" s="178" t="s">
        <v>477</v>
      </c>
      <c r="D158" s="6">
        <f>YEAR(PA[[#This Row],[Date]])</f>
        <v>2025</v>
      </c>
      <c r="E158" s="178" t="s">
        <v>361</v>
      </c>
      <c r="F158" s="178" t="s">
        <v>361</v>
      </c>
      <c r="G158" s="179">
        <v>45778</v>
      </c>
      <c r="H158" s="176">
        <f>DAY(EOMONTH(PA[[#This Row],[Month Year]],0))</f>
        <v>31</v>
      </c>
      <c r="I158" s="180">
        <f>VLOOKUP(PA[[#This Row],[Date]],Raw_Data[#All],9,0)</f>
        <v>0.26250000000000001</v>
      </c>
      <c r="J158" s="180">
        <f>VLOOKUP(PA[[#This Row],[Date]],Raw_Data[#All],10,0)</f>
        <v>0.80833333333333335</v>
      </c>
      <c r="K158" s="68">
        <f>IFERROR((PA[[#This Row],[Sunset Time (POA&lt;20 W/m2)]]-PA[[#This Row],[Sunrise Time (POA&gt;20 W/m2)]])*24,"")</f>
        <v>13.100000000000001</v>
      </c>
      <c r="L158" s="178" t="s">
        <v>438</v>
      </c>
      <c r="M158" s="178" t="s">
        <v>401</v>
      </c>
      <c r="N158" s="178" t="s">
        <v>402</v>
      </c>
      <c r="O158" s="178" t="s">
        <v>442</v>
      </c>
      <c r="P158" s="178" t="s">
        <v>397</v>
      </c>
      <c r="Q158" s="178"/>
      <c r="R158" s="6">
        <f>IF((PA[[#This Row],[String Type(If String BD)]]&amp;PA[[#This Row],[Equipment (If any BD other than PV  array and inv)]])="",1,0)</f>
        <v>0</v>
      </c>
      <c r="S158" s="6">
        <f>IF(PA[[#This Row],[String Type(If String BD)]]="",1,0)</f>
        <v>0</v>
      </c>
      <c r="T1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8" s="68">
        <f>IFERROR(VLOOKUP(PA[[#This Row],[Affected Equipment ]],'Basic Data '!$A$1:$B$1846,2,0),"")</f>
        <v>25.81</v>
      </c>
      <c r="V158" s="143">
        <f>IFERROR(VLOOKUP(PA[[#This Row],[Affected Equipment ]],'Basic Data '!$A$1:$C$1846,3,0),"")</f>
        <v>7.7023853221960597E-5</v>
      </c>
      <c r="W158" s="178" t="s">
        <v>398</v>
      </c>
      <c r="X158" s="110" t="s">
        <v>410</v>
      </c>
      <c r="Y158" s="183" t="s">
        <v>411</v>
      </c>
      <c r="Z158" s="109">
        <v>0.26250000000000001</v>
      </c>
      <c r="AA158" s="109">
        <v>0.26250000000000001</v>
      </c>
      <c r="AB158" s="109">
        <v>0.26250000000000001</v>
      </c>
      <c r="AC158" s="109">
        <v>0.80833333333333335</v>
      </c>
      <c r="AD158" s="82">
        <f>IF(PA[[#This Row],[Acknowledgement Time ]]="NA","",(PA[[#This Row],[Acknowledgement Time ]]-PA[[#This Row],[Fault Time]])*24)</f>
        <v>0</v>
      </c>
      <c r="AE158" s="82">
        <f>IF(PA[[#This Row],[Work Start time on Fault]]="NA","",(PA[[#This Row],[Work Start time on Fault]]-PA[[#This Row],[Fault Time]])*24)</f>
        <v>0</v>
      </c>
      <c r="AF158" s="111">
        <f>IF(PA[[#This Row],[Status]]="Open","",(PA[[#This Row],[Work Completion time on fault]]-PA[[#This Row],[Fault Time]])*24)</f>
        <v>13.100000000000001</v>
      </c>
      <c r="AG158" s="82">
        <f>IFERROR((PA[[#This Row],[Work Completion time on fault]]-PA[[#This Row],[Fault Time]])*24,"")</f>
        <v>13.100000000000001</v>
      </c>
      <c r="AH158" s="183" t="s">
        <v>2660</v>
      </c>
      <c r="AI158" s="178" t="s">
        <v>422</v>
      </c>
      <c r="AJ158" s="68">
        <f>IFERROR(PA[[#This Row],[Breakdown Time]]*PA[[#This Row],[Plant Equivalent Weightage]],"")</f>
        <v>1.0090124772076838E-3</v>
      </c>
      <c r="AK158" s="117">
        <v>7.75</v>
      </c>
      <c r="AL158" s="116">
        <f>IF(PA[[#This Row],[Lost PoA(Wh/m2)]]&gt;0,_xlfn.XLOOKUP($B158,'Daily KPI'!$A:$A,'Daily KPI'!$AE:$AE)*PA[[#This Row],[Lost PoA(Wh/m2)]]*U158,0)</f>
        <v>163.51493376727962</v>
      </c>
      <c r="AM158" s="176" t="s">
        <v>2553</v>
      </c>
    </row>
    <row r="159" spans="1:39" ht="14" customHeight="1">
      <c r="A159" s="177">
        <f t="shared" si="3"/>
        <v>156</v>
      </c>
      <c r="B159" s="185">
        <v>45798</v>
      </c>
      <c r="C159" s="178" t="s">
        <v>477</v>
      </c>
      <c r="D159" s="6">
        <f>YEAR(PA[[#This Row],[Date]])</f>
        <v>2025</v>
      </c>
      <c r="E159" s="178" t="s">
        <v>361</v>
      </c>
      <c r="F159" s="178" t="s">
        <v>361</v>
      </c>
      <c r="G159" s="179">
        <v>45778</v>
      </c>
      <c r="H159" s="176">
        <f>DAY(EOMONTH(PA[[#This Row],[Month Year]],0))</f>
        <v>31</v>
      </c>
      <c r="I159" s="180">
        <f>VLOOKUP(PA[[#This Row],[Date]],Raw_Data[#All],9,0)</f>
        <v>0.26250000000000001</v>
      </c>
      <c r="J159" s="180">
        <f>VLOOKUP(PA[[#This Row],[Date]],Raw_Data[#All],10,0)</f>
        <v>0.80833333333333335</v>
      </c>
      <c r="K159" s="68">
        <f>IFERROR((PA[[#This Row],[Sunset Time (POA&lt;20 W/m2)]]-PA[[#This Row],[Sunrise Time (POA&gt;20 W/m2)]])*24,"")</f>
        <v>13.100000000000001</v>
      </c>
      <c r="L159" s="178" t="s">
        <v>438</v>
      </c>
      <c r="M159" s="178" t="s">
        <v>401</v>
      </c>
      <c r="N159" s="178" t="s">
        <v>402</v>
      </c>
      <c r="O159" s="178" t="s">
        <v>409</v>
      </c>
      <c r="P159" s="178" t="s">
        <v>397</v>
      </c>
      <c r="Q159" s="178"/>
      <c r="R159" s="6">
        <f>IF((PA[[#This Row],[String Type(If String BD)]]&amp;PA[[#This Row],[Equipment (If any BD other than PV  array and inv)]])="",1,0)</f>
        <v>0</v>
      </c>
      <c r="S159" s="6">
        <f>IF(PA[[#This Row],[String Type(If String BD)]]="",1,0)</f>
        <v>0</v>
      </c>
      <c r="T1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9" s="68">
        <f>IFERROR(VLOOKUP(PA[[#This Row],[Affected Equipment ]],'Basic Data '!$A$1:$B$1846,2,0),"")</f>
        <v>25.81</v>
      </c>
      <c r="V159" s="143">
        <f>IFERROR(VLOOKUP(PA[[#This Row],[Affected Equipment ]],'Basic Data '!$A$1:$C$1846,3,0),"")</f>
        <v>7.7023853221960597E-5</v>
      </c>
      <c r="W159" s="178" t="s">
        <v>398</v>
      </c>
      <c r="X159" s="110" t="s">
        <v>410</v>
      </c>
      <c r="Y159" s="183" t="s">
        <v>411</v>
      </c>
      <c r="Z159" s="109">
        <v>0.26250000000000001</v>
      </c>
      <c r="AA159" s="109">
        <v>0.26250000000000001</v>
      </c>
      <c r="AB159" s="109">
        <v>0.26250000000000001</v>
      </c>
      <c r="AC159" s="109">
        <v>0.80833333333333335</v>
      </c>
      <c r="AD159" s="82">
        <f>IF(PA[[#This Row],[Acknowledgement Time ]]="NA","",(PA[[#This Row],[Acknowledgement Time ]]-PA[[#This Row],[Fault Time]])*24)</f>
        <v>0</v>
      </c>
      <c r="AE159" s="82">
        <f>IF(PA[[#This Row],[Work Start time on Fault]]="NA","",(PA[[#This Row],[Work Start time on Fault]]-PA[[#This Row],[Fault Time]])*24)</f>
        <v>0</v>
      </c>
      <c r="AF159" s="111">
        <f>IF(PA[[#This Row],[Status]]="Open","",(PA[[#This Row],[Work Completion time on fault]]-PA[[#This Row],[Fault Time]])*24)</f>
        <v>13.100000000000001</v>
      </c>
      <c r="AG159" s="82">
        <f>IFERROR((PA[[#This Row],[Work Completion time on fault]]-PA[[#This Row],[Fault Time]])*24,"")</f>
        <v>13.100000000000001</v>
      </c>
      <c r="AH159" s="183" t="s">
        <v>2660</v>
      </c>
      <c r="AI159" s="178" t="s">
        <v>422</v>
      </c>
      <c r="AJ159" s="68">
        <f>IFERROR(PA[[#This Row],[Breakdown Time]]*PA[[#This Row],[Plant Equivalent Weightage]],"")</f>
        <v>1.0090124772076838E-3</v>
      </c>
      <c r="AK159" s="117">
        <v>7.75</v>
      </c>
      <c r="AL159" s="116">
        <f>IF(PA[[#This Row],[Lost PoA(Wh/m2)]]&gt;0,_xlfn.XLOOKUP($B159,'Daily KPI'!$A:$A,'Daily KPI'!$AE:$AE)*PA[[#This Row],[Lost PoA(Wh/m2)]]*U159,0)</f>
        <v>163.51493376727962</v>
      </c>
      <c r="AM159" s="176" t="s">
        <v>2553</v>
      </c>
    </row>
    <row r="160" spans="1:39" ht="14" customHeight="1">
      <c r="A160" s="177">
        <f t="shared" si="3"/>
        <v>157</v>
      </c>
      <c r="B160" s="185">
        <v>45798</v>
      </c>
      <c r="C160" s="178" t="s">
        <v>477</v>
      </c>
      <c r="D160" s="6">
        <f>YEAR(PA[[#This Row],[Date]])</f>
        <v>2025</v>
      </c>
      <c r="E160" s="178" t="s">
        <v>361</v>
      </c>
      <c r="F160" s="178" t="s">
        <v>361</v>
      </c>
      <c r="G160" s="179">
        <v>45778</v>
      </c>
      <c r="H160" s="176">
        <f>DAY(EOMONTH(PA[[#This Row],[Month Year]],0))</f>
        <v>31</v>
      </c>
      <c r="I160" s="180">
        <f>VLOOKUP(PA[[#This Row],[Date]],Raw_Data[#All],9,0)</f>
        <v>0.26250000000000001</v>
      </c>
      <c r="J160" s="180">
        <f>VLOOKUP(PA[[#This Row],[Date]],Raw_Data[#All],10,0)</f>
        <v>0.80833333333333335</v>
      </c>
      <c r="K160" s="68">
        <f>IFERROR((PA[[#This Row],[Sunset Time (POA&lt;20 W/m2)]]-PA[[#This Row],[Sunrise Time (POA&gt;20 W/m2)]])*24,"")</f>
        <v>13.100000000000001</v>
      </c>
      <c r="L160" s="178" t="s">
        <v>444</v>
      </c>
      <c r="M160" s="178" t="s">
        <v>401</v>
      </c>
      <c r="N160" s="178" t="s">
        <v>402</v>
      </c>
      <c r="O160" s="178" t="s">
        <v>406</v>
      </c>
      <c r="P160" s="178" t="s">
        <v>445</v>
      </c>
      <c r="Q160" s="178"/>
      <c r="R160" s="6">
        <f>IF((PA[[#This Row],[String Type(If String BD)]]&amp;PA[[#This Row],[Equipment (If any BD other than PV  array and inv)]])="",1,0)</f>
        <v>0</v>
      </c>
      <c r="S160" s="6">
        <f>IF(PA[[#This Row],[String Type(If String BD)]]="",1,0)</f>
        <v>0</v>
      </c>
      <c r="T1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0" s="68">
        <f>IFERROR(VLOOKUP(PA[[#This Row],[Affected Equipment ]],'Basic Data '!$A$1:$B$1846,2,0),"")</f>
        <v>26.1</v>
      </c>
      <c r="V160" s="143">
        <f>IFERROR(VLOOKUP(PA[[#This Row],[Affected Equipment ]],'Basic Data '!$A$1:$C$1846,3,0),"")</f>
        <v>7.7889289775016346E-5</v>
      </c>
      <c r="W160" s="178" t="s">
        <v>398</v>
      </c>
      <c r="X160" s="110" t="s">
        <v>410</v>
      </c>
      <c r="Y160" s="183" t="s">
        <v>411</v>
      </c>
      <c r="Z160" s="109">
        <v>0.26250000000000001</v>
      </c>
      <c r="AA160" s="109">
        <v>0.26250000000000001</v>
      </c>
      <c r="AB160" s="109">
        <v>0.26250000000000001</v>
      </c>
      <c r="AC160" s="109">
        <v>0.80833333333333335</v>
      </c>
      <c r="AD160" s="82">
        <f>IF(PA[[#This Row],[Acknowledgement Time ]]="NA","",(PA[[#This Row],[Acknowledgement Time ]]-PA[[#This Row],[Fault Time]])*24)</f>
        <v>0</v>
      </c>
      <c r="AE160" s="82">
        <f>IF(PA[[#This Row],[Work Start time on Fault]]="NA","",(PA[[#This Row],[Work Start time on Fault]]-PA[[#This Row],[Fault Time]])*24)</f>
        <v>0</v>
      </c>
      <c r="AF160" s="111">
        <f>IF(PA[[#This Row],[Status]]="Open","",(PA[[#This Row],[Work Completion time on fault]]-PA[[#This Row],[Fault Time]])*24)</f>
        <v>13.100000000000001</v>
      </c>
      <c r="AG160" s="82">
        <f>IFERROR((PA[[#This Row],[Work Completion time on fault]]-PA[[#This Row],[Fault Time]])*24,"")</f>
        <v>13.100000000000001</v>
      </c>
      <c r="AH160" s="183" t="s">
        <v>2660</v>
      </c>
      <c r="AI160" s="178" t="s">
        <v>422</v>
      </c>
      <c r="AJ160" s="68">
        <f>IFERROR(PA[[#This Row],[Breakdown Time]]*PA[[#This Row],[Plant Equivalent Weightage]],"")</f>
        <v>1.0203496960527142E-3</v>
      </c>
      <c r="AK160" s="117">
        <v>7.75</v>
      </c>
      <c r="AL160" s="116">
        <f>IF(PA[[#This Row],[Lost PoA(Wh/m2)]]&gt;0,_xlfn.XLOOKUP($B160,'Daily KPI'!$A:$A,'Daily KPI'!$AE:$AE)*PA[[#This Row],[Lost PoA(Wh/m2)]]*U160,0)</f>
        <v>165.35218021410299</v>
      </c>
      <c r="AM160" s="176" t="s">
        <v>2553</v>
      </c>
    </row>
    <row r="161" spans="1:39" ht="14" customHeight="1">
      <c r="A161" s="177">
        <f t="shared" si="3"/>
        <v>158</v>
      </c>
      <c r="B161" s="185">
        <v>45798</v>
      </c>
      <c r="C161" s="178" t="s">
        <v>477</v>
      </c>
      <c r="D161" s="6">
        <f>YEAR(PA[[#This Row],[Date]])</f>
        <v>2025</v>
      </c>
      <c r="E161" s="178" t="s">
        <v>361</v>
      </c>
      <c r="F161" s="178" t="s">
        <v>361</v>
      </c>
      <c r="G161" s="179">
        <v>45778</v>
      </c>
      <c r="H161" s="176">
        <f>DAY(EOMONTH(PA[[#This Row],[Month Year]],0))</f>
        <v>31</v>
      </c>
      <c r="I161" s="180">
        <f>VLOOKUP(PA[[#This Row],[Date]],Raw_Data[#All],9,0)</f>
        <v>0.26250000000000001</v>
      </c>
      <c r="J161" s="180">
        <f>VLOOKUP(PA[[#This Row],[Date]],Raw_Data[#All],10,0)</f>
        <v>0.80833333333333335</v>
      </c>
      <c r="K161" s="68">
        <f>IFERROR((PA[[#This Row],[Sunset Time (POA&lt;20 W/m2)]]-PA[[#This Row],[Sunrise Time (POA&gt;20 W/m2)]])*24,"")</f>
        <v>13.100000000000001</v>
      </c>
      <c r="L161" s="251" t="s">
        <v>393</v>
      </c>
      <c r="M161" s="251" t="s">
        <v>414</v>
      </c>
      <c r="N161" s="251" t="s">
        <v>395</v>
      </c>
      <c r="O161" s="251" t="s">
        <v>417</v>
      </c>
      <c r="P161" s="251" t="s">
        <v>397</v>
      </c>
      <c r="Q161" s="178"/>
      <c r="R161" s="6">
        <f>IF((PA[[#This Row],[String Type(If String BD)]]&amp;PA[[#This Row],[Equipment (If any BD other than PV  array and inv)]])="",1,0)</f>
        <v>0</v>
      </c>
      <c r="S161" s="6">
        <f>IF(PA[[#This Row],[String Type(If String BD)]]="",1,0)</f>
        <v>0</v>
      </c>
      <c r="T1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1" s="68">
        <f>IFERROR(VLOOKUP(PA[[#This Row],[Affected Equipment ]],'Basic Data '!$A$1:$B$1846,2,0),"")</f>
        <v>25.81</v>
      </c>
      <c r="V161" s="143">
        <f>IFERROR(VLOOKUP(PA[[#This Row],[Affected Equipment ]],'Basic Data '!$A$1:$C$1846,3,0),"")</f>
        <v>7.7023853221960597E-5</v>
      </c>
      <c r="W161" s="178" t="s">
        <v>398</v>
      </c>
      <c r="X161" s="110" t="s">
        <v>410</v>
      </c>
      <c r="Y161" s="183" t="s">
        <v>411</v>
      </c>
      <c r="Z161" s="109">
        <v>0.26250000000000001</v>
      </c>
      <c r="AA161" s="109">
        <v>0.26250000000000001</v>
      </c>
      <c r="AB161" s="109">
        <v>0.26250000000000001</v>
      </c>
      <c r="AC161" s="109">
        <v>0.80833333333333335</v>
      </c>
      <c r="AD161" s="82">
        <f>IF(PA[[#This Row],[Acknowledgement Time ]]="NA","",(PA[[#This Row],[Acknowledgement Time ]]-PA[[#This Row],[Fault Time]])*24)</f>
        <v>0</v>
      </c>
      <c r="AE161" s="82">
        <f>IF(PA[[#This Row],[Work Start time on Fault]]="NA","",(PA[[#This Row],[Work Start time on Fault]]-PA[[#This Row],[Fault Time]])*24)</f>
        <v>0</v>
      </c>
      <c r="AF161" s="111">
        <f>IF(PA[[#This Row],[Status]]="Open","",(PA[[#This Row],[Work Completion time on fault]]-PA[[#This Row],[Fault Time]])*24)</f>
        <v>13.100000000000001</v>
      </c>
      <c r="AG161" s="82">
        <f>IFERROR((PA[[#This Row],[Work Completion time on fault]]-PA[[#This Row],[Fault Time]])*24,"")</f>
        <v>13.100000000000001</v>
      </c>
      <c r="AH161" s="183" t="s">
        <v>2660</v>
      </c>
      <c r="AI161" s="84" t="s">
        <v>422</v>
      </c>
      <c r="AJ161" s="68">
        <f>IFERROR(PA[[#This Row],[Breakdown Time]]*PA[[#This Row],[Plant Equivalent Weightage]],"")</f>
        <v>1.0090124772076838E-3</v>
      </c>
      <c r="AK161" s="117">
        <v>7.75</v>
      </c>
      <c r="AL161" s="116">
        <f>IF(PA[[#This Row],[Lost PoA(Wh/m2)]]&gt;0,_xlfn.XLOOKUP($B161,'Daily KPI'!$A:$A,'Daily KPI'!$AE:$AE)*PA[[#This Row],[Lost PoA(Wh/m2)]]*U161,0)</f>
        <v>163.51493376727962</v>
      </c>
      <c r="AM161" s="176" t="s">
        <v>2556</v>
      </c>
    </row>
    <row r="162" spans="1:39" ht="14" customHeight="1">
      <c r="A162" s="177">
        <f t="shared" si="3"/>
        <v>159</v>
      </c>
      <c r="B162" s="185">
        <v>45798</v>
      </c>
      <c r="C162" s="178" t="s">
        <v>477</v>
      </c>
      <c r="D162" s="6">
        <f>YEAR(PA[[#This Row],[Date]])</f>
        <v>2025</v>
      </c>
      <c r="E162" s="178" t="s">
        <v>361</v>
      </c>
      <c r="F162" s="178" t="s">
        <v>361</v>
      </c>
      <c r="G162" s="179">
        <v>45778</v>
      </c>
      <c r="H162" s="176">
        <f>DAY(EOMONTH(PA[[#This Row],[Month Year]],0))</f>
        <v>31</v>
      </c>
      <c r="I162" s="180">
        <f>VLOOKUP(PA[[#This Row],[Date]],Raw_Data[#All],9,0)</f>
        <v>0.26250000000000001</v>
      </c>
      <c r="J162" s="180">
        <f>VLOOKUP(PA[[#This Row],[Date]],Raw_Data[#All],10,0)</f>
        <v>0.80833333333333335</v>
      </c>
      <c r="K162" s="68">
        <f>IFERROR((PA[[#This Row],[Sunset Time (POA&lt;20 W/m2)]]-PA[[#This Row],[Sunrise Time (POA&gt;20 W/m2)]])*24,"")</f>
        <v>13.100000000000001</v>
      </c>
      <c r="L162" s="178" t="s">
        <v>430</v>
      </c>
      <c r="M162" s="178" t="s">
        <v>408</v>
      </c>
      <c r="N162" s="178" t="s">
        <v>395</v>
      </c>
      <c r="O162" s="178" t="s">
        <v>403</v>
      </c>
      <c r="P162" s="178" t="s">
        <v>397</v>
      </c>
      <c r="Q162" s="178"/>
      <c r="R162" s="6">
        <f>IF((PA[[#This Row],[String Type(If String BD)]]&amp;PA[[#This Row],[Equipment (If any BD other than PV  array and inv)]])="",1,0)</f>
        <v>0</v>
      </c>
      <c r="S162" s="6">
        <f>IF(PA[[#This Row],[String Type(If String BD)]]="",1,0)</f>
        <v>0</v>
      </c>
      <c r="T1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2" s="68">
        <f>IFERROR(VLOOKUP(PA[[#This Row],[Affected Equipment ]],'Basic Data '!$A$1:$B$1846,2,0),"")</f>
        <v>25.81</v>
      </c>
      <c r="V162" s="143">
        <f>IFERROR(VLOOKUP(PA[[#This Row],[Affected Equipment ]],'Basic Data '!$A$1:$C$1846,3,0),"")</f>
        <v>7.7023853221960597E-5</v>
      </c>
      <c r="W162" s="178" t="s">
        <v>398</v>
      </c>
      <c r="X162" s="110" t="s">
        <v>410</v>
      </c>
      <c r="Y162" s="183" t="s">
        <v>411</v>
      </c>
      <c r="Z162" s="109">
        <v>0.26250000000000001</v>
      </c>
      <c r="AA162" s="109">
        <v>0.26250000000000001</v>
      </c>
      <c r="AB162" s="109">
        <v>0.26250000000000001</v>
      </c>
      <c r="AC162" s="109">
        <v>0.80833333333333335</v>
      </c>
      <c r="AD162" s="82">
        <f>IF(PA[[#This Row],[Acknowledgement Time ]]="NA","",(PA[[#This Row],[Acknowledgement Time ]]-PA[[#This Row],[Fault Time]])*24)</f>
        <v>0</v>
      </c>
      <c r="AE162" s="82">
        <f>IF(PA[[#This Row],[Work Start time on Fault]]="NA","",(PA[[#This Row],[Work Start time on Fault]]-PA[[#This Row],[Fault Time]])*24)</f>
        <v>0</v>
      </c>
      <c r="AF162" s="111">
        <f>IF(PA[[#This Row],[Status]]="Open","",(PA[[#This Row],[Work Completion time on fault]]-PA[[#This Row],[Fault Time]])*24)</f>
        <v>13.100000000000001</v>
      </c>
      <c r="AG162" s="82">
        <f>IFERROR((PA[[#This Row],[Work Completion time on fault]]-PA[[#This Row],[Fault Time]])*24,"")</f>
        <v>13.100000000000001</v>
      </c>
      <c r="AH162" s="183" t="s">
        <v>2660</v>
      </c>
      <c r="AI162" s="178" t="s">
        <v>422</v>
      </c>
      <c r="AJ162" s="68">
        <f>IFERROR(PA[[#This Row],[Breakdown Time]]*PA[[#This Row],[Plant Equivalent Weightage]],"")</f>
        <v>1.0090124772076838E-3</v>
      </c>
      <c r="AK162" s="117">
        <v>7.75</v>
      </c>
      <c r="AL162" s="116">
        <f>IF(PA[[#This Row],[Lost PoA(Wh/m2)]]&gt;0,_xlfn.XLOOKUP($B162,'Daily KPI'!$A:$A,'Daily KPI'!$AE:$AE)*PA[[#This Row],[Lost PoA(Wh/m2)]]*U162,0)</f>
        <v>163.51493376727962</v>
      </c>
      <c r="AM162" s="176" t="s">
        <v>2556</v>
      </c>
    </row>
    <row r="163" spans="1:39" ht="14" customHeight="1">
      <c r="A163" s="177">
        <f t="shared" si="3"/>
        <v>160</v>
      </c>
      <c r="B163" s="185">
        <v>45798</v>
      </c>
      <c r="C163" s="178" t="s">
        <v>477</v>
      </c>
      <c r="D163" s="6">
        <f>YEAR(PA[[#This Row],[Date]])</f>
        <v>2025</v>
      </c>
      <c r="E163" s="178" t="s">
        <v>361</v>
      </c>
      <c r="F163" s="178" t="s">
        <v>361</v>
      </c>
      <c r="G163" s="179">
        <v>45778</v>
      </c>
      <c r="H163" s="176">
        <f>DAY(EOMONTH(PA[[#This Row],[Month Year]],0))</f>
        <v>31</v>
      </c>
      <c r="I163" s="180">
        <f>VLOOKUP(PA[[#This Row],[Date]],Raw_Data[#All],9,0)</f>
        <v>0.26250000000000001</v>
      </c>
      <c r="J163" s="180">
        <f>VLOOKUP(PA[[#This Row],[Date]],Raw_Data[#All],10,0)</f>
        <v>0.80833333333333335</v>
      </c>
      <c r="K163" s="68">
        <f>IFERROR((PA[[#This Row],[Sunset Time (POA&lt;20 W/m2)]]-PA[[#This Row],[Sunrise Time (POA&gt;20 W/m2)]])*24,"")</f>
        <v>13.100000000000001</v>
      </c>
      <c r="L163" s="178" t="s">
        <v>441</v>
      </c>
      <c r="M163" s="178" t="s">
        <v>394</v>
      </c>
      <c r="N163" s="178" t="s">
        <v>395</v>
      </c>
      <c r="O163" s="178" t="s">
        <v>412</v>
      </c>
      <c r="P163" s="178" t="s">
        <v>445</v>
      </c>
      <c r="Q163" s="178"/>
      <c r="R163" s="6">
        <f>IF((PA[[#This Row],[String Type(If String BD)]]&amp;PA[[#This Row],[Equipment (If any BD other than PV  array and inv)]])="",1,0)</f>
        <v>0</v>
      </c>
      <c r="S163" s="6">
        <f>IF(PA[[#This Row],[String Type(If String BD)]]="",1,0)</f>
        <v>0</v>
      </c>
      <c r="T1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3" s="68">
        <f>IFERROR(VLOOKUP(PA[[#This Row],[Affected Equipment ]],'Basic Data '!$A$1:$B$1846,2,0),"")</f>
        <v>26.1</v>
      </c>
      <c r="V163" s="143">
        <f>IFERROR(VLOOKUP(PA[[#This Row],[Affected Equipment ]],'Basic Data '!$A$1:$C$1846,3,0),"")</f>
        <v>7.7889289775016346E-5</v>
      </c>
      <c r="W163" s="178" t="s">
        <v>398</v>
      </c>
      <c r="X163" s="110" t="s">
        <v>410</v>
      </c>
      <c r="Y163" s="183" t="s">
        <v>411</v>
      </c>
      <c r="Z163" s="109">
        <v>0.26250000000000001</v>
      </c>
      <c r="AA163" s="109">
        <v>0.26250000000000001</v>
      </c>
      <c r="AB163" s="109">
        <v>0.26250000000000001</v>
      </c>
      <c r="AC163" s="109">
        <v>0.80833333333333335</v>
      </c>
      <c r="AD163" s="82">
        <f>IF(PA[[#This Row],[Acknowledgement Time ]]="NA","",(PA[[#This Row],[Acknowledgement Time ]]-PA[[#This Row],[Fault Time]])*24)</f>
        <v>0</v>
      </c>
      <c r="AE163" s="82">
        <f>IF(PA[[#This Row],[Work Start time on Fault]]="NA","",(PA[[#This Row],[Work Start time on Fault]]-PA[[#This Row],[Fault Time]])*24)</f>
        <v>0</v>
      </c>
      <c r="AF163" s="111">
        <f>IF(PA[[#This Row],[Status]]="Open","",(PA[[#This Row],[Work Completion time on fault]]-PA[[#This Row],[Fault Time]])*24)</f>
        <v>13.100000000000001</v>
      </c>
      <c r="AG163" s="82">
        <f>IFERROR((PA[[#This Row],[Work Completion time on fault]]-PA[[#This Row],[Fault Time]])*24,"")</f>
        <v>13.100000000000001</v>
      </c>
      <c r="AH163" s="183" t="s">
        <v>2660</v>
      </c>
      <c r="AI163" s="178" t="s">
        <v>422</v>
      </c>
      <c r="AJ163" s="68">
        <f>IFERROR(PA[[#This Row],[Breakdown Time]]*PA[[#This Row],[Plant Equivalent Weightage]],"")</f>
        <v>1.0203496960527142E-3</v>
      </c>
      <c r="AK163" s="117">
        <v>7.75</v>
      </c>
      <c r="AL163" s="116">
        <f>IF(PA[[#This Row],[Lost PoA(Wh/m2)]]&gt;0,_xlfn.XLOOKUP($B163,'Daily KPI'!$A:$A,'Daily KPI'!$AE:$AE)*PA[[#This Row],[Lost PoA(Wh/m2)]]*U163,0)</f>
        <v>165.35218021410299</v>
      </c>
      <c r="AM163" s="176" t="s">
        <v>2556</v>
      </c>
    </row>
    <row r="164" spans="1:39" ht="14" customHeight="1">
      <c r="A164" s="177">
        <f t="shared" si="3"/>
        <v>161</v>
      </c>
      <c r="B164" s="185">
        <v>45798</v>
      </c>
      <c r="C164" s="178" t="s">
        <v>477</v>
      </c>
      <c r="D164" s="6">
        <f>YEAR(PA[[#This Row],[Date]])</f>
        <v>2025</v>
      </c>
      <c r="E164" s="178" t="s">
        <v>361</v>
      </c>
      <c r="F164" s="178" t="s">
        <v>361</v>
      </c>
      <c r="G164" s="179">
        <v>45778</v>
      </c>
      <c r="H164" s="176">
        <f>DAY(EOMONTH(PA[[#This Row],[Month Year]],0))</f>
        <v>31</v>
      </c>
      <c r="I164" s="180">
        <f>VLOOKUP(PA[[#This Row],[Date]],Raw_Data[#All],9,0)</f>
        <v>0.26250000000000001</v>
      </c>
      <c r="J164" s="180">
        <f>VLOOKUP(PA[[#This Row],[Date]],Raw_Data[#All],10,0)</f>
        <v>0.80833333333333335</v>
      </c>
      <c r="K164" s="68">
        <f>IFERROR((PA[[#This Row],[Sunset Time (POA&lt;20 W/m2)]]-PA[[#This Row],[Sunrise Time (POA&gt;20 W/m2)]])*24,"")</f>
        <v>13.100000000000001</v>
      </c>
      <c r="L164" s="178" t="s">
        <v>400</v>
      </c>
      <c r="M164" s="178" t="s">
        <v>408</v>
      </c>
      <c r="N164" s="178" t="s">
        <v>402</v>
      </c>
      <c r="O164" s="178" t="s">
        <v>412</v>
      </c>
      <c r="P164" s="178" t="s">
        <v>404</v>
      </c>
      <c r="Q164" s="178"/>
      <c r="R164" s="6">
        <f>IF((PA[[#This Row],[String Type(If String BD)]]&amp;PA[[#This Row],[Equipment (If any BD other than PV  array and inv)]])="",1,0)</f>
        <v>0</v>
      </c>
      <c r="S164" s="6">
        <f>IF(PA[[#This Row],[String Type(If String BD)]]="",1,0)</f>
        <v>0</v>
      </c>
      <c r="T1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4" s="68">
        <f>IFERROR(VLOOKUP(PA[[#This Row],[Affected Equipment ]],'Basic Data '!$A$1:$B$1846,2,0),"")</f>
        <v>31.32</v>
      </c>
      <c r="V164" s="143">
        <f>IFERROR(VLOOKUP(PA[[#This Row],[Affected Equipment ]],'Basic Data '!$A$1:$C$1846,3,0),"")</f>
        <v>9.3467147730019601E-5</v>
      </c>
      <c r="W164" s="178" t="s">
        <v>398</v>
      </c>
      <c r="X164" s="110" t="s">
        <v>410</v>
      </c>
      <c r="Y164" s="183" t="s">
        <v>411</v>
      </c>
      <c r="Z164" s="109">
        <v>0.26250000000000001</v>
      </c>
      <c r="AA164" s="109">
        <v>0.26250000000000001</v>
      </c>
      <c r="AB164" s="109">
        <v>0.26250000000000001</v>
      </c>
      <c r="AC164" s="109">
        <v>0.80833333333333335</v>
      </c>
      <c r="AD164" s="82">
        <f>IF(PA[[#This Row],[Acknowledgement Time ]]="NA","",(PA[[#This Row],[Acknowledgement Time ]]-PA[[#This Row],[Fault Time]])*24)</f>
        <v>0</v>
      </c>
      <c r="AE164" s="82">
        <f>IF(PA[[#This Row],[Work Start time on Fault]]="NA","",(PA[[#This Row],[Work Start time on Fault]]-PA[[#This Row],[Fault Time]])*24)</f>
        <v>0</v>
      </c>
      <c r="AF164" s="111">
        <f>IF(PA[[#This Row],[Status]]="Open","",(PA[[#This Row],[Work Completion time on fault]]-PA[[#This Row],[Fault Time]])*24)</f>
        <v>13.100000000000001</v>
      </c>
      <c r="AG164" s="82">
        <f>IFERROR((PA[[#This Row],[Work Completion time on fault]]-PA[[#This Row],[Fault Time]])*24,"")</f>
        <v>13.100000000000001</v>
      </c>
      <c r="AH164" s="183" t="s">
        <v>2660</v>
      </c>
      <c r="AI164" s="178" t="s">
        <v>422</v>
      </c>
      <c r="AJ164" s="68">
        <f>IFERROR(PA[[#This Row],[Breakdown Time]]*PA[[#This Row],[Plant Equivalent Weightage]],"")</f>
        <v>1.224419635263257E-3</v>
      </c>
      <c r="AK164" s="117">
        <v>7.75</v>
      </c>
      <c r="AL164" s="116">
        <f>IF(PA[[#This Row],[Lost PoA(Wh/m2)]]&gt;0,_xlfn.XLOOKUP($B164,'Daily KPI'!$A:$A,'Daily KPI'!$AE:$AE)*PA[[#This Row],[Lost PoA(Wh/m2)]]*U164,0)</f>
        <v>198.42261625692356</v>
      </c>
      <c r="AM164" s="176" t="s">
        <v>2556</v>
      </c>
    </row>
    <row r="165" spans="1:39" ht="14" customHeight="1">
      <c r="A165" s="177">
        <f t="shared" si="3"/>
        <v>162</v>
      </c>
      <c r="B165" s="185">
        <v>45798</v>
      </c>
      <c r="C165" s="178" t="s">
        <v>477</v>
      </c>
      <c r="D165" s="6">
        <f>YEAR(PA[[#This Row],[Date]])</f>
        <v>2025</v>
      </c>
      <c r="E165" s="178" t="s">
        <v>361</v>
      </c>
      <c r="F165" s="178" t="s">
        <v>361</v>
      </c>
      <c r="G165" s="179">
        <v>45778</v>
      </c>
      <c r="H165" s="176">
        <f>DAY(EOMONTH(PA[[#This Row],[Month Year]],0))</f>
        <v>31</v>
      </c>
      <c r="I165" s="180">
        <f>VLOOKUP(PA[[#This Row],[Date]],Raw_Data[#All],9,0)</f>
        <v>0.26250000000000001</v>
      </c>
      <c r="J165" s="180">
        <f>VLOOKUP(PA[[#This Row],[Date]],Raw_Data[#All],10,0)</f>
        <v>0.80833333333333335</v>
      </c>
      <c r="K165" s="68">
        <f>IFERROR((PA[[#This Row],[Sunset Time (POA&lt;20 W/m2)]]-PA[[#This Row],[Sunrise Time (POA&gt;20 W/m2)]])*24,"")</f>
        <v>13.100000000000001</v>
      </c>
      <c r="L165" s="178" t="s">
        <v>400</v>
      </c>
      <c r="M165" s="178" t="s">
        <v>408</v>
      </c>
      <c r="N165" s="178" t="s">
        <v>402</v>
      </c>
      <c r="O165" s="178" t="s">
        <v>412</v>
      </c>
      <c r="P165" s="178" t="s">
        <v>404</v>
      </c>
      <c r="Q165" s="178"/>
      <c r="R165" s="6">
        <f>IF((PA[[#This Row],[String Type(If String BD)]]&amp;PA[[#This Row],[Equipment (If any BD other than PV  array and inv)]])="",1,0)</f>
        <v>0</v>
      </c>
      <c r="S165" s="6">
        <f>IF(PA[[#This Row],[String Type(If String BD)]]="",1,0)</f>
        <v>0</v>
      </c>
      <c r="T1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5" s="68">
        <f>IFERROR(VLOOKUP(PA[[#This Row],[Affected Equipment ]],'Basic Data '!$A$1:$B$1846,2,0),"")</f>
        <v>31.32</v>
      </c>
      <c r="V165" s="143">
        <f>IFERROR(VLOOKUP(PA[[#This Row],[Affected Equipment ]],'Basic Data '!$A$1:$C$1846,3,0),"")</f>
        <v>9.3467147730019601E-5</v>
      </c>
      <c r="W165" s="178" t="s">
        <v>398</v>
      </c>
      <c r="X165" s="110" t="s">
        <v>410</v>
      </c>
      <c r="Y165" s="183" t="s">
        <v>411</v>
      </c>
      <c r="Z165" s="109">
        <v>0.26250000000000001</v>
      </c>
      <c r="AA165" s="109">
        <v>0.26250000000000001</v>
      </c>
      <c r="AB165" s="109">
        <v>0.26250000000000001</v>
      </c>
      <c r="AC165" s="109">
        <v>0.80833333333333335</v>
      </c>
      <c r="AD165" s="82">
        <f>IF(PA[[#This Row],[Acknowledgement Time ]]="NA","",(PA[[#This Row],[Acknowledgement Time ]]-PA[[#This Row],[Fault Time]])*24)</f>
        <v>0</v>
      </c>
      <c r="AE165" s="82">
        <f>IF(PA[[#This Row],[Work Start time on Fault]]="NA","",(PA[[#This Row],[Work Start time on Fault]]-PA[[#This Row],[Fault Time]])*24)</f>
        <v>0</v>
      </c>
      <c r="AF165" s="111">
        <f>IF(PA[[#This Row],[Status]]="Open","",(PA[[#This Row],[Work Completion time on fault]]-PA[[#This Row],[Fault Time]])*24)</f>
        <v>13.100000000000001</v>
      </c>
      <c r="AG165" s="82">
        <f>IFERROR((PA[[#This Row],[Work Completion time on fault]]-PA[[#This Row],[Fault Time]])*24,"")</f>
        <v>13.100000000000001</v>
      </c>
      <c r="AH165" s="183" t="s">
        <v>2660</v>
      </c>
      <c r="AI165" s="178" t="s">
        <v>422</v>
      </c>
      <c r="AJ165" s="68">
        <f>IFERROR(PA[[#This Row],[Breakdown Time]]*PA[[#This Row],[Plant Equivalent Weightage]],"")</f>
        <v>1.224419635263257E-3</v>
      </c>
      <c r="AK165" s="117">
        <v>7.75</v>
      </c>
      <c r="AL165" s="116">
        <f>IF(PA[[#This Row],[Lost PoA(Wh/m2)]]&gt;0,_xlfn.XLOOKUP($B165,'Daily KPI'!$A:$A,'Daily KPI'!$AE:$AE)*PA[[#This Row],[Lost PoA(Wh/m2)]]*U165,0)</f>
        <v>198.42261625692356</v>
      </c>
      <c r="AM165" s="176" t="s">
        <v>2556</v>
      </c>
    </row>
    <row r="166" spans="1:39" ht="14" customHeight="1">
      <c r="A166" s="177">
        <f t="shared" si="3"/>
        <v>163</v>
      </c>
      <c r="B166" s="185">
        <v>45798</v>
      </c>
      <c r="C166" s="178" t="s">
        <v>477</v>
      </c>
      <c r="D166" s="6">
        <f>YEAR(PA[[#This Row],[Date]])</f>
        <v>2025</v>
      </c>
      <c r="E166" s="178" t="s">
        <v>361</v>
      </c>
      <c r="F166" s="178" t="s">
        <v>361</v>
      </c>
      <c r="G166" s="179">
        <v>45778</v>
      </c>
      <c r="H166" s="176">
        <f>DAY(EOMONTH(PA[[#This Row],[Month Year]],0))</f>
        <v>31</v>
      </c>
      <c r="I166" s="180">
        <f>VLOOKUP(PA[[#This Row],[Date]],Raw_Data[#All],9,0)</f>
        <v>0.26250000000000001</v>
      </c>
      <c r="J166" s="180">
        <f>VLOOKUP(PA[[#This Row],[Date]],Raw_Data[#All],10,0)</f>
        <v>0.80833333333333335</v>
      </c>
      <c r="K166" s="68">
        <f>IFERROR((PA[[#This Row],[Sunset Time (POA&lt;20 W/m2)]]-PA[[#This Row],[Sunrise Time (POA&gt;20 W/m2)]])*24,"")</f>
        <v>13.100000000000001</v>
      </c>
      <c r="L166" s="178" t="s">
        <v>400</v>
      </c>
      <c r="M166" s="178" t="s">
        <v>408</v>
      </c>
      <c r="N166" s="178" t="s">
        <v>402</v>
      </c>
      <c r="O166" s="178" t="s">
        <v>413</v>
      </c>
      <c r="P166" s="178" t="s">
        <v>404</v>
      </c>
      <c r="Q166" s="178"/>
      <c r="R166" s="6">
        <f>IF((PA[[#This Row],[String Type(If String BD)]]&amp;PA[[#This Row],[Equipment (If any BD other than PV  array and inv)]])="",1,0)</f>
        <v>0</v>
      </c>
      <c r="S166" s="6">
        <f>IF(PA[[#This Row],[String Type(If String BD)]]="",1,0)</f>
        <v>0</v>
      </c>
      <c r="T1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6" s="68">
        <f>IFERROR(VLOOKUP(PA[[#This Row],[Affected Equipment ]],'Basic Data '!$A$1:$B$1846,2,0),"")</f>
        <v>31.32</v>
      </c>
      <c r="V166" s="143">
        <f>IFERROR(VLOOKUP(PA[[#This Row],[Affected Equipment ]],'Basic Data '!$A$1:$C$1846,3,0),"")</f>
        <v>9.3467147730019601E-5</v>
      </c>
      <c r="W166" s="178" t="s">
        <v>398</v>
      </c>
      <c r="X166" s="110" t="s">
        <v>410</v>
      </c>
      <c r="Y166" s="183" t="s">
        <v>411</v>
      </c>
      <c r="Z166" s="109">
        <v>0.26250000000000001</v>
      </c>
      <c r="AA166" s="109">
        <v>0.26250000000000001</v>
      </c>
      <c r="AB166" s="109">
        <v>0.26250000000000001</v>
      </c>
      <c r="AC166" s="109">
        <v>0.80833333333333335</v>
      </c>
      <c r="AD166" s="82">
        <f>IF(PA[[#This Row],[Acknowledgement Time ]]="NA","",(PA[[#This Row],[Acknowledgement Time ]]-PA[[#This Row],[Fault Time]])*24)</f>
        <v>0</v>
      </c>
      <c r="AE166" s="82">
        <f>IF(PA[[#This Row],[Work Start time on Fault]]="NA","",(PA[[#This Row],[Work Start time on Fault]]-PA[[#This Row],[Fault Time]])*24)</f>
        <v>0</v>
      </c>
      <c r="AF166" s="111">
        <f>IF(PA[[#This Row],[Status]]="Open","",(PA[[#This Row],[Work Completion time on fault]]-PA[[#This Row],[Fault Time]])*24)</f>
        <v>13.100000000000001</v>
      </c>
      <c r="AG166" s="82">
        <f>IFERROR((PA[[#This Row],[Work Completion time on fault]]-PA[[#This Row],[Fault Time]])*24,"")</f>
        <v>13.100000000000001</v>
      </c>
      <c r="AH166" s="183" t="s">
        <v>2660</v>
      </c>
      <c r="AI166" s="178" t="s">
        <v>422</v>
      </c>
      <c r="AJ166" s="68">
        <f>IFERROR(PA[[#This Row],[Breakdown Time]]*PA[[#This Row],[Plant Equivalent Weightage]],"")</f>
        <v>1.224419635263257E-3</v>
      </c>
      <c r="AK166" s="117">
        <v>7.75</v>
      </c>
      <c r="AL166" s="116">
        <f>IF(PA[[#This Row],[Lost PoA(Wh/m2)]]&gt;0,_xlfn.XLOOKUP($B166,'Daily KPI'!$A:$A,'Daily KPI'!$AE:$AE)*PA[[#This Row],[Lost PoA(Wh/m2)]]*U166,0)</f>
        <v>198.42261625692356</v>
      </c>
      <c r="AM166" s="176" t="s">
        <v>2556</v>
      </c>
    </row>
    <row r="167" spans="1:39" ht="14" customHeight="1">
      <c r="A167" s="177">
        <f t="shared" si="3"/>
        <v>164</v>
      </c>
      <c r="B167" s="185">
        <v>45798</v>
      </c>
      <c r="C167" s="178" t="s">
        <v>477</v>
      </c>
      <c r="D167" s="6">
        <f>YEAR(PA[[#This Row],[Date]])</f>
        <v>2025</v>
      </c>
      <c r="E167" s="178" t="s">
        <v>361</v>
      </c>
      <c r="F167" s="178" t="s">
        <v>361</v>
      </c>
      <c r="G167" s="179">
        <v>45778</v>
      </c>
      <c r="H167" s="176">
        <f>DAY(EOMONTH(PA[[#This Row],[Month Year]],0))</f>
        <v>31</v>
      </c>
      <c r="I167" s="180">
        <f>VLOOKUP(PA[[#This Row],[Date]],Raw_Data[#All],9,0)</f>
        <v>0.26250000000000001</v>
      </c>
      <c r="J167" s="180">
        <f>VLOOKUP(PA[[#This Row],[Date]],Raw_Data[#All],10,0)</f>
        <v>0.80833333333333335</v>
      </c>
      <c r="K167" s="68">
        <f>IFERROR((PA[[#This Row],[Sunset Time (POA&lt;20 W/m2)]]-PA[[#This Row],[Sunrise Time (POA&gt;20 W/m2)]])*24,"")</f>
        <v>13.100000000000001</v>
      </c>
      <c r="L167" s="178" t="s">
        <v>400</v>
      </c>
      <c r="M167" s="178" t="s">
        <v>408</v>
      </c>
      <c r="N167" s="178" t="s">
        <v>395</v>
      </c>
      <c r="O167" s="178" t="s">
        <v>409</v>
      </c>
      <c r="P167" s="178" t="s">
        <v>404</v>
      </c>
      <c r="Q167" s="178"/>
      <c r="R167" s="6">
        <f>IF((PA[[#This Row],[String Type(If String BD)]]&amp;PA[[#This Row],[Equipment (If any BD other than PV  array and inv)]])="",1,0)</f>
        <v>0</v>
      </c>
      <c r="S167" s="6">
        <f>IF(PA[[#This Row],[String Type(If String BD)]]="",1,0)</f>
        <v>0</v>
      </c>
      <c r="T1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7" s="68">
        <f>IFERROR(VLOOKUP(PA[[#This Row],[Affected Equipment ]],'Basic Data '!$A$1:$B$1846,2,0),"")</f>
        <v>31.32</v>
      </c>
      <c r="V167" s="143">
        <f>IFERROR(VLOOKUP(PA[[#This Row],[Affected Equipment ]],'Basic Data '!$A$1:$C$1846,3,0),"")</f>
        <v>9.3467147730019601E-5</v>
      </c>
      <c r="W167" s="178" t="s">
        <v>398</v>
      </c>
      <c r="X167" s="110" t="s">
        <v>410</v>
      </c>
      <c r="Y167" s="183" t="s">
        <v>411</v>
      </c>
      <c r="Z167" s="109">
        <v>0.26250000000000001</v>
      </c>
      <c r="AA167" s="109">
        <v>0.26250000000000001</v>
      </c>
      <c r="AB167" s="109">
        <v>0.26250000000000001</v>
      </c>
      <c r="AC167" s="109">
        <v>0.80833333333333335</v>
      </c>
      <c r="AD167" s="82">
        <f>IF(PA[[#This Row],[Acknowledgement Time ]]="NA","",(PA[[#This Row],[Acknowledgement Time ]]-PA[[#This Row],[Fault Time]])*24)</f>
        <v>0</v>
      </c>
      <c r="AE167" s="82">
        <f>IF(PA[[#This Row],[Work Start time on Fault]]="NA","",(PA[[#This Row],[Work Start time on Fault]]-PA[[#This Row],[Fault Time]])*24)</f>
        <v>0</v>
      </c>
      <c r="AF167" s="111">
        <f>IF(PA[[#This Row],[Status]]="Open","",(PA[[#This Row],[Work Completion time on fault]]-PA[[#This Row],[Fault Time]])*24)</f>
        <v>13.100000000000001</v>
      </c>
      <c r="AG167" s="82">
        <f>IFERROR((PA[[#This Row],[Work Completion time on fault]]-PA[[#This Row],[Fault Time]])*24,"")</f>
        <v>13.100000000000001</v>
      </c>
      <c r="AH167" s="183" t="s">
        <v>2660</v>
      </c>
      <c r="AI167" s="178" t="s">
        <v>422</v>
      </c>
      <c r="AJ167" s="68">
        <f>IFERROR(PA[[#This Row],[Breakdown Time]]*PA[[#This Row],[Plant Equivalent Weightage]],"")</f>
        <v>1.224419635263257E-3</v>
      </c>
      <c r="AK167" s="117">
        <v>7.75</v>
      </c>
      <c r="AL167" s="116">
        <f>IF(PA[[#This Row],[Lost PoA(Wh/m2)]]&gt;0,_xlfn.XLOOKUP($B167,'Daily KPI'!$A:$A,'Daily KPI'!$AE:$AE)*PA[[#This Row],[Lost PoA(Wh/m2)]]*U167,0)</f>
        <v>198.42261625692356</v>
      </c>
      <c r="AM167" s="176" t="s">
        <v>2556</v>
      </c>
    </row>
    <row r="168" spans="1:39" ht="14" customHeight="1">
      <c r="A168" s="177">
        <f t="shared" si="3"/>
        <v>165</v>
      </c>
      <c r="B168" s="185">
        <v>45798</v>
      </c>
      <c r="C168" s="178" t="s">
        <v>477</v>
      </c>
      <c r="D168" s="6">
        <f>YEAR(PA[[#This Row],[Date]])</f>
        <v>2025</v>
      </c>
      <c r="E168" s="178" t="s">
        <v>361</v>
      </c>
      <c r="F168" s="178" t="s">
        <v>361</v>
      </c>
      <c r="G168" s="179">
        <v>45778</v>
      </c>
      <c r="H168" s="176">
        <f>DAY(EOMONTH(PA[[#This Row],[Month Year]],0))</f>
        <v>31</v>
      </c>
      <c r="I168" s="180">
        <f>VLOOKUP(PA[[#This Row],[Date]],Raw_Data[#All],9,0)</f>
        <v>0.26250000000000001</v>
      </c>
      <c r="J168" s="180">
        <f>VLOOKUP(PA[[#This Row],[Date]],Raw_Data[#All],10,0)</f>
        <v>0.80833333333333335</v>
      </c>
      <c r="K168" s="68">
        <f>IFERROR((PA[[#This Row],[Sunset Time (POA&lt;20 W/m2)]]-PA[[#This Row],[Sunrise Time (POA&gt;20 W/m2)]])*24,"")</f>
        <v>13.100000000000001</v>
      </c>
      <c r="L168" s="178" t="s">
        <v>407</v>
      </c>
      <c r="M168" s="178" t="s">
        <v>401</v>
      </c>
      <c r="N168" s="178" t="s">
        <v>402</v>
      </c>
      <c r="O168" s="178" t="s">
        <v>415</v>
      </c>
      <c r="P168" s="178" t="s">
        <v>404</v>
      </c>
      <c r="Q168" s="178"/>
      <c r="R168" s="6">
        <f>IF((PA[[#This Row],[String Type(If String BD)]]&amp;PA[[#This Row],[Equipment (If any BD other than PV  array and inv)]])="",1,0)</f>
        <v>0</v>
      </c>
      <c r="S168" s="6">
        <f>IF(PA[[#This Row],[String Type(If String BD)]]="",1,0)</f>
        <v>0</v>
      </c>
      <c r="T1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8" s="68">
        <f>IFERROR(VLOOKUP(PA[[#This Row],[Affected Equipment ]],'Basic Data '!$A$1:$B$1846,2,0),"")</f>
        <v>31.32</v>
      </c>
      <c r="V168" s="143">
        <f>IFERROR(VLOOKUP(PA[[#This Row],[Affected Equipment ]],'Basic Data '!$A$1:$C$1846,3,0),"")</f>
        <v>9.3467147730019601E-5</v>
      </c>
      <c r="W168" s="178" t="s">
        <v>398</v>
      </c>
      <c r="X168" s="110" t="s">
        <v>410</v>
      </c>
      <c r="Y168" s="183" t="s">
        <v>411</v>
      </c>
      <c r="Z168" s="109">
        <v>0.26250000000000001</v>
      </c>
      <c r="AA168" s="109">
        <v>0.26250000000000001</v>
      </c>
      <c r="AB168" s="109">
        <v>0.26250000000000001</v>
      </c>
      <c r="AC168" s="109">
        <v>0.80833333333333335</v>
      </c>
      <c r="AD168" s="82">
        <f>IF(PA[[#This Row],[Acknowledgement Time ]]="NA","",(PA[[#This Row],[Acknowledgement Time ]]-PA[[#This Row],[Fault Time]])*24)</f>
        <v>0</v>
      </c>
      <c r="AE168" s="82">
        <f>IF(PA[[#This Row],[Work Start time on Fault]]="NA","",(PA[[#This Row],[Work Start time on Fault]]-PA[[#This Row],[Fault Time]])*24)</f>
        <v>0</v>
      </c>
      <c r="AF168" s="111">
        <f>IF(PA[[#This Row],[Status]]="Open","",(PA[[#This Row],[Work Completion time on fault]]-PA[[#This Row],[Fault Time]])*24)</f>
        <v>13.100000000000001</v>
      </c>
      <c r="AG168" s="82">
        <f>IFERROR((PA[[#This Row],[Work Completion time on fault]]-PA[[#This Row],[Fault Time]])*24,"")</f>
        <v>13.100000000000001</v>
      </c>
      <c r="AH168" s="183" t="s">
        <v>2660</v>
      </c>
      <c r="AI168" s="178" t="s">
        <v>422</v>
      </c>
      <c r="AJ168" s="68">
        <f>IFERROR(PA[[#This Row],[Breakdown Time]]*PA[[#This Row],[Plant Equivalent Weightage]],"")</f>
        <v>1.224419635263257E-3</v>
      </c>
      <c r="AK168" s="117">
        <v>7.75</v>
      </c>
      <c r="AL168" s="116">
        <f>IF(PA[[#This Row],[Lost PoA(Wh/m2)]]&gt;0,_xlfn.XLOOKUP($B168,'Daily KPI'!$A:$A,'Daily KPI'!$AE:$AE)*PA[[#This Row],[Lost PoA(Wh/m2)]]*U168,0)</f>
        <v>198.42261625692356</v>
      </c>
      <c r="AM168" s="176" t="s">
        <v>2556</v>
      </c>
    </row>
    <row r="169" spans="1:39" ht="14" customHeight="1">
      <c r="A169" s="177">
        <f t="shared" si="3"/>
        <v>166</v>
      </c>
      <c r="B169" s="185">
        <v>45799</v>
      </c>
      <c r="C169" s="178" t="s">
        <v>477</v>
      </c>
      <c r="D169" s="6">
        <f>YEAR(PA[[#This Row],[Date]])</f>
        <v>2025</v>
      </c>
      <c r="E169" s="178" t="s">
        <v>361</v>
      </c>
      <c r="F169" s="178" t="s">
        <v>361</v>
      </c>
      <c r="G169" s="179">
        <v>45778</v>
      </c>
      <c r="H169" s="176">
        <f>DAY(EOMONTH(PA[[#This Row],[Month Year]],0))</f>
        <v>31</v>
      </c>
      <c r="I169" s="180">
        <f>VLOOKUP(PA[[#This Row],[Date]],Raw_Data[#All],9,0)</f>
        <v>0.26319444444444445</v>
      </c>
      <c r="J169" s="180">
        <f>VLOOKUP(PA[[#This Row],[Date]],Raw_Data[#All],10,0)</f>
        <v>0.80902777777777779</v>
      </c>
      <c r="K169" s="68">
        <f>IFERROR((PA[[#This Row],[Sunset Time (POA&lt;20 W/m2)]]-PA[[#This Row],[Sunrise Time (POA&gt;20 W/m2)]])*24,"")</f>
        <v>13.100000000000001</v>
      </c>
      <c r="L169" s="178" t="s">
        <v>423</v>
      </c>
      <c r="M169" s="178" t="s">
        <v>414</v>
      </c>
      <c r="N169" s="178" t="s">
        <v>395</v>
      </c>
      <c r="O169" s="178" t="s">
        <v>403</v>
      </c>
      <c r="P169" s="178" t="s">
        <v>404</v>
      </c>
      <c r="Q169" s="178"/>
      <c r="R169" s="6">
        <f>IF((PA[[#This Row],[String Type(If String BD)]]&amp;PA[[#This Row],[Equipment (If any BD other than PV  array and inv)]])="",1,0)</f>
        <v>0</v>
      </c>
      <c r="S169" s="6">
        <f>IF(PA[[#This Row],[String Type(If String BD)]]="",1,0)</f>
        <v>0</v>
      </c>
      <c r="T1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9" s="68">
        <f>IFERROR(VLOOKUP(PA[[#This Row],[Affected Equipment ]],'Basic Data '!$A$1:$B$1846,2,0),"")</f>
        <v>31.32</v>
      </c>
      <c r="V169" s="143">
        <f>IFERROR(VLOOKUP(PA[[#This Row],[Affected Equipment ]],'Basic Data '!$A$1:$C$1846,3,0),"")</f>
        <v>9.3467147730019601E-5</v>
      </c>
      <c r="W169" s="178" t="s">
        <v>398</v>
      </c>
      <c r="X169" s="110" t="s">
        <v>410</v>
      </c>
      <c r="Y169" s="183" t="s">
        <v>411</v>
      </c>
      <c r="Z169" s="109">
        <v>0.26319444444444445</v>
      </c>
      <c r="AA169" s="109">
        <v>0.26319444444444445</v>
      </c>
      <c r="AB169" s="109">
        <v>0.26319444444444445</v>
      </c>
      <c r="AC169" s="109">
        <v>0.80902777777777779</v>
      </c>
      <c r="AD169" s="82">
        <f>IF(PA[[#This Row],[Acknowledgement Time ]]="NA","",(PA[[#This Row],[Acknowledgement Time ]]-PA[[#This Row],[Fault Time]])*24)</f>
        <v>0</v>
      </c>
      <c r="AE169" s="82">
        <f>IF(PA[[#This Row],[Work Start time on Fault]]="NA","",(PA[[#This Row],[Work Start time on Fault]]-PA[[#This Row],[Fault Time]])*24)</f>
        <v>0</v>
      </c>
      <c r="AF169" s="111">
        <f>IF(PA[[#This Row],[Status]]="Open","",(PA[[#This Row],[Work Completion time on fault]]-PA[[#This Row],[Fault Time]])*24)</f>
        <v>13.100000000000001</v>
      </c>
      <c r="AG169" s="82">
        <f>IFERROR((PA[[#This Row],[Work Completion time on fault]]-PA[[#This Row],[Fault Time]])*24,"")</f>
        <v>13.100000000000001</v>
      </c>
      <c r="AH169" s="183" t="s">
        <v>2660</v>
      </c>
      <c r="AI169" s="178" t="s">
        <v>422</v>
      </c>
      <c r="AJ169" s="68">
        <f>IFERROR(PA[[#This Row],[Breakdown Time]]*PA[[#This Row],[Plant Equivalent Weightage]],"")</f>
        <v>1.224419635263257E-3</v>
      </c>
      <c r="AK169" s="117">
        <v>7.64</v>
      </c>
      <c r="AL169" s="116">
        <f>IF(PA[[#This Row],[Lost PoA(Wh/m2)]]&gt;0,_xlfn.XLOOKUP($B169,'Daily KPI'!$A:$A,'Daily KPI'!$AE:$AE)*PA[[#This Row],[Lost PoA(Wh/m2)]]*U169,0)</f>
        <v>195.60629525198661</v>
      </c>
      <c r="AM169" s="176" t="s">
        <v>2553</v>
      </c>
    </row>
    <row r="170" spans="1:39" ht="14" customHeight="1">
      <c r="A170" s="177">
        <f t="shared" si="3"/>
        <v>167</v>
      </c>
      <c r="B170" s="185">
        <v>45799</v>
      </c>
      <c r="C170" s="178" t="s">
        <v>477</v>
      </c>
      <c r="D170" s="6">
        <f>YEAR(PA[[#This Row],[Date]])</f>
        <v>2025</v>
      </c>
      <c r="E170" s="178" t="s">
        <v>361</v>
      </c>
      <c r="F170" s="178" t="s">
        <v>361</v>
      </c>
      <c r="G170" s="179">
        <v>45778</v>
      </c>
      <c r="H170" s="176">
        <f>DAY(EOMONTH(PA[[#This Row],[Month Year]],0))</f>
        <v>31</v>
      </c>
      <c r="I170" s="180">
        <f>VLOOKUP(PA[[#This Row],[Date]],Raw_Data[#All],9,0)</f>
        <v>0.26319444444444445</v>
      </c>
      <c r="J170" s="180">
        <f>VLOOKUP(PA[[#This Row],[Date]],Raw_Data[#All],10,0)</f>
        <v>0.80902777777777779</v>
      </c>
      <c r="K170" s="68">
        <f>IFERROR((PA[[#This Row],[Sunset Time (POA&lt;20 W/m2)]]-PA[[#This Row],[Sunrise Time (POA&gt;20 W/m2)]])*24,"")</f>
        <v>13.100000000000001</v>
      </c>
      <c r="L170" s="178" t="s">
        <v>419</v>
      </c>
      <c r="M170" s="178" t="s">
        <v>414</v>
      </c>
      <c r="N170" s="178" t="s">
        <v>395</v>
      </c>
      <c r="O170" s="178" t="s">
        <v>417</v>
      </c>
      <c r="P170" s="178" t="s">
        <v>404</v>
      </c>
      <c r="Q170" s="178"/>
      <c r="R170" s="6">
        <f>IF((PA[[#This Row],[String Type(If String BD)]]&amp;PA[[#This Row],[Equipment (If any BD other than PV  array and inv)]])="",1,0)</f>
        <v>0</v>
      </c>
      <c r="S170" s="6">
        <f>IF(PA[[#This Row],[String Type(If String BD)]]="",1,0)</f>
        <v>0</v>
      </c>
      <c r="T1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0" s="68">
        <f>IFERROR(VLOOKUP(PA[[#This Row],[Affected Equipment ]],'Basic Data '!$A$1:$B$1846,2,0),"")</f>
        <v>31.32</v>
      </c>
      <c r="V170" s="143">
        <f>IFERROR(VLOOKUP(PA[[#This Row],[Affected Equipment ]],'Basic Data '!$A$1:$C$1846,3,0),"")</f>
        <v>9.3467147730019601E-5</v>
      </c>
      <c r="W170" s="178" t="s">
        <v>398</v>
      </c>
      <c r="X170" s="110" t="s">
        <v>410</v>
      </c>
      <c r="Y170" s="183" t="s">
        <v>411</v>
      </c>
      <c r="Z170" s="109">
        <v>0.26319444444444445</v>
      </c>
      <c r="AA170" s="109">
        <v>0.26319444444444445</v>
      </c>
      <c r="AB170" s="109">
        <v>0.26319444444444445</v>
      </c>
      <c r="AC170" s="109">
        <v>0.80902777777777779</v>
      </c>
      <c r="AD170" s="82">
        <f>IF(PA[[#This Row],[Acknowledgement Time ]]="NA","",(PA[[#This Row],[Acknowledgement Time ]]-PA[[#This Row],[Fault Time]])*24)</f>
        <v>0</v>
      </c>
      <c r="AE170" s="82">
        <f>IF(PA[[#This Row],[Work Start time on Fault]]="NA","",(PA[[#This Row],[Work Start time on Fault]]-PA[[#This Row],[Fault Time]])*24)</f>
        <v>0</v>
      </c>
      <c r="AF170" s="111">
        <f>IF(PA[[#This Row],[Status]]="Open","",(PA[[#This Row],[Work Completion time on fault]]-PA[[#This Row],[Fault Time]])*24)</f>
        <v>13.100000000000001</v>
      </c>
      <c r="AG170" s="82">
        <f>IFERROR((PA[[#This Row],[Work Completion time on fault]]-PA[[#This Row],[Fault Time]])*24,"")</f>
        <v>13.100000000000001</v>
      </c>
      <c r="AH170" s="183" t="s">
        <v>2660</v>
      </c>
      <c r="AI170" s="178" t="s">
        <v>422</v>
      </c>
      <c r="AJ170" s="68">
        <f>IFERROR(PA[[#This Row],[Breakdown Time]]*PA[[#This Row],[Plant Equivalent Weightage]],"")</f>
        <v>1.224419635263257E-3</v>
      </c>
      <c r="AK170" s="117">
        <v>7.64</v>
      </c>
      <c r="AL170" s="116">
        <f>IF(PA[[#This Row],[Lost PoA(Wh/m2)]]&gt;0,_xlfn.XLOOKUP($B170,'Daily KPI'!$A:$A,'Daily KPI'!$AE:$AE)*PA[[#This Row],[Lost PoA(Wh/m2)]]*U170,0)</f>
        <v>195.60629525198661</v>
      </c>
      <c r="AM170" s="176" t="s">
        <v>2553</v>
      </c>
    </row>
    <row r="171" spans="1:39" ht="14" customHeight="1">
      <c r="A171" s="177">
        <f t="shared" si="3"/>
        <v>168</v>
      </c>
      <c r="B171" s="185">
        <v>45799</v>
      </c>
      <c r="C171" s="178" t="s">
        <v>477</v>
      </c>
      <c r="D171" s="6">
        <f>YEAR(PA[[#This Row],[Date]])</f>
        <v>2025</v>
      </c>
      <c r="E171" s="178" t="s">
        <v>361</v>
      </c>
      <c r="F171" s="178" t="s">
        <v>361</v>
      </c>
      <c r="G171" s="179">
        <v>45778</v>
      </c>
      <c r="H171" s="176">
        <f>DAY(EOMONTH(PA[[#This Row],[Month Year]],0))</f>
        <v>31</v>
      </c>
      <c r="I171" s="180">
        <f>VLOOKUP(PA[[#This Row],[Date]],Raw_Data[#All],9,0)</f>
        <v>0.26319444444444445</v>
      </c>
      <c r="J171" s="180">
        <f>VLOOKUP(PA[[#This Row],[Date]],Raw_Data[#All],10,0)</f>
        <v>0.80902777777777779</v>
      </c>
      <c r="K171" s="68">
        <f>IFERROR((PA[[#This Row],[Sunset Time (POA&lt;20 W/m2)]]-PA[[#This Row],[Sunrise Time (POA&gt;20 W/m2)]])*24,"")</f>
        <v>13.100000000000001</v>
      </c>
      <c r="L171" s="178" t="s">
        <v>419</v>
      </c>
      <c r="M171" s="178" t="s">
        <v>414</v>
      </c>
      <c r="N171" s="178" t="s">
        <v>402</v>
      </c>
      <c r="O171" s="178" t="s">
        <v>406</v>
      </c>
      <c r="P171" s="178" t="s">
        <v>404</v>
      </c>
      <c r="Q171" s="178"/>
      <c r="R171" s="6">
        <f>IF((PA[[#This Row],[String Type(If String BD)]]&amp;PA[[#This Row],[Equipment (If any BD other than PV  array and inv)]])="",1,0)</f>
        <v>0</v>
      </c>
      <c r="S171" s="6">
        <f>IF(PA[[#This Row],[String Type(If String BD)]]="",1,0)</f>
        <v>0</v>
      </c>
      <c r="T1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1" s="68">
        <f>IFERROR(VLOOKUP(PA[[#This Row],[Affected Equipment ]],'Basic Data '!$A$1:$B$1846,2,0),"")</f>
        <v>31.32</v>
      </c>
      <c r="V171" s="143">
        <f>IFERROR(VLOOKUP(PA[[#This Row],[Affected Equipment ]],'Basic Data '!$A$1:$C$1846,3,0),"")</f>
        <v>9.3467147730019601E-5</v>
      </c>
      <c r="W171" s="178" t="s">
        <v>398</v>
      </c>
      <c r="X171" s="110" t="s">
        <v>410</v>
      </c>
      <c r="Y171" s="183" t="s">
        <v>411</v>
      </c>
      <c r="Z171" s="109">
        <v>0.26319444444444445</v>
      </c>
      <c r="AA171" s="109">
        <v>0.26319444444444445</v>
      </c>
      <c r="AB171" s="109">
        <v>0.26319444444444445</v>
      </c>
      <c r="AC171" s="109">
        <v>0.80902777777777779</v>
      </c>
      <c r="AD171" s="82">
        <f>IF(PA[[#This Row],[Acknowledgement Time ]]="NA","",(PA[[#This Row],[Acknowledgement Time ]]-PA[[#This Row],[Fault Time]])*24)</f>
        <v>0</v>
      </c>
      <c r="AE171" s="82">
        <f>IF(PA[[#This Row],[Work Start time on Fault]]="NA","",(PA[[#This Row],[Work Start time on Fault]]-PA[[#This Row],[Fault Time]])*24)</f>
        <v>0</v>
      </c>
      <c r="AF171" s="111">
        <f>IF(PA[[#This Row],[Status]]="Open","",(PA[[#This Row],[Work Completion time on fault]]-PA[[#This Row],[Fault Time]])*24)</f>
        <v>13.100000000000001</v>
      </c>
      <c r="AG171" s="82">
        <f>IFERROR((PA[[#This Row],[Work Completion time on fault]]-PA[[#This Row],[Fault Time]])*24,"")</f>
        <v>13.100000000000001</v>
      </c>
      <c r="AH171" s="183" t="s">
        <v>2660</v>
      </c>
      <c r="AI171" s="178" t="s">
        <v>422</v>
      </c>
      <c r="AJ171" s="68">
        <f>IFERROR(PA[[#This Row],[Breakdown Time]]*PA[[#This Row],[Plant Equivalent Weightage]],"")</f>
        <v>1.224419635263257E-3</v>
      </c>
      <c r="AK171" s="117">
        <v>7.64</v>
      </c>
      <c r="AL171" s="116">
        <f>IF(PA[[#This Row],[Lost PoA(Wh/m2)]]&gt;0,_xlfn.XLOOKUP($B171,'Daily KPI'!$A:$A,'Daily KPI'!$AE:$AE)*PA[[#This Row],[Lost PoA(Wh/m2)]]*U171,0)</f>
        <v>195.60629525198661</v>
      </c>
      <c r="AM171" s="176" t="s">
        <v>2553</v>
      </c>
    </row>
    <row r="172" spans="1:39" ht="14" customHeight="1">
      <c r="A172" s="177">
        <f t="shared" si="3"/>
        <v>169</v>
      </c>
      <c r="B172" s="185">
        <v>45799</v>
      </c>
      <c r="C172" s="178" t="s">
        <v>477</v>
      </c>
      <c r="D172" s="6">
        <f>YEAR(PA[[#This Row],[Date]])</f>
        <v>2025</v>
      </c>
      <c r="E172" s="178" t="s">
        <v>361</v>
      </c>
      <c r="F172" s="178" t="s">
        <v>361</v>
      </c>
      <c r="G172" s="179">
        <v>45778</v>
      </c>
      <c r="H172" s="176">
        <f>DAY(EOMONTH(PA[[#This Row],[Month Year]],0))</f>
        <v>31</v>
      </c>
      <c r="I172" s="180">
        <f>VLOOKUP(PA[[#This Row],[Date]],Raw_Data[#All],9,0)</f>
        <v>0.26319444444444445</v>
      </c>
      <c r="J172" s="180">
        <f>VLOOKUP(PA[[#This Row],[Date]],Raw_Data[#All],10,0)</f>
        <v>0.80902777777777779</v>
      </c>
      <c r="K172" s="68">
        <f>IFERROR((PA[[#This Row],[Sunset Time (POA&lt;20 W/m2)]]-PA[[#This Row],[Sunrise Time (POA&gt;20 W/m2)]])*24,"")</f>
        <v>13.100000000000001</v>
      </c>
      <c r="L172" s="178" t="s">
        <v>416</v>
      </c>
      <c r="M172" s="178" t="s">
        <v>414</v>
      </c>
      <c r="N172" s="178" t="s">
        <v>402</v>
      </c>
      <c r="O172" s="178" t="s">
        <v>403</v>
      </c>
      <c r="P172" s="178" t="s">
        <v>448</v>
      </c>
      <c r="Q172" s="178"/>
      <c r="R172" s="6">
        <f>IF((PA[[#This Row],[String Type(If String BD)]]&amp;PA[[#This Row],[Equipment (If any BD other than PV  array and inv)]])="",1,0)</f>
        <v>0</v>
      </c>
      <c r="S172" s="6">
        <f>IF(PA[[#This Row],[String Type(If String BD)]]="",1,0)</f>
        <v>0</v>
      </c>
      <c r="T1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2" s="68">
        <f>IFERROR(VLOOKUP(PA[[#This Row],[Affected Equipment ]],'Basic Data '!$A$1:$B$1846,2,0),"")</f>
        <v>31.61</v>
      </c>
      <c r="V172" s="143">
        <f>IFERROR(VLOOKUP(PA[[#This Row],[Affected Equipment ]],'Basic Data '!$A$1:$C$1846,3,0),"")</f>
        <v>9.4332584283075336E-5</v>
      </c>
      <c r="W172" s="178" t="s">
        <v>398</v>
      </c>
      <c r="X172" s="110" t="s">
        <v>410</v>
      </c>
      <c r="Y172" s="183" t="s">
        <v>411</v>
      </c>
      <c r="Z172" s="109">
        <v>0.26319444444444445</v>
      </c>
      <c r="AA172" s="109">
        <v>0.26319444444444445</v>
      </c>
      <c r="AB172" s="109">
        <v>0.26319444444444445</v>
      </c>
      <c r="AC172" s="109">
        <v>0.80902777777777779</v>
      </c>
      <c r="AD172" s="82">
        <f>IF(PA[[#This Row],[Acknowledgement Time ]]="NA","",(PA[[#This Row],[Acknowledgement Time ]]-PA[[#This Row],[Fault Time]])*24)</f>
        <v>0</v>
      </c>
      <c r="AE172" s="82">
        <f>IF(PA[[#This Row],[Work Start time on Fault]]="NA","",(PA[[#This Row],[Work Start time on Fault]]-PA[[#This Row],[Fault Time]])*24)</f>
        <v>0</v>
      </c>
      <c r="AF172" s="111">
        <f>IF(PA[[#This Row],[Status]]="Open","",(PA[[#This Row],[Work Completion time on fault]]-PA[[#This Row],[Fault Time]])*24)</f>
        <v>13.100000000000001</v>
      </c>
      <c r="AG172" s="82">
        <f>IFERROR((PA[[#This Row],[Work Completion time on fault]]-PA[[#This Row],[Fault Time]])*24,"")</f>
        <v>13.100000000000001</v>
      </c>
      <c r="AH172" s="183" t="s">
        <v>2660</v>
      </c>
      <c r="AI172" s="178" t="s">
        <v>422</v>
      </c>
      <c r="AJ172" s="68">
        <f>IFERROR(PA[[#This Row],[Breakdown Time]]*PA[[#This Row],[Plant Equivalent Weightage]],"")</f>
        <v>1.2357568541082871E-3</v>
      </c>
      <c r="AK172" s="117">
        <v>7.64</v>
      </c>
      <c r="AL172" s="116">
        <f>IF(PA[[#This Row],[Lost PoA(Wh/m2)]]&gt;0,_xlfn.XLOOKUP($B172,'Daily KPI'!$A:$A,'Daily KPI'!$AE:$AE)*PA[[#This Row],[Lost PoA(Wh/m2)]]*U172,0)</f>
        <v>197.41746465246797</v>
      </c>
      <c r="AM172" s="176" t="s">
        <v>2553</v>
      </c>
    </row>
    <row r="173" spans="1:39" ht="14" customHeight="1">
      <c r="A173" s="177">
        <f t="shared" si="3"/>
        <v>170</v>
      </c>
      <c r="B173" s="185">
        <v>45799</v>
      </c>
      <c r="C173" s="178" t="s">
        <v>477</v>
      </c>
      <c r="D173" s="6">
        <f>YEAR(PA[[#This Row],[Date]])</f>
        <v>2025</v>
      </c>
      <c r="E173" s="178" t="s">
        <v>361</v>
      </c>
      <c r="F173" s="178" t="s">
        <v>361</v>
      </c>
      <c r="G173" s="179">
        <v>45778</v>
      </c>
      <c r="H173" s="176">
        <f>DAY(EOMONTH(PA[[#This Row],[Month Year]],0))</f>
        <v>31</v>
      </c>
      <c r="I173" s="180">
        <f>VLOOKUP(PA[[#This Row],[Date]],Raw_Data[#All],9,0)</f>
        <v>0.26319444444444445</v>
      </c>
      <c r="J173" s="180">
        <f>VLOOKUP(PA[[#This Row],[Date]],Raw_Data[#All],10,0)</f>
        <v>0.80902777777777779</v>
      </c>
      <c r="K173" s="68">
        <f>IFERROR((PA[[#This Row],[Sunset Time (POA&lt;20 W/m2)]]-PA[[#This Row],[Sunrise Time (POA&gt;20 W/m2)]])*24,"")</f>
        <v>13.100000000000001</v>
      </c>
      <c r="L173" s="178" t="s">
        <v>438</v>
      </c>
      <c r="M173" s="178" t="s">
        <v>401</v>
      </c>
      <c r="N173" s="178" t="s">
        <v>402</v>
      </c>
      <c r="O173" s="178" t="s">
        <v>442</v>
      </c>
      <c r="P173" s="178" t="s">
        <v>397</v>
      </c>
      <c r="Q173" s="178"/>
      <c r="R173" s="6">
        <f>IF((PA[[#This Row],[String Type(If String BD)]]&amp;PA[[#This Row],[Equipment (If any BD other than PV  array and inv)]])="",1,0)</f>
        <v>0</v>
      </c>
      <c r="S173" s="6">
        <f>IF(PA[[#This Row],[String Type(If String BD)]]="",1,0)</f>
        <v>0</v>
      </c>
      <c r="T1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3" s="68">
        <f>IFERROR(VLOOKUP(PA[[#This Row],[Affected Equipment ]],'Basic Data '!$A$1:$B$1846,2,0),"")</f>
        <v>25.81</v>
      </c>
      <c r="V173" s="143">
        <f>IFERROR(VLOOKUP(PA[[#This Row],[Affected Equipment ]],'Basic Data '!$A$1:$C$1846,3,0),"")</f>
        <v>7.7023853221960597E-5</v>
      </c>
      <c r="W173" s="178" t="s">
        <v>398</v>
      </c>
      <c r="X173" s="110" t="s">
        <v>410</v>
      </c>
      <c r="Y173" s="183" t="s">
        <v>411</v>
      </c>
      <c r="Z173" s="109">
        <v>0.26319444444444445</v>
      </c>
      <c r="AA173" s="109">
        <v>0.26319444444444445</v>
      </c>
      <c r="AB173" s="109">
        <v>0.26319444444444445</v>
      </c>
      <c r="AC173" s="109">
        <v>0.80902777777777779</v>
      </c>
      <c r="AD173" s="82">
        <f>IF(PA[[#This Row],[Acknowledgement Time ]]="NA","",(PA[[#This Row],[Acknowledgement Time ]]-PA[[#This Row],[Fault Time]])*24)</f>
        <v>0</v>
      </c>
      <c r="AE173" s="82">
        <f>IF(PA[[#This Row],[Work Start time on Fault]]="NA","",(PA[[#This Row],[Work Start time on Fault]]-PA[[#This Row],[Fault Time]])*24)</f>
        <v>0</v>
      </c>
      <c r="AF173" s="111">
        <f>IF(PA[[#This Row],[Status]]="Open","",(PA[[#This Row],[Work Completion time on fault]]-PA[[#This Row],[Fault Time]])*24)</f>
        <v>13.100000000000001</v>
      </c>
      <c r="AG173" s="82">
        <f>IFERROR((PA[[#This Row],[Work Completion time on fault]]-PA[[#This Row],[Fault Time]])*24,"")</f>
        <v>13.100000000000001</v>
      </c>
      <c r="AH173" s="183" t="s">
        <v>2660</v>
      </c>
      <c r="AI173" s="178" t="s">
        <v>422</v>
      </c>
      <c r="AJ173" s="68">
        <f>IFERROR(PA[[#This Row],[Breakdown Time]]*PA[[#This Row],[Plant Equivalent Weightage]],"")</f>
        <v>1.0090124772076838E-3</v>
      </c>
      <c r="AK173" s="117">
        <v>7.64</v>
      </c>
      <c r="AL173" s="116">
        <f>IF(PA[[#This Row],[Lost PoA(Wh/m2)]]&gt;0,_xlfn.XLOOKUP($B173,'Daily KPI'!$A:$A,'Daily KPI'!$AE:$AE)*PA[[#This Row],[Lost PoA(Wh/m2)]]*U173,0)</f>
        <v>161.1940766428408</v>
      </c>
      <c r="AM173" s="176" t="s">
        <v>2553</v>
      </c>
    </row>
    <row r="174" spans="1:39" ht="14" customHeight="1">
      <c r="A174" s="177">
        <f t="shared" si="3"/>
        <v>171</v>
      </c>
      <c r="B174" s="185">
        <v>45799</v>
      </c>
      <c r="C174" s="178" t="s">
        <v>477</v>
      </c>
      <c r="D174" s="6">
        <f>YEAR(PA[[#This Row],[Date]])</f>
        <v>2025</v>
      </c>
      <c r="E174" s="178" t="s">
        <v>361</v>
      </c>
      <c r="F174" s="178" t="s">
        <v>361</v>
      </c>
      <c r="G174" s="179">
        <v>45778</v>
      </c>
      <c r="H174" s="176">
        <f>DAY(EOMONTH(PA[[#This Row],[Month Year]],0))</f>
        <v>31</v>
      </c>
      <c r="I174" s="180">
        <f>VLOOKUP(PA[[#This Row],[Date]],Raw_Data[#All],9,0)</f>
        <v>0.26319444444444445</v>
      </c>
      <c r="J174" s="180">
        <f>VLOOKUP(PA[[#This Row],[Date]],Raw_Data[#All],10,0)</f>
        <v>0.80902777777777779</v>
      </c>
      <c r="K174" s="68">
        <f>IFERROR((PA[[#This Row],[Sunset Time (POA&lt;20 W/m2)]]-PA[[#This Row],[Sunrise Time (POA&gt;20 W/m2)]])*24,"")</f>
        <v>13.100000000000001</v>
      </c>
      <c r="L174" s="178" t="s">
        <v>438</v>
      </c>
      <c r="M174" s="178" t="s">
        <v>401</v>
      </c>
      <c r="N174" s="178" t="s">
        <v>402</v>
      </c>
      <c r="O174" s="178" t="s">
        <v>409</v>
      </c>
      <c r="P174" s="178" t="s">
        <v>397</v>
      </c>
      <c r="Q174" s="178"/>
      <c r="R174" s="6">
        <f>IF((PA[[#This Row],[String Type(If String BD)]]&amp;PA[[#This Row],[Equipment (If any BD other than PV  array and inv)]])="",1,0)</f>
        <v>0</v>
      </c>
      <c r="S174" s="6">
        <f>IF(PA[[#This Row],[String Type(If String BD)]]="",1,0)</f>
        <v>0</v>
      </c>
      <c r="T1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4" s="68">
        <f>IFERROR(VLOOKUP(PA[[#This Row],[Affected Equipment ]],'Basic Data '!$A$1:$B$1846,2,0),"")</f>
        <v>25.81</v>
      </c>
      <c r="V174" s="143">
        <f>IFERROR(VLOOKUP(PA[[#This Row],[Affected Equipment ]],'Basic Data '!$A$1:$C$1846,3,0),"")</f>
        <v>7.7023853221960597E-5</v>
      </c>
      <c r="W174" s="178" t="s">
        <v>398</v>
      </c>
      <c r="X174" s="110" t="s">
        <v>410</v>
      </c>
      <c r="Y174" s="183" t="s">
        <v>411</v>
      </c>
      <c r="Z174" s="109">
        <v>0.26319444444444445</v>
      </c>
      <c r="AA174" s="109">
        <v>0.26319444444444445</v>
      </c>
      <c r="AB174" s="109">
        <v>0.26319444444444445</v>
      </c>
      <c r="AC174" s="109">
        <v>0.80902777777777779</v>
      </c>
      <c r="AD174" s="82">
        <f>IF(PA[[#This Row],[Acknowledgement Time ]]="NA","",(PA[[#This Row],[Acknowledgement Time ]]-PA[[#This Row],[Fault Time]])*24)</f>
        <v>0</v>
      </c>
      <c r="AE174" s="82">
        <f>IF(PA[[#This Row],[Work Start time on Fault]]="NA","",(PA[[#This Row],[Work Start time on Fault]]-PA[[#This Row],[Fault Time]])*24)</f>
        <v>0</v>
      </c>
      <c r="AF174" s="111">
        <f>IF(PA[[#This Row],[Status]]="Open","",(PA[[#This Row],[Work Completion time on fault]]-PA[[#This Row],[Fault Time]])*24)</f>
        <v>13.100000000000001</v>
      </c>
      <c r="AG174" s="82">
        <f>IFERROR((PA[[#This Row],[Work Completion time on fault]]-PA[[#This Row],[Fault Time]])*24,"")</f>
        <v>13.100000000000001</v>
      </c>
      <c r="AH174" s="183" t="s">
        <v>2660</v>
      </c>
      <c r="AI174" s="178" t="s">
        <v>422</v>
      </c>
      <c r="AJ174" s="68">
        <f>IFERROR(PA[[#This Row],[Breakdown Time]]*PA[[#This Row],[Plant Equivalent Weightage]],"")</f>
        <v>1.0090124772076838E-3</v>
      </c>
      <c r="AK174" s="117">
        <v>7.64</v>
      </c>
      <c r="AL174" s="116">
        <f>IF(PA[[#This Row],[Lost PoA(Wh/m2)]]&gt;0,_xlfn.XLOOKUP($B174,'Daily KPI'!$A:$A,'Daily KPI'!$AE:$AE)*PA[[#This Row],[Lost PoA(Wh/m2)]]*U174,0)</f>
        <v>161.1940766428408</v>
      </c>
      <c r="AM174" s="176" t="s">
        <v>2553</v>
      </c>
    </row>
    <row r="175" spans="1:39" ht="14" customHeight="1">
      <c r="A175" s="177">
        <f t="shared" si="3"/>
        <v>172</v>
      </c>
      <c r="B175" s="185">
        <v>45799</v>
      </c>
      <c r="C175" s="178" t="s">
        <v>477</v>
      </c>
      <c r="D175" s="6">
        <f>YEAR(PA[[#This Row],[Date]])</f>
        <v>2025</v>
      </c>
      <c r="E175" s="178" t="s">
        <v>361</v>
      </c>
      <c r="F175" s="178" t="s">
        <v>361</v>
      </c>
      <c r="G175" s="179">
        <v>45778</v>
      </c>
      <c r="H175" s="176">
        <f>DAY(EOMONTH(PA[[#This Row],[Month Year]],0))</f>
        <v>31</v>
      </c>
      <c r="I175" s="180">
        <f>VLOOKUP(PA[[#This Row],[Date]],Raw_Data[#All],9,0)</f>
        <v>0.26319444444444445</v>
      </c>
      <c r="J175" s="180">
        <f>VLOOKUP(PA[[#This Row],[Date]],Raw_Data[#All],10,0)</f>
        <v>0.80902777777777779</v>
      </c>
      <c r="K175" s="68">
        <f>IFERROR((PA[[#This Row],[Sunset Time (POA&lt;20 W/m2)]]-PA[[#This Row],[Sunrise Time (POA&gt;20 W/m2)]])*24,"")</f>
        <v>13.100000000000001</v>
      </c>
      <c r="L175" s="178" t="s">
        <v>444</v>
      </c>
      <c r="M175" s="178" t="s">
        <v>401</v>
      </c>
      <c r="N175" s="178" t="s">
        <v>402</v>
      </c>
      <c r="O175" s="178" t="s">
        <v>406</v>
      </c>
      <c r="P175" s="178" t="s">
        <v>445</v>
      </c>
      <c r="Q175" s="178"/>
      <c r="R175" s="6">
        <f>IF((PA[[#This Row],[String Type(If String BD)]]&amp;PA[[#This Row],[Equipment (If any BD other than PV  array and inv)]])="",1,0)</f>
        <v>0</v>
      </c>
      <c r="S175" s="6">
        <f>IF(PA[[#This Row],[String Type(If String BD)]]="",1,0)</f>
        <v>0</v>
      </c>
      <c r="T1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5" s="68">
        <f>IFERROR(VLOOKUP(PA[[#This Row],[Affected Equipment ]],'Basic Data '!$A$1:$B$1846,2,0),"")</f>
        <v>26.1</v>
      </c>
      <c r="V175" s="143">
        <f>IFERROR(VLOOKUP(PA[[#This Row],[Affected Equipment ]],'Basic Data '!$A$1:$C$1846,3,0),"")</f>
        <v>7.7889289775016346E-5</v>
      </c>
      <c r="W175" s="178" t="s">
        <v>398</v>
      </c>
      <c r="X175" s="110" t="s">
        <v>410</v>
      </c>
      <c r="Y175" s="183" t="s">
        <v>411</v>
      </c>
      <c r="Z175" s="109">
        <v>0.26319444444444445</v>
      </c>
      <c r="AA175" s="109">
        <v>0.26319444444444445</v>
      </c>
      <c r="AB175" s="109">
        <v>0.26319444444444445</v>
      </c>
      <c r="AC175" s="109">
        <v>0.80902777777777779</v>
      </c>
      <c r="AD175" s="82">
        <f>IF(PA[[#This Row],[Acknowledgement Time ]]="NA","",(PA[[#This Row],[Acknowledgement Time ]]-PA[[#This Row],[Fault Time]])*24)</f>
        <v>0</v>
      </c>
      <c r="AE175" s="82">
        <f>IF(PA[[#This Row],[Work Start time on Fault]]="NA","",(PA[[#This Row],[Work Start time on Fault]]-PA[[#This Row],[Fault Time]])*24)</f>
        <v>0</v>
      </c>
      <c r="AF175" s="111">
        <f>IF(PA[[#This Row],[Status]]="Open","",(PA[[#This Row],[Work Completion time on fault]]-PA[[#This Row],[Fault Time]])*24)</f>
        <v>13.100000000000001</v>
      </c>
      <c r="AG175" s="82">
        <f>IFERROR((PA[[#This Row],[Work Completion time on fault]]-PA[[#This Row],[Fault Time]])*24,"")</f>
        <v>13.100000000000001</v>
      </c>
      <c r="AH175" s="183" t="s">
        <v>2660</v>
      </c>
      <c r="AI175" s="178" t="s">
        <v>422</v>
      </c>
      <c r="AJ175" s="68">
        <f>IFERROR(PA[[#This Row],[Breakdown Time]]*PA[[#This Row],[Plant Equivalent Weightage]],"")</f>
        <v>1.0203496960527142E-3</v>
      </c>
      <c r="AK175" s="117">
        <v>7.64</v>
      </c>
      <c r="AL175" s="116">
        <f>IF(PA[[#This Row],[Lost PoA(Wh/m2)]]&gt;0,_xlfn.XLOOKUP($B175,'Daily KPI'!$A:$A,'Daily KPI'!$AE:$AE)*PA[[#This Row],[Lost PoA(Wh/m2)]]*U175,0)</f>
        <v>163.00524604332219</v>
      </c>
      <c r="AM175" s="176" t="s">
        <v>2553</v>
      </c>
    </row>
    <row r="176" spans="1:39" ht="14" customHeight="1">
      <c r="A176" s="177">
        <f t="shared" si="3"/>
        <v>173</v>
      </c>
      <c r="B176" s="185">
        <v>45799</v>
      </c>
      <c r="C176" s="178" t="s">
        <v>477</v>
      </c>
      <c r="D176" s="6">
        <f>YEAR(PA[[#This Row],[Date]])</f>
        <v>2025</v>
      </c>
      <c r="E176" s="178" t="s">
        <v>361</v>
      </c>
      <c r="F176" s="178" t="s">
        <v>361</v>
      </c>
      <c r="G176" s="179">
        <v>45778</v>
      </c>
      <c r="H176" s="176">
        <f>DAY(EOMONTH(PA[[#This Row],[Month Year]],0))</f>
        <v>31</v>
      </c>
      <c r="I176" s="180">
        <f>VLOOKUP(PA[[#This Row],[Date]],Raw_Data[#All],9,0)</f>
        <v>0.26319444444444445</v>
      </c>
      <c r="J176" s="180">
        <f>VLOOKUP(PA[[#This Row],[Date]],Raw_Data[#All],10,0)</f>
        <v>0.80902777777777779</v>
      </c>
      <c r="K176" s="68">
        <f>IFERROR((PA[[#This Row],[Sunset Time (POA&lt;20 W/m2)]]-PA[[#This Row],[Sunrise Time (POA&gt;20 W/m2)]])*24,"")</f>
        <v>13.100000000000001</v>
      </c>
      <c r="L176" s="178" t="s">
        <v>393</v>
      </c>
      <c r="M176" s="178" t="s">
        <v>414</v>
      </c>
      <c r="N176" s="178" t="s">
        <v>395</v>
      </c>
      <c r="O176" s="178" t="s">
        <v>417</v>
      </c>
      <c r="P176" s="178" t="s">
        <v>397</v>
      </c>
      <c r="Q176" s="178"/>
      <c r="R176" s="6">
        <f>IF((PA[[#This Row],[String Type(If String BD)]]&amp;PA[[#This Row],[Equipment (If any BD other than PV  array and inv)]])="",1,0)</f>
        <v>0</v>
      </c>
      <c r="S176" s="6">
        <f>IF(PA[[#This Row],[String Type(If String BD)]]="",1,0)</f>
        <v>0</v>
      </c>
      <c r="T1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6" s="68">
        <f>IFERROR(VLOOKUP(PA[[#This Row],[Affected Equipment ]],'Basic Data '!$A$1:$B$1846,2,0),"")</f>
        <v>25.81</v>
      </c>
      <c r="V176" s="143">
        <f>IFERROR(VLOOKUP(PA[[#This Row],[Affected Equipment ]],'Basic Data '!$A$1:$C$1846,3,0),"")</f>
        <v>7.7023853221960597E-5</v>
      </c>
      <c r="W176" s="178" t="s">
        <v>398</v>
      </c>
      <c r="X176" s="110" t="s">
        <v>410</v>
      </c>
      <c r="Y176" s="183" t="s">
        <v>411</v>
      </c>
      <c r="Z176" s="109">
        <v>0.26319444444444445</v>
      </c>
      <c r="AA176" s="109">
        <v>0.26319444444444445</v>
      </c>
      <c r="AB176" s="109">
        <v>0.26319444444444445</v>
      </c>
      <c r="AC176" s="109">
        <v>0.80902777777777779</v>
      </c>
      <c r="AD176" s="82">
        <f>IF(PA[[#This Row],[Acknowledgement Time ]]="NA","",(PA[[#This Row],[Acknowledgement Time ]]-PA[[#This Row],[Fault Time]])*24)</f>
        <v>0</v>
      </c>
      <c r="AE176" s="82">
        <f>IF(PA[[#This Row],[Work Start time on Fault]]="NA","",(PA[[#This Row],[Work Start time on Fault]]-PA[[#This Row],[Fault Time]])*24)</f>
        <v>0</v>
      </c>
      <c r="AF176" s="111">
        <f>IF(PA[[#This Row],[Status]]="Open","",(PA[[#This Row],[Work Completion time on fault]]-PA[[#This Row],[Fault Time]])*24)</f>
        <v>13.100000000000001</v>
      </c>
      <c r="AG176" s="82">
        <f>IFERROR((PA[[#This Row],[Work Completion time on fault]]-PA[[#This Row],[Fault Time]])*24,"")</f>
        <v>13.100000000000001</v>
      </c>
      <c r="AH176" s="183" t="s">
        <v>2660</v>
      </c>
      <c r="AI176" s="84" t="s">
        <v>422</v>
      </c>
      <c r="AJ176" s="68">
        <f>IFERROR(PA[[#This Row],[Breakdown Time]]*PA[[#This Row],[Plant Equivalent Weightage]],"")</f>
        <v>1.0090124772076838E-3</v>
      </c>
      <c r="AK176" s="117">
        <v>7.64</v>
      </c>
      <c r="AL176" s="116">
        <f>IF(PA[[#This Row],[Lost PoA(Wh/m2)]]&gt;0,_xlfn.XLOOKUP($B176,'Daily KPI'!$A:$A,'Daily KPI'!$AE:$AE)*PA[[#This Row],[Lost PoA(Wh/m2)]]*U176,0)</f>
        <v>161.1940766428408</v>
      </c>
      <c r="AM176" s="176" t="s">
        <v>2556</v>
      </c>
    </row>
    <row r="177" spans="1:39" ht="14" customHeight="1">
      <c r="A177" s="177">
        <f t="shared" si="3"/>
        <v>174</v>
      </c>
      <c r="B177" s="185">
        <v>45799</v>
      </c>
      <c r="C177" s="178" t="s">
        <v>477</v>
      </c>
      <c r="D177" s="6">
        <f>YEAR(PA[[#This Row],[Date]])</f>
        <v>2025</v>
      </c>
      <c r="E177" s="178" t="s">
        <v>361</v>
      </c>
      <c r="F177" s="178" t="s">
        <v>361</v>
      </c>
      <c r="G177" s="179">
        <v>45778</v>
      </c>
      <c r="H177" s="176">
        <f>DAY(EOMONTH(PA[[#This Row],[Month Year]],0))</f>
        <v>31</v>
      </c>
      <c r="I177" s="180">
        <f>VLOOKUP(PA[[#This Row],[Date]],Raw_Data[#All],9,0)</f>
        <v>0.26319444444444445</v>
      </c>
      <c r="J177" s="180">
        <f>VLOOKUP(PA[[#This Row],[Date]],Raw_Data[#All],10,0)</f>
        <v>0.80902777777777779</v>
      </c>
      <c r="K177" s="68">
        <f>IFERROR((PA[[#This Row],[Sunset Time (POA&lt;20 W/m2)]]-PA[[#This Row],[Sunrise Time (POA&gt;20 W/m2)]])*24,"")</f>
        <v>13.100000000000001</v>
      </c>
      <c r="L177" s="178" t="s">
        <v>430</v>
      </c>
      <c r="M177" s="178" t="s">
        <v>408</v>
      </c>
      <c r="N177" s="178" t="s">
        <v>395</v>
      </c>
      <c r="O177" s="178" t="s">
        <v>403</v>
      </c>
      <c r="P177" s="178" t="s">
        <v>397</v>
      </c>
      <c r="Q177" s="178"/>
      <c r="R177" s="6">
        <f>IF((PA[[#This Row],[String Type(If String BD)]]&amp;PA[[#This Row],[Equipment (If any BD other than PV  array and inv)]])="",1,0)</f>
        <v>0</v>
      </c>
      <c r="S177" s="6">
        <f>IF(PA[[#This Row],[String Type(If String BD)]]="",1,0)</f>
        <v>0</v>
      </c>
      <c r="T1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7" s="68">
        <f>IFERROR(VLOOKUP(PA[[#This Row],[Affected Equipment ]],'Basic Data '!$A$1:$B$1846,2,0),"")</f>
        <v>25.81</v>
      </c>
      <c r="V177" s="143">
        <f>IFERROR(VLOOKUP(PA[[#This Row],[Affected Equipment ]],'Basic Data '!$A$1:$C$1846,3,0),"")</f>
        <v>7.7023853221960597E-5</v>
      </c>
      <c r="W177" s="178" t="s">
        <v>398</v>
      </c>
      <c r="X177" s="110" t="s">
        <v>410</v>
      </c>
      <c r="Y177" s="183" t="s">
        <v>411</v>
      </c>
      <c r="Z177" s="109">
        <v>0.26319444444444445</v>
      </c>
      <c r="AA177" s="109">
        <v>0.26319444444444445</v>
      </c>
      <c r="AB177" s="109">
        <v>0.26319444444444445</v>
      </c>
      <c r="AC177" s="109">
        <v>0.80902777777777779</v>
      </c>
      <c r="AD177" s="82">
        <f>IF(PA[[#This Row],[Acknowledgement Time ]]="NA","",(PA[[#This Row],[Acknowledgement Time ]]-PA[[#This Row],[Fault Time]])*24)</f>
        <v>0</v>
      </c>
      <c r="AE177" s="82">
        <f>IF(PA[[#This Row],[Work Start time on Fault]]="NA","",(PA[[#This Row],[Work Start time on Fault]]-PA[[#This Row],[Fault Time]])*24)</f>
        <v>0</v>
      </c>
      <c r="AF177" s="111">
        <f>IF(PA[[#This Row],[Status]]="Open","",(PA[[#This Row],[Work Completion time on fault]]-PA[[#This Row],[Fault Time]])*24)</f>
        <v>13.100000000000001</v>
      </c>
      <c r="AG177" s="82">
        <f>IFERROR((PA[[#This Row],[Work Completion time on fault]]-PA[[#This Row],[Fault Time]])*24,"")</f>
        <v>13.100000000000001</v>
      </c>
      <c r="AH177" s="183" t="s">
        <v>2660</v>
      </c>
      <c r="AI177" s="178" t="s">
        <v>422</v>
      </c>
      <c r="AJ177" s="68">
        <f>IFERROR(PA[[#This Row],[Breakdown Time]]*PA[[#This Row],[Plant Equivalent Weightage]],"")</f>
        <v>1.0090124772076838E-3</v>
      </c>
      <c r="AK177" s="117">
        <v>7.64</v>
      </c>
      <c r="AL177" s="116">
        <f>IF(PA[[#This Row],[Lost PoA(Wh/m2)]]&gt;0,_xlfn.XLOOKUP($B177,'Daily KPI'!$A:$A,'Daily KPI'!$AE:$AE)*PA[[#This Row],[Lost PoA(Wh/m2)]]*U177,0)</f>
        <v>161.1940766428408</v>
      </c>
      <c r="AM177" s="176" t="s">
        <v>2556</v>
      </c>
    </row>
    <row r="178" spans="1:39" ht="14" customHeight="1">
      <c r="A178" s="177">
        <f t="shared" si="3"/>
        <v>175</v>
      </c>
      <c r="B178" s="185">
        <v>45799</v>
      </c>
      <c r="C178" s="178" t="s">
        <v>477</v>
      </c>
      <c r="D178" s="6">
        <f>YEAR(PA[[#This Row],[Date]])</f>
        <v>2025</v>
      </c>
      <c r="E178" s="178" t="s">
        <v>361</v>
      </c>
      <c r="F178" s="178" t="s">
        <v>361</v>
      </c>
      <c r="G178" s="179">
        <v>45778</v>
      </c>
      <c r="H178" s="176">
        <f>DAY(EOMONTH(PA[[#This Row],[Month Year]],0))</f>
        <v>31</v>
      </c>
      <c r="I178" s="180">
        <f>VLOOKUP(PA[[#This Row],[Date]],Raw_Data[#All],9,0)</f>
        <v>0.26319444444444445</v>
      </c>
      <c r="J178" s="180">
        <f>VLOOKUP(PA[[#This Row],[Date]],Raw_Data[#All],10,0)</f>
        <v>0.80902777777777779</v>
      </c>
      <c r="K178" s="68">
        <f>IFERROR((PA[[#This Row],[Sunset Time (POA&lt;20 W/m2)]]-PA[[#This Row],[Sunrise Time (POA&gt;20 W/m2)]])*24,"")</f>
        <v>13.100000000000001</v>
      </c>
      <c r="L178" s="178" t="s">
        <v>441</v>
      </c>
      <c r="M178" s="178" t="s">
        <v>394</v>
      </c>
      <c r="N178" s="178" t="s">
        <v>395</v>
      </c>
      <c r="O178" s="178" t="s">
        <v>412</v>
      </c>
      <c r="P178" s="178" t="s">
        <v>445</v>
      </c>
      <c r="Q178" s="178"/>
      <c r="R178" s="6">
        <f>IF((PA[[#This Row],[String Type(If String BD)]]&amp;PA[[#This Row],[Equipment (If any BD other than PV  array and inv)]])="",1,0)</f>
        <v>0</v>
      </c>
      <c r="S178" s="6">
        <f>IF(PA[[#This Row],[String Type(If String BD)]]="",1,0)</f>
        <v>0</v>
      </c>
      <c r="T1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8" s="68">
        <f>IFERROR(VLOOKUP(PA[[#This Row],[Affected Equipment ]],'Basic Data '!$A$1:$B$1846,2,0),"")</f>
        <v>26.1</v>
      </c>
      <c r="V178" s="143">
        <f>IFERROR(VLOOKUP(PA[[#This Row],[Affected Equipment ]],'Basic Data '!$A$1:$C$1846,3,0),"")</f>
        <v>7.7889289775016346E-5</v>
      </c>
      <c r="W178" s="178" t="s">
        <v>398</v>
      </c>
      <c r="X178" s="110" t="s">
        <v>410</v>
      </c>
      <c r="Y178" s="183" t="s">
        <v>411</v>
      </c>
      <c r="Z178" s="109">
        <v>0.26319444444444445</v>
      </c>
      <c r="AA178" s="109">
        <v>0.26319444444444445</v>
      </c>
      <c r="AB178" s="109">
        <v>0.26319444444444445</v>
      </c>
      <c r="AC178" s="109">
        <v>0.80902777777777779</v>
      </c>
      <c r="AD178" s="82">
        <f>IF(PA[[#This Row],[Acknowledgement Time ]]="NA","",(PA[[#This Row],[Acknowledgement Time ]]-PA[[#This Row],[Fault Time]])*24)</f>
        <v>0</v>
      </c>
      <c r="AE178" s="82">
        <f>IF(PA[[#This Row],[Work Start time on Fault]]="NA","",(PA[[#This Row],[Work Start time on Fault]]-PA[[#This Row],[Fault Time]])*24)</f>
        <v>0</v>
      </c>
      <c r="AF178" s="111">
        <f>IF(PA[[#This Row],[Status]]="Open","",(PA[[#This Row],[Work Completion time on fault]]-PA[[#This Row],[Fault Time]])*24)</f>
        <v>13.100000000000001</v>
      </c>
      <c r="AG178" s="82">
        <f>IFERROR((PA[[#This Row],[Work Completion time on fault]]-PA[[#This Row],[Fault Time]])*24,"")</f>
        <v>13.100000000000001</v>
      </c>
      <c r="AH178" s="183" t="s">
        <v>2660</v>
      </c>
      <c r="AI178" s="178" t="s">
        <v>422</v>
      </c>
      <c r="AJ178" s="68">
        <f>IFERROR(PA[[#This Row],[Breakdown Time]]*PA[[#This Row],[Plant Equivalent Weightage]],"")</f>
        <v>1.0203496960527142E-3</v>
      </c>
      <c r="AK178" s="117">
        <v>7.64</v>
      </c>
      <c r="AL178" s="116">
        <f>IF(PA[[#This Row],[Lost PoA(Wh/m2)]]&gt;0,_xlfn.XLOOKUP($B178,'Daily KPI'!$A:$A,'Daily KPI'!$AE:$AE)*PA[[#This Row],[Lost PoA(Wh/m2)]]*U178,0)</f>
        <v>163.00524604332219</v>
      </c>
      <c r="AM178" s="176" t="s">
        <v>2556</v>
      </c>
    </row>
    <row r="179" spans="1:39" ht="14" customHeight="1">
      <c r="A179" s="177">
        <f t="shared" si="3"/>
        <v>176</v>
      </c>
      <c r="B179" s="185">
        <v>45799</v>
      </c>
      <c r="C179" s="178" t="s">
        <v>477</v>
      </c>
      <c r="D179" s="6">
        <f>YEAR(PA[[#This Row],[Date]])</f>
        <v>2025</v>
      </c>
      <c r="E179" s="178" t="s">
        <v>361</v>
      </c>
      <c r="F179" s="178" t="s">
        <v>361</v>
      </c>
      <c r="G179" s="179">
        <v>45778</v>
      </c>
      <c r="H179" s="176">
        <f>DAY(EOMONTH(PA[[#This Row],[Month Year]],0))</f>
        <v>31</v>
      </c>
      <c r="I179" s="180">
        <f>VLOOKUP(PA[[#This Row],[Date]],Raw_Data[#All],9,0)</f>
        <v>0.26319444444444445</v>
      </c>
      <c r="J179" s="180">
        <f>VLOOKUP(PA[[#This Row],[Date]],Raw_Data[#All],10,0)</f>
        <v>0.80902777777777779</v>
      </c>
      <c r="K179" s="68">
        <f>IFERROR((PA[[#This Row],[Sunset Time (POA&lt;20 W/m2)]]-PA[[#This Row],[Sunrise Time (POA&gt;20 W/m2)]])*24,"")</f>
        <v>13.100000000000001</v>
      </c>
      <c r="L179" s="178" t="s">
        <v>400</v>
      </c>
      <c r="M179" s="178" t="s">
        <v>408</v>
      </c>
      <c r="N179" s="178" t="s">
        <v>402</v>
      </c>
      <c r="O179" s="178" t="s">
        <v>412</v>
      </c>
      <c r="P179" s="178" t="s">
        <v>404</v>
      </c>
      <c r="Q179" s="178"/>
      <c r="R179" s="6">
        <f>IF((PA[[#This Row],[String Type(If String BD)]]&amp;PA[[#This Row],[Equipment (If any BD other than PV  array and inv)]])="",1,0)</f>
        <v>0</v>
      </c>
      <c r="S179" s="6">
        <f>IF(PA[[#This Row],[String Type(If String BD)]]="",1,0)</f>
        <v>0</v>
      </c>
      <c r="T1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9" s="68">
        <f>IFERROR(VLOOKUP(PA[[#This Row],[Affected Equipment ]],'Basic Data '!$A$1:$B$1846,2,0),"")</f>
        <v>31.32</v>
      </c>
      <c r="V179" s="143">
        <f>IFERROR(VLOOKUP(PA[[#This Row],[Affected Equipment ]],'Basic Data '!$A$1:$C$1846,3,0),"")</f>
        <v>9.3467147730019601E-5</v>
      </c>
      <c r="W179" s="178" t="s">
        <v>398</v>
      </c>
      <c r="X179" s="110" t="s">
        <v>410</v>
      </c>
      <c r="Y179" s="183" t="s">
        <v>411</v>
      </c>
      <c r="Z179" s="109">
        <v>0.26319444444444445</v>
      </c>
      <c r="AA179" s="109">
        <v>0.26319444444444445</v>
      </c>
      <c r="AB179" s="109">
        <v>0.26319444444444445</v>
      </c>
      <c r="AC179" s="109">
        <v>0.80902777777777779</v>
      </c>
      <c r="AD179" s="82">
        <f>IF(PA[[#This Row],[Acknowledgement Time ]]="NA","",(PA[[#This Row],[Acknowledgement Time ]]-PA[[#This Row],[Fault Time]])*24)</f>
        <v>0</v>
      </c>
      <c r="AE179" s="82">
        <f>IF(PA[[#This Row],[Work Start time on Fault]]="NA","",(PA[[#This Row],[Work Start time on Fault]]-PA[[#This Row],[Fault Time]])*24)</f>
        <v>0</v>
      </c>
      <c r="AF179" s="111">
        <f>IF(PA[[#This Row],[Status]]="Open","",(PA[[#This Row],[Work Completion time on fault]]-PA[[#This Row],[Fault Time]])*24)</f>
        <v>13.100000000000001</v>
      </c>
      <c r="AG179" s="82">
        <f>IFERROR((PA[[#This Row],[Work Completion time on fault]]-PA[[#This Row],[Fault Time]])*24,"")</f>
        <v>13.100000000000001</v>
      </c>
      <c r="AH179" s="183" t="s">
        <v>2660</v>
      </c>
      <c r="AI179" s="178" t="s">
        <v>422</v>
      </c>
      <c r="AJ179" s="68">
        <f>IFERROR(PA[[#This Row],[Breakdown Time]]*PA[[#This Row],[Plant Equivalent Weightage]],"")</f>
        <v>1.224419635263257E-3</v>
      </c>
      <c r="AK179" s="117">
        <v>7.64</v>
      </c>
      <c r="AL179" s="116">
        <f>IF(PA[[#This Row],[Lost PoA(Wh/m2)]]&gt;0,_xlfn.XLOOKUP($B179,'Daily KPI'!$A:$A,'Daily KPI'!$AE:$AE)*PA[[#This Row],[Lost PoA(Wh/m2)]]*U179,0)</f>
        <v>195.60629525198661</v>
      </c>
      <c r="AM179" s="176" t="s">
        <v>2556</v>
      </c>
    </row>
    <row r="180" spans="1:39" ht="14" customHeight="1">
      <c r="A180" s="177">
        <f t="shared" si="3"/>
        <v>177</v>
      </c>
      <c r="B180" s="185">
        <v>45799</v>
      </c>
      <c r="C180" s="178" t="s">
        <v>477</v>
      </c>
      <c r="D180" s="6">
        <f>YEAR(PA[[#This Row],[Date]])</f>
        <v>2025</v>
      </c>
      <c r="E180" s="178" t="s">
        <v>361</v>
      </c>
      <c r="F180" s="178" t="s">
        <v>361</v>
      </c>
      <c r="G180" s="179">
        <v>45778</v>
      </c>
      <c r="H180" s="176">
        <f>DAY(EOMONTH(PA[[#This Row],[Month Year]],0))</f>
        <v>31</v>
      </c>
      <c r="I180" s="180">
        <f>VLOOKUP(PA[[#This Row],[Date]],Raw_Data[#All],9,0)</f>
        <v>0.26319444444444445</v>
      </c>
      <c r="J180" s="180">
        <f>VLOOKUP(PA[[#This Row],[Date]],Raw_Data[#All],10,0)</f>
        <v>0.80902777777777779</v>
      </c>
      <c r="K180" s="68">
        <f>IFERROR((PA[[#This Row],[Sunset Time (POA&lt;20 W/m2)]]-PA[[#This Row],[Sunrise Time (POA&gt;20 W/m2)]])*24,"")</f>
        <v>13.100000000000001</v>
      </c>
      <c r="L180" s="178" t="s">
        <v>400</v>
      </c>
      <c r="M180" s="178" t="s">
        <v>408</v>
      </c>
      <c r="N180" s="178" t="s">
        <v>402</v>
      </c>
      <c r="O180" s="178" t="s">
        <v>412</v>
      </c>
      <c r="P180" s="178" t="s">
        <v>404</v>
      </c>
      <c r="Q180" s="178"/>
      <c r="R180" s="6">
        <f>IF((PA[[#This Row],[String Type(If String BD)]]&amp;PA[[#This Row],[Equipment (If any BD other than PV  array and inv)]])="",1,0)</f>
        <v>0</v>
      </c>
      <c r="S180" s="6">
        <f>IF(PA[[#This Row],[String Type(If String BD)]]="",1,0)</f>
        <v>0</v>
      </c>
      <c r="T1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0" s="68">
        <f>IFERROR(VLOOKUP(PA[[#This Row],[Affected Equipment ]],'Basic Data '!$A$1:$B$1846,2,0),"")</f>
        <v>31.32</v>
      </c>
      <c r="V180" s="143">
        <f>IFERROR(VLOOKUP(PA[[#This Row],[Affected Equipment ]],'Basic Data '!$A$1:$C$1846,3,0),"")</f>
        <v>9.3467147730019601E-5</v>
      </c>
      <c r="W180" s="178" t="s">
        <v>398</v>
      </c>
      <c r="X180" s="110" t="s">
        <v>410</v>
      </c>
      <c r="Y180" s="183" t="s">
        <v>411</v>
      </c>
      <c r="Z180" s="109">
        <v>0.26319444444444445</v>
      </c>
      <c r="AA180" s="109">
        <v>0.26319444444444445</v>
      </c>
      <c r="AB180" s="109">
        <v>0.26319444444444445</v>
      </c>
      <c r="AC180" s="109">
        <v>0.80902777777777779</v>
      </c>
      <c r="AD180" s="82">
        <f>IF(PA[[#This Row],[Acknowledgement Time ]]="NA","",(PA[[#This Row],[Acknowledgement Time ]]-PA[[#This Row],[Fault Time]])*24)</f>
        <v>0</v>
      </c>
      <c r="AE180" s="82">
        <f>IF(PA[[#This Row],[Work Start time on Fault]]="NA","",(PA[[#This Row],[Work Start time on Fault]]-PA[[#This Row],[Fault Time]])*24)</f>
        <v>0</v>
      </c>
      <c r="AF180" s="111">
        <f>IF(PA[[#This Row],[Status]]="Open","",(PA[[#This Row],[Work Completion time on fault]]-PA[[#This Row],[Fault Time]])*24)</f>
        <v>13.100000000000001</v>
      </c>
      <c r="AG180" s="82">
        <f>IFERROR((PA[[#This Row],[Work Completion time on fault]]-PA[[#This Row],[Fault Time]])*24,"")</f>
        <v>13.100000000000001</v>
      </c>
      <c r="AH180" s="183" t="s">
        <v>2660</v>
      </c>
      <c r="AI180" s="178" t="s">
        <v>422</v>
      </c>
      <c r="AJ180" s="68">
        <f>IFERROR(PA[[#This Row],[Breakdown Time]]*PA[[#This Row],[Plant Equivalent Weightage]],"")</f>
        <v>1.224419635263257E-3</v>
      </c>
      <c r="AK180" s="117">
        <v>7.64</v>
      </c>
      <c r="AL180" s="116">
        <f>IF(PA[[#This Row],[Lost PoA(Wh/m2)]]&gt;0,_xlfn.XLOOKUP($B180,'Daily KPI'!$A:$A,'Daily KPI'!$AE:$AE)*PA[[#This Row],[Lost PoA(Wh/m2)]]*U180,0)</f>
        <v>195.60629525198661</v>
      </c>
      <c r="AM180" s="176" t="s">
        <v>2556</v>
      </c>
    </row>
    <row r="181" spans="1:39" ht="14" customHeight="1">
      <c r="A181" s="177">
        <f t="shared" si="3"/>
        <v>178</v>
      </c>
      <c r="B181" s="185">
        <v>45799</v>
      </c>
      <c r="C181" s="178" t="s">
        <v>477</v>
      </c>
      <c r="D181" s="6">
        <f>YEAR(PA[[#This Row],[Date]])</f>
        <v>2025</v>
      </c>
      <c r="E181" s="178" t="s">
        <v>361</v>
      </c>
      <c r="F181" s="178" t="s">
        <v>361</v>
      </c>
      <c r="G181" s="179">
        <v>45778</v>
      </c>
      <c r="H181" s="176">
        <f>DAY(EOMONTH(PA[[#This Row],[Month Year]],0))</f>
        <v>31</v>
      </c>
      <c r="I181" s="180">
        <f>VLOOKUP(PA[[#This Row],[Date]],Raw_Data[#All],9,0)</f>
        <v>0.26319444444444445</v>
      </c>
      <c r="J181" s="180">
        <f>VLOOKUP(PA[[#This Row],[Date]],Raw_Data[#All],10,0)</f>
        <v>0.80902777777777779</v>
      </c>
      <c r="K181" s="68">
        <f>IFERROR((PA[[#This Row],[Sunset Time (POA&lt;20 W/m2)]]-PA[[#This Row],[Sunrise Time (POA&gt;20 W/m2)]])*24,"")</f>
        <v>13.100000000000001</v>
      </c>
      <c r="L181" s="178" t="s">
        <v>400</v>
      </c>
      <c r="M181" s="178" t="s">
        <v>408</v>
      </c>
      <c r="N181" s="178" t="s">
        <v>402</v>
      </c>
      <c r="O181" s="178" t="s">
        <v>413</v>
      </c>
      <c r="P181" s="178" t="s">
        <v>404</v>
      </c>
      <c r="Q181" s="178"/>
      <c r="R181" s="6">
        <f>IF((PA[[#This Row],[String Type(If String BD)]]&amp;PA[[#This Row],[Equipment (If any BD other than PV  array and inv)]])="",1,0)</f>
        <v>0</v>
      </c>
      <c r="S181" s="6">
        <f>IF(PA[[#This Row],[String Type(If String BD)]]="",1,0)</f>
        <v>0</v>
      </c>
      <c r="T1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1" s="68">
        <f>IFERROR(VLOOKUP(PA[[#This Row],[Affected Equipment ]],'Basic Data '!$A$1:$B$1846,2,0),"")</f>
        <v>31.32</v>
      </c>
      <c r="V181" s="143">
        <f>IFERROR(VLOOKUP(PA[[#This Row],[Affected Equipment ]],'Basic Data '!$A$1:$C$1846,3,0),"")</f>
        <v>9.3467147730019601E-5</v>
      </c>
      <c r="W181" s="178" t="s">
        <v>398</v>
      </c>
      <c r="X181" s="110" t="s">
        <v>410</v>
      </c>
      <c r="Y181" s="183" t="s">
        <v>411</v>
      </c>
      <c r="Z181" s="109">
        <v>0.26319444444444445</v>
      </c>
      <c r="AA181" s="109">
        <v>0.26319444444444445</v>
      </c>
      <c r="AB181" s="109">
        <v>0.26319444444444445</v>
      </c>
      <c r="AC181" s="109">
        <v>0.80902777777777779</v>
      </c>
      <c r="AD181" s="82">
        <f>IF(PA[[#This Row],[Acknowledgement Time ]]="NA","",(PA[[#This Row],[Acknowledgement Time ]]-PA[[#This Row],[Fault Time]])*24)</f>
        <v>0</v>
      </c>
      <c r="AE181" s="82">
        <f>IF(PA[[#This Row],[Work Start time on Fault]]="NA","",(PA[[#This Row],[Work Start time on Fault]]-PA[[#This Row],[Fault Time]])*24)</f>
        <v>0</v>
      </c>
      <c r="AF181" s="111">
        <f>IF(PA[[#This Row],[Status]]="Open","",(PA[[#This Row],[Work Completion time on fault]]-PA[[#This Row],[Fault Time]])*24)</f>
        <v>13.100000000000001</v>
      </c>
      <c r="AG181" s="82">
        <f>IFERROR((PA[[#This Row],[Work Completion time on fault]]-PA[[#This Row],[Fault Time]])*24,"")</f>
        <v>13.100000000000001</v>
      </c>
      <c r="AH181" s="183" t="s">
        <v>2660</v>
      </c>
      <c r="AI181" s="178" t="s">
        <v>422</v>
      </c>
      <c r="AJ181" s="68">
        <f>IFERROR(PA[[#This Row],[Breakdown Time]]*PA[[#This Row],[Plant Equivalent Weightage]],"")</f>
        <v>1.224419635263257E-3</v>
      </c>
      <c r="AK181" s="117">
        <v>7.64</v>
      </c>
      <c r="AL181" s="116">
        <f>IF(PA[[#This Row],[Lost PoA(Wh/m2)]]&gt;0,_xlfn.XLOOKUP($B181,'Daily KPI'!$A:$A,'Daily KPI'!$AE:$AE)*PA[[#This Row],[Lost PoA(Wh/m2)]]*U181,0)</f>
        <v>195.60629525198661</v>
      </c>
      <c r="AM181" s="176" t="s">
        <v>2556</v>
      </c>
    </row>
    <row r="182" spans="1:39" ht="14" customHeight="1">
      <c r="A182" s="177">
        <f t="shared" si="3"/>
        <v>179</v>
      </c>
      <c r="B182" s="185">
        <v>45799</v>
      </c>
      <c r="C182" s="178" t="s">
        <v>477</v>
      </c>
      <c r="D182" s="6">
        <f>YEAR(PA[[#This Row],[Date]])</f>
        <v>2025</v>
      </c>
      <c r="E182" s="178" t="s">
        <v>361</v>
      </c>
      <c r="F182" s="178" t="s">
        <v>361</v>
      </c>
      <c r="G182" s="179">
        <v>45778</v>
      </c>
      <c r="H182" s="176">
        <f>DAY(EOMONTH(PA[[#This Row],[Month Year]],0))</f>
        <v>31</v>
      </c>
      <c r="I182" s="180">
        <f>VLOOKUP(PA[[#This Row],[Date]],Raw_Data[#All],9,0)</f>
        <v>0.26319444444444445</v>
      </c>
      <c r="J182" s="180">
        <f>VLOOKUP(PA[[#This Row],[Date]],Raw_Data[#All],10,0)</f>
        <v>0.80902777777777779</v>
      </c>
      <c r="K182" s="68">
        <f>IFERROR((PA[[#This Row],[Sunset Time (POA&lt;20 W/m2)]]-PA[[#This Row],[Sunrise Time (POA&gt;20 W/m2)]])*24,"")</f>
        <v>13.100000000000001</v>
      </c>
      <c r="L182" s="178" t="s">
        <v>400</v>
      </c>
      <c r="M182" s="178" t="s">
        <v>408</v>
      </c>
      <c r="N182" s="178" t="s">
        <v>395</v>
      </c>
      <c r="O182" s="178" t="s">
        <v>409</v>
      </c>
      <c r="P182" s="178" t="s">
        <v>404</v>
      </c>
      <c r="Q182" s="178"/>
      <c r="R182" s="6">
        <f>IF((PA[[#This Row],[String Type(If String BD)]]&amp;PA[[#This Row],[Equipment (If any BD other than PV  array and inv)]])="",1,0)</f>
        <v>0</v>
      </c>
      <c r="S182" s="6">
        <f>IF(PA[[#This Row],[String Type(If String BD)]]="",1,0)</f>
        <v>0</v>
      </c>
      <c r="T1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2" s="68">
        <f>IFERROR(VLOOKUP(PA[[#This Row],[Affected Equipment ]],'Basic Data '!$A$1:$B$1846,2,0),"")</f>
        <v>31.32</v>
      </c>
      <c r="V182" s="143">
        <f>IFERROR(VLOOKUP(PA[[#This Row],[Affected Equipment ]],'Basic Data '!$A$1:$C$1846,3,0),"")</f>
        <v>9.3467147730019601E-5</v>
      </c>
      <c r="W182" s="178" t="s">
        <v>398</v>
      </c>
      <c r="X182" s="110" t="s">
        <v>410</v>
      </c>
      <c r="Y182" s="183" t="s">
        <v>411</v>
      </c>
      <c r="Z182" s="109">
        <v>0.26319444444444445</v>
      </c>
      <c r="AA182" s="109">
        <v>0.26319444444444445</v>
      </c>
      <c r="AB182" s="109">
        <v>0.26319444444444445</v>
      </c>
      <c r="AC182" s="109">
        <v>0.80902777777777779</v>
      </c>
      <c r="AD182" s="82">
        <f>IF(PA[[#This Row],[Acknowledgement Time ]]="NA","",(PA[[#This Row],[Acknowledgement Time ]]-PA[[#This Row],[Fault Time]])*24)</f>
        <v>0</v>
      </c>
      <c r="AE182" s="82">
        <f>IF(PA[[#This Row],[Work Start time on Fault]]="NA","",(PA[[#This Row],[Work Start time on Fault]]-PA[[#This Row],[Fault Time]])*24)</f>
        <v>0</v>
      </c>
      <c r="AF182" s="111">
        <f>IF(PA[[#This Row],[Status]]="Open","",(PA[[#This Row],[Work Completion time on fault]]-PA[[#This Row],[Fault Time]])*24)</f>
        <v>13.100000000000001</v>
      </c>
      <c r="AG182" s="82">
        <f>IFERROR((PA[[#This Row],[Work Completion time on fault]]-PA[[#This Row],[Fault Time]])*24,"")</f>
        <v>13.100000000000001</v>
      </c>
      <c r="AH182" s="183" t="s">
        <v>2660</v>
      </c>
      <c r="AI182" s="178" t="s">
        <v>422</v>
      </c>
      <c r="AJ182" s="68">
        <f>IFERROR(PA[[#This Row],[Breakdown Time]]*PA[[#This Row],[Plant Equivalent Weightage]],"")</f>
        <v>1.224419635263257E-3</v>
      </c>
      <c r="AK182" s="117">
        <v>7.64</v>
      </c>
      <c r="AL182" s="116">
        <f>IF(PA[[#This Row],[Lost PoA(Wh/m2)]]&gt;0,_xlfn.XLOOKUP($B182,'Daily KPI'!$A:$A,'Daily KPI'!$AE:$AE)*PA[[#This Row],[Lost PoA(Wh/m2)]]*U182,0)</f>
        <v>195.60629525198661</v>
      </c>
      <c r="AM182" s="176" t="s">
        <v>2556</v>
      </c>
    </row>
    <row r="183" spans="1:39" ht="14" customHeight="1">
      <c r="A183" s="177">
        <f t="shared" si="3"/>
        <v>180</v>
      </c>
      <c r="B183" s="185">
        <v>45799</v>
      </c>
      <c r="C183" s="178" t="s">
        <v>477</v>
      </c>
      <c r="D183" s="6">
        <f>YEAR(PA[[#This Row],[Date]])</f>
        <v>2025</v>
      </c>
      <c r="E183" s="178" t="s">
        <v>361</v>
      </c>
      <c r="F183" s="178" t="s">
        <v>361</v>
      </c>
      <c r="G183" s="179">
        <v>45778</v>
      </c>
      <c r="H183" s="176">
        <f>DAY(EOMONTH(PA[[#This Row],[Month Year]],0))</f>
        <v>31</v>
      </c>
      <c r="I183" s="180">
        <f>VLOOKUP(PA[[#This Row],[Date]],Raw_Data[#All],9,0)</f>
        <v>0.26319444444444445</v>
      </c>
      <c r="J183" s="180">
        <f>VLOOKUP(PA[[#This Row],[Date]],Raw_Data[#All],10,0)</f>
        <v>0.80902777777777779</v>
      </c>
      <c r="K183" s="68">
        <f>IFERROR((PA[[#This Row],[Sunset Time (POA&lt;20 W/m2)]]-PA[[#This Row],[Sunrise Time (POA&gt;20 W/m2)]])*24,"")</f>
        <v>13.100000000000001</v>
      </c>
      <c r="L183" s="178" t="s">
        <v>407</v>
      </c>
      <c r="M183" s="178" t="s">
        <v>401</v>
      </c>
      <c r="N183" s="178" t="s">
        <v>402</v>
      </c>
      <c r="O183" s="178" t="s">
        <v>415</v>
      </c>
      <c r="P183" s="178" t="s">
        <v>404</v>
      </c>
      <c r="Q183" s="178"/>
      <c r="R183" s="6">
        <f>IF((PA[[#This Row],[String Type(If String BD)]]&amp;PA[[#This Row],[Equipment (If any BD other than PV  array and inv)]])="",1,0)</f>
        <v>0</v>
      </c>
      <c r="S183" s="6">
        <f>IF(PA[[#This Row],[String Type(If String BD)]]="",1,0)</f>
        <v>0</v>
      </c>
      <c r="T1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3" s="68">
        <f>IFERROR(VLOOKUP(PA[[#This Row],[Affected Equipment ]],'Basic Data '!$A$1:$B$1846,2,0),"")</f>
        <v>31.32</v>
      </c>
      <c r="V183" s="143">
        <f>IFERROR(VLOOKUP(PA[[#This Row],[Affected Equipment ]],'Basic Data '!$A$1:$C$1846,3,0),"")</f>
        <v>9.3467147730019601E-5</v>
      </c>
      <c r="W183" s="178" t="s">
        <v>398</v>
      </c>
      <c r="X183" s="110" t="s">
        <v>410</v>
      </c>
      <c r="Y183" s="183" t="s">
        <v>411</v>
      </c>
      <c r="Z183" s="109">
        <v>0.26319444444444445</v>
      </c>
      <c r="AA183" s="109">
        <v>0.26319444444444445</v>
      </c>
      <c r="AB183" s="109">
        <v>0.26319444444444445</v>
      </c>
      <c r="AC183" s="109">
        <v>0.80902777777777779</v>
      </c>
      <c r="AD183" s="82">
        <f>IF(PA[[#This Row],[Acknowledgement Time ]]="NA","",(PA[[#This Row],[Acknowledgement Time ]]-PA[[#This Row],[Fault Time]])*24)</f>
        <v>0</v>
      </c>
      <c r="AE183" s="82">
        <f>IF(PA[[#This Row],[Work Start time on Fault]]="NA","",(PA[[#This Row],[Work Start time on Fault]]-PA[[#This Row],[Fault Time]])*24)</f>
        <v>0</v>
      </c>
      <c r="AF183" s="111">
        <f>IF(PA[[#This Row],[Status]]="Open","",(PA[[#This Row],[Work Completion time on fault]]-PA[[#This Row],[Fault Time]])*24)</f>
        <v>13.100000000000001</v>
      </c>
      <c r="AG183" s="82">
        <f>IFERROR((PA[[#This Row],[Work Completion time on fault]]-PA[[#This Row],[Fault Time]])*24,"")</f>
        <v>13.100000000000001</v>
      </c>
      <c r="AH183" s="183" t="s">
        <v>2660</v>
      </c>
      <c r="AI183" s="178" t="s">
        <v>422</v>
      </c>
      <c r="AJ183" s="68">
        <f>IFERROR(PA[[#This Row],[Breakdown Time]]*PA[[#This Row],[Plant Equivalent Weightage]],"")</f>
        <v>1.224419635263257E-3</v>
      </c>
      <c r="AK183" s="117">
        <v>7.64</v>
      </c>
      <c r="AL183" s="116">
        <f>IF(PA[[#This Row],[Lost PoA(Wh/m2)]]&gt;0,_xlfn.XLOOKUP($B183,'Daily KPI'!$A:$A,'Daily KPI'!$AE:$AE)*PA[[#This Row],[Lost PoA(Wh/m2)]]*U183,0)</f>
        <v>195.60629525198661</v>
      </c>
      <c r="AM183" s="176" t="s">
        <v>2556</v>
      </c>
    </row>
    <row r="184" spans="1:39" ht="14" customHeight="1">
      <c r="A184" s="177">
        <f t="shared" si="3"/>
        <v>181</v>
      </c>
      <c r="B184" s="185">
        <v>45799</v>
      </c>
      <c r="C184" s="178" t="s">
        <v>477</v>
      </c>
      <c r="D184" s="6">
        <f>YEAR(PA[[#This Row],[Date]])</f>
        <v>2025</v>
      </c>
      <c r="E184" s="178" t="s">
        <v>361</v>
      </c>
      <c r="F184" s="178" t="s">
        <v>361</v>
      </c>
      <c r="G184" s="179">
        <v>45778</v>
      </c>
      <c r="H184" s="176">
        <f>DAY(EOMONTH(PA[[#This Row],[Month Year]],0))</f>
        <v>31</v>
      </c>
      <c r="I184" s="180">
        <f>VLOOKUP(PA[[#This Row],[Date]],Raw_Data[#All],9,0)</f>
        <v>0.26319444444444445</v>
      </c>
      <c r="J184" s="180">
        <f>VLOOKUP(PA[[#This Row],[Date]],Raw_Data[#All],10,0)</f>
        <v>0.80902777777777779</v>
      </c>
      <c r="K184" s="68">
        <f>IFERROR((PA[[#This Row],[Sunset Time (POA&lt;20 W/m2)]]-PA[[#This Row],[Sunrise Time (POA&gt;20 W/m2)]])*24,"")</f>
        <v>13.100000000000001</v>
      </c>
      <c r="L184" s="178" t="s">
        <v>454</v>
      </c>
      <c r="M184" s="178"/>
      <c r="N184" s="178"/>
      <c r="O184" s="178"/>
      <c r="P184" s="178"/>
      <c r="Q184" s="178" t="s">
        <v>420</v>
      </c>
      <c r="R184" s="6">
        <f>IF((PA[[#This Row],[String Type(If String BD)]]&amp;PA[[#This Row],[Equipment (If any BD other than PV  array and inv)]])="",1,0)</f>
        <v>0</v>
      </c>
      <c r="S184" s="6">
        <f>IF(PA[[#This Row],[String Type(If String BD)]]="",1,0)</f>
        <v>1</v>
      </c>
      <c r="T1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4" s="68">
        <f>IFERROR(VLOOKUP(PA[[#This Row],[Affected Equipment ]],'Basic Data '!$A$1:$B$1846,2,0),"")</f>
        <v>16443</v>
      </c>
      <c r="V184" s="143">
        <f>IFERROR(VLOOKUP(PA[[#This Row],[Affected Equipment ]],'Basic Data '!$A$1:$C$1846,3,0),"")</f>
        <v>4.9070252558260294E-2</v>
      </c>
      <c r="W184" s="178" t="s">
        <v>421</v>
      </c>
      <c r="X184" s="110" t="s">
        <v>2547</v>
      </c>
      <c r="Y184" s="110" t="s">
        <v>457</v>
      </c>
      <c r="Z184" s="109">
        <v>0.53263888888888888</v>
      </c>
      <c r="AA184" s="109">
        <v>0.53263888888888888</v>
      </c>
      <c r="AB184" s="109">
        <v>0.53263888888888888</v>
      </c>
      <c r="AC184" s="109">
        <v>0.56458333333333333</v>
      </c>
      <c r="AD184" s="82">
        <f>IF(PA[[#This Row],[Acknowledgement Time ]]="NA","",(PA[[#This Row],[Acknowledgement Time ]]-PA[[#This Row],[Fault Time]])*24)</f>
        <v>0</v>
      </c>
      <c r="AE184" s="82">
        <f>IF(PA[[#This Row],[Work Start time on Fault]]="NA","",(PA[[#This Row],[Work Start time on Fault]]-PA[[#This Row],[Fault Time]])*24)</f>
        <v>0</v>
      </c>
      <c r="AF184" s="111">
        <f>IF(PA[[#This Row],[Status]]="Open","",(PA[[#This Row],[Work Completion time on fault]]-PA[[#This Row],[Fault Time]])*24)</f>
        <v>0.76666666666666661</v>
      </c>
      <c r="AG184" s="82">
        <f>IFERROR((PA[[#This Row],[Work Completion time on fault]]-PA[[#This Row],[Fault Time]])*24,"")</f>
        <v>0.76666666666666661</v>
      </c>
      <c r="AH184" s="110" t="s">
        <v>2550</v>
      </c>
      <c r="AI184" s="178" t="s">
        <v>422</v>
      </c>
      <c r="AJ184" s="68">
        <f>IFERROR(PA[[#This Row],[Breakdown Time]]*PA[[#This Row],[Plant Equivalent Weightage]],"")</f>
        <v>3.762052696133289E-2</v>
      </c>
      <c r="AK184" s="117">
        <v>0.78541666666666665</v>
      </c>
      <c r="AL184" s="116">
        <f>IF(PA[[#This Row],[Lost PoA(Wh/m2)]]&gt;0,_xlfn.XLOOKUP($B184,'Daily KPI'!$A:$A,'Daily KPI'!$AE:$AE)*PA[[#This Row],[Lost PoA(Wh/m2)]]*U184,0)</f>
        <v>10557.203312540752</v>
      </c>
      <c r="AM184" s="176" t="s">
        <v>2557</v>
      </c>
    </row>
    <row r="185" spans="1:39" ht="14" customHeight="1">
      <c r="A185" s="177">
        <f t="shared" si="3"/>
        <v>182</v>
      </c>
      <c r="B185" s="185">
        <v>45799</v>
      </c>
      <c r="C185" s="178" t="s">
        <v>477</v>
      </c>
      <c r="D185" s="6">
        <f>YEAR(PA[[#This Row],[Date]])</f>
        <v>2025</v>
      </c>
      <c r="E185" s="178" t="s">
        <v>361</v>
      </c>
      <c r="F185" s="178" t="s">
        <v>361</v>
      </c>
      <c r="G185" s="179">
        <v>45778</v>
      </c>
      <c r="H185" s="176">
        <f>DAY(EOMONTH(PA[[#This Row],[Month Year]],0))</f>
        <v>31</v>
      </c>
      <c r="I185" s="180">
        <f>VLOOKUP(PA[[#This Row],[Date]],Raw_Data[#All],9,0)</f>
        <v>0.26319444444444445</v>
      </c>
      <c r="J185" s="180">
        <f>VLOOKUP(PA[[#This Row],[Date]],Raw_Data[#All],10,0)</f>
        <v>0.80902777777777779</v>
      </c>
      <c r="K185" s="68">
        <f>IFERROR((PA[[#This Row],[Sunset Time (POA&lt;20 W/m2)]]-PA[[#This Row],[Sunrise Time (POA&gt;20 W/m2)]])*24,"")</f>
        <v>13.100000000000001</v>
      </c>
      <c r="L185" s="178" t="s">
        <v>454</v>
      </c>
      <c r="M185" s="178"/>
      <c r="N185" s="178"/>
      <c r="O185" s="178"/>
      <c r="P185" s="178"/>
      <c r="Q185" s="178" t="s">
        <v>420</v>
      </c>
      <c r="R185" s="6">
        <f>IF((PA[[#This Row],[String Type(If String BD)]]&amp;PA[[#This Row],[Equipment (If any BD other than PV  array and inv)]])="",1,0)</f>
        <v>0</v>
      </c>
      <c r="S185" s="6">
        <f>IF(PA[[#This Row],[String Type(If String BD)]]="",1,0)</f>
        <v>1</v>
      </c>
      <c r="T1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5" s="68">
        <f>IFERROR(VLOOKUP(PA[[#This Row],[Affected Equipment ]],'Basic Data '!$A$1:$B$1846,2,0),"")</f>
        <v>16443</v>
      </c>
      <c r="V185" s="143">
        <f>IFERROR(VLOOKUP(PA[[#This Row],[Affected Equipment ]],'Basic Data '!$A$1:$C$1846,3,0),"")</f>
        <v>4.9070252558260294E-2</v>
      </c>
      <c r="W185" s="178" t="s">
        <v>421</v>
      </c>
      <c r="X185" s="110" t="s">
        <v>2548</v>
      </c>
      <c r="Y185" s="110" t="s">
        <v>457</v>
      </c>
      <c r="Z185" s="109">
        <v>0.59027777777777779</v>
      </c>
      <c r="AA185" s="109">
        <v>0.59027777777777779</v>
      </c>
      <c r="AB185" s="109">
        <v>0.59027777777777779</v>
      </c>
      <c r="AC185" s="109">
        <v>0.6118055555555556</v>
      </c>
      <c r="AD185" s="82">
        <f>IF(PA[[#This Row],[Acknowledgement Time ]]="NA","",(PA[[#This Row],[Acknowledgement Time ]]-PA[[#This Row],[Fault Time]])*24)</f>
        <v>0</v>
      </c>
      <c r="AE185" s="82">
        <f>IF(PA[[#This Row],[Work Start time on Fault]]="NA","",(PA[[#This Row],[Work Start time on Fault]]-PA[[#This Row],[Fault Time]])*24)</f>
        <v>0</v>
      </c>
      <c r="AF185" s="111">
        <f>IF(PA[[#This Row],[Status]]="Open","",(PA[[#This Row],[Work Completion time on fault]]-PA[[#This Row],[Fault Time]])*24)</f>
        <v>0.5166666666666675</v>
      </c>
      <c r="AG185" s="82">
        <f>IFERROR((PA[[#This Row],[Work Completion time on fault]]-PA[[#This Row],[Fault Time]])*24,"")</f>
        <v>0.5166666666666675</v>
      </c>
      <c r="AH185" s="110" t="s">
        <v>2550</v>
      </c>
      <c r="AI185" s="178" t="s">
        <v>422</v>
      </c>
      <c r="AJ185" s="68">
        <f>IFERROR(PA[[#This Row],[Breakdown Time]]*PA[[#This Row],[Plant Equivalent Weightage]],"")</f>
        <v>2.5352963821767858E-2</v>
      </c>
      <c r="AK185" s="117">
        <v>0.48248333333333332</v>
      </c>
      <c r="AL185" s="116">
        <f>IF(PA[[#This Row],[Lost PoA(Wh/m2)]]&gt;0,_xlfn.XLOOKUP($B185,'Daily KPI'!$A:$A,'Daily KPI'!$AE:$AE)*PA[[#This Row],[Lost PoA(Wh/m2)]]*U185,0)</f>
        <v>6485.3151977664138</v>
      </c>
      <c r="AM185" s="176" t="s">
        <v>2557</v>
      </c>
    </row>
    <row r="186" spans="1:39" ht="14" customHeight="1">
      <c r="A186" s="177">
        <f t="shared" si="3"/>
        <v>183</v>
      </c>
      <c r="B186" s="185">
        <v>45800</v>
      </c>
      <c r="C186" s="178" t="s">
        <v>477</v>
      </c>
      <c r="D186" s="6">
        <f>YEAR(PA[[#This Row],[Date]])</f>
        <v>2025</v>
      </c>
      <c r="E186" s="178" t="s">
        <v>361</v>
      </c>
      <c r="F186" s="178" t="s">
        <v>361</v>
      </c>
      <c r="G186" s="179">
        <v>45778</v>
      </c>
      <c r="H186" s="176">
        <f>DAY(EOMONTH(PA[[#This Row],[Month Year]],0))</f>
        <v>31</v>
      </c>
      <c r="I186" s="180">
        <f>VLOOKUP(PA[[#This Row],[Date]],Raw_Data[#All],9,0)</f>
        <v>0.26319444444444445</v>
      </c>
      <c r="J186" s="180">
        <f>VLOOKUP(PA[[#This Row],[Date]],Raw_Data[#All],10,0)</f>
        <v>0.81041666666666667</v>
      </c>
      <c r="K186" s="68">
        <f>IFERROR((PA[[#This Row],[Sunset Time (POA&lt;20 W/m2)]]-PA[[#This Row],[Sunrise Time (POA&gt;20 W/m2)]])*24,"")</f>
        <v>13.133333333333335</v>
      </c>
      <c r="L186" s="178" t="s">
        <v>423</v>
      </c>
      <c r="M186" s="178" t="s">
        <v>414</v>
      </c>
      <c r="N186" s="178" t="s">
        <v>395</v>
      </c>
      <c r="O186" s="178" t="s">
        <v>403</v>
      </c>
      <c r="P186" s="178" t="s">
        <v>404</v>
      </c>
      <c r="Q186" s="178"/>
      <c r="R186" s="6">
        <f>IF((PA[[#This Row],[String Type(If String BD)]]&amp;PA[[#This Row],[Equipment (If any BD other than PV  array and inv)]])="",1,0)</f>
        <v>0</v>
      </c>
      <c r="S186" s="6">
        <f>IF(PA[[#This Row],[String Type(If String BD)]]="",1,0)</f>
        <v>0</v>
      </c>
      <c r="T1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6" s="68">
        <f>IFERROR(VLOOKUP(PA[[#This Row],[Affected Equipment ]],'Basic Data '!$A$1:$B$1846,2,0),"")</f>
        <v>31.32</v>
      </c>
      <c r="V186" s="143">
        <f>IFERROR(VLOOKUP(PA[[#This Row],[Affected Equipment ]],'Basic Data '!$A$1:$C$1846,3,0),"")</f>
        <v>9.3467147730019601E-5</v>
      </c>
      <c r="W186" s="178" t="s">
        <v>398</v>
      </c>
      <c r="X186" s="110" t="s">
        <v>410</v>
      </c>
      <c r="Y186" s="110" t="s">
        <v>411</v>
      </c>
      <c r="Z186" s="109">
        <v>0.26319444444444445</v>
      </c>
      <c r="AA186" s="109">
        <v>0.26319444444444445</v>
      </c>
      <c r="AB186" s="109">
        <v>0.26319444444444445</v>
      </c>
      <c r="AC186" s="109">
        <v>0.81041666666666667</v>
      </c>
      <c r="AD186" s="82">
        <f>IF(PA[[#This Row],[Acknowledgement Time ]]="NA","",(PA[[#This Row],[Acknowledgement Time ]]-PA[[#This Row],[Fault Time]])*24)</f>
        <v>0</v>
      </c>
      <c r="AE186" s="82">
        <f>IF(PA[[#This Row],[Work Start time on Fault]]="NA","",(PA[[#This Row],[Work Start time on Fault]]-PA[[#This Row],[Fault Time]])*24)</f>
        <v>0</v>
      </c>
      <c r="AF186" s="111">
        <f>IF(PA[[#This Row],[Status]]="Open","",(PA[[#This Row],[Work Completion time on fault]]-PA[[#This Row],[Fault Time]])*24)</f>
        <v>13.133333333333335</v>
      </c>
      <c r="AG186" s="82">
        <f>IFERROR((PA[[#This Row],[Work Completion time on fault]]-PA[[#This Row],[Fault Time]])*24,"")</f>
        <v>13.133333333333335</v>
      </c>
      <c r="AH186" s="183" t="s">
        <v>2660</v>
      </c>
      <c r="AI186" s="178" t="s">
        <v>422</v>
      </c>
      <c r="AJ186" s="68">
        <f>IFERROR(PA[[#This Row],[Breakdown Time]]*PA[[#This Row],[Plant Equivalent Weightage]],"")</f>
        <v>1.2275352068542575E-3</v>
      </c>
      <c r="AK186" s="117">
        <v>7.6</v>
      </c>
      <c r="AL186" s="116">
        <f>IF(PA[[#This Row],[Lost PoA(Wh/m2)]]&gt;0,_xlfn.XLOOKUP($B186,'Daily KPI'!$A:$A,'Daily KPI'!$AE:$AE)*PA[[#This Row],[Lost PoA(Wh/m2)]]*U186,0)</f>
        <v>194.58217852291861</v>
      </c>
      <c r="AM186" s="176" t="s">
        <v>2553</v>
      </c>
    </row>
    <row r="187" spans="1:39" ht="14" customHeight="1">
      <c r="A187" s="177">
        <f t="shared" si="3"/>
        <v>184</v>
      </c>
      <c r="B187" s="185">
        <v>45800</v>
      </c>
      <c r="C187" s="178" t="s">
        <v>477</v>
      </c>
      <c r="D187" s="6">
        <f>YEAR(PA[[#This Row],[Date]])</f>
        <v>2025</v>
      </c>
      <c r="E187" s="178" t="s">
        <v>361</v>
      </c>
      <c r="F187" s="178" t="s">
        <v>361</v>
      </c>
      <c r="G187" s="179">
        <v>45778</v>
      </c>
      <c r="H187" s="176">
        <f>DAY(EOMONTH(PA[[#This Row],[Month Year]],0))</f>
        <v>31</v>
      </c>
      <c r="I187" s="180">
        <f>VLOOKUP(PA[[#This Row],[Date]],Raw_Data[#All],9,0)</f>
        <v>0.26319444444444445</v>
      </c>
      <c r="J187" s="180">
        <f>VLOOKUP(PA[[#This Row],[Date]],Raw_Data[#All],10,0)</f>
        <v>0.81041666666666667</v>
      </c>
      <c r="K187" s="68">
        <f>IFERROR((PA[[#This Row],[Sunset Time (POA&lt;20 W/m2)]]-PA[[#This Row],[Sunrise Time (POA&gt;20 W/m2)]])*24,"")</f>
        <v>13.133333333333335</v>
      </c>
      <c r="L187" s="178" t="s">
        <v>419</v>
      </c>
      <c r="M187" s="178" t="s">
        <v>414</v>
      </c>
      <c r="N187" s="178" t="s">
        <v>395</v>
      </c>
      <c r="O187" s="178" t="s">
        <v>417</v>
      </c>
      <c r="P187" s="178" t="s">
        <v>404</v>
      </c>
      <c r="Q187" s="178"/>
      <c r="R187" s="6">
        <f>IF((PA[[#This Row],[String Type(If String BD)]]&amp;PA[[#This Row],[Equipment (If any BD other than PV  array and inv)]])="",1,0)</f>
        <v>0</v>
      </c>
      <c r="S187" s="6">
        <f>IF(PA[[#This Row],[String Type(If String BD)]]="",1,0)</f>
        <v>0</v>
      </c>
      <c r="T1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7" s="68">
        <f>IFERROR(VLOOKUP(PA[[#This Row],[Affected Equipment ]],'Basic Data '!$A$1:$B$1846,2,0),"")</f>
        <v>31.32</v>
      </c>
      <c r="V187" s="143">
        <f>IFERROR(VLOOKUP(PA[[#This Row],[Affected Equipment ]],'Basic Data '!$A$1:$C$1846,3,0),"")</f>
        <v>9.3467147730019601E-5</v>
      </c>
      <c r="W187" s="178" t="s">
        <v>398</v>
      </c>
      <c r="X187" s="110" t="s">
        <v>410</v>
      </c>
      <c r="Y187" s="110" t="s">
        <v>411</v>
      </c>
      <c r="Z187" s="109">
        <v>0.26319444444444445</v>
      </c>
      <c r="AA187" s="109">
        <v>0.26319444444444445</v>
      </c>
      <c r="AB187" s="109">
        <v>0.26319444444444445</v>
      </c>
      <c r="AC187" s="109">
        <v>0.81041666666666667</v>
      </c>
      <c r="AD187" s="82">
        <f>IF(PA[[#This Row],[Acknowledgement Time ]]="NA","",(PA[[#This Row],[Acknowledgement Time ]]-PA[[#This Row],[Fault Time]])*24)</f>
        <v>0</v>
      </c>
      <c r="AE187" s="82">
        <f>IF(PA[[#This Row],[Work Start time on Fault]]="NA","",(PA[[#This Row],[Work Start time on Fault]]-PA[[#This Row],[Fault Time]])*24)</f>
        <v>0</v>
      </c>
      <c r="AF187" s="111">
        <f>IF(PA[[#This Row],[Status]]="Open","",(PA[[#This Row],[Work Completion time on fault]]-PA[[#This Row],[Fault Time]])*24)</f>
        <v>13.133333333333335</v>
      </c>
      <c r="AG187" s="82">
        <f>IFERROR((PA[[#This Row],[Work Completion time on fault]]-PA[[#This Row],[Fault Time]])*24,"")</f>
        <v>13.133333333333335</v>
      </c>
      <c r="AH187" s="183" t="s">
        <v>2660</v>
      </c>
      <c r="AI187" s="178" t="s">
        <v>422</v>
      </c>
      <c r="AJ187" s="68">
        <f>IFERROR(PA[[#This Row],[Breakdown Time]]*PA[[#This Row],[Plant Equivalent Weightage]],"")</f>
        <v>1.2275352068542575E-3</v>
      </c>
      <c r="AK187" s="117">
        <v>7.6</v>
      </c>
      <c r="AL187" s="116">
        <f>IF(PA[[#This Row],[Lost PoA(Wh/m2)]]&gt;0,_xlfn.XLOOKUP($B187,'Daily KPI'!$A:$A,'Daily KPI'!$AE:$AE)*PA[[#This Row],[Lost PoA(Wh/m2)]]*U187,0)</f>
        <v>194.58217852291861</v>
      </c>
      <c r="AM187" s="176" t="s">
        <v>2553</v>
      </c>
    </row>
    <row r="188" spans="1:39" ht="14" customHeight="1">
      <c r="A188" s="177">
        <f t="shared" si="3"/>
        <v>185</v>
      </c>
      <c r="B188" s="185">
        <v>45800</v>
      </c>
      <c r="C188" s="178" t="s">
        <v>477</v>
      </c>
      <c r="D188" s="6">
        <f>YEAR(PA[[#This Row],[Date]])</f>
        <v>2025</v>
      </c>
      <c r="E188" s="178" t="s">
        <v>361</v>
      </c>
      <c r="F188" s="178" t="s">
        <v>361</v>
      </c>
      <c r="G188" s="179">
        <v>45778</v>
      </c>
      <c r="H188" s="176">
        <f>DAY(EOMONTH(PA[[#This Row],[Month Year]],0))</f>
        <v>31</v>
      </c>
      <c r="I188" s="180">
        <f>VLOOKUP(PA[[#This Row],[Date]],Raw_Data[#All],9,0)</f>
        <v>0.26319444444444445</v>
      </c>
      <c r="J188" s="180">
        <f>VLOOKUP(PA[[#This Row],[Date]],Raw_Data[#All],10,0)</f>
        <v>0.81041666666666667</v>
      </c>
      <c r="K188" s="68">
        <f>IFERROR((PA[[#This Row],[Sunset Time (POA&lt;20 W/m2)]]-PA[[#This Row],[Sunrise Time (POA&gt;20 W/m2)]])*24,"")</f>
        <v>13.133333333333335</v>
      </c>
      <c r="L188" s="178" t="s">
        <v>419</v>
      </c>
      <c r="M188" s="178" t="s">
        <v>414</v>
      </c>
      <c r="N188" s="178" t="s">
        <v>402</v>
      </c>
      <c r="O188" s="178" t="s">
        <v>406</v>
      </c>
      <c r="P188" s="178" t="s">
        <v>404</v>
      </c>
      <c r="Q188" s="178"/>
      <c r="R188" s="6">
        <f>IF((PA[[#This Row],[String Type(If String BD)]]&amp;PA[[#This Row],[Equipment (If any BD other than PV  array and inv)]])="",1,0)</f>
        <v>0</v>
      </c>
      <c r="S188" s="6">
        <f>IF(PA[[#This Row],[String Type(If String BD)]]="",1,0)</f>
        <v>0</v>
      </c>
      <c r="T1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8" s="68">
        <f>IFERROR(VLOOKUP(PA[[#This Row],[Affected Equipment ]],'Basic Data '!$A$1:$B$1846,2,0),"")</f>
        <v>31.32</v>
      </c>
      <c r="V188" s="143">
        <f>IFERROR(VLOOKUP(PA[[#This Row],[Affected Equipment ]],'Basic Data '!$A$1:$C$1846,3,0),"")</f>
        <v>9.3467147730019601E-5</v>
      </c>
      <c r="W188" s="178" t="s">
        <v>398</v>
      </c>
      <c r="X188" s="110" t="s">
        <v>410</v>
      </c>
      <c r="Y188" s="110" t="s">
        <v>411</v>
      </c>
      <c r="Z188" s="109">
        <v>0.26319444444444445</v>
      </c>
      <c r="AA188" s="109">
        <v>0.26319444444444445</v>
      </c>
      <c r="AB188" s="109">
        <v>0.26319444444444445</v>
      </c>
      <c r="AC188" s="109">
        <v>0.81041666666666667</v>
      </c>
      <c r="AD188" s="82">
        <f>IF(PA[[#This Row],[Acknowledgement Time ]]="NA","",(PA[[#This Row],[Acknowledgement Time ]]-PA[[#This Row],[Fault Time]])*24)</f>
        <v>0</v>
      </c>
      <c r="AE188" s="82">
        <f>IF(PA[[#This Row],[Work Start time on Fault]]="NA","",(PA[[#This Row],[Work Start time on Fault]]-PA[[#This Row],[Fault Time]])*24)</f>
        <v>0</v>
      </c>
      <c r="AF188" s="111">
        <f>IF(PA[[#This Row],[Status]]="Open","",(PA[[#This Row],[Work Completion time on fault]]-PA[[#This Row],[Fault Time]])*24)</f>
        <v>13.133333333333335</v>
      </c>
      <c r="AG188" s="82">
        <f>IFERROR((PA[[#This Row],[Work Completion time on fault]]-PA[[#This Row],[Fault Time]])*24,"")</f>
        <v>13.133333333333335</v>
      </c>
      <c r="AH188" s="183" t="s">
        <v>2660</v>
      </c>
      <c r="AI188" s="178" t="s">
        <v>422</v>
      </c>
      <c r="AJ188" s="68">
        <f>IFERROR(PA[[#This Row],[Breakdown Time]]*PA[[#This Row],[Plant Equivalent Weightage]],"")</f>
        <v>1.2275352068542575E-3</v>
      </c>
      <c r="AK188" s="117">
        <v>7.6</v>
      </c>
      <c r="AL188" s="116">
        <f>IF(PA[[#This Row],[Lost PoA(Wh/m2)]]&gt;0,_xlfn.XLOOKUP($B188,'Daily KPI'!$A:$A,'Daily KPI'!$AE:$AE)*PA[[#This Row],[Lost PoA(Wh/m2)]]*U188,0)</f>
        <v>194.58217852291861</v>
      </c>
      <c r="AM188" s="176" t="s">
        <v>2553</v>
      </c>
    </row>
    <row r="189" spans="1:39" ht="14" customHeight="1">
      <c r="A189" s="177">
        <f t="shared" si="3"/>
        <v>186</v>
      </c>
      <c r="B189" s="185">
        <v>45800</v>
      </c>
      <c r="C189" s="178" t="s">
        <v>477</v>
      </c>
      <c r="D189" s="6">
        <f>YEAR(PA[[#This Row],[Date]])</f>
        <v>2025</v>
      </c>
      <c r="E189" s="178" t="s">
        <v>361</v>
      </c>
      <c r="F189" s="178" t="s">
        <v>361</v>
      </c>
      <c r="G189" s="179">
        <v>45778</v>
      </c>
      <c r="H189" s="176">
        <f>DAY(EOMONTH(PA[[#This Row],[Month Year]],0))</f>
        <v>31</v>
      </c>
      <c r="I189" s="180">
        <f>VLOOKUP(PA[[#This Row],[Date]],Raw_Data[#All],9,0)</f>
        <v>0.26319444444444445</v>
      </c>
      <c r="J189" s="180">
        <f>VLOOKUP(PA[[#This Row],[Date]],Raw_Data[#All],10,0)</f>
        <v>0.81041666666666667</v>
      </c>
      <c r="K189" s="68">
        <f>IFERROR((PA[[#This Row],[Sunset Time (POA&lt;20 W/m2)]]-PA[[#This Row],[Sunrise Time (POA&gt;20 W/m2)]])*24,"")</f>
        <v>13.133333333333335</v>
      </c>
      <c r="L189" s="178" t="s">
        <v>416</v>
      </c>
      <c r="M189" s="178" t="s">
        <v>414</v>
      </c>
      <c r="N189" s="178" t="s">
        <v>402</v>
      </c>
      <c r="O189" s="178" t="s">
        <v>403</v>
      </c>
      <c r="P189" s="178" t="s">
        <v>448</v>
      </c>
      <c r="Q189" s="178"/>
      <c r="R189" s="6">
        <f>IF((PA[[#This Row],[String Type(If String BD)]]&amp;PA[[#This Row],[Equipment (If any BD other than PV  array and inv)]])="",1,0)</f>
        <v>0</v>
      </c>
      <c r="S189" s="6">
        <f>IF(PA[[#This Row],[String Type(If String BD)]]="",1,0)</f>
        <v>0</v>
      </c>
      <c r="T1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89" s="68">
        <f>IFERROR(VLOOKUP(PA[[#This Row],[Affected Equipment ]],'Basic Data '!$A$1:$B$1846,2,0),"")</f>
        <v>31.61</v>
      </c>
      <c r="V189" s="143">
        <f>IFERROR(VLOOKUP(PA[[#This Row],[Affected Equipment ]],'Basic Data '!$A$1:$C$1846,3,0),"")</f>
        <v>9.4332584283075336E-5</v>
      </c>
      <c r="W189" s="178" t="s">
        <v>398</v>
      </c>
      <c r="X189" s="110" t="s">
        <v>410</v>
      </c>
      <c r="Y189" s="110" t="s">
        <v>411</v>
      </c>
      <c r="Z189" s="109">
        <v>0.26319444444444445</v>
      </c>
      <c r="AA189" s="109">
        <v>0.26319444444444445</v>
      </c>
      <c r="AB189" s="109">
        <v>0.26319444444444445</v>
      </c>
      <c r="AC189" s="109">
        <v>0.81041666666666667</v>
      </c>
      <c r="AD189" s="82">
        <f>IF(PA[[#This Row],[Acknowledgement Time ]]="NA","",(PA[[#This Row],[Acknowledgement Time ]]-PA[[#This Row],[Fault Time]])*24)</f>
        <v>0</v>
      </c>
      <c r="AE189" s="82">
        <f>IF(PA[[#This Row],[Work Start time on Fault]]="NA","",(PA[[#This Row],[Work Start time on Fault]]-PA[[#This Row],[Fault Time]])*24)</f>
        <v>0</v>
      </c>
      <c r="AF189" s="111">
        <f>IF(PA[[#This Row],[Status]]="Open","",(PA[[#This Row],[Work Completion time on fault]]-PA[[#This Row],[Fault Time]])*24)</f>
        <v>13.133333333333335</v>
      </c>
      <c r="AG189" s="82">
        <f>IFERROR((PA[[#This Row],[Work Completion time on fault]]-PA[[#This Row],[Fault Time]])*24,"")</f>
        <v>13.133333333333335</v>
      </c>
      <c r="AH189" s="183" t="s">
        <v>2660</v>
      </c>
      <c r="AI189" s="178" t="s">
        <v>422</v>
      </c>
      <c r="AJ189" s="68">
        <f>IFERROR(PA[[#This Row],[Breakdown Time]]*PA[[#This Row],[Plant Equivalent Weightage]],"")</f>
        <v>1.2389012735843895E-3</v>
      </c>
      <c r="AK189" s="117">
        <v>7.6</v>
      </c>
      <c r="AL189" s="116">
        <f>IF(PA[[#This Row],[Lost PoA(Wh/m2)]]&gt;0,_xlfn.XLOOKUP($B189,'Daily KPI'!$A:$A,'Daily KPI'!$AE:$AE)*PA[[#This Row],[Lost PoA(Wh/m2)]]*U189,0)</f>
        <v>196.38386536109377</v>
      </c>
      <c r="AM189" s="176" t="s">
        <v>2553</v>
      </c>
    </row>
    <row r="190" spans="1:39" ht="14" customHeight="1">
      <c r="A190" s="177">
        <f t="shared" si="3"/>
        <v>187</v>
      </c>
      <c r="B190" s="185">
        <v>45800</v>
      </c>
      <c r="C190" s="178" t="s">
        <v>477</v>
      </c>
      <c r="D190" s="6">
        <f>YEAR(PA[[#This Row],[Date]])</f>
        <v>2025</v>
      </c>
      <c r="E190" s="178" t="s">
        <v>361</v>
      </c>
      <c r="F190" s="178" t="s">
        <v>361</v>
      </c>
      <c r="G190" s="179">
        <v>45778</v>
      </c>
      <c r="H190" s="176">
        <f>DAY(EOMONTH(PA[[#This Row],[Month Year]],0))</f>
        <v>31</v>
      </c>
      <c r="I190" s="180">
        <f>VLOOKUP(PA[[#This Row],[Date]],Raw_Data[#All],9,0)</f>
        <v>0.26319444444444445</v>
      </c>
      <c r="J190" s="180">
        <f>VLOOKUP(PA[[#This Row],[Date]],Raw_Data[#All],10,0)</f>
        <v>0.81041666666666667</v>
      </c>
      <c r="K190" s="68">
        <f>IFERROR((PA[[#This Row],[Sunset Time (POA&lt;20 W/m2)]]-PA[[#This Row],[Sunrise Time (POA&gt;20 W/m2)]])*24,"")</f>
        <v>13.133333333333335</v>
      </c>
      <c r="L190" s="178" t="s">
        <v>438</v>
      </c>
      <c r="M190" s="178" t="s">
        <v>401</v>
      </c>
      <c r="N190" s="178" t="s">
        <v>402</v>
      </c>
      <c r="O190" s="178" t="s">
        <v>442</v>
      </c>
      <c r="P190" s="178" t="s">
        <v>397</v>
      </c>
      <c r="Q190" s="178"/>
      <c r="R190" s="6">
        <f>IF((PA[[#This Row],[String Type(If String BD)]]&amp;PA[[#This Row],[Equipment (If any BD other than PV  array and inv)]])="",1,0)</f>
        <v>0</v>
      </c>
      <c r="S190" s="6">
        <f>IF(PA[[#This Row],[String Type(If String BD)]]="",1,0)</f>
        <v>0</v>
      </c>
      <c r="T1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0" s="68">
        <f>IFERROR(VLOOKUP(PA[[#This Row],[Affected Equipment ]],'Basic Data '!$A$1:$B$1846,2,0),"")</f>
        <v>25.81</v>
      </c>
      <c r="V190" s="143">
        <f>IFERROR(VLOOKUP(PA[[#This Row],[Affected Equipment ]],'Basic Data '!$A$1:$C$1846,3,0),"")</f>
        <v>7.7023853221960597E-5</v>
      </c>
      <c r="W190" s="178" t="s">
        <v>398</v>
      </c>
      <c r="X190" s="110" t="s">
        <v>410</v>
      </c>
      <c r="Y190" s="110" t="s">
        <v>411</v>
      </c>
      <c r="Z190" s="109">
        <v>0.26319444444444445</v>
      </c>
      <c r="AA190" s="109">
        <v>0.26319444444444445</v>
      </c>
      <c r="AB190" s="109">
        <v>0.26319444444444445</v>
      </c>
      <c r="AC190" s="109">
        <v>0.81041666666666667</v>
      </c>
      <c r="AD190" s="82">
        <f>IF(PA[[#This Row],[Acknowledgement Time ]]="NA","",(PA[[#This Row],[Acknowledgement Time ]]-PA[[#This Row],[Fault Time]])*24)</f>
        <v>0</v>
      </c>
      <c r="AE190" s="82">
        <f>IF(PA[[#This Row],[Work Start time on Fault]]="NA","",(PA[[#This Row],[Work Start time on Fault]]-PA[[#This Row],[Fault Time]])*24)</f>
        <v>0</v>
      </c>
      <c r="AF190" s="111">
        <f>IF(PA[[#This Row],[Status]]="Open","",(PA[[#This Row],[Work Completion time on fault]]-PA[[#This Row],[Fault Time]])*24)</f>
        <v>13.133333333333335</v>
      </c>
      <c r="AG190" s="82">
        <f>IFERROR((PA[[#This Row],[Work Completion time on fault]]-PA[[#This Row],[Fault Time]])*24,"")</f>
        <v>13.133333333333335</v>
      </c>
      <c r="AH190" s="183" t="s">
        <v>2660</v>
      </c>
      <c r="AI190" s="178" t="s">
        <v>422</v>
      </c>
      <c r="AJ190" s="68">
        <f>IFERROR(PA[[#This Row],[Breakdown Time]]*PA[[#This Row],[Plant Equivalent Weightage]],"")</f>
        <v>1.0115799389817492E-3</v>
      </c>
      <c r="AK190" s="117">
        <v>7.6</v>
      </c>
      <c r="AL190" s="116">
        <f>IF(PA[[#This Row],[Lost PoA(Wh/m2)]]&gt;0,_xlfn.XLOOKUP($B190,'Daily KPI'!$A:$A,'Daily KPI'!$AE:$AE)*PA[[#This Row],[Lost PoA(Wh/m2)]]*U190,0)</f>
        <v>160.35012859759033</v>
      </c>
      <c r="AM190" s="176" t="s">
        <v>2553</v>
      </c>
    </row>
    <row r="191" spans="1:39" ht="14" customHeight="1">
      <c r="A191" s="177">
        <f t="shared" si="3"/>
        <v>188</v>
      </c>
      <c r="B191" s="185">
        <v>45800</v>
      </c>
      <c r="C191" s="178" t="s">
        <v>477</v>
      </c>
      <c r="D191" s="6">
        <f>YEAR(PA[[#This Row],[Date]])</f>
        <v>2025</v>
      </c>
      <c r="E191" s="178" t="s">
        <v>361</v>
      </c>
      <c r="F191" s="178" t="s">
        <v>361</v>
      </c>
      <c r="G191" s="179">
        <v>45778</v>
      </c>
      <c r="H191" s="176">
        <f>DAY(EOMONTH(PA[[#This Row],[Month Year]],0))</f>
        <v>31</v>
      </c>
      <c r="I191" s="180">
        <f>VLOOKUP(PA[[#This Row],[Date]],Raw_Data[#All],9,0)</f>
        <v>0.26319444444444445</v>
      </c>
      <c r="J191" s="180">
        <f>VLOOKUP(PA[[#This Row],[Date]],Raw_Data[#All],10,0)</f>
        <v>0.81041666666666667</v>
      </c>
      <c r="K191" s="68">
        <f>IFERROR((PA[[#This Row],[Sunset Time (POA&lt;20 W/m2)]]-PA[[#This Row],[Sunrise Time (POA&gt;20 W/m2)]])*24,"")</f>
        <v>13.133333333333335</v>
      </c>
      <c r="L191" s="178" t="s">
        <v>438</v>
      </c>
      <c r="M191" s="178" t="s">
        <v>401</v>
      </c>
      <c r="N191" s="178" t="s">
        <v>402</v>
      </c>
      <c r="O191" s="178" t="s">
        <v>409</v>
      </c>
      <c r="P191" s="178" t="s">
        <v>397</v>
      </c>
      <c r="Q191" s="178"/>
      <c r="R191" s="6">
        <f>IF((PA[[#This Row],[String Type(If String BD)]]&amp;PA[[#This Row],[Equipment (If any BD other than PV  array and inv)]])="",1,0)</f>
        <v>0</v>
      </c>
      <c r="S191" s="6">
        <f>IF(PA[[#This Row],[String Type(If String BD)]]="",1,0)</f>
        <v>0</v>
      </c>
      <c r="T1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1" s="68">
        <f>IFERROR(VLOOKUP(PA[[#This Row],[Affected Equipment ]],'Basic Data '!$A$1:$B$1846,2,0),"")</f>
        <v>25.81</v>
      </c>
      <c r="V191" s="143">
        <f>IFERROR(VLOOKUP(PA[[#This Row],[Affected Equipment ]],'Basic Data '!$A$1:$C$1846,3,0),"")</f>
        <v>7.7023853221960597E-5</v>
      </c>
      <c r="W191" s="178" t="s">
        <v>398</v>
      </c>
      <c r="X191" s="110" t="s">
        <v>410</v>
      </c>
      <c r="Y191" s="110" t="s">
        <v>411</v>
      </c>
      <c r="Z191" s="109">
        <v>0.26319444444444445</v>
      </c>
      <c r="AA191" s="109">
        <v>0.26319444444444445</v>
      </c>
      <c r="AB191" s="109">
        <v>0.26319444444444445</v>
      </c>
      <c r="AC191" s="109">
        <v>0.81041666666666667</v>
      </c>
      <c r="AD191" s="82">
        <f>IF(PA[[#This Row],[Acknowledgement Time ]]="NA","",(PA[[#This Row],[Acknowledgement Time ]]-PA[[#This Row],[Fault Time]])*24)</f>
        <v>0</v>
      </c>
      <c r="AE191" s="82">
        <f>IF(PA[[#This Row],[Work Start time on Fault]]="NA","",(PA[[#This Row],[Work Start time on Fault]]-PA[[#This Row],[Fault Time]])*24)</f>
        <v>0</v>
      </c>
      <c r="AF191" s="111">
        <f>IF(PA[[#This Row],[Status]]="Open","",(PA[[#This Row],[Work Completion time on fault]]-PA[[#This Row],[Fault Time]])*24)</f>
        <v>13.133333333333335</v>
      </c>
      <c r="AG191" s="82">
        <f>IFERROR((PA[[#This Row],[Work Completion time on fault]]-PA[[#This Row],[Fault Time]])*24,"")</f>
        <v>13.133333333333335</v>
      </c>
      <c r="AH191" s="183" t="s">
        <v>2660</v>
      </c>
      <c r="AI191" s="178" t="s">
        <v>422</v>
      </c>
      <c r="AJ191" s="68">
        <f>IFERROR(PA[[#This Row],[Breakdown Time]]*PA[[#This Row],[Plant Equivalent Weightage]],"")</f>
        <v>1.0115799389817492E-3</v>
      </c>
      <c r="AK191" s="117">
        <v>7.6</v>
      </c>
      <c r="AL191" s="116">
        <f>IF(PA[[#This Row],[Lost PoA(Wh/m2)]]&gt;0,_xlfn.XLOOKUP($B191,'Daily KPI'!$A:$A,'Daily KPI'!$AE:$AE)*PA[[#This Row],[Lost PoA(Wh/m2)]]*U191,0)</f>
        <v>160.35012859759033</v>
      </c>
      <c r="AM191" s="176" t="s">
        <v>2553</v>
      </c>
    </row>
    <row r="192" spans="1:39" ht="14" customHeight="1">
      <c r="A192" s="177">
        <f t="shared" si="3"/>
        <v>189</v>
      </c>
      <c r="B192" s="185">
        <v>45800</v>
      </c>
      <c r="C192" s="178" t="s">
        <v>477</v>
      </c>
      <c r="D192" s="6">
        <f>YEAR(PA[[#This Row],[Date]])</f>
        <v>2025</v>
      </c>
      <c r="E192" s="178" t="s">
        <v>361</v>
      </c>
      <c r="F192" s="178" t="s">
        <v>361</v>
      </c>
      <c r="G192" s="179">
        <v>45778</v>
      </c>
      <c r="H192" s="176">
        <f>DAY(EOMONTH(PA[[#This Row],[Month Year]],0))</f>
        <v>31</v>
      </c>
      <c r="I192" s="180">
        <f>VLOOKUP(PA[[#This Row],[Date]],Raw_Data[#All],9,0)</f>
        <v>0.26319444444444445</v>
      </c>
      <c r="J192" s="180">
        <f>VLOOKUP(PA[[#This Row],[Date]],Raw_Data[#All],10,0)</f>
        <v>0.81041666666666667</v>
      </c>
      <c r="K192" s="68">
        <f>IFERROR((PA[[#This Row],[Sunset Time (POA&lt;20 W/m2)]]-PA[[#This Row],[Sunrise Time (POA&gt;20 W/m2)]])*24,"")</f>
        <v>13.133333333333335</v>
      </c>
      <c r="L192" s="178" t="s">
        <v>444</v>
      </c>
      <c r="M192" s="178" t="s">
        <v>401</v>
      </c>
      <c r="N192" s="178" t="s">
        <v>402</v>
      </c>
      <c r="O192" s="178" t="s">
        <v>406</v>
      </c>
      <c r="P192" s="178" t="s">
        <v>445</v>
      </c>
      <c r="Q192" s="178"/>
      <c r="R192" s="6">
        <f>IF((PA[[#This Row],[String Type(If String BD)]]&amp;PA[[#This Row],[Equipment (If any BD other than PV  array and inv)]])="",1,0)</f>
        <v>0</v>
      </c>
      <c r="S192" s="6">
        <f>IF(PA[[#This Row],[String Type(If String BD)]]="",1,0)</f>
        <v>0</v>
      </c>
      <c r="T1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2" s="68">
        <f>IFERROR(VLOOKUP(PA[[#This Row],[Affected Equipment ]],'Basic Data '!$A$1:$B$1846,2,0),"")</f>
        <v>26.1</v>
      </c>
      <c r="V192" s="143">
        <f>IFERROR(VLOOKUP(PA[[#This Row],[Affected Equipment ]],'Basic Data '!$A$1:$C$1846,3,0),"")</f>
        <v>7.7889289775016346E-5</v>
      </c>
      <c r="W192" s="178" t="s">
        <v>398</v>
      </c>
      <c r="X192" s="110" t="s">
        <v>410</v>
      </c>
      <c r="Y192" s="110" t="s">
        <v>411</v>
      </c>
      <c r="Z192" s="109">
        <v>0.26319444444444445</v>
      </c>
      <c r="AA192" s="109">
        <v>0.26319444444444445</v>
      </c>
      <c r="AB192" s="109">
        <v>0.26319444444444445</v>
      </c>
      <c r="AC192" s="109">
        <v>0.81041666666666667</v>
      </c>
      <c r="AD192" s="82">
        <f>IF(PA[[#This Row],[Acknowledgement Time ]]="NA","",(PA[[#This Row],[Acknowledgement Time ]]-PA[[#This Row],[Fault Time]])*24)</f>
        <v>0</v>
      </c>
      <c r="AE192" s="82">
        <f>IF(PA[[#This Row],[Work Start time on Fault]]="NA","",(PA[[#This Row],[Work Start time on Fault]]-PA[[#This Row],[Fault Time]])*24)</f>
        <v>0</v>
      </c>
      <c r="AF192" s="111">
        <f>IF(PA[[#This Row],[Status]]="Open","",(PA[[#This Row],[Work Completion time on fault]]-PA[[#This Row],[Fault Time]])*24)</f>
        <v>13.133333333333335</v>
      </c>
      <c r="AG192" s="82">
        <f>IFERROR((PA[[#This Row],[Work Completion time on fault]]-PA[[#This Row],[Fault Time]])*24,"")</f>
        <v>13.133333333333335</v>
      </c>
      <c r="AH192" s="183" t="s">
        <v>2660</v>
      </c>
      <c r="AI192" s="178" t="s">
        <v>422</v>
      </c>
      <c r="AJ192" s="68">
        <f>IFERROR(PA[[#This Row],[Breakdown Time]]*PA[[#This Row],[Plant Equivalent Weightage]],"")</f>
        <v>1.0229460057118815E-3</v>
      </c>
      <c r="AK192" s="117">
        <v>7.6</v>
      </c>
      <c r="AL192" s="116">
        <f>IF(PA[[#This Row],[Lost PoA(Wh/m2)]]&gt;0,_xlfn.XLOOKUP($B192,'Daily KPI'!$A:$A,'Daily KPI'!$AE:$AE)*PA[[#This Row],[Lost PoA(Wh/m2)]]*U192,0)</f>
        <v>162.15181543576551</v>
      </c>
      <c r="AM192" s="176" t="s">
        <v>2553</v>
      </c>
    </row>
    <row r="193" spans="1:39" ht="14" customHeight="1">
      <c r="A193" s="177">
        <f t="shared" si="3"/>
        <v>190</v>
      </c>
      <c r="B193" s="185">
        <v>45800</v>
      </c>
      <c r="C193" s="178" t="s">
        <v>477</v>
      </c>
      <c r="D193" s="6">
        <f>YEAR(PA[[#This Row],[Date]])</f>
        <v>2025</v>
      </c>
      <c r="E193" s="178" t="s">
        <v>361</v>
      </c>
      <c r="F193" s="178" t="s">
        <v>361</v>
      </c>
      <c r="G193" s="179">
        <v>45778</v>
      </c>
      <c r="H193" s="176">
        <f>DAY(EOMONTH(PA[[#This Row],[Month Year]],0))</f>
        <v>31</v>
      </c>
      <c r="I193" s="180">
        <f>VLOOKUP(PA[[#This Row],[Date]],Raw_Data[#All],9,0)</f>
        <v>0.26319444444444445</v>
      </c>
      <c r="J193" s="180">
        <f>VLOOKUP(PA[[#This Row],[Date]],Raw_Data[#All],10,0)</f>
        <v>0.81041666666666667</v>
      </c>
      <c r="K193" s="68">
        <f>IFERROR((PA[[#This Row],[Sunset Time (POA&lt;20 W/m2)]]-PA[[#This Row],[Sunrise Time (POA&gt;20 W/m2)]])*24,"")</f>
        <v>13.133333333333335</v>
      </c>
      <c r="L193" s="178" t="s">
        <v>393</v>
      </c>
      <c r="M193" s="178" t="s">
        <v>414</v>
      </c>
      <c r="N193" s="178" t="s">
        <v>395</v>
      </c>
      <c r="O193" s="178" t="s">
        <v>417</v>
      </c>
      <c r="P193" s="178" t="s">
        <v>397</v>
      </c>
      <c r="Q193" s="178"/>
      <c r="R193" s="6">
        <f>IF((PA[[#This Row],[String Type(If String BD)]]&amp;PA[[#This Row],[Equipment (If any BD other than PV  array and inv)]])="",1,0)</f>
        <v>0</v>
      </c>
      <c r="S193" s="6">
        <f>IF(PA[[#This Row],[String Type(If String BD)]]="",1,0)</f>
        <v>0</v>
      </c>
      <c r="T1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3" s="68">
        <f>IFERROR(VLOOKUP(PA[[#This Row],[Affected Equipment ]],'Basic Data '!$A$1:$B$1846,2,0),"")</f>
        <v>25.81</v>
      </c>
      <c r="V193" s="143">
        <f>IFERROR(VLOOKUP(PA[[#This Row],[Affected Equipment ]],'Basic Data '!$A$1:$C$1846,3,0),"")</f>
        <v>7.7023853221960597E-5</v>
      </c>
      <c r="W193" s="178" t="s">
        <v>398</v>
      </c>
      <c r="X193" s="110" t="s">
        <v>410</v>
      </c>
      <c r="Y193" s="110" t="s">
        <v>411</v>
      </c>
      <c r="Z193" s="109">
        <v>0.26319444444444445</v>
      </c>
      <c r="AA193" s="109">
        <v>0.26319444444444445</v>
      </c>
      <c r="AB193" s="109">
        <v>0.26319444444444445</v>
      </c>
      <c r="AC193" s="109">
        <v>0.81041666666666667</v>
      </c>
      <c r="AD193" s="82">
        <f>IF(PA[[#This Row],[Acknowledgement Time ]]="NA","",(PA[[#This Row],[Acknowledgement Time ]]-PA[[#This Row],[Fault Time]])*24)</f>
        <v>0</v>
      </c>
      <c r="AE193" s="82">
        <f>IF(PA[[#This Row],[Work Start time on Fault]]="NA","",(PA[[#This Row],[Work Start time on Fault]]-PA[[#This Row],[Fault Time]])*24)</f>
        <v>0</v>
      </c>
      <c r="AF193" s="111">
        <f>IF(PA[[#This Row],[Status]]="Open","",(PA[[#This Row],[Work Completion time on fault]]-PA[[#This Row],[Fault Time]])*24)</f>
        <v>13.133333333333335</v>
      </c>
      <c r="AG193" s="82">
        <f>IFERROR((PA[[#This Row],[Work Completion time on fault]]-PA[[#This Row],[Fault Time]])*24,"")</f>
        <v>13.133333333333335</v>
      </c>
      <c r="AH193" s="183" t="s">
        <v>2660</v>
      </c>
      <c r="AI193" s="84" t="s">
        <v>422</v>
      </c>
      <c r="AJ193" s="68">
        <f>IFERROR(PA[[#This Row],[Breakdown Time]]*PA[[#This Row],[Plant Equivalent Weightage]],"")</f>
        <v>1.0115799389817492E-3</v>
      </c>
      <c r="AK193" s="117">
        <v>7.6</v>
      </c>
      <c r="AL193" s="116">
        <f>IF(PA[[#This Row],[Lost PoA(Wh/m2)]]&gt;0,_xlfn.XLOOKUP($B193,'Daily KPI'!$A:$A,'Daily KPI'!$AE:$AE)*PA[[#This Row],[Lost PoA(Wh/m2)]]*U193,0)</f>
        <v>160.35012859759033</v>
      </c>
      <c r="AM193" s="176" t="s">
        <v>2556</v>
      </c>
    </row>
    <row r="194" spans="1:39" ht="14" customHeight="1">
      <c r="A194" s="177">
        <f t="shared" si="3"/>
        <v>191</v>
      </c>
      <c r="B194" s="185">
        <v>45800</v>
      </c>
      <c r="C194" s="178" t="s">
        <v>477</v>
      </c>
      <c r="D194" s="6">
        <f>YEAR(PA[[#This Row],[Date]])</f>
        <v>2025</v>
      </c>
      <c r="E194" s="178" t="s">
        <v>361</v>
      </c>
      <c r="F194" s="178" t="s">
        <v>361</v>
      </c>
      <c r="G194" s="179">
        <v>45778</v>
      </c>
      <c r="H194" s="176">
        <f>DAY(EOMONTH(PA[[#This Row],[Month Year]],0))</f>
        <v>31</v>
      </c>
      <c r="I194" s="180">
        <f>VLOOKUP(PA[[#This Row],[Date]],Raw_Data[#All],9,0)</f>
        <v>0.26319444444444445</v>
      </c>
      <c r="J194" s="180">
        <f>VLOOKUP(PA[[#This Row],[Date]],Raw_Data[#All],10,0)</f>
        <v>0.81041666666666667</v>
      </c>
      <c r="K194" s="68">
        <f>IFERROR((PA[[#This Row],[Sunset Time (POA&lt;20 W/m2)]]-PA[[#This Row],[Sunrise Time (POA&gt;20 W/m2)]])*24,"")</f>
        <v>13.133333333333335</v>
      </c>
      <c r="L194" s="178" t="s">
        <v>430</v>
      </c>
      <c r="M194" s="178" t="s">
        <v>408</v>
      </c>
      <c r="N194" s="178" t="s">
        <v>395</v>
      </c>
      <c r="O194" s="178" t="s">
        <v>403</v>
      </c>
      <c r="P194" s="178" t="s">
        <v>397</v>
      </c>
      <c r="Q194" s="178"/>
      <c r="R194" s="6">
        <f>IF((PA[[#This Row],[String Type(If String BD)]]&amp;PA[[#This Row],[Equipment (If any BD other than PV  array and inv)]])="",1,0)</f>
        <v>0</v>
      </c>
      <c r="S194" s="6">
        <f>IF(PA[[#This Row],[String Type(If String BD)]]="",1,0)</f>
        <v>0</v>
      </c>
      <c r="T1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4" s="68">
        <f>IFERROR(VLOOKUP(PA[[#This Row],[Affected Equipment ]],'Basic Data '!$A$1:$B$1846,2,0),"")</f>
        <v>25.81</v>
      </c>
      <c r="V194" s="143">
        <f>IFERROR(VLOOKUP(PA[[#This Row],[Affected Equipment ]],'Basic Data '!$A$1:$C$1846,3,0),"")</f>
        <v>7.7023853221960597E-5</v>
      </c>
      <c r="W194" s="178" t="s">
        <v>398</v>
      </c>
      <c r="X194" s="110" t="s">
        <v>410</v>
      </c>
      <c r="Y194" s="110" t="s">
        <v>411</v>
      </c>
      <c r="Z194" s="109">
        <v>0.26319444444444445</v>
      </c>
      <c r="AA194" s="109">
        <v>0.26319444444444445</v>
      </c>
      <c r="AB194" s="109">
        <v>0.26319444444444445</v>
      </c>
      <c r="AC194" s="109">
        <v>0.81041666666666667</v>
      </c>
      <c r="AD194" s="82">
        <f>IF(PA[[#This Row],[Acknowledgement Time ]]="NA","",(PA[[#This Row],[Acknowledgement Time ]]-PA[[#This Row],[Fault Time]])*24)</f>
        <v>0</v>
      </c>
      <c r="AE194" s="82">
        <f>IF(PA[[#This Row],[Work Start time on Fault]]="NA","",(PA[[#This Row],[Work Start time on Fault]]-PA[[#This Row],[Fault Time]])*24)</f>
        <v>0</v>
      </c>
      <c r="AF194" s="111">
        <f>IF(PA[[#This Row],[Status]]="Open","",(PA[[#This Row],[Work Completion time on fault]]-PA[[#This Row],[Fault Time]])*24)</f>
        <v>13.133333333333335</v>
      </c>
      <c r="AG194" s="82">
        <f>IFERROR((PA[[#This Row],[Work Completion time on fault]]-PA[[#This Row],[Fault Time]])*24,"")</f>
        <v>13.133333333333335</v>
      </c>
      <c r="AH194" s="183" t="s">
        <v>2660</v>
      </c>
      <c r="AI194" s="178" t="s">
        <v>422</v>
      </c>
      <c r="AJ194" s="68">
        <f>IFERROR(PA[[#This Row],[Breakdown Time]]*PA[[#This Row],[Plant Equivalent Weightage]],"")</f>
        <v>1.0115799389817492E-3</v>
      </c>
      <c r="AK194" s="117">
        <v>7.6</v>
      </c>
      <c r="AL194" s="116">
        <f>IF(PA[[#This Row],[Lost PoA(Wh/m2)]]&gt;0,_xlfn.XLOOKUP($B194,'Daily KPI'!$A:$A,'Daily KPI'!$AE:$AE)*PA[[#This Row],[Lost PoA(Wh/m2)]]*U194,0)</f>
        <v>160.35012859759033</v>
      </c>
      <c r="AM194" s="176" t="s">
        <v>2556</v>
      </c>
    </row>
    <row r="195" spans="1:39" ht="14" customHeight="1">
      <c r="A195" s="177">
        <f t="shared" si="3"/>
        <v>192</v>
      </c>
      <c r="B195" s="185">
        <v>45800</v>
      </c>
      <c r="C195" s="178" t="s">
        <v>477</v>
      </c>
      <c r="D195" s="6">
        <f>YEAR(PA[[#This Row],[Date]])</f>
        <v>2025</v>
      </c>
      <c r="E195" s="178" t="s">
        <v>361</v>
      </c>
      <c r="F195" s="178" t="s">
        <v>361</v>
      </c>
      <c r="G195" s="179">
        <v>45778</v>
      </c>
      <c r="H195" s="176">
        <f>DAY(EOMONTH(PA[[#This Row],[Month Year]],0))</f>
        <v>31</v>
      </c>
      <c r="I195" s="180">
        <f>VLOOKUP(PA[[#This Row],[Date]],Raw_Data[#All],9,0)</f>
        <v>0.26319444444444445</v>
      </c>
      <c r="J195" s="180">
        <f>VLOOKUP(PA[[#This Row],[Date]],Raw_Data[#All],10,0)</f>
        <v>0.81041666666666667</v>
      </c>
      <c r="K195" s="68">
        <f>IFERROR((PA[[#This Row],[Sunset Time (POA&lt;20 W/m2)]]-PA[[#This Row],[Sunrise Time (POA&gt;20 W/m2)]])*24,"")</f>
        <v>13.133333333333335</v>
      </c>
      <c r="L195" s="178" t="s">
        <v>441</v>
      </c>
      <c r="M195" s="178" t="s">
        <v>394</v>
      </c>
      <c r="N195" s="178" t="s">
        <v>395</v>
      </c>
      <c r="O195" s="178" t="s">
        <v>412</v>
      </c>
      <c r="P195" s="178" t="s">
        <v>445</v>
      </c>
      <c r="Q195" s="178"/>
      <c r="R195" s="6">
        <f>IF((PA[[#This Row],[String Type(If String BD)]]&amp;PA[[#This Row],[Equipment (If any BD other than PV  array and inv)]])="",1,0)</f>
        <v>0</v>
      </c>
      <c r="S195" s="6">
        <f>IF(PA[[#This Row],[String Type(If String BD)]]="",1,0)</f>
        <v>0</v>
      </c>
      <c r="T1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5" s="68">
        <f>IFERROR(VLOOKUP(PA[[#This Row],[Affected Equipment ]],'Basic Data '!$A$1:$B$1846,2,0),"")</f>
        <v>26.1</v>
      </c>
      <c r="V195" s="143">
        <f>IFERROR(VLOOKUP(PA[[#This Row],[Affected Equipment ]],'Basic Data '!$A$1:$C$1846,3,0),"")</f>
        <v>7.7889289775016346E-5</v>
      </c>
      <c r="W195" s="178" t="s">
        <v>398</v>
      </c>
      <c r="X195" s="110" t="s">
        <v>410</v>
      </c>
      <c r="Y195" s="110" t="s">
        <v>411</v>
      </c>
      <c r="Z195" s="109">
        <v>0.26319444444444445</v>
      </c>
      <c r="AA195" s="109">
        <v>0.26319444444444445</v>
      </c>
      <c r="AB195" s="109">
        <v>0.26319444444444445</v>
      </c>
      <c r="AC195" s="109">
        <v>0.81041666666666667</v>
      </c>
      <c r="AD195" s="82">
        <f>IF(PA[[#This Row],[Acknowledgement Time ]]="NA","",(PA[[#This Row],[Acknowledgement Time ]]-PA[[#This Row],[Fault Time]])*24)</f>
        <v>0</v>
      </c>
      <c r="AE195" s="82">
        <f>IF(PA[[#This Row],[Work Start time on Fault]]="NA","",(PA[[#This Row],[Work Start time on Fault]]-PA[[#This Row],[Fault Time]])*24)</f>
        <v>0</v>
      </c>
      <c r="AF195" s="111">
        <f>IF(PA[[#This Row],[Status]]="Open","",(PA[[#This Row],[Work Completion time on fault]]-PA[[#This Row],[Fault Time]])*24)</f>
        <v>13.133333333333335</v>
      </c>
      <c r="AG195" s="82">
        <f>IFERROR((PA[[#This Row],[Work Completion time on fault]]-PA[[#This Row],[Fault Time]])*24,"")</f>
        <v>13.133333333333335</v>
      </c>
      <c r="AH195" s="183" t="s">
        <v>2660</v>
      </c>
      <c r="AI195" s="178" t="s">
        <v>422</v>
      </c>
      <c r="AJ195" s="68">
        <f>IFERROR(PA[[#This Row],[Breakdown Time]]*PA[[#This Row],[Plant Equivalent Weightage]],"")</f>
        <v>1.0229460057118815E-3</v>
      </c>
      <c r="AK195" s="117">
        <v>7.6</v>
      </c>
      <c r="AL195" s="116">
        <f>IF(PA[[#This Row],[Lost PoA(Wh/m2)]]&gt;0,_xlfn.XLOOKUP($B195,'Daily KPI'!$A:$A,'Daily KPI'!$AE:$AE)*PA[[#This Row],[Lost PoA(Wh/m2)]]*U195,0)</f>
        <v>162.15181543576551</v>
      </c>
      <c r="AM195" s="176" t="s">
        <v>2556</v>
      </c>
    </row>
    <row r="196" spans="1:39" ht="14" customHeight="1">
      <c r="A196" s="177">
        <f t="shared" si="3"/>
        <v>193</v>
      </c>
      <c r="B196" s="185">
        <v>45800</v>
      </c>
      <c r="C196" s="178" t="s">
        <v>477</v>
      </c>
      <c r="D196" s="6">
        <f>YEAR(PA[[#This Row],[Date]])</f>
        <v>2025</v>
      </c>
      <c r="E196" s="178" t="s">
        <v>361</v>
      </c>
      <c r="F196" s="178" t="s">
        <v>361</v>
      </c>
      <c r="G196" s="179">
        <v>45778</v>
      </c>
      <c r="H196" s="176">
        <f>DAY(EOMONTH(PA[[#This Row],[Month Year]],0))</f>
        <v>31</v>
      </c>
      <c r="I196" s="180">
        <f>VLOOKUP(PA[[#This Row],[Date]],Raw_Data[#All],9,0)</f>
        <v>0.26319444444444445</v>
      </c>
      <c r="J196" s="180">
        <f>VLOOKUP(PA[[#This Row],[Date]],Raw_Data[#All],10,0)</f>
        <v>0.81041666666666667</v>
      </c>
      <c r="K196" s="68">
        <f>IFERROR((PA[[#This Row],[Sunset Time (POA&lt;20 W/m2)]]-PA[[#This Row],[Sunrise Time (POA&gt;20 W/m2)]])*24,"")</f>
        <v>13.133333333333335</v>
      </c>
      <c r="L196" s="178" t="s">
        <v>400</v>
      </c>
      <c r="M196" s="178" t="s">
        <v>408</v>
      </c>
      <c r="N196" s="178" t="s">
        <v>402</v>
      </c>
      <c r="O196" s="178" t="s">
        <v>412</v>
      </c>
      <c r="P196" s="178" t="s">
        <v>404</v>
      </c>
      <c r="Q196" s="178"/>
      <c r="R196" s="6">
        <f>IF((PA[[#This Row],[String Type(If String BD)]]&amp;PA[[#This Row],[Equipment (If any BD other than PV  array and inv)]])="",1,0)</f>
        <v>0</v>
      </c>
      <c r="S196" s="6">
        <f>IF(PA[[#This Row],[String Type(If String BD)]]="",1,0)</f>
        <v>0</v>
      </c>
      <c r="T1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6" s="68">
        <f>IFERROR(VLOOKUP(PA[[#This Row],[Affected Equipment ]],'Basic Data '!$A$1:$B$1846,2,0),"")</f>
        <v>31.32</v>
      </c>
      <c r="V196" s="143">
        <f>IFERROR(VLOOKUP(PA[[#This Row],[Affected Equipment ]],'Basic Data '!$A$1:$C$1846,3,0),"")</f>
        <v>9.3467147730019601E-5</v>
      </c>
      <c r="W196" s="178" t="s">
        <v>398</v>
      </c>
      <c r="X196" s="110" t="s">
        <v>410</v>
      </c>
      <c r="Y196" s="110" t="s">
        <v>411</v>
      </c>
      <c r="Z196" s="109">
        <v>0.26319444444444445</v>
      </c>
      <c r="AA196" s="109">
        <v>0.26319444444444445</v>
      </c>
      <c r="AB196" s="109">
        <v>0.26319444444444445</v>
      </c>
      <c r="AC196" s="109">
        <v>0.81041666666666667</v>
      </c>
      <c r="AD196" s="82">
        <f>IF(PA[[#This Row],[Acknowledgement Time ]]="NA","",(PA[[#This Row],[Acknowledgement Time ]]-PA[[#This Row],[Fault Time]])*24)</f>
        <v>0</v>
      </c>
      <c r="AE196" s="82">
        <f>IF(PA[[#This Row],[Work Start time on Fault]]="NA","",(PA[[#This Row],[Work Start time on Fault]]-PA[[#This Row],[Fault Time]])*24)</f>
        <v>0</v>
      </c>
      <c r="AF196" s="111">
        <f>IF(PA[[#This Row],[Status]]="Open","",(PA[[#This Row],[Work Completion time on fault]]-PA[[#This Row],[Fault Time]])*24)</f>
        <v>13.133333333333335</v>
      </c>
      <c r="AG196" s="82">
        <f>IFERROR((PA[[#This Row],[Work Completion time on fault]]-PA[[#This Row],[Fault Time]])*24,"")</f>
        <v>13.133333333333335</v>
      </c>
      <c r="AH196" s="183" t="s">
        <v>2660</v>
      </c>
      <c r="AI196" s="178" t="s">
        <v>422</v>
      </c>
      <c r="AJ196" s="68">
        <f>IFERROR(PA[[#This Row],[Breakdown Time]]*PA[[#This Row],[Plant Equivalent Weightage]],"")</f>
        <v>1.2275352068542575E-3</v>
      </c>
      <c r="AK196" s="117">
        <v>7.6</v>
      </c>
      <c r="AL196" s="116">
        <f>IF(PA[[#This Row],[Lost PoA(Wh/m2)]]&gt;0,_xlfn.XLOOKUP($B196,'Daily KPI'!$A:$A,'Daily KPI'!$AE:$AE)*PA[[#This Row],[Lost PoA(Wh/m2)]]*U196,0)</f>
        <v>194.58217852291861</v>
      </c>
      <c r="AM196" s="176" t="s">
        <v>2556</v>
      </c>
    </row>
    <row r="197" spans="1:39" ht="14" customHeight="1">
      <c r="A197" s="177">
        <f t="shared" si="3"/>
        <v>194</v>
      </c>
      <c r="B197" s="185">
        <v>45800</v>
      </c>
      <c r="C197" s="178" t="s">
        <v>477</v>
      </c>
      <c r="D197" s="6">
        <f>YEAR(PA[[#This Row],[Date]])</f>
        <v>2025</v>
      </c>
      <c r="E197" s="178" t="s">
        <v>361</v>
      </c>
      <c r="F197" s="178" t="s">
        <v>361</v>
      </c>
      <c r="G197" s="179">
        <v>45778</v>
      </c>
      <c r="H197" s="176">
        <f>DAY(EOMONTH(PA[[#This Row],[Month Year]],0))</f>
        <v>31</v>
      </c>
      <c r="I197" s="180">
        <f>VLOOKUP(PA[[#This Row],[Date]],Raw_Data[#All],9,0)</f>
        <v>0.26319444444444445</v>
      </c>
      <c r="J197" s="180">
        <f>VLOOKUP(PA[[#This Row],[Date]],Raw_Data[#All],10,0)</f>
        <v>0.81041666666666667</v>
      </c>
      <c r="K197" s="68">
        <f>IFERROR((PA[[#This Row],[Sunset Time (POA&lt;20 W/m2)]]-PA[[#This Row],[Sunrise Time (POA&gt;20 W/m2)]])*24,"")</f>
        <v>13.133333333333335</v>
      </c>
      <c r="L197" s="178" t="s">
        <v>400</v>
      </c>
      <c r="M197" s="178" t="s">
        <v>408</v>
      </c>
      <c r="N197" s="178" t="s">
        <v>402</v>
      </c>
      <c r="O197" s="178" t="s">
        <v>412</v>
      </c>
      <c r="P197" s="178" t="s">
        <v>404</v>
      </c>
      <c r="Q197" s="178"/>
      <c r="R197" s="6">
        <f>IF((PA[[#This Row],[String Type(If String BD)]]&amp;PA[[#This Row],[Equipment (If any BD other than PV  array and inv)]])="",1,0)</f>
        <v>0</v>
      </c>
      <c r="S197" s="6">
        <f>IF(PA[[#This Row],[String Type(If String BD)]]="",1,0)</f>
        <v>0</v>
      </c>
      <c r="T1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7" s="68">
        <f>IFERROR(VLOOKUP(PA[[#This Row],[Affected Equipment ]],'Basic Data '!$A$1:$B$1846,2,0),"")</f>
        <v>31.32</v>
      </c>
      <c r="V197" s="143">
        <f>IFERROR(VLOOKUP(PA[[#This Row],[Affected Equipment ]],'Basic Data '!$A$1:$C$1846,3,0),"")</f>
        <v>9.3467147730019601E-5</v>
      </c>
      <c r="W197" s="178" t="s">
        <v>398</v>
      </c>
      <c r="X197" s="110" t="s">
        <v>410</v>
      </c>
      <c r="Y197" s="110" t="s">
        <v>411</v>
      </c>
      <c r="Z197" s="109">
        <v>0.26319444444444445</v>
      </c>
      <c r="AA197" s="109">
        <v>0.26319444444444445</v>
      </c>
      <c r="AB197" s="109">
        <v>0.26319444444444445</v>
      </c>
      <c r="AC197" s="109">
        <v>0.81041666666666667</v>
      </c>
      <c r="AD197" s="82">
        <f>IF(PA[[#This Row],[Acknowledgement Time ]]="NA","",(PA[[#This Row],[Acknowledgement Time ]]-PA[[#This Row],[Fault Time]])*24)</f>
        <v>0</v>
      </c>
      <c r="AE197" s="82">
        <f>IF(PA[[#This Row],[Work Start time on Fault]]="NA","",(PA[[#This Row],[Work Start time on Fault]]-PA[[#This Row],[Fault Time]])*24)</f>
        <v>0</v>
      </c>
      <c r="AF197" s="111">
        <f>IF(PA[[#This Row],[Status]]="Open","",(PA[[#This Row],[Work Completion time on fault]]-PA[[#This Row],[Fault Time]])*24)</f>
        <v>13.133333333333335</v>
      </c>
      <c r="AG197" s="82">
        <f>IFERROR((PA[[#This Row],[Work Completion time on fault]]-PA[[#This Row],[Fault Time]])*24,"")</f>
        <v>13.133333333333335</v>
      </c>
      <c r="AH197" s="183" t="s">
        <v>2660</v>
      </c>
      <c r="AI197" s="178" t="s">
        <v>422</v>
      </c>
      <c r="AJ197" s="68">
        <f>IFERROR(PA[[#This Row],[Breakdown Time]]*PA[[#This Row],[Plant Equivalent Weightage]],"")</f>
        <v>1.2275352068542575E-3</v>
      </c>
      <c r="AK197" s="117">
        <v>7.6</v>
      </c>
      <c r="AL197" s="116">
        <f>IF(PA[[#This Row],[Lost PoA(Wh/m2)]]&gt;0,_xlfn.XLOOKUP($B197,'Daily KPI'!$A:$A,'Daily KPI'!$AE:$AE)*PA[[#This Row],[Lost PoA(Wh/m2)]]*U197,0)</f>
        <v>194.58217852291861</v>
      </c>
      <c r="AM197" s="176" t="s">
        <v>2556</v>
      </c>
    </row>
    <row r="198" spans="1:39" ht="14" customHeight="1">
      <c r="A198" s="177">
        <f t="shared" ref="A198:A261" si="4">A197+1</f>
        <v>195</v>
      </c>
      <c r="B198" s="185">
        <v>45800</v>
      </c>
      <c r="C198" s="178" t="s">
        <v>477</v>
      </c>
      <c r="D198" s="6">
        <f>YEAR(PA[[#This Row],[Date]])</f>
        <v>2025</v>
      </c>
      <c r="E198" s="178" t="s">
        <v>361</v>
      </c>
      <c r="F198" s="178" t="s">
        <v>361</v>
      </c>
      <c r="G198" s="179">
        <v>45778</v>
      </c>
      <c r="H198" s="176">
        <f>DAY(EOMONTH(PA[[#This Row],[Month Year]],0))</f>
        <v>31</v>
      </c>
      <c r="I198" s="180">
        <f>VLOOKUP(PA[[#This Row],[Date]],Raw_Data[#All],9,0)</f>
        <v>0.26319444444444445</v>
      </c>
      <c r="J198" s="180">
        <f>VLOOKUP(PA[[#This Row],[Date]],Raw_Data[#All],10,0)</f>
        <v>0.81041666666666667</v>
      </c>
      <c r="K198" s="68">
        <f>IFERROR((PA[[#This Row],[Sunset Time (POA&lt;20 W/m2)]]-PA[[#This Row],[Sunrise Time (POA&gt;20 W/m2)]])*24,"")</f>
        <v>13.133333333333335</v>
      </c>
      <c r="L198" s="178" t="s">
        <v>400</v>
      </c>
      <c r="M198" s="178" t="s">
        <v>408</v>
      </c>
      <c r="N198" s="178" t="s">
        <v>402</v>
      </c>
      <c r="O198" s="178" t="s">
        <v>413</v>
      </c>
      <c r="P198" s="178" t="s">
        <v>404</v>
      </c>
      <c r="Q198" s="178"/>
      <c r="R198" s="6">
        <f>IF((PA[[#This Row],[String Type(If String BD)]]&amp;PA[[#This Row],[Equipment (If any BD other than PV  array and inv)]])="",1,0)</f>
        <v>0</v>
      </c>
      <c r="S198" s="6">
        <f>IF(PA[[#This Row],[String Type(If String BD)]]="",1,0)</f>
        <v>0</v>
      </c>
      <c r="T1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8" s="68">
        <f>IFERROR(VLOOKUP(PA[[#This Row],[Affected Equipment ]],'Basic Data '!$A$1:$B$1846,2,0),"")</f>
        <v>31.32</v>
      </c>
      <c r="V198" s="143">
        <f>IFERROR(VLOOKUP(PA[[#This Row],[Affected Equipment ]],'Basic Data '!$A$1:$C$1846,3,0),"")</f>
        <v>9.3467147730019601E-5</v>
      </c>
      <c r="W198" s="178" t="s">
        <v>398</v>
      </c>
      <c r="X198" s="110" t="s">
        <v>410</v>
      </c>
      <c r="Y198" s="110" t="s">
        <v>411</v>
      </c>
      <c r="Z198" s="109">
        <v>0.26319444444444445</v>
      </c>
      <c r="AA198" s="109">
        <v>0.26319444444444445</v>
      </c>
      <c r="AB198" s="109">
        <v>0.26319444444444445</v>
      </c>
      <c r="AC198" s="109">
        <v>0.81041666666666667</v>
      </c>
      <c r="AD198" s="82">
        <f>IF(PA[[#This Row],[Acknowledgement Time ]]="NA","",(PA[[#This Row],[Acknowledgement Time ]]-PA[[#This Row],[Fault Time]])*24)</f>
        <v>0</v>
      </c>
      <c r="AE198" s="82">
        <f>IF(PA[[#This Row],[Work Start time on Fault]]="NA","",(PA[[#This Row],[Work Start time on Fault]]-PA[[#This Row],[Fault Time]])*24)</f>
        <v>0</v>
      </c>
      <c r="AF198" s="111">
        <f>IF(PA[[#This Row],[Status]]="Open","",(PA[[#This Row],[Work Completion time on fault]]-PA[[#This Row],[Fault Time]])*24)</f>
        <v>13.133333333333335</v>
      </c>
      <c r="AG198" s="82">
        <f>IFERROR((PA[[#This Row],[Work Completion time on fault]]-PA[[#This Row],[Fault Time]])*24,"")</f>
        <v>13.133333333333335</v>
      </c>
      <c r="AH198" s="183" t="s">
        <v>2660</v>
      </c>
      <c r="AI198" s="178" t="s">
        <v>422</v>
      </c>
      <c r="AJ198" s="68">
        <f>IFERROR(PA[[#This Row],[Breakdown Time]]*PA[[#This Row],[Plant Equivalent Weightage]],"")</f>
        <v>1.2275352068542575E-3</v>
      </c>
      <c r="AK198" s="117">
        <v>7.6</v>
      </c>
      <c r="AL198" s="116">
        <f>IF(PA[[#This Row],[Lost PoA(Wh/m2)]]&gt;0,_xlfn.XLOOKUP($B198,'Daily KPI'!$A:$A,'Daily KPI'!$AE:$AE)*PA[[#This Row],[Lost PoA(Wh/m2)]]*U198,0)</f>
        <v>194.58217852291861</v>
      </c>
      <c r="AM198" s="176" t="s">
        <v>2556</v>
      </c>
    </row>
    <row r="199" spans="1:39" ht="14" customHeight="1">
      <c r="A199" s="177">
        <f t="shared" si="4"/>
        <v>196</v>
      </c>
      <c r="B199" s="185">
        <v>45800</v>
      </c>
      <c r="C199" s="178" t="s">
        <v>477</v>
      </c>
      <c r="D199" s="6">
        <f>YEAR(PA[[#This Row],[Date]])</f>
        <v>2025</v>
      </c>
      <c r="E199" s="178" t="s">
        <v>361</v>
      </c>
      <c r="F199" s="178" t="s">
        <v>361</v>
      </c>
      <c r="G199" s="179">
        <v>45778</v>
      </c>
      <c r="H199" s="176">
        <f>DAY(EOMONTH(PA[[#This Row],[Month Year]],0))</f>
        <v>31</v>
      </c>
      <c r="I199" s="180">
        <f>VLOOKUP(PA[[#This Row],[Date]],Raw_Data[#All],9,0)</f>
        <v>0.26319444444444445</v>
      </c>
      <c r="J199" s="180">
        <f>VLOOKUP(PA[[#This Row],[Date]],Raw_Data[#All],10,0)</f>
        <v>0.81041666666666667</v>
      </c>
      <c r="K199" s="68">
        <f>IFERROR((PA[[#This Row],[Sunset Time (POA&lt;20 W/m2)]]-PA[[#This Row],[Sunrise Time (POA&gt;20 W/m2)]])*24,"")</f>
        <v>13.133333333333335</v>
      </c>
      <c r="L199" s="178" t="s">
        <v>400</v>
      </c>
      <c r="M199" s="178" t="s">
        <v>408</v>
      </c>
      <c r="N199" s="178" t="s">
        <v>395</v>
      </c>
      <c r="O199" s="178" t="s">
        <v>409</v>
      </c>
      <c r="P199" s="178" t="s">
        <v>404</v>
      </c>
      <c r="Q199" s="178"/>
      <c r="R199" s="6">
        <f>IF((PA[[#This Row],[String Type(If String BD)]]&amp;PA[[#This Row],[Equipment (If any BD other than PV  array and inv)]])="",1,0)</f>
        <v>0</v>
      </c>
      <c r="S199" s="6">
        <f>IF(PA[[#This Row],[String Type(If String BD)]]="",1,0)</f>
        <v>0</v>
      </c>
      <c r="T1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9" s="68">
        <f>IFERROR(VLOOKUP(PA[[#This Row],[Affected Equipment ]],'Basic Data '!$A$1:$B$1846,2,0),"")</f>
        <v>31.32</v>
      </c>
      <c r="V199" s="143">
        <f>IFERROR(VLOOKUP(PA[[#This Row],[Affected Equipment ]],'Basic Data '!$A$1:$C$1846,3,0),"")</f>
        <v>9.3467147730019601E-5</v>
      </c>
      <c r="W199" s="178" t="s">
        <v>398</v>
      </c>
      <c r="X199" s="110" t="s">
        <v>410</v>
      </c>
      <c r="Y199" s="110" t="s">
        <v>411</v>
      </c>
      <c r="Z199" s="109">
        <v>0.26319444444444445</v>
      </c>
      <c r="AA199" s="109">
        <v>0.26319444444444445</v>
      </c>
      <c r="AB199" s="109">
        <v>0.26319444444444445</v>
      </c>
      <c r="AC199" s="109">
        <v>0.81041666666666667</v>
      </c>
      <c r="AD199" s="82">
        <f>IF(PA[[#This Row],[Acknowledgement Time ]]="NA","",(PA[[#This Row],[Acknowledgement Time ]]-PA[[#This Row],[Fault Time]])*24)</f>
        <v>0</v>
      </c>
      <c r="AE199" s="82">
        <f>IF(PA[[#This Row],[Work Start time on Fault]]="NA","",(PA[[#This Row],[Work Start time on Fault]]-PA[[#This Row],[Fault Time]])*24)</f>
        <v>0</v>
      </c>
      <c r="AF199" s="111">
        <f>IF(PA[[#This Row],[Status]]="Open","",(PA[[#This Row],[Work Completion time on fault]]-PA[[#This Row],[Fault Time]])*24)</f>
        <v>13.133333333333335</v>
      </c>
      <c r="AG199" s="82">
        <f>IFERROR((PA[[#This Row],[Work Completion time on fault]]-PA[[#This Row],[Fault Time]])*24,"")</f>
        <v>13.133333333333335</v>
      </c>
      <c r="AH199" s="183" t="s">
        <v>2660</v>
      </c>
      <c r="AI199" s="178" t="s">
        <v>422</v>
      </c>
      <c r="AJ199" s="68">
        <f>IFERROR(PA[[#This Row],[Breakdown Time]]*PA[[#This Row],[Plant Equivalent Weightage]],"")</f>
        <v>1.2275352068542575E-3</v>
      </c>
      <c r="AK199" s="117">
        <v>7.6</v>
      </c>
      <c r="AL199" s="116">
        <f>IF(PA[[#This Row],[Lost PoA(Wh/m2)]]&gt;0,_xlfn.XLOOKUP($B199,'Daily KPI'!$A:$A,'Daily KPI'!$AE:$AE)*PA[[#This Row],[Lost PoA(Wh/m2)]]*U199,0)</f>
        <v>194.58217852291861</v>
      </c>
      <c r="AM199" s="176" t="s">
        <v>2556</v>
      </c>
    </row>
    <row r="200" spans="1:39" ht="14" customHeight="1">
      <c r="A200" s="177">
        <f t="shared" si="4"/>
        <v>197</v>
      </c>
      <c r="B200" s="185">
        <v>45800</v>
      </c>
      <c r="C200" s="178" t="s">
        <v>477</v>
      </c>
      <c r="D200" s="6">
        <f>YEAR(PA[[#This Row],[Date]])</f>
        <v>2025</v>
      </c>
      <c r="E200" s="178" t="s">
        <v>361</v>
      </c>
      <c r="F200" s="178" t="s">
        <v>361</v>
      </c>
      <c r="G200" s="179">
        <v>45778</v>
      </c>
      <c r="H200" s="176">
        <f>DAY(EOMONTH(PA[[#This Row],[Month Year]],0))</f>
        <v>31</v>
      </c>
      <c r="I200" s="180">
        <f>VLOOKUP(PA[[#This Row],[Date]],Raw_Data[#All],9,0)</f>
        <v>0.26319444444444445</v>
      </c>
      <c r="J200" s="180">
        <f>VLOOKUP(PA[[#This Row],[Date]],Raw_Data[#All],10,0)</f>
        <v>0.81041666666666667</v>
      </c>
      <c r="K200" s="68">
        <f>IFERROR((PA[[#This Row],[Sunset Time (POA&lt;20 W/m2)]]-PA[[#This Row],[Sunrise Time (POA&gt;20 W/m2)]])*24,"")</f>
        <v>13.133333333333335</v>
      </c>
      <c r="L200" s="178" t="s">
        <v>407</v>
      </c>
      <c r="M200" s="178" t="s">
        <v>401</v>
      </c>
      <c r="N200" s="178" t="s">
        <v>402</v>
      </c>
      <c r="O200" s="178" t="s">
        <v>415</v>
      </c>
      <c r="P200" s="178" t="s">
        <v>404</v>
      </c>
      <c r="Q200" s="178"/>
      <c r="R200" s="6">
        <f>IF((PA[[#This Row],[String Type(If String BD)]]&amp;PA[[#This Row],[Equipment (If any BD other than PV  array and inv)]])="",1,0)</f>
        <v>0</v>
      </c>
      <c r="S200" s="6">
        <f>IF(PA[[#This Row],[String Type(If String BD)]]="",1,0)</f>
        <v>0</v>
      </c>
      <c r="T2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0" s="68">
        <f>IFERROR(VLOOKUP(PA[[#This Row],[Affected Equipment ]],'Basic Data '!$A$1:$B$1846,2,0),"")</f>
        <v>31.32</v>
      </c>
      <c r="V200" s="143">
        <f>IFERROR(VLOOKUP(PA[[#This Row],[Affected Equipment ]],'Basic Data '!$A$1:$C$1846,3,0),"")</f>
        <v>9.3467147730019601E-5</v>
      </c>
      <c r="W200" s="178" t="s">
        <v>398</v>
      </c>
      <c r="X200" s="110" t="s">
        <v>410</v>
      </c>
      <c r="Y200" s="110" t="s">
        <v>411</v>
      </c>
      <c r="Z200" s="109">
        <v>0.26319444444444445</v>
      </c>
      <c r="AA200" s="109">
        <v>0.26319444444444445</v>
      </c>
      <c r="AB200" s="109">
        <v>0.26319444444444445</v>
      </c>
      <c r="AC200" s="109">
        <v>0.81041666666666667</v>
      </c>
      <c r="AD200" s="82">
        <f>IF(PA[[#This Row],[Acknowledgement Time ]]="NA","",(PA[[#This Row],[Acknowledgement Time ]]-PA[[#This Row],[Fault Time]])*24)</f>
        <v>0</v>
      </c>
      <c r="AE200" s="82">
        <f>IF(PA[[#This Row],[Work Start time on Fault]]="NA","",(PA[[#This Row],[Work Start time on Fault]]-PA[[#This Row],[Fault Time]])*24)</f>
        <v>0</v>
      </c>
      <c r="AF200" s="111">
        <f>IF(PA[[#This Row],[Status]]="Open","",(PA[[#This Row],[Work Completion time on fault]]-PA[[#This Row],[Fault Time]])*24)</f>
        <v>13.133333333333335</v>
      </c>
      <c r="AG200" s="82">
        <f>IFERROR((PA[[#This Row],[Work Completion time on fault]]-PA[[#This Row],[Fault Time]])*24,"")</f>
        <v>13.133333333333335</v>
      </c>
      <c r="AH200" s="183" t="s">
        <v>2660</v>
      </c>
      <c r="AI200" s="178" t="s">
        <v>422</v>
      </c>
      <c r="AJ200" s="68">
        <f>IFERROR(PA[[#This Row],[Breakdown Time]]*PA[[#This Row],[Plant Equivalent Weightage]],"")</f>
        <v>1.2275352068542575E-3</v>
      </c>
      <c r="AK200" s="117">
        <v>7.6</v>
      </c>
      <c r="AL200" s="116">
        <f>IF(PA[[#This Row],[Lost PoA(Wh/m2)]]&gt;0,_xlfn.XLOOKUP($B200,'Daily KPI'!$A:$A,'Daily KPI'!$AE:$AE)*PA[[#This Row],[Lost PoA(Wh/m2)]]*U200,0)</f>
        <v>194.58217852291861</v>
      </c>
      <c r="AM200" s="176" t="s">
        <v>2556</v>
      </c>
    </row>
    <row r="201" spans="1:39" ht="14" customHeight="1">
      <c r="A201" s="177">
        <f t="shared" si="4"/>
        <v>198</v>
      </c>
      <c r="B201" s="185">
        <v>45801</v>
      </c>
      <c r="C201" s="178" t="s">
        <v>477</v>
      </c>
      <c r="D201" s="6">
        <f>YEAR(PA[[#This Row],[Date]])</f>
        <v>2025</v>
      </c>
      <c r="E201" s="178" t="s">
        <v>361</v>
      </c>
      <c r="F201" s="178" t="s">
        <v>361</v>
      </c>
      <c r="G201" s="179">
        <v>45778</v>
      </c>
      <c r="H201" s="176">
        <f>DAY(EOMONTH(PA[[#This Row],[Month Year]],0))</f>
        <v>31</v>
      </c>
      <c r="I201" s="180">
        <f>VLOOKUP(PA[[#This Row],[Date]],Raw_Data[#All],9,0)</f>
        <v>0.26250000000000001</v>
      </c>
      <c r="J201" s="180">
        <f>VLOOKUP(PA[[#This Row],[Date]],Raw_Data[#All],10,0)</f>
        <v>0.80833333333333335</v>
      </c>
      <c r="K201" s="68">
        <f>IFERROR((PA[[#This Row],[Sunset Time (POA&lt;20 W/m2)]]-PA[[#This Row],[Sunrise Time (POA&gt;20 W/m2)]])*24,"")</f>
        <v>13.100000000000001</v>
      </c>
      <c r="L201" s="178" t="s">
        <v>438</v>
      </c>
      <c r="M201" s="178" t="s">
        <v>401</v>
      </c>
      <c r="N201" s="178" t="s">
        <v>402</v>
      </c>
      <c r="O201" s="178" t="s">
        <v>442</v>
      </c>
      <c r="P201" s="178" t="s">
        <v>397</v>
      </c>
      <c r="Q201" s="178"/>
      <c r="R201" s="6">
        <f>IF((PA[[#This Row],[String Type(If String BD)]]&amp;PA[[#This Row],[Equipment (If any BD other than PV  array and inv)]])="",1,0)</f>
        <v>0</v>
      </c>
      <c r="S201" s="6">
        <f>IF(PA[[#This Row],[String Type(If String BD)]]="",1,0)</f>
        <v>0</v>
      </c>
      <c r="T2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1" s="68">
        <f>IFERROR(VLOOKUP(PA[[#This Row],[Affected Equipment ]],'Basic Data '!$A$1:$B$1846,2,0),"")</f>
        <v>25.81</v>
      </c>
      <c r="V201" s="143">
        <f>IFERROR(VLOOKUP(PA[[#This Row],[Affected Equipment ]],'Basic Data '!$A$1:$C$1846,3,0),"")</f>
        <v>7.7023853221960597E-5</v>
      </c>
      <c r="W201" s="178" t="s">
        <v>398</v>
      </c>
      <c r="X201" s="110" t="s">
        <v>410</v>
      </c>
      <c r="Y201" s="110" t="s">
        <v>411</v>
      </c>
      <c r="Z201" s="109">
        <v>0.26250000000000001</v>
      </c>
      <c r="AA201" s="109">
        <v>0.26250000000000001</v>
      </c>
      <c r="AB201" s="109">
        <v>0.26250000000000001</v>
      </c>
      <c r="AC201" s="109">
        <v>0.80833333333333335</v>
      </c>
      <c r="AD201" s="82">
        <f>IF(PA[[#This Row],[Acknowledgement Time ]]="NA","",(PA[[#This Row],[Acknowledgement Time ]]-PA[[#This Row],[Fault Time]])*24)</f>
        <v>0</v>
      </c>
      <c r="AE201" s="82">
        <f>IF(PA[[#This Row],[Work Start time on Fault]]="NA","",(PA[[#This Row],[Work Start time on Fault]]-PA[[#This Row],[Fault Time]])*24)</f>
        <v>0</v>
      </c>
      <c r="AF201" s="111">
        <f>IF(PA[[#This Row],[Status]]="Open","",(PA[[#This Row],[Work Completion time on fault]]-PA[[#This Row],[Fault Time]])*24)</f>
        <v>13.100000000000001</v>
      </c>
      <c r="AG201" s="82">
        <f>IFERROR((PA[[#This Row],[Work Completion time on fault]]-PA[[#This Row],[Fault Time]])*24,"")</f>
        <v>13.100000000000001</v>
      </c>
      <c r="AH201" s="183" t="s">
        <v>2660</v>
      </c>
      <c r="AI201" s="178" t="s">
        <v>422</v>
      </c>
      <c r="AJ201" s="68">
        <f>IFERROR(PA[[#This Row],[Breakdown Time]]*PA[[#This Row],[Plant Equivalent Weightage]],"")</f>
        <v>1.0090124772076838E-3</v>
      </c>
      <c r="AK201" s="117">
        <v>7.31</v>
      </c>
      <c r="AL201" s="116">
        <f>IF(PA[[#This Row],[Lost PoA(Wh/m2)]]&gt;0,_xlfn.XLOOKUP($B201,'Daily KPI'!$A:$A,'Daily KPI'!$AE:$AE)*PA[[#This Row],[Lost PoA(Wh/m2)]]*U201,0)</f>
        <v>154.23150526952438</v>
      </c>
      <c r="AM201" s="176" t="s">
        <v>2553</v>
      </c>
    </row>
    <row r="202" spans="1:39" ht="14" customHeight="1">
      <c r="A202" s="177">
        <f t="shared" si="4"/>
        <v>199</v>
      </c>
      <c r="B202" s="185">
        <v>45801</v>
      </c>
      <c r="C202" s="178" t="s">
        <v>477</v>
      </c>
      <c r="D202" s="6">
        <f>YEAR(PA[[#This Row],[Date]])</f>
        <v>2025</v>
      </c>
      <c r="E202" s="178" t="s">
        <v>361</v>
      </c>
      <c r="F202" s="178" t="s">
        <v>361</v>
      </c>
      <c r="G202" s="179">
        <v>45778</v>
      </c>
      <c r="H202" s="176">
        <f>DAY(EOMONTH(PA[[#This Row],[Month Year]],0))</f>
        <v>31</v>
      </c>
      <c r="I202" s="180">
        <f>VLOOKUP(PA[[#This Row],[Date]],Raw_Data[#All],9,0)</f>
        <v>0.26250000000000001</v>
      </c>
      <c r="J202" s="180">
        <f>VLOOKUP(PA[[#This Row],[Date]],Raw_Data[#All],10,0)</f>
        <v>0.80833333333333335</v>
      </c>
      <c r="K202" s="68">
        <f>IFERROR((PA[[#This Row],[Sunset Time (POA&lt;20 W/m2)]]-PA[[#This Row],[Sunrise Time (POA&gt;20 W/m2)]])*24,"")</f>
        <v>13.100000000000001</v>
      </c>
      <c r="L202" s="178" t="s">
        <v>438</v>
      </c>
      <c r="M202" s="178" t="s">
        <v>401</v>
      </c>
      <c r="N202" s="178" t="s">
        <v>402</v>
      </c>
      <c r="O202" s="178" t="s">
        <v>409</v>
      </c>
      <c r="P202" s="178" t="s">
        <v>397</v>
      </c>
      <c r="Q202" s="178"/>
      <c r="R202" s="6">
        <f>IF((PA[[#This Row],[String Type(If String BD)]]&amp;PA[[#This Row],[Equipment (If any BD other than PV  array and inv)]])="",1,0)</f>
        <v>0</v>
      </c>
      <c r="S202" s="6">
        <f>IF(PA[[#This Row],[String Type(If String BD)]]="",1,0)</f>
        <v>0</v>
      </c>
      <c r="T2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2" s="68">
        <f>IFERROR(VLOOKUP(PA[[#This Row],[Affected Equipment ]],'Basic Data '!$A$1:$B$1846,2,0),"")</f>
        <v>25.81</v>
      </c>
      <c r="V202" s="143">
        <f>IFERROR(VLOOKUP(PA[[#This Row],[Affected Equipment ]],'Basic Data '!$A$1:$C$1846,3,0),"")</f>
        <v>7.7023853221960597E-5</v>
      </c>
      <c r="W202" s="178" t="s">
        <v>398</v>
      </c>
      <c r="X202" s="110" t="s">
        <v>410</v>
      </c>
      <c r="Y202" s="110" t="s">
        <v>411</v>
      </c>
      <c r="Z202" s="109">
        <v>0.26250000000000001</v>
      </c>
      <c r="AA202" s="109">
        <v>0.26250000000000001</v>
      </c>
      <c r="AB202" s="109">
        <v>0.26250000000000001</v>
      </c>
      <c r="AC202" s="109">
        <v>0.80833333333333335</v>
      </c>
      <c r="AD202" s="82">
        <f>IF(PA[[#This Row],[Acknowledgement Time ]]="NA","",(PA[[#This Row],[Acknowledgement Time ]]-PA[[#This Row],[Fault Time]])*24)</f>
        <v>0</v>
      </c>
      <c r="AE202" s="82">
        <f>IF(PA[[#This Row],[Work Start time on Fault]]="NA","",(PA[[#This Row],[Work Start time on Fault]]-PA[[#This Row],[Fault Time]])*24)</f>
        <v>0</v>
      </c>
      <c r="AF202" s="111">
        <f>IF(PA[[#This Row],[Status]]="Open","",(PA[[#This Row],[Work Completion time on fault]]-PA[[#This Row],[Fault Time]])*24)</f>
        <v>13.100000000000001</v>
      </c>
      <c r="AG202" s="82">
        <f>IFERROR((PA[[#This Row],[Work Completion time on fault]]-PA[[#This Row],[Fault Time]])*24,"")</f>
        <v>13.100000000000001</v>
      </c>
      <c r="AH202" s="183" t="s">
        <v>2660</v>
      </c>
      <c r="AI202" s="178" t="s">
        <v>422</v>
      </c>
      <c r="AJ202" s="68">
        <f>IFERROR(PA[[#This Row],[Breakdown Time]]*PA[[#This Row],[Plant Equivalent Weightage]],"")</f>
        <v>1.0090124772076838E-3</v>
      </c>
      <c r="AK202" s="117">
        <v>7.31</v>
      </c>
      <c r="AL202" s="116">
        <f>IF(PA[[#This Row],[Lost PoA(Wh/m2)]]&gt;0,_xlfn.XLOOKUP($B202,'Daily KPI'!$A:$A,'Daily KPI'!$AE:$AE)*PA[[#This Row],[Lost PoA(Wh/m2)]]*U202,0)</f>
        <v>154.23150526952438</v>
      </c>
      <c r="AM202" s="176" t="s">
        <v>2553</v>
      </c>
    </row>
    <row r="203" spans="1:39" ht="14" customHeight="1">
      <c r="A203" s="177">
        <f t="shared" si="4"/>
        <v>200</v>
      </c>
      <c r="B203" s="185">
        <v>45801</v>
      </c>
      <c r="C203" s="178" t="s">
        <v>477</v>
      </c>
      <c r="D203" s="6">
        <f>YEAR(PA[[#This Row],[Date]])</f>
        <v>2025</v>
      </c>
      <c r="E203" s="178" t="s">
        <v>361</v>
      </c>
      <c r="F203" s="178" t="s">
        <v>361</v>
      </c>
      <c r="G203" s="179">
        <v>45778</v>
      </c>
      <c r="H203" s="176">
        <f>DAY(EOMONTH(PA[[#This Row],[Month Year]],0))</f>
        <v>31</v>
      </c>
      <c r="I203" s="180">
        <f>VLOOKUP(PA[[#This Row],[Date]],Raw_Data[#All],9,0)</f>
        <v>0.26250000000000001</v>
      </c>
      <c r="J203" s="180">
        <f>VLOOKUP(PA[[#This Row],[Date]],Raw_Data[#All],10,0)</f>
        <v>0.80833333333333335</v>
      </c>
      <c r="K203" s="68">
        <f>IFERROR((PA[[#This Row],[Sunset Time (POA&lt;20 W/m2)]]-PA[[#This Row],[Sunrise Time (POA&gt;20 W/m2)]])*24,"")</f>
        <v>13.100000000000001</v>
      </c>
      <c r="L203" s="178" t="s">
        <v>393</v>
      </c>
      <c r="M203" s="178" t="s">
        <v>414</v>
      </c>
      <c r="N203" s="178" t="s">
        <v>395</v>
      </c>
      <c r="O203" s="178" t="s">
        <v>417</v>
      </c>
      <c r="P203" s="178" t="s">
        <v>397</v>
      </c>
      <c r="Q203" s="178"/>
      <c r="R203" s="6">
        <f>IF((PA[[#This Row],[String Type(If String BD)]]&amp;PA[[#This Row],[Equipment (If any BD other than PV  array and inv)]])="",1,0)</f>
        <v>0</v>
      </c>
      <c r="S203" s="6">
        <f>IF(PA[[#This Row],[String Type(If String BD)]]="",1,0)</f>
        <v>0</v>
      </c>
      <c r="T2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3" s="68">
        <f>IFERROR(VLOOKUP(PA[[#This Row],[Affected Equipment ]],'Basic Data '!$A$1:$B$1846,2,0),"")</f>
        <v>25.81</v>
      </c>
      <c r="V203" s="143">
        <f>IFERROR(VLOOKUP(PA[[#This Row],[Affected Equipment ]],'Basic Data '!$A$1:$C$1846,3,0),"")</f>
        <v>7.7023853221960597E-5</v>
      </c>
      <c r="W203" s="178" t="s">
        <v>398</v>
      </c>
      <c r="X203" s="110" t="s">
        <v>410</v>
      </c>
      <c r="Y203" s="110" t="s">
        <v>411</v>
      </c>
      <c r="Z203" s="109">
        <v>0.26250000000000001</v>
      </c>
      <c r="AA203" s="109">
        <v>0.26250000000000001</v>
      </c>
      <c r="AB203" s="109">
        <v>0.26250000000000001</v>
      </c>
      <c r="AC203" s="109">
        <v>0.80833333333333335</v>
      </c>
      <c r="AD203" s="82">
        <f>IF(PA[[#This Row],[Acknowledgement Time ]]="NA","",(PA[[#This Row],[Acknowledgement Time ]]-PA[[#This Row],[Fault Time]])*24)</f>
        <v>0</v>
      </c>
      <c r="AE203" s="82">
        <f>IF(PA[[#This Row],[Work Start time on Fault]]="NA","",(PA[[#This Row],[Work Start time on Fault]]-PA[[#This Row],[Fault Time]])*24)</f>
        <v>0</v>
      </c>
      <c r="AF203" s="111">
        <f>IF(PA[[#This Row],[Status]]="Open","",(PA[[#This Row],[Work Completion time on fault]]-PA[[#This Row],[Fault Time]])*24)</f>
        <v>13.100000000000001</v>
      </c>
      <c r="AG203" s="82">
        <f>IFERROR((PA[[#This Row],[Work Completion time on fault]]-PA[[#This Row],[Fault Time]])*24,"")</f>
        <v>13.100000000000001</v>
      </c>
      <c r="AH203" s="183" t="s">
        <v>2660</v>
      </c>
      <c r="AI203" s="84" t="s">
        <v>422</v>
      </c>
      <c r="AJ203" s="68">
        <f>IFERROR(PA[[#This Row],[Breakdown Time]]*PA[[#This Row],[Plant Equivalent Weightage]],"")</f>
        <v>1.0090124772076838E-3</v>
      </c>
      <c r="AK203" s="117">
        <v>7.31</v>
      </c>
      <c r="AL203" s="116">
        <f>IF(PA[[#This Row],[Lost PoA(Wh/m2)]]&gt;0,_xlfn.XLOOKUP($B203,'Daily KPI'!$A:$A,'Daily KPI'!$AE:$AE)*PA[[#This Row],[Lost PoA(Wh/m2)]]*U203,0)</f>
        <v>154.23150526952438</v>
      </c>
      <c r="AM203" s="176" t="s">
        <v>2556</v>
      </c>
    </row>
    <row r="204" spans="1:39" ht="14" customHeight="1">
      <c r="A204" s="177">
        <f t="shared" si="4"/>
        <v>201</v>
      </c>
      <c r="B204" s="185">
        <v>45801</v>
      </c>
      <c r="C204" s="178" t="s">
        <v>477</v>
      </c>
      <c r="D204" s="6">
        <f>YEAR(PA[[#This Row],[Date]])</f>
        <v>2025</v>
      </c>
      <c r="E204" s="178" t="s">
        <v>361</v>
      </c>
      <c r="F204" s="178" t="s">
        <v>361</v>
      </c>
      <c r="G204" s="179">
        <v>45778</v>
      </c>
      <c r="H204" s="176">
        <f>DAY(EOMONTH(PA[[#This Row],[Month Year]],0))</f>
        <v>31</v>
      </c>
      <c r="I204" s="180">
        <f>VLOOKUP(PA[[#This Row],[Date]],Raw_Data[#All],9,0)</f>
        <v>0.26250000000000001</v>
      </c>
      <c r="J204" s="180">
        <f>VLOOKUP(PA[[#This Row],[Date]],Raw_Data[#All],10,0)</f>
        <v>0.80833333333333335</v>
      </c>
      <c r="K204" s="68">
        <f>IFERROR((PA[[#This Row],[Sunset Time (POA&lt;20 W/m2)]]-PA[[#This Row],[Sunrise Time (POA&gt;20 W/m2)]])*24,"")</f>
        <v>13.100000000000001</v>
      </c>
      <c r="L204" s="178" t="s">
        <v>430</v>
      </c>
      <c r="M204" s="178" t="s">
        <v>408</v>
      </c>
      <c r="N204" s="178" t="s">
        <v>395</v>
      </c>
      <c r="O204" s="178" t="s">
        <v>403</v>
      </c>
      <c r="P204" s="178" t="s">
        <v>397</v>
      </c>
      <c r="Q204" s="178"/>
      <c r="R204" s="6">
        <f>IF((PA[[#This Row],[String Type(If String BD)]]&amp;PA[[#This Row],[Equipment (If any BD other than PV  array and inv)]])="",1,0)</f>
        <v>0</v>
      </c>
      <c r="S204" s="6">
        <f>IF(PA[[#This Row],[String Type(If String BD)]]="",1,0)</f>
        <v>0</v>
      </c>
      <c r="T2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4" s="68">
        <f>IFERROR(VLOOKUP(PA[[#This Row],[Affected Equipment ]],'Basic Data '!$A$1:$B$1846,2,0),"")</f>
        <v>25.81</v>
      </c>
      <c r="V204" s="143">
        <f>IFERROR(VLOOKUP(PA[[#This Row],[Affected Equipment ]],'Basic Data '!$A$1:$C$1846,3,0),"")</f>
        <v>7.7023853221960597E-5</v>
      </c>
      <c r="W204" s="178" t="s">
        <v>398</v>
      </c>
      <c r="X204" s="110" t="s">
        <v>410</v>
      </c>
      <c r="Y204" s="110" t="s">
        <v>411</v>
      </c>
      <c r="Z204" s="109">
        <v>0.26250000000000001</v>
      </c>
      <c r="AA204" s="109">
        <v>0.26250000000000001</v>
      </c>
      <c r="AB204" s="109">
        <v>0.26250000000000001</v>
      </c>
      <c r="AC204" s="109">
        <v>0.80833333333333335</v>
      </c>
      <c r="AD204" s="82">
        <f>IF(PA[[#This Row],[Acknowledgement Time ]]="NA","",(PA[[#This Row],[Acknowledgement Time ]]-PA[[#This Row],[Fault Time]])*24)</f>
        <v>0</v>
      </c>
      <c r="AE204" s="82">
        <f>IF(PA[[#This Row],[Work Start time on Fault]]="NA","",(PA[[#This Row],[Work Start time on Fault]]-PA[[#This Row],[Fault Time]])*24)</f>
        <v>0</v>
      </c>
      <c r="AF204" s="111">
        <f>IF(PA[[#This Row],[Status]]="Open","",(PA[[#This Row],[Work Completion time on fault]]-PA[[#This Row],[Fault Time]])*24)</f>
        <v>13.100000000000001</v>
      </c>
      <c r="AG204" s="82">
        <f>IFERROR((PA[[#This Row],[Work Completion time on fault]]-PA[[#This Row],[Fault Time]])*24,"")</f>
        <v>13.100000000000001</v>
      </c>
      <c r="AH204" s="183" t="s">
        <v>2660</v>
      </c>
      <c r="AI204" s="178" t="s">
        <v>422</v>
      </c>
      <c r="AJ204" s="68">
        <f>IFERROR(PA[[#This Row],[Breakdown Time]]*PA[[#This Row],[Plant Equivalent Weightage]],"")</f>
        <v>1.0090124772076838E-3</v>
      </c>
      <c r="AK204" s="117">
        <v>7.31</v>
      </c>
      <c r="AL204" s="116">
        <f>IF(PA[[#This Row],[Lost PoA(Wh/m2)]]&gt;0,_xlfn.XLOOKUP($B204,'Daily KPI'!$A:$A,'Daily KPI'!$AE:$AE)*PA[[#This Row],[Lost PoA(Wh/m2)]]*U204,0)</f>
        <v>154.23150526952438</v>
      </c>
      <c r="AM204" s="176" t="s">
        <v>2556</v>
      </c>
    </row>
    <row r="205" spans="1:39" ht="14" customHeight="1">
      <c r="A205" s="177">
        <f t="shared" si="4"/>
        <v>202</v>
      </c>
      <c r="B205" s="185">
        <v>45801</v>
      </c>
      <c r="C205" s="178" t="s">
        <v>477</v>
      </c>
      <c r="D205" s="6">
        <f>YEAR(PA[[#This Row],[Date]])</f>
        <v>2025</v>
      </c>
      <c r="E205" s="178" t="s">
        <v>361</v>
      </c>
      <c r="F205" s="178" t="s">
        <v>361</v>
      </c>
      <c r="G205" s="179">
        <v>45778</v>
      </c>
      <c r="H205" s="176">
        <f>DAY(EOMONTH(PA[[#This Row],[Month Year]],0))</f>
        <v>31</v>
      </c>
      <c r="I205" s="180">
        <f>VLOOKUP(PA[[#This Row],[Date]],Raw_Data[#All],9,0)</f>
        <v>0.26250000000000001</v>
      </c>
      <c r="J205" s="180">
        <f>VLOOKUP(PA[[#This Row],[Date]],Raw_Data[#All],10,0)</f>
        <v>0.80833333333333335</v>
      </c>
      <c r="K205" s="68">
        <f>IFERROR((PA[[#This Row],[Sunset Time (POA&lt;20 W/m2)]]-PA[[#This Row],[Sunrise Time (POA&gt;20 W/m2)]])*24,"")</f>
        <v>13.100000000000001</v>
      </c>
      <c r="L205" s="178" t="s">
        <v>441</v>
      </c>
      <c r="M205" s="178" t="s">
        <v>394</v>
      </c>
      <c r="N205" s="178" t="s">
        <v>395</v>
      </c>
      <c r="O205" s="178" t="s">
        <v>412</v>
      </c>
      <c r="P205" s="178" t="s">
        <v>445</v>
      </c>
      <c r="Q205" s="178"/>
      <c r="R205" s="6">
        <f>IF((PA[[#This Row],[String Type(If String BD)]]&amp;PA[[#This Row],[Equipment (If any BD other than PV  array and inv)]])="",1,0)</f>
        <v>0</v>
      </c>
      <c r="S205" s="6">
        <f>IF(PA[[#This Row],[String Type(If String BD)]]="",1,0)</f>
        <v>0</v>
      </c>
      <c r="T2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05" s="68">
        <f>IFERROR(VLOOKUP(PA[[#This Row],[Affected Equipment ]],'Basic Data '!$A$1:$B$1846,2,0),"")</f>
        <v>26.1</v>
      </c>
      <c r="V205" s="143">
        <f>IFERROR(VLOOKUP(PA[[#This Row],[Affected Equipment ]],'Basic Data '!$A$1:$C$1846,3,0),"")</f>
        <v>7.7889289775016346E-5</v>
      </c>
      <c r="W205" s="178" t="s">
        <v>398</v>
      </c>
      <c r="X205" s="110" t="s">
        <v>410</v>
      </c>
      <c r="Y205" s="110" t="s">
        <v>411</v>
      </c>
      <c r="Z205" s="109">
        <v>0.26250000000000001</v>
      </c>
      <c r="AA205" s="109">
        <v>0.26250000000000001</v>
      </c>
      <c r="AB205" s="109">
        <v>0.26250000000000001</v>
      </c>
      <c r="AC205" s="109">
        <v>0.80833333333333335</v>
      </c>
      <c r="AD205" s="82">
        <f>IF(PA[[#This Row],[Acknowledgement Time ]]="NA","",(PA[[#This Row],[Acknowledgement Time ]]-PA[[#This Row],[Fault Time]])*24)</f>
        <v>0</v>
      </c>
      <c r="AE205" s="82">
        <f>IF(PA[[#This Row],[Work Start time on Fault]]="NA","",(PA[[#This Row],[Work Start time on Fault]]-PA[[#This Row],[Fault Time]])*24)</f>
        <v>0</v>
      </c>
      <c r="AF205" s="111">
        <f>IF(PA[[#This Row],[Status]]="Open","",(PA[[#This Row],[Work Completion time on fault]]-PA[[#This Row],[Fault Time]])*24)</f>
        <v>13.100000000000001</v>
      </c>
      <c r="AG205" s="82">
        <f>IFERROR((PA[[#This Row],[Work Completion time on fault]]-PA[[#This Row],[Fault Time]])*24,"")</f>
        <v>13.100000000000001</v>
      </c>
      <c r="AH205" s="183" t="s">
        <v>2660</v>
      </c>
      <c r="AI205" s="178" t="s">
        <v>422</v>
      </c>
      <c r="AJ205" s="68">
        <f>IFERROR(PA[[#This Row],[Breakdown Time]]*PA[[#This Row],[Plant Equivalent Weightage]],"")</f>
        <v>1.0203496960527142E-3</v>
      </c>
      <c r="AK205" s="117">
        <v>7.31</v>
      </c>
      <c r="AL205" s="116">
        <f>IF(PA[[#This Row],[Lost PoA(Wh/m2)]]&gt;0,_xlfn.XLOOKUP($B205,'Daily KPI'!$A:$A,'Daily KPI'!$AE:$AE)*PA[[#This Row],[Lost PoA(Wh/m2)]]*U205,0)</f>
        <v>155.96444353097971</v>
      </c>
      <c r="AM205" s="176" t="s">
        <v>2556</v>
      </c>
    </row>
    <row r="206" spans="1:39" ht="14" customHeight="1">
      <c r="A206" s="177">
        <f t="shared" si="4"/>
        <v>203</v>
      </c>
      <c r="B206" s="185">
        <v>45801</v>
      </c>
      <c r="C206" s="178" t="s">
        <v>477</v>
      </c>
      <c r="D206" s="6">
        <f>YEAR(PA[[#This Row],[Date]])</f>
        <v>2025</v>
      </c>
      <c r="E206" s="178" t="s">
        <v>361</v>
      </c>
      <c r="F206" s="178" t="s">
        <v>361</v>
      </c>
      <c r="G206" s="179">
        <v>45778</v>
      </c>
      <c r="H206" s="176">
        <f>DAY(EOMONTH(PA[[#This Row],[Month Year]],0))</f>
        <v>31</v>
      </c>
      <c r="I206" s="180">
        <f>VLOOKUP(PA[[#This Row],[Date]],Raw_Data[#All],9,0)</f>
        <v>0.26250000000000001</v>
      </c>
      <c r="J206" s="180">
        <f>VLOOKUP(PA[[#This Row],[Date]],Raw_Data[#All],10,0)</f>
        <v>0.80833333333333335</v>
      </c>
      <c r="K206" s="68">
        <f>IFERROR((PA[[#This Row],[Sunset Time (POA&lt;20 W/m2)]]-PA[[#This Row],[Sunrise Time (POA&gt;20 W/m2)]])*24,"")</f>
        <v>13.100000000000001</v>
      </c>
      <c r="L206" s="178" t="s">
        <v>400</v>
      </c>
      <c r="M206" s="178" t="s">
        <v>408</v>
      </c>
      <c r="N206" s="178" t="s">
        <v>402</v>
      </c>
      <c r="O206" s="178" t="s">
        <v>412</v>
      </c>
      <c r="P206" s="178" t="s">
        <v>404</v>
      </c>
      <c r="Q206" s="178"/>
      <c r="R206" s="6">
        <f>IF((PA[[#This Row],[String Type(If String BD)]]&amp;PA[[#This Row],[Equipment (If any BD other than PV  array and inv)]])="",1,0)</f>
        <v>0</v>
      </c>
      <c r="S206" s="6">
        <f>IF(PA[[#This Row],[String Type(If String BD)]]="",1,0)</f>
        <v>0</v>
      </c>
      <c r="T2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6" s="68">
        <f>IFERROR(VLOOKUP(PA[[#This Row],[Affected Equipment ]],'Basic Data '!$A$1:$B$1846,2,0),"")</f>
        <v>31.32</v>
      </c>
      <c r="V206" s="143">
        <f>IFERROR(VLOOKUP(PA[[#This Row],[Affected Equipment ]],'Basic Data '!$A$1:$C$1846,3,0),"")</f>
        <v>9.3467147730019601E-5</v>
      </c>
      <c r="W206" s="178" t="s">
        <v>398</v>
      </c>
      <c r="X206" s="110" t="s">
        <v>410</v>
      </c>
      <c r="Y206" s="110" t="s">
        <v>411</v>
      </c>
      <c r="Z206" s="109">
        <v>0.26250000000000001</v>
      </c>
      <c r="AA206" s="109">
        <v>0.26250000000000001</v>
      </c>
      <c r="AB206" s="109">
        <v>0.26250000000000001</v>
      </c>
      <c r="AC206" s="109">
        <v>0.80833333333333335</v>
      </c>
      <c r="AD206" s="82">
        <f>IF(PA[[#This Row],[Acknowledgement Time ]]="NA","",(PA[[#This Row],[Acknowledgement Time ]]-PA[[#This Row],[Fault Time]])*24)</f>
        <v>0</v>
      </c>
      <c r="AE206" s="82">
        <f>IF(PA[[#This Row],[Work Start time on Fault]]="NA","",(PA[[#This Row],[Work Start time on Fault]]-PA[[#This Row],[Fault Time]])*24)</f>
        <v>0</v>
      </c>
      <c r="AF206" s="111">
        <f>IF(PA[[#This Row],[Status]]="Open","",(PA[[#This Row],[Work Completion time on fault]]-PA[[#This Row],[Fault Time]])*24)</f>
        <v>13.100000000000001</v>
      </c>
      <c r="AG206" s="82">
        <f>IFERROR((PA[[#This Row],[Work Completion time on fault]]-PA[[#This Row],[Fault Time]])*24,"")</f>
        <v>13.100000000000001</v>
      </c>
      <c r="AH206" s="183" t="s">
        <v>2660</v>
      </c>
      <c r="AI206" s="178" t="s">
        <v>422</v>
      </c>
      <c r="AJ206" s="68">
        <f>IFERROR(PA[[#This Row],[Breakdown Time]]*PA[[#This Row],[Plant Equivalent Weightage]],"")</f>
        <v>1.224419635263257E-3</v>
      </c>
      <c r="AK206" s="117">
        <v>7.31</v>
      </c>
      <c r="AL206" s="116">
        <f>IF(PA[[#This Row],[Lost PoA(Wh/m2)]]&gt;0,_xlfn.XLOOKUP($B206,'Daily KPI'!$A:$A,'Daily KPI'!$AE:$AE)*PA[[#This Row],[Lost PoA(Wh/m2)]]*U206,0)</f>
        <v>187.15733223717564</v>
      </c>
      <c r="AM206" s="176" t="s">
        <v>2556</v>
      </c>
    </row>
    <row r="207" spans="1:39" ht="14" customHeight="1">
      <c r="A207" s="177">
        <f t="shared" si="4"/>
        <v>204</v>
      </c>
      <c r="B207" s="185">
        <v>45801</v>
      </c>
      <c r="C207" s="178" t="s">
        <v>477</v>
      </c>
      <c r="D207" s="6">
        <f>YEAR(PA[[#This Row],[Date]])</f>
        <v>2025</v>
      </c>
      <c r="E207" s="178" t="s">
        <v>361</v>
      </c>
      <c r="F207" s="178" t="s">
        <v>361</v>
      </c>
      <c r="G207" s="179">
        <v>45778</v>
      </c>
      <c r="H207" s="176">
        <f>DAY(EOMONTH(PA[[#This Row],[Month Year]],0))</f>
        <v>31</v>
      </c>
      <c r="I207" s="180">
        <f>VLOOKUP(PA[[#This Row],[Date]],Raw_Data[#All],9,0)</f>
        <v>0.26250000000000001</v>
      </c>
      <c r="J207" s="180">
        <f>VLOOKUP(PA[[#This Row],[Date]],Raw_Data[#All],10,0)</f>
        <v>0.80833333333333335</v>
      </c>
      <c r="K207" s="68">
        <f>IFERROR((PA[[#This Row],[Sunset Time (POA&lt;20 W/m2)]]-PA[[#This Row],[Sunrise Time (POA&gt;20 W/m2)]])*24,"")</f>
        <v>13.100000000000001</v>
      </c>
      <c r="L207" s="178" t="s">
        <v>400</v>
      </c>
      <c r="M207" s="178" t="s">
        <v>408</v>
      </c>
      <c r="N207" s="178" t="s">
        <v>402</v>
      </c>
      <c r="O207" s="178" t="s">
        <v>412</v>
      </c>
      <c r="P207" s="178" t="s">
        <v>404</v>
      </c>
      <c r="Q207" s="178"/>
      <c r="R207" s="6">
        <f>IF((PA[[#This Row],[String Type(If String BD)]]&amp;PA[[#This Row],[Equipment (If any BD other than PV  array and inv)]])="",1,0)</f>
        <v>0</v>
      </c>
      <c r="S207" s="6">
        <f>IF(PA[[#This Row],[String Type(If String BD)]]="",1,0)</f>
        <v>0</v>
      </c>
      <c r="T2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7" s="68">
        <f>IFERROR(VLOOKUP(PA[[#This Row],[Affected Equipment ]],'Basic Data '!$A$1:$B$1846,2,0),"")</f>
        <v>31.32</v>
      </c>
      <c r="V207" s="143">
        <f>IFERROR(VLOOKUP(PA[[#This Row],[Affected Equipment ]],'Basic Data '!$A$1:$C$1846,3,0),"")</f>
        <v>9.3467147730019601E-5</v>
      </c>
      <c r="W207" s="178" t="s">
        <v>398</v>
      </c>
      <c r="X207" s="110" t="s">
        <v>410</v>
      </c>
      <c r="Y207" s="110" t="s">
        <v>411</v>
      </c>
      <c r="Z207" s="109">
        <v>0.26250000000000001</v>
      </c>
      <c r="AA207" s="109">
        <v>0.26250000000000001</v>
      </c>
      <c r="AB207" s="109">
        <v>0.26250000000000001</v>
      </c>
      <c r="AC207" s="109">
        <v>0.80833333333333335</v>
      </c>
      <c r="AD207" s="82">
        <f>IF(PA[[#This Row],[Acknowledgement Time ]]="NA","",(PA[[#This Row],[Acknowledgement Time ]]-PA[[#This Row],[Fault Time]])*24)</f>
        <v>0</v>
      </c>
      <c r="AE207" s="82">
        <f>IF(PA[[#This Row],[Work Start time on Fault]]="NA","",(PA[[#This Row],[Work Start time on Fault]]-PA[[#This Row],[Fault Time]])*24)</f>
        <v>0</v>
      </c>
      <c r="AF207" s="111">
        <f>IF(PA[[#This Row],[Status]]="Open","",(PA[[#This Row],[Work Completion time on fault]]-PA[[#This Row],[Fault Time]])*24)</f>
        <v>13.100000000000001</v>
      </c>
      <c r="AG207" s="82">
        <f>IFERROR((PA[[#This Row],[Work Completion time on fault]]-PA[[#This Row],[Fault Time]])*24,"")</f>
        <v>13.100000000000001</v>
      </c>
      <c r="AH207" s="183" t="s">
        <v>2660</v>
      </c>
      <c r="AI207" s="178" t="s">
        <v>422</v>
      </c>
      <c r="AJ207" s="68">
        <f>IFERROR(PA[[#This Row],[Breakdown Time]]*PA[[#This Row],[Plant Equivalent Weightage]],"")</f>
        <v>1.224419635263257E-3</v>
      </c>
      <c r="AK207" s="117">
        <v>7.31</v>
      </c>
      <c r="AL207" s="116">
        <f>IF(PA[[#This Row],[Lost PoA(Wh/m2)]]&gt;0,_xlfn.XLOOKUP($B207,'Daily KPI'!$A:$A,'Daily KPI'!$AE:$AE)*PA[[#This Row],[Lost PoA(Wh/m2)]]*U207,0)</f>
        <v>187.15733223717564</v>
      </c>
      <c r="AM207" s="176" t="s">
        <v>2556</v>
      </c>
    </row>
    <row r="208" spans="1:39" ht="14" customHeight="1">
      <c r="A208" s="177">
        <f t="shared" si="4"/>
        <v>205</v>
      </c>
      <c r="B208" s="185">
        <v>45801</v>
      </c>
      <c r="C208" s="178" t="s">
        <v>477</v>
      </c>
      <c r="D208" s="6">
        <f>YEAR(PA[[#This Row],[Date]])</f>
        <v>2025</v>
      </c>
      <c r="E208" s="178" t="s">
        <v>361</v>
      </c>
      <c r="F208" s="178" t="s">
        <v>361</v>
      </c>
      <c r="G208" s="179">
        <v>45778</v>
      </c>
      <c r="H208" s="176">
        <f>DAY(EOMONTH(PA[[#This Row],[Month Year]],0))</f>
        <v>31</v>
      </c>
      <c r="I208" s="180">
        <f>VLOOKUP(PA[[#This Row],[Date]],Raw_Data[#All],9,0)</f>
        <v>0.26250000000000001</v>
      </c>
      <c r="J208" s="180">
        <f>VLOOKUP(PA[[#This Row],[Date]],Raw_Data[#All],10,0)</f>
        <v>0.80833333333333335</v>
      </c>
      <c r="K208" s="68">
        <f>IFERROR((PA[[#This Row],[Sunset Time (POA&lt;20 W/m2)]]-PA[[#This Row],[Sunrise Time (POA&gt;20 W/m2)]])*24,"")</f>
        <v>13.100000000000001</v>
      </c>
      <c r="L208" s="178" t="s">
        <v>400</v>
      </c>
      <c r="M208" s="178" t="s">
        <v>408</v>
      </c>
      <c r="N208" s="178" t="s">
        <v>402</v>
      </c>
      <c r="O208" s="178" t="s">
        <v>413</v>
      </c>
      <c r="P208" s="178" t="s">
        <v>404</v>
      </c>
      <c r="Q208" s="178"/>
      <c r="R208" s="6">
        <f>IF((PA[[#This Row],[String Type(If String BD)]]&amp;PA[[#This Row],[Equipment (If any BD other than PV  array and inv)]])="",1,0)</f>
        <v>0</v>
      </c>
      <c r="S208" s="6">
        <f>IF(PA[[#This Row],[String Type(If String BD)]]="",1,0)</f>
        <v>0</v>
      </c>
      <c r="T2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8" s="68">
        <f>IFERROR(VLOOKUP(PA[[#This Row],[Affected Equipment ]],'Basic Data '!$A$1:$B$1846,2,0),"")</f>
        <v>31.32</v>
      </c>
      <c r="V208" s="143">
        <f>IFERROR(VLOOKUP(PA[[#This Row],[Affected Equipment ]],'Basic Data '!$A$1:$C$1846,3,0),"")</f>
        <v>9.3467147730019601E-5</v>
      </c>
      <c r="W208" s="178" t="s">
        <v>398</v>
      </c>
      <c r="X208" s="110" t="s">
        <v>410</v>
      </c>
      <c r="Y208" s="110" t="s">
        <v>411</v>
      </c>
      <c r="Z208" s="109">
        <v>0.26250000000000001</v>
      </c>
      <c r="AA208" s="109">
        <v>0.26250000000000001</v>
      </c>
      <c r="AB208" s="109">
        <v>0.26250000000000001</v>
      </c>
      <c r="AC208" s="109">
        <v>0.80833333333333335</v>
      </c>
      <c r="AD208" s="82">
        <f>IF(PA[[#This Row],[Acknowledgement Time ]]="NA","",(PA[[#This Row],[Acknowledgement Time ]]-PA[[#This Row],[Fault Time]])*24)</f>
        <v>0</v>
      </c>
      <c r="AE208" s="82">
        <f>IF(PA[[#This Row],[Work Start time on Fault]]="NA","",(PA[[#This Row],[Work Start time on Fault]]-PA[[#This Row],[Fault Time]])*24)</f>
        <v>0</v>
      </c>
      <c r="AF208" s="111">
        <f>IF(PA[[#This Row],[Status]]="Open","",(PA[[#This Row],[Work Completion time on fault]]-PA[[#This Row],[Fault Time]])*24)</f>
        <v>13.100000000000001</v>
      </c>
      <c r="AG208" s="82">
        <f>IFERROR((PA[[#This Row],[Work Completion time on fault]]-PA[[#This Row],[Fault Time]])*24,"")</f>
        <v>13.100000000000001</v>
      </c>
      <c r="AH208" s="183" t="s">
        <v>2660</v>
      </c>
      <c r="AI208" s="178" t="s">
        <v>422</v>
      </c>
      <c r="AJ208" s="68">
        <f>IFERROR(PA[[#This Row],[Breakdown Time]]*PA[[#This Row],[Plant Equivalent Weightage]],"")</f>
        <v>1.224419635263257E-3</v>
      </c>
      <c r="AK208" s="117">
        <v>7.31</v>
      </c>
      <c r="AL208" s="116">
        <f>IF(PA[[#This Row],[Lost PoA(Wh/m2)]]&gt;0,_xlfn.XLOOKUP($B208,'Daily KPI'!$A:$A,'Daily KPI'!$AE:$AE)*PA[[#This Row],[Lost PoA(Wh/m2)]]*U208,0)</f>
        <v>187.15733223717564</v>
      </c>
      <c r="AM208" s="176" t="s">
        <v>2556</v>
      </c>
    </row>
    <row r="209" spans="1:39" ht="14" customHeight="1">
      <c r="A209" s="177">
        <f t="shared" si="4"/>
        <v>206</v>
      </c>
      <c r="B209" s="185">
        <v>45801</v>
      </c>
      <c r="C209" s="178" t="s">
        <v>477</v>
      </c>
      <c r="D209" s="6">
        <f>YEAR(PA[[#This Row],[Date]])</f>
        <v>2025</v>
      </c>
      <c r="E209" s="178" t="s">
        <v>361</v>
      </c>
      <c r="F209" s="178" t="s">
        <v>361</v>
      </c>
      <c r="G209" s="179">
        <v>45778</v>
      </c>
      <c r="H209" s="176">
        <f>DAY(EOMONTH(PA[[#This Row],[Month Year]],0))</f>
        <v>31</v>
      </c>
      <c r="I209" s="180">
        <f>VLOOKUP(PA[[#This Row],[Date]],Raw_Data[#All],9,0)</f>
        <v>0.26250000000000001</v>
      </c>
      <c r="J209" s="180">
        <f>VLOOKUP(PA[[#This Row],[Date]],Raw_Data[#All],10,0)</f>
        <v>0.80833333333333335</v>
      </c>
      <c r="K209" s="68">
        <f>IFERROR((PA[[#This Row],[Sunset Time (POA&lt;20 W/m2)]]-PA[[#This Row],[Sunrise Time (POA&gt;20 W/m2)]])*24,"")</f>
        <v>13.100000000000001</v>
      </c>
      <c r="L209" s="178" t="s">
        <v>400</v>
      </c>
      <c r="M209" s="178" t="s">
        <v>408</v>
      </c>
      <c r="N209" s="178" t="s">
        <v>395</v>
      </c>
      <c r="O209" s="178" t="s">
        <v>409</v>
      </c>
      <c r="P209" s="178" t="s">
        <v>404</v>
      </c>
      <c r="Q209" s="178"/>
      <c r="R209" s="6">
        <f>IF((PA[[#This Row],[String Type(If String BD)]]&amp;PA[[#This Row],[Equipment (If any BD other than PV  array and inv)]])="",1,0)</f>
        <v>0</v>
      </c>
      <c r="S209" s="6">
        <f>IF(PA[[#This Row],[String Type(If String BD)]]="",1,0)</f>
        <v>0</v>
      </c>
      <c r="T2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9" s="68">
        <f>IFERROR(VLOOKUP(PA[[#This Row],[Affected Equipment ]],'Basic Data '!$A$1:$B$1846,2,0),"")</f>
        <v>31.32</v>
      </c>
      <c r="V209" s="143">
        <f>IFERROR(VLOOKUP(PA[[#This Row],[Affected Equipment ]],'Basic Data '!$A$1:$C$1846,3,0),"")</f>
        <v>9.3467147730019601E-5</v>
      </c>
      <c r="W209" s="178" t="s">
        <v>398</v>
      </c>
      <c r="X209" s="110" t="s">
        <v>410</v>
      </c>
      <c r="Y209" s="110" t="s">
        <v>411</v>
      </c>
      <c r="Z209" s="109">
        <v>0.26250000000000001</v>
      </c>
      <c r="AA209" s="109">
        <v>0.26250000000000001</v>
      </c>
      <c r="AB209" s="109">
        <v>0.26250000000000001</v>
      </c>
      <c r="AC209" s="109">
        <v>0.80833333333333335</v>
      </c>
      <c r="AD209" s="82">
        <f>IF(PA[[#This Row],[Acknowledgement Time ]]="NA","",(PA[[#This Row],[Acknowledgement Time ]]-PA[[#This Row],[Fault Time]])*24)</f>
        <v>0</v>
      </c>
      <c r="AE209" s="82">
        <f>IF(PA[[#This Row],[Work Start time on Fault]]="NA","",(PA[[#This Row],[Work Start time on Fault]]-PA[[#This Row],[Fault Time]])*24)</f>
        <v>0</v>
      </c>
      <c r="AF209" s="111">
        <f>IF(PA[[#This Row],[Status]]="Open","",(PA[[#This Row],[Work Completion time on fault]]-PA[[#This Row],[Fault Time]])*24)</f>
        <v>13.100000000000001</v>
      </c>
      <c r="AG209" s="82">
        <f>IFERROR((PA[[#This Row],[Work Completion time on fault]]-PA[[#This Row],[Fault Time]])*24,"")</f>
        <v>13.100000000000001</v>
      </c>
      <c r="AH209" s="183" t="s">
        <v>2660</v>
      </c>
      <c r="AI209" s="178" t="s">
        <v>422</v>
      </c>
      <c r="AJ209" s="68">
        <f>IFERROR(PA[[#This Row],[Breakdown Time]]*PA[[#This Row],[Plant Equivalent Weightage]],"")</f>
        <v>1.224419635263257E-3</v>
      </c>
      <c r="AK209" s="117">
        <v>7.31</v>
      </c>
      <c r="AL209" s="116">
        <f>IF(PA[[#This Row],[Lost PoA(Wh/m2)]]&gt;0,_xlfn.XLOOKUP($B209,'Daily KPI'!$A:$A,'Daily KPI'!$AE:$AE)*PA[[#This Row],[Lost PoA(Wh/m2)]]*U209,0)</f>
        <v>187.15733223717564</v>
      </c>
      <c r="AM209" s="176" t="s">
        <v>2556</v>
      </c>
    </row>
    <row r="210" spans="1:39" ht="14" customHeight="1">
      <c r="A210" s="177">
        <f t="shared" si="4"/>
        <v>207</v>
      </c>
      <c r="B210" s="185">
        <v>45801</v>
      </c>
      <c r="C210" s="178" t="s">
        <v>477</v>
      </c>
      <c r="D210" s="6">
        <f>YEAR(PA[[#This Row],[Date]])</f>
        <v>2025</v>
      </c>
      <c r="E210" s="178" t="s">
        <v>361</v>
      </c>
      <c r="F210" s="178" t="s">
        <v>361</v>
      </c>
      <c r="G210" s="179">
        <v>45778</v>
      </c>
      <c r="H210" s="176">
        <f>DAY(EOMONTH(PA[[#This Row],[Month Year]],0))</f>
        <v>31</v>
      </c>
      <c r="I210" s="180">
        <f>VLOOKUP(PA[[#This Row],[Date]],Raw_Data[#All],9,0)</f>
        <v>0.26250000000000001</v>
      </c>
      <c r="J210" s="180">
        <f>VLOOKUP(PA[[#This Row],[Date]],Raw_Data[#All],10,0)</f>
        <v>0.80833333333333335</v>
      </c>
      <c r="K210" s="68">
        <f>IFERROR((PA[[#This Row],[Sunset Time (POA&lt;20 W/m2)]]-PA[[#This Row],[Sunrise Time (POA&gt;20 W/m2)]])*24,"")</f>
        <v>13.100000000000001</v>
      </c>
      <c r="L210" s="178" t="s">
        <v>407</v>
      </c>
      <c r="M210" s="178" t="s">
        <v>401</v>
      </c>
      <c r="N210" s="178" t="s">
        <v>402</v>
      </c>
      <c r="O210" s="178" t="s">
        <v>415</v>
      </c>
      <c r="P210" s="178" t="s">
        <v>404</v>
      </c>
      <c r="Q210" s="178"/>
      <c r="R210" s="6">
        <f>IF((PA[[#This Row],[String Type(If String BD)]]&amp;PA[[#This Row],[Equipment (If any BD other than PV  array and inv)]])="",1,0)</f>
        <v>0</v>
      </c>
      <c r="S210" s="6">
        <f>IF(PA[[#This Row],[String Type(If String BD)]]="",1,0)</f>
        <v>0</v>
      </c>
      <c r="T2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0" s="68">
        <f>IFERROR(VLOOKUP(PA[[#This Row],[Affected Equipment ]],'Basic Data '!$A$1:$B$1846,2,0),"")</f>
        <v>31.32</v>
      </c>
      <c r="V210" s="143">
        <f>IFERROR(VLOOKUP(PA[[#This Row],[Affected Equipment ]],'Basic Data '!$A$1:$C$1846,3,0),"")</f>
        <v>9.3467147730019601E-5</v>
      </c>
      <c r="W210" s="178" t="s">
        <v>398</v>
      </c>
      <c r="X210" s="110" t="s">
        <v>410</v>
      </c>
      <c r="Y210" s="110" t="s">
        <v>411</v>
      </c>
      <c r="Z210" s="109">
        <v>0.26250000000000001</v>
      </c>
      <c r="AA210" s="109">
        <v>0.26250000000000001</v>
      </c>
      <c r="AB210" s="109">
        <v>0.26250000000000001</v>
      </c>
      <c r="AC210" s="109">
        <v>0.80833333333333335</v>
      </c>
      <c r="AD210" s="82">
        <f>IF(PA[[#This Row],[Acknowledgement Time ]]="NA","",(PA[[#This Row],[Acknowledgement Time ]]-PA[[#This Row],[Fault Time]])*24)</f>
        <v>0</v>
      </c>
      <c r="AE210" s="82">
        <f>IF(PA[[#This Row],[Work Start time on Fault]]="NA","",(PA[[#This Row],[Work Start time on Fault]]-PA[[#This Row],[Fault Time]])*24)</f>
        <v>0</v>
      </c>
      <c r="AF210" s="111">
        <f>IF(PA[[#This Row],[Status]]="Open","",(PA[[#This Row],[Work Completion time on fault]]-PA[[#This Row],[Fault Time]])*24)</f>
        <v>13.100000000000001</v>
      </c>
      <c r="AG210" s="82">
        <f>IFERROR((PA[[#This Row],[Work Completion time on fault]]-PA[[#This Row],[Fault Time]])*24,"")</f>
        <v>13.100000000000001</v>
      </c>
      <c r="AH210" s="183" t="s">
        <v>2660</v>
      </c>
      <c r="AI210" s="178" t="s">
        <v>422</v>
      </c>
      <c r="AJ210" s="68">
        <f>IFERROR(PA[[#This Row],[Breakdown Time]]*PA[[#This Row],[Plant Equivalent Weightage]],"")</f>
        <v>1.224419635263257E-3</v>
      </c>
      <c r="AK210" s="117">
        <v>7.31</v>
      </c>
      <c r="AL210" s="116">
        <f>IF(PA[[#This Row],[Lost PoA(Wh/m2)]]&gt;0,_xlfn.XLOOKUP($B210,'Daily KPI'!$A:$A,'Daily KPI'!$AE:$AE)*PA[[#This Row],[Lost PoA(Wh/m2)]]*U210,0)</f>
        <v>187.15733223717564</v>
      </c>
      <c r="AM210" s="176" t="s">
        <v>2556</v>
      </c>
    </row>
    <row r="211" spans="1:39" ht="14" customHeight="1">
      <c r="A211" s="177">
        <f t="shared" si="4"/>
        <v>208</v>
      </c>
      <c r="B211" s="185">
        <v>45801</v>
      </c>
      <c r="C211" s="178" t="s">
        <v>477</v>
      </c>
      <c r="D211" s="6">
        <f>YEAR(PA[[#This Row],[Date]])</f>
        <v>2025</v>
      </c>
      <c r="E211" s="178" t="s">
        <v>361</v>
      </c>
      <c r="F211" s="178" t="s">
        <v>361</v>
      </c>
      <c r="G211" s="179">
        <v>45778</v>
      </c>
      <c r="H211" s="176">
        <f>DAY(EOMONTH(PA[[#This Row],[Month Year]],0))</f>
        <v>31</v>
      </c>
      <c r="I211" s="180">
        <f>VLOOKUP(PA[[#This Row],[Date]],Raw_Data[#All],9,0)</f>
        <v>0.26250000000000001</v>
      </c>
      <c r="J211" s="180">
        <f>VLOOKUP(PA[[#This Row],[Date]],Raw_Data[#All],10,0)</f>
        <v>0.80833333333333335</v>
      </c>
      <c r="K211" s="68">
        <f>IFERROR((PA[[#This Row],[Sunset Time (POA&lt;20 W/m2)]]-PA[[#This Row],[Sunrise Time (POA&gt;20 W/m2)]])*24,"")</f>
        <v>13.100000000000001</v>
      </c>
      <c r="L211" s="178" t="s">
        <v>426</v>
      </c>
      <c r="M211" s="178" t="s">
        <v>408</v>
      </c>
      <c r="N211" s="178" t="s">
        <v>402</v>
      </c>
      <c r="O211" s="178"/>
      <c r="P211" s="178"/>
      <c r="Q211" s="178"/>
      <c r="R211" s="6">
        <f>IF((PA[[#This Row],[String Type(If String BD)]]&amp;PA[[#This Row],[Equipment (If any BD other than PV  array and inv)]])="",1,0)</f>
        <v>1</v>
      </c>
      <c r="S211" s="6">
        <f>IF(PA[[#This Row],[String Type(If String BD)]]="",1,0)</f>
        <v>1</v>
      </c>
      <c r="T2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211" s="68">
        <f>IFERROR(VLOOKUP(PA[[#This Row],[Affected Equipment ]],'Basic Data '!$A$1:$B$1846,2,0),"")</f>
        <v>2004.4799999999998</v>
      </c>
      <c r="V211" s="143">
        <f>IFERROR(VLOOKUP(PA[[#This Row],[Affected Equipment ]],'Basic Data '!$A$1:$C$1846,3,0),"")</f>
        <v>5.9818974547212545E-3</v>
      </c>
      <c r="W211" s="178" t="s">
        <v>427</v>
      </c>
      <c r="X211" s="110" t="s">
        <v>452</v>
      </c>
      <c r="Y211" s="110" t="s">
        <v>452</v>
      </c>
      <c r="Z211" s="109">
        <v>0.26250000000000001</v>
      </c>
      <c r="AA211" s="109">
        <v>0.26250000000000001</v>
      </c>
      <c r="AB211" s="109">
        <v>0.27916666666666667</v>
      </c>
      <c r="AC211" s="109">
        <v>0.30555555555555558</v>
      </c>
      <c r="AD211" s="82">
        <f>IF(PA[[#This Row],[Acknowledgement Time ]]="NA","",(PA[[#This Row],[Acknowledgement Time ]]-PA[[#This Row],[Fault Time]])*24)</f>
        <v>0</v>
      </c>
      <c r="AE211" s="82">
        <f>IF(PA[[#This Row],[Work Start time on Fault]]="NA","",(PA[[#This Row],[Work Start time on Fault]]-PA[[#This Row],[Fault Time]])*24)</f>
        <v>0.39999999999999991</v>
      </c>
      <c r="AF211" s="111">
        <f>IF(PA[[#This Row],[Status]]="Open","",(PA[[#This Row],[Work Completion time on fault]]-PA[[#This Row],[Fault Time]])*24)</f>
        <v>1.0333333333333337</v>
      </c>
      <c r="AG211" s="82">
        <f>IFERROR((PA[[#This Row],[Work Completion time on fault]]-PA[[#This Row],[Fault Time]])*24,"")</f>
        <v>1.0333333333333337</v>
      </c>
      <c r="AH211" s="110" t="s">
        <v>479</v>
      </c>
      <c r="AI211" s="178" t="s">
        <v>422</v>
      </c>
      <c r="AJ211" s="68">
        <f>IFERROR(PA[[#This Row],[Breakdown Time]]*PA[[#This Row],[Plant Equivalent Weightage]],"")</f>
        <v>6.1812940365452984E-3</v>
      </c>
      <c r="AK211" s="117">
        <v>9.7872333333333339E-2</v>
      </c>
      <c r="AL211" s="116">
        <f>IF(PA[[#This Row],[Lost PoA(Wh/m2)]]&gt;0,_xlfn.XLOOKUP($B211,'Daily KPI'!$A:$A,'Daily KPI'!$AE:$AE)*PA[[#This Row],[Lost PoA(Wh/m2)]]*U211,0)</f>
        <v>160.37231020733697</v>
      </c>
      <c r="AM211" s="176" t="s">
        <v>2560</v>
      </c>
    </row>
    <row r="212" spans="1:39" ht="14" customHeight="1">
      <c r="A212" s="177">
        <f t="shared" si="4"/>
        <v>209</v>
      </c>
      <c r="B212" s="185">
        <v>45801</v>
      </c>
      <c r="C212" s="178" t="s">
        <v>477</v>
      </c>
      <c r="D212" s="6">
        <f>YEAR(PA[[#This Row],[Date]])</f>
        <v>2025</v>
      </c>
      <c r="E212" s="178" t="s">
        <v>361</v>
      </c>
      <c r="F212" s="178" t="s">
        <v>361</v>
      </c>
      <c r="G212" s="179">
        <v>45778</v>
      </c>
      <c r="H212" s="176">
        <f>DAY(EOMONTH(PA[[#This Row],[Month Year]],0))</f>
        <v>31</v>
      </c>
      <c r="I212" s="180">
        <f>VLOOKUP(PA[[#This Row],[Date]],Raw_Data[#All],9,0)</f>
        <v>0.26250000000000001</v>
      </c>
      <c r="J212" s="180">
        <f>VLOOKUP(PA[[#This Row],[Date]],Raw_Data[#All],10,0)</f>
        <v>0.80833333333333335</v>
      </c>
      <c r="K212" s="68">
        <f>IFERROR((PA[[#This Row],[Sunset Time (POA&lt;20 W/m2)]]-PA[[#This Row],[Sunrise Time (POA&gt;20 W/m2)]])*24,"")</f>
        <v>13.100000000000001</v>
      </c>
      <c r="L212" s="178" t="s">
        <v>426</v>
      </c>
      <c r="M212" s="178" t="s">
        <v>408</v>
      </c>
      <c r="N212" s="178" t="s">
        <v>395</v>
      </c>
      <c r="O212" s="178"/>
      <c r="P212" s="178"/>
      <c r="Q212" s="178"/>
      <c r="R212" s="6">
        <f>IF((PA[[#This Row],[String Type(If String BD)]]&amp;PA[[#This Row],[Equipment (If any BD other than PV  array and inv)]])="",1,0)</f>
        <v>1</v>
      </c>
      <c r="S212" s="6">
        <f>IF(PA[[#This Row],[String Type(If String BD)]]="",1,0)</f>
        <v>1</v>
      </c>
      <c r="T2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IS15INV2M2</v>
      </c>
      <c r="U212" s="68">
        <f>IFERROR(VLOOKUP(PA[[#This Row],[Affected Equipment ]],'Basic Data '!$A$1:$B$1846,2,0),"")</f>
        <v>1941.84</v>
      </c>
      <c r="V212" s="143">
        <f>IFERROR(VLOOKUP(PA[[#This Row],[Affected Equipment ]],'Basic Data '!$A$1:$C$1846,3,0),"")</f>
        <v>5.7949631592612155E-3</v>
      </c>
      <c r="W212" s="178" t="s">
        <v>427</v>
      </c>
      <c r="X212" s="110" t="s">
        <v>455</v>
      </c>
      <c r="Y212" s="110" t="s">
        <v>455</v>
      </c>
      <c r="Z212" s="109">
        <v>0.29305555555555557</v>
      </c>
      <c r="AA212" s="109">
        <v>0.29305555555555557</v>
      </c>
      <c r="AB212" s="109">
        <v>0.29305555555555557</v>
      </c>
      <c r="AC212" s="109">
        <v>0.30555555555555558</v>
      </c>
      <c r="AD212" s="82">
        <f>IF(PA[[#This Row],[Acknowledgement Time ]]="NA","",(PA[[#This Row],[Acknowledgement Time ]]-PA[[#This Row],[Fault Time]])*24)</f>
        <v>0</v>
      </c>
      <c r="AE212" s="82">
        <f>IF(PA[[#This Row],[Work Start time on Fault]]="NA","",(PA[[#This Row],[Work Start time on Fault]]-PA[[#This Row],[Fault Time]])*24)</f>
        <v>0</v>
      </c>
      <c r="AF212" s="111">
        <f>IF(PA[[#This Row],[Status]]="Open","",(PA[[#This Row],[Work Completion time on fault]]-PA[[#This Row],[Fault Time]])*24)</f>
        <v>0.30000000000000027</v>
      </c>
      <c r="AG212" s="82">
        <f>IFERROR((PA[[#This Row],[Work Completion time on fault]]-PA[[#This Row],[Fault Time]])*24,"")</f>
        <v>0.30000000000000027</v>
      </c>
      <c r="AH212" s="110" t="s">
        <v>455</v>
      </c>
      <c r="AI212" s="178" t="s">
        <v>422</v>
      </c>
      <c r="AJ212" s="68">
        <f>IFERROR(PA[[#This Row],[Breakdown Time]]*PA[[#This Row],[Plant Equivalent Weightage]],"")</f>
        <v>1.7384889477783663E-3</v>
      </c>
      <c r="AK212" s="117">
        <v>4.7683333333333335E-2</v>
      </c>
      <c r="AL212" s="116">
        <f>IF(PA[[#This Row],[Lost PoA(Wh/m2)]]&gt;0,_xlfn.XLOOKUP($B212,'Daily KPI'!$A:$A,'Daily KPI'!$AE:$AE)*PA[[#This Row],[Lost PoA(Wh/m2)]]*U212,0)</f>
        <v>75.691614014807783</v>
      </c>
      <c r="AM212" s="176" t="s">
        <v>2560</v>
      </c>
    </row>
    <row r="213" spans="1:39" ht="14" customHeight="1">
      <c r="A213" s="177">
        <f t="shared" si="4"/>
        <v>210</v>
      </c>
      <c r="B213" s="185">
        <v>45802</v>
      </c>
      <c r="C213" s="178" t="s">
        <v>477</v>
      </c>
      <c r="D213" s="6">
        <f>YEAR(PA[[#This Row],[Date]])</f>
        <v>2025</v>
      </c>
      <c r="E213" s="178" t="s">
        <v>361</v>
      </c>
      <c r="F213" s="178" t="s">
        <v>361</v>
      </c>
      <c r="G213" s="179">
        <v>45778</v>
      </c>
      <c r="H213" s="176">
        <f>DAY(EOMONTH(PA[[#This Row],[Month Year]],0))</f>
        <v>31</v>
      </c>
      <c r="I213" s="180">
        <f>VLOOKUP(PA[[#This Row],[Date]],Raw_Data[#All],9,0)</f>
        <v>0.28819444444444442</v>
      </c>
      <c r="J213" s="180">
        <f>VLOOKUP(PA[[#This Row],[Date]],Raw_Data[#All],10,0)</f>
        <v>0.80625000000000002</v>
      </c>
      <c r="K213" s="68">
        <f>IFERROR((PA[[#This Row],[Sunset Time (POA&lt;20 W/m2)]]-PA[[#This Row],[Sunrise Time (POA&gt;20 W/m2)]])*24,"")</f>
        <v>12.433333333333334</v>
      </c>
      <c r="L213" s="178" t="s">
        <v>438</v>
      </c>
      <c r="M213" s="178" t="s">
        <v>401</v>
      </c>
      <c r="N213" s="178" t="s">
        <v>402</v>
      </c>
      <c r="O213" s="178" t="s">
        <v>442</v>
      </c>
      <c r="P213" s="178" t="s">
        <v>397</v>
      </c>
      <c r="Q213" s="178"/>
      <c r="R213" s="6">
        <f>IF((PA[[#This Row],[String Type(If String BD)]]&amp;PA[[#This Row],[Equipment (If any BD other than PV  array and inv)]])="",1,0)</f>
        <v>0</v>
      </c>
      <c r="S213" s="6">
        <f>IF(PA[[#This Row],[String Type(If String BD)]]="",1,0)</f>
        <v>0</v>
      </c>
      <c r="T2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3" s="68">
        <f>IFERROR(VLOOKUP(PA[[#This Row],[Affected Equipment ]],'Basic Data '!$A$1:$B$1846,2,0),"")</f>
        <v>25.81</v>
      </c>
      <c r="V213" s="143">
        <f>IFERROR(VLOOKUP(PA[[#This Row],[Affected Equipment ]],'Basic Data '!$A$1:$C$1846,3,0),"")</f>
        <v>7.7023853221960597E-5</v>
      </c>
      <c r="W213" s="178" t="s">
        <v>398</v>
      </c>
      <c r="X213" s="110" t="s">
        <v>410</v>
      </c>
      <c r="Y213" s="110" t="s">
        <v>411</v>
      </c>
      <c r="Z213" s="109">
        <v>0.28819444444444442</v>
      </c>
      <c r="AA213" s="109">
        <v>0.28819444444444442</v>
      </c>
      <c r="AB213" s="109">
        <v>0.28819444444444442</v>
      </c>
      <c r="AC213" s="109">
        <v>0.80625000000000002</v>
      </c>
      <c r="AD213" s="82">
        <f>IF(PA[[#This Row],[Acknowledgement Time ]]="NA","",(PA[[#This Row],[Acknowledgement Time ]]-PA[[#This Row],[Fault Time]])*24)</f>
        <v>0</v>
      </c>
      <c r="AE213" s="82">
        <f>IF(PA[[#This Row],[Work Start time on Fault]]="NA","",(PA[[#This Row],[Work Start time on Fault]]-PA[[#This Row],[Fault Time]])*24)</f>
        <v>0</v>
      </c>
      <c r="AF213" s="111">
        <f>IF(PA[[#This Row],[Status]]="Open","",(PA[[#This Row],[Work Completion time on fault]]-PA[[#This Row],[Fault Time]])*24)</f>
        <v>12.433333333333334</v>
      </c>
      <c r="AG213" s="82">
        <f>IFERROR((PA[[#This Row],[Work Completion time on fault]]-PA[[#This Row],[Fault Time]])*24,"")</f>
        <v>12.433333333333334</v>
      </c>
      <c r="AH213" s="183" t="s">
        <v>2660</v>
      </c>
      <c r="AI213" s="178" t="s">
        <v>422</v>
      </c>
      <c r="AJ213" s="68">
        <f>IFERROR(PA[[#This Row],[Breakdown Time]]*PA[[#This Row],[Plant Equivalent Weightage]],"")</f>
        <v>9.5766324172637674E-4</v>
      </c>
      <c r="AK213" s="117">
        <v>5.03</v>
      </c>
      <c r="AL213" s="116">
        <f>IF(PA[[#This Row],[Lost PoA(Wh/m2)]]&gt;0,_xlfn.XLOOKUP($B213,'Daily KPI'!$A:$A,'Daily KPI'!$AE:$AE)*PA[[#This Row],[Lost PoA(Wh/m2)]]*U213,0)</f>
        <v>106.1264666902473</v>
      </c>
      <c r="AM213" s="176" t="s">
        <v>2553</v>
      </c>
    </row>
    <row r="214" spans="1:39" ht="14" customHeight="1">
      <c r="A214" s="177">
        <f t="shared" si="4"/>
        <v>211</v>
      </c>
      <c r="B214" s="185">
        <v>45802</v>
      </c>
      <c r="C214" s="178" t="s">
        <v>477</v>
      </c>
      <c r="D214" s="6">
        <f>YEAR(PA[[#This Row],[Date]])</f>
        <v>2025</v>
      </c>
      <c r="E214" s="178" t="s">
        <v>361</v>
      </c>
      <c r="F214" s="178" t="s">
        <v>361</v>
      </c>
      <c r="G214" s="179">
        <v>45778</v>
      </c>
      <c r="H214" s="176">
        <f>DAY(EOMONTH(PA[[#This Row],[Month Year]],0))</f>
        <v>31</v>
      </c>
      <c r="I214" s="180">
        <f>VLOOKUP(PA[[#This Row],[Date]],Raw_Data[#All],9,0)</f>
        <v>0.28819444444444442</v>
      </c>
      <c r="J214" s="180">
        <f>VLOOKUP(PA[[#This Row],[Date]],Raw_Data[#All],10,0)</f>
        <v>0.80625000000000002</v>
      </c>
      <c r="K214" s="68">
        <f>IFERROR((PA[[#This Row],[Sunset Time (POA&lt;20 W/m2)]]-PA[[#This Row],[Sunrise Time (POA&gt;20 W/m2)]])*24,"")</f>
        <v>12.433333333333334</v>
      </c>
      <c r="L214" s="178" t="s">
        <v>438</v>
      </c>
      <c r="M214" s="178" t="s">
        <v>401</v>
      </c>
      <c r="N214" s="178" t="s">
        <v>402</v>
      </c>
      <c r="O214" s="178" t="s">
        <v>409</v>
      </c>
      <c r="P214" s="178" t="s">
        <v>397</v>
      </c>
      <c r="Q214" s="178"/>
      <c r="R214" s="6">
        <f>IF((PA[[#This Row],[String Type(If String BD)]]&amp;PA[[#This Row],[Equipment (If any BD other than PV  array and inv)]])="",1,0)</f>
        <v>0</v>
      </c>
      <c r="S214" s="6">
        <f>IF(PA[[#This Row],[String Type(If String BD)]]="",1,0)</f>
        <v>0</v>
      </c>
      <c r="T2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4" s="68">
        <f>IFERROR(VLOOKUP(PA[[#This Row],[Affected Equipment ]],'Basic Data '!$A$1:$B$1846,2,0),"")</f>
        <v>25.81</v>
      </c>
      <c r="V214" s="143">
        <f>IFERROR(VLOOKUP(PA[[#This Row],[Affected Equipment ]],'Basic Data '!$A$1:$C$1846,3,0),"")</f>
        <v>7.7023853221960597E-5</v>
      </c>
      <c r="W214" s="178" t="s">
        <v>398</v>
      </c>
      <c r="X214" s="110" t="s">
        <v>410</v>
      </c>
      <c r="Y214" s="110" t="s">
        <v>411</v>
      </c>
      <c r="Z214" s="109">
        <v>0.28819444444444442</v>
      </c>
      <c r="AA214" s="109">
        <v>0.28819444444444442</v>
      </c>
      <c r="AB214" s="109">
        <v>0.28819444444444442</v>
      </c>
      <c r="AC214" s="109">
        <v>0.80625000000000002</v>
      </c>
      <c r="AD214" s="82">
        <f>IF(PA[[#This Row],[Acknowledgement Time ]]="NA","",(PA[[#This Row],[Acknowledgement Time ]]-PA[[#This Row],[Fault Time]])*24)</f>
        <v>0</v>
      </c>
      <c r="AE214" s="82">
        <f>IF(PA[[#This Row],[Work Start time on Fault]]="NA","",(PA[[#This Row],[Work Start time on Fault]]-PA[[#This Row],[Fault Time]])*24)</f>
        <v>0</v>
      </c>
      <c r="AF214" s="111">
        <f>IF(PA[[#This Row],[Status]]="Open","",(PA[[#This Row],[Work Completion time on fault]]-PA[[#This Row],[Fault Time]])*24)</f>
        <v>12.433333333333334</v>
      </c>
      <c r="AG214" s="82">
        <f>IFERROR((PA[[#This Row],[Work Completion time on fault]]-PA[[#This Row],[Fault Time]])*24,"")</f>
        <v>12.433333333333334</v>
      </c>
      <c r="AH214" s="183" t="s">
        <v>2660</v>
      </c>
      <c r="AI214" s="178" t="s">
        <v>422</v>
      </c>
      <c r="AJ214" s="68">
        <f>IFERROR(PA[[#This Row],[Breakdown Time]]*PA[[#This Row],[Plant Equivalent Weightage]],"")</f>
        <v>9.5766324172637674E-4</v>
      </c>
      <c r="AK214" s="117">
        <v>5.03</v>
      </c>
      <c r="AL214" s="116">
        <f>IF(PA[[#This Row],[Lost PoA(Wh/m2)]]&gt;0,_xlfn.XLOOKUP($B214,'Daily KPI'!$A:$A,'Daily KPI'!$AE:$AE)*PA[[#This Row],[Lost PoA(Wh/m2)]]*U214,0)</f>
        <v>106.1264666902473</v>
      </c>
      <c r="AM214" s="176" t="s">
        <v>2553</v>
      </c>
    </row>
    <row r="215" spans="1:39" ht="14" customHeight="1">
      <c r="A215" s="177">
        <f t="shared" si="4"/>
        <v>212</v>
      </c>
      <c r="B215" s="185">
        <v>45802</v>
      </c>
      <c r="C215" s="178" t="s">
        <v>477</v>
      </c>
      <c r="D215" s="6">
        <f>YEAR(PA[[#This Row],[Date]])</f>
        <v>2025</v>
      </c>
      <c r="E215" s="178" t="s">
        <v>361</v>
      </c>
      <c r="F215" s="178" t="s">
        <v>361</v>
      </c>
      <c r="G215" s="179">
        <v>45778</v>
      </c>
      <c r="H215" s="176">
        <f>DAY(EOMONTH(PA[[#This Row],[Month Year]],0))</f>
        <v>31</v>
      </c>
      <c r="I215" s="180">
        <f>VLOOKUP(PA[[#This Row],[Date]],Raw_Data[#All],9,0)</f>
        <v>0.28819444444444442</v>
      </c>
      <c r="J215" s="180">
        <f>VLOOKUP(PA[[#This Row],[Date]],Raw_Data[#All],10,0)</f>
        <v>0.80625000000000002</v>
      </c>
      <c r="K215" s="68">
        <f>IFERROR((PA[[#This Row],[Sunset Time (POA&lt;20 W/m2)]]-PA[[#This Row],[Sunrise Time (POA&gt;20 W/m2)]])*24,"")</f>
        <v>12.433333333333334</v>
      </c>
      <c r="L215" s="178" t="s">
        <v>393</v>
      </c>
      <c r="M215" s="178" t="s">
        <v>414</v>
      </c>
      <c r="N215" s="178" t="s">
        <v>395</v>
      </c>
      <c r="O215" s="178" t="s">
        <v>417</v>
      </c>
      <c r="P215" s="178" t="s">
        <v>397</v>
      </c>
      <c r="Q215" s="178"/>
      <c r="R215" s="6">
        <f>IF((PA[[#This Row],[String Type(If String BD)]]&amp;PA[[#This Row],[Equipment (If any BD other than PV  array and inv)]])="",1,0)</f>
        <v>0</v>
      </c>
      <c r="S215" s="6">
        <f>IF(PA[[#This Row],[String Type(If String BD)]]="",1,0)</f>
        <v>0</v>
      </c>
      <c r="T2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5" s="68">
        <f>IFERROR(VLOOKUP(PA[[#This Row],[Affected Equipment ]],'Basic Data '!$A$1:$B$1846,2,0),"")</f>
        <v>25.81</v>
      </c>
      <c r="V215" s="143">
        <f>IFERROR(VLOOKUP(PA[[#This Row],[Affected Equipment ]],'Basic Data '!$A$1:$C$1846,3,0),"")</f>
        <v>7.7023853221960597E-5</v>
      </c>
      <c r="W215" s="178" t="s">
        <v>398</v>
      </c>
      <c r="X215" s="110" t="s">
        <v>410</v>
      </c>
      <c r="Y215" s="110" t="s">
        <v>411</v>
      </c>
      <c r="Z215" s="109">
        <v>0.28819444444444442</v>
      </c>
      <c r="AA215" s="109">
        <v>0.28819444444444442</v>
      </c>
      <c r="AB215" s="109">
        <v>0.28819444444444442</v>
      </c>
      <c r="AC215" s="109">
        <v>0.80625000000000002</v>
      </c>
      <c r="AD215" s="82">
        <f>IF(PA[[#This Row],[Acknowledgement Time ]]="NA","",(PA[[#This Row],[Acknowledgement Time ]]-PA[[#This Row],[Fault Time]])*24)</f>
        <v>0</v>
      </c>
      <c r="AE215" s="82">
        <f>IF(PA[[#This Row],[Work Start time on Fault]]="NA","",(PA[[#This Row],[Work Start time on Fault]]-PA[[#This Row],[Fault Time]])*24)</f>
        <v>0</v>
      </c>
      <c r="AF215" s="111">
        <f>IF(PA[[#This Row],[Status]]="Open","",(PA[[#This Row],[Work Completion time on fault]]-PA[[#This Row],[Fault Time]])*24)</f>
        <v>12.433333333333334</v>
      </c>
      <c r="AG215" s="82">
        <f>IFERROR((PA[[#This Row],[Work Completion time on fault]]-PA[[#This Row],[Fault Time]])*24,"")</f>
        <v>12.433333333333334</v>
      </c>
      <c r="AH215" s="183" t="s">
        <v>2660</v>
      </c>
      <c r="AI215" s="84" t="s">
        <v>422</v>
      </c>
      <c r="AJ215" s="68">
        <f>IFERROR(PA[[#This Row],[Breakdown Time]]*PA[[#This Row],[Plant Equivalent Weightage]],"")</f>
        <v>9.5766324172637674E-4</v>
      </c>
      <c r="AK215" s="117">
        <v>5.03</v>
      </c>
      <c r="AL215" s="116">
        <f>IF(PA[[#This Row],[Lost PoA(Wh/m2)]]&gt;0,_xlfn.XLOOKUP($B215,'Daily KPI'!$A:$A,'Daily KPI'!$AE:$AE)*PA[[#This Row],[Lost PoA(Wh/m2)]]*U215,0)</f>
        <v>106.1264666902473</v>
      </c>
      <c r="AM215" s="176" t="s">
        <v>2556</v>
      </c>
    </row>
    <row r="216" spans="1:39" ht="14" customHeight="1">
      <c r="A216" s="177">
        <f t="shared" si="4"/>
        <v>213</v>
      </c>
      <c r="B216" s="185">
        <v>45802</v>
      </c>
      <c r="C216" s="178" t="s">
        <v>477</v>
      </c>
      <c r="D216" s="6">
        <f>YEAR(PA[[#This Row],[Date]])</f>
        <v>2025</v>
      </c>
      <c r="E216" s="178" t="s">
        <v>361</v>
      </c>
      <c r="F216" s="178" t="s">
        <v>361</v>
      </c>
      <c r="G216" s="179">
        <v>45778</v>
      </c>
      <c r="H216" s="176">
        <f>DAY(EOMONTH(PA[[#This Row],[Month Year]],0))</f>
        <v>31</v>
      </c>
      <c r="I216" s="180">
        <f>VLOOKUP(PA[[#This Row],[Date]],Raw_Data[#All],9,0)</f>
        <v>0.28819444444444442</v>
      </c>
      <c r="J216" s="180">
        <f>VLOOKUP(PA[[#This Row],[Date]],Raw_Data[#All],10,0)</f>
        <v>0.80625000000000002</v>
      </c>
      <c r="K216" s="68">
        <f>IFERROR((PA[[#This Row],[Sunset Time (POA&lt;20 W/m2)]]-PA[[#This Row],[Sunrise Time (POA&gt;20 W/m2)]])*24,"")</f>
        <v>12.433333333333334</v>
      </c>
      <c r="L216" s="178" t="s">
        <v>430</v>
      </c>
      <c r="M216" s="178" t="s">
        <v>408</v>
      </c>
      <c r="N216" s="178" t="s">
        <v>395</v>
      </c>
      <c r="O216" s="178" t="s">
        <v>403</v>
      </c>
      <c r="P216" s="178" t="s">
        <v>397</v>
      </c>
      <c r="Q216" s="178"/>
      <c r="R216" s="6">
        <f>IF((PA[[#This Row],[String Type(If String BD)]]&amp;PA[[#This Row],[Equipment (If any BD other than PV  array and inv)]])="",1,0)</f>
        <v>0</v>
      </c>
      <c r="S216" s="6">
        <f>IF(PA[[#This Row],[String Type(If String BD)]]="",1,0)</f>
        <v>0</v>
      </c>
      <c r="T2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6" s="68">
        <f>IFERROR(VLOOKUP(PA[[#This Row],[Affected Equipment ]],'Basic Data '!$A$1:$B$1846,2,0),"")</f>
        <v>25.81</v>
      </c>
      <c r="V216" s="143">
        <f>IFERROR(VLOOKUP(PA[[#This Row],[Affected Equipment ]],'Basic Data '!$A$1:$C$1846,3,0),"")</f>
        <v>7.7023853221960597E-5</v>
      </c>
      <c r="W216" s="178" t="s">
        <v>398</v>
      </c>
      <c r="X216" s="110" t="s">
        <v>410</v>
      </c>
      <c r="Y216" s="110" t="s">
        <v>411</v>
      </c>
      <c r="Z216" s="109">
        <v>0.28819444444444442</v>
      </c>
      <c r="AA216" s="109">
        <v>0.28819444444444442</v>
      </c>
      <c r="AB216" s="109">
        <v>0.28819444444444442</v>
      </c>
      <c r="AC216" s="109">
        <v>0.80625000000000002</v>
      </c>
      <c r="AD216" s="82">
        <f>IF(PA[[#This Row],[Acknowledgement Time ]]="NA","",(PA[[#This Row],[Acknowledgement Time ]]-PA[[#This Row],[Fault Time]])*24)</f>
        <v>0</v>
      </c>
      <c r="AE216" s="82">
        <f>IF(PA[[#This Row],[Work Start time on Fault]]="NA","",(PA[[#This Row],[Work Start time on Fault]]-PA[[#This Row],[Fault Time]])*24)</f>
        <v>0</v>
      </c>
      <c r="AF216" s="111">
        <f>IF(PA[[#This Row],[Status]]="Open","",(PA[[#This Row],[Work Completion time on fault]]-PA[[#This Row],[Fault Time]])*24)</f>
        <v>12.433333333333334</v>
      </c>
      <c r="AG216" s="82">
        <f>IFERROR((PA[[#This Row],[Work Completion time on fault]]-PA[[#This Row],[Fault Time]])*24,"")</f>
        <v>12.433333333333334</v>
      </c>
      <c r="AH216" s="183" t="s">
        <v>2660</v>
      </c>
      <c r="AI216" s="178" t="s">
        <v>422</v>
      </c>
      <c r="AJ216" s="68">
        <f>IFERROR(PA[[#This Row],[Breakdown Time]]*PA[[#This Row],[Plant Equivalent Weightage]],"")</f>
        <v>9.5766324172637674E-4</v>
      </c>
      <c r="AK216" s="117">
        <v>5.03</v>
      </c>
      <c r="AL216" s="116">
        <f>IF(PA[[#This Row],[Lost PoA(Wh/m2)]]&gt;0,_xlfn.XLOOKUP($B216,'Daily KPI'!$A:$A,'Daily KPI'!$AE:$AE)*PA[[#This Row],[Lost PoA(Wh/m2)]]*U216,0)</f>
        <v>106.1264666902473</v>
      </c>
      <c r="AM216" s="176" t="s">
        <v>2556</v>
      </c>
    </row>
    <row r="217" spans="1:39" ht="14" customHeight="1">
      <c r="A217" s="177">
        <f t="shared" si="4"/>
        <v>214</v>
      </c>
      <c r="B217" s="185">
        <v>45802</v>
      </c>
      <c r="C217" s="178" t="s">
        <v>477</v>
      </c>
      <c r="D217" s="6">
        <f>YEAR(PA[[#This Row],[Date]])</f>
        <v>2025</v>
      </c>
      <c r="E217" s="178" t="s">
        <v>361</v>
      </c>
      <c r="F217" s="178" t="s">
        <v>361</v>
      </c>
      <c r="G217" s="179">
        <v>45778</v>
      </c>
      <c r="H217" s="176">
        <f>DAY(EOMONTH(PA[[#This Row],[Month Year]],0))</f>
        <v>31</v>
      </c>
      <c r="I217" s="180">
        <f>VLOOKUP(PA[[#This Row],[Date]],Raw_Data[#All],9,0)</f>
        <v>0.28819444444444442</v>
      </c>
      <c r="J217" s="180">
        <f>VLOOKUP(PA[[#This Row],[Date]],Raw_Data[#All],10,0)</f>
        <v>0.80625000000000002</v>
      </c>
      <c r="K217" s="68">
        <f>IFERROR((PA[[#This Row],[Sunset Time (POA&lt;20 W/m2)]]-PA[[#This Row],[Sunrise Time (POA&gt;20 W/m2)]])*24,"")</f>
        <v>12.433333333333334</v>
      </c>
      <c r="L217" s="178" t="s">
        <v>441</v>
      </c>
      <c r="M217" s="178" t="s">
        <v>394</v>
      </c>
      <c r="N217" s="178" t="s">
        <v>395</v>
      </c>
      <c r="O217" s="178" t="s">
        <v>412</v>
      </c>
      <c r="P217" s="178" t="s">
        <v>445</v>
      </c>
      <c r="Q217" s="178"/>
      <c r="R217" s="6">
        <f>IF((PA[[#This Row],[String Type(If String BD)]]&amp;PA[[#This Row],[Equipment (If any BD other than PV  array and inv)]])="",1,0)</f>
        <v>0</v>
      </c>
      <c r="S217" s="6">
        <f>IF(PA[[#This Row],[String Type(If String BD)]]="",1,0)</f>
        <v>0</v>
      </c>
      <c r="T2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17" s="68">
        <f>IFERROR(VLOOKUP(PA[[#This Row],[Affected Equipment ]],'Basic Data '!$A$1:$B$1846,2,0),"")</f>
        <v>26.1</v>
      </c>
      <c r="V217" s="143">
        <f>IFERROR(VLOOKUP(PA[[#This Row],[Affected Equipment ]],'Basic Data '!$A$1:$C$1846,3,0),"")</f>
        <v>7.7889289775016346E-5</v>
      </c>
      <c r="W217" s="178" t="s">
        <v>398</v>
      </c>
      <c r="X217" s="110" t="s">
        <v>410</v>
      </c>
      <c r="Y217" s="110" t="s">
        <v>411</v>
      </c>
      <c r="Z217" s="109">
        <v>0.28819444444444442</v>
      </c>
      <c r="AA217" s="109">
        <v>0.28819444444444442</v>
      </c>
      <c r="AB217" s="109">
        <v>0.28819444444444442</v>
      </c>
      <c r="AC217" s="109">
        <v>0.80625000000000002</v>
      </c>
      <c r="AD217" s="82">
        <f>IF(PA[[#This Row],[Acknowledgement Time ]]="NA","",(PA[[#This Row],[Acknowledgement Time ]]-PA[[#This Row],[Fault Time]])*24)</f>
        <v>0</v>
      </c>
      <c r="AE217" s="82">
        <f>IF(PA[[#This Row],[Work Start time on Fault]]="NA","",(PA[[#This Row],[Work Start time on Fault]]-PA[[#This Row],[Fault Time]])*24)</f>
        <v>0</v>
      </c>
      <c r="AF217" s="111">
        <f>IF(PA[[#This Row],[Status]]="Open","",(PA[[#This Row],[Work Completion time on fault]]-PA[[#This Row],[Fault Time]])*24)</f>
        <v>12.433333333333334</v>
      </c>
      <c r="AG217" s="82">
        <f>IFERROR((PA[[#This Row],[Work Completion time on fault]]-PA[[#This Row],[Fault Time]])*24,"")</f>
        <v>12.433333333333334</v>
      </c>
      <c r="AH217" s="183" t="s">
        <v>2660</v>
      </c>
      <c r="AI217" s="178" t="s">
        <v>422</v>
      </c>
      <c r="AJ217" s="68">
        <f>IFERROR(PA[[#This Row],[Breakdown Time]]*PA[[#This Row],[Plant Equivalent Weightage]],"")</f>
        <v>9.6842350286936989E-4</v>
      </c>
      <c r="AK217" s="117">
        <v>5.03</v>
      </c>
      <c r="AL217" s="116">
        <f>IF(PA[[#This Row],[Lost PoA(Wh/m2)]]&gt;0,_xlfn.XLOOKUP($B217,'Daily KPI'!$A:$A,'Daily KPI'!$AE:$AE)*PA[[#This Row],[Lost PoA(Wh/m2)]]*U217,0)</f>
        <v>107.31889890025009</v>
      </c>
      <c r="AM217" s="176" t="s">
        <v>2556</v>
      </c>
    </row>
    <row r="218" spans="1:39" ht="14" customHeight="1">
      <c r="A218" s="177">
        <f t="shared" si="4"/>
        <v>215</v>
      </c>
      <c r="B218" s="185">
        <v>45802</v>
      </c>
      <c r="C218" s="178" t="s">
        <v>477</v>
      </c>
      <c r="D218" s="6">
        <f>YEAR(PA[[#This Row],[Date]])</f>
        <v>2025</v>
      </c>
      <c r="E218" s="178" t="s">
        <v>361</v>
      </c>
      <c r="F218" s="178" t="s">
        <v>361</v>
      </c>
      <c r="G218" s="179">
        <v>45778</v>
      </c>
      <c r="H218" s="176">
        <f>DAY(EOMONTH(PA[[#This Row],[Month Year]],0))</f>
        <v>31</v>
      </c>
      <c r="I218" s="180">
        <f>VLOOKUP(PA[[#This Row],[Date]],Raw_Data[#All],9,0)</f>
        <v>0.28819444444444442</v>
      </c>
      <c r="J218" s="180">
        <f>VLOOKUP(PA[[#This Row],[Date]],Raw_Data[#All],10,0)</f>
        <v>0.80625000000000002</v>
      </c>
      <c r="K218" s="68">
        <f>IFERROR((PA[[#This Row],[Sunset Time (POA&lt;20 W/m2)]]-PA[[#This Row],[Sunrise Time (POA&gt;20 W/m2)]])*24,"")</f>
        <v>12.433333333333334</v>
      </c>
      <c r="L218" s="178" t="s">
        <v>400</v>
      </c>
      <c r="M218" s="178" t="s">
        <v>408</v>
      </c>
      <c r="N218" s="178" t="s">
        <v>402</v>
      </c>
      <c r="O218" s="178" t="s">
        <v>412</v>
      </c>
      <c r="P218" s="178" t="s">
        <v>404</v>
      </c>
      <c r="Q218" s="178"/>
      <c r="R218" s="6">
        <f>IF((PA[[#This Row],[String Type(If String BD)]]&amp;PA[[#This Row],[Equipment (If any BD other than PV  array and inv)]])="",1,0)</f>
        <v>0</v>
      </c>
      <c r="S218" s="6">
        <f>IF(PA[[#This Row],[String Type(If String BD)]]="",1,0)</f>
        <v>0</v>
      </c>
      <c r="T2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8" s="68">
        <f>IFERROR(VLOOKUP(PA[[#This Row],[Affected Equipment ]],'Basic Data '!$A$1:$B$1846,2,0),"")</f>
        <v>31.32</v>
      </c>
      <c r="V218" s="143">
        <f>IFERROR(VLOOKUP(PA[[#This Row],[Affected Equipment ]],'Basic Data '!$A$1:$C$1846,3,0),"")</f>
        <v>9.3467147730019601E-5</v>
      </c>
      <c r="W218" s="178" t="s">
        <v>398</v>
      </c>
      <c r="X218" s="110" t="s">
        <v>410</v>
      </c>
      <c r="Y218" s="110" t="s">
        <v>411</v>
      </c>
      <c r="Z218" s="109">
        <v>0.28819444444444442</v>
      </c>
      <c r="AA218" s="109">
        <v>0.28819444444444442</v>
      </c>
      <c r="AB218" s="109">
        <v>0.28819444444444442</v>
      </c>
      <c r="AC218" s="109">
        <v>0.80625000000000002</v>
      </c>
      <c r="AD218" s="82">
        <f>IF(PA[[#This Row],[Acknowledgement Time ]]="NA","",(PA[[#This Row],[Acknowledgement Time ]]-PA[[#This Row],[Fault Time]])*24)</f>
        <v>0</v>
      </c>
      <c r="AE218" s="82">
        <f>IF(PA[[#This Row],[Work Start time on Fault]]="NA","",(PA[[#This Row],[Work Start time on Fault]]-PA[[#This Row],[Fault Time]])*24)</f>
        <v>0</v>
      </c>
      <c r="AF218" s="111">
        <f>IF(PA[[#This Row],[Status]]="Open","",(PA[[#This Row],[Work Completion time on fault]]-PA[[#This Row],[Fault Time]])*24)</f>
        <v>12.433333333333334</v>
      </c>
      <c r="AG218" s="82">
        <f>IFERROR((PA[[#This Row],[Work Completion time on fault]]-PA[[#This Row],[Fault Time]])*24,"")</f>
        <v>12.433333333333334</v>
      </c>
      <c r="AH218" s="183" t="s">
        <v>2660</v>
      </c>
      <c r="AI218" s="178" t="s">
        <v>422</v>
      </c>
      <c r="AJ218" s="68">
        <f>IFERROR(PA[[#This Row],[Breakdown Time]]*PA[[#This Row],[Plant Equivalent Weightage]],"")</f>
        <v>1.1621082034432438E-3</v>
      </c>
      <c r="AK218" s="117">
        <v>5.03</v>
      </c>
      <c r="AL218" s="116">
        <f>IF(PA[[#This Row],[Lost PoA(Wh/m2)]]&gt;0,_xlfn.XLOOKUP($B218,'Daily KPI'!$A:$A,'Daily KPI'!$AE:$AE)*PA[[#This Row],[Lost PoA(Wh/m2)]]*U218,0)</f>
        <v>128.78267868030011</v>
      </c>
      <c r="AM218" s="176" t="s">
        <v>2556</v>
      </c>
    </row>
    <row r="219" spans="1:39" ht="14" customHeight="1">
      <c r="A219" s="177">
        <f t="shared" si="4"/>
        <v>216</v>
      </c>
      <c r="B219" s="185">
        <v>45802</v>
      </c>
      <c r="C219" s="178" t="s">
        <v>477</v>
      </c>
      <c r="D219" s="6">
        <f>YEAR(PA[[#This Row],[Date]])</f>
        <v>2025</v>
      </c>
      <c r="E219" s="178" t="s">
        <v>361</v>
      </c>
      <c r="F219" s="178" t="s">
        <v>361</v>
      </c>
      <c r="G219" s="179">
        <v>45778</v>
      </c>
      <c r="H219" s="176">
        <f>DAY(EOMONTH(PA[[#This Row],[Month Year]],0))</f>
        <v>31</v>
      </c>
      <c r="I219" s="180">
        <f>VLOOKUP(PA[[#This Row],[Date]],Raw_Data[#All],9,0)</f>
        <v>0.28819444444444442</v>
      </c>
      <c r="J219" s="180">
        <f>VLOOKUP(PA[[#This Row],[Date]],Raw_Data[#All],10,0)</f>
        <v>0.80625000000000002</v>
      </c>
      <c r="K219" s="68">
        <f>IFERROR((PA[[#This Row],[Sunset Time (POA&lt;20 W/m2)]]-PA[[#This Row],[Sunrise Time (POA&gt;20 W/m2)]])*24,"")</f>
        <v>12.433333333333334</v>
      </c>
      <c r="L219" s="178" t="s">
        <v>400</v>
      </c>
      <c r="M219" s="178" t="s">
        <v>408</v>
      </c>
      <c r="N219" s="178" t="s">
        <v>402</v>
      </c>
      <c r="O219" s="178" t="s">
        <v>412</v>
      </c>
      <c r="P219" s="178" t="s">
        <v>404</v>
      </c>
      <c r="Q219" s="178"/>
      <c r="R219" s="6">
        <f>IF((PA[[#This Row],[String Type(If String BD)]]&amp;PA[[#This Row],[Equipment (If any BD other than PV  array and inv)]])="",1,0)</f>
        <v>0</v>
      </c>
      <c r="S219" s="6">
        <f>IF(PA[[#This Row],[String Type(If String BD)]]="",1,0)</f>
        <v>0</v>
      </c>
      <c r="T2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9" s="68">
        <f>IFERROR(VLOOKUP(PA[[#This Row],[Affected Equipment ]],'Basic Data '!$A$1:$B$1846,2,0),"")</f>
        <v>31.32</v>
      </c>
      <c r="V219" s="143">
        <f>IFERROR(VLOOKUP(PA[[#This Row],[Affected Equipment ]],'Basic Data '!$A$1:$C$1846,3,0),"")</f>
        <v>9.3467147730019601E-5</v>
      </c>
      <c r="W219" s="178" t="s">
        <v>398</v>
      </c>
      <c r="X219" s="110" t="s">
        <v>410</v>
      </c>
      <c r="Y219" s="110" t="s">
        <v>411</v>
      </c>
      <c r="Z219" s="109">
        <v>0.28819444444444442</v>
      </c>
      <c r="AA219" s="109">
        <v>0.28819444444444442</v>
      </c>
      <c r="AB219" s="109">
        <v>0.28819444444444442</v>
      </c>
      <c r="AC219" s="109">
        <v>0.80625000000000002</v>
      </c>
      <c r="AD219" s="82">
        <f>IF(PA[[#This Row],[Acknowledgement Time ]]="NA","",(PA[[#This Row],[Acknowledgement Time ]]-PA[[#This Row],[Fault Time]])*24)</f>
        <v>0</v>
      </c>
      <c r="AE219" s="82">
        <f>IF(PA[[#This Row],[Work Start time on Fault]]="NA","",(PA[[#This Row],[Work Start time on Fault]]-PA[[#This Row],[Fault Time]])*24)</f>
        <v>0</v>
      </c>
      <c r="AF219" s="111">
        <f>IF(PA[[#This Row],[Status]]="Open","",(PA[[#This Row],[Work Completion time on fault]]-PA[[#This Row],[Fault Time]])*24)</f>
        <v>12.433333333333334</v>
      </c>
      <c r="AG219" s="82">
        <f>IFERROR((PA[[#This Row],[Work Completion time on fault]]-PA[[#This Row],[Fault Time]])*24,"")</f>
        <v>12.433333333333334</v>
      </c>
      <c r="AH219" s="183" t="s">
        <v>2660</v>
      </c>
      <c r="AI219" s="178" t="s">
        <v>422</v>
      </c>
      <c r="AJ219" s="68">
        <f>IFERROR(PA[[#This Row],[Breakdown Time]]*PA[[#This Row],[Plant Equivalent Weightage]],"")</f>
        <v>1.1621082034432438E-3</v>
      </c>
      <c r="AK219" s="117">
        <v>5.03</v>
      </c>
      <c r="AL219" s="116">
        <f>IF(PA[[#This Row],[Lost PoA(Wh/m2)]]&gt;0,_xlfn.XLOOKUP($B219,'Daily KPI'!$A:$A,'Daily KPI'!$AE:$AE)*PA[[#This Row],[Lost PoA(Wh/m2)]]*U219,0)</f>
        <v>128.78267868030011</v>
      </c>
      <c r="AM219" s="176" t="s">
        <v>2556</v>
      </c>
    </row>
    <row r="220" spans="1:39" ht="14" customHeight="1">
      <c r="A220" s="177">
        <f t="shared" si="4"/>
        <v>217</v>
      </c>
      <c r="B220" s="185">
        <v>45802</v>
      </c>
      <c r="C220" s="178" t="s">
        <v>477</v>
      </c>
      <c r="D220" s="6">
        <f>YEAR(PA[[#This Row],[Date]])</f>
        <v>2025</v>
      </c>
      <c r="E220" s="178" t="s">
        <v>361</v>
      </c>
      <c r="F220" s="178" t="s">
        <v>361</v>
      </c>
      <c r="G220" s="179">
        <v>45778</v>
      </c>
      <c r="H220" s="176">
        <f>DAY(EOMONTH(PA[[#This Row],[Month Year]],0))</f>
        <v>31</v>
      </c>
      <c r="I220" s="180">
        <f>VLOOKUP(PA[[#This Row],[Date]],Raw_Data[#All],9,0)</f>
        <v>0.28819444444444442</v>
      </c>
      <c r="J220" s="180">
        <f>VLOOKUP(PA[[#This Row],[Date]],Raw_Data[#All],10,0)</f>
        <v>0.80625000000000002</v>
      </c>
      <c r="K220" s="68">
        <f>IFERROR((PA[[#This Row],[Sunset Time (POA&lt;20 W/m2)]]-PA[[#This Row],[Sunrise Time (POA&gt;20 W/m2)]])*24,"")</f>
        <v>12.433333333333334</v>
      </c>
      <c r="L220" s="178" t="s">
        <v>400</v>
      </c>
      <c r="M220" s="178" t="s">
        <v>408</v>
      </c>
      <c r="N220" s="178" t="s">
        <v>402</v>
      </c>
      <c r="O220" s="178" t="s">
        <v>413</v>
      </c>
      <c r="P220" s="178" t="s">
        <v>404</v>
      </c>
      <c r="Q220" s="178"/>
      <c r="R220" s="6">
        <f>IF((PA[[#This Row],[String Type(If String BD)]]&amp;PA[[#This Row],[Equipment (If any BD other than PV  array and inv)]])="",1,0)</f>
        <v>0</v>
      </c>
      <c r="S220" s="6">
        <f>IF(PA[[#This Row],[String Type(If String BD)]]="",1,0)</f>
        <v>0</v>
      </c>
      <c r="T2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0" s="68">
        <f>IFERROR(VLOOKUP(PA[[#This Row],[Affected Equipment ]],'Basic Data '!$A$1:$B$1846,2,0),"")</f>
        <v>31.32</v>
      </c>
      <c r="V220" s="143">
        <f>IFERROR(VLOOKUP(PA[[#This Row],[Affected Equipment ]],'Basic Data '!$A$1:$C$1846,3,0),"")</f>
        <v>9.3467147730019601E-5</v>
      </c>
      <c r="W220" s="178" t="s">
        <v>398</v>
      </c>
      <c r="X220" s="110" t="s">
        <v>410</v>
      </c>
      <c r="Y220" s="110" t="s">
        <v>411</v>
      </c>
      <c r="Z220" s="109">
        <v>0.28819444444444442</v>
      </c>
      <c r="AA220" s="109">
        <v>0.28819444444444442</v>
      </c>
      <c r="AB220" s="109">
        <v>0.28819444444444442</v>
      </c>
      <c r="AC220" s="109">
        <v>0.80625000000000002</v>
      </c>
      <c r="AD220" s="82">
        <f>IF(PA[[#This Row],[Acknowledgement Time ]]="NA","",(PA[[#This Row],[Acknowledgement Time ]]-PA[[#This Row],[Fault Time]])*24)</f>
        <v>0</v>
      </c>
      <c r="AE220" s="82">
        <f>IF(PA[[#This Row],[Work Start time on Fault]]="NA","",(PA[[#This Row],[Work Start time on Fault]]-PA[[#This Row],[Fault Time]])*24)</f>
        <v>0</v>
      </c>
      <c r="AF220" s="111">
        <f>IF(PA[[#This Row],[Status]]="Open","",(PA[[#This Row],[Work Completion time on fault]]-PA[[#This Row],[Fault Time]])*24)</f>
        <v>12.433333333333334</v>
      </c>
      <c r="AG220" s="82">
        <f>IFERROR((PA[[#This Row],[Work Completion time on fault]]-PA[[#This Row],[Fault Time]])*24,"")</f>
        <v>12.433333333333334</v>
      </c>
      <c r="AH220" s="183" t="s">
        <v>2660</v>
      </c>
      <c r="AI220" s="178" t="s">
        <v>422</v>
      </c>
      <c r="AJ220" s="68">
        <f>IFERROR(PA[[#This Row],[Breakdown Time]]*PA[[#This Row],[Plant Equivalent Weightage]],"")</f>
        <v>1.1621082034432438E-3</v>
      </c>
      <c r="AK220" s="117">
        <v>5.03</v>
      </c>
      <c r="AL220" s="116">
        <f>IF(PA[[#This Row],[Lost PoA(Wh/m2)]]&gt;0,_xlfn.XLOOKUP($B220,'Daily KPI'!$A:$A,'Daily KPI'!$AE:$AE)*PA[[#This Row],[Lost PoA(Wh/m2)]]*U220,0)</f>
        <v>128.78267868030011</v>
      </c>
      <c r="AM220" s="176" t="s">
        <v>2556</v>
      </c>
    </row>
    <row r="221" spans="1:39" ht="14" customHeight="1">
      <c r="A221" s="177">
        <f t="shared" si="4"/>
        <v>218</v>
      </c>
      <c r="B221" s="185">
        <v>45802</v>
      </c>
      <c r="C221" s="178" t="s">
        <v>477</v>
      </c>
      <c r="D221" s="6">
        <f>YEAR(PA[[#This Row],[Date]])</f>
        <v>2025</v>
      </c>
      <c r="E221" s="178" t="s">
        <v>361</v>
      </c>
      <c r="F221" s="178" t="s">
        <v>361</v>
      </c>
      <c r="G221" s="179">
        <v>45778</v>
      </c>
      <c r="H221" s="176">
        <f>DAY(EOMONTH(PA[[#This Row],[Month Year]],0))</f>
        <v>31</v>
      </c>
      <c r="I221" s="180">
        <f>VLOOKUP(PA[[#This Row],[Date]],Raw_Data[#All],9,0)</f>
        <v>0.28819444444444442</v>
      </c>
      <c r="J221" s="180">
        <f>VLOOKUP(PA[[#This Row],[Date]],Raw_Data[#All],10,0)</f>
        <v>0.80625000000000002</v>
      </c>
      <c r="K221" s="68">
        <f>IFERROR((PA[[#This Row],[Sunset Time (POA&lt;20 W/m2)]]-PA[[#This Row],[Sunrise Time (POA&gt;20 W/m2)]])*24,"")</f>
        <v>12.433333333333334</v>
      </c>
      <c r="L221" s="178" t="s">
        <v>400</v>
      </c>
      <c r="M221" s="178" t="s">
        <v>408</v>
      </c>
      <c r="N221" s="178" t="s">
        <v>395</v>
      </c>
      <c r="O221" s="178" t="s">
        <v>409</v>
      </c>
      <c r="P221" s="178" t="s">
        <v>404</v>
      </c>
      <c r="Q221" s="178"/>
      <c r="R221" s="6">
        <f>IF((PA[[#This Row],[String Type(If String BD)]]&amp;PA[[#This Row],[Equipment (If any BD other than PV  array and inv)]])="",1,0)</f>
        <v>0</v>
      </c>
      <c r="S221" s="6">
        <f>IF(PA[[#This Row],[String Type(If String BD)]]="",1,0)</f>
        <v>0</v>
      </c>
      <c r="T2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1" s="68">
        <f>IFERROR(VLOOKUP(PA[[#This Row],[Affected Equipment ]],'Basic Data '!$A$1:$B$1846,2,0),"")</f>
        <v>31.32</v>
      </c>
      <c r="V221" s="143">
        <f>IFERROR(VLOOKUP(PA[[#This Row],[Affected Equipment ]],'Basic Data '!$A$1:$C$1846,3,0),"")</f>
        <v>9.3467147730019601E-5</v>
      </c>
      <c r="W221" s="178" t="s">
        <v>398</v>
      </c>
      <c r="X221" s="110" t="s">
        <v>410</v>
      </c>
      <c r="Y221" s="110" t="s">
        <v>411</v>
      </c>
      <c r="Z221" s="109">
        <v>0.28819444444444442</v>
      </c>
      <c r="AA221" s="109">
        <v>0.28819444444444442</v>
      </c>
      <c r="AB221" s="109">
        <v>0.28819444444444442</v>
      </c>
      <c r="AC221" s="109">
        <v>0.80625000000000002</v>
      </c>
      <c r="AD221" s="82">
        <f>IF(PA[[#This Row],[Acknowledgement Time ]]="NA","",(PA[[#This Row],[Acknowledgement Time ]]-PA[[#This Row],[Fault Time]])*24)</f>
        <v>0</v>
      </c>
      <c r="AE221" s="82">
        <f>IF(PA[[#This Row],[Work Start time on Fault]]="NA","",(PA[[#This Row],[Work Start time on Fault]]-PA[[#This Row],[Fault Time]])*24)</f>
        <v>0</v>
      </c>
      <c r="AF221" s="111">
        <f>IF(PA[[#This Row],[Status]]="Open","",(PA[[#This Row],[Work Completion time on fault]]-PA[[#This Row],[Fault Time]])*24)</f>
        <v>12.433333333333334</v>
      </c>
      <c r="AG221" s="82">
        <f>IFERROR((PA[[#This Row],[Work Completion time on fault]]-PA[[#This Row],[Fault Time]])*24,"")</f>
        <v>12.433333333333334</v>
      </c>
      <c r="AH221" s="183" t="s">
        <v>2660</v>
      </c>
      <c r="AI221" s="178" t="s">
        <v>422</v>
      </c>
      <c r="AJ221" s="68">
        <f>IFERROR(PA[[#This Row],[Breakdown Time]]*PA[[#This Row],[Plant Equivalent Weightage]],"")</f>
        <v>1.1621082034432438E-3</v>
      </c>
      <c r="AK221" s="117">
        <v>5.03</v>
      </c>
      <c r="AL221" s="116">
        <f>IF(PA[[#This Row],[Lost PoA(Wh/m2)]]&gt;0,_xlfn.XLOOKUP($B221,'Daily KPI'!$A:$A,'Daily KPI'!$AE:$AE)*PA[[#This Row],[Lost PoA(Wh/m2)]]*U221,0)</f>
        <v>128.78267868030011</v>
      </c>
      <c r="AM221" s="176" t="s">
        <v>2556</v>
      </c>
    </row>
    <row r="222" spans="1:39" ht="14" customHeight="1">
      <c r="A222" s="177">
        <f t="shared" si="4"/>
        <v>219</v>
      </c>
      <c r="B222" s="185">
        <v>45802</v>
      </c>
      <c r="C222" s="178" t="s">
        <v>477</v>
      </c>
      <c r="D222" s="6">
        <f>YEAR(PA[[#This Row],[Date]])</f>
        <v>2025</v>
      </c>
      <c r="E222" s="178" t="s">
        <v>361</v>
      </c>
      <c r="F222" s="178" t="s">
        <v>361</v>
      </c>
      <c r="G222" s="179">
        <v>45778</v>
      </c>
      <c r="H222" s="176">
        <f>DAY(EOMONTH(PA[[#This Row],[Month Year]],0))</f>
        <v>31</v>
      </c>
      <c r="I222" s="180">
        <f>VLOOKUP(PA[[#This Row],[Date]],Raw_Data[#All],9,0)</f>
        <v>0.28819444444444442</v>
      </c>
      <c r="J222" s="180">
        <f>VLOOKUP(PA[[#This Row],[Date]],Raw_Data[#All],10,0)</f>
        <v>0.80625000000000002</v>
      </c>
      <c r="K222" s="68">
        <f>IFERROR((PA[[#This Row],[Sunset Time (POA&lt;20 W/m2)]]-PA[[#This Row],[Sunrise Time (POA&gt;20 W/m2)]])*24,"")</f>
        <v>12.433333333333334</v>
      </c>
      <c r="L222" s="178" t="s">
        <v>407</v>
      </c>
      <c r="M222" s="178" t="s">
        <v>401</v>
      </c>
      <c r="N222" s="178" t="s">
        <v>402</v>
      </c>
      <c r="O222" s="178" t="s">
        <v>415</v>
      </c>
      <c r="P222" s="178" t="s">
        <v>404</v>
      </c>
      <c r="Q222" s="178"/>
      <c r="R222" s="6">
        <f>IF((PA[[#This Row],[String Type(If String BD)]]&amp;PA[[#This Row],[Equipment (If any BD other than PV  array and inv)]])="",1,0)</f>
        <v>0</v>
      </c>
      <c r="S222" s="6">
        <f>IF(PA[[#This Row],[String Type(If String BD)]]="",1,0)</f>
        <v>0</v>
      </c>
      <c r="T2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2" s="68">
        <f>IFERROR(VLOOKUP(PA[[#This Row],[Affected Equipment ]],'Basic Data '!$A$1:$B$1846,2,0),"")</f>
        <v>31.32</v>
      </c>
      <c r="V222" s="143">
        <f>IFERROR(VLOOKUP(PA[[#This Row],[Affected Equipment ]],'Basic Data '!$A$1:$C$1846,3,0),"")</f>
        <v>9.3467147730019601E-5</v>
      </c>
      <c r="W222" s="178" t="s">
        <v>398</v>
      </c>
      <c r="X222" s="110" t="s">
        <v>410</v>
      </c>
      <c r="Y222" s="110" t="s">
        <v>411</v>
      </c>
      <c r="Z222" s="109">
        <v>0.28819444444444442</v>
      </c>
      <c r="AA222" s="109">
        <v>0.28819444444444442</v>
      </c>
      <c r="AB222" s="109">
        <v>0.28819444444444442</v>
      </c>
      <c r="AC222" s="109">
        <v>0.80625000000000002</v>
      </c>
      <c r="AD222" s="82">
        <f>IF(PA[[#This Row],[Acknowledgement Time ]]="NA","",(PA[[#This Row],[Acknowledgement Time ]]-PA[[#This Row],[Fault Time]])*24)</f>
        <v>0</v>
      </c>
      <c r="AE222" s="82">
        <f>IF(PA[[#This Row],[Work Start time on Fault]]="NA","",(PA[[#This Row],[Work Start time on Fault]]-PA[[#This Row],[Fault Time]])*24)</f>
        <v>0</v>
      </c>
      <c r="AF222" s="111">
        <f>IF(PA[[#This Row],[Status]]="Open","",(PA[[#This Row],[Work Completion time on fault]]-PA[[#This Row],[Fault Time]])*24)</f>
        <v>12.433333333333334</v>
      </c>
      <c r="AG222" s="82">
        <f>IFERROR((PA[[#This Row],[Work Completion time on fault]]-PA[[#This Row],[Fault Time]])*24,"")</f>
        <v>12.433333333333334</v>
      </c>
      <c r="AH222" s="183" t="s">
        <v>2660</v>
      </c>
      <c r="AI222" s="178" t="s">
        <v>422</v>
      </c>
      <c r="AJ222" s="68">
        <f>IFERROR(PA[[#This Row],[Breakdown Time]]*PA[[#This Row],[Plant Equivalent Weightage]],"")</f>
        <v>1.1621082034432438E-3</v>
      </c>
      <c r="AK222" s="117">
        <v>5.03</v>
      </c>
      <c r="AL222" s="116">
        <f>IF(PA[[#This Row],[Lost PoA(Wh/m2)]]&gt;0,_xlfn.XLOOKUP($B222,'Daily KPI'!$A:$A,'Daily KPI'!$AE:$AE)*PA[[#This Row],[Lost PoA(Wh/m2)]]*U222,0)</f>
        <v>128.78267868030011</v>
      </c>
      <c r="AM222" s="176" t="s">
        <v>2556</v>
      </c>
    </row>
    <row r="223" spans="1:39" ht="14" customHeight="1">
      <c r="A223" s="177">
        <f t="shared" si="4"/>
        <v>220</v>
      </c>
      <c r="B223" s="185">
        <v>45805</v>
      </c>
      <c r="C223" s="178" t="s">
        <v>477</v>
      </c>
      <c r="D223" s="6">
        <f>YEAR(PA[[#This Row],[Date]])</f>
        <v>2025</v>
      </c>
      <c r="E223" s="178" t="s">
        <v>361</v>
      </c>
      <c r="F223" s="178" t="s">
        <v>361</v>
      </c>
      <c r="G223" s="179">
        <v>45778</v>
      </c>
      <c r="H223" s="176">
        <f>DAY(EOMONTH(PA[[#This Row],[Month Year]],0))</f>
        <v>31</v>
      </c>
      <c r="I223" s="180">
        <f>VLOOKUP(PA[[#This Row],[Date]],Raw_Data[#All],9,0)</f>
        <v>0.2638888888888889</v>
      </c>
      <c r="J223" s="180">
        <f>VLOOKUP(PA[[#This Row],[Date]],Raw_Data[#All],10,0)</f>
        <v>0.8125</v>
      </c>
      <c r="K223" s="68">
        <f>IFERROR((PA[[#This Row],[Sunset Time (POA&lt;20 W/m2)]]-PA[[#This Row],[Sunrise Time (POA&gt;20 W/m2)]])*24,"")</f>
        <v>13.166666666666668</v>
      </c>
      <c r="L223" s="178" t="s">
        <v>419</v>
      </c>
      <c r="M223" s="178" t="s">
        <v>414</v>
      </c>
      <c r="N223" s="178" t="s">
        <v>395</v>
      </c>
      <c r="O223" s="178" t="s">
        <v>418</v>
      </c>
      <c r="P223" s="178" t="s">
        <v>429</v>
      </c>
      <c r="Q223" s="178"/>
      <c r="R223" s="6">
        <f>IF((PA[[#This Row],[String Type(If String BD)]]&amp;PA[[#This Row],[Equipment (If any BD other than PV  array and inv)]])="",1,0)</f>
        <v>0</v>
      </c>
      <c r="S223" s="6">
        <f>IF(PA[[#This Row],[String Type(If String BD)]]="",1,0)</f>
        <v>0</v>
      </c>
      <c r="T2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3" s="68">
        <f>IFERROR(VLOOKUP(PA[[#This Row],[Affected Equipment ]],'Basic Data '!$A$1:$B$1846,2,0),"")</f>
        <v>15.66</v>
      </c>
      <c r="V223" s="143">
        <f>IFERROR(VLOOKUP(PA[[#This Row],[Affected Equipment ]],'Basic Data '!$A$1:$C$1846,3,0),"")</f>
        <v>4.6733573865009801E-5</v>
      </c>
      <c r="W223" s="178" t="s">
        <v>451</v>
      </c>
      <c r="X223" s="110" t="s">
        <v>2525</v>
      </c>
      <c r="Y223" s="110" t="s">
        <v>2525</v>
      </c>
      <c r="Z223" s="109">
        <v>0.2638888888888889</v>
      </c>
      <c r="AA223" s="109">
        <v>0.2638888888888889</v>
      </c>
      <c r="AB223" s="109">
        <v>0.2638888888888889</v>
      </c>
      <c r="AC223" s="109">
        <v>0.8125</v>
      </c>
      <c r="AD223" s="82">
        <f>IF(PA[[#This Row],[Acknowledgement Time ]]="NA","",(PA[[#This Row],[Acknowledgement Time ]]-PA[[#This Row],[Fault Time]])*24)</f>
        <v>0</v>
      </c>
      <c r="AE223" s="82">
        <f>IF(PA[[#This Row],[Work Start time on Fault]]="NA","",(PA[[#This Row],[Work Start time on Fault]]-PA[[#This Row],[Fault Time]])*24)</f>
        <v>0</v>
      </c>
      <c r="AF223" s="111">
        <f>IF(PA[[#This Row],[Status]]="Open","",(PA[[#This Row],[Work Completion time on fault]]-PA[[#This Row],[Fault Time]])*24)</f>
        <v>13.166666666666668</v>
      </c>
      <c r="AG223" s="82">
        <f>IFERROR((PA[[#This Row],[Work Completion time on fault]]-PA[[#This Row],[Fault Time]])*24,"")</f>
        <v>13.166666666666668</v>
      </c>
      <c r="AH223" s="110" t="s">
        <v>2525</v>
      </c>
      <c r="AI223" s="178" t="s">
        <v>422</v>
      </c>
      <c r="AJ223" s="68">
        <f>IFERROR(PA[[#This Row],[Breakdown Time]]*PA[[#This Row],[Plant Equivalent Weightage]],"")</f>
        <v>6.1532538922262907E-4</v>
      </c>
      <c r="AK223" s="117">
        <v>6.6</v>
      </c>
      <c r="AL223" s="116">
        <f>IF(PA[[#This Row],[Lost PoA(Wh/m2)]]&gt;0,_xlfn.XLOOKUP($B223,'Daily KPI'!$A:$A,'Daily KPI'!$AE:$AE)*PA[[#This Row],[Lost PoA(Wh/m2)]]*U223,0)</f>
        <v>84.489630148109384</v>
      </c>
      <c r="AM223" s="176" t="s">
        <v>2562</v>
      </c>
    </row>
    <row r="224" spans="1:39" ht="14" customHeight="1">
      <c r="A224" s="177">
        <f t="shared" si="4"/>
        <v>221</v>
      </c>
      <c r="B224" s="185">
        <v>45805</v>
      </c>
      <c r="C224" s="178" t="s">
        <v>477</v>
      </c>
      <c r="D224" s="6">
        <f>YEAR(PA[[#This Row],[Date]])</f>
        <v>2025</v>
      </c>
      <c r="E224" s="178" t="s">
        <v>361</v>
      </c>
      <c r="F224" s="178" t="s">
        <v>361</v>
      </c>
      <c r="G224" s="179">
        <v>45778</v>
      </c>
      <c r="H224" s="176">
        <f>DAY(EOMONTH(PA[[#This Row],[Month Year]],0))</f>
        <v>31</v>
      </c>
      <c r="I224" s="180">
        <f>VLOOKUP(PA[[#This Row],[Date]],Raw_Data[#All],9,0)</f>
        <v>0.2638888888888889</v>
      </c>
      <c r="J224" s="180">
        <f>VLOOKUP(PA[[#This Row],[Date]],Raw_Data[#All],10,0)</f>
        <v>0.8125</v>
      </c>
      <c r="K224" s="68">
        <f>IFERROR((PA[[#This Row],[Sunset Time (POA&lt;20 W/m2)]]-PA[[#This Row],[Sunrise Time (POA&gt;20 W/m2)]])*24,"")</f>
        <v>13.166666666666668</v>
      </c>
      <c r="L224" s="178" t="s">
        <v>428</v>
      </c>
      <c r="M224" s="178" t="s">
        <v>401</v>
      </c>
      <c r="N224" s="178" t="s">
        <v>402</v>
      </c>
      <c r="O224" s="178" t="s">
        <v>442</v>
      </c>
      <c r="P224" s="178" t="s">
        <v>429</v>
      </c>
      <c r="Q224" s="178"/>
      <c r="R224" s="6">
        <f>IF((PA[[#This Row],[String Type(If String BD)]]&amp;PA[[#This Row],[Equipment (If any BD other than PV  array and inv)]])="",1,0)</f>
        <v>0</v>
      </c>
      <c r="S224" s="6">
        <f>IF(PA[[#This Row],[String Type(If String BD)]]="",1,0)</f>
        <v>0</v>
      </c>
      <c r="T2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4" s="68">
        <f>IFERROR(VLOOKUP(PA[[#This Row],[Affected Equipment ]],'Basic Data '!$A$1:$B$1846,2,0),"")</f>
        <v>15.66</v>
      </c>
      <c r="V224" s="143">
        <f>IFERROR(VLOOKUP(PA[[#This Row],[Affected Equipment ]],'Basic Data '!$A$1:$C$1846,3,0),"")</f>
        <v>4.6733573865009801E-5</v>
      </c>
      <c r="W224" s="178" t="s">
        <v>451</v>
      </c>
      <c r="X224" s="110" t="s">
        <v>2525</v>
      </c>
      <c r="Y224" s="110" t="s">
        <v>2525</v>
      </c>
      <c r="Z224" s="109">
        <v>0.2638888888888889</v>
      </c>
      <c r="AA224" s="109">
        <v>0.2638888888888889</v>
      </c>
      <c r="AB224" s="109">
        <v>0.2638888888888889</v>
      </c>
      <c r="AC224" s="109">
        <v>0.8125</v>
      </c>
      <c r="AD224" s="82">
        <f>IF(PA[[#This Row],[Acknowledgement Time ]]="NA","",(PA[[#This Row],[Acknowledgement Time ]]-PA[[#This Row],[Fault Time]])*24)</f>
        <v>0</v>
      </c>
      <c r="AE224" s="82">
        <f>IF(PA[[#This Row],[Work Start time on Fault]]="NA","",(PA[[#This Row],[Work Start time on Fault]]-PA[[#This Row],[Fault Time]])*24)</f>
        <v>0</v>
      </c>
      <c r="AF224" s="111">
        <f>IF(PA[[#This Row],[Status]]="Open","",(PA[[#This Row],[Work Completion time on fault]]-PA[[#This Row],[Fault Time]])*24)</f>
        <v>13.166666666666668</v>
      </c>
      <c r="AG224" s="82">
        <f>IFERROR((PA[[#This Row],[Work Completion time on fault]]-PA[[#This Row],[Fault Time]])*24,"")</f>
        <v>13.166666666666668</v>
      </c>
      <c r="AH224" s="110" t="s">
        <v>2525</v>
      </c>
      <c r="AI224" s="178" t="s">
        <v>422</v>
      </c>
      <c r="AJ224" s="68">
        <f>IFERROR(PA[[#This Row],[Breakdown Time]]*PA[[#This Row],[Plant Equivalent Weightage]],"")</f>
        <v>6.1532538922262907E-4</v>
      </c>
      <c r="AK224" s="117">
        <v>6.6</v>
      </c>
      <c r="AL224" s="116">
        <f>IF(PA[[#This Row],[Lost PoA(Wh/m2)]]&gt;0,_xlfn.XLOOKUP($B224,'Daily KPI'!$A:$A,'Daily KPI'!$AE:$AE)*PA[[#This Row],[Lost PoA(Wh/m2)]]*U224,0)</f>
        <v>84.489630148109384</v>
      </c>
      <c r="AM224" s="176" t="s">
        <v>2562</v>
      </c>
    </row>
    <row r="225" spans="1:39" ht="14" customHeight="1">
      <c r="A225" s="177">
        <f t="shared" si="4"/>
        <v>222</v>
      </c>
      <c r="B225" s="185">
        <v>45805</v>
      </c>
      <c r="C225" s="178" t="s">
        <v>477</v>
      </c>
      <c r="D225" s="6">
        <f>YEAR(PA[[#This Row],[Date]])</f>
        <v>2025</v>
      </c>
      <c r="E225" s="178" t="s">
        <v>361</v>
      </c>
      <c r="F225" s="178" t="s">
        <v>361</v>
      </c>
      <c r="G225" s="179">
        <v>45778</v>
      </c>
      <c r="H225" s="176">
        <f>DAY(EOMONTH(PA[[#This Row],[Month Year]],0))</f>
        <v>31</v>
      </c>
      <c r="I225" s="180">
        <f>VLOOKUP(PA[[#This Row],[Date]],Raw_Data[#All],9,0)</f>
        <v>0.2638888888888889</v>
      </c>
      <c r="J225" s="180">
        <f>VLOOKUP(PA[[#This Row],[Date]],Raw_Data[#All],10,0)</f>
        <v>0.8125</v>
      </c>
      <c r="K225" s="68">
        <f>IFERROR((PA[[#This Row],[Sunset Time (POA&lt;20 W/m2)]]-PA[[#This Row],[Sunrise Time (POA&gt;20 W/m2)]])*24,"")</f>
        <v>13.166666666666668</v>
      </c>
      <c r="L225" s="178" t="s">
        <v>423</v>
      </c>
      <c r="M225" s="178" t="s">
        <v>394</v>
      </c>
      <c r="N225" s="178" t="s">
        <v>402</v>
      </c>
      <c r="O225" s="178" t="s">
        <v>396</v>
      </c>
      <c r="P225" s="178" t="s">
        <v>429</v>
      </c>
      <c r="Q225" s="178"/>
      <c r="R225" s="6">
        <f>IF((PA[[#This Row],[String Type(If String BD)]]&amp;PA[[#This Row],[Equipment (If any BD other than PV  array and inv)]])="",1,0)</f>
        <v>0</v>
      </c>
      <c r="S225" s="6">
        <f>IF(PA[[#This Row],[String Type(If String BD)]]="",1,0)</f>
        <v>0</v>
      </c>
      <c r="T2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5" s="68">
        <f>IFERROR(VLOOKUP(PA[[#This Row],[Affected Equipment ]],'Basic Data '!$A$1:$B$1846,2,0),"")</f>
        <v>15.66</v>
      </c>
      <c r="V225" s="143">
        <f>IFERROR(VLOOKUP(PA[[#This Row],[Affected Equipment ]],'Basic Data '!$A$1:$C$1846,3,0),"")</f>
        <v>4.6733573865009801E-5</v>
      </c>
      <c r="W225" s="178" t="s">
        <v>451</v>
      </c>
      <c r="X225" s="110" t="s">
        <v>2525</v>
      </c>
      <c r="Y225" s="110" t="s">
        <v>2525</v>
      </c>
      <c r="Z225" s="109">
        <v>0.2638888888888889</v>
      </c>
      <c r="AA225" s="109">
        <v>0.2638888888888889</v>
      </c>
      <c r="AB225" s="109">
        <v>0.2638888888888889</v>
      </c>
      <c r="AC225" s="109">
        <v>0.8125</v>
      </c>
      <c r="AD225" s="82">
        <f>IF(PA[[#This Row],[Acknowledgement Time ]]="NA","",(PA[[#This Row],[Acknowledgement Time ]]-PA[[#This Row],[Fault Time]])*24)</f>
        <v>0</v>
      </c>
      <c r="AE225" s="82">
        <f>IF(PA[[#This Row],[Work Start time on Fault]]="NA","",(PA[[#This Row],[Work Start time on Fault]]-PA[[#This Row],[Fault Time]])*24)</f>
        <v>0</v>
      </c>
      <c r="AF225" s="111">
        <f>IF(PA[[#This Row],[Status]]="Open","",(PA[[#This Row],[Work Completion time on fault]]-PA[[#This Row],[Fault Time]])*24)</f>
        <v>13.166666666666668</v>
      </c>
      <c r="AG225" s="82">
        <f>IFERROR((PA[[#This Row],[Work Completion time on fault]]-PA[[#This Row],[Fault Time]])*24,"")</f>
        <v>13.166666666666668</v>
      </c>
      <c r="AH225" s="110" t="s">
        <v>2525</v>
      </c>
      <c r="AI225" s="178" t="s">
        <v>422</v>
      </c>
      <c r="AJ225" s="68">
        <f>IFERROR(PA[[#This Row],[Breakdown Time]]*PA[[#This Row],[Plant Equivalent Weightage]],"")</f>
        <v>6.1532538922262907E-4</v>
      </c>
      <c r="AK225" s="117">
        <v>6.6</v>
      </c>
      <c r="AL225" s="116">
        <f>IF(PA[[#This Row],[Lost PoA(Wh/m2)]]&gt;0,_xlfn.XLOOKUP($B225,'Daily KPI'!$A:$A,'Daily KPI'!$AE:$AE)*PA[[#This Row],[Lost PoA(Wh/m2)]]*U225,0)</f>
        <v>84.489630148109384</v>
      </c>
      <c r="AM225" s="176" t="s">
        <v>2562</v>
      </c>
    </row>
    <row r="226" spans="1:39" ht="14" customHeight="1">
      <c r="A226" s="177">
        <f t="shared" si="4"/>
        <v>223</v>
      </c>
      <c r="B226" s="185">
        <v>45805</v>
      </c>
      <c r="C226" s="178" t="s">
        <v>477</v>
      </c>
      <c r="D226" s="6">
        <f>YEAR(PA[[#This Row],[Date]])</f>
        <v>2025</v>
      </c>
      <c r="E226" s="178" t="s">
        <v>361</v>
      </c>
      <c r="F226" s="178" t="s">
        <v>361</v>
      </c>
      <c r="G226" s="179">
        <v>45778</v>
      </c>
      <c r="H226" s="176">
        <f>DAY(EOMONTH(PA[[#This Row],[Month Year]],0))</f>
        <v>31</v>
      </c>
      <c r="I226" s="180">
        <f>VLOOKUP(PA[[#This Row],[Date]],Raw_Data[#All],9,0)</f>
        <v>0.2638888888888889</v>
      </c>
      <c r="J226" s="180">
        <f>VLOOKUP(PA[[#This Row],[Date]],Raw_Data[#All],10,0)</f>
        <v>0.8125</v>
      </c>
      <c r="K226" s="68">
        <f>IFERROR((PA[[#This Row],[Sunset Time (POA&lt;20 W/m2)]]-PA[[#This Row],[Sunrise Time (POA&gt;20 W/m2)]])*24,"")</f>
        <v>13.166666666666668</v>
      </c>
      <c r="L226" s="178" t="s">
        <v>447</v>
      </c>
      <c r="M226" s="178" t="s">
        <v>401</v>
      </c>
      <c r="N226" s="178" t="s">
        <v>395</v>
      </c>
      <c r="O226" s="178" t="s">
        <v>417</v>
      </c>
      <c r="P226" s="178" t="s">
        <v>429</v>
      </c>
      <c r="Q226" s="178"/>
      <c r="R226" s="6">
        <f>IF((PA[[#This Row],[String Type(If String BD)]]&amp;PA[[#This Row],[Equipment (If any BD other than PV  array and inv)]])="",1,0)</f>
        <v>0</v>
      </c>
      <c r="S226" s="6">
        <f>IF(PA[[#This Row],[String Type(If String BD)]]="",1,0)</f>
        <v>0</v>
      </c>
      <c r="T2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6" s="68">
        <f>IFERROR(VLOOKUP(PA[[#This Row],[Affected Equipment ]],'Basic Data '!$A$1:$B$1846,2,0),"")</f>
        <v>15.66</v>
      </c>
      <c r="V226" s="143">
        <f>IFERROR(VLOOKUP(PA[[#This Row],[Affected Equipment ]],'Basic Data '!$A$1:$C$1846,3,0),"")</f>
        <v>4.6733573865009801E-5</v>
      </c>
      <c r="W226" s="178" t="s">
        <v>451</v>
      </c>
      <c r="X226" s="110" t="s">
        <v>2525</v>
      </c>
      <c r="Y226" s="110" t="s">
        <v>2525</v>
      </c>
      <c r="Z226" s="109">
        <v>0.2638888888888889</v>
      </c>
      <c r="AA226" s="109">
        <v>0.2638888888888889</v>
      </c>
      <c r="AB226" s="109">
        <v>0.2638888888888889</v>
      </c>
      <c r="AC226" s="109">
        <v>0.8125</v>
      </c>
      <c r="AD226" s="82">
        <f>IF(PA[[#This Row],[Acknowledgement Time ]]="NA","",(PA[[#This Row],[Acknowledgement Time ]]-PA[[#This Row],[Fault Time]])*24)</f>
        <v>0</v>
      </c>
      <c r="AE226" s="82">
        <f>IF(PA[[#This Row],[Work Start time on Fault]]="NA","",(PA[[#This Row],[Work Start time on Fault]]-PA[[#This Row],[Fault Time]])*24)</f>
        <v>0</v>
      </c>
      <c r="AF226" s="111">
        <f>IF(PA[[#This Row],[Status]]="Open","",(PA[[#This Row],[Work Completion time on fault]]-PA[[#This Row],[Fault Time]])*24)</f>
        <v>13.166666666666668</v>
      </c>
      <c r="AG226" s="82">
        <f>IFERROR((PA[[#This Row],[Work Completion time on fault]]-PA[[#This Row],[Fault Time]])*24,"")</f>
        <v>13.166666666666668</v>
      </c>
      <c r="AH226" s="110" t="s">
        <v>2525</v>
      </c>
      <c r="AI226" s="178" t="s">
        <v>422</v>
      </c>
      <c r="AJ226" s="68">
        <f>IFERROR(PA[[#This Row],[Breakdown Time]]*PA[[#This Row],[Plant Equivalent Weightage]],"")</f>
        <v>6.1532538922262907E-4</v>
      </c>
      <c r="AK226" s="117">
        <v>6.6</v>
      </c>
      <c r="AL226" s="116">
        <f>IF(PA[[#This Row],[Lost PoA(Wh/m2)]]&gt;0,_xlfn.XLOOKUP($B226,'Daily KPI'!$A:$A,'Daily KPI'!$AE:$AE)*PA[[#This Row],[Lost PoA(Wh/m2)]]*U226,0)</f>
        <v>84.489630148109384</v>
      </c>
      <c r="AM226" s="176" t="s">
        <v>2562</v>
      </c>
    </row>
    <row r="227" spans="1:39" ht="14" customHeight="1">
      <c r="A227" s="177">
        <f t="shared" si="4"/>
        <v>224</v>
      </c>
      <c r="B227" s="185">
        <v>45805</v>
      </c>
      <c r="C227" s="178" t="s">
        <v>477</v>
      </c>
      <c r="D227" s="6">
        <f>YEAR(PA[[#This Row],[Date]])</f>
        <v>2025</v>
      </c>
      <c r="E227" s="178" t="s">
        <v>361</v>
      </c>
      <c r="F227" s="178" t="s">
        <v>361</v>
      </c>
      <c r="G227" s="179">
        <v>45778</v>
      </c>
      <c r="H227" s="176">
        <f>DAY(EOMONTH(PA[[#This Row],[Month Year]],0))</f>
        <v>31</v>
      </c>
      <c r="I227" s="180">
        <f>VLOOKUP(PA[[#This Row],[Date]],Raw_Data[#All],9,0)</f>
        <v>0.2638888888888889</v>
      </c>
      <c r="J227" s="180">
        <f>VLOOKUP(PA[[#This Row],[Date]],Raw_Data[#All],10,0)</f>
        <v>0.8125</v>
      </c>
      <c r="K227" s="68">
        <f>IFERROR((PA[[#This Row],[Sunset Time (POA&lt;20 W/m2)]]-PA[[#This Row],[Sunrise Time (POA&gt;20 W/m2)]])*24,"")</f>
        <v>13.166666666666668</v>
      </c>
      <c r="L227" s="178" t="s">
        <v>400</v>
      </c>
      <c r="M227" s="178" t="s">
        <v>401</v>
      </c>
      <c r="N227" s="178" t="s">
        <v>395</v>
      </c>
      <c r="O227" s="178" t="s">
        <v>417</v>
      </c>
      <c r="P227" s="178" t="s">
        <v>429</v>
      </c>
      <c r="Q227" s="178"/>
      <c r="R227" s="6">
        <f>IF((PA[[#This Row],[String Type(If String BD)]]&amp;PA[[#This Row],[Equipment (If any BD other than PV  array and inv)]])="",1,0)</f>
        <v>0</v>
      </c>
      <c r="S227" s="6">
        <f>IF(PA[[#This Row],[String Type(If String BD)]]="",1,0)</f>
        <v>0</v>
      </c>
      <c r="T2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7" s="68">
        <f>IFERROR(VLOOKUP(PA[[#This Row],[Affected Equipment ]],'Basic Data '!$A$1:$B$1846,2,0),"")</f>
        <v>15.66</v>
      </c>
      <c r="V227" s="143">
        <f>IFERROR(VLOOKUP(PA[[#This Row],[Affected Equipment ]],'Basic Data '!$A$1:$C$1846,3,0),"")</f>
        <v>4.6733573865009801E-5</v>
      </c>
      <c r="W227" s="178" t="s">
        <v>451</v>
      </c>
      <c r="X227" s="110" t="s">
        <v>2525</v>
      </c>
      <c r="Y227" s="110" t="s">
        <v>2525</v>
      </c>
      <c r="Z227" s="109">
        <v>0.2638888888888889</v>
      </c>
      <c r="AA227" s="109">
        <v>0.2638888888888889</v>
      </c>
      <c r="AB227" s="109">
        <v>0.2638888888888889</v>
      </c>
      <c r="AC227" s="109">
        <v>0.8125</v>
      </c>
      <c r="AD227" s="82">
        <f>IF(PA[[#This Row],[Acknowledgement Time ]]="NA","",(PA[[#This Row],[Acknowledgement Time ]]-PA[[#This Row],[Fault Time]])*24)</f>
        <v>0</v>
      </c>
      <c r="AE227" s="82">
        <f>IF(PA[[#This Row],[Work Start time on Fault]]="NA","",(PA[[#This Row],[Work Start time on Fault]]-PA[[#This Row],[Fault Time]])*24)</f>
        <v>0</v>
      </c>
      <c r="AF227" s="111">
        <f>IF(PA[[#This Row],[Status]]="Open","",(PA[[#This Row],[Work Completion time on fault]]-PA[[#This Row],[Fault Time]])*24)</f>
        <v>13.166666666666668</v>
      </c>
      <c r="AG227" s="82">
        <f>IFERROR((PA[[#This Row],[Work Completion time on fault]]-PA[[#This Row],[Fault Time]])*24,"")</f>
        <v>13.166666666666668</v>
      </c>
      <c r="AH227" s="110" t="s">
        <v>2525</v>
      </c>
      <c r="AI227" s="178" t="s">
        <v>422</v>
      </c>
      <c r="AJ227" s="68">
        <f>IFERROR(PA[[#This Row],[Breakdown Time]]*PA[[#This Row],[Plant Equivalent Weightage]],"")</f>
        <v>6.1532538922262907E-4</v>
      </c>
      <c r="AK227" s="117">
        <v>6.6</v>
      </c>
      <c r="AL227" s="116">
        <f>IF(PA[[#This Row],[Lost PoA(Wh/m2)]]&gt;0,_xlfn.XLOOKUP($B227,'Daily KPI'!$A:$A,'Daily KPI'!$AE:$AE)*PA[[#This Row],[Lost PoA(Wh/m2)]]*U227,0)</f>
        <v>84.489630148109384</v>
      </c>
      <c r="AM227" s="176" t="s">
        <v>2562</v>
      </c>
    </row>
    <row r="228" spans="1:39" ht="14" customHeight="1">
      <c r="A228" s="177">
        <f t="shared" si="4"/>
        <v>225</v>
      </c>
      <c r="B228" s="185">
        <v>45805</v>
      </c>
      <c r="C228" s="178" t="s">
        <v>477</v>
      </c>
      <c r="D228" s="6">
        <f>YEAR(PA[[#This Row],[Date]])</f>
        <v>2025</v>
      </c>
      <c r="E228" s="178" t="s">
        <v>361</v>
      </c>
      <c r="F228" s="178" t="s">
        <v>361</v>
      </c>
      <c r="G228" s="179">
        <v>45778</v>
      </c>
      <c r="H228" s="176">
        <f>DAY(EOMONTH(PA[[#This Row],[Month Year]],0))</f>
        <v>31</v>
      </c>
      <c r="I228" s="180">
        <f>VLOOKUP(PA[[#This Row],[Date]],Raw_Data[#All],9,0)</f>
        <v>0.2638888888888889</v>
      </c>
      <c r="J228" s="180">
        <f>VLOOKUP(PA[[#This Row],[Date]],Raw_Data[#All],10,0)</f>
        <v>0.8125</v>
      </c>
      <c r="K228" s="68">
        <f>IFERROR((PA[[#This Row],[Sunset Time (POA&lt;20 W/m2)]]-PA[[#This Row],[Sunrise Time (POA&gt;20 W/m2)]])*24,"")</f>
        <v>13.166666666666668</v>
      </c>
      <c r="L228" s="178" t="s">
        <v>419</v>
      </c>
      <c r="M228" s="178" t="s">
        <v>401</v>
      </c>
      <c r="N228" s="178" t="s">
        <v>395</v>
      </c>
      <c r="O228" s="178" t="s">
        <v>396</v>
      </c>
      <c r="P228" s="178" t="s">
        <v>404</v>
      </c>
      <c r="Q228" s="178"/>
      <c r="R228" s="6">
        <f>IF((PA[[#This Row],[String Type(If String BD)]]&amp;PA[[#This Row],[Equipment (If any BD other than PV  array and inv)]])="",1,0)</f>
        <v>0</v>
      </c>
      <c r="S228" s="6">
        <f>IF(PA[[#This Row],[String Type(If String BD)]]="",1,0)</f>
        <v>0</v>
      </c>
      <c r="T2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8" s="68">
        <f>IFERROR(VLOOKUP(PA[[#This Row],[Affected Equipment ]],'Basic Data '!$A$1:$B$1846,2,0),"")</f>
        <v>31.32</v>
      </c>
      <c r="V228" s="143">
        <f>IFERROR(VLOOKUP(PA[[#This Row],[Affected Equipment ]],'Basic Data '!$A$1:$C$1846,3,0),"")</f>
        <v>9.3467147730019601E-5</v>
      </c>
      <c r="W228" s="178" t="s">
        <v>398</v>
      </c>
      <c r="X228" s="110" t="s">
        <v>410</v>
      </c>
      <c r="Y228" s="110" t="s">
        <v>411</v>
      </c>
      <c r="Z228" s="109">
        <v>0.2638888888888889</v>
      </c>
      <c r="AA228" s="109">
        <v>0.2638888888888889</v>
      </c>
      <c r="AB228" s="109">
        <v>0.2638888888888889</v>
      </c>
      <c r="AC228" s="109">
        <v>0.8125</v>
      </c>
      <c r="AD228" s="82">
        <f>IF(PA[[#This Row],[Acknowledgement Time ]]="NA","",(PA[[#This Row],[Acknowledgement Time ]]-PA[[#This Row],[Fault Time]])*24)</f>
        <v>0</v>
      </c>
      <c r="AE228" s="82">
        <f>IF(PA[[#This Row],[Work Start time on Fault]]="NA","",(PA[[#This Row],[Work Start time on Fault]]-PA[[#This Row],[Fault Time]])*24)</f>
        <v>0</v>
      </c>
      <c r="AF228" s="111">
        <f>IF(PA[[#This Row],[Status]]="Open","",(PA[[#This Row],[Work Completion time on fault]]-PA[[#This Row],[Fault Time]])*24)</f>
        <v>13.166666666666668</v>
      </c>
      <c r="AG228" s="82">
        <f>IFERROR((PA[[#This Row],[Work Completion time on fault]]-PA[[#This Row],[Fault Time]])*24,"")</f>
        <v>13.166666666666668</v>
      </c>
      <c r="AH228" s="110" t="s">
        <v>2660</v>
      </c>
      <c r="AI228" s="178" t="s">
        <v>422</v>
      </c>
      <c r="AJ228" s="68">
        <f>IFERROR(PA[[#This Row],[Breakdown Time]]*PA[[#This Row],[Plant Equivalent Weightage]],"")</f>
        <v>1.2306507784452581E-3</v>
      </c>
      <c r="AK228" s="117">
        <v>6.6</v>
      </c>
      <c r="AL228" s="116">
        <f>IF(PA[[#This Row],[Lost PoA(Wh/m2)]]&gt;0,_xlfn.XLOOKUP($B228,'Daily KPI'!$A:$A,'Daily KPI'!$AE:$AE)*PA[[#This Row],[Lost PoA(Wh/m2)]]*U228,0)</f>
        <v>168.97926029621877</v>
      </c>
      <c r="AM228" s="176" t="s">
        <v>2561</v>
      </c>
    </row>
    <row r="229" spans="1:39" ht="14" customHeight="1">
      <c r="A229" s="177">
        <f t="shared" si="4"/>
        <v>226</v>
      </c>
      <c r="B229" s="185">
        <v>45805</v>
      </c>
      <c r="C229" s="178" t="s">
        <v>477</v>
      </c>
      <c r="D229" s="6">
        <f>YEAR(PA[[#This Row],[Date]])</f>
        <v>2025</v>
      </c>
      <c r="E229" s="178" t="s">
        <v>361</v>
      </c>
      <c r="F229" s="178" t="s">
        <v>361</v>
      </c>
      <c r="G229" s="179">
        <v>45778</v>
      </c>
      <c r="H229" s="176">
        <f>DAY(EOMONTH(PA[[#This Row],[Month Year]],0))</f>
        <v>31</v>
      </c>
      <c r="I229" s="180">
        <f>VLOOKUP(PA[[#This Row],[Date]],Raw_Data[#All],9,0)</f>
        <v>0.2638888888888889</v>
      </c>
      <c r="J229" s="180">
        <f>VLOOKUP(PA[[#This Row],[Date]],Raw_Data[#All],10,0)</f>
        <v>0.8125</v>
      </c>
      <c r="K229" s="68">
        <f>IFERROR((PA[[#This Row],[Sunset Time (POA&lt;20 W/m2)]]-PA[[#This Row],[Sunrise Time (POA&gt;20 W/m2)]])*24,"")</f>
        <v>13.166666666666668</v>
      </c>
      <c r="L229" s="178" t="s">
        <v>419</v>
      </c>
      <c r="M229" s="178" t="s">
        <v>401</v>
      </c>
      <c r="N229" s="178" t="s">
        <v>402</v>
      </c>
      <c r="O229" s="178" t="s">
        <v>413</v>
      </c>
      <c r="P229" s="178" t="s">
        <v>404</v>
      </c>
      <c r="Q229" s="178"/>
      <c r="R229" s="6">
        <f>IF((PA[[#This Row],[String Type(If String BD)]]&amp;PA[[#This Row],[Equipment (If any BD other than PV  array and inv)]])="",1,0)</f>
        <v>0</v>
      </c>
      <c r="S229" s="6">
        <f>IF(PA[[#This Row],[String Type(If String BD)]]="",1,0)</f>
        <v>0</v>
      </c>
      <c r="T2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9" s="68">
        <f>IFERROR(VLOOKUP(PA[[#This Row],[Affected Equipment ]],'Basic Data '!$A$1:$B$1846,2,0),"")</f>
        <v>31.32</v>
      </c>
      <c r="V229" s="143">
        <f>IFERROR(VLOOKUP(PA[[#This Row],[Affected Equipment ]],'Basic Data '!$A$1:$C$1846,3,0),"")</f>
        <v>9.3467147730019601E-5</v>
      </c>
      <c r="W229" s="178" t="s">
        <v>398</v>
      </c>
      <c r="X229" s="110" t="s">
        <v>410</v>
      </c>
      <c r="Y229" s="110" t="s">
        <v>411</v>
      </c>
      <c r="Z229" s="109">
        <v>0.2638888888888889</v>
      </c>
      <c r="AA229" s="109">
        <v>0.2638888888888889</v>
      </c>
      <c r="AB229" s="109">
        <v>0.2638888888888889</v>
      </c>
      <c r="AC229" s="109">
        <v>0.8125</v>
      </c>
      <c r="AD229" s="82">
        <f>IF(PA[[#This Row],[Acknowledgement Time ]]="NA","",(PA[[#This Row],[Acknowledgement Time ]]-PA[[#This Row],[Fault Time]])*24)</f>
        <v>0</v>
      </c>
      <c r="AE229" s="82">
        <f>IF(PA[[#This Row],[Work Start time on Fault]]="NA","",(PA[[#This Row],[Work Start time on Fault]]-PA[[#This Row],[Fault Time]])*24)</f>
        <v>0</v>
      </c>
      <c r="AF229" s="111">
        <f>IF(PA[[#This Row],[Status]]="Open","",(PA[[#This Row],[Work Completion time on fault]]-PA[[#This Row],[Fault Time]])*24)</f>
        <v>13.166666666666668</v>
      </c>
      <c r="AG229" s="82">
        <f>IFERROR((PA[[#This Row],[Work Completion time on fault]]-PA[[#This Row],[Fault Time]])*24,"")</f>
        <v>13.166666666666668</v>
      </c>
      <c r="AH229" s="110" t="s">
        <v>2660</v>
      </c>
      <c r="AI229" s="178" t="s">
        <v>422</v>
      </c>
      <c r="AJ229" s="68">
        <f>IFERROR(PA[[#This Row],[Breakdown Time]]*PA[[#This Row],[Plant Equivalent Weightage]],"")</f>
        <v>1.2306507784452581E-3</v>
      </c>
      <c r="AK229" s="117">
        <v>6.6</v>
      </c>
      <c r="AL229" s="116">
        <f>IF(PA[[#This Row],[Lost PoA(Wh/m2)]]&gt;0,_xlfn.XLOOKUP($B229,'Daily KPI'!$A:$A,'Daily KPI'!$AE:$AE)*PA[[#This Row],[Lost PoA(Wh/m2)]]*U229,0)</f>
        <v>168.97926029621877</v>
      </c>
      <c r="AM229" s="176" t="s">
        <v>2561</v>
      </c>
    </row>
    <row r="230" spans="1:39" ht="14" customHeight="1">
      <c r="A230" s="177">
        <f t="shared" si="4"/>
        <v>227</v>
      </c>
      <c r="B230" s="185">
        <v>45805</v>
      </c>
      <c r="C230" s="178" t="s">
        <v>477</v>
      </c>
      <c r="D230" s="6">
        <f>YEAR(PA[[#This Row],[Date]])</f>
        <v>2025</v>
      </c>
      <c r="E230" s="178" t="s">
        <v>361</v>
      </c>
      <c r="F230" s="178" t="s">
        <v>361</v>
      </c>
      <c r="G230" s="179">
        <v>45778</v>
      </c>
      <c r="H230" s="176">
        <f>DAY(EOMONTH(PA[[#This Row],[Month Year]],0))</f>
        <v>31</v>
      </c>
      <c r="I230" s="180">
        <f>VLOOKUP(PA[[#This Row],[Date]],Raw_Data[#All],9,0)</f>
        <v>0.2638888888888889</v>
      </c>
      <c r="J230" s="180">
        <f>VLOOKUP(PA[[#This Row],[Date]],Raw_Data[#All],10,0)</f>
        <v>0.8125</v>
      </c>
      <c r="K230" s="68">
        <f>IFERROR((PA[[#This Row],[Sunset Time (POA&lt;20 W/m2)]]-PA[[#This Row],[Sunrise Time (POA&gt;20 W/m2)]])*24,"")</f>
        <v>13.166666666666668</v>
      </c>
      <c r="L230" s="178" t="s">
        <v>419</v>
      </c>
      <c r="M230" s="178" t="s">
        <v>401</v>
      </c>
      <c r="N230" s="178" t="s">
        <v>395</v>
      </c>
      <c r="O230" s="178" t="s">
        <v>396</v>
      </c>
      <c r="P230" s="178" t="s">
        <v>404</v>
      </c>
      <c r="Q230" s="178"/>
      <c r="R230" s="6">
        <f>IF((PA[[#This Row],[String Type(If String BD)]]&amp;PA[[#This Row],[Equipment (If any BD other than PV  array and inv)]])="",1,0)</f>
        <v>0</v>
      </c>
      <c r="S230" s="6">
        <f>IF(PA[[#This Row],[String Type(If String BD)]]="",1,0)</f>
        <v>0</v>
      </c>
      <c r="T2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0" s="68">
        <f>IFERROR(VLOOKUP(PA[[#This Row],[Affected Equipment ]],'Basic Data '!$A$1:$B$1846,2,0),"")</f>
        <v>31.32</v>
      </c>
      <c r="V230" s="143">
        <f>IFERROR(VLOOKUP(PA[[#This Row],[Affected Equipment ]],'Basic Data '!$A$1:$C$1846,3,0),"")</f>
        <v>9.3467147730019601E-5</v>
      </c>
      <c r="W230" s="178" t="s">
        <v>398</v>
      </c>
      <c r="X230" s="110" t="s">
        <v>410</v>
      </c>
      <c r="Y230" s="110" t="s">
        <v>411</v>
      </c>
      <c r="Z230" s="109">
        <v>0.2638888888888889</v>
      </c>
      <c r="AA230" s="109">
        <v>0.2638888888888889</v>
      </c>
      <c r="AB230" s="109">
        <v>0.2638888888888889</v>
      </c>
      <c r="AC230" s="109">
        <v>0.8125</v>
      </c>
      <c r="AD230" s="82">
        <f>IF(PA[[#This Row],[Acknowledgement Time ]]="NA","",(PA[[#This Row],[Acknowledgement Time ]]-PA[[#This Row],[Fault Time]])*24)</f>
        <v>0</v>
      </c>
      <c r="AE230" s="82">
        <f>IF(PA[[#This Row],[Work Start time on Fault]]="NA","",(PA[[#This Row],[Work Start time on Fault]]-PA[[#This Row],[Fault Time]])*24)</f>
        <v>0</v>
      </c>
      <c r="AF230" s="111">
        <f>IF(PA[[#This Row],[Status]]="Open","",(PA[[#This Row],[Work Completion time on fault]]-PA[[#This Row],[Fault Time]])*24)</f>
        <v>13.166666666666668</v>
      </c>
      <c r="AG230" s="82">
        <f>IFERROR((PA[[#This Row],[Work Completion time on fault]]-PA[[#This Row],[Fault Time]])*24,"")</f>
        <v>13.166666666666668</v>
      </c>
      <c r="AH230" s="110" t="s">
        <v>2660</v>
      </c>
      <c r="AI230" s="178" t="s">
        <v>422</v>
      </c>
      <c r="AJ230" s="68">
        <f>IFERROR(PA[[#This Row],[Breakdown Time]]*PA[[#This Row],[Plant Equivalent Weightage]],"")</f>
        <v>1.2306507784452581E-3</v>
      </c>
      <c r="AK230" s="117">
        <v>6.6</v>
      </c>
      <c r="AL230" s="116">
        <f>IF(PA[[#This Row],[Lost PoA(Wh/m2)]]&gt;0,_xlfn.XLOOKUP($B230,'Daily KPI'!$A:$A,'Daily KPI'!$AE:$AE)*PA[[#This Row],[Lost PoA(Wh/m2)]]*U230,0)</f>
        <v>168.97926029621877</v>
      </c>
      <c r="AM230" s="176" t="s">
        <v>2561</v>
      </c>
    </row>
    <row r="231" spans="1:39" ht="14" customHeight="1">
      <c r="A231" s="177">
        <f t="shared" si="4"/>
        <v>228</v>
      </c>
      <c r="B231" s="185">
        <v>45806</v>
      </c>
      <c r="C231" s="178" t="s">
        <v>477</v>
      </c>
      <c r="D231" s="6">
        <f>YEAR(PA[[#This Row],[Date]])</f>
        <v>2025</v>
      </c>
      <c r="E231" s="178" t="s">
        <v>361</v>
      </c>
      <c r="F231" s="178" t="s">
        <v>361</v>
      </c>
      <c r="G231" s="179">
        <v>45778</v>
      </c>
      <c r="H231" s="176">
        <f>DAY(EOMONTH(PA[[#This Row],[Month Year]],0))</f>
        <v>31</v>
      </c>
      <c r="I231" s="180">
        <f>VLOOKUP(PA[[#This Row],[Date]],Raw_Data[#All],9,0)</f>
        <v>0.26805555555555555</v>
      </c>
      <c r="J231" s="180">
        <f>VLOOKUP(PA[[#This Row],[Date]],Raw_Data[#All],10,0)</f>
        <v>0.81111111111111112</v>
      </c>
      <c r="K231" s="68">
        <f>IFERROR((PA[[#This Row],[Sunset Time (POA&lt;20 W/m2)]]-PA[[#This Row],[Sunrise Time (POA&gt;20 W/m2)]])*24,"")</f>
        <v>13.033333333333335</v>
      </c>
      <c r="L231" s="178" t="s">
        <v>419</v>
      </c>
      <c r="M231" s="178" t="s">
        <v>401</v>
      </c>
      <c r="N231" s="178" t="s">
        <v>395</v>
      </c>
      <c r="O231" s="178" t="s">
        <v>396</v>
      </c>
      <c r="P231" s="178" t="s">
        <v>404</v>
      </c>
      <c r="Q231" s="178"/>
      <c r="R231" s="6">
        <f>IF((PA[[#This Row],[String Type(If String BD)]]&amp;PA[[#This Row],[Equipment (If any BD other than PV  array and inv)]])="",1,0)</f>
        <v>0</v>
      </c>
      <c r="S231" s="6">
        <f>IF(PA[[#This Row],[String Type(If String BD)]]="",1,0)</f>
        <v>0</v>
      </c>
      <c r="T2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1" s="68">
        <f>IFERROR(VLOOKUP(PA[[#This Row],[Affected Equipment ]],'Basic Data '!$A$1:$B$1846,2,0),"")</f>
        <v>31.32</v>
      </c>
      <c r="V231" s="143">
        <f>IFERROR(VLOOKUP(PA[[#This Row],[Affected Equipment ]],'Basic Data '!$A$1:$C$1846,3,0),"")</f>
        <v>9.3467147730019601E-5</v>
      </c>
      <c r="W231" s="178" t="s">
        <v>398</v>
      </c>
      <c r="X231" s="110" t="s">
        <v>410</v>
      </c>
      <c r="Y231" s="110" t="s">
        <v>411</v>
      </c>
      <c r="Z231" s="109">
        <v>0.26805555555555555</v>
      </c>
      <c r="AA231" s="109">
        <v>0.26805555555555555</v>
      </c>
      <c r="AB231" s="109">
        <v>0.26805555555555555</v>
      </c>
      <c r="AC231" s="109">
        <v>0.81111111111111112</v>
      </c>
      <c r="AD231" s="82">
        <f>IF(PA[[#This Row],[Acknowledgement Time ]]="NA","",(PA[[#This Row],[Acknowledgement Time ]]-PA[[#This Row],[Fault Time]])*24)</f>
        <v>0</v>
      </c>
      <c r="AE231" s="82">
        <f>IF(PA[[#This Row],[Work Start time on Fault]]="NA","",(PA[[#This Row],[Work Start time on Fault]]-PA[[#This Row],[Fault Time]])*24)</f>
        <v>0</v>
      </c>
      <c r="AF231" s="111">
        <f>IF(PA[[#This Row],[Status]]="Open","",(PA[[#This Row],[Work Completion time on fault]]-PA[[#This Row],[Fault Time]])*24)</f>
        <v>13.033333333333335</v>
      </c>
      <c r="AG231" s="82">
        <f>IFERROR((PA[[#This Row],[Work Completion time on fault]]-PA[[#This Row],[Fault Time]])*24,"")</f>
        <v>13.033333333333335</v>
      </c>
      <c r="AH231" s="110" t="s">
        <v>2660</v>
      </c>
      <c r="AI231" s="178" t="s">
        <v>422</v>
      </c>
      <c r="AJ231" s="68">
        <f>IFERROR(PA[[#This Row],[Breakdown Time]]*PA[[#This Row],[Plant Equivalent Weightage]],"")</f>
        <v>1.2181884920812556E-3</v>
      </c>
      <c r="AK231" s="117">
        <v>6.23</v>
      </c>
      <c r="AL231" s="116">
        <f>IF(PA[[#This Row],[Lost PoA(Wh/m2)]]&gt;0,_xlfn.XLOOKUP($B231,'Daily KPI'!$A:$A,'Daily KPI'!$AE:$AE)*PA[[#This Row],[Lost PoA(Wh/m2)]]*U231,0)</f>
        <v>159.50618055233986</v>
      </c>
      <c r="AM231" s="176" t="s">
        <v>2561</v>
      </c>
    </row>
    <row r="232" spans="1:39" ht="14" customHeight="1">
      <c r="A232" s="177">
        <f t="shared" si="4"/>
        <v>229</v>
      </c>
      <c r="B232" s="185">
        <v>45806</v>
      </c>
      <c r="C232" s="178" t="s">
        <v>477</v>
      </c>
      <c r="D232" s="6">
        <f>YEAR(PA[[#This Row],[Date]])</f>
        <v>2025</v>
      </c>
      <c r="E232" s="178" t="s">
        <v>361</v>
      </c>
      <c r="F232" s="178" t="s">
        <v>361</v>
      </c>
      <c r="G232" s="179">
        <v>45778</v>
      </c>
      <c r="H232" s="176">
        <f>DAY(EOMONTH(PA[[#This Row],[Month Year]],0))</f>
        <v>31</v>
      </c>
      <c r="I232" s="180">
        <f>VLOOKUP(PA[[#This Row],[Date]],Raw_Data[#All],9,0)</f>
        <v>0.26805555555555555</v>
      </c>
      <c r="J232" s="180">
        <f>VLOOKUP(PA[[#This Row],[Date]],Raw_Data[#All],10,0)</f>
        <v>0.81111111111111112</v>
      </c>
      <c r="K232" s="68">
        <f>IFERROR((PA[[#This Row],[Sunset Time (POA&lt;20 W/m2)]]-PA[[#This Row],[Sunrise Time (POA&gt;20 W/m2)]])*24,"")</f>
        <v>13.033333333333335</v>
      </c>
      <c r="L232" s="178" t="s">
        <v>419</v>
      </c>
      <c r="M232" s="178" t="s">
        <v>401</v>
      </c>
      <c r="N232" s="178" t="s">
        <v>402</v>
      </c>
      <c r="O232" s="178" t="s">
        <v>413</v>
      </c>
      <c r="P232" s="178" t="s">
        <v>404</v>
      </c>
      <c r="Q232" s="178"/>
      <c r="R232" s="6">
        <f>IF((PA[[#This Row],[String Type(If String BD)]]&amp;PA[[#This Row],[Equipment (If any BD other than PV  array and inv)]])="",1,0)</f>
        <v>0</v>
      </c>
      <c r="S232" s="6">
        <f>IF(PA[[#This Row],[String Type(If String BD)]]="",1,0)</f>
        <v>0</v>
      </c>
      <c r="T2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2" s="68">
        <f>IFERROR(VLOOKUP(PA[[#This Row],[Affected Equipment ]],'Basic Data '!$A$1:$B$1846,2,0),"")</f>
        <v>31.32</v>
      </c>
      <c r="V232" s="143">
        <f>IFERROR(VLOOKUP(PA[[#This Row],[Affected Equipment ]],'Basic Data '!$A$1:$C$1846,3,0),"")</f>
        <v>9.3467147730019601E-5</v>
      </c>
      <c r="W232" s="178" t="s">
        <v>398</v>
      </c>
      <c r="X232" s="110" t="s">
        <v>410</v>
      </c>
      <c r="Y232" s="110" t="s">
        <v>411</v>
      </c>
      <c r="Z232" s="109">
        <v>0.26805555555555555</v>
      </c>
      <c r="AA232" s="109">
        <v>0.26805555555555555</v>
      </c>
      <c r="AB232" s="109">
        <v>0.26805555555555555</v>
      </c>
      <c r="AC232" s="109">
        <v>0.81111111111111112</v>
      </c>
      <c r="AD232" s="82">
        <f>IF(PA[[#This Row],[Acknowledgement Time ]]="NA","",(PA[[#This Row],[Acknowledgement Time ]]-PA[[#This Row],[Fault Time]])*24)</f>
        <v>0</v>
      </c>
      <c r="AE232" s="82">
        <f>IF(PA[[#This Row],[Work Start time on Fault]]="NA","",(PA[[#This Row],[Work Start time on Fault]]-PA[[#This Row],[Fault Time]])*24)</f>
        <v>0</v>
      </c>
      <c r="AF232" s="111">
        <f>IF(PA[[#This Row],[Status]]="Open","",(PA[[#This Row],[Work Completion time on fault]]-PA[[#This Row],[Fault Time]])*24)</f>
        <v>13.033333333333335</v>
      </c>
      <c r="AG232" s="82">
        <f>IFERROR((PA[[#This Row],[Work Completion time on fault]]-PA[[#This Row],[Fault Time]])*24,"")</f>
        <v>13.033333333333335</v>
      </c>
      <c r="AH232" s="110" t="s">
        <v>2660</v>
      </c>
      <c r="AI232" s="178" t="s">
        <v>422</v>
      </c>
      <c r="AJ232" s="68">
        <f>IFERROR(PA[[#This Row],[Breakdown Time]]*PA[[#This Row],[Plant Equivalent Weightage]],"")</f>
        <v>1.2181884920812556E-3</v>
      </c>
      <c r="AK232" s="117">
        <v>6.23</v>
      </c>
      <c r="AL232" s="116">
        <f>IF(PA[[#This Row],[Lost PoA(Wh/m2)]]&gt;0,_xlfn.XLOOKUP($B232,'Daily KPI'!$A:$A,'Daily KPI'!$AE:$AE)*PA[[#This Row],[Lost PoA(Wh/m2)]]*U232,0)</f>
        <v>159.50618055233986</v>
      </c>
      <c r="AM232" s="176" t="s">
        <v>2561</v>
      </c>
    </row>
    <row r="233" spans="1:39" ht="14" customHeight="1">
      <c r="A233" s="177">
        <f t="shared" si="4"/>
        <v>230</v>
      </c>
      <c r="B233" s="185">
        <v>45806</v>
      </c>
      <c r="C233" s="178" t="s">
        <v>477</v>
      </c>
      <c r="D233" s="6">
        <f>YEAR(PA[[#This Row],[Date]])</f>
        <v>2025</v>
      </c>
      <c r="E233" s="178" t="s">
        <v>361</v>
      </c>
      <c r="F233" s="178" t="s">
        <v>361</v>
      </c>
      <c r="G233" s="179">
        <v>45778</v>
      </c>
      <c r="H233" s="176">
        <f>DAY(EOMONTH(PA[[#This Row],[Month Year]],0))</f>
        <v>31</v>
      </c>
      <c r="I233" s="180">
        <f>VLOOKUP(PA[[#This Row],[Date]],Raw_Data[#All],9,0)</f>
        <v>0.26805555555555555</v>
      </c>
      <c r="J233" s="180">
        <f>VLOOKUP(PA[[#This Row],[Date]],Raw_Data[#All],10,0)</f>
        <v>0.81111111111111112</v>
      </c>
      <c r="K233" s="68">
        <f>IFERROR((PA[[#This Row],[Sunset Time (POA&lt;20 W/m2)]]-PA[[#This Row],[Sunrise Time (POA&gt;20 W/m2)]])*24,"")</f>
        <v>13.033333333333335</v>
      </c>
      <c r="L233" s="178" t="s">
        <v>419</v>
      </c>
      <c r="M233" s="178" t="s">
        <v>401</v>
      </c>
      <c r="N233" s="178" t="s">
        <v>395</v>
      </c>
      <c r="O233" s="178" t="s">
        <v>396</v>
      </c>
      <c r="P233" s="178" t="s">
        <v>404</v>
      </c>
      <c r="Q233" s="178"/>
      <c r="R233" s="6">
        <f>IF((PA[[#This Row],[String Type(If String BD)]]&amp;PA[[#This Row],[Equipment (If any BD other than PV  array and inv)]])="",1,0)</f>
        <v>0</v>
      </c>
      <c r="S233" s="6">
        <f>IF(PA[[#This Row],[String Type(If String BD)]]="",1,0)</f>
        <v>0</v>
      </c>
      <c r="T2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3" s="68">
        <f>IFERROR(VLOOKUP(PA[[#This Row],[Affected Equipment ]],'Basic Data '!$A$1:$B$1846,2,0),"")</f>
        <v>31.32</v>
      </c>
      <c r="V233" s="143">
        <f>IFERROR(VLOOKUP(PA[[#This Row],[Affected Equipment ]],'Basic Data '!$A$1:$C$1846,3,0),"")</f>
        <v>9.3467147730019601E-5</v>
      </c>
      <c r="W233" s="178" t="s">
        <v>398</v>
      </c>
      <c r="X233" s="110" t="s">
        <v>410</v>
      </c>
      <c r="Y233" s="110" t="s">
        <v>411</v>
      </c>
      <c r="Z233" s="109">
        <v>0.26805555555555555</v>
      </c>
      <c r="AA233" s="109">
        <v>0.26805555555555555</v>
      </c>
      <c r="AB233" s="109">
        <v>0.26805555555555555</v>
      </c>
      <c r="AC233" s="109">
        <v>0.81111111111111112</v>
      </c>
      <c r="AD233" s="82">
        <f>IF(PA[[#This Row],[Acknowledgement Time ]]="NA","",(PA[[#This Row],[Acknowledgement Time ]]-PA[[#This Row],[Fault Time]])*24)</f>
        <v>0</v>
      </c>
      <c r="AE233" s="82">
        <f>IF(PA[[#This Row],[Work Start time on Fault]]="NA","",(PA[[#This Row],[Work Start time on Fault]]-PA[[#This Row],[Fault Time]])*24)</f>
        <v>0</v>
      </c>
      <c r="AF233" s="111">
        <f>IF(PA[[#This Row],[Status]]="Open","",(PA[[#This Row],[Work Completion time on fault]]-PA[[#This Row],[Fault Time]])*24)</f>
        <v>13.033333333333335</v>
      </c>
      <c r="AG233" s="82">
        <f>IFERROR((PA[[#This Row],[Work Completion time on fault]]-PA[[#This Row],[Fault Time]])*24,"")</f>
        <v>13.033333333333335</v>
      </c>
      <c r="AH233" s="110" t="s">
        <v>2660</v>
      </c>
      <c r="AI233" s="178" t="s">
        <v>422</v>
      </c>
      <c r="AJ233" s="68">
        <f>IFERROR(PA[[#This Row],[Breakdown Time]]*PA[[#This Row],[Plant Equivalent Weightage]],"")</f>
        <v>1.2181884920812556E-3</v>
      </c>
      <c r="AK233" s="117">
        <v>6.23</v>
      </c>
      <c r="AL233" s="116">
        <f>IF(PA[[#This Row],[Lost PoA(Wh/m2)]]&gt;0,_xlfn.XLOOKUP($B233,'Daily KPI'!$A:$A,'Daily KPI'!$AE:$AE)*PA[[#This Row],[Lost PoA(Wh/m2)]]*U233,0)</f>
        <v>159.50618055233986</v>
      </c>
      <c r="AM233" s="176" t="s">
        <v>2561</v>
      </c>
    </row>
    <row r="234" spans="1:39" ht="14" customHeight="1">
      <c r="A234" s="177">
        <f t="shared" si="4"/>
        <v>231</v>
      </c>
      <c r="B234" s="185">
        <v>45807</v>
      </c>
      <c r="C234" s="178" t="s">
        <v>477</v>
      </c>
      <c r="D234" s="6">
        <f>YEAR(PA[[#This Row],[Date]])</f>
        <v>2025</v>
      </c>
      <c r="E234" s="178" t="s">
        <v>361</v>
      </c>
      <c r="F234" s="178" t="s">
        <v>361</v>
      </c>
      <c r="G234" s="179">
        <v>45778</v>
      </c>
      <c r="H234" s="176">
        <f>DAY(EOMONTH(PA[[#This Row],[Month Year]],0))</f>
        <v>31</v>
      </c>
      <c r="I234" s="180">
        <f>VLOOKUP(PA[[#This Row],[Date]],Raw_Data[#All],9,0)</f>
        <v>0.26319444444444445</v>
      </c>
      <c r="J234" s="180">
        <f>VLOOKUP(PA[[#This Row],[Date]],Raw_Data[#All],10,0)</f>
        <v>0.80972222222222223</v>
      </c>
      <c r="K234" s="68">
        <f>IFERROR((PA[[#This Row],[Sunset Time (POA&lt;20 W/m2)]]-PA[[#This Row],[Sunrise Time (POA&gt;20 W/m2)]])*24,"")</f>
        <v>13.116666666666665</v>
      </c>
      <c r="L234" s="178" t="s">
        <v>419</v>
      </c>
      <c r="M234" s="178" t="s">
        <v>401</v>
      </c>
      <c r="N234" s="178" t="s">
        <v>395</v>
      </c>
      <c r="O234" s="178" t="s">
        <v>396</v>
      </c>
      <c r="P234" s="178" t="s">
        <v>404</v>
      </c>
      <c r="Q234" s="178"/>
      <c r="R234" s="6">
        <f>IF((PA[[#This Row],[String Type(If String BD)]]&amp;PA[[#This Row],[Equipment (If any BD other than PV  array and inv)]])="",1,0)</f>
        <v>0</v>
      </c>
      <c r="S234" s="6">
        <f>IF(PA[[#This Row],[String Type(If String BD)]]="",1,0)</f>
        <v>0</v>
      </c>
      <c r="T2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4" s="68">
        <f>IFERROR(VLOOKUP(PA[[#This Row],[Affected Equipment ]],'Basic Data '!$A$1:$B$1846,2,0),"")</f>
        <v>31.32</v>
      </c>
      <c r="V234" s="143">
        <f>IFERROR(VLOOKUP(PA[[#This Row],[Affected Equipment ]],'Basic Data '!$A$1:$C$1846,3,0),"")</f>
        <v>9.3467147730019601E-5</v>
      </c>
      <c r="W234" s="178" t="s">
        <v>398</v>
      </c>
      <c r="X234" s="110" t="s">
        <v>410</v>
      </c>
      <c r="Y234" s="110" t="s">
        <v>411</v>
      </c>
      <c r="Z234" s="109">
        <v>0.26319444444444445</v>
      </c>
      <c r="AA234" s="109">
        <v>0.26319444444444445</v>
      </c>
      <c r="AB234" s="109">
        <v>0.26319444444444445</v>
      </c>
      <c r="AC234" s="109">
        <v>0.80972222222222223</v>
      </c>
      <c r="AD234" s="82">
        <f>IF(PA[[#This Row],[Acknowledgement Time ]]="NA","",(PA[[#This Row],[Acknowledgement Time ]]-PA[[#This Row],[Fault Time]])*24)</f>
        <v>0</v>
      </c>
      <c r="AE234" s="82">
        <f>IF(PA[[#This Row],[Work Start time on Fault]]="NA","",(PA[[#This Row],[Work Start time on Fault]]-PA[[#This Row],[Fault Time]])*24)</f>
        <v>0</v>
      </c>
      <c r="AF234" s="111">
        <f>IF(PA[[#This Row],[Status]]="Open","",(PA[[#This Row],[Work Completion time on fault]]-PA[[#This Row],[Fault Time]])*24)</f>
        <v>13.116666666666665</v>
      </c>
      <c r="AG234" s="82">
        <f>IFERROR((PA[[#This Row],[Work Completion time on fault]]-PA[[#This Row],[Fault Time]])*24,"")</f>
        <v>13.116666666666665</v>
      </c>
      <c r="AH234" s="110" t="s">
        <v>2660</v>
      </c>
      <c r="AI234" s="178" t="s">
        <v>422</v>
      </c>
      <c r="AJ234" s="68">
        <f>IFERROR(PA[[#This Row],[Breakdown Time]]*PA[[#This Row],[Plant Equivalent Weightage]],"")</f>
        <v>1.2259774210587569E-3</v>
      </c>
      <c r="AK234" s="117">
        <v>7.08</v>
      </c>
      <c r="AL234" s="116">
        <f>IF(PA[[#This Row],[Lost PoA(Wh/m2)]]&gt;0,_xlfn.XLOOKUP($B234,'Daily KPI'!$A:$A,'Daily KPI'!$AE:$AE)*PA[[#This Row],[Lost PoA(Wh/m2)]]*U234,0)</f>
        <v>181.26866104503472</v>
      </c>
      <c r="AM234" s="176" t="s">
        <v>2561</v>
      </c>
    </row>
    <row r="235" spans="1:39" ht="14" customHeight="1">
      <c r="A235" s="177">
        <f t="shared" si="4"/>
        <v>232</v>
      </c>
      <c r="B235" s="185">
        <v>45807</v>
      </c>
      <c r="C235" s="178" t="s">
        <v>477</v>
      </c>
      <c r="D235" s="6">
        <f>YEAR(PA[[#This Row],[Date]])</f>
        <v>2025</v>
      </c>
      <c r="E235" s="178" t="s">
        <v>361</v>
      </c>
      <c r="F235" s="178" t="s">
        <v>361</v>
      </c>
      <c r="G235" s="179">
        <v>45778</v>
      </c>
      <c r="H235" s="176">
        <f>DAY(EOMONTH(PA[[#This Row],[Month Year]],0))</f>
        <v>31</v>
      </c>
      <c r="I235" s="180">
        <f>VLOOKUP(PA[[#This Row],[Date]],Raw_Data[#All],9,0)</f>
        <v>0.26319444444444445</v>
      </c>
      <c r="J235" s="180">
        <f>VLOOKUP(PA[[#This Row],[Date]],Raw_Data[#All],10,0)</f>
        <v>0.80972222222222223</v>
      </c>
      <c r="K235" s="68">
        <f>IFERROR((PA[[#This Row],[Sunset Time (POA&lt;20 W/m2)]]-PA[[#This Row],[Sunrise Time (POA&gt;20 W/m2)]])*24,"")</f>
        <v>13.116666666666665</v>
      </c>
      <c r="L235" s="178" t="s">
        <v>419</v>
      </c>
      <c r="M235" s="178" t="s">
        <v>401</v>
      </c>
      <c r="N235" s="178" t="s">
        <v>402</v>
      </c>
      <c r="O235" s="178" t="s">
        <v>413</v>
      </c>
      <c r="P235" s="178" t="s">
        <v>404</v>
      </c>
      <c r="Q235" s="178"/>
      <c r="R235" s="6">
        <f>IF((PA[[#This Row],[String Type(If String BD)]]&amp;PA[[#This Row],[Equipment (If any BD other than PV  array and inv)]])="",1,0)</f>
        <v>0</v>
      </c>
      <c r="S235" s="6">
        <f>IF(PA[[#This Row],[String Type(If String BD)]]="",1,0)</f>
        <v>0</v>
      </c>
      <c r="T2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5" s="68">
        <f>IFERROR(VLOOKUP(PA[[#This Row],[Affected Equipment ]],'Basic Data '!$A$1:$B$1846,2,0),"")</f>
        <v>31.32</v>
      </c>
      <c r="V235" s="143">
        <f>IFERROR(VLOOKUP(PA[[#This Row],[Affected Equipment ]],'Basic Data '!$A$1:$C$1846,3,0),"")</f>
        <v>9.3467147730019601E-5</v>
      </c>
      <c r="W235" s="178" t="s">
        <v>398</v>
      </c>
      <c r="X235" s="110" t="s">
        <v>410</v>
      </c>
      <c r="Y235" s="110" t="s">
        <v>411</v>
      </c>
      <c r="Z235" s="109">
        <v>0.26319444444444445</v>
      </c>
      <c r="AA235" s="109">
        <v>0.26319444444444445</v>
      </c>
      <c r="AB235" s="109">
        <v>0.26319444444444445</v>
      </c>
      <c r="AC235" s="109">
        <v>0.80972222222222223</v>
      </c>
      <c r="AD235" s="82">
        <f>IF(PA[[#This Row],[Acknowledgement Time ]]="NA","",(PA[[#This Row],[Acknowledgement Time ]]-PA[[#This Row],[Fault Time]])*24)</f>
        <v>0</v>
      </c>
      <c r="AE235" s="82">
        <f>IF(PA[[#This Row],[Work Start time on Fault]]="NA","",(PA[[#This Row],[Work Start time on Fault]]-PA[[#This Row],[Fault Time]])*24)</f>
        <v>0</v>
      </c>
      <c r="AF235" s="111">
        <f>IF(PA[[#This Row],[Status]]="Open","",(PA[[#This Row],[Work Completion time on fault]]-PA[[#This Row],[Fault Time]])*24)</f>
        <v>13.116666666666665</v>
      </c>
      <c r="AG235" s="82">
        <f>IFERROR((PA[[#This Row],[Work Completion time on fault]]-PA[[#This Row],[Fault Time]])*24,"")</f>
        <v>13.116666666666665</v>
      </c>
      <c r="AH235" s="110" t="s">
        <v>2660</v>
      </c>
      <c r="AI235" s="178" t="s">
        <v>422</v>
      </c>
      <c r="AJ235" s="68">
        <f>IFERROR(PA[[#This Row],[Breakdown Time]]*PA[[#This Row],[Plant Equivalent Weightage]],"")</f>
        <v>1.2259774210587569E-3</v>
      </c>
      <c r="AK235" s="117">
        <v>7.08</v>
      </c>
      <c r="AL235" s="116">
        <f>IF(PA[[#This Row],[Lost PoA(Wh/m2)]]&gt;0,_xlfn.XLOOKUP($B235,'Daily KPI'!$A:$A,'Daily KPI'!$AE:$AE)*PA[[#This Row],[Lost PoA(Wh/m2)]]*U235,0)</f>
        <v>181.26866104503472</v>
      </c>
      <c r="AM235" s="176" t="s">
        <v>2561</v>
      </c>
    </row>
    <row r="236" spans="1:39" ht="14" customHeight="1">
      <c r="A236" s="177">
        <f t="shared" si="4"/>
        <v>233</v>
      </c>
      <c r="B236" s="185">
        <v>45807</v>
      </c>
      <c r="C236" s="178" t="s">
        <v>477</v>
      </c>
      <c r="D236" s="6">
        <f>YEAR(PA[[#This Row],[Date]])</f>
        <v>2025</v>
      </c>
      <c r="E236" s="178" t="s">
        <v>361</v>
      </c>
      <c r="F236" s="178" t="s">
        <v>361</v>
      </c>
      <c r="G236" s="179">
        <v>45778</v>
      </c>
      <c r="H236" s="176">
        <f>DAY(EOMONTH(PA[[#This Row],[Month Year]],0))</f>
        <v>31</v>
      </c>
      <c r="I236" s="180">
        <f>VLOOKUP(PA[[#This Row],[Date]],Raw_Data[#All],9,0)</f>
        <v>0.26319444444444445</v>
      </c>
      <c r="J236" s="180">
        <f>VLOOKUP(PA[[#This Row],[Date]],Raw_Data[#All],10,0)</f>
        <v>0.80972222222222223</v>
      </c>
      <c r="K236" s="68">
        <f>IFERROR((PA[[#This Row],[Sunset Time (POA&lt;20 W/m2)]]-PA[[#This Row],[Sunrise Time (POA&gt;20 W/m2)]])*24,"")</f>
        <v>13.116666666666665</v>
      </c>
      <c r="L236" s="178" t="s">
        <v>419</v>
      </c>
      <c r="M236" s="178" t="s">
        <v>401</v>
      </c>
      <c r="N236" s="178" t="s">
        <v>395</v>
      </c>
      <c r="O236" s="178" t="s">
        <v>396</v>
      </c>
      <c r="P236" s="178" t="s">
        <v>404</v>
      </c>
      <c r="Q236" s="178"/>
      <c r="R236" s="6">
        <f>IF((PA[[#This Row],[String Type(If String BD)]]&amp;PA[[#This Row],[Equipment (If any BD other than PV  array and inv)]])="",1,0)</f>
        <v>0</v>
      </c>
      <c r="S236" s="6">
        <f>IF(PA[[#This Row],[String Type(If String BD)]]="",1,0)</f>
        <v>0</v>
      </c>
      <c r="T2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6" s="68">
        <f>IFERROR(VLOOKUP(PA[[#This Row],[Affected Equipment ]],'Basic Data '!$A$1:$B$1846,2,0),"")</f>
        <v>31.32</v>
      </c>
      <c r="V236" s="143">
        <f>IFERROR(VLOOKUP(PA[[#This Row],[Affected Equipment ]],'Basic Data '!$A$1:$C$1846,3,0),"")</f>
        <v>9.3467147730019601E-5</v>
      </c>
      <c r="W236" s="178" t="s">
        <v>398</v>
      </c>
      <c r="X236" s="110" t="s">
        <v>410</v>
      </c>
      <c r="Y236" s="110" t="s">
        <v>411</v>
      </c>
      <c r="Z236" s="109">
        <v>0.26319444444444445</v>
      </c>
      <c r="AA236" s="109">
        <v>0.26319444444444445</v>
      </c>
      <c r="AB236" s="109">
        <v>0.26319444444444445</v>
      </c>
      <c r="AC236" s="109">
        <v>0.80972222222222223</v>
      </c>
      <c r="AD236" s="82">
        <f>IF(PA[[#This Row],[Acknowledgement Time ]]="NA","",(PA[[#This Row],[Acknowledgement Time ]]-PA[[#This Row],[Fault Time]])*24)</f>
        <v>0</v>
      </c>
      <c r="AE236" s="82">
        <f>IF(PA[[#This Row],[Work Start time on Fault]]="NA","",(PA[[#This Row],[Work Start time on Fault]]-PA[[#This Row],[Fault Time]])*24)</f>
        <v>0</v>
      </c>
      <c r="AF236" s="111">
        <f>IF(PA[[#This Row],[Status]]="Open","",(PA[[#This Row],[Work Completion time on fault]]-PA[[#This Row],[Fault Time]])*24)</f>
        <v>13.116666666666665</v>
      </c>
      <c r="AG236" s="82">
        <f>IFERROR((PA[[#This Row],[Work Completion time on fault]]-PA[[#This Row],[Fault Time]])*24,"")</f>
        <v>13.116666666666665</v>
      </c>
      <c r="AH236" s="110" t="s">
        <v>2660</v>
      </c>
      <c r="AI236" s="178" t="s">
        <v>422</v>
      </c>
      <c r="AJ236" s="68">
        <f>IFERROR(PA[[#This Row],[Breakdown Time]]*PA[[#This Row],[Plant Equivalent Weightage]],"")</f>
        <v>1.2259774210587569E-3</v>
      </c>
      <c r="AK236" s="117">
        <v>7.08</v>
      </c>
      <c r="AL236" s="116">
        <f>IF(PA[[#This Row],[Lost PoA(Wh/m2)]]&gt;0,_xlfn.XLOOKUP($B236,'Daily KPI'!$A:$A,'Daily KPI'!$AE:$AE)*PA[[#This Row],[Lost PoA(Wh/m2)]]*U236,0)</f>
        <v>181.26866104503472</v>
      </c>
      <c r="AM236" s="176" t="s">
        <v>2561</v>
      </c>
    </row>
    <row r="237" spans="1:39" ht="14" customHeight="1">
      <c r="A237" s="177">
        <f t="shared" si="4"/>
        <v>234</v>
      </c>
      <c r="B237" s="185">
        <v>45808</v>
      </c>
      <c r="C237" s="178" t="s">
        <v>477</v>
      </c>
      <c r="D237" s="6">
        <f>YEAR(PA[[#This Row],[Date]])</f>
        <v>2025</v>
      </c>
      <c r="E237" s="178" t="s">
        <v>361</v>
      </c>
      <c r="F237" s="178" t="s">
        <v>361</v>
      </c>
      <c r="G237" s="179">
        <v>45778</v>
      </c>
      <c r="H237" s="176">
        <f>DAY(EOMONTH(PA[[#This Row],[Month Year]],0))</f>
        <v>31</v>
      </c>
      <c r="I237" s="180">
        <f>VLOOKUP(PA[[#This Row],[Date]],Raw_Data[#All],9,0)</f>
        <v>0.26319444444444445</v>
      </c>
      <c r="J237" s="180">
        <f>VLOOKUP(PA[[#This Row],[Date]],Raw_Data[#All],10,0)</f>
        <v>0.81041666666666667</v>
      </c>
      <c r="K237" s="68">
        <f>IFERROR((PA[[#This Row],[Sunset Time (POA&lt;20 W/m2)]]-PA[[#This Row],[Sunrise Time (POA&gt;20 W/m2)]])*24,"")</f>
        <v>13.133333333333335</v>
      </c>
      <c r="L237" s="178" t="s">
        <v>416</v>
      </c>
      <c r="M237" s="178" t="s">
        <v>394</v>
      </c>
      <c r="N237" s="178" t="s">
        <v>395</v>
      </c>
      <c r="O237" s="178" t="s">
        <v>403</v>
      </c>
      <c r="P237" s="178" t="s">
        <v>404</v>
      </c>
      <c r="Q237" s="178"/>
      <c r="R237" s="6">
        <f>IF((PA[[#This Row],[String Type(If String BD)]]&amp;PA[[#This Row],[Equipment (If any BD other than PV  array and inv)]])="",1,0)</f>
        <v>0</v>
      </c>
      <c r="S237" s="6">
        <f>IF(PA[[#This Row],[String Type(If String BD)]]="",1,0)</f>
        <v>0</v>
      </c>
      <c r="T2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7" s="68">
        <f>IFERROR(VLOOKUP(PA[[#This Row],[Affected Equipment ]],'Basic Data '!$A$1:$B$1846,2,0),"")</f>
        <v>31.32</v>
      </c>
      <c r="V237" s="143">
        <f>IFERROR(VLOOKUP(PA[[#This Row],[Affected Equipment ]],'Basic Data '!$A$1:$C$1846,3,0),"")</f>
        <v>9.3467147730019601E-5</v>
      </c>
      <c r="W237" s="178" t="s">
        <v>451</v>
      </c>
      <c r="X237" s="110" t="s">
        <v>2564</v>
      </c>
      <c r="Y237" s="110" t="s">
        <v>2564</v>
      </c>
      <c r="Z237" s="109">
        <v>0.44097222222222221</v>
      </c>
      <c r="AA237" s="109">
        <v>0.44097222222222221</v>
      </c>
      <c r="AB237" s="109">
        <v>0.44097222222222221</v>
      </c>
      <c r="AC237" s="109">
        <v>0.55972222222222223</v>
      </c>
      <c r="AD237" s="82">
        <f>IF(PA[[#This Row],[Acknowledgement Time ]]="NA","",(PA[[#This Row],[Acknowledgement Time ]]-PA[[#This Row],[Fault Time]])*24)</f>
        <v>0</v>
      </c>
      <c r="AE237" s="82">
        <f>IF(PA[[#This Row],[Work Start time on Fault]]="NA","",(PA[[#This Row],[Work Start time on Fault]]-PA[[#This Row],[Fault Time]])*24)</f>
        <v>0</v>
      </c>
      <c r="AF237" s="111">
        <f>IF(PA[[#This Row],[Status]]="Open","",(PA[[#This Row],[Work Completion time on fault]]-PA[[#This Row],[Fault Time]])*24)</f>
        <v>2.8500000000000005</v>
      </c>
      <c r="AG237" s="82">
        <f>IFERROR((PA[[#This Row],[Work Completion time on fault]]-PA[[#This Row],[Fault Time]])*24,"")</f>
        <v>2.8500000000000005</v>
      </c>
      <c r="AH237" s="110" t="s">
        <v>2564</v>
      </c>
      <c r="AI237" s="178" t="s">
        <v>422</v>
      </c>
      <c r="AJ237" s="68">
        <f>IFERROR(PA[[#This Row],[Breakdown Time]]*PA[[#This Row],[Plant Equivalent Weightage]],"")</f>
        <v>2.6638137103055594E-4</v>
      </c>
      <c r="AK237" s="117">
        <v>2.5299999999999998</v>
      </c>
      <c r="AL237" s="116">
        <f>IF(PA[[#This Row],[Lost PoA(Wh/m2)]]&gt;0,_xlfn.XLOOKUP($B237,'Daily KPI'!$A:$A,'Daily KPI'!$AE:$AE)*PA[[#This Row],[Lost PoA(Wh/m2)]]*U237,0)</f>
        <v>64.775383113550532</v>
      </c>
      <c r="AM237" s="176" t="s">
        <v>2565</v>
      </c>
    </row>
    <row r="238" spans="1:39" ht="14" customHeight="1">
      <c r="A238" s="177">
        <f t="shared" si="4"/>
        <v>235</v>
      </c>
      <c r="B238" s="185">
        <v>45808</v>
      </c>
      <c r="C238" s="178" t="s">
        <v>477</v>
      </c>
      <c r="D238" s="6">
        <f>YEAR(PA[[#This Row],[Date]])</f>
        <v>2025</v>
      </c>
      <c r="E238" s="178" t="s">
        <v>361</v>
      </c>
      <c r="F238" s="178" t="s">
        <v>361</v>
      </c>
      <c r="G238" s="179">
        <v>45778</v>
      </c>
      <c r="H238" s="176">
        <f>DAY(EOMONTH(PA[[#This Row],[Month Year]],0))</f>
        <v>31</v>
      </c>
      <c r="I238" s="180">
        <f>VLOOKUP(PA[[#This Row],[Date]],Raw_Data[#All],9,0)</f>
        <v>0.26319444444444445</v>
      </c>
      <c r="J238" s="180">
        <f>VLOOKUP(PA[[#This Row],[Date]],Raw_Data[#All],10,0)</f>
        <v>0.81041666666666667</v>
      </c>
      <c r="K238" s="68">
        <f>IFERROR((PA[[#This Row],[Sunset Time (POA&lt;20 W/m2)]]-PA[[#This Row],[Sunrise Time (POA&gt;20 W/m2)]])*24,"")</f>
        <v>13.133333333333335</v>
      </c>
      <c r="L238" s="178" t="s">
        <v>416</v>
      </c>
      <c r="M238" s="178" t="s">
        <v>394</v>
      </c>
      <c r="N238" s="178" t="s">
        <v>395</v>
      </c>
      <c r="O238" s="178" t="s">
        <v>403</v>
      </c>
      <c r="P238" s="178" t="s">
        <v>404</v>
      </c>
      <c r="Q238" s="178"/>
      <c r="R238" s="6">
        <f>IF((PA[[#This Row],[String Type(If String BD)]]&amp;PA[[#This Row],[Equipment (If any BD other than PV  array and inv)]])="",1,0)</f>
        <v>0</v>
      </c>
      <c r="S238" s="6">
        <f>IF(PA[[#This Row],[String Type(If String BD)]]="",1,0)</f>
        <v>0</v>
      </c>
      <c r="T2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8" s="68">
        <f>IFERROR(VLOOKUP(PA[[#This Row],[Affected Equipment ]],'Basic Data '!$A$1:$B$1846,2,0),"")</f>
        <v>31.32</v>
      </c>
      <c r="V238" s="143">
        <f>IFERROR(VLOOKUP(PA[[#This Row],[Affected Equipment ]],'Basic Data '!$A$1:$C$1846,3,0),"")</f>
        <v>9.3467147730019601E-5</v>
      </c>
      <c r="W238" s="178" t="s">
        <v>451</v>
      </c>
      <c r="X238" s="110" t="s">
        <v>2564</v>
      </c>
      <c r="Y238" s="110" t="s">
        <v>2564</v>
      </c>
      <c r="Z238" s="109">
        <v>0.44097222222222221</v>
      </c>
      <c r="AA238" s="109">
        <v>0.44097222222222221</v>
      </c>
      <c r="AB238" s="109">
        <v>0.44097222222222221</v>
      </c>
      <c r="AC238" s="109">
        <v>0.55972222222222223</v>
      </c>
      <c r="AD238" s="82">
        <f>IF(PA[[#This Row],[Acknowledgement Time ]]="NA","",(PA[[#This Row],[Acknowledgement Time ]]-PA[[#This Row],[Fault Time]])*24)</f>
        <v>0</v>
      </c>
      <c r="AE238" s="82">
        <f>IF(PA[[#This Row],[Work Start time on Fault]]="NA","",(PA[[#This Row],[Work Start time on Fault]]-PA[[#This Row],[Fault Time]])*24)</f>
        <v>0</v>
      </c>
      <c r="AF238" s="111">
        <f>IF(PA[[#This Row],[Status]]="Open","",(PA[[#This Row],[Work Completion time on fault]]-PA[[#This Row],[Fault Time]])*24)</f>
        <v>2.8500000000000005</v>
      </c>
      <c r="AG238" s="82">
        <f>IFERROR((PA[[#This Row],[Work Completion time on fault]]-PA[[#This Row],[Fault Time]])*24,"")</f>
        <v>2.8500000000000005</v>
      </c>
      <c r="AH238" s="110" t="s">
        <v>2564</v>
      </c>
      <c r="AI238" s="178" t="s">
        <v>422</v>
      </c>
      <c r="AJ238" s="68">
        <f>IFERROR(PA[[#This Row],[Breakdown Time]]*PA[[#This Row],[Plant Equivalent Weightage]],"")</f>
        <v>2.6638137103055594E-4</v>
      </c>
      <c r="AK238" s="117">
        <v>2.5299999999999998</v>
      </c>
      <c r="AL238" s="116">
        <f>IF(PA[[#This Row],[Lost PoA(Wh/m2)]]&gt;0,_xlfn.XLOOKUP($B238,'Daily KPI'!$A:$A,'Daily KPI'!$AE:$AE)*PA[[#This Row],[Lost PoA(Wh/m2)]]*U238,0)</f>
        <v>64.775383113550532</v>
      </c>
      <c r="AM238" s="176" t="s">
        <v>2565</v>
      </c>
    </row>
    <row r="239" spans="1:39" ht="14" customHeight="1">
      <c r="A239" s="177">
        <f t="shared" si="4"/>
        <v>236</v>
      </c>
      <c r="B239" s="185">
        <v>45808</v>
      </c>
      <c r="C239" s="178" t="s">
        <v>477</v>
      </c>
      <c r="D239" s="6">
        <f>YEAR(PA[[#This Row],[Date]])</f>
        <v>2025</v>
      </c>
      <c r="E239" s="178" t="s">
        <v>361</v>
      </c>
      <c r="F239" s="178" t="s">
        <v>361</v>
      </c>
      <c r="G239" s="179">
        <v>45778</v>
      </c>
      <c r="H239" s="176">
        <f>DAY(EOMONTH(PA[[#This Row],[Month Year]],0))</f>
        <v>31</v>
      </c>
      <c r="I239" s="180">
        <f>VLOOKUP(PA[[#This Row],[Date]],Raw_Data[#All],9,0)</f>
        <v>0.26319444444444445</v>
      </c>
      <c r="J239" s="180">
        <f>VLOOKUP(PA[[#This Row],[Date]],Raw_Data[#All],10,0)</f>
        <v>0.81041666666666667</v>
      </c>
      <c r="K239" s="68">
        <f>IFERROR((PA[[#This Row],[Sunset Time (POA&lt;20 W/m2)]]-PA[[#This Row],[Sunrise Time (POA&gt;20 W/m2)]])*24,"")</f>
        <v>13.133333333333335</v>
      </c>
      <c r="L239" s="178" t="s">
        <v>454</v>
      </c>
      <c r="M239" s="178" t="s">
        <v>394</v>
      </c>
      <c r="N239" s="178" t="s">
        <v>402</v>
      </c>
      <c r="O239" s="178" t="s">
        <v>413</v>
      </c>
      <c r="P239" s="178" t="s">
        <v>429</v>
      </c>
      <c r="Q239" s="178"/>
      <c r="R239" s="6">
        <f>IF((PA[[#This Row],[String Type(If String BD)]]&amp;PA[[#This Row],[Equipment (If any BD other than PV  array and inv)]])="",1,0)</f>
        <v>0</v>
      </c>
      <c r="S239" s="6">
        <f>IF(PA[[#This Row],[String Type(If String BD)]]="",1,0)</f>
        <v>0</v>
      </c>
      <c r="T2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39" s="68">
        <f>IFERROR(VLOOKUP(PA[[#This Row],[Affected Equipment ]],'Basic Data '!$A$1:$B$1846,2,0),"")</f>
        <v>15.66</v>
      </c>
      <c r="V239" s="143">
        <f>IFERROR(VLOOKUP(PA[[#This Row],[Affected Equipment ]],'Basic Data '!$A$1:$C$1846,3,0),"")</f>
        <v>4.6733573865009801E-5</v>
      </c>
      <c r="W239" s="178" t="s">
        <v>451</v>
      </c>
      <c r="X239" s="110" t="s">
        <v>471</v>
      </c>
      <c r="Y239" s="110" t="s">
        <v>470</v>
      </c>
      <c r="Z239" s="109">
        <v>0.26319444444444445</v>
      </c>
      <c r="AA239" s="109">
        <v>0.26319444444444445</v>
      </c>
      <c r="AB239" s="109">
        <v>0.26319444444444445</v>
      </c>
      <c r="AC239" s="109">
        <v>0.81041666666666667</v>
      </c>
      <c r="AD239" s="82">
        <f>IF(PA[[#This Row],[Acknowledgement Time ]]="NA","",(PA[[#This Row],[Acknowledgement Time ]]-PA[[#This Row],[Fault Time]])*24)</f>
        <v>0</v>
      </c>
      <c r="AE239" s="82">
        <f>IF(PA[[#This Row],[Work Start time on Fault]]="NA","",(PA[[#This Row],[Work Start time on Fault]]-PA[[#This Row],[Fault Time]])*24)</f>
        <v>0</v>
      </c>
      <c r="AF239" s="111">
        <f>IF(PA[[#This Row],[Status]]="Open","",(PA[[#This Row],[Work Completion time on fault]]-PA[[#This Row],[Fault Time]])*24)</f>
        <v>13.133333333333335</v>
      </c>
      <c r="AG239" s="82">
        <f>IFERROR((PA[[#This Row],[Work Completion time on fault]]-PA[[#This Row],[Fault Time]])*24,"")</f>
        <v>13.133333333333335</v>
      </c>
      <c r="AH239" s="110" t="s">
        <v>470</v>
      </c>
      <c r="AI239" s="178" t="s">
        <v>422</v>
      </c>
      <c r="AJ239" s="68">
        <f>IFERROR(PA[[#This Row],[Breakdown Time]]*PA[[#This Row],[Plant Equivalent Weightage]],"")</f>
        <v>6.1376760342712877E-4</v>
      </c>
      <c r="AK239" s="117">
        <v>6.91</v>
      </c>
      <c r="AL239" s="116">
        <f>IF(PA[[#This Row],[Lost PoA(Wh/m2)]]&gt;0,_xlfn.XLOOKUP($B239,'Daily KPI'!$A:$A,'Daily KPI'!$AE:$AE)*PA[[#This Row],[Lost PoA(Wh/m2)]]*U239,0)</f>
        <v>88.45808247324787</v>
      </c>
      <c r="AM239" s="176" t="s">
        <v>2566</v>
      </c>
    </row>
    <row r="240" spans="1:39" ht="14" customHeight="1">
      <c r="A240" s="177">
        <f t="shared" si="4"/>
        <v>237</v>
      </c>
      <c r="B240" s="185">
        <v>45809</v>
      </c>
      <c r="C240" s="178" t="s">
        <v>477</v>
      </c>
      <c r="D240" s="6">
        <f>YEAR(PA[[#This Row],[Date]])</f>
        <v>2025</v>
      </c>
      <c r="E240" s="178" t="s">
        <v>361</v>
      </c>
      <c r="F240" s="178" t="s">
        <v>361</v>
      </c>
      <c r="G240" s="179">
        <v>45809</v>
      </c>
      <c r="H240" s="176">
        <f>DAY(EOMONTH(PA[[#This Row],[Month Year]],0))</f>
        <v>30</v>
      </c>
      <c r="I240" s="180">
        <f>VLOOKUP(PA[[#This Row],[Date]],Raw_Data[#All],9,0)</f>
        <v>0.27152777777777776</v>
      </c>
      <c r="J240" s="180">
        <f>VLOOKUP(PA[[#This Row],[Date]],Raw_Data[#All],10,0)</f>
        <v>0.80902777777777779</v>
      </c>
      <c r="K240" s="68">
        <f>IFERROR((PA[[#This Row],[Sunset Time (POA&lt;20 W/m2)]]-PA[[#This Row],[Sunrise Time (POA&gt;20 W/m2)]])*24,"")</f>
        <v>12.900000000000002</v>
      </c>
      <c r="L240" s="178"/>
      <c r="M240" s="178"/>
      <c r="N240" s="178"/>
      <c r="O240" s="178"/>
      <c r="P240" s="178"/>
      <c r="Q240" s="178" t="s">
        <v>436</v>
      </c>
      <c r="R240" s="6">
        <f>IF((PA[[#This Row],[String Type(If String BD)]]&amp;PA[[#This Row],[Equipment (If any BD other than PV  array and inv)]])="",1,0)</f>
        <v>0</v>
      </c>
      <c r="S240" s="6">
        <f>IF(PA[[#This Row],[String Type(If String BD)]]="",1,0)</f>
        <v>1</v>
      </c>
      <c r="T2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Power_Tx2</v>
      </c>
      <c r="U240" s="68">
        <f>IFERROR(VLOOKUP(PA[[#This Row],[Affected Equipment ]],'Basic Data '!$A$1:$B$1846,2,0),"")</f>
        <v>167768.91500000001</v>
      </c>
      <c r="V240" s="143">
        <f>IFERROR(VLOOKUP(PA[[#This Row],[Affected Equipment ]],'Basic Data '!$A$1:$C$1846,3,0),"")</f>
        <v>0.50066672933621015</v>
      </c>
      <c r="W240" s="178" t="s">
        <v>435</v>
      </c>
      <c r="X240" s="110" t="s">
        <v>2569</v>
      </c>
      <c r="Y240" s="110" t="s">
        <v>2570</v>
      </c>
      <c r="Z240" s="109">
        <v>0.80902777777777779</v>
      </c>
      <c r="AA240" s="109">
        <v>0.80902777777777779</v>
      </c>
      <c r="AB240" s="109">
        <v>0.80902777777777779</v>
      </c>
      <c r="AC240" s="109">
        <v>0.21875</v>
      </c>
      <c r="AD240" s="82">
        <f>IF(PA[[#This Row],[Acknowledgement Time ]]="NA","",(PA[[#This Row],[Acknowledgement Time ]]-PA[[#This Row],[Fault Time]])*24)</f>
        <v>0</v>
      </c>
      <c r="AE240" s="82">
        <f>IF(PA[[#This Row],[Work Start time on Fault]]="NA","",(PA[[#This Row],[Work Start time on Fault]]-PA[[#This Row],[Fault Time]])*24)</f>
        <v>0</v>
      </c>
      <c r="AF240" s="111"/>
      <c r="AG240" s="82"/>
      <c r="AH240" s="110" t="s">
        <v>2571</v>
      </c>
      <c r="AI240" s="178" t="s">
        <v>422</v>
      </c>
      <c r="AJ240" s="68">
        <f>IFERROR(PA[[#This Row],[Breakdown Time]]*PA[[#This Row],[Plant Equivalent Weightage]],"")</f>
        <v>0</v>
      </c>
      <c r="AK240" s="117">
        <v>0</v>
      </c>
      <c r="AL240" s="116">
        <f>IF(PA[[#This Row],[Lost PoA(Wh/m2)]]&gt;0,_xlfn.XLOOKUP($B240,'Daily KPI'!$A:$A,'Daily KPI'!$AE:$AE)*PA[[#This Row],[Lost PoA(Wh/m2)]]*U240,0)</f>
        <v>0</v>
      </c>
      <c r="AM240" s="176" t="s">
        <v>2572</v>
      </c>
    </row>
    <row r="241" spans="1:39" ht="14" customHeight="1">
      <c r="A241" s="177">
        <f t="shared" si="4"/>
        <v>238</v>
      </c>
      <c r="B241" s="185">
        <v>45811</v>
      </c>
      <c r="C241" s="178" t="s">
        <v>477</v>
      </c>
      <c r="D241" s="18">
        <f>YEAR(PA[[#This Row],[Date]])</f>
        <v>2025</v>
      </c>
      <c r="E241" s="178" t="s">
        <v>361</v>
      </c>
      <c r="F241" s="178" t="s">
        <v>361</v>
      </c>
      <c r="G241" s="179">
        <v>45809</v>
      </c>
      <c r="H241" s="176">
        <f>DAY(EOMONTH(PA[[#This Row],[Month Year]],0))</f>
        <v>30</v>
      </c>
      <c r="I241" s="180">
        <f>VLOOKUP(PA[[#This Row],[Date]],Raw_Data[#All],9,0)</f>
        <v>0.26111111111111113</v>
      </c>
      <c r="J241" s="180">
        <f>VLOOKUP(PA[[#This Row],[Date]],Raw_Data[#All],10,0)</f>
        <v>0.80972222222222223</v>
      </c>
      <c r="K241" s="68">
        <f>IFERROR((PA[[#This Row],[Sunset Time (POA&lt;20 W/m2)]]-PA[[#This Row],[Sunrise Time (POA&gt;20 W/m2)]])*24,"")</f>
        <v>13.166666666666668</v>
      </c>
      <c r="L241" s="251" t="s">
        <v>441</v>
      </c>
      <c r="M241" s="251" t="s">
        <v>414</v>
      </c>
      <c r="N241" s="251" t="s">
        <v>402</v>
      </c>
      <c r="O241" s="251" t="s">
        <v>403</v>
      </c>
      <c r="P241" s="251" t="s">
        <v>445</v>
      </c>
      <c r="Q241" s="251"/>
      <c r="R241" s="18">
        <f>IF((PA[[#This Row],[String Type(If String BD)]]&amp;PA[[#This Row],[Equipment (If any BD other than PV  array and inv)]])="",1,0)</f>
        <v>0</v>
      </c>
      <c r="S241" s="18">
        <f>IF(PA[[#This Row],[String Type(If String BD)]]="",1,0)</f>
        <v>0</v>
      </c>
      <c r="T24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41" s="74">
        <f>IFERROR(VLOOKUP(PA[[#This Row],[Affected Equipment ]],'Basic Data '!$A$1:$B$1846,2,0),"")</f>
        <v>26.1</v>
      </c>
      <c r="V241" s="144">
        <f>IFERROR(VLOOKUP(PA[[#This Row],[Affected Equipment ]],'Basic Data '!$A$1:$C$1846,3,0),"")</f>
        <v>7.7889289775016346E-5</v>
      </c>
      <c r="W241" s="178" t="s">
        <v>451</v>
      </c>
      <c r="X241" s="110" t="s">
        <v>491</v>
      </c>
      <c r="Y241" s="110" t="s">
        <v>491</v>
      </c>
      <c r="Z241" s="109">
        <v>0.45555555555555555</v>
      </c>
      <c r="AA241" s="109">
        <v>0.45555555555555555</v>
      </c>
      <c r="AB241" s="109">
        <v>0.45555555555555555</v>
      </c>
      <c r="AC241" s="109">
        <v>0.52430555555555558</v>
      </c>
      <c r="AD241" s="82">
        <f>IF(PA[[#This Row],[Acknowledgement Time ]]="NA","",(PA[[#This Row],[Acknowledgement Time ]]-PA[[#This Row],[Fault Time]])*24)</f>
        <v>0</v>
      </c>
      <c r="AE241" s="82">
        <f>IF(PA[[#This Row],[Work Start time on Fault]]="NA","",(PA[[#This Row],[Work Start time on Fault]]-PA[[#This Row],[Fault Time]])*24)</f>
        <v>0</v>
      </c>
      <c r="AF241" s="111">
        <f>IF(PA[[#This Row],[Status]]="Open","",(PA[[#This Row],[Work Completion time on fault]]-PA[[#This Row],[Fault Time]])*24)</f>
        <v>1.6500000000000008</v>
      </c>
      <c r="AG241" s="82">
        <f>IFERROR((PA[[#This Row],[Work Completion time on fault]]-PA[[#This Row],[Fault Time]])*24,"")</f>
        <v>1.6500000000000008</v>
      </c>
      <c r="AH241" s="110" t="s">
        <v>491</v>
      </c>
      <c r="AI241" s="178" t="s">
        <v>422</v>
      </c>
      <c r="AJ241" s="74">
        <f>IFERROR(PA[[#This Row],[Breakdown Time]]*PA[[#This Row],[Plant Equivalent Weightage]],"")</f>
        <v>1.2851732812877703E-4</v>
      </c>
      <c r="AK241" s="117">
        <v>1.49</v>
      </c>
      <c r="AL241" s="258">
        <f>IF(PA[[#This Row],[Lost PoA(Wh/m2)]]&gt;0,_xlfn.XLOOKUP($B241,'Daily KPI'!$A:$A,'Daily KPI'!$AE:$AE)*PA[[#This Row],[Lost PoA(Wh/m2)]]*U241,0)</f>
        <v>32.273688717896142</v>
      </c>
      <c r="AM241" s="176" t="s">
        <v>2577</v>
      </c>
    </row>
    <row r="242" spans="1:39" ht="14" customHeight="1">
      <c r="A242" s="177">
        <f t="shared" si="4"/>
        <v>239</v>
      </c>
      <c r="B242" s="185">
        <v>45813</v>
      </c>
      <c r="C242" s="178" t="s">
        <v>477</v>
      </c>
      <c r="D242" s="6">
        <f>YEAR(PA[[#This Row],[Date]])</f>
        <v>2025</v>
      </c>
      <c r="E242" s="178" t="s">
        <v>361</v>
      </c>
      <c r="F242" s="178" t="s">
        <v>361</v>
      </c>
      <c r="G242" s="179">
        <v>45809</v>
      </c>
      <c r="H242" s="176">
        <f>DAY(EOMONTH(PA[[#This Row],[Month Year]],0))</f>
        <v>30</v>
      </c>
      <c r="I242" s="180">
        <f>VLOOKUP(PA[[#This Row],[Date]],Raw_Data[#All],9,0)</f>
        <v>0.26111111111111113</v>
      </c>
      <c r="J242" s="180">
        <f>VLOOKUP(PA[[#This Row],[Date]],Raw_Data[#All],10,0)</f>
        <v>0.81041666666666667</v>
      </c>
      <c r="K242" s="68">
        <f>IFERROR((PA[[#This Row],[Sunset Time (POA&lt;20 W/m2)]]-PA[[#This Row],[Sunrise Time (POA&gt;20 W/m2)]])*24,"")</f>
        <v>13.183333333333332</v>
      </c>
      <c r="L242" s="178" t="s">
        <v>437</v>
      </c>
      <c r="M242" s="178" t="s">
        <v>414</v>
      </c>
      <c r="N242" s="178" t="s">
        <v>395</v>
      </c>
      <c r="O242" s="178" t="s">
        <v>406</v>
      </c>
      <c r="P242" s="178" t="s">
        <v>424</v>
      </c>
      <c r="Q242" s="178"/>
      <c r="R242" s="6">
        <f>IF((PA[[#This Row],[String Type(If String BD)]]&amp;PA[[#This Row],[Equipment (If any BD other than PV  array and inv)]])="",1,0)</f>
        <v>0</v>
      </c>
      <c r="S242" s="6">
        <f>IF(PA[[#This Row],[String Type(If String BD)]]="",1,0)</f>
        <v>0</v>
      </c>
      <c r="T2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2" s="68">
        <f>IFERROR(VLOOKUP(PA[[#This Row],[Affected Equipment ]],'Basic Data '!$A$1:$B$1846,2,0),"")</f>
        <v>12.904999999999999</v>
      </c>
      <c r="V242" s="143">
        <f>IFERROR(VLOOKUP(PA[[#This Row],[Affected Equipment ]],'Basic Data '!$A$1:$C$1846,3,0),"")</f>
        <v>3.8511926610980299E-5</v>
      </c>
      <c r="W242" s="178" t="s">
        <v>451</v>
      </c>
      <c r="X242" s="110" t="s">
        <v>491</v>
      </c>
      <c r="Y242" s="110" t="s">
        <v>491</v>
      </c>
      <c r="Z242" s="109">
        <v>0.44861111111111113</v>
      </c>
      <c r="AA242" s="109">
        <v>0.44861111111111113</v>
      </c>
      <c r="AB242" s="109">
        <v>0.44861111111111113</v>
      </c>
      <c r="AC242" s="109">
        <v>0.46250000000000002</v>
      </c>
      <c r="AD242" s="82">
        <f>IF(PA[[#This Row],[Acknowledgement Time ]]="NA","",(PA[[#This Row],[Acknowledgement Time ]]-PA[[#This Row],[Fault Time]])*24)</f>
        <v>0</v>
      </c>
      <c r="AE242" s="82">
        <f>IF(PA[[#This Row],[Work Start time on Fault]]="NA","",(PA[[#This Row],[Work Start time on Fault]]-PA[[#This Row],[Fault Time]])*24)</f>
        <v>0</v>
      </c>
      <c r="AF242" s="111">
        <f>IF(PA[[#This Row],[Status]]="Open","",(PA[[#This Row],[Work Completion time on fault]]-PA[[#This Row],[Fault Time]])*24)</f>
        <v>0.33333333333333348</v>
      </c>
      <c r="AG242" s="82">
        <f>IFERROR((PA[[#This Row],[Work Completion time on fault]]-PA[[#This Row],[Fault Time]])*24,"")</f>
        <v>0.33333333333333348</v>
      </c>
      <c r="AH242" s="110" t="s">
        <v>491</v>
      </c>
      <c r="AI242" s="178" t="s">
        <v>422</v>
      </c>
      <c r="AJ242" s="68">
        <f>IFERROR(PA[[#This Row],[Breakdown Time]]*PA[[#This Row],[Plant Equivalent Weightage]],"")</f>
        <v>1.2837308870326772E-5</v>
      </c>
      <c r="AK242" s="117">
        <v>0.30153684999999997</v>
      </c>
      <c r="AL242" s="116">
        <f>IF(PA[[#This Row],[Lost PoA(Wh/m2)]]&gt;0,_xlfn.XLOOKUP($B242,'Daily KPI'!$A:$A,'Daily KPI'!$AE:$AE)*PA[[#This Row],[Lost PoA(Wh/m2)]]*U242,0)</f>
        <v>3.229388041069611</v>
      </c>
      <c r="AM242" s="176" t="s">
        <v>2580</v>
      </c>
    </row>
    <row r="243" spans="1:39" ht="14" customHeight="1">
      <c r="A243" s="177">
        <f t="shared" si="4"/>
        <v>240</v>
      </c>
      <c r="B243" s="185">
        <v>45813</v>
      </c>
      <c r="C243" s="178" t="s">
        <v>477</v>
      </c>
      <c r="D243" s="6">
        <f>YEAR(PA[[#This Row],[Date]])</f>
        <v>2025</v>
      </c>
      <c r="E243" s="178" t="s">
        <v>361</v>
      </c>
      <c r="F243" s="178" t="s">
        <v>361</v>
      </c>
      <c r="G243" s="179">
        <v>45809</v>
      </c>
      <c r="H243" s="176">
        <f>DAY(EOMONTH(PA[[#This Row],[Month Year]],0))</f>
        <v>30</v>
      </c>
      <c r="I243" s="180">
        <f>VLOOKUP(PA[[#This Row],[Date]],Raw_Data[#All],9,0)</f>
        <v>0.26111111111111113</v>
      </c>
      <c r="J243" s="180">
        <f>VLOOKUP(PA[[#This Row],[Date]],Raw_Data[#All],10,0)</f>
        <v>0.81041666666666667</v>
      </c>
      <c r="K243" s="68">
        <f>IFERROR((PA[[#This Row],[Sunset Time (POA&lt;20 W/m2)]]-PA[[#This Row],[Sunrise Time (POA&gt;20 W/m2)]])*24,"")</f>
        <v>13.183333333333332</v>
      </c>
      <c r="L243" s="178" t="s">
        <v>438</v>
      </c>
      <c r="M243" s="178" t="s">
        <v>414</v>
      </c>
      <c r="N243" s="178" t="s">
        <v>402</v>
      </c>
      <c r="O243" s="178" t="s">
        <v>406</v>
      </c>
      <c r="P243" s="178" t="s">
        <v>424</v>
      </c>
      <c r="Q243" s="178"/>
      <c r="R243" s="6">
        <f>IF((PA[[#This Row],[String Type(If String BD)]]&amp;PA[[#This Row],[Equipment (If any BD other than PV  array and inv)]])="",1,0)</f>
        <v>0</v>
      </c>
      <c r="S243" s="6">
        <f>IF(PA[[#This Row],[String Type(If String BD)]]="",1,0)</f>
        <v>0</v>
      </c>
      <c r="T2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3" s="68">
        <f>IFERROR(VLOOKUP(PA[[#This Row],[Affected Equipment ]],'Basic Data '!$A$1:$B$1846,2,0),"")</f>
        <v>12.904999999999999</v>
      </c>
      <c r="V243" s="143">
        <f>IFERROR(VLOOKUP(PA[[#This Row],[Affected Equipment ]],'Basic Data '!$A$1:$C$1846,3,0),"")</f>
        <v>3.8511926610980299E-5</v>
      </c>
      <c r="W243" s="178" t="s">
        <v>451</v>
      </c>
      <c r="X243" s="110" t="s">
        <v>491</v>
      </c>
      <c r="Y243" s="110" t="s">
        <v>491</v>
      </c>
      <c r="Z243" s="109">
        <v>0.46875</v>
      </c>
      <c r="AA243" s="109">
        <v>0.46875</v>
      </c>
      <c r="AB243" s="109">
        <v>0.46875</v>
      </c>
      <c r="AC243" s="109">
        <v>0.47916666666666669</v>
      </c>
      <c r="AD243" s="82">
        <f>IF(PA[[#This Row],[Acknowledgement Time ]]="NA","",(PA[[#This Row],[Acknowledgement Time ]]-PA[[#This Row],[Fault Time]])*24)</f>
        <v>0</v>
      </c>
      <c r="AE243" s="82">
        <f>IF(PA[[#This Row],[Work Start time on Fault]]="NA","",(PA[[#This Row],[Work Start time on Fault]]-PA[[#This Row],[Fault Time]])*24)</f>
        <v>0</v>
      </c>
      <c r="AF243" s="111">
        <f>IF(PA[[#This Row],[Status]]="Open","",(PA[[#This Row],[Work Completion time on fault]]-PA[[#This Row],[Fault Time]])*24)</f>
        <v>0.25000000000000044</v>
      </c>
      <c r="AG243" s="82">
        <f>IFERROR((PA[[#This Row],[Work Completion time on fault]]-PA[[#This Row],[Fault Time]])*24,"")</f>
        <v>0.25000000000000044</v>
      </c>
      <c r="AH243" s="110" t="s">
        <v>491</v>
      </c>
      <c r="AI243" s="178" t="s">
        <v>422</v>
      </c>
      <c r="AJ243" s="68">
        <f>IFERROR(PA[[#This Row],[Breakdown Time]]*PA[[#This Row],[Plant Equivalent Weightage]],"")</f>
        <v>9.6279816527450916E-6</v>
      </c>
      <c r="AK243" s="117">
        <v>0.24351976666666666</v>
      </c>
      <c r="AL243" s="116">
        <f>IF(PA[[#This Row],[Lost PoA(Wh/m2)]]&gt;0,_xlfn.XLOOKUP($B243,'Daily KPI'!$A:$A,'Daily KPI'!$AE:$AE)*PA[[#This Row],[Lost PoA(Wh/m2)]]*U243,0)</f>
        <v>2.6080388590561832</v>
      </c>
      <c r="AM243" s="176" t="s">
        <v>2580</v>
      </c>
    </row>
    <row r="244" spans="1:39" ht="14" customHeight="1">
      <c r="A244" s="177">
        <f t="shared" si="4"/>
        <v>241</v>
      </c>
      <c r="B244" s="185">
        <v>45813</v>
      </c>
      <c r="C244" s="178" t="s">
        <v>477</v>
      </c>
      <c r="D244" s="6">
        <f>YEAR(PA[[#This Row],[Date]])</f>
        <v>2025</v>
      </c>
      <c r="E244" s="178" t="s">
        <v>361</v>
      </c>
      <c r="F244" s="178" t="s">
        <v>361</v>
      </c>
      <c r="G244" s="179">
        <v>45809</v>
      </c>
      <c r="H244" s="176">
        <f>DAY(EOMONTH(PA[[#This Row],[Month Year]],0))</f>
        <v>30</v>
      </c>
      <c r="I244" s="180">
        <f>VLOOKUP(PA[[#This Row],[Date]],Raw_Data[#All],9,0)</f>
        <v>0.26111111111111113</v>
      </c>
      <c r="J244" s="180">
        <f>VLOOKUP(PA[[#This Row],[Date]],Raw_Data[#All],10,0)</f>
        <v>0.81041666666666667</v>
      </c>
      <c r="K244" s="68">
        <f>IFERROR((PA[[#This Row],[Sunset Time (POA&lt;20 W/m2)]]-PA[[#This Row],[Sunrise Time (POA&gt;20 W/m2)]])*24,"")</f>
        <v>13.183333333333332</v>
      </c>
      <c r="L244" s="178" t="s">
        <v>416</v>
      </c>
      <c r="M244" s="178" t="s">
        <v>394</v>
      </c>
      <c r="N244" s="178" t="s">
        <v>395</v>
      </c>
      <c r="O244" s="178" t="s">
        <v>413</v>
      </c>
      <c r="P244" s="178" t="s">
        <v>458</v>
      </c>
      <c r="Q244" s="178"/>
      <c r="R244" s="6">
        <f>IF((PA[[#This Row],[String Type(If String BD)]]&amp;PA[[#This Row],[Equipment (If any BD other than PV  array and inv)]])="",1,0)</f>
        <v>0</v>
      </c>
      <c r="S244" s="6">
        <f>IF(PA[[#This Row],[String Type(If String BD)]]="",1,0)</f>
        <v>0</v>
      </c>
      <c r="T2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44" s="68">
        <f>IFERROR(VLOOKUP(PA[[#This Row],[Affected Equipment ]],'Basic Data '!$A$1:$B$1846,2,0),"")</f>
        <v>15.805</v>
      </c>
      <c r="V244" s="143">
        <f>IFERROR(VLOOKUP(PA[[#This Row],[Affected Equipment ]],'Basic Data '!$A$1:$C$1846,3,0),"")</f>
        <v>4.7166292141537668E-5</v>
      </c>
      <c r="W244" s="178" t="s">
        <v>451</v>
      </c>
      <c r="X244" s="110" t="s">
        <v>491</v>
      </c>
      <c r="Y244" s="110" t="s">
        <v>491</v>
      </c>
      <c r="Z244" s="109">
        <v>0.48958333333333331</v>
      </c>
      <c r="AA244" s="109">
        <v>0.48958333333333331</v>
      </c>
      <c r="AB244" s="109">
        <v>0.48958333333333331</v>
      </c>
      <c r="AC244" s="109">
        <v>0.5</v>
      </c>
      <c r="AD244" s="82">
        <f>IF(PA[[#This Row],[Acknowledgement Time ]]="NA","",(PA[[#This Row],[Acknowledgement Time ]]-PA[[#This Row],[Fault Time]])*24)</f>
        <v>0</v>
      </c>
      <c r="AE244" s="82">
        <f>IF(PA[[#This Row],[Work Start time on Fault]]="NA","",(PA[[#This Row],[Work Start time on Fault]]-PA[[#This Row],[Fault Time]])*24)</f>
        <v>0</v>
      </c>
      <c r="AF244" s="111">
        <f>IF(PA[[#This Row],[Status]]="Open","",(PA[[#This Row],[Work Completion time on fault]]-PA[[#This Row],[Fault Time]])*24)</f>
        <v>0.25000000000000044</v>
      </c>
      <c r="AG244" s="82">
        <f>IFERROR((PA[[#This Row],[Work Completion time on fault]]-PA[[#This Row],[Fault Time]])*24,"")</f>
        <v>0.25000000000000044</v>
      </c>
      <c r="AH244" s="110" t="s">
        <v>491</v>
      </c>
      <c r="AI244" s="178" t="s">
        <v>422</v>
      </c>
      <c r="AJ244" s="68">
        <f>IFERROR(PA[[#This Row],[Breakdown Time]]*PA[[#This Row],[Plant Equivalent Weightage]],"")</f>
        <v>1.1791573035384437E-5</v>
      </c>
      <c r="AK244" s="117">
        <v>0.25457170000000001</v>
      </c>
      <c r="AL244" s="116">
        <f>IF(PA[[#This Row],[Lost PoA(Wh/m2)]]&gt;0,_xlfn.XLOOKUP($B244,'Daily KPI'!$A:$A,'Daily KPI'!$AE:$AE)*PA[[#This Row],[Lost PoA(Wh/m2)]]*U244,0)</f>
        <v>3.3390771455564314</v>
      </c>
      <c r="AM244" s="176" t="s">
        <v>2580</v>
      </c>
    </row>
    <row r="245" spans="1:39" ht="14" customHeight="1">
      <c r="A245" s="177">
        <f t="shared" si="4"/>
        <v>242</v>
      </c>
      <c r="B245" s="185">
        <v>45813</v>
      </c>
      <c r="C245" s="178" t="s">
        <v>477</v>
      </c>
      <c r="D245" s="6">
        <f>YEAR(PA[[#This Row],[Date]])</f>
        <v>2025</v>
      </c>
      <c r="E245" s="178" t="s">
        <v>361</v>
      </c>
      <c r="F245" s="178" t="s">
        <v>361</v>
      </c>
      <c r="G245" s="179">
        <v>45809</v>
      </c>
      <c r="H245" s="176">
        <f>DAY(EOMONTH(PA[[#This Row],[Month Year]],0))</f>
        <v>30</v>
      </c>
      <c r="I245" s="180">
        <f>VLOOKUP(PA[[#This Row],[Date]],Raw_Data[#All],9,0)</f>
        <v>0.26111111111111113</v>
      </c>
      <c r="J245" s="180">
        <f>VLOOKUP(PA[[#This Row],[Date]],Raw_Data[#All],10,0)</f>
        <v>0.81041666666666667</v>
      </c>
      <c r="K245" s="68">
        <f>IFERROR((PA[[#This Row],[Sunset Time (POA&lt;20 W/m2)]]-PA[[#This Row],[Sunrise Time (POA&gt;20 W/m2)]])*24,"")</f>
        <v>13.183333333333332</v>
      </c>
      <c r="L245" s="178" t="s">
        <v>447</v>
      </c>
      <c r="M245" s="178" t="s">
        <v>394</v>
      </c>
      <c r="N245" s="178" t="s">
        <v>395</v>
      </c>
      <c r="O245" s="178" t="s">
        <v>413</v>
      </c>
      <c r="P245" s="178" t="s">
        <v>429</v>
      </c>
      <c r="Q245" s="178"/>
      <c r="R245" s="6">
        <f>IF((PA[[#This Row],[String Type(If String BD)]]&amp;PA[[#This Row],[Equipment (If any BD other than PV  array and inv)]])="",1,0)</f>
        <v>0</v>
      </c>
      <c r="S245" s="6">
        <f>IF(PA[[#This Row],[String Type(If String BD)]]="",1,0)</f>
        <v>0</v>
      </c>
      <c r="T2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5" s="68">
        <f>IFERROR(VLOOKUP(PA[[#This Row],[Affected Equipment ]],'Basic Data '!$A$1:$B$1846,2,0),"")</f>
        <v>15.66</v>
      </c>
      <c r="V245" s="143">
        <f>IFERROR(VLOOKUP(PA[[#This Row],[Affected Equipment ]],'Basic Data '!$A$1:$C$1846,3,0),"")</f>
        <v>4.6733573865009801E-5</v>
      </c>
      <c r="W245" s="178" t="s">
        <v>451</v>
      </c>
      <c r="X245" s="110" t="s">
        <v>491</v>
      </c>
      <c r="Y245" s="110" t="s">
        <v>491</v>
      </c>
      <c r="Z245" s="109">
        <v>0.51388888888888884</v>
      </c>
      <c r="AA245" s="109">
        <v>0.51388888888888884</v>
      </c>
      <c r="AB245" s="109">
        <v>0.51388888888888884</v>
      </c>
      <c r="AC245" s="109">
        <v>0.52430555555555558</v>
      </c>
      <c r="AD245" s="82">
        <f>IF(PA[[#This Row],[Acknowledgement Time ]]="NA","",(PA[[#This Row],[Acknowledgement Time ]]-PA[[#This Row],[Fault Time]])*24)</f>
        <v>0</v>
      </c>
      <c r="AE245" s="82">
        <f>IF(PA[[#This Row],[Work Start time on Fault]]="NA","",(PA[[#This Row],[Work Start time on Fault]]-PA[[#This Row],[Fault Time]])*24)</f>
        <v>0</v>
      </c>
      <c r="AF245" s="111">
        <f>IF(PA[[#This Row],[Status]]="Open","",(PA[[#This Row],[Work Completion time on fault]]-PA[[#This Row],[Fault Time]])*24)</f>
        <v>0.25000000000000178</v>
      </c>
      <c r="AG245" s="82">
        <f>IFERROR((PA[[#This Row],[Work Completion time on fault]]-PA[[#This Row],[Fault Time]])*24,"")</f>
        <v>0.25000000000000178</v>
      </c>
      <c r="AH245" s="110" t="s">
        <v>491</v>
      </c>
      <c r="AI245" s="178" t="s">
        <v>422</v>
      </c>
      <c r="AJ245" s="68">
        <f>IFERROR(PA[[#This Row],[Breakdown Time]]*PA[[#This Row],[Plant Equivalent Weightage]],"")</f>
        <v>1.1683393466252533E-5</v>
      </c>
      <c r="AK245" s="117">
        <v>0.26091775</v>
      </c>
      <c r="AL245" s="116">
        <f>IF(PA[[#This Row],[Lost PoA(Wh/m2)]]&gt;0,_xlfn.XLOOKUP($B245,'Daily KPI'!$A:$A,'Daily KPI'!$AE:$AE)*PA[[#This Row],[Lost PoA(Wh/m2)]]*U245,0)</f>
        <v>3.3909174138820859</v>
      </c>
      <c r="AM245" s="176" t="s">
        <v>2580</v>
      </c>
    </row>
    <row r="246" spans="1:39" ht="14" customHeight="1">
      <c r="A246" s="177">
        <f t="shared" si="4"/>
        <v>243</v>
      </c>
      <c r="B246" s="185">
        <v>45813</v>
      </c>
      <c r="C246" s="178" t="s">
        <v>477</v>
      </c>
      <c r="D246" s="6">
        <f>YEAR(PA[[#This Row],[Date]])</f>
        <v>2025</v>
      </c>
      <c r="E246" s="178" t="s">
        <v>361</v>
      </c>
      <c r="F246" s="178" t="s">
        <v>361</v>
      </c>
      <c r="G246" s="179">
        <v>45809</v>
      </c>
      <c r="H246" s="176">
        <f>DAY(EOMONTH(PA[[#This Row],[Month Year]],0))</f>
        <v>30</v>
      </c>
      <c r="I246" s="180">
        <f>VLOOKUP(PA[[#This Row],[Date]],Raw_Data[#All],9,0)</f>
        <v>0.26111111111111113</v>
      </c>
      <c r="J246" s="180">
        <f>VLOOKUP(PA[[#This Row],[Date]],Raw_Data[#All],10,0)</f>
        <v>0.81041666666666667</v>
      </c>
      <c r="K246" s="68">
        <f>IFERROR((PA[[#This Row],[Sunset Time (POA&lt;20 W/m2)]]-PA[[#This Row],[Sunrise Time (POA&gt;20 W/m2)]])*24,"")</f>
        <v>13.183333333333332</v>
      </c>
      <c r="L246" s="178" t="s">
        <v>446</v>
      </c>
      <c r="M246" s="178" t="s">
        <v>414</v>
      </c>
      <c r="N246" s="178" t="s">
        <v>402</v>
      </c>
      <c r="O246" s="178" t="s">
        <v>396</v>
      </c>
      <c r="P246" s="178" t="s">
        <v>429</v>
      </c>
      <c r="Q246" s="178"/>
      <c r="R246" s="6">
        <f>IF((PA[[#This Row],[String Type(If String BD)]]&amp;PA[[#This Row],[Equipment (If any BD other than PV  array and inv)]])="",1,0)</f>
        <v>0</v>
      </c>
      <c r="S246" s="6">
        <f>IF(PA[[#This Row],[String Type(If String BD)]]="",1,0)</f>
        <v>0</v>
      </c>
      <c r="T2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6" s="68">
        <f>IFERROR(VLOOKUP(PA[[#This Row],[Affected Equipment ]],'Basic Data '!$A$1:$B$1846,2,0),"")</f>
        <v>15.66</v>
      </c>
      <c r="V246" s="143">
        <f>IFERROR(VLOOKUP(PA[[#This Row],[Affected Equipment ]],'Basic Data '!$A$1:$C$1846,3,0),"")</f>
        <v>4.6733573865009801E-5</v>
      </c>
      <c r="W246" s="178" t="s">
        <v>451</v>
      </c>
      <c r="X246" s="110" t="s">
        <v>491</v>
      </c>
      <c r="Y246" s="110" t="s">
        <v>491</v>
      </c>
      <c r="Z246" s="109">
        <v>0.53125</v>
      </c>
      <c r="AA246" s="109">
        <v>0.53125</v>
      </c>
      <c r="AB246" s="109">
        <v>0.53125</v>
      </c>
      <c r="AC246" s="109">
        <v>0.54166666666666663</v>
      </c>
      <c r="AD246" s="82">
        <f>IF(PA[[#This Row],[Acknowledgement Time ]]="NA","",(PA[[#This Row],[Acknowledgement Time ]]-PA[[#This Row],[Fault Time]])*24)</f>
        <v>0</v>
      </c>
      <c r="AE246" s="82">
        <f>IF(PA[[#This Row],[Work Start time on Fault]]="NA","",(PA[[#This Row],[Work Start time on Fault]]-PA[[#This Row],[Fault Time]])*24)</f>
        <v>0</v>
      </c>
      <c r="AF246" s="111">
        <f>IF(PA[[#This Row],[Status]]="Open","",(PA[[#This Row],[Work Completion time on fault]]-PA[[#This Row],[Fault Time]])*24)</f>
        <v>0.24999999999999911</v>
      </c>
      <c r="AG246" s="82">
        <f>IFERROR((PA[[#This Row],[Work Completion time on fault]]-PA[[#This Row],[Fault Time]])*24,"")</f>
        <v>0.24999999999999911</v>
      </c>
      <c r="AH246" s="110" t="s">
        <v>491</v>
      </c>
      <c r="AI246" s="178" t="s">
        <v>422</v>
      </c>
      <c r="AJ246" s="68">
        <f>IFERROR(PA[[#This Row],[Breakdown Time]]*PA[[#This Row],[Plant Equivalent Weightage]],"")</f>
        <v>1.1683393466252408E-5</v>
      </c>
      <c r="AK246" s="117">
        <v>0.26183191666666666</v>
      </c>
      <c r="AL246" s="116">
        <f>IF(PA[[#This Row],[Lost PoA(Wh/m2)]]&gt;0,_xlfn.XLOOKUP($B246,'Daily KPI'!$A:$A,'Daily KPI'!$AE:$AE)*PA[[#This Row],[Lost PoA(Wh/m2)]]*U246,0)</f>
        <v>3.4027980301651501</v>
      </c>
      <c r="AM246" s="176" t="s">
        <v>2580</v>
      </c>
    </row>
    <row r="247" spans="1:39" ht="14" customHeight="1">
      <c r="A247" s="177">
        <f t="shared" si="4"/>
        <v>244</v>
      </c>
      <c r="B247" s="185">
        <v>45813</v>
      </c>
      <c r="C247" s="178" t="s">
        <v>477</v>
      </c>
      <c r="D247" s="6">
        <f>YEAR(PA[[#This Row],[Date]])</f>
        <v>2025</v>
      </c>
      <c r="E247" s="178" t="s">
        <v>361</v>
      </c>
      <c r="F247" s="178" t="s">
        <v>361</v>
      </c>
      <c r="G247" s="179">
        <v>45809</v>
      </c>
      <c r="H247" s="176">
        <f>DAY(EOMONTH(PA[[#This Row],[Month Year]],0))</f>
        <v>30</v>
      </c>
      <c r="I247" s="180">
        <f>VLOOKUP(PA[[#This Row],[Date]],Raw_Data[#All],9,0)</f>
        <v>0.26111111111111113</v>
      </c>
      <c r="J247" s="180">
        <f>VLOOKUP(PA[[#This Row],[Date]],Raw_Data[#All],10,0)</f>
        <v>0.81041666666666667</v>
      </c>
      <c r="K247" s="68">
        <f>IFERROR((PA[[#This Row],[Sunset Time (POA&lt;20 W/m2)]]-PA[[#This Row],[Sunrise Time (POA&gt;20 W/m2)]])*24,"")</f>
        <v>13.183333333333332</v>
      </c>
      <c r="L247" s="178" t="s">
        <v>405</v>
      </c>
      <c r="M247" s="178" t="s">
        <v>401</v>
      </c>
      <c r="N247" s="178" t="s">
        <v>402</v>
      </c>
      <c r="O247" s="178" t="s">
        <v>406</v>
      </c>
      <c r="P247" s="178" t="s">
        <v>429</v>
      </c>
      <c r="Q247" s="178"/>
      <c r="R247" s="6">
        <f>IF((PA[[#This Row],[String Type(If String BD)]]&amp;PA[[#This Row],[Equipment (If any BD other than PV  array and inv)]])="",1,0)</f>
        <v>0</v>
      </c>
      <c r="S247" s="6">
        <f>IF(PA[[#This Row],[String Type(If String BD)]]="",1,0)</f>
        <v>0</v>
      </c>
      <c r="T2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7" s="68">
        <f>IFERROR(VLOOKUP(PA[[#This Row],[Affected Equipment ]],'Basic Data '!$A$1:$B$1846,2,0),"")</f>
        <v>15.66</v>
      </c>
      <c r="V247" s="143">
        <f>IFERROR(VLOOKUP(PA[[#This Row],[Affected Equipment ]],'Basic Data '!$A$1:$C$1846,3,0),"")</f>
        <v>4.6733573865009801E-5</v>
      </c>
      <c r="W247" s="178" t="s">
        <v>451</v>
      </c>
      <c r="X247" s="110" t="s">
        <v>491</v>
      </c>
      <c r="Y247" s="110" t="s">
        <v>491</v>
      </c>
      <c r="Z247" s="109">
        <v>0.54861111111111116</v>
      </c>
      <c r="AA247" s="109">
        <v>0.54861111111111116</v>
      </c>
      <c r="AB247" s="109">
        <v>0.54861111111111116</v>
      </c>
      <c r="AC247" s="109">
        <v>0.5625</v>
      </c>
      <c r="AD247" s="82">
        <f>IF(PA[[#This Row],[Acknowledgement Time ]]="NA","",(PA[[#This Row],[Acknowledgement Time ]]-PA[[#This Row],[Fault Time]])*24)</f>
        <v>0</v>
      </c>
      <c r="AE247" s="82">
        <f>IF(PA[[#This Row],[Work Start time on Fault]]="NA","",(PA[[#This Row],[Work Start time on Fault]]-PA[[#This Row],[Fault Time]])*24)</f>
        <v>0</v>
      </c>
      <c r="AF247" s="111">
        <f>IF(PA[[#This Row],[Status]]="Open","",(PA[[#This Row],[Work Completion time on fault]]-PA[[#This Row],[Fault Time]])*24)</f>
        <v>0.33333333333333215</v>
      </c>
      <c r="AG247" s="82">
        <f>IFERROR((PA[[#This Row],[Work Completion time on fault]]-PA[[#This Row],[Fault Time]])*24,"")</f>
        <v>0.33333333333333215</v>
      </c>
      <c r="AH247" s="110" t="s">
        <v>491</v>
      </c>
      <c r="AI247" s="178" t="s">
        <v>422</v>
      </c>
      <c r="AJ247" s="68">
        <f>IFERROR(PA[[#This Row],[Breakdown Time]]*PA[[#This Row],[Plant Equivalent Weightage]],"")</f>
        <v>1.5577857955003212E-5</v>
      </c>
      <c r="AK247" s="117">
        <v>0.33904646666666666</v>
      </c>
      <c r="AL247" s="116">
        <f>IF(PA[[#This Row],[Lost PoA(Wh/m2)]]&gt;0,_xlfn.XLOOKUP($B247,'Daily KPI'!$A:$A,'Daily KPI'!$AE:$AE)*PA[[#This Row],[Lost PoA(Wh/m2)]]*U247,0)</f>
        <v>4.4062872991016988</v>
      </c>
      <c r="AM247" s="176" t="s">
        <v>2580</v>
      </c>
    </row>
    <row r="248" spans="1:39" ht="14" customHeight="1">
      <c r="A248" s="177">
        <f t="shared" si="4"/>
        <v>245</v>
      </c>
      <c r="B248" s="185">
        <v>45813</v>
      </c>
      <c r="C248" s="178" t="s">
        <v>477</v>
      </c>
      <c r="D248" s="6">
        <f>YEAR(PA[[#This Row],[Date]])</f>
        <v>2025</v>
      </c>
      <c r="E248" s="178" t="s">
        <v>361</v>
      </c>
      <c r="F248" s="178" t="s">
        <v>361</v>
      </c>
      <c r="G248" s="179">
        <v>45809</v>
      </c>
      <c r="H248" s="176">
        <f>DAY(EOMONTH(PA[[#This Row],[Month Year]],0))</f>
        <v>30</v>
      </c>
      <c r="I248" s="180">
        <f>VLOOKUP(PA[[#This Row],[Date]],Raw_Data[#All],9,0)</f>
        <v>0.26111111111111113</v>
      </c>
      <c r="J248" s="180">
        <f>VLOOKUP(PA[[#This Row],[Date]],Raw_Data[#All],10,0)</f>
        <v>0.81041666666666667</v>
      </c>
      <c r="K248" s="68">
        <f>IFERROR((PA[[#This Row],[Sunset Time (POA&lt;20 W/m2)]]-PA[[#This Row],[Sunrise Time (POA&gt;20 W/m2)]])*24,"")</f>
        <v>13.183333333333332</v>
      </c>
      <c r="L248" s="178" t="s">
        <v>419</v>
      </c>
      <c r="M248" s="178" t="s">
        <v>408</v>
      </c>
      <c r="N248" s="178" t="s">
        <v>402</v>
      </c>
      <c r="O248" s="178" t="s">
        <v>412</v>
      </c>
      <c r="P248" s="178" t="s">
        <v>465</v>
      </c>
      <c r="Q248" s="178"/>
      <c r="R248" s="6">
        <f>IF((PA[[#This Row],[String Type(If String BD)]]&amp;PA[[#This Row],[Equipment (If any BD other than PV  array and inv)]])="",1,0)</f>
        <v>0</v>
      </c>
      <c r="S248" s="6">
        <f>IF(PA[[#This Row],[String Type(If String BD)]]="",1,0)</f>
        <v>0</v>
      </c>
      <c r="T2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48" s="68">
        <f>IFERROR(VLOOKUP(PA[[#This Row],[Affected Equipment ]],'Basic Data '!$A$1:$B$1846,2,0),"")</f>
        <v>15.515000000000001</v>
      </c>
      <c r="V248" s="143">
        <f>IFERROR(VLOOKUP(PA[[#This Row],[Affected Equipment ]],'Basic Data '!$A$1:$C$1846,3,0),"")</f>
        <v>4.6300855588481933E-5</v>
      </c>
      <c r="W248" s="178" t="s">
        <v>451</v>
      </c>
      <c r="X248" s="110" t="s">
        <v>491</v>
      </c>
      <c r="Y248" s="110" t="s">
        <v>491</v>
      </c>
      <c r="Z248" s="109">
        <v>0.61458333333333337</v>
      </c>
      <c r="AA248" s="109">
        <v>0.61458333333333337</v>
      </c>
      <c r="AB248" s="109">
        <v>0.61458333333333337</v>
      </c>
      <c r="AC248" s="109">
        <v>0.62708333333333333</v>
      </c>
      <c r="AD248" s="82">
        <f>IF(PA[[#This Row],[Acknowledgement Time ]]="NA","",(PA[[#This Row],[Acknowledgement Time ]]-PA[[#This Row],[Fault Time]])*24)</f>
        <v>0</v>
      </c>
      <c r="AE248" s="82">
        <f>IF(PA[[#This Row],[Work Start time on Fault]]="NA","",(PA[[#This Row],[Work Start time on Fault]]-PA[[#This Row],[Fault Time]])*24)</f>
        <v>0</v>
      </c>
      <c r="AF248" s="111">
        <f>IF(PA[[#This Row],[Status]]="Open","",(PA[[#This Row],[Work Completion time on fault]]-PA[[#This Row],[Fault Time]])*24)</f>
        <v>0.29999999999999893</v>
      </c>
      <c r="AG248" s="82">
        <f>IFERROR((PA[[#This Row],[Work Completion time on fault]]-PA[[#This Row],[Fault Time]])*24,"")</f>
        <v>0.29999999999999893</v>
      </c>
      <c r="AH248" s="110" t="s">
        <v>491</v>
      </c>
      <c r="AI248" s="178" t="s">
        <v>422</v>
      </c>
      <c r="AJ248" s="68">
        <f>IFERROR(PA[[#This Row],[Breakdown Time]]*PA[[#This Row],[Plant Equivalent Weightage]],"")</f>
        <v>1.389025667654453E-5</v>
      </c>
      <c r="AK248" s="117">
        <v>0.25992585000000001</v>
      </c>
      <c r="AL248" s="116">
        <f>IF(PA[[#This Row],[Lost PoA(Wh/m2)]]&gt;0,_xlfn.XLOOKUP($B248,'Daily KPI'!$A:$A,'Daily KPI'!$AE:$AE)*PA[[#This Row],[Lost PoA(Wh/m2)]]*U248,0)</f>
        <v>3.3467485424008152</v>
      </c>
      <c r="AM248" s="176" t="s">
        <v>2580</v>
      </c>
    </row>
    <row r="249" spans="1:39" ht="14" customHeight="1">
      <c r="A249" s="177">
        <f t="shared" si="4"/>
        <v>246</v>
      </c>
      <c r="B249" s="185">
        <v>45814</v>
      </c>
      <c r="C249" s="178" t="s">
        <v>477</v>
      </c>
      <c r="D249" s="6">
        <f>YEAR(PA[[#This Row],[Date]])</f>
        <v>2025</v>
      </c>
      <c r="E249" s="178" t="s">
        <v>361</v>
      </c>
      <c r="F249" s="178" t="s">
        <v>361</v>
      </c>
      <c r="G249" s="179">
        <v>45809</v>
      </c>
      <c r="H249" s="176">
        <f>DAY(EOMONTH(PA[[#This Row],[Month Year]],0))</f>
        <v>30</v>
      </c>
      <c r="I249" s="180">
        <f>VLOOKUP(PA[[#This Row],[Date]],Raw_Data[#All],9,0)</f>
        <v>0.26180555555555557</v>
      </c>
      <c r="J249" s="180">
        <f>VLOOKUP(PA[[#This Row],[Date]],Raw_Data[#All],10,0)</f>
        <v>0.81180555555555556</v>
      </c>
      <c r="K249" s="68">
        <f>IFERROR((PA[[#This Row],[Sunset Time (POA&lt;20 W/m2)]]-PA[[#This Row],[Sunrise Time (POA&gt;20 W/m2)]])*24,"")</f>
        <v>13.200000000000001</v>
      </c>
      <c r="L249" s="178" t="s">
        <v>437</v>
      </c>
      <c r="M249" s="178" t="s">
        <v>414</v>
      </c>
      <c r="N249" s="178" t="s">
        <v>395</v>
      </c>
      <c r="O249" s="178" t="s">
        <v>406</v>
      </c>
      <c r="P249" s="178" t="s">
        <v>424</v>
      </c>
      <c r="Q249" s="178"/>
      <c r="R249" s="6">
        <f>IF((PA[[#This Row],[String Type(If String BD)]]&amp;PA[[#This Row],[Equipment (If any BD other than PV  array and inv)]])="",1,0)</f>
        <v>0</v>
      </c>
      <c r="S249" s="6">
        <f>IF(PA[[#This Row],[String Type(If String BD)]]="",1,0)</f>
        <v>0</v>
      </c>
      <c r="T2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9" s="68">
        <f>IFERROR(VLOOKUP(PA[[#This Row],[Affected Equipment ]],'Basic Data '!$A$1:$B$1846,2,0),"")</f>
        <v>12.904999999999999</v>
      </c>
      <c r="V249" s="143">
        <f>IFERROR(VLOOKUP(PA[[#This Row],[Affected Equipment ]],'Basic Data '!$A$1:$C$1846,3,0),"")</f>
        <v>3.8511926610980299E-5</v>
      </c>
      <c r="W249" s="178" t="s">
        <v>451</v>
      </c>
      <c r="X249" s="110" t="s">
        <v>491</v>
      </c>
      <c r="Y249" s="110" t="s">
        <v>491</v>
      </c>
      <c r="Z249" s="109">
        <v>0.4375</v>
      </c>
      <c r="AA249" s="109">
        <v>0.4375</v>
      </c>
      <c r="AB249" s="109">
        <v>0.4375</v>
      </c>
      <c r="AC249" s="109">
        <v>0.44791666666666669</v>
      </c>
      <c r="AD249" s="82">
        <f>IF(PA[[#This Row],[Acknowledgement Time ]]="NA","",(PA[[#This Row],[Acknowledgement Time ]]-PA[[#This Row],[Fault Time]])*24)</f>
        <v>0</v>
      </c>
      <c r="AE249" s="82">
        <f>IF(PA[[#This Row],[Work Start time on Fault]]="NA","",(PA[[#This Row],[Work Start time on Fault]]-PA[[#This Row],[Fault Time]])*24)</f>
        <v>0</v>
      </c>
      <c r="AF249" s="111">
        <f>IF(PA[[#This Row],[Status]]="Open","",(PA[[#This Row],[Work Completion time on fault]]-PA[[#This Row],[Fault Time]])*24)</f>
        <v>0.25000000000000044</v>
      </c>
      <c r="AG249" s="82">
        <f>IFERROR((PA[[#This Row],[Work Completion time on fault]]-PA[[#This Row],[Fault Time]])*24,"")</f>
        <v>0.25000000000000044</v>
      </c>
      <c r="AH249" s="110" t="s">
        <v>491</v>
      </c>
      <c r="AI249" s="178" t="s">
        <v>422</v>
      </c>
      <c r="AJ249" s="68">
        <f>IFERROR(PA[[#This Row],[Breakdown Time]]*PA[[#This Row],[Plant Equivalent Weightage]],"")</f>
        <v>9.6279816527450916E-6</v>
      </c>
      <c r="AK249" s="117">
        <v>0.22043333333333334</v>
      </c>
      <c r="AL249" s="116">
        <f>IF(PA[[#This Row],[Lost PoA(Wh/m2)]]&gt;0,_xlfn.XLOOKUP($B249,'Daily KPI'!$A:$A,'Daily KPI'!$AE:$AE)*PA[[#This Row],[Lost PoA(Wh/m2)]]*U249,0)</f>
        <v>2.3607886416528459</v>
      </c>
      <c r="AM249" s="176" t="s">
        <v>2581</v>
      </c>
    </row>
    <row r="250" spans="1:39" ht="14" customHeight="1">
      <c r="A250" s="177">
        <f t="shared" si="4"/>
        <v>247</v>
      </c>
      <c r="B250" s="185">
        <v>45814</v>
      </c>
      <c r="C250" s="178" t="s">
        <v>477</v>
      </c>
      <c r="D250" s="6">
        <f>YEAR(PA[[#This Row],[Date]])</f>
        <v>2025</v>
      </c>
      <c r="E250" s="178" t="s">
        <v>361</v>
      </c>
      <c r="F250" s="178" t="s">
        <v>361</v>
      </c>
      <c r="G250" s="179">
        <v>45809</v>
      </c>
      <c r="H250" s="176">
        <f>DAY(EOMONTH(PA[[#This Row],[Month Year]],0))</f>
        <v>30</v>
      </c>
      <c r="I250" s="180">
        <f>VLOOKUP(PA[[#This Row],[Date]],Raw_Data[#All],9,0)</f>
        <v>0.26180555555555557</v>
      </c>
      <c r="J250" s="180">
        <f>VLOOKUP(PA[[#This Row],[Date]],Raw_Data[#All],10,0)</f>
        <v>0.81180555555555556</v>
      </c>
      <c r="K250" s="68">
        <f>IFERROR((PA[[#This Row],[Sunset Time (POA&lt;20 W/m2)]]-PA[[#This Row],[Sunrise Time (POA&gt;20 W/m2)]])*24,"")</f>
        <v>13.200000000000001</v>
      </c>
      <c r="L250" s="178" t="s">
        <v>438</v>
      </c>
      <c r="M250" s="178" t="s">
        <v>414</v>
      </c>
      <c r="N250" s="178" t="s">
        <v>402</v>
      </c>
      <c r="O250" s="178" t="s">
        <v>406</v>
      </c>
      <c r="P250" s="178" t="s">
        <v>424</v>
      </c>
      <c r="Q250" s="178"/>
      <c r="R250" s="6">
        <f>IF((PA[[#This Row],[String Type(If String BD)]]&amp;PA[[#This Row],[Equipment (If any BD other than PV  array and inv)]])="",1,0)</f>
        <v>0</v>
      </c>
      <c r="S250" s="6">
        <f>IF(PA[[#This Row],[String Type(If String BD)]]="",1,0)</f>
        <v>0</v>
      </c>
      <c r="T2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50" s="68">
        <f>IFERROR(VLOOKUP(PA[[#This Row],[Affected Equipment ]],'Basic Data '!$A$1:$B$1846,2,0),"")</f>
        <v>12.904999999999999</v>
      </c>
      <c r="V250" s="143">
        <f>IFERROR(VLOOKUP(PA[[#This Row],[Affected Equipment ]],'Basic Data '!$A$1:$C$1846,3,0),"")</f>
        <v>3.8511926610980299E-5</v>
      </c>
      <c r="W250" s="178" t="s">
        <v>451</v>
      </c>
      <c r="X250" s="110" t="s">
        <v>491</v>
      </c>
      <c r="Y250" s="110" t="s">
        <v>491</v>
      </c>
      <c r="Z250" s="109">
        <v>0.45833333333333331</v>
      </c>
      <c r="AA250" s="109">
        <v>0.45833333333333331</v>
      </c>
      <c r="AB250" s="109">
        <v>0.45833333333333331</v>
      </c>
      <c r="AC250" s="109">
        <v>0.46875</v>
      </c>
      <c r="AD250" s="82">
        <f>IF(PA[[#This Row],[Acknowledgement Time ]]="NA","",(PA[[#This Row],[Acknowledgement Time ]]-PA[[#This Row],[Fault Time]])*24)</f>
        <v>0</v>
      </c>
      <c r="AE250" s="82">
        <f>IF(PA[[#This Row],[Work Start time on Fault]]="NA","",(PA[[#This Row],[Work Start time on Fault]]-PA[[#This Row],[Fault Time]])*24)</f>
        <v>0</v>
      </c>
      <c r="AF250" s="111">
        <f>IF(PA[[#This Row],[Status]]="Open","",(PA[[#This Row],[Work Completion time on fault]]-PA[[#This Row],[Fault Time]])*24)</f>
        <v>0.25000000000000044</v>
      </c>
      <c r="AG250" s="82">
        <f>IFERROR((PA[[#This Row],[Work Completion time on fault]]-PA[[#This Row],[Fault Time]])*24,"")</f>
        <v>0.25000000000000044</v>
      </c>
      <c r="AH250" s="110" t="s">
        <v>491</v>
      </c>
      <c r="AI250" s="178" t="s">
        <v>422</v>
      </c>
      <c r="AJ250" s="68">
        <f>IFERROR(PA[[#This Row],[Breakdown Time]]*PA[[#This Row],[Plant Equivalent Weightage]],"")</f>
        <v>9.6279816527450916E-6</v>
      </c>
      <c r="AK250" s="117">
        <v>0.2379</v>
      </c>
      <c r="AL250" s="116">
        <f>IF(PA[[#This Row],[Lost PoA(Wh/m2)]]&gt;0,_xlfn.XLOOKUP($B250,'Daily KPI'!$A:$A,'Daily KPI'!$AE:$AE)*PA[[#This Row],[Lost PoA(Wh/m2)]]*U250,0)</f>
        <v>2.5478524928892123</v>
      </c>
      <c r="AM250" s="176" t="s">
        <v>2581</v>
      </c>
    </row>
    <row r="251" spans="1:39" ht="14" customHeight="1">
      <c r="A251" s="177">
        <f t="shared" si="4"/>
        <v>248</v>
      </c>
      <c r="B251" s="185">
        <v>45814</v>
      </c>
      <c r="C251" s="178" t="s">
        <v>477</v>
      </c>
      <c r="D251" s="6">
        <f>YEAR(PA[[#This Row],[Date]])</f>
        <v>2025</v>
      </c>
      <c r="E251" s="178" t="s">
        <v>361</v>
      </c>
      <c r="F251" s="178" t="s">
        <v>361</v>
      </c>
      <c r="G251" s="179">
        <v>45809</v>
      </c>
      <c r="H251" s="176">
        <f>DAY(EOMONTH(PA[[#This Row],[Month Year]],0))</f>
        <v>30</v>
      </c>
      <c r="I251" s="180">
        <f>VLOOKUP(PA[[#This Row],[Date]],Raw_Data[#All],9,0)</f>
        <v>0.26180555555555557</v>
      </c>
      <c r="J251" s="180">
        <f>VLOOKUP(PA[[#This Row],[Date]],Raw_Data[#All],10,0)</f>
        <v>0.81180555555555556</v>
      </c>
      <c r="K251" s="68">
        <f>IFERROR((PA[[#This Row],[Sunset Time (POA&lt;20 W/m2)]]-PA[[#This Row],[Sunrise Time (POA&gt;20 W/m2)]])*24,"")</f>
        <v>13.200000000000001</v>
      </c>
      <c r="L251" s="178" t="s">
        <v>416</v>
      </c>
      <c r="M251" s="178" t="s">
        <v>394</v>
      </c>
      <c r="N251" s="178" t="s">
        <v>395</v>
      </c>
      <c r="O251" s="178" t="s">
        <v>413</v>
      </c>
      <c r="P251" s="178" t="s">
        <v>458</v>
      </c>
      <c r="Q251" s="178"/>
      <c r="R251" s="6">
        <f>IF((PA[[#This Row],[String Type(If String BD)]]&amp;PA[[#This Row],[Equipment (If any BD other than PV  array and inv)]])="",1,0)</f>
        <v>0</v>
      </c>
      <c r="S251" s="6">
        <f>IF(PA[[#This Row],[String Type(If String BD)]]="",1,0)</f>
        <v>0</v>
      </c>
      <c r="T2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51" s="68">
        <f>IFERROR(VLOOKUP(PA[[#This Row],[Affected Equipment ]],'Basic Data '!$A$1:$B$1846,2,0),"")</f>
        <v>15.805</v>
      </c>
      <c r="V251" s="143">
        <f>IFERROR(VLOOKUP(PA[[#This Row],[Affected Equipment ]],'Basic Data '!$A$1:$C$1846,3,0),"")</f>
        <v>4.7166292141537668E-5</v>
      </c>
      <c r="W251" s="178" t="s">
        <v>451</v>
      </c>
      <c r="X251" s="110" t="s">
        <v>491</v>
      </c>
      <c r="Y251" s="110" t="s">
        <v>491</v>
      </c>
      <c r="Z251" s="109">
        <v>0.47916666666666669</v>
      </c>
      <c r="AA251" s="109">
        <v>0.47916666666666669</v>
      </c>
      <c r="AB251" s="109">
        <v>0.47916666666666669</v>
      </c>
      <c r="AC251" s="109">
        <v>0.48958333333333331</v>
      </c>
      <c r="AD251" s="82">
        <f>IF(PA[[#This Row],[Acknowledgement Time ]]="NA","",(PA[[#This Row],[Acknowledgement Time ]]-PA[[#This Row],[Fault Time]])*24)</f>
        <v>0</v>
      </c>
      <c r="AE251" s="82">
        <f>IF(PA[[#This Row],[Work Start time on Fault]]="NA","",(PA[[#This Row],[Work Start time on Fault]]-PA[[#This Row],[Fault Time]])*24)</f>
        <v>0</v>
      </c>
      <c r="AF251" s="111">
        <f>IF(PA[[#This Row],[Status]]="Open","",(PA[[#This Row],[Work Completion time on fault]]-PA[[#This Row],[Fault Time]])*24)</f>
        <v>0.24999999999999911</v>
      </c>
      <c r="AG251" s="82">
        <f>IFERROR((PA[[#This Row],[Work Completion time on fault]]-PA[[#This Row],[Fault Time]])*24,"")</f>
        <v>0.24999999999999911</v>
      </c>
      <c r="AH251" s="110" t="s">
        <v>491</v>
      </c>
      <c r="AI251" s="178" t="s">
        <v>422</v>
      </c>
      <c r="AJ251" s="68">
        <f>IFERROR(PA[[#This Row],[Breakdown Time]]*PA[[#This Row],[Plant Equivalent Weightage]],"")</f>
        <v>1.1791573035384375E-5</v>
      </c>
      <c r="AK251" s="117">
        <v>0.25214999999999999</v>
      </c>
      <c r="AL251" s="116">
        <f>IF(PA[[#This Row],[Lost PoA(Wh/m2)]]&gt;0,_xlfn.XLOOKUP($B251,'Daily KPI'!$A:$A,'Daily KPI'!$AE:$AE)*PA[[#This Row],[Lost PoA(Wh/m2)]]*U251,0)</f>
        <v>3.3073130369638659</v>
      </c>
      <c r="AM251" s="176" t="s">
        <v>2581</v>
      </c>
    </row>
    <row r="252" spans="1:39" ht="14" customHeight="1">
      <c r="A252" s="177">
        <f t="shared" si="4"/>
        <v>249</v>
      </c>
      <c r="B252" s="185">
        <v>45814</v>
      </c>
      <c r="C252" s="178" t="s">
        <v>477</v>
      </c>
      <c r="D252" s="6">
        <f>YEAR(PA[[#This Row],[Date]])</f>
        <v>2025</v>
      </c>
      <c r="E252" s="178" t="s">
        <v>361</v>
      </c>
      <c r="F252" s="178" t="s">
        <v>361</v>
      </c>
      <c r="G252" s="179">
        <v>45809</v>
      </c>
      <c r="H252" s="176">
        <f>DAY(EOMONTH(PA[[#This Row],[Month Year]],0))</f>
        <v>30</v>
      </c>
      <c r="I252" s="180">
        <f>VLOOKUP(PA[[#This Row],[Date]],Raw_Data[#All],9,0)</f>
        <v>0.26180555555555557</v>
      </c>
      <c r="J252" s="180">
        <f>VLOOKUP(PA[[#This Row],[Date]],Raw_Data[#All],10,0)</f>
        <v>0.81180555555555556</v>
      </c>
      <c r="K252" s="68">
        <f>IFERROR((PA[[#This Row],[Sunset Time (POA&lt;20 W/m2)]]-PA[[#This Row],[Sunrise Time (POA&gt;20 W/m2)]])*24,"")</f>
        <v>13.200000000000001</v>
      </c>
      <c r="L252" s="178" t="s">
        <v>447</v>
      </c>
      <c r="M252" s="178" t="s">
        <v>394</v>
      </c>
      <c r="N252" s="178" t="s">
        <v>395</v>
      </c>
      <c r="O252" s="178" t="s">
        <v>413</v>
      </c>
      <c r="P252" s="178" t="s">
        <v>429</v>
      </c>
      <c r="Q252" s="178"/>
      <c r="R252" s="6">
        <f>IF((PA[[#This Row],[String Type(If String BD)]]&amp;PA[[#This Row],[Equipment (If any BD other than PV  array and inv)]])="",1,0)</f>
        <v>0</v>
      </c>
      <c r="S252" s="6">
        <f>IF(PA[[#This Row],[String Type(If String BD)]]="",1,0)</f>
        <v>0</v>
      </c>
      <c r="T2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2" s="68">
        <f>IFERROR(VLOOKUP(PA[[#This Row],[Affected Equipment ]],'Basic Data '!$A$1:$B$1846,2,0),"")</f>
        <v>15.66</v>
      </c>
      <c r="V252" s="143">
        <f>IFERROR(VLOOKUP(PA[[#This Row],[Affected Equipment ]],'Basic Data '!$A$1:$C$1846,3,0),"")</f>
        <v>4.6733573865009801E-5</v>
      </c>
      <c r="W252" s="178" t="s">
        <v>451</v>
      </c>
      <c r="X252" s="110" t="s">
        <v>491</v>
      </c>
      <c r="Y252" s="110" t="s">
        <v>491</v>
      </c>
      <c r="Z252" s="109">
        <v>0.5</v>
      </c>
      <c r="AA252" s="109">
        <v>0.5</v>
      </c>
      <c r="AB252" s="109">
        <v>0.5</v>
      </c>
      <c r="AC252" s="109">
        <v>0.51041666666666663</v>
      </c>
      <c r="AD252" s="82">
        <f>IF(PA[[#This Row],[Acknowledgement Time ]]="NA","",(PA[[#This Row],[Acknowledgement Time ]]-PA[[#This Row],[Fault Time]])*24)</f>
        <v>0</v>
      </c>
      <c r="AE252" s="82">
        <f>IF(PA[[#This Row],[Work Start time on Fault]]="NA","",(PA[[#This Row],[Work Start time on Fault]]-PA[[#This Row],[Fault Time]])*24)</f>
        <v>0</v>
      </c>
      <c r="AF252" s="111">
        <f>IF(PA[[#This Row],[Status]]="Open","",(PA[[#This Row],[Work Completion time on fault]]-PA[[#This Row],[Fault Time]])*24)</f>
        <v>0.24999999999999911</v>
      </c>
      <c r="AG252" s="82">
        <f>IFERROR((PA[[#This Row],[Work Completion time on fault]]-PA[[#This Row],[Fault Time]])*24,"")</f>
        <v>0.24999999999999911</v>
      </c>
      <c r="AH252" s="110" t="s">
        <v>491</v>
      </c>
      <c r="AI252" s="178" t="s">
        <v>422</v>
      </c>
      <c r="AJ252" s="68">
        <f>IFERROR(PA[[#This Row],[Breakdown Time]]*PA[[#This Row],[Plant Equivalent Weightage]],"")</f>
        <v>1.1683393466252408E-5</v>
      </c>
      <c r="AK252" s="117">
        <v>0.26066666666666666</v>
      </c>
      <c r="AL252" s="116">
        <f>IF(PA[[#This Row],[Lost PoA(Wh/m2)]]&gt;0,_xlfn.XLOOKUP($B252,'Daily KPI'!$A:$A,'Daily KPI'!$AE:$AE)*PA[[#This Row],[Lost PoA(Wh/m2)]]*U252,0)</f>
        <v>3.387654305690575</v>
      </c>
      <c r="AM252" s="176" t="s">
        <v>2581</v>
      </c>
    </row>
    <row r="253" spans="1:39" ht="14" customHeight="1">
      <c r="A253" s="177">
        <f t="shared" si="4"/>
        <v>250</v>
      </c>
      <c r="B253" s="185">
        <v>45814</v>
      </c>
      <c r="C253" s="178" t="s">
        <v>477</v>
      </c>
      <c r="D253" s="6">
        <f>YEAR(PA[[#This Row],[Date]])</f>
        <v>2025</v>
      </c>
      <c r="E253" s="178" t="s">
        <v>361</v>
      </c>
      <c r="F253" s="178" t="s">
        <v>361</v>
      </c>
      <c r="G253" s="179">
        <v>45809</v>
      </c>
      <c r="H253" s="176">
        <f>DAY(EOMONTH(PA[[#This Row],[Month Year]],0))</f>
        <v>30</v>
      </c>
      <c r="I253" s="180">
        <f>VLOOKUP(PA[[#This Row],[Date]],Raw_Data[#All],9,0)</f>
        <v>0.26180555555555557</v>
      </c>
      <c r="J253" s="180">
        <f>VLOOKUP(PA[[#This Row],[Date]],Raw_Data[#All],10,0)</f>
        <v>0.81180555555555556</v>
      </c>
      <c r="K253" s="68">
        <f>IFERROR((PA[[#This Row],[Sunset Time (POA&lt;20 W/m2)]]-PA[[#This Row],[Sunrise Time (POA&gt;20 W/m2)]])*24,"")</f>
        <v>13.200000000000001</v>
      </c>
      <c r="L253" s="178" t="s">
        <v>446</v>
      </c>
      <c r="M253" s="178" t="s">
        <v>414</v>
      </c>
      <c r="N253" s="178" t="s">
        <v>402</v>
      </c>
      <c r="O253" s="178" t="s">
        <v>396</v>
      </c>
      <c r="P253" s="178" t="s">
        <v>429</v>
      </c>
      <c r="Q253" s="178"/>
      <c r="R253" s="6">
        <f>IF((PA[[#This Row],[String Type(If String BD)]]&amp;PA[[#This Row],[Equipment (If any BD other than PV  array and inv)]])="",1,0)</f>
        <v>0</v>
      </c>
      <c r="S253" s="6">
        <f>IF(PA[[#This Row],[String Type(If String BD)]]="",1,0)</f>
        <v>0</v>
      </c>
      <c r="T2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3" s="68">
        <f>IFERROR(VLOOKUP(PA[[#This Row],[Affected Equipment ]],'Basic Data '!$A$1:$B$1846,2,0),"")</f>
        <v>15.66</v>
      </c>
      <c r="V253" s="143">
        <f>IFERROR(VLOOKUP(PA[[#This Row],[Affected Equipment ]],'Basic Data '!$A$1:$C$1846,3,0),"")</f>
        <v>4.6733573865009801E-5</v>
      </c>
      <c r="W253" s="178" t="s">
        <v>451</v>
      </c>
      <c r="X253" s="110" t="s">
        <v>491</v>
      </c>
      <c r="Y253" s="110" t="s">
        <v>491</v>
      </c>
      <c r="Z253" s="109">
        <v>0.52083333333333337</v>
      </c>
      <c r="AA253" s="109">
        <v>0.52083333333333337</v>
      </c>
      <c r="AB253" s="109">
        <v>0.52083333333333337</v>
      </c>
      <c r="AC253" s="109">
        <v>0.53125</v>
      </c>
      <c r="AD253" s="82">
        <f>IF(PA[[#This Row],[Acknowledgement Time ]]="NA","",(PA[[#This Row],[Acknowledgement Time ]]-PA[[#This Row],[Fault Time]])*24)</f>
        <v>0</v>
      </c>
      <c r="AE253" s="82">
        <f>IF(PA[[#This Row],[Work Start time on Fault]]="NA","",(PA[[#This Row],[Work Start time on Fault]]-PA[[#This Row],[Fault Time]])*24)</f>
        <v>0</v>
      </c>
      <c r="AF253" s="111">
        <f>IF(PA[[#This Row],[Status]]="Open","",(PA[[#This Row],[Work Completion time on fault]]-PA[[#This Row],[Fault Time]])*24)</f>
        <v>0.24999999999999911</v>
      </c>
      <c r="AG253" s="82">
        <f>IFERROR((PA[[#This Row],[Work Completion time on fault]]-PA[[#This Row],[Fault Time]])*24,"")</f>
        <v>0.24999999999999911</v>
      </c>
      <c r="AH253" s="110" t="s">
        <v>491</v>
      </c>
      <c r="AI253" s="178" t="s">
        <v>422</v>
      </c>
      <c r="AJ253" s="68">
        <f>IFERROR(PA[[#This Row],[Breakdown Time]]*PA[[#This Row],[Plant Equivalent Weightage]],"")</f>
        <v>1.1683393466252408E-5</v>
      </c>
      <c r="AK253" s="117">
        <v>0.26505000000000001</v>
      </c>
      <c r="AL253" s="116">
        <f>IF(PA[[#This Row],[Lost PoA(Wh/m2)]]&gt;0,_xlfn.XLOOKUP($B253,'Daily KPI'!$A:$A,'Daily KPI'!$AE:$AE)*PA[[#This Row],[Lost PoA(Wh/m2)]]*U253,0)</f>
        <v>3.4446206153067274</v>
      </c>
      <c r="AM253" s="176" t="s">
        <v>2581</v>
      </c>
    </row>
    <row r="254" spans="1:39" ht="14" customHeight="1">
      <c r="A254" s="177">
        <f t="shared" si="4"/>
        <v>251</v>
      </c>
      <c r="B254" s="185">
        <v>45814</v>
      </c>
      <c r="C254" s="178" t="s">
        <v>477</v>
      </c>
      <c r="D254" s="6">
        <f>YEAR(PA[[#This Row],[Date]])</f>
        <v>2025</v>
      </c>
      <c r="E254" s="178" t="s">
        <v>361</v>
      </c>
      <c r="F254" s="178" t="s">
        <v>361</v>
      </c>
      <c r="G254" s="179">
        <v>45809</v>
      </c>
      <c r="H254" s="176">
        <f>DAY(EOMONTH(PA[[#This Row],[Month Year]],0))</f>
        <v>30</v>
      </c>
      <c r="I254" s="180">
        <f>VLOOKUP(PA[[#This Row],[Date]],Raw_Data[#All],9,0)</f>
        <v>0.26180555555555557</v>
      </c>
      <c r="J254" s="180">
        <f>VLOOKUP(PA[[#This Row],[Date]],Raw_Data[#All],10,0)</f>
        <v>0.81180555555555556</v>
      </c>
      <c r="K254" s="68">
        <f>IFERROR((PA[[#This Row],[Sunset Time (POA&lt;20 W/m2)]]-PA[[#This Row],[Sunrise Time (POA&gt;20 W/m2)]])*24,"")</f>
        <v>13.200000000000001</v>
      </c>
      <c r="L254" s="178" t="s">
        <v>405</v>
      </c>
      <c r="M254" s="178" t="s">
        <v>401</v>
      </c>
      <c r="N254" s="178" t="s">
        <v>402</v>
      </c>
      <c r="O254" s="178" t="s">
        <v>406</v>
      </c>
      <c r="P254" s="178" t="s">
        <v>429</v>
      </c>
      <c r="Q254" s="178"/>
      <c r="R254" s="6">
        <f>IF((PA[[#This Row],[String Type(If String BD)]]&amp;PA[[#This Row],[Equipment (If any BD other than PV  array and inv)]])="",1,0)</f>
        <v>0</v>
      </c>
      <c r="S254" s="6">
        <f>IF(PA[[#This Row],[String Type(If String BD)]]="",1,0)</f>
        <v>0</v>
      </c>
      <c r="T2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4" s="68">
        <f>IFERROR(VLOOKUP(PA[[#This Row],[Affected Equipment ]],'Basic Data '!$A$1:$B$1846,2,0),"")</f>
        <v>15.66</v>
      </c>
      <c r="V254" s="143">
        <f>IFERROR(VLOOKUP(PA[[#This Row],[Affected Equipment ]],'Basic Data '!$A$1:$C$1846,3,0),"")</f>
        <v>4.6733573865009801E-5</v>
      </c>
      <c r="W254" s="178" t="s">
        <v>451</v>
      </c>
      <c r="X254" s="110" t="s">
        <v>491</v>
      </c>
      <c r="Y254" s="110" t="s">
        <v>491</v>
      </c>
      <c r="Z254" s="109">
        <v>0.54166666666666663</v>
      </c>
      <c r="AA254" s="109">
        <v>0.54166666666666663</v>
      </c>
      <c r="AB254" s="109">
        <v>0.54166666666666663</v>
      </c>
      <c r="AC254" s="109">
        <v>0.55208333333333337</v>
      </c>
      <c r="AD254" s="82">
        <f>IF(PA[[#This Row],[Acknowledgement Time ]]="NA","",(PA[[#This Row],[Acknowledgement Time ]]-PA[[#This Row],[Fault Time]])*24)</f>
        <v>0</v>
      </c>
      <c r="AE254" s="82">
        <f>IF(PA[[#This Row],[Work Start time on Fault]]="NA","",(PA[[#This Row],[Work Start time on Fault]]-PA[[#This Row],[Fault Time]])*24)</f>
        <v>0</v>
      </c>
      <c r="AF254" s="111">
        <f>IF(PA[[#This Row],[Status]]="Open","",(PA[[#This Row],[Work Completion time on fault]]-PA[[#This Row],[Fault Time]])*24)</f>
        <v>0.25000000000000178</v>
      </c>
      <c r="AG254" s="82">
        <f>IFERROR((PA[[#This Row],[Work Completion time on fault]]-PA[[#This Row],[Fault Time]])*24,"")</f>
        <v>0.25000000000000178</v>
      </c>
      <c r="AH254" s="110" t="s">
        <v>491</v>
      </c>
      <c r="AI254" s="178" t="s">
        <v>422</v>
      </c>
      <c r="AJ254" s="68">
        <f>IFERROR(PA[[#This Row],[Breakdown Time]]*PA[[#This Row],[Plant Equivalent Weightage]],"")</f>
        <v>1.1683393466252533E-5</v>
      </c>
      <c r="AK254" s="117">
        <v>0.26388333333333336</v>
      </c>
      <c r="AL254" s="116">
        <f>IF(PA[[#This Row],[Lost PoA(Wh/m2)]]&gt;0,_xlfn.XLOOKUP($B254,'Daily KPI'!$A:$A,'Daily KPI'!$AE:$AE)*PA[[#This Row],[Lost PoA(Wh/m2)]]*U254,0)</f>
        <v>3.4294584796674479</v>
      </c>
      <c r="AM254" s="176" t="s">
        <v>2581</v>
      </c>
    </row>
    <row r="255" spans="1:39" ht="14" customHeight="1">
      <c r="A255" s="177">
        <f t="shared" si="4"/>
        <v>252</v>
      </c>
      <c r="B255" s="185">
        <v>45814</v>
      </c>
      <c r="C255" s="178" t="s">
        <v>477</v>
      </c>
      <c r="D255" s="6">
        <f>YEAR(PA[[#This Row],[Date]])</f>
        <v>2025</v>
      </c>
      <c r="E255" s="178" t="s">
        <v>361</v>
      </c>
      <c r="F255" s="178" t="s">
        <v>361</v>
      </c>
      <c r="G255" s="179">
        <v>45809</v>
      </c>
      <c r="H255" s="176">
        <f>DAY(EOMONTH(PA[[#This Row],[Month Year]],0))</f>
        <v>30</v>
      </c>
      <c r="I255" s="180">
        <f>VLOOKUP(PA[[#This Row],[Date]],Raw_Data[#All],9,0)</f>
        <v>0.26180555555555557</v>
      </c>
      <c r="J255" s="180">
        <f>VLOOKUP(PA[[#This Row],[Date]],Raw_Data[#All],10,0)</f>
        <v>0.81180555555555556</v>
      </c>
      <c r="K255" s="68">
        <f>IFERROR((PA[[#This Row],[Sunset Time (POA&lt;20 W/m2)]]-PA[[#This Row],[Sunrise Time (POA&gt;20 W/m2)]])*24,"")</f>
        <v>13.200000000000001</v>
      </c>
      <c r="L255" s="178" t="s">
        <v>419</v>
      </c>
      <c r="M255" s="178" t="s">
        <v>408</v>
      </c>
      <c r="N255" s="178" t="s">
        <v>402</v>
      </c>
      <c r="O255" s="178" t="s">
        <v>412</v>
      </c>
      <c r="P255" s="178" t="s">
        <v>465</v>
      </c>
      <c r="Q255" s="178"/>
      <c r="R255" s="6">
        <f>IF((PA[[#This Row],[String Type(If String BD)]]&amp;PA[[#This Row],[Equipment (If any BD other than PV  array and inv)]])="",1,0)</f>
        <v>0</v>
      </c>
      <c r="S255" s="6">
        <f>IF(PA[[#This Row],[String Type(If String BD)]]="",1,0)</f>
        <v>0</v>
      </c>
      <c r="T2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55" s="68">
        <f>IFERROR(VLOOKUP(PA[[#This Row],[Affected Equipment ]],'Basic Data '!$A$1:$B$1846,2,0),"")</f>
        <v>15.515000000000001</v>
      </c>
      <c r="V255" s="143">
        <f>IFERROR(VLOOKUP(PA[[#This Row],[Affected Equipment ]],'Basic Data '!$A$1:$C$1846,3,0),"")</f>
        <v>4.6300855588481933E-5</v>
      </c>
      <c r="W255" s="178" t="s">
        <v>451</v>
      </c>
      <c r="X255" s="110" t="s">
        <v>491</v>
      </c>
      <c r="Y255" s="110" t="s">
        <v>491</v>
      </c>
      <c r="Z255" s="109">
        <v>0.5625</v>
      </c>
      <c r="AA255" s="109">
        <v>0.5625</v>
      </c>
      <c r="AB255" s="109">
        <v>0.5625</v>
      </c>
      <c r="AC255" s="109">
        <v>0.57291666666666663</v>
      </c>
      <c r="AD255" s="82">
        <f>IF(PA[[#This Row],[Acknowledgement Time ]]="NA","",(PA[[#This Row],[Acknowledgement Time ]]-PA[[#This Row],[Fault Time]])*24)</f>
        <v>0</v>
      </c>
      <c r="AE255" s="82">
        <f>IF(PA[[#This Row],[Work Start time on Fault]]="NA","",(PA[[#This Row],[Work Start time on Fault]]-PA[[#This Row],[Fault Time]])*24)</f>
        <v>0</v>
      </c>
      <c r="AF255" s="111">
        <f>IF(PA[[#This Row],[Status]]="Open","",(PA[[#This Row],[Work Completion time on fault]]-PA[[#This Row],[Fault Time]])*24)</f>
        <v>0.24999999999999911</v>
      </c>
      <c r="AG255" s="82">
        <f>IFERROR((PA[[#This Row],[Work Completion time on fault]]-PA[[#This Row],[Fault Time]])*24,"")</f>
        <v>0.24999999999999911</v>
      </c>
      <c r="AH255" s="110" t="s">
        <v>491</v>
      </c>
      <c r="AI255" s="178" t="s">
        <v>422</v>
      </c>
      <c r="AJ255" s="68">
        <f>IFERROR(PA[[#This Row],[Breakdown Time]]*PA[[#This Row],[Plant Equivalent Weightage]],"")</f>
        <v>1.1575213897120443E-5</v>
      </c>
      <c r="AK255" s="117">
        <v>0.25914999999999999</v>
      </c>
      <c r="AL255" s="116">
        <f>IF(PA[[#This Row],[Lost PoA(Wh/m2)]]&gt;0,_xlfn.XLOOKUP($B255,'Daily KPI'!$A:$A,'Daily KPI'!$AE:$AE)*PA[[#This Row],[Lost PoA(Wh/m2)]]*U255,0)</f>
        <v>3.3367588670506265</v>
      </c>
      <c r="AM255" s="176" t="s">
        <v>2581</v>
      </c>
    </row>
    <row r="256" spans="1:39" ht="14" customHeight="1">
      <c r="A256" s="177">
        <f t="shared" si="4"/>
        <v>253</v>
      </c>
      <c r="B256" s="185">
        <v>45814</v>
      </c>
      <c r="C256" s="178" t="s">
        <v>477</v>
      </c>
      <c r="D256" s="6">
        <f>YEAR(PA[[#This Row],[Date]])</f>
        <v>2025</v>
      </c>
      <c r="E256" s="178" t="s">
        <v>361</v>
      </c>
      <c r="F256" s="178" t="s">
        <v>361</v>
      </c>
      <c r="G256" s="179">
        <v>45809</v>
      </c>
      <c r="H256" s="176">
        <f>DAY(EOMONTH(PA[[#This Row],[Month Year]],0))</f>
        <v>30</v>
      </c>
      <c r="I256" s="180">
        <f>VLOOKUP(PA[[#This Row],[Date]],Raw_Data[#All],9,0)</f>
        <v>0.26180555555555557</v>
      </c>
      <c r="J256" s="180">
        <f>VLOOKUP(PA[[#This Row],[Date]],Raw_Data[#All],10,0)</f>
        <v>0.81180555555555556</v>
      </c>
      <c r="K256" s="68">
        <f>IFERROR((PA[[#This Row],[Sunset Time (POA&lt;20 W/m2)]]-PA[[#This Row],[Sunrise Time (POA&gt;20 W/m2)]])*24,"")</f>
        <v>13.200000000000001</v>
      </c>
      <c r="L256" s="178" t="s">
        <v>416</v>
      </c>
      <c r="M256" s="178" t="s">
        <v>401</v>
      </c>
      <c r="N256" s="178" t="s">
        <v>395</v>
      </c>
      <c r="O256" s="178"/>
      <c r="P256" s="178"/>
      <c r="Q256" s="178"/>
      <c r="R256" s="6">
        <f>IF((PA[[#This Row],[String Type(If String BD)]]&amp;PA[[#This Row],[Equipment (If any BD other than PV  array and inv)]])="",1,0)</f>
        <v>1</v>
      </c>
      <c r="S256" s="6">
        <f>IF(PA[[#This Row],[String Type(If String BD)]]="",1,0)</f>
        <v>1</v>
      </c>
      <c r="T2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56" s="68">
        <f>IFERROR(VLOOKUP(PA[[#This Row],[Affected Equipment ]],'Basic Data '!$A$1:$B$1846,2,0),"")</f>
        <v>1959.8200000000002</v>
      </c>
      <c r="V256" s="143">
        <f>IFERROR(VLOOKUP(PA[[#This Row],[Affected Equipment ]],'Basic Data '!$A$1:$C$1846,3,0),"")</f>
        <v>5.8486202255506716E-3</v>
      </c>
      <c r="W256" s="178" t="s">
        <v>427</v>
      </c>
      <c r="X256" s="110" t="s">
        <v>452</v>
      </c>
      <c r="Y256" s="110" t="s">
        <v>452</v>
      </c>
      <c r="Z256" s="109">
        <v>0.26180555555555557</v>
      </c>
      <c r="AA256" s="109">
        <v>0.26180555555555557</v>
      </c>
      <c r="AB256" s="109">
        <v>0.28125</v>
      </c>
      <c r="AC256" s="109">
        <v>0.81180555555555556</v>
      </c>
      <c r="AD256" s="82">
        <f>IF(PA[[#This Row],[Acknowledgement Time ]]="NA","",(PA[[#This Row],[Acknowledgement Time ]]-PA[[#This Row],[Fault Time]])*24)</f>
        <v>0</v>
      </c>
      <c r="AE256" s="82">
        <f>IF(PA[[#This Row],[Work Start time on Fault]]="NA","",(PA[[#This Row],[Work Start time on Fault]]-PA[[#This Row],[Fault Time]])*24)</f>
        <v>0.46666666666666634</v>
      </c>
      <c r="AF256" s="111">
        <f>IF(PA[[#This Row],[Status]]="Open","",(PA[[#This Row],[Work Completion time on fault]]-PA[[#This Row],[Fault Time]])*24)</f>
        <v>13.200000000000001</v>
      </c>
      <c r="AG256" s="82">
        <f>IFERROR((PA[[#This Row],[Work Completion time on fault]]-PA[[#This Row],[Fault Time]])*24,"")</f>
        <v>13.200000000000001</v>
      </c>
      <c r="AH256" s="110" t="s">
        <v>480</v>
      </c>
      <c r="AI256" s="178" t="s">
        <v>422</v>
      </c>
      <c r="AJ256" s="68">
        <f>IFERROR(PA[[#This Row],[Breakdown Time]]*PA[[#This Row],[Plant Equivalent Weightage]],"")</f>
        <v>7.7201786977268871E-2</v>
      </c>
      <c r="AK256" s="117">
        <v>7.3190804000000007</v>
      </c>
      <c r="AL256" s="116">
        <f>IF(PA[[#This Row],[Lost PoA(Wh/m2)]]&gt;0,_xlfn.XLOOKUP($B256,'Daily KPI'!$A:$A,'Daily KPI'!$AE:$AE)*PA[[#This Row],[Lost PoA(Wh/m2)]]*U256,0)</f>
        <v>11904.044271912879</v>
      </c>
      <c r="AM256" s="176" t="s">
        <v>2582</v>
      </c>
    </row>
    <row r="257" spans="1:39" ht="14" customHeight="1">
      <c r="A257" s="177">
        <f t="shared" si="4"/>
        <v>254</v>
      </c>
      <c r="B257" s="185">
        <v>45814</v>
      </c>
      <c r="C257" s="178" t="s">
        <v>477</v>
      </c>
      <c r="D257" s="6">
        <f>YEAR(PA[[#This Row],[Date]])</f>
        <v>2025</v>
      </c>
      <c r="E257" s="178" t="s">
        <v>361</v>
      </c>
      <c r="F257" s="178" t="s">
        <v>361</v>
      </c>
      <c r="G257" s="179">
        <v>45809</v>
      </c>
      <c r="H257" s="176">
        <f>DAY(EOMONTH(PA[[#This Row],[Month Year]],0))</f>
        <v>30</v>
      </c>
      <c r="I257" s="180">
        <f>VLOOKUP(PA[[#This Row],[Date]],Raw_Data[#All],9,0)</f>
        <v>0.26180555555555557</v>
      </c>
      <c r="J257" s="180">
        <f>VLOOKUP(PA[[#This Row],[Date]],Raw_Data[#All],10,0)</f>
        <v>0.81180555555555556</v>
      </c>
      <c r="K257" s="68">
        <f>IFERROR((PA[[#This Row],[Sunset Time (POA&lt;20 W/m2)]]-PA[[#This Row],[Sunrise Time (POA&gt;20 W/m2)]])*24,"")</f>
        <v>13.200000000000001</v>
      </c>
      <c r="L257" s="178" t="s">
        <v>416</v>
      </c>
      <c r="M257" s="178" t="s">
        <v>401</v>
      </c>
      <c r="N257" s="178" t="s">
        <v>402</v>
      </c>
      <c r="O257" s="178"/>
      <c r="P257" s="178"/>
      <c r="Q257" s="178"/>
      <c r="R257" s="6">
        <f>IF((PA[[#This Row],[String Type(If String BD)]]&amp;PA[[#This Row],[Equipment (If any BD other than PV  array and inv)]])="",1,0)</f>
        <v>1</v>
      </c>
      <c r="S257" s="6">
        <f>IF(PA[[#This Row],[String Type(If String BD)]]="",1,0)</f>
        <v>1</v>
      </c>
      <c r="T2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7" s="68">
        <f>IFERROR(VLOOKUP(PA[[#This Row],[Affected Equipment ]],'Basic Data '!$A$1:$B$1846,2,0),"")</f>
        <v>2244.3100000000004</v>
      </c>
      <c r="V257" s="143">
        <f>IFERROR(VLOOKUP(PA[[#This Row],[Affected Equipment ]],'Basic Data '!$A$1:$C$1846,3,0),"")</f>
        <v>6.6976134840983506E-3</v>
      </c>
      <c r="W257" s="178" t="s">
        <v>427</v>
      </c>
      <c r="X257" s="110" t="s">
        <v>455</v>
      </c>
      <c r="Y257" s="110" t="s">
        <v>455</v>
      </c>
      <c r="Z257" s="109">
        <v>0.3298611111111111</v>
      </c>
      <c r="AA257" s="109">
        <v>0.3298611111111111</v>
      </c>
      <c r="AB257" s="109">
        <v>0.3298611111111111</v>
      </c>
      <c r="AC257" s="109">
        <v>0.38263888888888886</v>
      </c>
      <c r="AD257" s="82">
        <f>IF(PA[[#This Row],[Acknowledgement Time ]]="NA","",(PA[[#This Row],[Acknowledgement Time ]]-PA[[#This Row],[Fault Time]])*24)</f>
        <v>0</v>
      </c>
      <c r="AE257" s="82">
        <f>IF(PA[[#This Row],[Work Start time on Fault]]="NA","",(PA[[#This Row],[Work Start time on Fault]]-PA[[#This Row],[Fault Time]])*24)</f>
        <v>0</v>
      </c>
      <c r="AF257" s="111">
        <f>IF(PA[[#This Row],[Status]]="Open","",(PA[[#This Row],[Work Completion time on fault]]-PA[[#This Row],[Fault Time]])*24)</f>
        <v>1.2666666666666662</v>
      </c>
      <c r="AG257" s="82">
        <f>IFERROR((PA[[#This Row],[Work Completion time on fault]]-PA[[#This Row],[Fault Time]])*24,"")</f>
        <v>1.2666666666666662</v>
      </c>
      <c r="AH257" s="110" t="s">
        <v>455</v>
      </c>
      <c r="AI257" s="178" t="s">
        <v>422</v>
      </c>
      <c r="AJ257" s="68">
        <f>IFERROR(PA[[#This Row],[Breakdown Time]]*PA[[#This Row],[Plant Equivalent Weightage]],"")</f>
        <v>8.4836437465245738E-3</v>
      </c>
      <c r="AK257" s="117">
        <v>0.56024000000000007</v>
      </c>
      <c r="AL257" s="116">
        <f>IF(PA[[#This Row],[Lost PoA(Wh/m2)]]&gt;0,_xlfn.XLOOKUP($B257,'Daily KPI'!$A:$A,'Daily KPI'!$AE:$AE)*PA[[#This Row],[Lost PoA(Wh/m2)]]*U257,0)</f>
        <v>1043.4671660823574</v>
      </c>
      <c r="AM257" s="176" t="s">
        <v>2582</v>
      </c>
    </row>
    <row r="258" spans="1:39" ht="14" customHeight="1">
      <c r="A258" s="177">
        <f t="shared" si="4"/>
        <v>255</v>
      </c>
      <c r="B258" s="185">
        <v>45814</v>
      </c>
      <c r="C258" s="178" t="s">
        <v>477</v>
      </c>
      <c r="D258" s="6">
        <f>YEAR(PA[[#This Row],[Date]])</f>
        <v>2025</v>
      </c>
      <c r="E258" s="178" t="s">
        <v>361</v>
      </c>
      <c r="F258" s="178" t="s">
        <v>361</v>
      </c>
      <c r="G258" s="179">
        <v>45809</v>
      </c>
      <c r="H258" s="176">
        <f>DAY(EOMONTH(PA[[#This Row],[Month Year]],0))</f>
        <v>30</v>
      </c>
      <c r="I258" s="180">
        <f>VLOOKUP(PA[[#This Row],[Date]],Raw_Data[#All],9,0)</f>
        <v>0.26180555555555557</v>
      </c>
      <c r="J258" s="180">
        <f>VLOOKUP(PA[[#This Row],[Date]],Raw_Data[#All],10,0)</f>
        <v>0.81180555555555556</v>
      </c>
      <c r="K258" s="68">
        <f>IFERROR((PA[[#This Row],[Sunset Time (POA&lt;20 W/m2)]]-PA[[#This Row],[Sunrise Time (POA&gt;20 W/m2)]])*24,"")</f>
        <v>13.200000000000001</v>
      </c>
      <c r="L258" s="178" t="s">
        <v>416</v>
      </c>
      <c r="M258" s="178" t="s">
        <v>401</v>
      </c>
      <c r="N258" s="178" t="s">
        <v>402</v>
      </c>
      <c r="O258" s="178"/>
      <c r="P258" s="178"/>
      <c r="Q258" s="178"/>
      <c r="R258" s="6">
        <f>IF((PA[[#This Row],[String Type(If String BD)]]&amp;PA[[#This Row],[Equipment (If any BD other than PV  array and inv)]])="",1,0)</f>
        <v>1</v>
      </c>
      <c r="S258" s="6">
        <f>IF(PA[[#This Row],[String Type(If String BD)]]="",1,0)</f>
        <v>1</v>
      </c>
      <c r="T2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8" s="68">
        <f>IFERROR(VLOOKUP(PA[[#This Row],[Affected Equipment ]],'Basic Data '!$A$1:$B$1846,2,0),"")</f>
        <v>2244.3100000000004</v>
      </c>
      <c r="V258" s="143">
        <f>IFERROR(VLOOKUP(PA[[#This Row],[Affected Equipment ]],'Basic Data '!$A$1:$C$1846,3,0),"")</f>
        <v>6.6976134840983506E-3</v>
      </c>
      <c r="W258" s="178" t="s">
        <v>427</v>
      </c>
      <c r="X258" s="110" t="s">
        <v>455</v>
      </c>
      <c r="Y258" s="110" t="s">
        <v>455</v>
      </c>
      <c r="Z258" s="109">
        <v>0.39930555555555558</v>
      </c>
      <c r="AA258" s="109">
        <v>0.39930555555555558</v>
      </c>
      <c r="AB258" s="109">
        <v>0.39930555555555558</v>
      </c>
      <c r="AC258" s="109">
        <v>0.40763888888888888</v>
      </c>
      <c r="AD258" s="82">
        <f>IF(PA[[#This Row],[Acknowledgement Time ]]="NA","",(PA[[#This Row],[Acknowledgement Time ]]-PA[[#This Row],[Fault Time]])*24)</f>
        <v>0</v>
      </c>
      <c r="AE258" s="82">
        <f>IF(PA[[#This Row],[Work Start time on Fault]]="NA","",(PA[[#This Row],[Work Start time on Fault]]-PA[[#This Row],[Fault Time]])*24)</f>
        <v>0</v>
      </c>
      <c r="AF258" s="111">
        <f>IF(PA[[#This Row],[Status]]="Open","",(PA[[#This Row],[Work Completion time on fault]]-PA[[#This Row],[Fault Time]])*24)</f>
        <v>0.19999999999999929</v>
      </c>
      <c r="AG258" s="82">
        <f>IFERROR((PA[[#This Row],[Work Completion time on fault]]-PA[[#This Row],[Fault Time]])*24,"")</f>
        <v>0.19999999999999929</v>
      </c>
      <c r="AH258" s="110" t="s">
        <v>455</v>
      </c>
      <c r="AI258" s="178" t="s">
        <v>422</v>
      </c>
      <c r="AJ258" s="68">
        <f>IFERROR(PA[[#This Row],[Breakdown Time]]*PA[[#This Row],[Plant Equivalent Weightage]],"")</f>
        <v>1.3395226968196654E-3</v>
      </c>
      <c r="AK258" s="117">
        <v>0.14325833333333332</v>
      </c>
      <c r="AL258" s="116">
        <f>IF(PA[[#This Row],[Lost PoA(Wh/m2)]]&gt;0,_xlfn.XLOOKUP($B258,'Daily KPI'!$A:$A,'Daily KPI'!$AE:$AE)*PA[[#This Row],[Lost PoA(Wh/m2)]]*U258,0)</f>
        <v>266.82380247932139</v>
      </c>
      <c r="AM258" s="176" t="s">
        <v>2582</v>
      </c>
    </row>
    <row r="259" spans="1:39" ht="14" customHeight="1">
      <c r="A259" s="177">
        <f t="shared" si="4"/>
        <v>256</v>
      </c>
      <c r="B259" s="185">
        <v>45814</v>
      </c>
      <c r="C259" s="178" t="s">
        <v>477</v>
      </c>
      <c r="D259" s="6">
        <f>YEAR(PA[[#This Row],[Date]])</f>
        <v>2025</v>
      </c>
      <c r="E259" s="178" t="s">
        <v>361</v>
      </c>
      <c r="F259" s="178" t="s">
        <v>361</v>
      </c>
      <c r="G259" s="179">
        <v>45809</v>
      </c>
      <c r="H259" s="176">
        <f>DAY(EOMONTH(PA[[#This Row],[Month Year]],0))</f>
        <v>30</v>
      </c>
      <c r="I259" s="180">
        <f>VLOOKUP(PA[[#This Row],[Date]],Raw_Data[#All],9,0)</f>
        <v>0.26180555555555557</v>
      </c>
      <c r="J259" s="180">
        <f>VLOOKUP(PA[[#This Row],[Date]],Raw_Data[#All],10,0)</f>
        <v>0.81180555555555556</v>
      </c>
      <c r="K259" s="68">
        <f>IFERROR((PA[[#This Row],[Sunset Time (POA&lt;20 W/m2)]]-PA[[#This Row],[Sunrise Time (POA&gt;20 W/m2)]])*24,"")</f>
        <v>13.200000000000001</v>
      </c>
      <c r="L259" s="178" t="s">
        <v>446</v>
      </c>
      <c r="M259" s="178" t="s">
        <v>414</v>
      </c>
      <c r="N259" s="178" t="s">
        <v>402</v>
      </c>
      <c r="O259" s="178"/>
      <c r="P259" s="178"/>
      <c r="Q259" s="178"/>
      <c r="R259" s="6">
        <f>IF((PA[[#This Row],[String Type(If String BD)]]&amp;PA[[#This Row],[Equipment (If any BD other than PV  array and inv)]])="",1,0)</f>
        <v>1</v>
      </c>
      <c r="S259" s="6">
        <f>IF(PA[[#This Row],[String Type(If String BD)]]="",1,0)</f>
        <v>1</v>
      </c>
      <c r="T2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259" s="68">
        <f>IFERROR(VLOOKUP(PA[[#This Row],[Affected Equipment ]],'Basic Data '!$A$1:$B$1846,2,0),"")</f>
        <v>2129.7599999999998</v>
      </c>
      <c r="V259" s="143">
        <f>IFERROR(VLOOKUP(PA[[#This Row],[Affected Equipment ]],'Basic Data '!$A$1:$C$1846,3,0),"")</f>
        <v>6.3557660456413324E-3</v>
      </c>
      <c r="W259" s="178" t="s">
        <v>427</v>
      </c>
      <c r="X259" s="110" t="s">
        <v>2583</v>
      </c>
      <c r="Y259" s="110" t="s">
        <v>2583</v>
      </c>
      <c r="Z259" s="109">
        <v>0.60277777777777775</v>
      </c>
      <c r="AA259" s="109">
        <v>0.61458333333333337</v>
      </c>
      <c r="AB259" s="109">
        <v>0.61458333333333337</v>
      </c>
      <c r="AC259" s="109">
        <v>0.64027777777777772</v>
      </c>
      <c r="AD259" s="82">
        <f>IF(PA[[#This Row],[Acknowledgement Time ]]="NA","",(PA[[#This Row],[Acknowledgement Time ]]-PA[[#This Row],[Fault Time]])*24)</f>
        <v>0.28333333333333499</v>
      </c>
      <c r="AE259" s="82">
        <f>IF(PA[[#This Row],[Work Start time on Fault]]="NA","",(PA[[#This Row],[Work Start time on Fault]]-PA[[#This Row],[Fault Time]])*24)</f>
        <v>0.28333333333333499</v>
      </c>
      <c r="AF259" s="111">
        <f>IF(PA[[#This Row],[Status]]="Open","",(PA[[#This Row],[Work Completion time on fault]]-PA[[#This Row],[Fault Time]])*24)</f>
        <v>0.89999999999999947</v>
      </c>
      <c r="AG259" s="82">
        <f>IFERROR((PA[[#This Row],[Work Completion time on fault]]-PA[[#This Row],[Fault Time]])*24,"")</f>
        <v>0.89999999999999947</v>
      </c>
      <c r="AH259" s="110" t="s">
        <v>2584</v>
      </c>
      <c r="AI259" s="178" t="s">
        <v>422</v>
      </c>
      <c r="AJ259" s="68">
        <f>IFERROR(PA[[#This Row],[Breakdown Time]]*PA[[#This Row],[Plant Equivalent Weightage]],"")</f>
        <v>5.7201894410771961E-3</v>
      </c>
      <c r="AK259" s="117">
        <v>0.72991166666666663</v>
      </c>
      <c r="AL259" s="116">
        <f>IF(PA[[#This Row],[Lost PoA(Wh/m2)]]&gt;0,_xlfn.XLOOKUP($B259,'Daily KPI'!$A:$A,'Daily KPI'!$AE:$AE)*PA[[#This Row],[Lost PoA(Wh/m2)]]*U259,0)</f>
        <v>1290.0982958384957</v>
      </c>
      <c r="AM259" s="176"/>
    </row>
    <row r="260" spans="1:39" ht="14" customHeight="1">
      <c r="A260" s="177">
        <f t="shared" si="4"/>
        <v>257</v>
      </c>
      <c r="B260" s="185">
        <v>45815</v>
      </c>
      <c r="C260" s="178" t="s">
        <v>477</v>
      </c>
      <c r="D260" s="6">
        <f>YEAR(PA[[#This Row],[Date]])</f>
        <v>2025</v>
      </c>
      <c r="E260" s="178" t="s">
        <v>361</v>
      </c>
      <c r="F260" s="178" t="s">
        <v>361</v>
      </c>
      <c r="G260" s="179">
        <v>45809</v>
      </c>
      <c r="H260" s="176">
        <f>DAY(EOMONTH(PA[[#This Row],[Month Year]],0))</f>
        <v>30</v>
      </c>
      <c r="I260" s="180">
        <f>VLOOKUP(PA[[#This Row],[Date]],Raw_Data[#All],9,0)</f>
        <v>0.2590277777777778</v>
      </c>
      <c r="J260" s="180">
        <f>VLOOKUP(PA[[#This Row],[Date]],Raw_Data[#All],10,0)</f>
        <v>0.8125</v>
      </c>
      <c r="K260" s="68">
        <f>IFERROR((PA[[#This Row],[Sunset Time (POA&lt;20 W/m2)]]-PA[[#This Row],[Sunrise Time (POA&gt;20 W/m2)]])*24,"")</f>
        <v>13.283333333333331</v>
      </c>
      <c r="L260" s="178" t="s">
        <v>441</v>
      </c>
      <c r="M260" s="178" t="s">
        <v>408</v>
      </c>
      <c r="N260" s="178" t="s">
        <v>402</v>
      </c>
      <c r="O260" s="178"/>
      <c r="P260" s="178"/>
      <c r="Q260" s="178"/>
      <c r="R260" s="6">
        <f>IF((PA[[#This Row],[String Type(If String BD)]]&amp;PA[[#This Row],[Equipment (If any BD other than PV  array and inv)]])="",1,0)</f>
        <v>1</v>
      </c>
      <c r="S260" s="6">
        <f>IF(PA[[#This Row],[String Type(If String BD)]]="",1,0)</f>
        <v>1</v>
      </c>
      <c r="T2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60" s="68">
        <f>IFERROR(VLOOKUP(PA[[#This Row],[Affected Equipment ]],'Basic Data '!$A$1:$B$1846,2,0),"")</f>
        <v>2114.1000000000004</v>
      </c>
      <c r="V260" s="143">
        <f>IFERROR(VLOOKUP(PA[[#This Row],[Affected Equipment ]],'Basic Data '!$A$1:$C$1846,3,0),"")</f>
        <v>6.3090324717763246E-3</v>
      </c>
      <c r="W260" s="178" t="s">
        <v>427</v>
      </c>
      <c r="X260" s="110" t="s">
        <v>452</v>
      </c>
      <c r="Y260" s="110" t="s">
        <v>452</v>
      </c>
      <c r="Z260" s="109">
        <v>0.2638888888888889</v>
      </c>
      <c r="AA260" s="109">
        <v>0.2638888888888889</v>
      </c>
      <c r="AB260" s="109">
        <v>0.2951388888888889</v>
      </c>
      <c r="AC260" s="109">
        <v>0.31944444444444442</v>
      </c>
      <c r="AD260" s="82">
        <f>IF(PA[[#This Row],[Acknowledgement Time ]]="NA","",(PA[[#This Row],[Acknowledgement Time ]]-PA[[#This Row],[Fault Time]])*24)</f>
        <v>0</v>
      </c>
      <c r="AE260" s="82">
        <f>IF(PA[[#This Row],[Work Start time on Fault]]="NA","",(PA[[#This Row],[Work Start time on Fault]]-PA[[#This Row],[Fault Time]])*24)</f>
        <v>0.75</v>
      </c>
      <c r="AF260" s="111">
        <f>IF(PA[[#This Row],[Status]]="Open","",(PA[[#This Row],[Work Completion time on fault]]-PA[[#This Row],[Fault Time]])*24)</f>
        <v>1.3333333333333326</v>
      </c>
      <c r="AG260" s="82">
        <f>IFERROR((PA[[#This Row],[Work Completion time on fault]]-PA[[#This Row],[Fault Time]])*24,"")</f>
        <v>1.3333333333333326</v>
      </c>
      <c r="AH260" s="110" t="s">
        <v>479</v>
      </c>
      <c r="AI260" s="178" t="s">
        <v>422</v>
      </c>
      <c r="AJ260" s="68">
        <f>IFERROR(PA[[#This Row],[Breakdown Time]]*PA[[#This Row],[Plant Equivalent Weightage]],"")</f>
        <v>8.4120432957017609E-3</v>
      </c>
      <c r="AK260" s="117">
        <v>0.15156</v>
      </c>
      <c r="AL260" s="116">
        <f>IF(PA[[#This Row],[Lost PoA(Wh/m2)]]&gt;0,_xlfn.XLOOKUP($B260,'Daily KPI'!$A:$A,'Daily KPI'!$AE:$AE)*PA[[#This Row],[Lost PoA(Wh/m2)]]*U260,0)</f>
        <v>265.90833639518894</v>
      </c>
      <c r="AM260" s="176" t="s">
        <v>2587</v>
      </c>
    </row>
    <row r="261" spans="1:39" ht="14" customHeight="1">
      <c r="A261" s="177">
        <f t="shared" si="4"/>
        <v>258</v>
      </c>
      <c r="B261" s="185">
        <v>45815</v>
      </c>
      <c r="C261" s="178" t="s">
        <v>477</v>
      </c>
      <c r="D261" s="6">
        <f>YEAR(PA[[#This Row],[Date]])</f>
        <v>2025</v>
      </c>
      <c r="E261" s="178" t="s">
        <v>361</v>
      </c>
      <c r="F261" s="178" t="s">
        <v>361</v>
      </c>
      <c r="G261" s="179">
        <v>45809</v>
      </c>
      <c r="H261" s="176">
        <f>DAY(EOMONTH(PA[[#This Row],[Month Year]],0))</f>
        <v>30</v>
      </c>
      <c r="I261" s="180">
        <f>VLOOKUP(PA[[#This Row],[Date]],Raw_Data[#All],9,0)</f>
        <v>0.2590277777777778</v>
      </c>
      <c r="J261" s="180">
        <f>VLOOKUP(PA[[#This Row],[Date]],Raw_Data[#All],10,0)</f>
        <v>0.8125</v>
      </c>
      <c r="K261" s="68">
        <f>IFERROR((PA[[#This Row],[Sunset Time (POA&lt;20 W/m2)]]-PA[[#This Row],[Sunrise Time (POA&gt;20 W/m2)]])*24,"")</f>
        <v>13.283333333333331</v>
      </c>
      <c r="L261" s="178" t="s">
        <v>441</v>
      </c>
      <c r="M261" s="178" t="s">
        <v>408</v>
      </c>
      <c r="N261" s="178" t="s">
        <v>395</v>
      </c>
      <c r="O261" s="178"/>
      <c r="P261" s="178"/>
      <c r="Q261" s="178"/>
      <c r="R261" s="6">
        <f>IF((PA[[#This Row],[String Type(If String BD)]]&amp;PA[[#This Row],[Equipment (If any BD other than PV  array and inv)]])="",1,0)</f>
        <v>1</v>
      </c>
      <c r="S261" s="6">
        <f>IF(PA[[#This Row],[String Type(If String BD)]]="",1,0)</f>
        <v>1</v>
      </c>
      <c r="T2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61" s="68">
        <f>IFERROR(VLOOKUP(PA[[#This Row],[Affected Equipment ]],'Basic Data '!$A$1:$B$1846,2,0),"")</f>
        <v>2088.0000000000005</v>
      </c>
      <c r="V261" s="143">
        <f>IFERROR(VLOOKUP(PA[[#This Row],[Affected Equipment ]],'Basic Data '!$A$1:$C$1846,3,0),"")</f>
        <v>6.2311431820013087E-3</v>
      </c>
      <c r="W261" s="178" t="s">
        <v>427</v>
      </c>
      <c r="X261" s="110" t="s">
        <v>455</v>
      </c>
      <c r="Y261" s="110" t="s">
        <v>455</v>
      </c>
      <c r="Z261" s="109">
        <v>0.30902777777777779</v>
      </c>
      <c r="AA261" s="109">
        <v>0.30902777777777779</v>
      </c>
      <c r="AB261" s="109">
        <v>0.30902777777777779</v>
      </c>
      <c r="AC261" s="109">
        <v>0.31944444444444442</v>
      </c>
      <c r="AD261" s="82">
        <f>IF(PA[[#This Row],[Acknowledgement Time ]]="NA","",(PA[[#This Row],[Acknowledgement Time ]]-PA[[#This Row],[Fault Time]])*24)</f>
        <v>0</v>
      </c>
      <c r="AE261" s="82">
        <f>IF(PA[[#This Row],[Work Start time on Fault]]="NA","",(PA[[#This Row],[Work Start time on Fault]]-PA[[#This Row],[Fault Time]])*24)</f>
        <v>0</v>
      </c>
      <c r="AF261" s="111">
        <f>IF(PA[[#This Row],[Status]]="Open","",(PA[[#This Row],[Work Completion time on fault]]-PA[[#This Row],[Fault Time]])*24)</f>
        <v>0.24999999999999911</v>
      </c>
      <c r="AG261" s="82">
        <f>IFERROR((PA[[#This Row],[Work Completion time on fault]]-PA[[#This Row],[Fault Time]])*24,"")</f>
        <v>0.24999999999999911</v>
      </c>
      <c r="AH261" s="110" t="s">
        <v>455</v>
      </c>
      <c r="AI261" s="178" t="s">
        <v>422</v>
      </c>
      <c r="AJ261" s="68">
        <f>IFERROR(PA[[#This Row],[Breakdown Time]]*PA[[#This Row],[Plant Equivalent Weightage]],"")</f>
        <v>1.5577857955003215E-3</v>
      </c>
      <c r="AK261" s="117">
        <v>5.4265000000000001E-2</v>
      </c>
      <c r="AL261" s="116">
        <f>IF(PA[[#This Row],[Lost PoA(Wh/m2)]]&gt;0,_xlfn.XLOOKUP($B261,'Daily KPI'!$A:$A,'Daily KPI'!$AE:$AE)*PA[[#This Row],[Lost PoA(Wh/m2)]]*U261,0)</f>
        <v>94.03123319606091</v>
      </c>
      <c r="AM261" s="176" t="s">
        <v>2587</v>
      </c>
    </row>
    <row r="262" spans="1:39" ht="14" customHeight="1">
      <c r="A262" s="177">
        <f t="shared" ref="A262:A325" si="5">A261+1</f>
        <v>259</v>
      </c>
      <c r="B262" s="185">
        <v>45815</v>
      </c>
      <c r="C262" s="178" t="s">
        <v>477</v>
      </c>
      <c r="D262" s="6">
        <f>YEAR(PA[[#This Row],[Date]])</f>
        <v>2025</v>
      </c>
      <c r="E262" s="178" t="s">
        <v>361</v>
      </c>
      <c r="F262" s="178" t="s">
        <v>361</v>
      </c>
      <c r="G262" s="179">
        <v>45809</v>
      </c>
      <c r="H262" s="176">
        <f>DAY(EOMONTH(PA[[#This Row],[Month Year]],0))</f>
        <v>30</v>
      </c>
      <c r="I262" s="180">
        <f>VLOOKUP(PA[[#This Row],[Date]],Raw_Data[#All],9,0)</f>
        <v>0.2590277777777778</v>
      </c>
      <c r="J262" s="180">
        <f>VLOOKUP(PA[[#This Row],[Date]],Raw_Data[#All],10,0)</f>
        <v>0.8125</v>
      </c>
      <c r="K262" s="68">
        <f>IFERROR((PA[[#This Row],[Sunset Time (POA&lt;20 W/m2)]]-PA[[#This Row],[Sunrise Time (POA&gt;20 W/m2)]])*24,"")</f>
        <v>13.283333333333331</v>
      </c>
      <c r="L262" s="178" t="s">
        <v>437</v>
      </c>
      <c r="M262" s="178" t="s">
        <v>414</v>
      </c>
      <c r="N262" s="178" t="s">
        <v>395</v>
      </c>
      <c r="O262" s="178" t="s">
        <v>406</v>
      </c>
      <c r="P262" s="178" t="s">
        <v>424</v>
      </c>
      <c r="Q262" s="178"/>
      <c r="R262" s="6">
        <f>IF((PA[[#This Row],[String Type(If String BD)]]&amp;PA[[#This Row],[Equipment (If any BD other than PV  array and inv)]])="",1,0)</f>
        <v>0</v>
      </c>
      <c r="S262" s="6">
        <f>IF(PA[[#This Row],[String Type(If String BD)]]="",1,0)</f>
        <v>0</v>
      </c>
      <c r="T2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2" s="68">
        <f>IFERROR(VLOOKUP(PA[[#This Row],[Affected Equipment ]],'Basic Data '!$A$1:$B$1846,2,0),"")</f>
        <v>12.904999999999999</v>
      </c>
      <c r="V262" s="143">
        <f>IFERROR(VLOOKUP(PA[[#This Row],[Affected Equipment ]],'Basic Data '!$A$1:$C$1846,3,0),"")</f>
        <v>3.8511926610980299E-5</v>
      </c>
      <c r="W262" s="178" t="s">
        <v>451</v>
      </c>
      <c r="X262" s="110" t="s">
        <v>491</v>
      </c>
      <c r="Y262" s="110" t="s">
        <v>491</v>
      </c>
      <c r="Z262" s="109">
        <v>0.4375</v>
      </c>
      <c r="AA262" s="109">
        <v>0.4375</v>
      </c>
      <c r="AB262" s="109">
        <v>0.4375</v>
      </c>
      <c r="AC262" s="109">
        <v>0.44791666666666669</v>
      </c>
      <c r="AD262" s="82">
        <f>IF(PA[[#This Row],[Acknowledgement Time ]]="NA","",(PA[[#This Row],[Acknowledgement Time ]]-PA[[#This Row],[Fault Time]])*24)</f>
        <v>0</v>
      </c>
      <c r="AE262" s="82">
        <f>IF(PA[[#This Row],[Work Start time on Fault]]="NA","",(PA[[#This Row],[Work Start time on Fault]]-PA[[#This Row],[Fault Time]])*24)</f>
        <v>0</v>
      </c>
      <c r="AF262" s="111">
        <f>IF(PA[[#This Row],[Status]]="Open","",(PA[[#This Row],[Work Completion time on fault]]-PA[[#This Row],[Fault Time]])*24)</f>
        <v>0.25000000000000044</v>
      </c>
      <c r="AG262" s="82">
        <f>IFERROR((PA[[#This Row],[Work Completion time on fault]]-PA[[#This Row],[Fault Time]])*24,"")</f>
        <v>0.25000000000000044</v>
      </c>
      <c r="AH262" s="110" t="s">
        <v>491</v>
      </c>
      <c r="AI262" s="178" t="s">
        <v>422</v>
      </c>
      <c r="AJ262" s="68">
        <f>IFERROR(PA[[#This Row],[Breakdown Time]]*PA[[#This Row],[Plant Equivalent Weightage]],"")</f>
        <v>9.6279816527450916E-6</v>
      </c>
      <c r="AK262" s="117">
        <v>0.22070000000000001</v>
      </c>
      <c r="AL262" s="116">
        <f>IF(PA[[#This Row],[Lost PoA(Wh/m2)]]&gt;0,_xlfn.XLOOKUP($B262,'Daily KPI'!$A:$A,'Daily KPI'!$AE:$AE)*PA[[#This Row],[Lost PoA(Wh/m2)]]*U262,0)</f>
        <v>2.3636445783129436</v>
      </c>
      <c r="AM262" s="176" t="s">
        <v>2586</v>
      </c>
    </row>
    <row r="263" spans="1:39" ht="14" customHeight="1">
      <c r="A263" s="177">
        <f t="shared" si="5"/>
        <v>260</v>
      </c>
      <c r="B263" s="185">
        <v>45815</v>
      </c>
      <c r="C263" s="178" t="s">
        <v>477</v>
      </c>
      <c r="D263" s="6">
        <f>YEAR(PA[[#This Row],[Date]])</f>
        <v>2025</v>
      </c>
      <c r="E263" s="178" t="s">
        <v>361</v>
      </c>
      <c r="F263" s="178" t="s">
        <v>361</v>
      </c>
      <c r="G263" s="179">
        <v>45809</v>
      </c>
      <c r="H263" s="176">
        <f>DAY(EOMONTH(PA[[#This Row],[Month Year]],0))</f>
        <v>30</v>
      </c>
      <c r="I263" s="180">
        <f>VLOOKUP(PA[[#This Row],[Date]],Raw_Data[#All],9,0)</f>
        <v>0.2590277777777778</v>
      </c>
      <c r="J263" s="180">
        <f>VLOOKUP(PA[[#This Row],[Date]],Raw_Data[#All],10,0)</f>
        <v>0.8125</v>
      </c>
      <c r="K263" s="68">
        <f>IFERROR((PA[[#This Row],[Sunset Time (POA&lt;20 W/m2)]]-PA[[#This Row],[Sunrise Time (POA&gt;20 W/m2)]])*24,"")</f>
        <v>13.283333333333331</v>
      </c>
      <c r="L263" s="178" t="s">
        <v>438</v>
      </c>
      <c r="M263" s="178" t="s">
        <v>414</v>
      </c>
      <c r="N263" s="178" t="s">
        <v>402</v>
      </c>
      <c r="O263" s="178" t="s">
        <v>406</v>
      </c>
      <c r="P263" s="178" t="s">
        <v>424</v>
      </c>
      <c r="Q263" s="178"/>
      <c r="R263" s="6">
        <f>IF((PA[[#This Row],[String Type(If String BD)]]&amp;PA[[#This Row],[Equipment (If any BD other than PV  array and inv)]])="",1,0)</f>
        <v>0</v>
      </c>
      <c r="S263" s="6">
        <f>IF(PA[[#This Row],[String Type(If String BD)]]="",1,0)</f>
        <v>0</v>
      </c>
      <c r="T2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3" s="68">
        <f>IFERROR(VLOOKUP(PA[[#This Row],[Affected Equipment ]],'Basic Data '!$A$1:$B$1846,2,0),"")</f>
        <v>12.904999999999999</v>
      </c>
      <c r="V263" s="143">
        <f>IFERROR(VLOOKUP(PA[[#This Row],[Affected Equipment ]],'Basic Data '!$A$1:$C$1846,3,0),"")</f>
        <v>3.8511926610980299E-5</v>
      </c>
      <c r="W263" s="178" t="s">
        <v>451</v>
      </c>
      <c r="X263" s="110" t="s">
        <v>491</v>
      </c>
      <c r="Y263" s="110" t="s">
        <v>491</v>
      </c>
      <c r="Z263" s="109">
        <v>0.45833333333333331</v>
      </c>
      <c r="AA263" s="109">
        <v>0.45833333333333331</v>
      </c>
      <c r="AB263" s="109">
        <v>0.45833333333333331</v>
      </c>
      <c r="AC263" s="109">
        <v>0.46875</v>
      </c>
      <c r="AD263" s="82">
        <f>IF(PA[[#This Row],[Acknowledgement Time ]]="NA","",(PA[[#This Row],[Acknowledgement Time ]]-PA[[#This Row],[Fault Time]])*24)</f>
        <v>0</v>
      </c>
      <c r="AE263" s="82">
        <f>IF(PA[[#This Row],[Work Start time on Fault]]="NA","",(PA[[#This Row],[Work Start time on Fault]]-PA[[#This Row],[Fault Time]])*24)</f>
        <v>0</v>
      </c>
      <c r="AF263" s="111">
        <f>IF(PA[[#This Row],[Status]]="Open","",(PA[[#This Row],[Work Completion time on fault]]-PA[[#This Row],[Fault Time]])*24)</f>
        <v>0.25000000000000044</v>
      </c>
      <c r="AG263" s="82">
        <f>IFERROR((PA[[#This Row],[Work Completion time on fault]]-PA[[#This Row],[Fault Time]])*24,"")</f>
        <v>0.25000000000000044</v>
      </c>
      <c r="AH263" s="110" t="s">
        <v>491</v>
      </c>
      <c r="AI263" s="178" t="s">
        <v>422</v>
      </c>
      <c r="AJ263" s="68">
        <f>IFERROR(PA[[#This Row],[Breakdown Time]]*PA[[#This Row],[Plant Equivalent Weightage]],"")</f>
        <v>9.6279816527450916E-6</v>
      </c>
      <c r="AK263" s="117">
        <v>0.23874999999999999</v>
      </c>
      <c r="AL263" s="116">
        <f>IF(PA[[#This Row],[Lost PoA(Wh/m2)]]&gt;0,_xlfn.XLOOKUP($B263,'Daily KPI'!$A:$A,'Daily KPI'!$AE:$AE)*PA[[#This Row],[Lost PoA(Wh/m2)]]*U263,0)</f>
        <v>2.5569557909932725</v>
      </c>
      <c r="AM263" s="176" t="s">
        <v>2586</v>
      </c>
    </row>
    <row r="264" spans="1:39" ht="14" customHeight="1">
      <c r="A264" s="177">
        <f t="shared" si="5"/>
        <v>261</v>
      </c>
      <c r="B264" s="185">
        <v>45815</v>
      </c>
      <c r="C264" s="178" t="s">
        <v>477</v>
      </c>
      <c r="D264" s="6">
        <f>YEAR(PA[[#This Row],[Date]])</f>
        <v>2025</v>
      </c>
      <c r="E264" s="178" t="s">
        <v>361</v>
      </c>
      <c r="F264" s="178" t="s">
        <v>361</v>
      </c>
      <c r="G264" s="179">
        <v>45809</v>
      </c>
      <c r="H264" s="176">
        <f>DAY(EOMONTH(PA[[#This Row],[Month Year]],0))</f>
        <v>30</v>
      </c>
      <c r="I264" s="180">
        <f>VLOOKUP(PA[[#This Row],[Date]],Raw_Data[#All],9,0)</f>
        <v>0.2590277777777778</v>
      </c>
      <c r="J264" s="180">
        <f>VLOOKUP(PA[[#This Row],[Date]],Raw_Data[#All],10,0)</f>
        <v>0.8125</v>
      </c>
      <c r="K264" s="68">
        <f>IFERROR((PA[[#This Row],[Sunset Time (POA&lt;20 W/m2)]]-PA[[#This Row],[Sunrise Time (POA&gt;20 W/m2)]])*24,"")</f>
        <v>13.283333333333331</v>
      </c>
      <c r="L264" s="178" t="s">
        <v>416</v>
      </c>
      <c r="M264" s="178" t="s">
        <v>394</v>
      </c>
      <c r="N264" s="178" t="s">
        <v>395</v>
      </c>
      <c r="O264" s="178" t="s">
        <v>413</v>
      </c>
      <c r="P264" s="178" t="s">
        <v>458</v>
      </c>
      <c r="Q264" s="178"/>
      <c r="R264" s="6">
        <f>IF((PA[[#This Row],[String Type(If String BD)]]&amp;PA[[#This Row],[Equipment (If any BD other than PV  array and inv)]])="",1,0)</f>
        <v>0</v>
      </c>
      <c r="S264" s="6">
        <f>IF(PA[[#This Row],[String Type(If String BD)]]="",1,0)</f>
        <v>0</v>
      </c>
      <c r="T2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64" s="68">
        <f>IFERROR(VLOOKUP(PA[[#This Row],[Affected Equipment ]],'Basic Data '!$A$1:$B$1846,2,0),"")</f>
        <v>15.805</v>
      </c>
      <c r="V264" s="143">
        <f>IFERROR(VLOOKUP(PA[[#This Row],[Affected Equipment ]],'Basic Data '!$A$1:$C$1846,3,0),"")</f>
        <v>4.7166292141537668E-5</v>
      </c>
      <c r="W264" s="178" t="s">
        <v>451</v>
      </c>
      <c r="X264" s="110" t="s">
        <v>491</v>
      </c>
      <c r="Y264" s="110" t="s">
        <v>491</v>
      </c>
      <c r="Z264" s="109">
        <v>0.47916666666666669</v>
      </c>
      <c r="AA264" s="109">
        <v>0.47916666666666669</v>
      </c>
      <c r="AB264" s="109">
        <v>0.47916666666666669</v>
      </c>
      <c r="AC264" s="109">
        <v>0.48958333333333331</v>
      </c>
      <c r="AD264" s="82">
        <f>IF(PA[[#This Row],[Acknowledgement Time ]]="NA","",(PA[[#This Row],[Acknowledgement Time ]]-PA[[#This Row],[Fault Time]])*24)</f>
        <v>0</v>
      </c>
      <c r="AE264" s="82">
        <f>IF(PA[[#This Row],[Work Start time on Fault]]="NA","",(PA[[#This Row],[Work Start time on Fault]]-PA[[#This Row],[Fault Time]])*24)</f>
        <v>0</v>
      </c>
      <c r="AF264" s="111">
        <f>IF(PA[[#This Row],[Status]]="Open","",(PA[[#This Row],[Work Completion time on fault]]-PA[[#This Row],[Fault Time]])*24)</f>
        <v>0.24999999999999911</v>
      </c>
      <c r="AG264" s="82">
        <f>IFERROR((PA[[#This Row],[Work Completion time on fault]]-PA[[#This Row],[Fault Time]])*24,"")</f>
        <v>0.24999999999999911</v>
      </c>
      <c r="AH264" s="110" t="s">
        <v>491</v>
      </c>
      <c r="AI264" s="178" t="s">
        <v>422</v>
      </c>
      <c r="AJ264" s="68">
        <f>IFERROR(PA[[#This Row],[Breakdown Time]]*PA[[#This Row],[Plant Equivalent Weightage]],"")</f>
        <v>1.1791573035384375E-5</v>
      </c>
      <c r="AK264" s="117">
        <v>0.25230000000000002</v>
      </c>
      <c r="AL264" s="116">
        <f>IF(PA[[#This Row],[Lost PoA(Wh/m2)]]&gt;0,_xlfn.XLOOKUP($B264,'Daily KPI'!$A:$A,'Daily KPI'!$AE:$AE)*PA[[#This Row],[Lost PoA(Wh/m2)]]*U264,0)</f>
        <v>3.3092805045646778</v>
      </c>
      <c r="AM264" s="176" t="s">
        <v>2586</v>
      </c>
    </row>
    <row r="265" spans="1:39" ht="14" customHeight="1">
      <c r="A265" s="177">
        <f t="shared" si="5"/>
        <v>262</v>
      </c>
      <c r="B265" s="185">
        <v>45815</v>
      </c>
      <c r="C265" s="178" t="s">
        <v>477</v>
      </c>
      <c r="D265" s="6">
        <f>YEAR(PA[[#This Row],[Date]])</f>
        <v>2025</v>
      </c>
      <c r="E265" s="178" t="s">
        <v>361</v>
      </c>
      <c r="F265" s="178" t="s">
        <v>361</v>
      </c>
      <c r="G265" s="179">
        <v>45809</v>
      </c>
      <c r="H265" s="176">
        <f>DAY(EOMONTH(PA[[#This Row],[Month Year]],0))</f>
        <v>30</v>
      </c>
      <c r="I265" s="180">
        <f>VLOOKUP(PA[[#This Row],[Date]],Raw_Data[#All],9,0)</f>
        <v>0.2590277777777778</v>
      </c>
      <c r="J265" s="180">
        <f>VLOOKUP(PA[[#This Row],[Date]],Raw_Data[#All],10,0)</f>
        <v>0.8125</v>
      </c>
      <c r="K265" s="68">
        <f>IFERROR((PA[[#This Row],[Sunset Time (POA&lt;20 W/m2)]]-PA[[#This Row],[Sunrise Time (POA&gt;20 W/m2)]])*24,"")</f>
        <v>13.283333333333331</v>
      </c>
      <c r="L265" s="178" t="s">
        <v>447</v>
      </c>
      <c r="M265" s="178" t="s">
        <v>394</v>
      </c>
      <c r="N265" s="178" t="s">
        <v>395</v>
      </c>
      <c r="O265" s="178" t="s">
        <v>413</v>
      </c>
      <c r="P265" s="178" t="s">
        <v>429</v>
      </c>
      <c r="Q265" s="178"/>
      <c r="R265" s="6">
        <f>IF((PA[[#This Row],[String Type(If String BD)]]&amp;PA[[#This Row],[Equipment (If any BD other than PV  array and inv)]])="",1,0)</f>
        <v>0</v>
      </c>
      <c r="S265" s="6">
        <f>IF(PA[[#This Row],[String Type(If String BD)]]="",1,0)</f>
        <v>0</v>
      </c>
      <c r="T2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5" s="68">
        <f>IFERROR(VLOOKUP(PA[[#This Row],[Affected Equipment ]],'Basic Data '!$A$1:$B$1846,2,0),"")</f>
        <v>15.66</v>
      </c>
      <c r="V265" s="143">
        <f>IFERROR(VLOOKUP(PA[[#This Row],[Affected Equipment ]],'Basic Data '!$A$1:$C$1846,3,0),"")</f>
        <v>4.6733573865009801E-5</v>
      </c>
      <c r="W265" s="178" t="s">
        <v>451</v>
      </c>
      <c r="X265" s="110" t="s">
        <v>491</v>
      </c>
      <c r="Y265" s="110" t="s">
        <v>491</v>
      </c>
      <c r="Z265" s="109">
        <v>0.5</v>
      </c>
      <c r="AA265" s="109">
        <v>0.5</v>
      </c>
      <c r="AB265" s="109">
        <v>0.5</v>
      </c>
      <c r="AC265" s="109">
        <v>0.51041666666666663</v>
      </c>
      <c r="AD265" s="82">
        <f>IF(PA[[#This Row],[Acknowledgement Time ]]="NA","",(PA[[#This Row],[Acknowledgement Time ]]-PA[[#This Row],[Fault Time]])*24)</f>
        <v>0</v>
      </c>
      <c r="AE265" s="82">
        <f>IF(PA[[#This Row],[Work Start time on Fault]]="NA","",(PA[[#This Row],[Work Start time on Fault]]-PA[[#This Row],[Fault Time]])*24)</f>
        <v>0</v>
      </c>
      <c r="AF265" s="111">
        <f>IF(PA[[#This Row],[Status]]="Open","",(PA[[#This Row],[Work Completion time on fault]]-PA[[#This Row],[Fault Time]])*24)</f>
        <v>0.24999999999999911</v>
      </c>
      <c r="AG265" s="82">
        <f>IFERROR((PA[[#This Row],[Work Completion time on fault]]-PA[[#This Row],[Fault Time]])*24,"")</f>
        <v>0.24999999999999911</v>
      </c>
      <c r="AH265" s="110" t="s">
        <v>491</v>
      </c>
      <c r="AI265" s="178" t="s">
        <v>422</v>
      </c>
      <c r="AJ265" s="68">
        <f>IFERROR(PA[[#This Row],[Breakdown Time]]*PA[[#This Row],[Plant Equivalent Weightage]],"")</f>
        <v>1.1683393466252408E-5</v>
      </c>
      <c r="AK265" s="117">
        <v>0.26176666666666665</v>
      </c>
      <c r="AL265" s="116">
        <f>IF(PA[[#This Row],[Lost PoA(Wh/m2)]]&gt;0,_xlfn.XLOOKUP($B265,'Daily KPI'!$A:$A,'Daily KPI'!$AE:$AE)*PA[[#This Row],[Lost PoA(Wh/m2)]]*U265,0)</f>
        <v>3.4019500335790389</v>
      </c>
      <c r="AM265" s="176" t="s">
        <v>2586</v>
      </c>
    </row>
    <row r="266" spans="1:39" ht="14" customHeight="1">
      <c r="A266" s="177">
        <f t="shared" si="5"/>
        <v>263</v>
      </c>
      <c r="B266" s="185">
        <v>45815</v>
      </c>
      <c r="C266" s="178" t="s">
        <v>477</v>
      </c>
      <c r="D266" s="6">
        <f>YEAR(PA[[#This Row],[Date]])</f>
        <v>2025</v>
      </c>
      <c r="E266" s="178" t="s">
        <v>361</v>
      </c>
      <c r="F266" s="178" t="s">
        <v>361</v>
      </c>
      <c r="G266" s="179">
        <v>45809</v>
      </c>
      <c r="H266" s="176">
        <f>DAY(EOMONTH(PA[[#This Row],[Month Year]],0))</f>
        <v>30</v>
      </c>
      <c r="I266" s="180">
        <f>VLOOKUP(PA[[#This Row],[Date]],Raw_Data[#All],9,0)</f>
        <v>0.2590277777777778</v>
      </c>
      <c r="J266" s="180">
        <f>VLOOKUP(PA[[#This Row],[Date]],Raw_Data[#All],10,0)</f>
        <v>0.8125</v>
      </c>
      <c r="K266" s="68">
        <f>IFERROR((PA[[#This Row],[Sunset Time (POA&lt;20 W/m2)]]-PA[[#This Row],[Sunrise Time (POA&gt;20 W/m2)]])*24,"")</f>
        <v>13.283333333333331</v>
      </c>
      <c r="L266" s="178" t="s">
        <v>446</v>
      </c>
      <c r="M266" s="178" t="s">
        <v>414</v>
      </c>
      <c r="N266" s="178" t="s">
        <v>402</v>
      </c>
      <c r="O266" s="178" t="s">
        <v>396</v>
      </c>
      <c r="P266" s="178" t="s">
        <v>429</v>
      </c>
      <c r="Q266" s="178"/>
      <c r="R266" s="6">
        <f>IF((PA[[#This Row],[String Type(If String BD)]]&amp;PA[[#This Row],[Equipment (If any BD other than PV  array and inv)]])="",1,0)</f>
        <v>0</v>
      </c>
      <c r="S266" s="6">
        <f>IF(PA[[#This Row],[String Type(If String BD)]]="",1,0)</f>
        <v>0</v>
      </c>
      <c r="T2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6" s="68">
        <f>IFERROR(VLOOKUP(PA[[#This Row],[Affected Equipment ]],'Basic Data '!$A$1:$B$1846,2,0),"")</f>
        <v>15.66</v>
      </c>
      <c r="V266" s="143">
        <f>IFERROR(VLOOKUP(PA[[#This Row],[Affected Equipment ]],'Basic Data '!$A$1:$C$1846,3,0),"")</f>
        <v>4.6733573865009801E-5</v>
      </c>
      <c r="W266" s="178" t="s">
        <v>451</v>
      </c>
      <c r="X266" s="110" t="s">
        <v>491</v>
      </c>
      <c r="Y266" s="110" t="s">
        <v>491</v>
      </c>
      <c r="Z266" s="109">
        <v>0.52083333333333337</v>
      </c>
      <c r="AA266" s="109">
        <v>0.52083333333333337</v>
      </c>
      <c r="AB266" s="109">
        <v>0.52083333333333337</v>
      </c>
      <c r="AC266" s="109">
        <v>0.53125</v>
      </c>
      <c r="AD266" s="82">
        <f>IF(PA[[#This Row],[Acknowledgement Time ]]="NA","",(PA[[#This Row],[Acknowledgement Time ]]-PA[[#This Row],[Fault Time]])*24)</f>
        <v>0</v>
      </c>
      <c r="AE266" s="82">
        <f>IF(PA[[#This Row],[Work Start time on Fault]]="NA","",(PA[[#This Row],[Work Start time on Fault]]-PA[[#This Row],[Fault Time]])*24)</f>
        <v>0</v>
      </c>
      <c r="AF266" s="111">
        <f>IF(PA[[#This Row],[Status]]="Open","",(PA[[#This Row],[Work Completion time on fault]]-PA[[#This Row],[Fault Time]])*24)</f>
        <v>0.24999999999999911</v>
      </c>
      <c r="AG266" s="82">
        <f>IFERROR((PA[[#This Row],[Work Completion time on fault]]-PA[[#This Row],[Fault Time]])*24,"")</f>
        <v>0.24999999999999911</v>
      </c>
      <c r="AH266" s="110" t="s">
        <v>491</v>
      </c>
      <c r="AI266" s="178" t="s">
        <v>422</v>
      </c>
      <c r="AJ266" s="68">
        <f>IFERROR(PA[[#This Row],[Breakdown Time]]*PA[[#This Row],[Plant Equivalent Weightage]],"")</f>
        <v>1.1683393466252408E-5</v>
      </c>
      <c r="AK266" s="117">
        <v>0.26596666666666668</v>
      </c>
      <c r="AL266" s="116">
        <f>IF(PA[[#This Row],[Lost PoA(Wh/m2)]]&gt;0,_xlfn.XLOOKUP($B266,'Daily KPI'!$A:$A,'Daily KPI'!$AE:$AE)*PA[[#This Row],[Lost PoA(Wh/m2)]]*U266,0)</f>
        <v>3.4565337218804477</v>
      </c>
      <c r="AM266" s="176" t="s">
        <v>2586</v>
      </c>
    </row>
    <row r="267" spans="1:39" ht="14" customHeight="1">
      <c r="A267" s="177">
        <f t="shared" si="5"/>
        <v>264</v>
      </c>
      <c r="B267" s="185">
        <v>45815</v>
      </c>
      <c r="C267" s="178" t="s">
        <v>477</v>
      </c>
      <c r="D267" s="6">
        <f>YEAR(PA[[#This Row],[Date]])</f>
        <v>2025</v>
      </c>
      <c r="E267" s="178" t="s">
        <v>361</v>
      </c>
      <c r="F267" s="178" t="s">
        <v>361</v>
      </c>
      <c r="G267" s="179">
        <v>45809</v>
      </c>
      <c r="H267" s="176">
        <f>DAY(EOMONTH(PA[[#This Row],[Month Year]],0))</f>
        <v>30</v>
      </c>
      <c r="I267" s="180">
        <f>VLOOKUP(PA[[#This Row],[Date]],Raw_Data[#All],9,0)</f>
        <v>0.2590277777777778</v>
      </c>
      <c r="J267" s="180">
        <f>VLOOKUP(PA[[#This Row],[Date]],Raw_Data[#All],10,0)</f>
        <v>0.8125</v>
      </c>
      <c r="K267" s="68">
        <f>IFERROR((PA[[#This Row],[Sunset Time (POA&lt;20 W/m2)]]-PA[[#This Row],[Sunrise Time (POA&gt;20 W/m2)]])*24,"")</f>
        <v>13.283333333333331</v>
      </c>
      <c r="L267" s="178" t="s">
        <v>405</v>
      </c>
      <c r="M267" s="178" t="s">
        <v>401</v>
      </c>
      <c r="N267" s="178" t="s">
        <v>402</v>
      </c>
      <c r="O267" s="178" t="s">
        <v>406</v>
      </c>
      <c r="P267" s="178" t="s">
        <v>429</v>
      </c>
      <c r="Q267" s="178"/>
      <c r="R267" s="6">
        <f>IF((PA[[#This Row],[String Type(If String BD)]]&amp;PA[[#This Row],[Equipment (If any BD other than PV  array and inv)]])="",1,0)</f>
        <v>0</v>
      </c>
      <c r="S267" s="6">
        <f>IF(PA[[#This Row],[String Type(If String BD)]]="",1,0)</f>
        <v>0</v>
      </c>
      <c r="T2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7" s="68">
        <f>IFERROR(VLOOKUP(PA[[#This Row],[Affected Equipment ]],'Basic Data '!$A$1:$B$1846,2,0),"")</f>
        <v>15.66</v>
      </c>
      <c r="V267" s="143">
        <f>IFERROR(VLOOKUP(PA[[#This Row],[Affected Equipment ]],'Basic Data '!$A$1:$C$1846,3,0),"")</f>
        <v>4.6733573865009801E-5</v>
      </c>
      <c r="W267" s="178" t="s">
        <v>451</v>
      </c>
      <c r="X267" s="110" t="s">
        <v>491</v>
      </c>
      <c r="Y267" s="110" t="s">
        <v>491</v>
      </c>
      <c r="Z267" s="109">
        <v>0.54166666666666663</v>
      </c>
      <c r="AA267" s="109">
        <v>0.54166666666666663</v>
      </c>
      <c r="AB267" s="109">
        <v>0.54166666666666663</v>
      </c>
      <c r="AC267" s="109">
        <v>0.55208333333333337</v>
      </c>
      <c r="AD267" s="82">
        <f>IF(PA[[#This Row],[Acknowledgement Time ]]="NA","",(PA[[#This Row],[Acknowledgement Time ]]-PA[[#This Row],[Fault Time]])*24)</f>
        <v>0</v>
      </c>
      <c r="AE267" s="82">
        <f>IF(PA[[#This Row],[Work Start time on Fault]]="NA","",(PA[[#This Row],[Work Start time on Fault]]-PA[[#This Row],[Fault Time]])*24)</f>
        <v>0</v>
      </c>
      <c r="AF267" s="111">
        <f>IF(PA[[#This Row],[Status]]="Open","",(PA[[#This Row],[Work Completion time on fault]]-PA[[#This Row],[Fault Time]])*24)</f>
        <v>0.25000000000000178</v>
      </c>
      <c r="AG267" s="82">
        <f>IFERROR((PA[[#This Row],[Work Completion time on fault]]-PA[[#This Row],[Fault Time]])*24,"")</f>
        <v>0.25000000000000178</v>
      </c>
      <c r="AH267" s="110" t="s">
        <v>491</v>
      </c>
      <c r="AI267" s="178" t="s">
        <v>422</v>
      </c>
      <c r="AJ267" s="68">
        <f>IFERROR(PA[[#This Row],[Breakdown Time]]*PA[[#This Row],[Plant Equivalent Weightage]],"")</f>
        <v>1.1683393466252533E-5</v>
      </c>
      <c r="AK267" s="117">
        <v>0.26516666666666666</v>
      </c>
      <c r="AL267" s="116">
        <f>IF(PA[[#This Row],[Lost PoA(Wh/m2)]]&gt;0,_xlfn.XLOOKUP($B267,'Daily KPI'!$A:$A,'Daily KPI'!$AE:$AE)*PA[[#This Row],[Lost PoA(Wh/m2)]]*U267,0)</f>
        <v>3.4461368288706553</v>
      </c>
      <c r="AM267" s="176" t="s">
        <v>2586</v>
      </c>
    </row>
    <row r="268" spans="1:39" ht="14" customHeight="1">
      <c r="A268" s="177">
        <f t="shared" si="5"/>
        <v>265</v>
      </c>
      <c r="B268" s="185">
        <v>45815</v>
      </c>
      <c r="C268" s="178" t="s">
        <v>477</v>
      </c>
      <c r="D268" s="6">
        <f>YEAR(PA[[#This Row],[Date]])</f>
        <v>2025</v>
      </c>
      <c r="E268" s="178" t="s">
        <v>361</v>
      </c>
      <c r="F268" s="178" t="s">
        <v>361</v>
      </c>
      <c r="G268" s="179">
        <v>45809</v>
      </c>
      <c r="H268" s="176">
        <f>DAY(EOMONTH(PA[[#This Row],[Month Year]],0))</f>
        <v>30</v>
      </c>
      <c r="I268" s="180">
        <f>VLOOKUP(PA[[#This Row],[Date]],Raw_Data[#All],9,0)</f>
        <v>0.2590277777777778</v>
      </c>
      <c r="J268" s="180">
        <f>VLOOKUP(PA[[#This Row],[Date]],Raw_Data[#All],10,0)</f>
        <v>0.8125</v>
      </c>
      <c r="K268" s="68">
        <f>IFERROR((PA[[#This Row],[Sunset Time (POA&lt;20 W/m2)]]-PA[[#This Row],[Sunrise Time (POA&gt;20 W/m2)]])*24,"")</f>
        <v>13.283333333333331</v>
      </c>
      <c r="L268" s="178" t="s">
        <v>419</v>
      </c>
      <c r="M268" s="178" t="s">
        <v>408</v>
      </c>
      <c r="N268" s="178" t="s">
        <v>402</v>
      </c>
      <c r="O268" s="178" t="s">
        <v>412</v>
      </c>
      <c r="P268" s="178" t="s">
        <v>465</v>
      </c>
      <c r="Q268" s="178"/>
      <c r="R268" s="6">
        <f>IF((PA[[#This Row],[String Type(If String BD)]]&amp;PA[[#This Row],[Equipment (If any BD other than PV  array and inv)]])="",1,0)</f>
        <v>0</v>
      </c>
      <c r="S268" s="6">
        <f>IF(PA[[#This Row],[String Type(If String BD)]]="",1,0)</f>
        <v>0</v>
      </c>
      <c r="T2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68" s="68">
        <f>IFERROR(VLOOKUP(PA[[#This Row],[Affected Equipment ]],'Basic Data '!$A$1:$B$1846,2,0),"")</f>
        <v>15.515000000000001</v>
      </c>
      <c r="V268" s="143">
        <f>IFERROR(VLOOKUP(PA[[#This Row],[Affected Equipment ]],'Basic Data '!$A$1:$C$1846,3,0),"")</f>
        <v>4.6300855588481933E-5</v>
      </c>
      <c r="W268" s="178" t="s">
        <v>451</v>
      </c>
      <c r="X268" s="110" t="s">
        <v>491</v>
      </c>
      <c r="Y268" s="110" t="s">
        <v>491</v>
      </c>
      <c r="Z268" s="109">
        <v>0.5625</v>
      </c>
      <c r="AA268" s="109">
        <v>0.5625</v>
      </c>
      <c r="AB268" s="109">
        <v>0.5625</v>
      </c>
      <c r="AC268" s="109">
        <v>0.57291666666666663</v>
      </c>
      <c r="AD268" s="82">
        <f>IF(PA[[#This Row],[Acknowledgement Time ]]="NA","",(PA[[#This Row],[Acknowledgement Time ]]-PA[[#This Row],[Fault Time]])*24)</f>
        <v>0</v>
      </c>
      <c r="AE268" s="82">
        <f>IF(PA[[#This Row],[Work Start time on Fault]]="NA","",(PA[[#This Row],[Work Start time on Fault]]-PA[[#This Row],[Fault Time]])*24)</f>
        <v>0</v>
      </c>
      <c r="AF268" s="111">
        <f>IF(PA[[#This Row],[Status]]="Open","",(PA[[#This Row],[Work Completion time on fault]]-PA[[#This Row],[Fault Time]])*24)</f>
        <v>0.24999999999999911</v>
      </c>
      <c r="AG268" s="82">
        <f>IFERROR((PA[[#This Row],[Work Completion time on fault]]-PA[[#This Row],[Fault Time]])*24,"")</f>
        <v>0.24999999999999911</v>
      </c>
      <c r="AH268" s="110" t="s">
        <v>491</v>
      </c>
      <c r="AI268" s="178" t="s">
        <v>422</v>
      </c>
      <c r="AJ268" s="68">
        <f>IFERROR(PA[[#This Row],[Breakdown Time]]*PA[[#This Row],[Plant Equivalent Weightage]],"")</f>
        <v>1.1575213897120443E-5</v>
      </c>
      <c r="AK268" s="117">
        <v>0.26071666666666665</v>
      </c>
      <c r="AL268" s="116">
        <f>IF(PA[[#This Row],[Lost PoA(Wh/m2)]]&gt;0,_xlfn.XLOOKUP($B268,'Daily KPI'!$A:$A,'Daily KPI'!$AE:$AE)*PA[[#This Row],[Lost PoA(Wh/m2)]]*U268,0)</f>
        <v>3.3569309252860604</v>
      </c>
      <c r="AM268" s="176" t="s">
        <v>2586</v>
      </c>
    </row>
    <row r="269" spans="1:39" ht="14" customHeight="1">
      <c r="A269" s="177">
        <f t="shared" si="5"/>
        <v>266</v>
      </c>
      <c r="B269" s="185">
        <v>45816</v>
      </c>
      <c r="C269" s="178" t="s">
        <v>477</v>
      </c>
      <c r="D269" s="6">
        <f>YEAR(PA[[#This Row],[Date]])</f>
        <v>2025</v>
      </c>
      <c r="E269" s="178" t="s">
        <v>361</v>
      </c>
      <c r="F269" s="178" t="s">
        <v>361</v>
      </c>
      <c r="G269" s="179">
        <v>45809</v>
      </c>
      <c r="H269" s="176">
        <f>DAY(EOMONTH(PA[[#This Row],[Month Year]],0))</f>
        <v>30</v>
      </c>
      <c r="I269" s="180">
        <f>VLOOKUP(PA[[#This Row],[Date]],Raw_Data[#All],9,0)</f>
        <v>0.26041666666666669</v>
      </c>
      <c r="J269" s="180">
        <f>VLOOKUP(PA[[#This Row],[Date]],Raw_Data[#All],10,0)</f>
        <v>0.8125</v>
      </c>
      <c r="K269" s="68">
        <f>IFERROR((PA[[#This Row],[Sunset Time (POA&lt;20 W/m2)]]-PA[[#This Row],[Sunrise Time (POA&gt;20 W/m2)]])*24,"")</f>
        <v>13.249999999999998</v>
      </c>
      <c r="L269" s="178" t="s">
        <v>437</v>
      </c>
      <c r="M269" s="178" t="s">
        <v>414</v>
      </c>
      <c r="N269" s="178" t="s">
        <v>395</v>
      </c>
      <c r="O269" s="178" t="s">
        <v>406</v>
      </c>
      <c r="P269" s="178" t="s">
        <v>424</v>
      </c>
      <c r="Q269" s="178"/>
      <c r="R269" s="6">
        <f>IF((PA[[#This Row],[String Type(If String BD)]]&amp;PA[[#This Row],[Equipment (If any BD other than PV  array and inv)]])="",1,0)</f>
        <v>0</v>
      </c>
      <c r="S269" s="6">
        <f>IF(PA[[#This Row],[String Type(If String BD)]]="",1,0)</f>
        <v>0</v>
      </c>
      <c r="T2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9" s="68">
        <f>IFERROR(VLOOKUP(PA[[#This Row],[Affected Equipment ]],'Basic Data '!$A$1:$B$1846,2,0),"")</f>
        <v>12.904999999999999</v>
      </c>
      <c r="V269" s="143">
        <f>IFERROR(VLOOKUP(PA[[#This Row],[Affected Equipment ]],'Basic Data '!$A$1:$C$1846,3,0),"")</f>
        <v>3.8511926610980299E-5</v>
      </c>
      <c r="W269" s="178" t="s">
        <v>451</v>
      </c>
      <c r="X269" s="110" t="s">
        <v>491</v>
      </c>
      <c r="Y269" s="110" t="s">
        <v>491</v>
      </c>
      <c r="Z269" s="109">
        <v>0.43819444444444444</v>
      </c>
      <c r="AA269" s="109">
        <v>0.43819444444444444</v>
      </c>
      <c r="AB269" s="109">
        <v>0.43819444444444444</v>
      </c>
      <c r="AC269" s="109">
        <v>0.44791666666666669</v>
      </c>
      <c r="AD269" s="82">
        <f>IF(PA[[#This Row],[Acknowledgement Time ]]="NA","",(PA[[#This Row],[Acknowledgement Time ]]-PA[[#This Row],[Fault Time]])*24)</f>
        <v>0</v>
      </c>
      <c r="AE269" s="82">
        <f>IF(PA[[#This Row],[Work Start time on Fault]]="NA","",(PA[[#This Row],[Work Start time on Fault]]-PA[[#This Row],[Fault Time]])*24)</f>
        <v>0</v>
      </c>
      <c r="AF269" s="111">
        <f>IF(PA[[#This Row],[Status]]="Open","",(PA[[#This Row],[Work Completion time on fault]]-PA[[#This Row],[Fault Time]])*24)</f>
        <v>0.23333333333333384</v>
      </c>
      <c r="AG269" s="82">
        <f>IFERROR((PA[[#This Row],[Work Completion time on fault]]-PA[[#This Row],[Fault Time]])*24,"")</f>
        <v>0.23333333333333384</v>
      </c>
      <c r="AH269" s="110" t="s">
        <v>491</v>
      </c>
      <c r="AI269" s="178" t="s">
        <v>422</v>
      </c>
      <c r="AJ269" s="68">
        <f>IFERROR(PA[[#This Row],[Breakdown Time]]*PA[[#This Row],[Plant Equivalent Weightage]],"")</f>
        <v>8.9861162092287566E-6</v>
      </c>
      <c r="AK269" s="117">
        <v>0.21296666666666667</v>
      </c>
      <c r="AL269" s="116">
        <f>IF(PA[[#This Row],[Lost PoA(Wh/m2)]]&gt;0,_xlfn.XLOOKUP($B269,'Daily KPI'!$A:$A,'Daily KPI'!$AE:$AE)*PA[[#This Row],[Lost PoA(Wh/m2)]]*U269,0)</f>
        <v>2.2808224151701246</v>
      </c>
      <c r="AM269" s="176" t="s">
        <v>2589</v>
      </c>
    </row>
    <row r="270" spans="1:39" ht="14" customHeight="1">
      <c r="A270" s="177">
        <f t="shared" si="5"/>
        <v>267</v>
      </c>
      <c r="B270" s="185">
        <v>45816</v>
      </c>
      <c r="C270" s="178" t="s">
        <v>477</v>
      </c>
      <c r="D270" s="6">
        <f>YEAR(PA[[#This Row],[Date]])</f>
        <v>2025</v>
      </c>
      <c r="E270" s="178" t="s">
        <v>361</v>
      </c>
      <c r="F270" s="178" t="s">
        <v>361</v>
      </c>
      <c r="G270" s="179">
        <v>45809</v>
      </c>
      <c r="H270" s="176">
        <f>DAY(EOMONTH(PA[[#This Row],[Month Year]],0))</f>
        <v>30</v>
      </c>
      <c r="I270" s="180">
        <f>VLOOKUP(PA[[#This Row],[Date]],Raw_Data[#All],9,0)</f>
        <v>0.26041666666666669</v>
      </c>
      <c r="J270" s="180">
        <f>VLOOKUP(PA[[#This Row],[Date]],Raw_Data[#All],10,0)</f>
        <v>0.8125</v>
      </c>
      <c r="K270" s="68">
        <f>IFERROR((PA[[#This Row],[Sunset Time (POA&lt;20 W/m2)]]-PA[[#This Row],[Sunrise Time (POA&gt;20 W/m2)]])*24,"")</f>
        <v>13.249999999999998</v>
      </c>
      <c r="L270" s="178" t="s">
        <v>438</v>
      </c>
      <c r="M270" s="178" t="s">
        <v>414</v>
      </c>
      <c r="N270" s="178" t="s">
        <v>402</v>
      </c>
      <c r="O270" s="178" t="s">
        <v>406</v>
      </c>
      <c r="P270" s="178" t="s">
        <v>424</v>
      </c>
      <c r="Q270" s="178"/>
      <c r="R270" s="6">
        <f>IF((PA[[#This Row],[String Type(If String BD)]]&amp;PA[[#This Row],[Equipment (If any BD other than PV  array and inv)]])="",1,0)</f>
        <v>0</v>
      </c>
      <c r="S270" s="6">
        <f>IF(PA[[#This Row],[String Type(If String BD)]]="",1,0)</f>
        <v>0</v>
      </c>
      <c r="T2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0" s="68">
        <f>IFERROR(VLOOKUP(PA[[#This Row],[Affected Equipment ]],'Basic Data '!$A$1:$B$1846,2,0),"")</f>
        <v>12.904999999999999</v>
      </c>
      <c r="V270" s="143">
        <f>IFERROR(VLOOKUP(PA[[#This Row],[Affected Equipment ]],'Basic Data '!$A$1:$C$1846,3,0),"")</f>
        <v>3.8511926610980299E-5</v>
      </c>
      <c r="W270" s="178" t="s">
        <v>451</v>
      </c>
      <c r="X270" s="110" t="s">
        <v>491</v>
      </c>
      <c r="Y270" s="110" t="s">
        <v>491</v>
      </c>
      <c r="Z270" s="109">
        <v>0.4597222222222222</v>
      </c>
      <c r="AA270" s="109">
        <v>0.4597222222222222</v>
      </c>
      <c r="AB270" s="109">
        <v>0.4597222222222222</v>
      </c>
      <c r="AC270" s="109">
        <v>0.46875</v>
      </c>
      <c r="AD270" s="82">
        <f>IF(PA[[#This Row],[Acknowledgement Time ]]="NA","",(PA[[#This Row],[Acknowledgement Time ]]-PA[[#This Row],[Fault Time]])*24)</f>
        <v>0</v>
      </c>
      <c r="AE270" s="82">
        <f>IF(PA[[#This Row],[Work Start time on Fault]]="NA","",(PA[[#This Row],[Work Start time on Fault]]-PA[[#This Row],[Fault Time]])*24)</f>
        <v>0</v>
      </c>
      <c r="AF270" s="111">
        <f>IF(PA[[#This Row],[Status]]="Open","",(PA[[#This Row],[Work Completion time on fault]]-PA[[#This Row],[Fault Time]])*24)</f>
        <v>0.21666666666666723</v>
      </c>
      <c r="AG270" s="82">
        <f>IFERROR((PA[[#This Row],[Work Completion time on fault]]-PA[[#This Row],[Fault Time]])*24,"")</f>
        <v>0.21666666666666723</v>
      </c>
      <c r="AH270" s="110" t="s">
        <v>491</v>
      </c>
      <c r="AI270" s="178" t="s">
        <v>422</v>
      </c>
      <c r="AJ270" s="68">
        <f>IFERROR(PA[[#This Row],[Breakdown Time]]*PA[[#This Row],[Plant Equivalent Weightage]],"")</f>
        <v>8.3442507657124198E-6</v>
      </c>
      <c r="AK270" s="117">
        <v>0.21248333333333333</v>
      </c>
      <c r="AL270" s="116">
        <f>IF(PA[[#This Row],[Lost PoA(Wh/m2)]]&gt;0,_xlfn.XLOOKUP($B270,'Daily KPI'!$A:$A,'Daily KPI'!$AE:$AE)*PA[[#This Row],[Lost PoA(Wh/m2)]]*U270,0)</f>
        <v>2.2756460299736987</v>
      </c>
      <c r="AM270" s="176" t="s">
        <v>2589</v>
      </c>
    </row>
    <row r="271" spans="1:39" ht="14" customHeight="1">
      <c r="A271" s="177">
        <f t="shared" si="5"/>
        <v>268</v>
      </c>
      <c r="B271" s="185">
        <v>45816</v>
      </c>
      <c r="C271" s="178" t="s">
        <v>477</v>
      </c>
      <c r="D271" s="6">
        <f>YEAR(PA[[#This Row],[Date]])</f>
        <v>2025</v>
      </c>
      <c r="E271" s="178" t="s">
        <v>361</v>
      </c>
      <c r="F271" s="178" t="s">
        <v>361</v>
      </c>
      <c r="G271" s="179">
        <v>45809</v>
      </c>
      <c r="H271" s="176">
        <f>DAY(EOMONTH(PA[[#This Row],[Month Year]],0))</f>
        <v>30</v>
      </c>
      <c r="I271" s="180">
        <f>VLOOKUP(PA[[#This Row],[Date]],Raw_Data[#All],9,0)</f>
        <v>0.26041666666666669</v>
      </c>
      <c r="J271" s="180">
        <f>VLOOKUP(PA[[#This Row],[Date]],Raw_Data[#All],10,0)</f>
        <v>0.8125</v>
      </c>
      <c r="K271" s="68">
        <f>IFERROR((PA[[#This Row],[Sunset Time (POA&lt;20 W/m2)]]-PA[[#This Row],[Sunrise Time (POA&gt;20 W/m2)]])*24,"")</f>
        <v>13.249999999999998</v>
      </c>
      <c r="L271" s="178" t="s">
        <v>416</v>
      </c>
      <c r="M271" s="178" t="s">
        <v>394</v>
      </c>
      <c r="N271" s="178" t="s">
        <v>395</v>
      </c>
      <c r="O271" s="178" t="s">
        <v>413</v>
      </c>
      <c r="P271" s="178" t="s">
        <v>458</v>
      </c>
      <c r="Q271" s="178"/>
      <c r="R271" s="6">
        <f>IF((PA[[#This Row],[String Type(If String BD)]]&amp;PA[[#This Row],[Equipment (If any BD other than PV  array and inv)]])="",1,0)</f>
        <v>0</v>
      </c>
      <c r="S271" s="6">
        <f>IF(PA[[#This Row],[String Type(If String BD)]]="",1,0)</f>
        <v>0</v>
      </c>
      <c r="T2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1" s="68">
        <f>IFERROR(VLOOKUP(PA[[#This Row],[Affected Equipment ]],'Basic Data '!$A$1:$B$1846,2,0),"")</f>
        <v>15.805</v>
      </c>
      <c r="V271" s="143">
        <f>IFERROR(VLOOKUP(PA[[#This Row],[Affected Equipment ]],'Basic Data '!$A$1:$C$1846,3,0),"")</f>
        <v>4.7166292141537668E-5</v>
      </c>
      <c r="W271" s="178" t="s">
        <v>451</v>
      </c>
      <c r="X271" s="110" t="s">
        <v>491</v>
      </c>
      <c r="Y271" s="110" t="s">
        <v>491</v>
      </c>
      <c r="Z271" s="109">
        <v>0.47986111111111113</v>
      </c>
      <c r="AA271" s="109">
        <v>0.47986111111111113</v>
      </c>
      <c r="AB271" s="109">
        <v>0.47986111111111113</v>
      </c>
      <c r="AC271" s="109">
        <v>0.48958333333333331</v>
      </c>
      <c r="AD271" s="82">
        <f>IF(PA[[#This Row],[Acknowledgement Time ]]="NA","",(PA[[#This Row],[Acknowledgement Time ]]-PA[[#This Row],[Fault Time]])*24)</f>
        <v>0</v>
      </c>
      <c r="AE271" s="82">
        <f>IF(PA[[#This Row],[Work Start time on Fault]]="NA","",(PA[[#This Row],[Work Start time on Fault]]-PA[[#This Row],[Fault Time]])*24)</f>
        <v>0</v>
      </c>
      <c r="AF271" s="111">
        <f>IF(PA[[#This Row],[Status]]="Open","",(PA[[#This Row],[Work Completion time on fault]]-PA[[#This Row],[Fault Time]])*24)</f>
        <v>0.2333333333333325</v>
      </c>
      <c r="AG271" s="82">
        <f>IFERROR((PA[[#This Row],[Work Completion time on fault]]-PA[[#This Row],[Fault Time]])*24,"")</f>
        <v>0.2333333333333325</v>
      </c>
      <c r="AH271" s="110" t="s">
        <v>491</v>
      </c>
      <c r="AI271" s="178" t="s">
        <v>422</v>
      </c>
      <c r="AJ271" s="68">
        <f>IFERROR(PA[[#This Row],[Breakdown Time]]*PA[[#This Row],[Plant Equivalent Weightage]],"")</f>
        <v>1.100546816635875E-5</v>
      </c>
      <c r="AK271" s="117">
        <v>0.23810000000000001</v>
      </c>
      <c r="AL271" s="116">
        <f>IF(PA[[#This Row],[Lost PoA(Wh/m2)]]&gt;0,_xlfn.XLOOKUP($B271,'Daily KPI'!$A:$A,'Daily KPI'!$AE:$AE)*PA[[#This Row],[Lost PoA(Wh/m2)]]*U271,0)</f>
        <v>3.1230269050212036</v>
      </c>
      <c r="AM271" s="176" t="s">
        <v>2589</v>
      </c>
    </row>
    <row r="272" spans="1:39" ht="14" customHeight="1">
      <c r="A272" s="177">
        <f t="shared" si="5"/>
        <v>269</v>
      </c>
      <c r="B272" s="185">
        <v>45816</v>
      </c>
      <c r="C272" s="178" t="s">
        <v>477</v>
      </c>
      <c r="D272" s="6">
        <f>YEAR(PA[[#This Row],[Date]])</f>
        <v>2025</v>
      </c>
      <c r="E272" s="178" t="s">
        <v>361</v>
      </c>
      <c r="F272" s="178" t="s">
        <v>361</v>
      </c>
      <c r="G272" s="179">
        <v>45809</v>
      </c>
      <c r="H272" s="176">
        <f>DAY(EOMONTH(PA[[#This Row],[Month Year]],0))</f>
        <v>30</v>
      </c>
      <c r="I272" s="180">
        <f>VLOOKUP(PA[[#This Row],[Date]],Raw_Data[#All],9,0)</f>
        <v>0.26041666666666669</v>
      </c>
      <c r="J272" s="180">
        <f>VLOOKUP(PA[[#This Row],[Date]],Raw_Data[#All],10,0)</f>
        <v>0.8125</v>
      </c>
      <c r="K272" s="68">
        <f>IFERROR((PA[[#This Row],[Sunset Time (POA&lt;20 W/m2)]]-PA[[#This Row],[Sunrise Time (POA&gt;20 W/m2)]])*24,"")</f>
        <v>13.249999999999998</v>
      </c>
      <c r="L272" s="178" t="s">
        <v>447</v>
      </c>
      <c r="M272" s="178" t="s">
        <v>394</v>
      </c>
      <c r="N272" s="178" t="s">
        <v>395</v>
      </c>
      <c r="O272" s="178" t="s">
        <v>413</v>
      </c>
      <c r="P272" s="178" t="s">
        <v>429</v>
      </c>
      <c r="Q272" s="178"/>
      <c r="R272" s="6">
        <f>IF((PA[[#This Row],[String Type(If String BD)]]&amp;PA[[#This Row],[Equipment (If any BD other than PV  array and inv)]])="",1,0)</f>
        <v>0</v>
      </c>
      <c r="S272" s="6">
        <f>IF(PA[[#This Row],[String Type(If String BD)]]="",1,0)</f>
        <v>0</v>
      </c>
      <c r="T2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2" s="68">
        <f>IFERROR(VLOOKUP(PA[[#This Row],[Affected Equipment ]],'Basic Data '!$A$1:$B$1846,2,0),"")</f>
        <v>15.66</v>
      </c>
      <c r="V272" s="143">
        <f>IFERROR(VLOOKUP(PA[[#This Row],[Affected Equipment ]],'Basic Data '!$A$1:$C$1846,3,0),"")</f>
        <v>4.6733573865009801E-5</v>
      </c>
      <c r="W272" s="178" t="s">
        <v>451</v>
      </c>
      <c r="X272" s="110" t="s">
        <v>491</v>
      </c>
      <c r="Y272" s="110" t="s">
        <v>491</v>
      </c>
      <c r="Z272" s="109">
        <v>0.5</v>
      </c>
      <c r="AA272" s="109">
        <v>0.5</v>
      </c>
      <c r="AB272" s="109">
        <v>0.5</v>
      </c>
      <c r="AC272" s="109">
        <v>0.51041666666666663</v>
      </c>
      <c r="AD272" s="82">
        <f>IF(PA[[#This Row],[Acknowledgement Time ]]="NA","",(PA[[#This Row],[Acknowledgement Time ]]-PA[[#This Row],[Fault Time]])*24)</f>
        <v>0</v>
      </c>
      <c r="AE272" s="82">
        <f>IF(PA[[#This Row],[Work Start time on Fault]]="NA","",(PA[[#This Row],[Work Start time on Fault]]-PA[[#This Row],[Fault Time]])*24)</f>
        <v>0</v>
      </c>
      <c r="AF272" s="111">
        <f>IF(PA[[#This Row],[Status]]="Open","",(PA[[#This Row],[Work Completion time on fault]]-PA[[#This Row],[Fault Time]])*24)</f>
        <v>0.24999999999999911</v>
      </c>
      <c r="AG272" s="82">
        <f>IFERROR((PA[[#This Row],[Work Completion time on fault]]-PA[[#This Row],[Fault Time]])*24,"")</f>
        <v>0.24999999999999911</v>
      </c>
      <c r="AH272" s="110" t="s">
        <v>491</v>
      </c>
      <c r="AI272" s="178" t="s">
        <v>422</v>
      </c>
      <c r="AJ272" s="68">
        <f>IFERROR(PA[[#This Row],[Breakdown Time]]*PA[[#This Row],[Plant Equivalent Weightage]],"")</f>
        <v>1.1683393466252408E-5</v>
      </c>
      <c r="AK272" s="117">
        <v>0.24873333333333333</v>
      </c>
      <c r="AL272" s="116">
        <f>IF(PA[[#This Row],[Lost PoA(Wh/m2)]]&gt;0,_xlfn.XLOOKUP($B272,'Daily KPI'!$A:$A,'Daily KPI'!$AE:$AE)*PA[[#This Row],[Lost PoA(Wh/m2)]]*U272,0)</f>
        <v>3.2325673182945107</v>
      </c>
      <c r="AM272" s="176" t="s">
        <v>2589</v>
      </c>
    </row>
    <row r="273" spans="1:39" ht="14" customHeight="1">
      <c r="A273" s="177">
        <f t="shared" si="5"/>
        <v>270</v>
      </c>
      <c r="B273" s="185">
        <v>45816</v>
      </c>
      <c r="C273" s="178" t="s">
        <v>477</v>
      </c>
      <c r="D273" s="6">
        <f>YEAR(PA[[#This Row],[Date]])</f>
        <v>2025</v>
      </c>
      <c r="E273" s="178" t="s">
        <v>361</v>
      </c>
      <c r="F273" s="178" t="s">
        <v>361</v>
      </c>
      <c r="G273" s="179">
        <v>45809</v>
      </c>
      <c r="H273" s="176">
        <f>DAY(EOMONTH(PA[[#This Row],[Month Year]],0))</f>
        <v>30</v>
      </c>
      <c r="I273" s="180">
        <f>VLOOKUP(PA[[#This Row],[Date]],Raw_Data[#All],9,0)</f>
        <v>0.26041666666666669</v>
      </c>
      <c r="J273" s="180">
        <f>VLOOKUP(PA[[#This Row],[Date]],Raw_Data[#All],10,0)</f>
        <v>0.8125</v>
      </c>
      <c r="K273" s="68">
        <f>IFERROR((PA[[#This Row],[Sunset Time (POA&lt;20 W/m2)]]-PA[[#This Row],[Sunrise Time (POA&gt;20 W/m2)]])*24,"")</f>
        <v>13.249999999999998</v>
      </c>
      <c r="L273" s="178" t="s">
        <v>446</v>
      </c>
      <c r="M273" s="178" t="s">
        <v>414</v>
      </c>
      <c r="N273" s="178" t="s">
        <v>402</v>
      </c>
      <c r="O273" s="178" t="s">
        <v>396</v>
      </c>
      <c r="P273" s="178" t="s">
        <v>429</v>
      </c>
      <c r="Q273" s="178"/>
      <c r="R273" s="6">
        <f>IF((PA[[#This Row],[String Type(If String BD)]]&amp;PA[[#This Row],[Equipment (If any BD other than PV  array and inv)]])="",1,0)</f>
        <v>0</v>
      </c>
      <c r="S273" s="6">
        <f>IF(PA[[#This Row],[String Type(If String BD)]]="",1,0)</f>
        <v>0</v>
      </c>
      <c r="T2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3" s="68">
        <f>IFERROR(VLOOKUP(PA[[#This Row],[Affected Equipment ]],'Basic Data '!$A$1:$B$1846,2,0),"")</f>
        <v>15.66</v>
      </c>
      <c r="V273" s="143">
        <f>IFERROR(VLOOKUP(PA[[#This Row],[Affected Equipment ]],'Basic Data '!$A$1:$C$1846,3,0),"")</f>
        <v>4.6733573865009801E-5</v>
      </c>
      <c r="W273" s="178" t="s">
        <v>451</v>
      </c>
      <c r="X273" s="110" t="s">
        <v>491</v>
      </c>
      <c r="Y273" s="110" t="s">
        <v>491</v>
      </c>
      <c r="Z273" s="109">
        <v>0.52083333333333337</v>
      </c>
      <c r="AA273" s="109">
        <v>0.52083333333333337</v>
      </c>
      <c r="AB273" s="109">
        <v>0.52083333333333337</v>
      </c>
      <c r="AC273" s="109">
        <v>0.53125</v>
      </c>
      <c r="AD273" s="82">
        <f>IF(PA[[#This Row],[Acknowledgement Time ]]="NA","",(PA[[#This Row],[Acknowledgement Time ]]-PA[[#This Row],[Fault Time]])*24)</f>
        <v>0</v>
      </c>
      <c r="AE273" s="82">
        <f>IF(PA[[#This Row],[Work Start time on Fault]]="NA","",(PA[[#This Row],[Work Start time on Fault]]-PA[[#This Row],[Fault Time]])*24)</f>
        <v>0</v>
      </c>
      <c r="AF273" s="111">
        <f>IF(PA[[#This Row],[Status]]="Open","",(PA[[#This Row],[Work Completion time on fault]]-PA[[#This Row],[Fault Time]])*24)</f>
        <v>0.24999999999999911</v>
      </c>
      <c r="AG273" s="82">
        <f>IFERROR((PA[[#This Row],[Work Completion time on fault]]-PA[[#This Row],[Fault Time]])*24,"")</f>
        <v>0.24999999999999911</v>
      </c>
      <c r="AH273" s="110" t="s">
        <v>491</v>
      </c>
      <c r="AI273" s="178" t="s">
        <v>422</v>
      </c>
      <c r="AJ273" s="68">
        <f>IFERROR(PA[[#This Row],[Breakdown Time]]*PA[[#This Row],[Plant Equivalent Weightage]],"")</f>
        <v>1.1683393466252408E-5</v>
      </c>
      <c r="AK273" s="117">
        <v>0.25043333333333334</v>
      </c>
      <c r="AL273" s="116">
        <f>IF(PA[[#This Row],[Lost PoA(Wh/m2)]]&gt;0,_xlfn.XLOOKUP($B273,'Daily KPI'!$A:$A,'Daily KPI'!$AE:$AE)*PA[[#This Row],[Lost PoA(Wh/m2)]]*U273,0)</f>
        <v>3.2546607159403185</v>
      </c>
      <c r="AM273" s="176" t="s">
        <v>2589</v>
      </c>
    </row>
    <row r="274" spans="1:39" ht="14" customHeight="1">
      <c r="A274" s="177">
        <f t="shared" si="5"/>
        <v>271</v>
      </c>
      <c r="B274" s="185">
        <v>45816</v>
      </c>
      <c r="C274" s="178" t="s">
        <v>477</v>
      </c>
      <c r="D274" s="6">
        <f>YEAR(PA[[#This Row],[Date]])</f>
        <v>2025</v>
      </c>
      <c r="E274" s="178" t="s">
        <v>361</v>
      </c>
      <c r="F274" s="178" t="s">
        <v>361</v>
      </c>
      <c r="G274" s="179">
        <v>45809</v>
      </c>
      <c r="H274" s="176">
        <f>DAY(EOMONTH(PA[[#This Row],[Month Year]],0))</f>
        <v>30</v>
      </c>
      <c r="I274" s="180">
        <f>VLOOKUP(PA[[#This Row],[Date]],Raw_Data[#All],9,0)</f>
        <v>0.26041666666666669</v>
      </c>
      <c r="J274" s="180">
        <f>VLOOKUP(PA[[#This Row],[Date]],Raw_Data[#All],10,0)</f>
        <v>0.8125</v>
      </c>
      <c r="K274" s="68">
        <f>IFERROR((PA[[#This Row],[Sunset Time (POA&lt;20 W/m2)]]-PA[[#This Row],[Sunrise Time (POA&gt;20 W/m2)]])*24,"")</f>
        <v>13.249999999999998</v>
      </c>
      <c r="L274" s="178" t="s">
        <v>405</v>
      </c>
      <c r="M274" s="178" t="s">
        <v>401</v>
      </c>
      <c r="N274" s="178" t="s">
        <v>402</v>
      </c>
      <c r="O274" s="178" t="s">
        <v>406</v>
      </c>
      <c r="P274" s="178" t="s">
        <v>429</v>
      </c>
      <c r="Q274" s="178"/>
      <c r="R274" s="6">
        <f>IF((PA[[#This Row],[String Type(If String BD)]]&amp;PA[[#This Row],[Equipment (If any BD other than PV  array and inv)]])="",1,0)</f>
        <v>0</v>
      </c>
      <c r="S274" s="6">
        <f>IF(PA[[#This Row],[String Type(If String BD)]]="",1,0)</f>
        <v>0</v>
      </c>
      <c r="T2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4" s="68">
        <f>IFERROR(VLOOKUP(PA[[#This Row],[Affected Equipment ]],'Basic Data '!$A$1:$B$1846,2,0),"")</f>
        <v>15.66</v>
      </c>
      <c r="V274" s="143">
        <f>IFERROR(VLOOKUP(PA[[#This Row],[Affected Equipment ]],'Basic Data '!$A$1:$C$1846,3,0),"")</f>
        <v>4.6733573865009801E-5</v>
      </c>
      <c r="W274" s="178" t="s">
        <v>451</v>
      </c>
      <c r="X274" s="110" t="s">
        <v>491</v>
      </c>
      <c r="Y274" s="110" t="s">
        <v>491</v>
      </c>
      <c r="Z274" s="109">
        <v>0.54236111111111107</v>
      </c>
      <c r="AA274" s="109">
        <v>0.54236111111111107</v>
      </c>
      <c r="AB274" s="109">
        <v>0.54236111111111107</v>
      </c>
      <c r="AC274" s="109">
        <v>0.55208333333333337</v>
      </c>
      <c r="AD274" s="82">
        <f>IF(PA[[#This Row],[Acknowledgement Time ]]="NA","",(PA[[#This Row],[Acknowledgement Time ]]-PA[[#This Row],[Fault Time]])*24)</f>
        <v>0</v>
      </c>
      <c r="AE274" s="82">
        <f>IF(PA[[#This Row],[Work Start time on Fault]]="NA","",(PA[[#This Row],[Work Start time on Fault]]-PA[[#This Row],[Fault Time]])*24)</f>
        <v>0</v>
      </c>
      <c r="AF274" s="111">
        <f>IF(PA[[#This Row],[Status]]="Open","",(PA[[#This Row],[Work Completion time on fault]]-PA[[#This Row],[Fault Time]])*24)</f>
        <v>0.23333333333333517</v>
      </c>
      <c r="AG274" s="82">
        <f>IFERROR((PA[[#This Row],[Work Completion time on fault]]-PA[[#This Row],[Fault Time]])*24,"")</f>
        <v>0.23333333333333517</v>
      </c>
      <c r="AH274" s="110" t="s">
        <v>491</v>
      </c>
      <c r="AI274" s="178" t="s">
        <v>422</v>
      </c>
      <c r="AJ274" s="68">
        <f>IFERROR(PA[[#This Row],[Breakdown Time]]*PA[[#This Row],[Plant Equivalent Weightage]],"")</f>
        <v>1.0904500568502373E-5</v>
      </c>
      <c r="AK274" s="117">
        <v>0.24678333333333333</v>
      </c>
      <c r="AL274" s="116">
        <f>IF(PA[[#This Row],[Lost PoA(Wh/m2)]]&gt;0,_xlfn.XLOOKUP($B274,'Daily KPI'!$A:$A,'Daily KPI'!$AE:$AE)*PA[[#This Row],[Lost PoA(Wh/m2)]]*U274,0)</f>
        <v>3.2072248915831425</v>
      </c>
      <c r="AM274" s="176" t="s">
        <v>2589</v>
      </c>
    </row>
    <row r="275" spans="1:39" ht="14" customHeight="1">
      <c r="A275" s="177">
        <f t="shared" si="5"/>
        <v>272</v>
      </c>
      <c r="B275" s="185">
        <v>45816</v>
      </c>
      <c r="C275" s="178" t="s">
        <v>477</v>
      </c>
      <c r="D275" s="6">
        <f>YEAR(PA[[#This Row],[Date]])</f>
        <v>2025</v>
      </c>
      <c r="E275" s="178" t="s">
        <v>361</v>
      </c>
      <c r="F275" s="178" t="s">
        <v>361</v>
      </c>
      <c r="G275" s="179">
        <v>45809</v>
      </c>
      <c r="H275" s="176">
        <f>DAY(EOMONTH(PA[[#This Row],[Month Year]],0))</f>
        <v>30</v>
      </c>
      <c r="I275" s="180">
        <f>VLOOKUP(PA[[#This Row],[Date]],Raw_Data[#All],9,0)</f>
        <v>0.26041666666666669</v>
      </c>
      <c r="J275" s="180">
        <f>VLOOKUP(PA[[#This Row],[Date]],Raw_Data[#All],10,0)</f>
        <v>0.8125</v>
      </c>
      <c r="K275" s="68">
        <f>IFERROR((PA[[#This Row],[Sunset Time (POA&lt;20 W/m2)]]-PA[[#This Row],[Sunrise Time (POA&gt;20 W/m2)]])*24,"")</f>
        <v>13.249999999999998</v>
      </c>
      <c r="L275" s="178" t="s">
        <v>419</v>
      </c>
      <c r="M275" s="178" t="s">
        <v>408</v>
      </c>
      <c r="N275" s="178" t="s">
        <v>402</v>
      </c>
      <c r="O275" s="178" t="s">
        <v>412</v>
      </c>
      <c r="P275" s="178" t="s">
        <v>465</v>
      </c>
      <c r="Q275" s="178"/>
      <c r="R275" s="6">
        <f>IF((PA[[#This Row],[String Type(If String BD)]]&amp;PA[[#This Row],[Equipment (If any BD other than PV  array and inv)]])="",1,0)</f>
        <v>0</v>
      </c>
      <c r="S275" s="6">
        <f>IF(PA[[#This Row],[String Type(If String BD)]]="",1,0)</f>
        <v>0</v>
      </c>
      <c r="T2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75" s="68">
        <f>IFERROR(VLOOKUP(PA[[#This Row],[Affected Equipment ]],'Basic Data '!$A$1:$B$1846,2,0),"")</f>
        <v>15.515000000000001</v>
      </c>
      <c r="V275" s="143">
        <f>IFERROR(VLOOKUP(PA[[#This Row],[Affected Equipment ]],'Basic Data '!$A$1:$C$1846,3,0),"")</f>
        <v>4.6300855588481933E-5</v>
      </c>
      <c r="W275" s="178" t="s">
        <v>451</v>
      </c>
      <c r="X275" s="110" t="s">
        <v>491</v>
      </c>
      <c r="Y275" s="110" t="s">
        <v>491</v>
      </c>
      <c r="Z275" s="109">
        <v>0.5625</v>
      </c>
      <c r="AA275" s="109">
        <v>0.5625</v>
      </c>
      <c r="AB275" s="109">
        <v>0.5625</v>
      </c>
      <c r="AC275" s="109">
        <v>0.57291666666666663</v>
      </c>
      <c r="AD275" s="82">
        <f>IF(PA[[#This Row],[Acknowledgement Time ]]="NA","",(PA[[#This Row],[Acknowledgement Time ]]-PA[[#This Row],[Fault Time]])*24)</f>
        <v>0</v>
      </c>
      <c r="AE275" s="82">
        <f>IF(PA[[#This Row],[Work Start time on Fault]]="NA","",(PA[[#This Row],[Work Start time on Fault]]-PA[[#This Row],[Fault Time]])*24)</f>
        <v>0</v>
      </c>
      <c r="AF275" s="111">
        <f>IF(PA[[#This Row],[Status]]="Open","",(PA[[#This Row],[Work Completion time on fault]]-PA[[#This Row],[Fault Time]])*24)</f>
        <v>0.24999999999999911</v>
      </c>
      <c r="AG275" s="82">
        <f>IFERROR((PA[[#This Row],[Work Completion time on fault]]-PA[[#This Row],[Fault Time]])*24,"")</f>
        <v>0.24999999999999911</v>
      </c>
      <c r="AH275" s="110" t="s">
        <v>491</v>
      </c>
      <c r="AI275" s="178" t="s">
        <v>422</v>
      </c>
      <c r="AJ275" s="68">
        <f>IFERROR(PA[[#This Row],[Breakdown Time]]*PA[[#This Row],[Plant Equivalent Weightage]],"")</f>
        <v>1.1575213897120443E-5</v>
      </c>
      <c r="AK275" s="117">
        <v>0.25176666666666669</v>
      </c>
      <c r="AL275" s="116">
        <f>IF(PA[[#This Row],[Lost PoA(Wh/m2)]]&gt;0,_xlfn.XLOOKUP($B275,'Daily KPI'!$A:$A,'Daily KPI'!$AE:$AE)*PA[[#This Row],[Lost PoA(Wh/m2)]]*U275,0)</f>
        <v>3.2416926777070403</v>
      </c>
      <c r="AM275" s="176" t="s">
        <v>2589</v>
      </c>
    </row>
    <row r="276" spans="1:39" ht="14" customHeight="1">
      <c r="A276" s="177">
        <f t="shared" si="5"/>
        <v>273</v>
      </c>
      <c r="B276" s="185">
        <v>45817</v>
      </c>
      <c r="C276" s="178" t="s">
        <v>477</v>
      </c>
      <c r="D276" s="6">
        <f>YEAR(PA[[#This Row],[Date]])</f>
        <v>2025</v>
      </c>
      <c r="E276" s="178" t="s">
        <v>361</v>
      </c>
      <c r="F276" s="178" t="s">
        <v>361</v>
      </c>
      <c r="G276" s="179">
        <v>45809</v>
      </c>
      <c r="H276" s="176">
        <f>DAY(EOMONTH(PA[[#This Row],[Month Year]],0))</f>
        <v>30</v>
      </c>
      <c r="I276" s="180">
        <f>VLOOKUP(PA[[#This Row],[Date]],Raw_Data[#All],9,0)</f>
        <v>0.26041666666666669</v>
      </c>
      <c r="J276" s="180">
        <f>VLOOKUP(PA[[#This Row],[Date]],Raw_Data[#All],10,0)</f>
        <v>0.81319444444444444</v>
      </c>
      <c r="K276" s="68">
        <f>IFERROR((PA[[#This Row],[Sunset Time (POA&lt;20 W/m2)]]-PA[[#This Row],[Sunrise Time (POA&gt;20 W/m2)]])*24,"")</f>
        <v>13.266666666666667</v>
      </c>
      <c r="L276" s="178" t="s">
        <v>437</v>
      </c>
      <c r="M276" s="178" t="s">
        <v>414</v>
      </c>
      <c r="N276" s="178" t="s">
        <v>395</v>
      </c>
      <c r="O276" s="178" t="s">
        <v>406</v>
      </c>
      <c r="P276" s="178" t="s">
        <v>424</v>
      </c>
      <c r="Q276" s="178"/>
      <c r="R276" s="6">
        <f>IF((PA[[#This Row],[String Type(If String BD)]]&amp;PA[[#This Row],[Equipment (If any BD other than PV  array and inv)]])="",1,0)</f>
        <v>0</v>
      </c>
      <c r="S276" s="6">
        <f>IF(PA[[#This Row],[String Type(If String BD)]]="",1,0)</f>
        <v>0</v>
      </c>
      <c r="T2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6" s="68">
        <f>IFERROR(VLOOKUP(PA[[#This Row],[Affected Equipment ]],'Basic Data '!$A$1:$B$1846,2,0),"")</f>
        <v>12.904999999999999</v>
      </c>
      <c r="V276" s="143">
        <f>IFERROR(VLOOKUP(PA[[#This Row],[Affected Equipment ]],'Basic Data '!$A$1:$C$1846,3,0),"")</f>
        <v>3.8511926610980299E-5</v>
      </c>
      <c r="W276" s="178" t="s">
        <v>451</v>
      </c>
      <c r="X276" s="110" t="s">
        <v>491</v>
      </c>
      <c r="Y276" s="110" t="s">
        <v>491</v>
      </c>
      <c r="Z276" s="109">
        <v>0.4375</v>
      </c>
      <c r="AA276" s="109">
        <v>0.4375</v>
      </c>
      <c r="AB276" s="109">
        <v>0.4375</v>
      </c>
      <c r="AC276" s="109">
        <v>0.44791666666666669</v>
      </c>
      <c r="AD276" s="82">
        <f>IF(PA[[#This Row],[Acknowledgement Time ]]="NA","",(PA[[#This Row],[Acknowledgement Time ]]-PA[[#This Row],[Fault Time]])*24)</f>
        <v>0</v>
      </c>
      <c r="AE276" s="82">
        <f>IF(PA[[#This Row],[Work Start time on Fault]]="NA","",(PA[[#This Row],[Work Start time on Fault]]-PA[[#This Row],[Fault Time]])*24)</f>
        <v>0</v>
      </c>
      <c r="AF276" s="111">
        <f>IF(PA[[#This Row],[Status]]="Open","",(PA[[#This Row],[Work Completion time on fault]]-PA[[#This Row],[Fault Time]])*24)</f>
        <v>0.25000000000000044</v>
      </c>
      <c r="AG276" s="82">
        <f>IFERROR((PA[[#This Row],[Work Completion time on fault]]-PA[[#This Row],[Fault Time]])*24,"")</f>
        <v>0.25000000000000044</v>
      </c>
      <c r="AH276" s="110" t="s">
        <v>491</v>
      </c>
      <c r="AI276" s="178" t="s">
        <v>422</v>
      </c>
      <c r="AJ276" s="68">
        <f>IFERROR(PA[[#This Row],[Breakdown Time]]*PA[[#This Row],[Plant Equivalent Weightage]],"")</f>
        <v>9.6279816527450916E-6</v>
      </c>
      <c r="AK276" s="117">
        <v>0.20813333333333334</v>
      </c>
      <c r="AL276" s="116">
        <f>IF(PA[[#This Row],[Lost PoA(Wh/m2)]]&gt;0,_xlfn.XLOOKUP($B276,'Daily KPI'!$A:$A,'Daily KPI'!$AE:$AE)*PA[[#This Row],[Lost PoA(Wh/m2)]]*U276,0)</f>
        <v>2.229058563205863</v>
      </c>
      <c r="AM276" s="176" t="s">
        <v>2590</v>
      </c>
    </row>
    <row r="277" spans="1:39" ht="14" customHeight="1">
      <c r="A277" s="177">
        <f t="shared" si="5"/>
        <v>274</v>
      </c>
      <c r="B277" s="185">
        <v>45817</v>
      </c>
      <c r="C277" s="178" t="s">
        <v>477</v>
      </c>
      <c r="D277" s="6">
        <f>YEAR(PA[[#This Row],[Date]])</f>
        <v>2025</v>
      </c>
      <c r="E277" s="178" t="s">
        <v>361</v>
      </c>
      <c r="F277" s="178" t="s">
        <v>361</v>
      </c>
      <c r="G277" s="179">
        <v>45809</v>
      </c>
      <c r="H277" s="176">
        <f>DAY(EOMONTH(PA[[#This Row],[Month Year]],0))</f>
        <v>30</v>
      </c>
      <c r="I277" s="180">
        <f>VLOOKUP(PA[[#This Row],[Date]],Raw_Data[#All],9,0)</f>
        <v>0.26041666666666669</v>
      </c>
      <c r="J277" s="180">
        <f>VLOOKUP(PA[[#This Row],[Date]],Raw_Data[#All],10,0)</f>
        <v>0.81319444444444444</v>
      </c>
      <c r="K277" s="68">
        <f>IFERROR((PA[[#This Row],[Sunset Time (POA&lt;20 W/m2)]]-PA[[#This Row],[Sunrise Time (POA&gt;20 W/m2)]])*24,"")</f>
        <v>13.266666666666667</v>
      </c>
      <c r="L277" s="178" t="s">
        <v>438</v>
      </c>
      <c r="M277" s="178" t="s">
        <v>414</v>
      </c>
      <c r="N277" s="178" t="s">
        <v>402</v>
      </c>
      <c r="O277" s="178" t="s">
        <v>406</v>
      </c>
      <c r="P277" s="178" t="s">
        <v>424</v>
      </c>
      <c r="Q277" s="178"/>
      <c r="R277" s="6">
        <f>IF((PA[[#This Row],[String Type(If String BD)]]&amp;PA[[#This Row],[Equipment (If any BD other than PV  array and inv)]])="",1,0)</f>
        <v>0</v>
      </c>
      <c r="S277" s="6">
        <f>IF(PA[[#This Row],[String Type(If String BD)]]="",1,0)</f>
        <v>0</v>
      </c>
      <c r="T2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7" s="68">
        <f>IFERROR(VLOOKUP(PA[[#This Row],[Affected Equipment ]],'Basic Data '!$A$1:$B$1846,2,0),"")</f>
        <v>12.904999999999999</v>
      </c>
      <c r="V277" s="143">
        <f>IFERROR(VLOOKUP(PA[[#This Row],[Affected Equipment ]],'Basic Data '!$A$1:$C$1846,3,0),"")</f>
        <v>3.8511926610980299E-5</v>
      </c>
      <c r="W277" s="178" t="s">
        <v>451</v>
      </c>
      <c r="X277" s="110" t="s">
        <v>491</v>
      </c>
      <c r="Y277" s="110" t="s">
        <v>491</v>
      </c>
      <c r="Z277" s="109">
        <v>0.4597222222222222</v>
      </c>
      <c r="AA277" s="109">
        <v>0.4597222222222222</v>
      </c>
      <c r="AB277" s="109">
        <v>0.4597222222222222</v>
      </c>
      <c r="AC277" s="109">
        <v>0.46875</v>
      </c>
      <c r="AD277" s="82">
        <f>IF(PA[[#This Row],[Acknowledgement Time ]]="NA","",(PA[[#This Row],[Acknowledgement Time ]]-PA[[#This Row],[Fault Time]])*24)</f>
        <v>0</v>
      </c>
      <c r="AE277" s="82">
        <f>IF(PA[[#This Row],[Work Start time on Fault]]="NA","",(PA[[#This Row],[Work Start time on Fault]]-PA[[#This Row],[Fault Time]])*24)</f>
        <v>0</v>
      </c>
      <c r="AF277" s="111">
        <f>IF(PA[[#This Row],[Status]]="Open","",(PA[[#This Row],[Work Completion time on fault]]-PA[[#This Row],[Fault Time]])*24)</f>
        <v>0.21666666666666723</v>
      </c>
      <c r="AG277" s="82">
        <f>IFERROR((PA[[#This Row],[Work Completion time on fault]]-PA[[#This Row],[Fault Time]])*24,"")</f>
        <v>0.21666666666666723</v>
      </c>
      <c r="AH277" s="110" t="s">
        <v>491</v>
      </c>
      <c r="AI277" s="178" t="s">
        <v>422</v>
      </c>
      <c r="AJ277" s="68">
        <f>IFERROR(PA[[#This Row],[Breakdown Time]]*PA[[#This Row],[Plant Equivalent Weightage]],"")</f>
        <v>8.3442507657124198E-6</v>
      </c>
      <c r="AK277" s="117">
        <v>0.21001666666666666</v>
      </c>
      <c r="AL277" s="116">
        <f>IF(PA[[#This Row],[Lost PoA(Wh/m2)]]&gt;0,_xlfn.XLOOKUP($B277,'Daily KPI'!$A:$A,'Daily KPI'!$AE:$AE)*PA[[#This Row],[Lost PoA(Wh/m2)]]*U277,0)</f>
        <v>2.2492286158677994</v>
      </c>
      <c r="AM277" s="176" t="s">
        <v>2590</v>
      </c>
    </row>
    <row r="278" spans="1:39" ht="14" customHeight="1">
      <c r="A278" s="177">
        <f t="shared" si="5"/>
        <v>275</v>
      </c>
      <c r="B278" s="185">
        <v>45817</v>
      </c>
      <c r="C278" s="178" t="s">
        <v>477</v>
      </c>
      <c r="D278" s="6">
        <f>YEAR(PA[[#This Row],[Date]])</f>
        <v>2025</v>
      </c>
      <c r="E278" s="178" t="s">
        <v>361</v>
      </c>
      <c r="F278" s="178" t="s">
        <v>361</v>
      </c>
      <c r="G278" s="179">
        <v>45809</v>
      </c>
      <c r="H278" s="176">
        <f>DAY(EOMONTH(PA[[#This Row],[Month Year]],0))</f>
        <v>30</v>
      </c>
      <c r="I278" s="180">
        <f>VLOOKUP(PA[[#This Row],[Date]],Raw_Data[#All],9,0)</f>
        <v>0.26041666666666669</v>
      </c>
      <c r="J278" s="180">
        <f>VLOOKUP(PA[[#This Row],[Date]],Raw_Data[#All],10,0)</f>
        <v>0.81319444444444444</v>
      </c>
      <c r="K278" s="68">
        <f>IFERROR((PA[[#This Row],[Sunset Time (POA&lt;20 W/m2)]]-PA[[#This Row],[Sunrise Time (POA&gt;20 W/m2)]])*24,"")</f>
        <v>13.266666666666667</v>
      </c>
      <c r="L278" s="178" t="s">
        <v>416</v>
      </c>
      <c r="M278" s="178" t="s">
        <v>394</v>
      </c>
      <c r="N278" s="178" t="s">
        <v>395</v>
      </c>
      <c r="O278" s="178" t="s">
        <v>413</v>
      </c>
      <c r="P278" s="178" t="s">
        <v>458</v>
      </c>
      <c r="Q278" s="178"/>
      <c r="R278" s="6">
        <f>IF((PA[[#This Row],[String Type(If String BD)]]&amp;PA[[#This Row],[Equipment (If any BD other than PV  array and inv)]])="",1,0)</f>
        <v>0</v>
      </c>
      <c r="S278" s="6">
        <f>IF(PA[[#This Row],[String Type(If String BD)]]="",1,0)</f>
        <v>0</v>
      </c>
      <c r="T2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8" s="68">
        <f>IFERROR(VLOOKUP(PA[[#This Row],[Affected Equipment ]],'Basic Data '!$A$1:$B$1846,2,0),"")</f>
        <v>15.805</v>
      </c>
      <c r="V278" s="143">
        <f>IFERROR(VLOOKUP(PA[[#This Row],[Affected Equipment ]],'Basic Data '!$A$1:$C$1846,3,0),"")</f>
        <v>4.7166292141537668E-5</v>
      </c>
      <c r="W278" s="178" t="s">
        <v>451</v>
      </c>
      <c r="X278" s="110" t="s">
        <v>491</v>
      </c>
      <c r="Y278" s="110" t="s">
        <v>491</v>
      </c>
      <c r="Z278" s="109">
        <v>0.47986111111111113</v>
      </c>
      <c r="AA278" s="109">
        <v>0.47986111111111113</v>
      </c>
      <c r="AB278" s="109">
        <v>0.47986111111111113</v>
      </c>
      <c r="AC278" s="109">
        <v>0.48958333333333331</v>
      </c>
      <c r="AD278" s="82">
        <f>IF(PA[[#This Row],[Acknowledgement Time ]]="NA","",(PA[[#This Row],[Acknowledgement Time ]]-PA[[#This Row],[Fault Time]])*24)</f>
        <v>0</v>
      </c>
      <c r="AE278" s="82">
        <f>IF(PA[[#This Row],[Work Start time on Fault]]="NA","",(PA[[#This Row],[Work Start time on Fault]]-PA[[#This Row],[Fault Time]])*24)</f>
        <v>0</v>
      </c>
      <c r="AF278" s="111">
        <f>IF(PA[[#This Row],[Status]]="Open","",(PA[[#This Row],[Work Completion time on fault]]-PA[[#This Row],[Fault Time]])*24)</f>
        <v>0.2333333333333325</v>
      </c>
      <c r="AG278" s="82">
        <f>IFERROR((PA[[#This Row],[Work Completion time on fault]]-PA[[#This Row],[Fault Time]])*24,"")</f>
        <v>0.2333333333333325</v>
      </c>
      <c r="AH278" s="110" t="s">
        <v>491</v>
      </c>
      <c r="AI278" s="178" t="s">
        <v>422</v>
      </c>
      <c r="AJ278" s="68">
        <f>IFERROR(PA[[#This Row],[Breakdown Time]]*PA[[#This Row],[Plant Equivalent Weightage]],"")</f>
        <v>1.100546816635875E-5</v>
      </c>
      <c r="AK278" s="117">
        <v>0.23736666666666667</v>
      </c>
      <c r="AL278" s="116">
        <f>IF(PA[[#This Row],[Lost PoA(Wh/m2)]]&gt;0,_xlfn.XLOOKUP($B278,'Daily KPI'!$A:$A,'Daily KPI'!$AE:$AE)*PA[[#This Row],[Lost PoA(Wh/m2)]]*U278,0)</f>
        <v>3.1134081745283484</v>
      </c>
      <c r="AM278" s="176" t="s">
        <v>2590</v>
      </c>
    </row>
    <row r="279" spans="1:39" ht="14" customHeight="1">
      <c r="A279" s="177">
        <f t="shared" si="5"/>
        <v>276</v>
      </c>
      <c r="B279" s="185">
        <v>45817</v>
      </c>
      <c r="C279" s="178" t="s">
        <v>477</v>
      </c>
      <c r="D279" s="6">
        <f>YEAR(PA[[#This Row],[Date]])</f>
        <v>2025</v>
      </c>
      <c r="E279" s="178" t="s">
        <v>361</v>
      </c>
      <c r="F279" s="178" t="s">
        <v>361</v>
      </c>
      <c r="G279" s="179">
        <v>45809</v>
      </c>
      <c r="H279" s="176">
        <f>DAY(EOMONTH(PA[[#This Row],[Month Year]],0))</f>
        <v>30</v>
      </c>
      <c r="I279" s="180">
        <f>VLOOKUP(PA[[#This Row],[Date]],Raw_Data[#All],9,0)</f>
        <v>0.26041666666666669</v>
      </c>
      <c r="J279" s="180">
        <f>VLOOKUP(PA[[#This Row],[Date]],Raw_Data[#All],10,0)</f>
        <v>0.81319444444444444</v>
      </c>
      <c r="K279" s="68">
        <f>IFERROR((PA[[#This Row],[Sunset Time (POA&lt;20 W/m2)]]-PA[[#This Row],[Sunrise Time (POA&gt;20 W/m2)]])*24,"")</f>
        <v>13.266666666666667</v>
      </c>
      <c r="L279" s="178" t="s">
        <v>447</v>
      </c>
      <c r="M279" s="178" t="s">
        <v>394</v>
      </c>
      <c r="N279" s="178" t="s">
        <v>395</v>
      </c>
      <c r="O279" s="178" t="s">
        <v>413</v>
      </c>
      <c r="P279" s="178" t="s">
        <v>429</v>
      </c>
      <c r="Q279" s="178"/>
      <c r="R279" s="6">
        <f>IF((PA[[#This Row],[String Type(If String BD)]]&amp;PA[[#This Row],[Equipment (If any BD other than PV  array and inv)]])="",1,0)</f>
        <v>0</v>
      </c>
      <c r="S279" s="6">
        <f>IF(PA[[#This Row],[String Type(If String BD)]]="",1,0)</f>
        <v>0</v>
      </c>
      <c r="T2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9" s="68">
        <f>IFERROR(VLOOKUP(PA[[#This Row],[Affected Equipment ]],'Basic Data '!$A$1:$B$1846,2,0),"")</f>
        <v>15.66</v>
      </c>
      <c r="V279" s="143">
        <f>IFERROR(VLOOKUP(PA[[#This Row],[Affected Equipment ]],'Basic Data '!$A$1:$C$1846,3,0),"")</f>
        <v>4.6733573865009801E-5</v>
      </c>
      <c r="W279" s="178" t="s">
        <v>451</v>
      </c>
      <c r="X279" s="110" t="s">
        <v>491</v>
      </c>
      <c r="Y279" s="110" t="s">
        <v>491</v>
      </c>
      <c r="Z279" s="109">
        <v>0.5</v>
      </c>
      <c r="AA279" s="109">
        <v>0.5</v>
      </c>
      <c r="AB279" s="109">
        <v>0.5</v>
      </c>
      <c r="AC279" s="109">
        <v>0.51041666666666663</v>
      </c>
      <c r="AD279" s="82">
        <f>IF(PA[[#This Row],[Acknowledgement Time ]]="NA","",(PA[[#This Row],[Acknowledgement Time ]]-PA[[#This Row],[Fault Time]])*24)</f>
        <v>0</v>
      </c>
      <c r="AE279" s="82">
        <f>IF(PA[[#This Row],[Work Start time on Fault]]="NA","",(PA[[#This Row],[Work Start time on Fault]]-PA[[#This Row],[Fault Time]])*24)</f>
        <v>0</v>
      </c>
      <c r="AF279" s="111">
        <f>IF(PA[[#This Row],[Status]]="Open","",(PA[[#This Row],[Work Completion time on fault]]-PA[[#This Row],[Fault Time]])*24)</f>
        <v>0.24999999999999911</v>
      </c>
      <c r="AG279" s="82">
        <f>IFERROR((PA[[#This Row],[Work Completion time on fault]]-PA[[#This Row],[Fault Time]])*24,"")</f>
        <v>0.24999999999999911</v>
      </c>
      <c r="AH279" s="110" t="s">
        <v>491</v>
      </c>
      <c r="AI279" s="178" t="s">
        <v>422</v>
      </c>
      <c r="AJ279" s="68">
        <f>IFERROR(PA[[#This Row],[Breakdown Time]]*PA[[#This Row],[Plant Equivalent Weightage]],"")</f>
        <v>1.1683393466252408E-5</v>
      </c>
      <c r="AK279" s="117">
        <v>0.26255000000000001</v>
      </c>
      <c r="AL279" s="116">
        <f>IF(PA[[#This Row],[Lost PoA(Wh/m2)]]&gt;0,_xlfn.XLOOKUP($B279,'Daily KPI'!$A:$A,'Daily KPI'!$AE:$AE)*PA[[#This Row],[Lost PoA(Wh/m2)]]*U279,0)</f>
        <v>3.4121303246511272</v>
      </c>
      <c r="AM279" s="176" t="s">
        <v>2590</v>
      </c>
    </row>
    <row r="280" spans="1:39" ht="14" customHeight="1">
      <c r="A280" s="177">
        <f t="shared" si="5"/>
        <v>277</v>
      </c>
      <c r="B280" s="185">
        <v>45817</v>
      </c>
      <c r="C280" s="178" t="s">
        <v>477</v>
      </c>
      <c r="D280" s="6">
        <f>YEAR(PA[[#This Row],[Date]])</f>
        <v>2025</v>
      </c>
      <c r="E280" s="178" t="s">
        <v>361</v>
      </c>
      <c r="F280" s="178" t="s">
        <v>361</v>
      </c>
      <c r="G280" s="179">
        <v>45809</v>
      </c>
      <c r="H280" s="176">
        <f>DAY(EOMONTH(PA[[#This Row],[Month Year]],0))</f>
        <v>30</v>
      </c>
      <c r="I280" s="180">
        <f>VLOOKUP(PA[[#This Row],[Date]],Raw_Data[#All],9,0)</f>
        <v>0.26041666666666669</v>
      </c>
      <c r="J280" s="180">
        <f>VLOOKUP(PA[[#This Row],[Date]],Raw_Data[#All],10,0)</f>
        <v>0.81319444444444444</v>
      </c>
      <c r="K280" s="68">
        <f>IFERROR((PA[[#This Row],[Sunset Time (POA&lt;20 W/m2)]]-PA[[#This Row],[Sunrise Time (POA&gt;20 W/m2)]])*24,"")</f>
        <v>13.266666666666667</v>
      </c>
      <c r="L280" s="178" t="s">
        <v>446</v>
      </c>
      <c r="M280" s="178" t="s">
        <v>414</v>
      </c>
      <c r="N280" s="178" t="s">
        <v>402</v>
      </c>
      <c r="O280" s="178" t="s">
        <v>396</v>
      </c>
      <c r="P280" s="178" t="s">
        <v>429</v>
      </c>
      <c r="Q280" s="178"/>
      <c r="R280" s="6">
        <f>IF((PA[[#This Row],[String Type(If String BD)]]&amp;PA[[#This Row],[Equipment (If any BD other than PV  array and inv)]])="",1,0)</f>
        <v>0</v>
      </c>
      <c r="S280" s="6">
        <f>IF(PA[[#This Row],[String Type(If String BD)]]="",1,0)</f>
        <v>0</v>
      </c>
      <c r="T2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0" s="68">
        <f>IFERROR(VLOOKUP(PA[[#This Row],[Affected Equipment ]],'Basic Data '!$A$1:$B$1846,2,0),"")</f>
        <v>15.66</v>
      </c>
      <c r="V280" s="143">
        <f>IFERROR(VLOOKUP(PA[[#This Row],[Affected Equipment ]],'Basic Data '!$A$1:$C$1846,3,0),"")</f>
        <v>4.6733573865009801E-5</v>
      </c>
      <c r="W280" s="178" t="s">
        <v>451</v>
      </c>
      <c r="X280" s="110" t="s">
        <v>491</v>
      </c>
      <c r="Y280" s="110" t="s">
        <v>491</v>
      </c>
      <c r="Z280" s="109">
        <v>0.52083333333333337</v>
      </c>
      <c r="AA280" s="109">
        <v>0.52083333333333337</v>
      </c>
      <c r="AB280" s="109">
        <v>0.52083333333333337</v>
      </c>
      <c r="AC280" s="109">
        <v>0.53125</v>
      </c>
      <c r="AD280" s="82">
        <f>IF(PA[[#This Row],[Acknowledgement Time ]]="NA","",(PA[[#This Row],[Acknowledgement Time ]]-PA[[#This Row],[Fault Time]])*24)</f>
        <v>0</v>
      </c>
      <c r="AE280" s="82">
        <f>IF(PA[[#This Row],[Work Start time on Fault]]="NA","",(PA[[#This Row],[Work Start time on Fault]]-PA[[#This Row],[Fault Time]])*24)</f>
        <v>0</v>
      </c>
      <c r="AF280" s="111">
        <f>IF(PA[[#This Row],[Status]]="Open","",(PA[[#This Row],[Work Completion time on fault]]-PA[[#This Row],[Fault Time]])*24)</f>
        <v>0.24999999999999911</v>
      </c>
      <c r="AG280" s="82">
        <f>IFERROR((PA[[#This Row],[Work Completion time on fault]]-PA[[#This Row],[Fault Time]])*24,"")</f>
        <v>0.24999999999999911</v>
      </c>
      <c r="AH280" s="110" t="s">
        <v>491</v>
      </c>
      <c r="AI280" s="178" t="s">
        <v>422</v>
      </c>
      <c r="AJ280" s="68">
        <f>IFERROR(PA[[#This Row],[Breakdown Time]]*PA[[#This Row],[Plant Equivalent Weightage]],"")</f>
        <v>1.1683393466252408E-5</v>
      </c>
      <c r="AK280" s="117">
        <v>0.25036666666666668</v>
      </c>
      <c r="AL280" s="116">
        <f>IF(PA[[#This Row],[Lost PoA(Wh/m2)]]&gt;0,_xlfn.XLOOKUP($B280,'Daily KPI'!$A:$A,'Daily KPI'!$AE:$AE)*PA[[#This Row],[Lost PoA(Wh/m2)]]*U280,0)</f>
        <v>3.2537943081895029</v>
      </c>
      <c r="AM280" s="176" t="s">
        <v>2590</v>
      </c>
    </row>
    <row r="281" spans="1:39" ht="14" customHeight="1">
      <c r="A281" s="177">
        <f t="shared" si="5"/>
        <v>278</v>
      </c>
      <c r="B281" s="185">
        <v>45817</v>
      </c>
      <c r="C281" s="178" t="s">
        <v>477</v>
      </c>
      <c r="D281" s="6">
        <f>YEAR(PA[[#This Row],[Date]])</f>
        <v>2025</v>
      </c>
      <c r="E281" s="178" t="s">
        <v>361</v>
      </c>
      <c r="F281" s="178" t="s">
        <v>361</v>
      </c>
      <c r="G281" s="179">
        <v>45809</v>
      </c>
      <c r="H281" s="176">
        <f>DAY(EOMONTH(PA[[#This Row],[Month Year]],0))</f>
        <v>30</v>
      </c>
      <c r="I281" s="180">
        <f>VLOOKUP(PA[[#This Row],[Date]],Raw_Data[#All],9,0)</f>
        <v>0.26041666666666669</v>
      </c>
      <c r="J281" s="180">
        <f>VLOOKUP(PA[[#This Row],[Date]],Raw_Data[#All],10,0)</f>
        <v>0.81319444444444444</v>
      </c>
      <c r="K281" s="68">
        <f>IFERROR((PA[[#This Row],[Sunset Time (POA&lt;20 W/m2)]]-PA[[#This Row],[Sunrise Time (POA&gt;20 W/m2)]])*24,"")</f>
        <v>13.266666666666667</v>
      </c>
      <c r="L281" s="178" t="s">
        <v>405</v>
      </c>
      <c r="M281" s="178" t="s">
        <v>401</v>
      </c>
      <c r="N281" s="178" t="s">
        <v>402</v>
      </c>
      <c r="O281" s="178" t="s">
        <v>406</v>
      </c>
      <c r="P281" s="178" t="s">
        <v>429</v>
      </c>
      <c r="Q281" s="178"/>
      <c r="R281" s="6">
        <f>IF((PA[[#This Row],[String Type(If String BD)]]&amp;PA[[#This Row],[Equipment (If any BD other than PV  array and inv)]])="",1,0)</f>
        <v>0</v>
      </c>
      <c r="S281" s="6">
        <f>IF(PA[[#This Row],[String Type(If String BD)]]="",1,0)</f>
        <v>0</v>
      </c>
      <c r="T2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1" s="68">
        <f>IFERROR(VLOOKUP(PA[[#This Row],[Affected Equipment ]],'Basic Data '!$A$1:$B$1846,2,0),"")</f>
        <v>15.66</v>
      </c>
      <c r="V281" s="143">
        <f>IFERROR(VLOOKUP(PA[[#This Row],[Affected Equipment ]],'Basic Data '!$A$1:$C$1846,3,0),"")</f>
        <v>4.6733573865009801E-5</v>
      </c>
      <c r="W281" s="178" t="s">
        <v>451</v>
      </c>
      <c r="X281" s="110" t="s">
        <v>491</v>
      </c>
      <c r="Y281" s="110" t="s">
        <v>491</v>
      </c>
      <c r="Z281" s="109">
        <v>0.54236111111111107</v>
      </c>
      <c r="AA281" s="109">
        <v>0.54236111111111107</v>
      </c>
      <c r="AB281" s="109">
        <v>0.54236111111111107</v>
      </c>
      <c r="AC281" s="109">
        <v>0.55208333333333337</v>
      </c>
      <c r="AD281" s="82">
        <f>IF(PA[[#This Row],[Acknowledgement Time ]]="NA","",(PA[[#This Row],[Acknowledgement Time ]]-PA[[#This Row],[Fault Time]])*24)</f>
        <v>0</v>
      </c>
      <c r="AE281" s="82">
        <f>IF(PA[[#This Row],[Work Start time on Fault]]="NA","",(PA[[#This Row],[Work Start time on Fault]]-PA[[#This Row],[Fault Time]])*24)</f>
        <v>0</v>
      </c>
      <c r="AF281" s="111">
        <f>IF(PA[[#This Row],[Status]]="Open","",(PA[[#This Row],[Work Completion time on fault]]-PA[[#This Row],[Fault Time]])*24)</f>
        <v>0.23333333333333517</v>
      </c>
      <c r="AG281" s="82">
        <f>IFERROR((PA[[#This Row],[Work Completion time on fault]]-PA[[#This Row],[Fault Time]])*24,"")</f>
        <v>0.23333333333333517</v>
      </c>
      <c r="AH281" s="110" t="s">
        <v>491</v>
      </c>
      <c r="AI281" s="178" t="s">
        <v>422</v>
      </c>
      <c r="AJ281" s="68">
        <f>IFERROR(PA[[#This Row],[Breakdown Time]]*PA[[#This Row],[Plant Equivalent Weightage]],"")</f>
        <v>1.0904500568502373E-5</v>
      </c>
      <c r="AK281" s="117">
        <v>0.25013333333333332</v>
      </c>
      <c r="AL281" s="116">
        <f>IF(PA[[#This Row],[Lost PoA(Wh/m2)]]&gt;0,_xlfn.XLOOKUP($B281,'Daily KPI'!$A:$A,'Daily KPI'!$AE:$AE)*PA[[#This Row],[Lost PoA(Wh/m2)]]*U281,0)</f>
        <v>3.2507618810616461</v>
      </c>
      <c r="AM281" s="176" t="s">
        <v>2590</v>
      </c>
    </row>
    <row r="282" spans="1:39" ht="14" customHeight="1">
      <c r="A282" s="177">
        <f t="shared" si="5"/>
        <v>279</v>
      </c>
      <c r="B282" s="185">
        <v>45817</v>
      </c>
      <c r="C282" s="178" t="s">
        <v>477</v>
      </c>
      <c r="D282" s="6">
        <f>YEAR(PA[[#This Row],[Date]])</f>
        <v>2025</v>
      </c>
      <c r="E282" s="178" t="s">
        <v>361</v>
      </c>
      <c r="F282" s="178" t="s">
        <v>361</v>
      </c>
      <c r="G282" s="179">
        <v>45809</v>
      </c>
      <c r="H282" s="176">
        <f>DAY(EOMONTH(PA[[#This Row],[Month Year]],0))</f>
        <v>30</v>
      </c>
      <c r="I282" s="180">
        <f>VLOOKUP(PA[[#This Row],[Date]],Raw_Data[#All],9,0)</f>
        <v>0.26041666666666669</v>
      </c>
      <c r="J282" s="180">
        <f>VLOOKUP(PA[[#This Row],[Date]],Raw_Data[#All],10,0)</f>
        <v>0.81319444444444444</v>
      </c>
      <c r="K282" s="68">
        <f>IFERROR((PA[[#This Row],[Sunset Time (POA&lt;20 W/m2)]]-PA[[#This Row],[Sunrise Time (POA&gt;20 W/m2)]])*24,"")</f>
        <v>13.266666666666667</v>
      </c>
      <c r="L282" s="178" t="s">
        <v>419</v>
      </c>
      <c r="M282" s="178" t="s">
        <v>408</v>
      </c>
      <c r="N282" s="178" t="s">
        <v>402</v>
      </c>
      <c r="O282" s="178" t="s">
        <v>412</v>
      </c>
      <c r="P282" s="178" t="s">
        <v>465</v>
      </c>
      <c r="Q282" s="178"/>
      <c r="R282" s="6">
        <f>IF((PA[[#This Row],[String Type(If String BD)]]&amp;PA[[#This Row],[Equipment (If any BD other than PV  array and inv)]])="",1,0)</f>
        <v>0</v>
      </c>
      <c r="S282" s="6">
        <f>IF(PA[[#This Row],[String Type(If String BD)]]="",1,0)</f>
        <v>0</v>
      </c>
      <c r="T2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82" s="68">
        <f>IFERROR(VLOOKUP(PA[[#This Row],[Affected Equipment ]],'Basic Data '!$A$1:$B$1846,2,0),"")</f>
        <v>15.515000000000001</v>
      </c>
      <c r="V282" s="143">
        <f>IFERROR(VLOOKUP(PA[[#This Row],[Affected Equipment ]],'Basic Data '!$A$1:$C$1846,3,0),"")</f>
        <v>4.6300855588481933E-5</v>
      </c>
      <c r="W282" s="178" t="s">
        <v>451</v>
      </c>
      <c r="X282" s="110" t="s">
        <v>491</v>
      </c>
      <c r="Y282" s="110" t="s">
        <v>491</v>
      </c>
      <c r="Z282" s="109">
        <v>0.56319444444444444</v>
      </c>
      <c r="AA282" s="109">
        <v>0.56319444444444444</v>
      </c>
      <c r="AB282" s="109">
        <v>0.56319444444444444</v>
      </c>
      <c r="AC282" s="109">
        <v>0.57291666666666663</v>
      </c>
      <c r="AD282" s="82">
        <f>IF(PA[[#This Row],[Acknowledgement Time ]]="NA","",(PA[[#This Row],[Acknowledgement Time ]]-PA[[#This Row],[Fault Time]])*24)</f>
        <v>0</v>
      </c>
      <c r="AE282" s="82">
        <f>IF(PA[[#This Row],[Work Start time on Fault]]="NA","",(PA[[#This Row],[Work Start time on Fault]]-PA[[#This Row],[Fault Time]])*24)</f>
        <v>0</v>
      </c>
      <c r="AF282" s="111">
        <f>IF(PA[[#This Row],[Status]]="Open","",(PA[[#This Row],[Work Completion time on fault]]-PA[[#This Row],[Fault Time]])*24)</f>
        <v>0.2333333333333325</v>
      </c>
      <c r="AG282" s="82">
        <f>IFERROR((PA[[#This Row],[Work Completion time on fault]]-PA[[#This Row],[Fault Time]])*24,"")</f>
        <v>0.2333333333333325</v>
      </c>
      <c r="AH282" s="110" t="s">
        <v>491</v>
      </c>
      <c r="AI282" s="178" t="s">
        <v>422</v>
      </c>
      <c r="AJ282" s="68">
        <f>IFERROR(PA[[#This Row],[Breakdown Time]]*PA[[#This Row],[Plant Equivalent Weightage]],"")</f>
        <v>1.0803532970645746E-5</v>
      </c>
      <c r="AK282" s="117">
        <v>0.24548333333333333</v>
      </c>
      <c r="AL282" s="116">
        <f>IF(PA[[#This Row],[Lost PoA(Wh/m2)]]&gt;0,_xlfn.XLOOKUP($B282,'Daily KPI'!$A:$A,'Daily KPI'!$AE:$AE)*PA[[#This Row],[Lost PoA(Wh/m2)]]*U282,0)</f>
        <v>3.1607898484010986</v>
      </c>
      <c r="AM282" s="176" t="s">
        <v>2590</v>
      </c>
    </row>
    <row r="283" spans="1:39" ht="14" customHeight="1">
      <c r="A283" s="177">
        <f t="shared" si="5"/>
        <v>280</v>
      </c>
      <c r="B283" s="185">
        <v>45818</v>
      </c>
      <c r="C283" s="178" t="s">
        <v>477</v>
      </c>
      <c r="D283" s="6">
        <f>YEAR(PA[[#This Row],[Date]])</f>
        <v>2025</v>
      </c>
      <c r="E283" s="178" t="s">
        <v>361</v>
      </c>
      <c r="F283" s="178" t="s">
        <v>361</v>
      </c>
      <c r="G283" s="179">
        <v>45809</v>
      </c>
      <c r="H283" s="176">
        <f>DAY(EOMONTH(PA[[#This Row],[Month Year]],0))</f>
        <v>30</v>
      </c>
      <c r="I283" s="180">
        <f>VLOOKUP(PA[[#This Row],[Date]],Raw_Data[#All],9,0)</f>
        <v>0.26041666666666669</v>
      </c>
      <c r="J283" s="180">
        <f>VLOOKUP(PA[[#This Row],[Date]],Raw_Data[#All],10,0)</f>
        <v>0.81319444444444444</v>
      </c>
      <c r="K283" s="68">
        <f>IFERROR((PA[[#This Row],[Sunset Time (POA&lt;20 W/m2)]]-PA[[#This Row],[Sunrise Time (POA&gt;20 W/m2)]])*24,"")</f>
        <v>13.266666666666667</v>
      </c>
      <c r="L283" s="178" t="s">
        <v>416</v>
      </c>
      <c r="M283" s="178" t="s">
        <v>394</v>
      </c>
      <c r="N283" s="178" t="s">
        <v>395</v>
      </c>
      <c r="O283" s="178" t="s">
        <v>413</v>
      </c>
      <c r="P283" s="178" t="s">
        <v>458</v>
      </c>
      <c r="Q283" s="178"/>
      <c r="R283" s="6">
        <f>IF((PA[[#This Row],[String Type(If String BD)]]&amp;PA[[#This Row],[Equipment (If any BD other than PV  array and inv)]])="",1,0)</f>
        <v>0</v>
      </c>
      <c r="S283" s="6">
        <f>IF(PA[[#This Row],[String Type(If String BD)]]="",1,0)</f>
        <v>0</v>
      </c>
      <c r="T2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3" s="68">
        <f>IFERROR(VLOOKUP(PA[[#This Row],[Affected Equipment ]],'Basic Data '!$A$1:$B$1846,2,0),"")</f>
        <v>15.805</v>
      </c>
      <c r="V283" s="143">
        <f>IFERROR(VLOOKUP(PA[[#This Row],[Affected Equipment ]],'Basic Data '!$A$1:$C$1846,3,0),"")</f>
        <v>4.7166292141537668E-5</v>
      </c>
      <c r="W283" s="178" t="s">
        <v>451</v>
      </c>
      <c r="X283" s="110" t="s">
        <v>491</v>
      </c>
      <c r="Y283" s="110" t="s">
        <v>491</v>
      </c>
      <c r="Z283" s="109">
        <v>0.5</v>
      </c>
      <c r="AA283" s="109">
        <v>0.5</v>
      </c>
      <c r="AB283" s="109">
        <v>0.5</v>
      </c>
      <c r="AC283" s="109">
        <v>0.51041666666666663</v>
      </c>
      <c r="AD283" s="82">
        <f>IF(PA[[#This Row],[Acknowledgement Time ]]="NA","",(PA[[#This Row],[Acknowledgement Time ]]-PA[[#This Row],[Fault Time]])*24)</f>
        <v>0</v>
      </c>
      <c r="AE283" s="82">
        <f>IF(PA[[#This Row],[Work Start time on Fault]]="NA","",(PA[[#This Row],[Work Start time on Fault]]-PA[[#This Row],[Fault Time]])*24)</f>
        <v>0</v>
      </c>
      <c r="AF283" s="111">
        <f>IF(PA[[#This Row],[Status]]="Open","",(PA[[#This Row],[Work Completion time on fault]]-PA[[#This Row],[Fault Time]])*24)</f>
        <v>0.24999999999999911</v>
      </c>
      <c r="AG283" s="82">
        <f>IFERROR((PA[[#This Row],[Work Completion time on fault]]-PA[[#This Row],[Fault Time]])*24,"")</f>
        <v>0.24999999999999911</v>
      </c>
      <c r="AH283" s="110" t="s">
        <v>491</v>
      </c>
      <c r="AI283" s="178" t="s">
        <v>422</v>
      </c>
      <c r="AJ283" s="68">
        <f>IFERROR(PA[[#This Row],[Breakdown Time]]*PA[[#This Row],[Plant Equivalent Weightage]],"")</f>
        <v>1.1791573035384375E-5</v>
      </c>
      <c r="AK283" s="117">
        <v>0.25881666666666664</v>
      </c>
      <c r="AL283" s="116">
        <f>IF(PA[[#This Row],[Lost PoA(Wh/m2)]]&gt;0,_xlfn.XLOOKUP($B283,'Daily KPI'!$A:$A,'Daily KPI'!$AE:$AE)*PA[[#This Row],[Lost PoA(Wh/m2)]]*U283,0)</f>
        <v>3.3947560414443694</v>
      </c>
      <c r="AM283" s="176" t="s">
        <v>2591</v>
      </c>
    </row>
    <row r="284" spans="1:39" ht="14" customHeight="1">
      <c r="A284" s="177">
        <f t="shared" si="5"/>
        <v>281</v>
      </c>
      <c r="B284" s="185">
        <v>45818</v>
      </c>
      <c r="C284" s="178" t="s">
        <v>477</v>
      </c>
      <c r="D284" s="6">
        <f>YEAR(PA[[#This Row],[Date]])</f>
        <v>2025</v>
      </c>
      <c r="E284" s="178" t="s">
        <v>361</v>
      </c>
      <c r="F284" s="178" t="s">
        <v>361</v>
      </c>
      <c r="G284" s="179">
        <v>45809</v>
      </c>
      <c r="H284" s="176">
        <f>DAY(EOMONTH(PA[[#This Row],[Month Year]],0))</f>
        <v>30</v>
      </c>
      <c r="I284" s="180">
        <f>VLOOKUP(PA[[#This Row],[Date]],Raw_Data[#All],9,0)</f>
        <v>0.26041666666666669</v>
      </c>
      <c r="J284" s="180">
        <f>VLOOKUP(PA[[#This Row],[Date]],Raw_Data[#All],10,0)</f>
        <v>0.81319444444444444</v>
      </c>
      <c r="K284" s="68">
        <f>IFERROR((PA[[#This Row],[Sunset Time (POA&lt;20 W/m2)]]-PA[[#This Row],[Sunrise Time (POA&gt;20 W/m2)]])*24,"")</f>
        <v>13.266666666666667</v>
      </c>
      <c r="L284" s="178" t="s">
        <v>447</v>
      </c>
      <c r="M284" s="178" t="s">
        <v>394</v>
      </c>
      <c r="N284" s="178" t="s">
        <v>395</v>
      </c>
      <c r="O284" s="178" t="s">
        <v>413</v>
      </c>
      <c r="P284" s="178" t="s">
        <v>429</v>
      </c>
      <c r="Q284" s="178"/>
      <c r="R284" s="6">
        <f>IF((PA[[#This Row],[String Type(If String BD)]]&amp;PA[[#This Row],[Equipment (If any BD other than PV  array and inv)]])="",1,0)</f>
        <v>0</v>
      </c>
      <c r="S284" s="6">
        <f>IF(PA[[#This Row],[String Type(If String BD)]]="",1,0)</f>
        <v>0</v>
      </c>
      <c r="T2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4" s="68">
        <f>IFERROR(VLOOKUP(PA[[#This Row],[Affected Equipment ]],'Basic Data '!$A$1:$B$1846,2,0),"")</f>
        <v>15.66</v>
      </c>
      <c r="V284" s="143">
        <f>IFERROR(VLOOKUP(PA[[#This Row],[Affected Equipment ]],'Basic Data '!$A$1:$C$1846,3,0),"")</f>
        <v>4.6733573865009801E-5</v>
      </c>
      <c r="W284" s="178" t="s">
        <v>451</v>
      </c>
      <c r="X284" s="110" t="s">
        <v>491</v>
      </c>
      <c r="Y284" s="110" t="s">
        <v>491</v>
      </c>
      <c r="Z284" s="109">
        <v>0.52083333333333337</v>
      </c>
      <c r="AA284" s="109">
        <v>0.52083333333333337</v>
      </c>
      <c r="AB284" s="109">
        <v>0.52083333333333337</v>
      </c>
      <c r="AC284" s="109">
        <v>0.53125</v>
      </c>
      <c r="AD284" s="82">
        <f>IF(PA[[#This Row],[Acknowledgement Time ]]="NA","",(PA[[#This Row],[Acknowledgement Time ]]-PA[[#This Row],[Fault Time]])*24)</f>
        <v>0</v>
      </c>
      <c r="AE284" s="82">
        <f>IF(PA[[#This Row],[Work Start time on Fault]]="NA","",(PA[[#This Row],[Work Start time on Fault]]-PA[[#This Row],[Fault Time]])*24)</f>
        <v>0</v>
      </c>
      <c r="AF284" s="111">
        <f>IF(PA[[#This Row],[Status]]="Open","",(PA[[#This Row],[Work Completion time on fault]]-PA[[#This Row],[Fault Time]])*24)</f>
        <v>0.24999999999999911</v>
      </c>
      <c r="AG284" s="82">
        <f>IFERROR((PA[[#This Row],[Work Completion time on fault]]-PA[[#This Row],[Fault Time]])*24,"")</f>
        <v>0.24999999999999911</v>
      </c>
      <c r="AH284" s="110" t="s">
        <v>491</v>
      </c>
      <c r="AI284" s="178" t="s">
        <v>422</v>
      </c>
      <c r="AJ284" s="68">
        <f>IFERROR(PA[[#This Row],[Breakdown Time]]*PA[[#This Row],[Plant Equivalent Weightage]],"")</f>
        <v>1.1683393466252408E-5</v>
      </c>
      <c r="AK284" s="117">
        <v>0.26411666666666667</v>
      </c>
      <c r="AL284" s="116">
        <f>IF(PA[[#This Row],[Lost PoA(Wh/m2)]]&gt;0,_xlfn.XLOOKUP($B284,'Daily KPI'!$A:$A,'Daily KPI'!$AE:$AE)*PA[[#This Row],[Lost PoA(Wh/m2)]]*U284,0)</f>
        <v>3.4324909067953033</v>
      </c>
      <c r="AM284" s="176" t="s">
        <v>2591</v>
      </c>
    </row>
    <row r="285" spans="1:39" ht="14" customHeight="1">
      <c r="A285" s="177">
        <f t="shared" si="5"/>
        <v>282</v>
      </c>
      <c r="B285" s="185">
        <v>45819</v>
      </c>
      <c r="C285" s="178" t="s">
        <v>477</v>
      </c>
      <c r="D285" s="6">
        <f>YEAR(PA[[#This Row],[Date]])</f>
        <v>2025</v>
      </c>
      <c r="E285" s="178" t="s">
        <v>361</v>
      </c>
      <c r="F285" s="178" t="s">
        <v>361</v>
      </c>
      <c r="G285" s="179">
        <v>45809</v>
      </c>
      <c r="H285" s="176">
        <f>DAY(EOMONTH(PA[[#This Row],[Month Year]],0))</f>
        <v>30</v>
      </c>
      <c r="I285" s="180">
        <f>VLOOKUP(PA[[#This Row],[Date]],Raw_Data[#All],9,0)</f>
        <v>0.25972222222222224</v>
      </c>
      <c r="J285" s="180">
        <f>VLOOKUP(PA[[#This Row],[Date]],Raw_Data[#All],10,0)</f>
        <v>0.81458333333333333</v>
      </c>
      <c r="K285" s="68">
        <f>IFERROR((PA[[#This Row],[Sunset Time (POA&lt;20 W/m2)]]-PA[[#This Row],[Sunrise Time (POA&gt;20 W/m2)]])*24,"")</f>
        <v>13.316666666666665</v>
      </c>
      <c r="L285" s="178" t="s">
        <v>416</v>
      </c>
      <c r="M285" s="178" t="s">
        <v>394</v>
      </c>
      <c r="N285" s="178" t="s">
        <v>395</v>
      </c>
      <c r="O285" s="178" t="s">
        <v>413</v>
      </c>
      <c r="P285" s="178" t="s">
        <v>458</v>
      </c>
      <c r="Q285" s="178"/>
      <c r="R285" s="6">
        <f>IF((PA[[#This Row],[String Type(If String BD)]]&amp;PA[[#This Row],[Equipment (If any BD other than PV  array and inv)]])="",1,0)</f>
        <v>0</v>
      </c>
      <c r="S285" s="6">
        <f>IF(PA[[#This Row],[String Type(If String BD)]]="",1,0)</f>
        <v>0</v>
      </c>
      <c r="T2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5" s="68">
        <f>IFERROR(VLOOKUP(PA[[#This Row],[Affected Equipment ]],'Basic Data '!$A$1:$B$1846,2,0),"")</f>
        <v>15.805</v>
      </c>
      <c r="V285" s="143">
        <f>IFERROR(VLOOKUP(PA[[#This Row],[Affected Equipment ]],'Basic Data '!$A$1:$C$1846,3,0),"")</f>
        <v>4.7166292141537668E-5</v>
      </c>
      <c r="W285" s="178" t="s">
        <v>451</v>
      </c>
      <c r="X285" s="110" t="s">
        <v>491</v>
      </c>
      <c r="Y285" s="110" t="s">
        <v>491</v>
      </c>
      <c r="Z285" s="109">
        <v>0.51041666666666663</v>
      </c>
      <c r="AA285" s="109">
        <v>0.51041666666666663</v>
      </c>
      <c r="AB285" s="109">
        <v>0.51041666666666663</v>
      </c>
      <c r="AC285" s="109">
        <v>0.52569444444444446</v>
      </c>
      <c r="AD285" s="82">
        <f>IF(PA[[#This Row],[Acknowledgement Time ]]="NA","",(PA[[#This Row],[Acknowledgement Time ]]-PA[[#This Row],[Fault Time]])*24)</f>
        <v>0</v>
      </c>
      <c r="AE285" s="82">
        <f>IF(PA[[#This Row],[Work Start time on Fault]]="NA","",(PA[[#This Row],[Work Start time on Fault]]-PA[[#This Row],[Fault Time]])*24)</f>
        <v>0</v>
      </c>
      <c r="AF285" s="111">
        <f>IF(PA[[#This Row],[Status]]="Open","",(PA[[#This Row],[Work Completion time on fault]]-PA[[#This Row],[Fault Time]])*24)</f>
        <v>0.36666666666666803</v>
      </c>
      <c r="AG285" s="82">
        <f>IFERROR((PA[[#This Row],[Work Completion time on fault]]-PA[[#This Row],[Fault Time]])*24,"")</f>
        <v>0.36666666666666803</v>
      </c>
      <c r="AH285" s="110" t="s">
        <v>491</v>
      </c>
      <c r="AI285" s="178" t="s">
        <v>422</v>
      </c>
      <c r="AJ285" s="68">
        <f>IFERROR(PA[[#This Row],[Breakdown Time]]*PA[[#This Row],[Plant Equivalent Weightage]],"")</f>
        <v>1.7294307118563874E-5</v>
      </c>
      <c r="AK285" s="117">
        <v>0.37891666666666668</v>
      </c>
      <c r="AL285" s="116">
        <f>IF(PA[[#This Row],[Lost PoA(Wh/m2)]]&gt;0,_xlfn.XLOOKUP($B285,'Daily KPI'!$A:$A,'Daily KPI'!$AE:$AE)*PA[[#This Row],[Lost PoA(Wh/m2)]]*U285,0)</f>
        <v>4.9700417671606516</v>
      </c>
      <c r="AM285" s="176" t="s">
        <v>2592</v>
      </c>
    </row>
    <row r="286" spans="1:39" ht="14" customHeight="1">
      <c r="A286" s="177">
        <f t="shared" si="5"/>
        <v>283</v>
      </c>
      <c r="B286" s="185">
        <v>45819</v>
      </c>
      <c r="C286" s="178" t="s">
        <v>477</v>
      </c>
      <c r="D286" s="6">
        <f>YEAR(PA[[#This Row],[Date]])</f>
        <v>2025</v>
      </c>
      <c r="E286" s="178" t="s">
        <v>361</v>
      </c>
      <c r="F286" s="178" t="s">
        <v>361</v>
      </c>
      <c r="G286" s="179">
        <v>45809</v>
      </c>
      <c r="H286" s="176">
        <f>DAY(EOMONTH(PA[[#This Row],[Month Year]],0))</f>
        <v>30</v>
      </c>
      <c r="I286" s="180">
        <f>VLOOKUP(PA[[#This Row],[Date]],Raw_Data[#All],9,0)</f>
        <v>0.25972222222222224</v>
      </c>
      <c r="J286" s="180">
        <f>VLOOKUP(PA[[#This Row],[Date]],Raw_Data[#All],10,0)</f>
        <v>0.81458333333333333</v>
      </c>
      <c r="K286" s="68">
        <f>IFERROR((PA[[#This Row],[Sunset Time (POA&lt;20 W/m2)]]-PA[[#This Row],[Sunrise Time (POA&gt;20 W/m2)]])*24,"")</f>
        <v>13.316666666666665</v>
      </c>
      <c r="L286" s="178" t="s">
        <v>447</v>
      </c>
      <c r="M286" s="178" t="s">
        <v>394</v>
      </c>
      <c r="N286" s="178" t="s">
        <v>395</v>
      </c>
      <c r="O286" s="178" t="s">
        <v>413</v>
      </c>
      <c r="P286" s="178" t="s">
        <v>429</v>
      </c>
      <c r="Q286" s="178"/>
      <c r="R286" s="6">
        <f>IF((PA[[#This Row],[String Type(If String BD)]]&amp;PA[[#This Row],[Equipment (If any BD other than PV  array and inv)]])="",1,0)</f>
        <v>0</v>
      </c>
      <c r="S286" s="6">
        <f>IF(PA[[#This Row],[String Type(If String BD)]]="",1,0)</f>
        <v>0</v>
      </c>
      <c r="T2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6" s="68">
        <f>IFERROR(VLOOKUP(PA[[#This Row],[Affected Equipment ]],'Basic Data '!$A$1:$B$1846,2,0),"")</f>
        <v>15.66</v>
      </c>
      <c r="V286" s="143">
        <f>IFERROR(VLOOKUP(PA[[#This Row],[Affected Equipment ]],'Basic Data '!$A$1:$C$1846,3,0),"")</f>
        <v>4.6733573865009801E-5</v>
      </c>
      <c r="W286" s="178" t="s">
        <v>451</v>
      </c>
      <c r="X286" s="110" t="s">
        <v>491</v>
      </c>
      <c r="Y286" s="110" t="s">
        <v>491</v>
      </c>
      <c r="Z286" s="109">
        <v>0.53749999999999998</v>
      </c>
      <c r="AA286" s="109">
        <v>0.53749999999999998</v>
      </c>
      <c r="AB286" s="109">
        <v>0.53749999999999998</v>
      </c>
      <c r="AC286" s="109">
        <v>0.54722222222222228</v>
      </c>
      <c r="AD286" s="82">
        <f>IF(PA[[#This Row],[Acknowledgement Time ]]="NA","",(PA[[#This Row],[Acknowledgement Time ]]-PA[[#This Row],[Fault Time]])*24)</f>
        <v>0</v>
      </c>
      <c r="AE286" s="82">
        <f>IF(PA[[#This Row],[Work Start time on Fault]]="NA","",(PA[[#This Row],[Work Start time on Fault]]-PA[[#This Row],[Fault Time]])*24)</f>
        <v>0</v>
      </c>
      <c r="AF286" s="111">
        <f>IF(PA[[#This Row],[Status]]="Open","",(PA[[#This Row],[Work Completion time on fault]]-PA[[#This Row],[Fault Time]])*24)</f>
        <v>0.23333333333333517</v>
      </c>
      <c r="AG286" s="82">
        <f>IFERROR((PA[[#This Row],[Work Completion time on fault]]-PA[[#This Row],[Fault Time]])*24,"")</f>
        <v>0.23333333333333517</v>
      </c>
      <c r="AH286" s="110" t="s">
        <v>491</v>
      </c>
      <c r="AI286" s="178" t="s">
        <v>422</v>
      </c>
      <c r="AJ286" s="68">
        <f>IFERROR(PA[[#This Row],[Breakdown Time]]*PA[[#This Row],[Plant Equivalent Weightage]],"")</f>
        <v>1.0904500568502373E-5</v>
      </c>
      <c r="AK286" s="117">
        <v>0.24946666666666667</v>
      </c>
      <c r="AL286" s="116">
        <f>IF(PA[[#This Row],[Lost PoA(Wh/m2)]]&gt;0,_xlfn.XLOOKUP($B286,'Daily KPI'!$A:$A,'Daily KPI'!$AE:$AE)*PA[[#This Row],[Lost PoA(Wh/m2)]]*U286,0)</f>
        <v>3.2420978035534866</v>
      </c>
      <c r="AM286" s="176" t="s">
        <v>2592</v>
      </c>
    </row>
    <row r="287" spans="1:39" ht="14" customHeight="1">
      <c r="A287" s="177">
        <f t="shared" si="5"/>
        <v>284</v>
      </c>
      <c r="B287" s="185">
        <v>45819</v>
      </c>
      <c r="C287" s="178" t="s">
        <v>477</v>
      </c>
      <c r="D287" s="6">
        <f>YEAR(PA[[#This Row],[Date]])</f>
        <v>2025</v>
      </c>
      <c r="E287" s="178" t="s">
        <v>361</v>
      </c>
      <c r="F287" s="178" t="s">
        <v>361</v>
      </c>
      <c r="G287" s="179">
        <v>45809</v>
      </c>
      <c r="H287" s="176">
        <f>DAY(EOMONTH(PA[[#This Row],[Month Year]],0))</f>
        <v>30</v>
      </c>
      <c r="I287" s="180">
        <f>VLOOKUP(PA[[#This Row],[Date]],Raw_Data[#All],9,0)</f>
        <v>0.25972222222222224</v>
      </c>
      <c r="J287" s="180">
        <f>VLOOKUP(PA[[#This Row],[Date]],Raw_Data[#All],10,0)</f>
        <v>0.81458333333333333</v>
      </c>
      <c r="K287" s="68">
        <f>IFERROR((PA[[#This Row],[Sunset Time (POA&lt;20 W/m2)]]-PA[[#This Row],[Sunrise Time (POA&gt;20 W/m2)]])*24,"")</f>
        <v>13.316666666666665</v>
      </c>
      <c r="L287" s="178" t="s">
        <v>438</v>
      </c>
      <c r="M287" s="178"/>
      <c r="N287" s="178"/>
      <c r="O287" s="178"/>
      <c r="P287" s="178"/>
      <c r="Q287" s="178" t="s">
        <v>420</v>
      </c>
      <c r="R287" s="6">
        <f>IF((PA[[#This Row],[String Type(If String BD)]]&amp;PA[[#This Row],[Equipment (If any BD other than PV  array and inv)]])="",1,0)</f>
        <v>0</v>
      </c>
      <c r="S287" s="6">
        <f>IF(PA[[#This Row],[String Type(If String BD)]]="",1,0)</f>
        <v>1</v>
      </c>
      <c r="T2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IS5Tx</v>
      </c>
      <c r="U287" s="68">
        <f>IFERROR(VLOOKUP(PA[[#This Row],[Affected Equipment ]],'Basic Data '!$A$1:$B$1846,2,0),"")</f>
        <v>16724.88</v>
      </c>
      <c r="V287" s="143">
        <f>IFERROR(VLOOKUP(PA[[#This Row],[Affected Equipment ]],'Basic Data '!$A$1:$C$1846,3,0),"")</f>
        <v>4.9911456887830476E-2</v>
      </c>
      <c r="W287" s="178" t="s">
        <v>421</v>
      </c>
      <c r="X287" s="110" t="s">
        <v>2547</v>
      </c>
      <c r="Y287" s="110" t="s">
        <v>457</v>
      </c>
      <c r="Z287" s="109">
        <v>0.51180555555555551</v>
      </c>
      <c r="AA287" s="109">
        <v>0.51180555555555551</v>
      </c>
      <c r="AB287" s="109">
        <v>0.51180555555555551</v>
      </c>
      <c r="AC287" s="109">
        <v>0.54097222222222219</v>
      </c>
      <c r="AD287" s="82">
        <f>IF(PA[[#This Row],[Acknowledgement Time ]]="NA","",(PA[[#This Row],[Acknowledgement Time ]]-PA[[#This Row],[Fault Time]])*24)</f>
        <v>0</v>
      </c>
      <c r="AE287" s="82">
        <f>IF(PA[[#This Row],[Work Start time on Fault]]="NA","",(PA[[#This Row],[Work Start time on Fault]]-PA[[#This Row],[Fault Time]])*24)</f>
        <v>0</v>
      </c>
      <c r="AF287" s="111">
        <f>IF(PA[[#This Row],[Status]]="Open","",(PA[[#This Row],[Work Completion time on fault]]-PA[[#This Row],[Fault Time]])*24)</f>
        <v>0.70000000000000018</v>
      </c>
      <c r="AG287" s="82">
        <f>IFERROR((PA[[#This Row],[Work Completion time on fault]]-PA[[#This Row],[Fault Time]])*24,"")</f>
        <v>0.70000000000000018</v>
      </c>
      <c r="AH287" s="110" t="s">
        <v>2594</v>
      </c>
      <c r="AI287" s="178" t="s">
        <v>422</v>
      </c>
      <c r="AJ287" s="68">
        <f>IFERROR(PA[[#This Row],[Breakdown Time]]*PA[[#This Row],[Plant Equivalent Weightage]],"")</f>
        <v>3.4938019821481342E-2</v>
      </c>
      <c r="AK287" s="117">
        <v>0.71286666666666665</v>
      </c>
      <c r="AL287" s="116">
        <f>IF(PA[[#This Row],[Lost PoA(Wh/m2)]]&gt;0,_xlfn.XLOOKUP($B287,'Daily KPI'!$A:$A,'Daily KPI'!$AE:$AE)*PA[[#This Row],[Lost PoA(Wh/m2)]]*U287,0)</f>
        <v>9894.4839488798661</v>
      </c>
      <c r="AM287" s="176" t="s">
        <v>2593</v>
      </c>
    </row>
    <row r="288" spans="1:39" ht="14" customHeight="1">
      <c r="A288" s="177">
        <f t="shared" si="5"/>
        <v>285</v>
      </c>
      <c r="B288" s="185">
        <v>45820</v>
      </c>
      <c r="C288" s="178" t="s">
        <v>477</v>
      </c>
      <c r="D288" s="6">
        <f>YEAR(PA[[#This Row],[Date]])</f>
        <v>2025</v>
      </c>
      <c r="E288" s="178" t="s">
        <v>361</v>
      </c>
      <c r="F288" s="178" t="s">
        <v>361</v>
      </c>
      <c r="G288" s="179">
        <v>45809</v>
      </c>
      <c r="H288" s="176">
        <f>DAY(EOMONTH(PA[[#This Row],[Month Year]],0))</f>
        <v>30</v>
      </c>
      <c r="I288" s="180">
        <f>VLOOKUP(PA[[#This Row],[Date]],Raw_Data[#All],9,0)</f>
        <v>0.26041666666666669</v>
      </c>
      <c r="J288" s="180">
        <f>VLOOKUP(PA[[#This Row],[Date]],Raw_Data[#All],10,0)</f>
        <v>0.81388888888888888</v>
      </c>
      <c r="K288" s="68">
        <f>IFERROR((PA[[#This Row],[Sunset Time (POA&lt;20 W/m2)]]-PA[[#This Row],[Sunrise Time (POA&gt;20 W/m2)]])*24,"")</f>
        <v>13.283333333333331</v>
      </c>
      <c r="L288" s="178" t="s">
        <v>416</v>
      </c>
      <c r="M288" s="178" t="s">
        <v>394</v>
      </c>
      <c r="N288" s="178" t="s">
        <v>395</v>
      </c>
      <c r="O288" s="178" t="s">
        <v>413</v>
      </c>
      <c r="P288" s="178" t="s">
        <v>458</v>
      </c>
      <c r="Q288" s="178"/>
      <c r="R288" s="6">
        <f>IF((PA[[#This Row],[String Type(If String BD)]]&amp;PA[[#This Row],[Equipment (If any BD other than PV  array and inv)]])="",1,0)</f>
        <v>0</v>
      </c>
      <c r="S288" s="6">
        <f>IF(PA[[#This Row],[String Type(If String BD)]]="",1,0)</f>
        <v>0</v>
      </c>
      <c r="T2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8" s="68">
        <f>IFERROR(VLOOKUP(PA[[#This Row],[Affected Equipment ]],'Basic Data '!$A$1:$B$1846,2,0),"")</f>
        <v>15.805</v>
      </c>
      <c r="V288" s="143">
        <f>IFERROR(VLOOKUP(PA[[#This Row],[Affected Equipment ]],'Basic Data '!$A$1:$C$1846,3,0),"")</f>
        <v>4.7166292141537668E-5</v>
      </c>
      <c r="W288" s="178" t="s">
        <v>451</v>
      </c>
      <c r="X288" s="110" t="s">
        <v>491</v>
      </c>
      <c r="Y288" s="110" t="s">
        <v>491</v>
      </c>
      <c r="Z288" s="109">
        <v>0.52569444444444446</v>
      </c>
      <c r="AA288" s="109">
        <v>0.52569444444444446</v>
      </c>
      <c r="AB288" s="109">
        <v>0.52569444444444446</v>
      </c>
      <c r="AC288" s="109">
        <v>0.54305555555555551</v>
      </c>
      <c r="AD288" s="82">
        <f>IF(PA[[#This Row],[Acknowledgement Time ]]="NA","",(PA[[#This Row],[Acknowledgement Time ]]-PA[[#This Row],[Fault Time]])*24)</f>
        <v>0</v>
      </c>
      <c r="AE288" s="82">
        <f>IF(PA[[#This Row],[Work Start time on Fault]]="NA","",(PA[[#This Row],[Work Start time on Fault]]-PA[[#This Row],[Fault Time]])*24)</f>
        <v>0</v>
      </c>
      <c r="AF288" s="111">
        <f>IF(PA[[#This Row],[Status]]="Open","",(PA[[#This Row],[Work Completion time on fault]]-PA[[#This Row],[Fault Time]])*24)</f>
        <v>0.41666666666666519</v>
      </c>
      <c r="AG288" s="82">
        <f>IFERROR((PA[[#This Row],[Work Completion time on fault]]-PA[[#This Row],[Fault Time]])*24,"")</f>
        <v>0.41666666666666519</v>
      </c>
      <c r="AH288" s="110" t="s">
        <v>491</v>
      </c>
      <c r="AI288" s="178" t="s">
        <v>422</v>
      </c>
      <c r="AJ288" s="68">
        <f>IFERROR(PA[[#This Row],[Breakdown Time]]*PA[[#This Row],[Plant Equivalent Weightage]],"")</f>
        <v>1.9652621725640627E-5</v>
      </c>
      <c r="AK288" s="117">
        <v>0.43091666666666667</v>
      </c>
      <c r="AL288" s="116">
        <f>IF(PA[[#This Row],[Lost PoA(Wh/m2)]]&gt;0,_xlfn.XLOOKUP($B288,'Daily KPI'!$A:$A,'Daily KPI'!$AE:$AE)*PA[[#This Row],[Lost PoA(Wh/m2)]]*U288,0)</f>
        <v>5.6520972021085836</v>
      </c>
      <c r="AM288" s="176" t="s">
        <v>2595</v>
      </c>
    </row>
    <row r="289" spans="1:39" ht="14" customHeight="1">
      <c r="A289" s="177">
        <f t="shared" si="5"/>
        <v>286</v>
      </c>
      <c r="B289" s="185">
        <v>45820</v>
      </c>
      <c r="C289" s="178" t="s">
        <v>477</v>
      </c>
      <c r="D289" s="6">
        <f>YEAR(PA[[#This Row],[Date]])</f>
        <v>2025</v>
      </c>
      <c r="E289" s="178" t="s">
        <v>361</v>
      </c>
      <c r="F289" s="178" t="s">
        <v>361</v>
      </c>
      <c r="G289" s="179">
        <v>45809</v>
      </c>
      <c r="H289" s="176">
        <f>DAY(EOMONTH(PA[[#This Row],[Month Year]],0))</f>
        <v>30</v>
      </c>
      <c r="I289" s="180">
        <f>VLOOKUP(PA[[#This Row],[Date]],Raw_Data[#All],9,0)</f>
        <v>0.26041666666666669</v>
      </c>
      <c r="J289" s="180">
        <f>VLOOKUP(PA[[#This Row],[Date]],Raw_Data[#All],10,0)</f>
        <v>0.81388888888888888</v>
      </c>
      <c r="K289" s="68">
        <f>IFERROR((PA[[#This Row],[Sunset Time (POA&lt;20 W/m2)]]-PA[[#This Row],[Sunrise Time (POA&gt;20 W/m2)]])*24,"")</f>
        <v>13.283333333333331</v>
      </c>
      <c r="L289" s="178" t="s">
        <v>447</v>
      </c>
      <c r="M289" s="178" t="s">
        <v>394</v>
      </c>
      <c r="N289" s="178" t="s">
        <v>395</v>
      </c>
      <c r="O289" s="178" t="s">
        <v>413</v>
      </c>
      <c r="P289" s="178" t="s">
        <v>429</v>
      </c>
      <c r="Q289" s="178"/>
      <c r="R289" s="6">
        <f>IF((PA[[#This Row],[String Type(If String BD)]]&amp;PA[[#This Row],[Equipment (If any BD other than PV  array and inv)]])="",1,0)</f>
        <v>0</v>
      </c>
      <c r="S289" s="6">
        <f>IF(PA[[#This Row],[String Type(If String BD)]]="",1,0)</f>
        <v>0</v>
      </c>
      <c r="T2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9" s="68">
        <f>IFERROR(VLOOKUP(PA[[#This Row],[Affected Equipment ]],'Basic Data '!$A$1:$B$1846,2,0),"")</f>
        <v>15.66</v>
      </c>
      <c r="V289" s="143">
        <f>IFERROR(VLOOKUP(PA[[#This Row],[Affected Equipment ]],'Basic Data '!$A$1:$C$1846,3,0),"")</f>
        <v>4.6733573865009801E-5</v>
      </c>
      <c r="W289" s="178" t="s">
        <v>451</v>
      </c>
      <c r="X289" s="110" t="s">
        <v>491</v>
      </c>
      <c r="Y289" s="110" t="s">
        <v>491</v>
      </c>
      <c r="Z289" s="109">
        <v>0.55208333333333337</v>
      </c>
      <c r="AA289" s="109">
        <v>0.55208333333333337</v>
      </c>
      <c r="AB289" s="109">
        <v>0.55208333333333337</v>
      </c>
      <c r="AC289" s="109">
        <v>0.56388888888888888</v>
      </c>
      <c r="AD289" s="82">
        <f>IF(PA[[#This Row],[Acknowledgement Time ]]="NA","",(PA[[#This Row],[Acknowledgement Time ]]-PA[[#This Row],[Fault Time]])*24)</f>
        <v>0</v>
      </c>
      <c r="AE289" s="82">
        <f>IF(PA[[#This Row],[Work Start time on Fault]]="NA","",(PA[[#This Row],[Work Start time on Fault]]-PA[[#This Row],[Fault Time]])*24)</f>
        <v>0</v>
      </c>
      <c r="AF289" s="111">
        <f>IF(PA[[#This Row],[Status]]="Open","",(PA[[#This Row],[Work Completion time on fault]]-PA[[#This Row],[Fault Time]])*24)</f>
        <v>0.28333333333333233</v>
      </c>
      <c r="AG289" s="82">
        <f>IFERROR((PA[[#This Row],[Work Completion time on fault]]-PA[[#This Row],[Fault Time]])*24,"")</f>
        <v>0.28333333333333233</v>
      </c>
      <c r="AH289" s="110" t="s">
        <v>491</v>
      </c>
      <c r="AI289" s="178" t="s">
        <v>422</v>
      </c>
      <c r="AJ289" s="68">
        <f>IFERROR(PA[[#This Row],[Breakdown Time]]*PA[[#This Row],[Plant Equivalent Weightage]],"")</f>
        <v>1.3241179261752729E-5</v>
      </c>
      <c r="AK289" s="117">
        <v>0.29373333333333335</v>
      </c>
      <c r="AL289" s="116">
        <f>IF(PA[[#This Row],[Lost PoA(Wh/m2)]]&gt;0,_xlfn.XLOOKUP($B289,'Daily KPI'!$A:$A,'Daily KPI'!$AE:$AE)*PA[[#This Row],[Lost PoA(Wh/m2)]]*U289,0)</f>
        <v>3.8173925500953132</v>
      </c>
      <c r="AM289" s="176" t="s">
        <v>2595</v>
      </c>
    </row>
    <row r="290" spans="1:39" ht="14" customHeight="1">
      <c r="A290" s="177">
        <f t="shared" si="5"/>
        <v>287</v>
      </c>
      <c r="B290" s="185">
        <v>45821</v>
      </c>
      <c r="C290" s="178" t="s">
        <v>477</v>
      </c>
      <c r="D290" s="6">
        <f>YEAR(PA[[#This Row],[Date]])</f>
        <v>2025</v>
      </c>
      <c r="E290" s="178" t="s">
        <v>361</v>
      </c>
      <c r="F290" s="178" t="s">
        <v>361</v>
      </c>
      <c r="G290" s="179">
        <v>45809</v>
      </c>
      <c r="H290" s="176">
        <f>DAY(EOMONTH(PA[[#This Row],[Month Year]],0))</f>
        <v>30</v>
      </c>
      <c r="I290" s="180">
        <f>VLOOKUP(PA[[#This Row],[Date]],Raw_Data[#All],9,0)</f>
        <v>0.26250000000000001</v>
      </c>
      <c r="J290" s="180">
        <f>VLOOKUP(PA[[#This Row],[Date]],Raw_Data[#All],10,0)</f>
        <v>0.81180555555555556</v>
      </c>
      <c r="K290" s="68">
        <f>IFERROR((PA[[#This Row],[Sunset Time (POA&lt;20 W/m2)]]-PA[[#This Row],[Sunrise Time (POA&gt;20 W/m2)]])*24,"")</f>
        <v>13.183333333333332</v>
      </c>
      <c r="L290" s="178" t="s">
        <v>416</v>
      </c>
      <c r="M290" s="178" t="s">
        <v>394</v>
      </c>
      <c r="N290" s="178" t="s">
        <v>395</v>
      </c>
      <c r="O290" s="178" t="s">
        <v>413</v>
      </c>
      <c r="P290" s="178" t="s">
        <v>458</v>
      </c>
      <c r="Q290" s="178"/>
      <c r="R290" s="6">
        <f>IF((PA[[#This Row],[String Type(If String BD)]]&amp;PA[[#This Row],[Equipment (If any BD other than PV  array and inv)]])="",1,0)</f>
        <v>0</v>
      </c>
      <c r="S290" s="6">
        <f>IF(PA[[#This Row],[String Type(If String BD)]]="",1,0)</f>
        <v>0</v>
      </c>
      <c r="T2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90" s="68">
        <f>IFERROR(VLOOKUP(PA[[#This Row],[Affected Equipment ]],'Basic Data '!$A$1:$B$1846,2,0),"")</f>
        <v>15.805</v>
      </c>
      <c r="V290" s="143">
        <f>IFERROR(VLOOKUP(PA[[#This Row],[Affected Equipment ]],'Basic Data '!$A$1:$C$1846,3,0),"")</f>
        <v>4.7166292141537668E-5</v>
      </c>
      <c r="W290" s="178" t="s">
        <v>451</v>
      </c>
      <c r="X290" s="110" t="s">
        <v>491</v>
      </c>
      <c r="Y290" s="110" t="s">
        <v>491</v>
      </c>
      <c r="Z290" s="109">
        <v>0.50138888888888888</v>
      </c>
      <c r="AA290" s="109">
        <v>0.50138888888888888</v>
      </c>
      <c r="AB290" s="109">
        <v>0.50138888888888888</v>
      </c>
      <c r="AC290" s="109">
        <v>0.53125</v>
      </c>
      <c r="AD290" s="82">
        <f>IF(PA[[#This Row],[Acknowledgement Time ]]="NA","",(PA[[#This Row],[Acknowledgement Time ]]-PA[[#This Row],[Fault Time]])*24)</f>
        <v>0</v>
      </c>
      <c r="AE290" s="82">
        <f>IF(PA[[#This Row],[Work Start time on Fault]]="NA","",(PA[[#This Row],[Work Start time on Fault]]-PA[[#This Row],[Fault Time]])*24)</f>
        <v>0</v>
      </c>
      <c r="AF290" s="111">
        <f>IF(PA[[#This Row],[Status]]="Open","",(PA[[#This Row],[Work Completion time on fault]]-PA[[#This Row],[Fault Time]])*24)</f>
        <v>0.71666666666666679</v>
      </c>
      <c r="AG290" s="82">
        <f>IFERROR((PA[[#This Row],[Work Completion time on fault]]-PA[[#This Row],[Fault Time]])*24,"")</f>
        <v>0.71666666666666679</v>
      </c>
      <c r="AH290" s="110" t="s">
        <v>491</v>
      </c>
      <c r="AI290" s="178" t="s">
        <v>422</v>
      </c>
      <c r="AJ290" s="68">
        <f>IFERROR(PA[[#This Row],[Breakdown Time]]*PA[[#This Row],[Plant Equivalent Weightage]],"")</f>
        <v>3.3802509368102004E-5</v>
      </c>
      <c r="AK290" s="117">
        <v>0.69153333333333333</v>
      </c>
      <c r="AL290" s="116">
        <f>IF(PA[[#This Row],[Lost PoA(Wh/m2)]]&gt;0,_xlfn.XLOOKUP($B290,'Daily KPI'!$A:$A,'Daily KPI'!$AE:$AE)*PA[[#This Row],[Lost PoA(Wh/m2)]]*U290,0)</f>
        <v>9.07046285476269</v>
      </c>
      <c r="AM290" s="176" t="s">
        <v>2600</v>
      </c>
    </row>
    <row r="291" spans="1:39" ht="14" customHeight="1">
      <c r="A291" s="177">
        <f t="shared" si="5"/>
        <v>288</v>
      </c>
      <c r="B291" s="185">
        <v>45821</v>
      </c>
      <c r="C291" s="178" t="s">
        <v>477</v>
      </c>
      <c r="D291" s="6">
        <f>YEAR(PA[[#This Row],[Date]])</f>
        <v>2025</v>
      </c>
      <c r="E291" s="178" t="s">
        <v>361</v>
      </c>
      <c r="F291" s="178" t="s">
        <v>361</v>
      </c>
      <c r="G291" s="179">
        <v>45809</v>
      </c>
      <c r="H291" s="176">
        <f>DAY(EOMONTH(PA[[#This Row],[Month Year]],0))</f>
        <v>30</v>
      </c>
      <c r="I291" s="180">
        <f>VLOOKUP(PA[[#This Row],[Date]],Raw_Data[#All],9,0)</f>
        <v>0.26250000000000001</v>
      </c>
      <c r="J291" s="180">
        <f>VLOOKUP(PA[[#This Row],[Date]],Raw_Data[#All],10,0)</f>
        <v>0.81180555555555556</v>
      </c>
      <c r="K291" s="68">
        <f>IFERROR((PA[[#This Row],[Sunset Time (POA&lt;20 W/m2)]]-PA[[#This Row],[Sunrise Time (POA&gt;20 W/m2)]])*24,"")</f>
        <v>13.183333333333332</v>
      </c>
      <c r="L291" s="178" t="s">
        <v>447</v>
      </c>
      <c r="M291" s="178" t="s">
        <v>394</v>
      </c>
      <c r="N291" s="178" t="s">
        <v>395</v>
      </c>
      <c r="O291" s="178" t="s">
        <v>413</v>
      </c>
      <c r="P291" s="178" t="s">
        <v>429</v>
      </c>
      <c r="Q291" s="178"/>
      <c r="R291" s="6">
        <f>IF((PA[[#This Row],[String Type(If String BD)]]&amp;PA[[#This Row],[Equipment (If any BD other than PV  array and inv)]])="",1,0)</f>
        <v>0</v>
      </c>
      <c r="S291" s="6">
        <f>IF(PA[[#This Row],[String Type(If String BD)]]="",1,0)</f>
        <v>0</v>
      </c>
      <c r="T2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91" s="68">
        <f>IFERROR(VLOOKUP(PA[[#This Row],[Affected Equipment ]],'Basic Data '!$A$1:$B$1846,2,0),"")</f>
        <v>15.66</v>
      </c>
      <c r="V291" s="143">
        <f>IFERROR(VLOOKUP(PA[[#This Row],[Affected Equipment ]],'Basic Data '!$A$1:$C$1846,3,0),"")</f>
        <v>4.6733573865009801E-5</v>
      </c>
      <c r="W291" s="178" t="s">
        <v>451</v>
      </c>
      <c r="X291" s="110" t="s">
        <v>491</v>
      </c>
      <c r="Y291" s="110" t="s">
        <v>491</v>
      </c>
      <c r="Z291" s="109">
        <v>0.54583333333333328</v>
      </c>
      <c r="AA291" s="109">
        <v>0.54583333333333328</v>
      </c>
      <c r="AB291" s="109">
        <v>0.54583333333333328</v>
      </c>
      <c r="AC291" s="109">
        <v>0.56388888888888888</v>
      </c>
      <c r="AD291" s="82">
        <f>IF(PA[[#This Row],[Acknowledgement Time ]]="NA","",(PA[[#This Row],[Acknowledgement Time ]]-PA[[#This Row],[Fault Time]])*24)</f>
        <v>0</v>
      </c>
      <c r="AE291" s="82">
        <f>IF(PA[[#This Row],[Work Start time on Fault]]="NA","",(PA[[#This Row],[Work Start time on Fault]]-PA[[#This Row],[Fault Time]])*24)</f>
        <v>0</v>
      </c>
      <c r="AF291" s="111">
        <f>IF(PA[[#This Row],[Status]]="Open","",(PA[[#This Row],[Work Completion time on fault]]-PA[[#This Row],[Fault Time]])*24)</f>
        <v>0.43333333333333446</v>
      </c>
      <c r="AG291" s="82">
        <f>IFERROR((PA[[#This Row],[Work Completion time on fault]]-PA[[#This Row],[Fault Time]])*24,"")</f>
        <v>0.43333333333333446</v>
      </c>
      <c r="AH291" s="110" t="s">
        <v>491</v>
      </c>
      <c r="AI291" s="178" t="s">
        <v>422</v>
      </c>
      <c r="AJ291" s="68">
        <f>IFERROR(PA[[#This Row],[Breakdown Time]]*PA[[#This Row],[Plant Equivalent Weightage]],"")</f>
        <v>2.0251215341504299E-5</v>
      </c>
      <c r="AK291" s="117">
        <v>0.42896666666666666</v>
      </c>
      <c r="AL291" s="116">
        <f>IF(PA[[#This Row],[Lost PoA(Wh/m2)]]&gt;0,_xlfn.XLOOKUP($B291,'Daily KPI'!$A:$A,'Daily KPI'!$AE:$AE)*PA[[#This Row],[Lost PoA(Wh/m2)]]*U291,0)</f>
        <v>5.574900672625577</v>
      </c>
      <c r="AM291" s="176" t="s">
        <v>2600</v>
      </c>
    </row>
    <row r="292" spans="1:39" ht="14" customHeight="1">
      <c r="A292" s="177">
        <f t="shared" si="5"/>
        <v>289</v>
      </c>
      <c r="B292" s="185">
        <v>45822</v>
      </c>
      <c r="C292" s="178" t="s">
        <v>477</v>
      </c>
      <c r="D292" s="6">
        <f>YEAR(PA[[#This Row],[Date]])</f>
        <v>2025</v>
      </c>
      <c r="E292" s="178" t="s">
        <v>361</v>
      </c>
      <c r="F292" s="178" t="s">
        <v>361</v>
      </c>
      <c r="G292" s="179">
        <v>45809</v>
      </c>
      <c r="H292" s="176">
        <f>DAY(EOMONTH(PA[[#This Row],[Month Year]],0))</f>
        <v>30</v>
      </c>
      <c r="I292" s="180">
        <f>VLOOKUP(PA[[#This Row],[Date]],Raw_Data[#All],9,0)</f>
        <v>0.28333333333333333</v>
      </c>
      <c r="J292" s="180">
        <f>VLOOKUP(PA[[#This Row],[Date]],Raw_Data[#All],10,0)</f>
        <v>0.80972222222222223</v>
      </c>
      <c r="K292" s="68">
        <f>IFERROR((PA[[#This Row],[Sunset Time (POA&lt;20 W/m2)]]-PA[[#This Row],[Sunrise Time (POA&gt;20 W/m2)]])*24,"")</f>
        <v>12.633333333333333</v>
      </c>
      <c r="L292" s="178" t="s">
        <v>437</v>
      </c>
      <c r="M292" s="178" t="s">
        <v>401</v>
      </c>
      <c r="N292" s="178" t="s">
        <v>395</v>
      </c>
      <c r="O292" s="178" t="s">
        <v>396</v>
      </c>
      <c r="P292" s="178" t="s">
        <v>397</v>
      </c>
      <c r="Q292" s="178"/>
      <c r="R292" s="6">
        <f>IF((PA[[#This Row],[String Type(If String BD)]]&amp;PA[[#This Row],[Equipment (If any BD other than PV  array and inv)]])="",1,0)</f>
        <v>0</v>
      </c>
      <c r="S292" s="6">
        <f>IF(PA[[#This Row],[String Type(If String BD)]]="",1,0)</f>
        <v>0</v>
      </c>
      <c r="T2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2" s="68">
        <f>IFERROR(VLOOKUP(PA[[#This Row],[Affected Equipment ]],'Basic Data '!$A$1:$B$1846,2,0),"")</f>
        <v>25.81</v>
      </c>
      <c r="V292" s="143">
        <f>IFERROR(VLOOKUP(PA[[#This Row],[Affected Equipment ]],'Basic Data '!$A$1:$C$1846,3,0),"")</f>
        <v>7.7023853221960597E-5</v>
      </c>
      <c r="W292" s="178" t="s">
        <v>451</v>
      </c>
      <c r="X292" s="110" t="s">
        <v>2603</v>
      </c>
      <c r="Y292" s="110" t="s">
        <v>2603</v>
      </c>
      <c r="Z292" s="109">
        <v>0.28333333333333333</v>
      </c>
      <c r="AA292" s="109">
        <v>0.28333333333333333</v>
      </c>
      <c r="AB292" s="109">
        <v>0.28333333333333333</v>
      </c>
      <c r="AC292" s="109">
        <v>0.80972222222222223</v>
      </c>
      <c r="AD292" s="82">
        <f>IF(PA[[#This Row],[Acknowledgement Time ]]="NA","",(PA[[#This Row],[Acknowledgement Time ]]-PA[[#This Row],[Fault Time]])*24)</f>
        <v>0</v>
      </c>
      <c r="AE292" s="82">
        <f>IF(PA[[#This Row],[Work Start time on Fault]]="NA","",(PA[[#This Row],[Work Start time on Fault]]-PA[[#This Row],[Fault Time]])*24)</f>
        <v>0</v>
      </c>
      <c r="AF292" s="111">
        <f>IF(PA[[#This Row],[Status]]="Open","",(PA[[#This Row],[Work Completion time on fault]]-PA[[#This Row],[Fault Time]])*24)</f>
        <v>12.633333333333333</v>
      </c>
      <c r="AG292" s="82">
        <f>IFERROR((PA[[#This Row],[Work Completion time on fault]]-PA[[#This Row],[Fault Time]])*24,"")</f>
        <v>12.633333333333333</v>
      </c>
      <c r="AH292" s="110" t="s">
        <v>2603</v>
      </c>
      <c r="AI292" s="79" t="s">
        <v>422</v>
      </c>
      <c r="AJ292" s="68">
        <f>IFERROR(PA[[#This Row],[Breakdown Time]]*PA[[#This Row],[Plant Equivalent Weightage]],"")</f>
        <v>9.730680123707688E-4</v>
      </c>
      <c r="AK292" s="117">
        <v>1.79</v>
      </c>
      <c r="AL292" s="116">
        <f>IF(PA[[#This Row],[Lost PoA(Wh/m2)]]&gt;0,_xlfn.XLOOKUP($B292,'Daily KPI'!$A:$A,'Daily KPI'!$AE:$AE)*PA[[#This Row],[Lost PoA(Wh/m2)]]*U292,0)</f>
        <v>38.340949661804878</v>
      </c>
      <c r="AM292" s="176" t="s">
        <v>2604</v>
      </c>
    </row>
    <row r="293" spans="1:39" ht="14" customHeight="1">
      <c r="A293" s="177">
        <f t="shared" si="5"/>
        <v>290</v>
      </c>
      <c r="B293" s="185">
        <v>45823</v>
      </c>
      <c r="C293" s="178" t="s">
        <v>477</v>
      </c>
      <c r="D293" s="6">
        <f>YEAR(PA[[#This Row],[Date]])</f>
        <v>2025</v>
      </c>
      <c r="E293" s="178" t="s">
        <v>361</v>
      </c>
      <c r="F293" s="178" t="s">
        <v>361</v>
      </c>
      <c r="G293" s="179">
        <v>45809</v>
      </c>
      <c r="H293" s="176">
        <f>DAY(EOMONTH(PA[[#This Row],[Month Year]],0))</f>
        <v>30</v>
      </c>
      <c r="I293" s="180">
        <f>VLOOKUP(PA[[#This Row],[Date]],Raw_Data[#All],9,0)</f>
        <v>0.27708333333333335</v>
      </c>
      <c r="J293" s="180">
        <f>VLOOKUP(PA[[#This Row],[Date]],Raw_Data[#All],10,0)</f>
        <v>0.81319444444444444</v>
      </c>
      <c r="K293" s="68">
        <f>IFERROR((PA[[#This Row],[Sunset Time (POA&lt;20 W/m2)]]-PA[[#This Row],[Sunrise Time (POA&gt;20 W/m2)]])*24,"")</f>
        <v>12.866666666666667</v>
      </c>
      <c r="L293" s="178" t="s">
        <v>437</v>
      </c>
      <c r="M293" s="178" t="s">
        <v>401</v>
      </c>
      <c r="N293" s="178" t="s">
        <v>395</v>
      </c>
      <c r="O293" s="178" t="s">
        <v>396</v>
      </c>
      <c r="P293" s="178" t="s">
        <v>397</v>
      </c>
      <c r="Q293" s="178"/>
      <c r="R293" s="6">
        <f>IF((PA[[#This Row],[String Type(If String BD)]]&amp;PA[[#This Row],[Equipment (If any BD other than PV  array and inv)]])="",1,0)</f>
        <v>0</v>
      </c>
      <c r="S293" s="6">
        <f>IF(PA[[#This Row],[String Type(If String BD)]]="",1,0)</f>
        <v>0</v>
      </c>
      <c r="T2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3" s="68">
        <f>IFERROR(VLOOKUP(PA[[#This Row],[Affected Equipment ]],'Basic Data '!$A$1:$B$1846,2,0),"")</f>
        <v>25.81</v>
      </c>
      <c r="V293" s="143">
        <f>IFERROR(VLOOKUP(PA[[#This Row],[Affected Equipment ]],'Basic Data '!$A$1:$C$1846,3,0),"")</f>
        <v>7.7023853221960597E-5</v>
      </c>
      <c r="W293" s="178" t="s">
        <v>451</v>
      </c>
      <c r="X293" s="110" t="s">
        <v>2603</v>
      </c>
      <c r="Y293" s="110" t="s">
        <v>2603</v>
      </c>
      <c r="Z293" s="109">
        <v>0.27708333333333335</v>
      </c>
      <c r="AA293" s="109">
        <v>0.27708333333333335</v>
      </c>
      <c r="AB293" s="109">
        <v>0.27708333333333335</v>
      </c>
      <c r="AC293" s="109">
        <v>0.81319444444444444</v>
      </c>
      <c r="AD293" s="82">
        <f>IF(PA[[#This Row],[Acknowledgement Time ]]="NA","",(PA[[#This Row],[Acknowledgement Time ]]-PA[[#This Row],[Fault Time]])*24)</f>
        <v>0</v>
      </c>
      <c r="AE293" s="82">
        <f>IF(PA[[#This Row],[Work Start time on Fault]]="NA","",(PA[[#This Row],[Work Start time on Fault]]-PA[[#This Row],[Fault Time]])*24)</f>
        <v>0</v>
      </c>
      <c r="AF293" s="111">
        <f>IF(PA[[#This Row],[Status]]="Open","",(PA[[#This Row],[Work Completion time on fault]]-PA[[#This Row],[Fault Time]])*24)</f>
        <v>12.866666666666667</v>
      </c>
      <c r="AG293" s="82">
        <f>IFERROR((PA[[#This Row],[Work Completion time on fault]]-PA[[#This Row],[Fault Time]])*24,"")</f>
        <v>12.866666666666667</v>
      </c>
      <c r="AH293" s="110" t="s">
        <v>2603</v>
      </c>
      <c r="AI293" s="79" t="s">
        <v>422</v>
      </c>
      <c r="AJ293" s="68">
        <f>IFERROR(PA[[#This Row],[Breakdown Time]]*PA[[#This Row],[Plant Equivalent Weightage]],"")</f>
        <v>9.9104024478922632E-4</v>
      </c>
      <c r="AK293" s="117">
        <v>2.95</v>
      </c>
      <c r="AL293" s="116">
        <f>IF(PA[[#This Row],[Lost PoA(Wh/m2)]]&gt;0,_xlfn.XLOOKUP($B293,'Daily KPI'!$A:$A,'Daily KPI'!$AE:$AE)*PA[[#This Row],[Lost PoA(Wh/m2)]]*U293,0)</f>
        <v>63.18759860465051</v>
      </c>
      <c r="AM293" s="176" t="s">
        <v>2605</v>
      </c>
    </row>
    <row r="294" spans="1:39" ht="14" customHeight="1">
      <c r="A294" s="177">
        <f t="shared" si="5"/>
        <v>291</v>
      </c>
      <c r="B294" s="185">
        <v>45824</v>
      </c>
      <c r="C294" s="178" t="s">
        <v>477</v>
      </c>
      <c r="D294" s="6">
        <f>YEAR(PA[[#This Row],[Date]])</f>
        <v>2025</v>
      </c>
      <c r="E294" s="178" t="s">
        <v>361</v>
      </c>
      <c r="F294" s="178" t="s">
        <v>361</v>
      </c>
      <c r="G294" s="179">
        <v>45809</v>
      </c>
      <c r="H294" s="176">
        <f>DAY(EOMONTH(PA[[#This Row],[Month Year]],0))</f>
        <v>30</v>
      </c>
      <c r="I294" s="180">
        <f>VLOOKUP(PA[[#This Row],[Date]],Raw_Data[#All],9,0)</f>
        <v>0.25972222222222224</v>
      </c>
      <c r="J294" s="180">
        <f>VLOOKUP(PA[[#This Row],[Date]],Raw_Data[#All],10,0)</f>
        <v>0.81944444444444442</v>
      </c>
      <c r="K294" s="68">
        <f>IFERROR((PA[[#This Row],[Sunset Time (POA&lt;20 W/m2)]]-PA[[#This Row],[Sunrise Time (POA&gt;20 W/m2)]])*24,"")</f>
        <v>13.433333333333334</v>
      </c>
      <c r="L294" s="178" t="s">
        <v>441</v>
      </c>
      <c r="M294" s="178" t="s">
        <v>408</v>
      </c>
      <c r="N294" s="178" t="s">
        <v>402</v>
      </c>
      <c r="O294" s="178"/>
      <c r="P294" s="178"/>
      <c r="Q294" s="178"/>
      <c r="R294" s="6">
        <f>IF((PA[[#This Row],[String Type(If String BD)]]&amp;PA[[#This Row],[Equipment (If any BD other than PV  array and inv)]])="",1,0)</f>
        <v>1</v>
      </c>
      <c r="S294" s="6">
        <f>IF(PA[[#This Row],[String Type(If String BD)]]="",1,0)</f>
        <v>1</v>
      </c>
      <c r="T2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94" s="68">
        <f>IFERROR(VLOOKUP(PA[[#This Row],[Affected Equipment ]],'Basic Data '!$A$1:$B$1846,2,0),"")</f>
        <v>2114.1000000000004</v>
      </c>
      <c r="V294" s="143">
        <f>IFERROR(VLOOKUP(PA[[#This Row],[Affected Equipment ]],'Basic Data '!$A$1:$C$1846,3,0),"")</f>
        <v>6.3090324717763246E-3</v>
      </c>
      <c r="W294" s="178" t="s">
        <v>427</v>
      </c>
      <c r="X294" s="110" t="s">
        <v>452</v>
      </c>
      <c r="Y294" s="110" t="s">
        <v>452</v>
      </c>
      <c r="Z294" s="109">
        <v>0.26527777777777778</v>
      </c>
      <c r="AA294" s="109">
        <v>0.26527777777777778</v>
      </c>
      <c r="AB294" s="109">
        <v>0.32083333333333336</v>
      </c>
      <c r="AC294" s="109">
        <v>0.34027777777777779</v>
      </c>
      <c r="AD294" s="82">
        <f>IF(PA[[#This Row],[Acknowledgement Time ]]="NA","",(PA[[#This Row],[Acknowledgement Time ]]-PA[[#This Row],[Fault Time]])*24)</f>
        <v>0</v>
      </c>
      <c r="AE294" s="82">
        <f>IF(PA[[#This Row],[Work Start time on Fault]]="NA","",(PA[[#This Row],[Work Start time on Fault]]-PA[[#This Row],[Fault Time]])*24)</f>
        <v>1.3333333333333339</v>
      </c>
      <c r="AF294" s="111">
        <f>IF(PA[[#This Row],[Status]]="Open","",(PA[[#This Row],[Work Completion time on fault]]-PA[[#This Row],[Fault Time]])*24)</f>
        <v>1.8000000000000003</v>
      </c>
      <c r="AG294" s="82">
        <f>IFERROR((PA[[#This Row],[Work Completion time on fault]]-PA[[#This Row],[Fault Time]])*24,"")</f>
        <v>1.8000000000000003</v>
      </c>
      <c r="AH294" s="110" t="s">
        <v>479</v>
      </c>
      <c r="AI294" s="178" t="s">
        <v>422</v>
      </c>
      <c r="AJ294" s="68">
        <f>IFERROR(PA[[#This Row],[Breakdown Time]]*PA[[#This Row],[Plant Equivalent Weightage]],"")</f>
        <v>1.1356258449197385E-2</v>
      </c>
      <c r="AK294" s="117">
        <v>0.21952916666666666</v>
      </c>
      <c r="AL294" s="116">
        <f>IF(PA[[#This Row],[Lost PoA(Wh/m2)]]&gt;0,_xlfn.XLOOKUP($B294,'Daily KPI'!$A:$A,'Daily KPI'!$AE:$AE)*PA[[#This Row],[Lost PoA(Wh/m2)]]*U294,0)</f>
        <v>385.15858734861115</v>
      </c>
      <c r="AM294" s="176" t="s">
        <v>2606</v>
      </c>
    </row>
    <row r="295" spans="1:39" ht="14" customHeight="1">
      <c r="A295" s="177">
        <f t="shared" si="5"/>
        <v>292</v>
      </c>
      <c r="B295" s="185">
        <v>45824</v>
      </c>
      <c r="C295" s="178" t="s">
        <v>477</v>
      </c>
      <c r="D295" s="6">
        <f>YEAR(PA[[#This Row],[Date]])</f>
        <v>2025</v>
      </c>
      <c r="E295" s="178" t="s">
        <v>361</v>
      </c>
      <c r="F295" s="178" t="s">
        <v>361</v>
      </c>
      <c r="G295" s="179">
        <v>45809</v>
      </c>
      <c r="H295" s="176">
        <f>DAY(EOMONTH(PA[[#This Row],[Month Year]],0))</f>
        <v>30</v>
      </c>
      <c r="I295" s="180">
        <f>VLOOKUP(PA[[#This Row],[Date]],Raw_Data[#All],9,0)</f>
        <v>0.25972222222222224</v>
      </c>
      <c r="J295" s="180">
        <f>VLOOKUP(PA[[#This Row],[Date]],Raw_Data[#All],10,0)</f>
        <v>0.81944444444444442</v>
      </c>
      <c r="K295" s="68">
        <f>IFERROR((PA[[#This Row],[Sunset Time (POA&lt;20 W/m2)]]-PA[[#This Row],[Sunrise Time (POA&gt;20 W/m2)]])*24,"")</f>
        <v>13.433333333333334</v>
      </c>
      <c r="L295" s="178" t="s">
        <v>441</v>
      </c>
      <c r="M295" s="178" t="s">
        <v>408</v>
      </c>
      <c r="N295" s="178" t="s">
        <v>395</v>
      </c>
      <c r="O295" s="178"/>
      <c r="P295" s="178"/>
      <c r="Q295" s="178"/>
      <c r="R295" s="6">
        <f>IF((PA[[#This Row],[String Type(If String BD)]]&amp;PA[[#This Row],[Equipment (If any BD other than PV  array and inv)]])="",1,0)</f>
        <v>1</v>
      </c>
      <c r="S295" s="6">
        <f>IF(PA[[#This Row],[String Type(If String BD)]]="",1,0)</f>
        <v>1</v>
      </c>
      <c r="T2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95" s="68">
        <f>IFERROR(VLOOKUP(PA[[#This Row],[Affected Equipment ]],'Basic Data '!$A$1:$B$1846,2,0),"")</f>
        <v>2088.0000000000005</v>
      </c>
      <c r="V295" s="143">
        <f>IFERROR(VLOOKUP(PA[[#This Row],[Affected Equipment ]],'Basic Data '!$A$1:$C$1846,3,0),"")</f>
        <v>6.2311431820013087E-3</v>
      </c>
      <c r="W295" s="178" t="s">
        <v>427</v>
      </c>
      <c r="X295" s="110" t="s">
        <v>455</v>
      </c>
      <c r="Y295" s="110" t="s">
        <v>455</v>
      </c>
      <c r="Z295" s="109">
        <v>0.32291666666666669</v>
      </c>
      <c r="AA295" s="109">
        <v>0.32291666666666669</v>
      </c>
      <c r="AB295" s="109">
        <v>0.32291666666666669</v>
      </c>
      <c r="AC295" s="109">
        <v>0.34027777777777779</v>
      </c>
      <c r="AD295" s="82">
        <f>IF(PA[[#This Row],[Acknowledgement Time ]]="NA","",(PA[[#This Row],[Acknowledgement Time ]]-PA[[#This Row],[Fault Time]])*24)</f>
        <v>0</v>
      </c>
      <c r="AE295" s="82">
        <f>IF(PA[[#This Row],[Work Start time on Fault]]="NA","",(PA[[#This Row],[Work Start time on Fault]]-PA[[#This Row],[Fault Time]])*24)</f>
        <v>0</v>
      </c>
      <c r="AF295" s="111">
        <f>IF(PA[[#This Row],[Status]]="Open","",(PA[[#This Row],[Work Completion time on fault]]-PA[[#This Row],[Fault Time]])*24)</f>
        <v>0.41666666666666652</v>
      </c>
      <c r="AG295" s="82">
        <f>IFERROR((PA[[#This Row],[Work Completion time on fault]]-PA[[#This Row],[Fault Time]])*24,"")</f>
        <v>0.41666666666666652</v>
      </c>
      <c r="AH295" s="110" t="s">
        <v>455</v>
      </c>
      <c r="AI295" s="178" t="s">
        <v>422</v>
      </c>
      <c r="AJ295" s="68">
        <f>IFERROR(PA[[#This Row],[Breakdown Time]]*PA[[#This Row],[Plant Equivalent Weightage]],"")</f>
        <v>2.596309659167211E-3</v>
      </c>
      <c r="AK295" s="117">
        <v>6.7603333333333335E-2</v>
      </c>
      <c r="AL295" s="116">
        <f>IF(PA[[#This Row],[Lost PoA(Wh/m2)]]&gt;0,_xlfn.XLOOKUP($B295,'Daily KPI'!$A:$A,'Daily KPI'!$AE:$AE)*PA[[#This Row],[Lost PoA(Wh/m2)]]*U295,0)</f>
        <v>117.14410396199585</v>
      </c>
      <c r="AM295" s="176" t="s">
        <v>2606</v>
      </c>
    </row>
    <row r="296" spans="1:39" ht="14" customHeight="1">
      <c r="A296" s="177">
        <f t="shared" si="5"/>
        <v>293</v>
      </c>
      <c r="B296" s="185">
        <v>45824</v>
      </c>
      <c r="C296" s="178" t="s">
        <v>477</v>
      </c>
      <c r="D296" s="6">
        <f>YEAR(PA[[#This Row],[Date]])</f>
        <v>2025</v>
      </c>
      <c r="E296" s="178" t="s">
        <v>361</v>
      </c>
      <c r="F296" s="178" t="s">
        <v>361</v>
      </c>
      <c r="G296" s="179">
        <v>45809</v>
      </c>
      <c r="H296" s="176">
        <f>DAY(EOMONTH(PA[[#This Row],[Month Year]],0))</f>
        <v>30</v>
      </c>
      <c r="I296" s="180">
        <f>VLOOKUP(PA[[#This Row],[Date]],Raw_Data[#All],9,0)</f>
        <v>0.25972222222222224</v>
      </c>
      <c r="J296" s="180">
        <f>VLOOKUP(PA[[#This Row],[Date]],Raw_Data[#All],10,0)</f>
        <v>0.81944444444444442</v>
      </c>
      <c r="K296" s="68">
        <f>IFERROR((PA[[#This Row],[Sunset Time (POA&lt;20 W/m2)]]-PA[[#This Row],[Sunrise Time (POA&gt;20 W/m2)]])*24,"")</f>
        <v>13.433333333333334</v>
      </c>
      <c r="L296" s="178" t="s">
        <v>416</v>
      </c>
      <c r="M296" s="178" t="s">
        <v>401</v>
      </c>
      <c r="N296" s="178" t="s">
        <v>402</v>
      </c>
      <c r="O296" s="178"/>
      <c r="P296" s="178"/>
      <c r="Q296" s="178"/>
      <c r="R296" s="6">
        <f>IF((PA[[#This Row],[String Type(If String BD)]]&amp;PA[[#This Row],[Equipment (If any BD other than PV  array and inv)]])="",1,0)</f>
        <v>1</v>
      </c>
      <c r="S296" s="6">
        <f>IF(PA[[#This Row],[String Type(If String BD)]]="",1,0)</f>
        <v>1</v>
      </c>
      <c r="T2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96" s="68">
        <f>IFERROR(VLOOKUP(PA[[#This Row],[Affected Equipment ]],'Basic Data '!$A$1:$B$1846,2,0),"")</f>
        <v>2244.3100000000004</v>
      </c>
      <c r="V296" s="143">
        <f>IFERROR(VLOOKUP(PA[[#This Row],[Affected Equipment ]],'Basic Data '!$A$1:$C$1846,3,0),"")</f>
        <v>6.6976134840983506E-3</v>
      </c>
      <c r="W296" s="178" t="s">
        <v>427</v>
      </c>
      <c r="X296" s="110" t="s">
        <v>452</v>
      </c>
      <c r="Y296" s="110" t="s">
        <v>452</v>
      </c>
      <c r="Z296" s="109">
        <v>0.2638888888888889</v>
      </c>
      <c r="AA296" s="109">
        <v>0.2638888888888889</v>
      </c>
      <c r="AB296" s="109">
        <v>0.28125</v>
      </c>
      <c r="AC296" s="109">
        <v>0.32777777777777778</v>
      </c>
      <c r="AD296" s="82">
        <f>IF(PA[[#This Row],[Acknowledgement Time ]]="NA","",(PA[[#This Row],[Acknowledgement Time ]]-PA[[#This Row],[Fault Time]])*24)</f>
        <v>0</v>
      </c>
      <c r="AE296" s="82">
        <f>IF(PA[[#This Row],[Work Start time on Fault]]="NA","",(PA[[#This Row],[Work Start time on Fault]]-PA[[#This Row],[Fault Time]])*24)</f>
        <v>0.41666666666666652</v>
      </c>
      <c r="AF296" s="111">
        <f>IF(PA[[#This Row],[Status]]="Open","",(PA[[#This Row],[Work Completion time on fault]]-PA[[#This Row],[Fault Time]])*24)</f>
        <v>1.5333333333333332</v>
      </c>
      <c r="AG296" s="82">
        <f>IFERROR((PA[[#This Row],[Work Completion time on fault]]-PA[[#This Row],[Fault Time]])*24,"")</f>
        <v>1.5333333333333332</v>
      </c>
      <c r="AH296" s="110" t="s">
        <v>479</v>
      </c>
      <c r="AI296" s="178" t="s">
        <v>422</v>
      </c>
      <c r="AJ296" s="68">
        <f>IFERROR(PA[[#This Row],[Breakdown Time]]*PA[[#This Row],[Plant Equivalent Weightage]],"")</f>
        <v>1.0269674008950803E-2</v>
      </c>
      <c r="AK296" s="117">
        <v>0.17217966666666668</v>
      </c>
      <c r="AL296" s="116">
        <f>IF(PA[[#This Row],[Lost PoA(Wh/m2)]]&gt;0,_xlfn.XLOOKUP($B296,'Daily KPI'!$A:$A,'Daily KPI'!$AE:$AE)*PA[[#This Row],[Lost PoA(Wh/m2)]]*U296,0)</f>
        <v>320.69082684862133</v>
      </c>
      <c r="AM296" s="176" t="s">
        <v>2606</v>
      </c>
    </row>
    <row r="297" spans="1:39" ht="14" customHeight="1">
      <c r="A297" s="177">
        <f t="shared" si="5"/>
        <v>294</v>
      </c>
      <c r="B297" s="185">
        <v>45824</v>
      </c>
      <c r="C297" s="178" t="s">
        <v>477</v>
      </c>
      <c r="D297" s="6">
        <f>YEAR(PA[[#This Row],[Date]])</f>
        <v>2025</v>
      </c>
      <c r="E297" s="178" t="s">
        <v>361</v>
      </c>
      <c r="F297" s="178" t="s">
        <v>361</v>
      </c>
      <c r="G297" s="179">
        <v>45809</v>
      </c>
      <c r="H297" s="176">
        <f>DAY(EOMONTH(PA[[#This Row],[Month Year]],0))</f>
        <v>30</v>
      </c>
      <c r="I297" s="180">
        <f>VLOOKUP(PA[[#This Row],[Date]],Raw_Data[#All],9,0)</f>
        <v>0.25972222222222224</v>
      </c>
      <c r="J297" s="180">
        <f>VLOOKUP(PA[[#This Row],[Date]],Raw_Data[#All],10,0)</f>
        <v>0.81944444444444442</v>
      </c>
      <c r="K297" s="68">
        <f>IFERROR((PA[[#This Row],[Sunset Time (POA&lt;20 W/m2)]]-PA[[#This Row],[Sunrise Time (POA&gt;20 W/m2)]])*24,"")</f>
        <v>13.433333333333334</v>
      </c>
      <c r="L297" s="178" t="s">
        <v>416</v>
      </c>
      <c r="M297" s="178" t="s">
        <v>401</v>
      </c>
      <c r="N297" s="178" t="s">
        <v>395</v>
      </c>
      <c r="O297" s="178"/>
      <c r="P297" s="178"/>
      <c r="Q297" s="178"/>
      <c r="R297" s="6">
        <f>IF((PA[[#This Row],[String Type(If String BD)]]&amp;PA[[#This Row],[Equipment (If any BD other than PV  array and inv)]])="",1,0)</f>
        <v>1</v>
      </c>
      <c r="S297" s="6">
        <f>IF(PA[[#This Row],[String Type(If String BD)]]="",1,0)</f>
        <v>1</v>
      </c>
      <c r="T2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97" s="68">
        <f>IFERROR(VLOOKUP(PA[[#This Row],[Affected Equipment ]],'Basic Data '!$A$1:$B$1846,2,0),"")</f>
        <v>1959.8200000000002</v>
      </c>
      <c r="V297" s="143">
        <f>IFERROR(VLOOKUP(PA[[#This Row],[Affected Equipment ]],'Basic Data '!$A$1:$C$1846,3,0),"")</f>
        <v>5.8486202255506716E-3</v>
      </c>
      <c r="W297" s="178" t="s">
        <v>427</v>
      </c>
      <c r="X297" s="110" t="s">
        <v>455</v>
      </c>
      <c r="Y297" s="110" t="s">
        <v>455</v>
      </c>
      <c r="Z297" s="109">
        <v>0.3125</v>
      </c>
      <c r="AA297" s="109">
        <v>0.3125</v>
      </c>
      <c r="AB297" s="109">
        <v>0.3125</v>
      </c>
      <c r="AC297" s="109">
        <v>0.32777777777777778</v>
      </c>
      <c r="AD297" s="82">
        <f>IF(PA[[#This Row],[Acknowledgement Time ]]="NA","",(PA[[#This Row],[Acknowledgement Time ]]-PA[[#This Row],[Fault Time]])*24)</f>
        <v>0</v>
      </c>
      <c r="AE297" s="82">
        <f>IF(PA[[#This Row],[Work Start time on Fault]]="NA","",(PA[[#This Row],[Work Start time on Fault]]-PA[[#This Row],[Fault Time]])*24)</f>
        <v>0</v>
      </c>
      <c r="AF297" s="111">
        <f>IF(PA[[#This Row],[Status]]="Open","",(PA[[#This Row],[Work Completion time on fault]]-PA[[#This Row],[Fault Time]])*24)</f>
        <v>0.3666666666666667</v>
      </c>
      <c r="AG297" s="82">
        <f>IFERROR((PA[[#This Row],[Work Completion time on fault]]-PA[[#This Row],[Fault Time]])*24,"")</f>
        <v>0.3666666666666667</v>
      </c>
      <c r="AH297" s="110" t="s">
        <v>455</v>
      </c>
      <c r="AI297" s="178" t="s">
        <v>422</v>
      </c>
      <c r="AJ297" s="68">
        <f>IFERROR(PA[[#This Row],[Breakdown Time]]*PA[[#This Row],[Plant Equivalent Weightage]],"")</f>
        <v>2.1444940827019133E-3</v>
      </c>
      <c r="AK297" s="117">
        <v>6.3401666666666662E-2</v>
      </c>
      <c r="AL297" s="116">
        <f>IF(PA[[#This Row],[Lost PoA(Wh/m2)]]&gt;0,_xlfn.XLOOKUP($B297,'Daily KPI'!$A:$A,'Daily KPI'!$AE:$AE)*PA[[#This Row],[Lost PoA(Wh/m2)]]*U297,0)</f>
        <v>103.11899933672854</v>
      </c>
      <c r="AM297" s="176" t="s">
        <v>2606</v>
      </c>
    </row>
    <row r="298" spans="1:39" ht="14" customHeight="1">
      <c r="A298" s="177">
        <f t="shared" si="5"/>
        <v>295</v>
      </c>
      <c r="B298" s="185">
        <v>45825</v>
      </c>
      <c r="C298" s="178" t="s">
        <v>477</v>
      </c>
      <c r="D298" s="6">
        <f>YEAR(PA[[#This Row],[Date]])</f>
        <v>2025</v>
      </c>
      <c r="E298" s="178" t="s">
        <v>361</v>
      </c>
      <c r="F298" s="178" t="s">
        <v>361</v>
      </c>
      <c r="G298" s="179">
        <v>45809</v>
      </c>
      <c r="H298" s="176">
        <f>DAY(EOMONTH(PA[[#This Row],[Month Year]],0))</f>
        <v>30</v>
      </c>
      <c r="I298" s="180">
        <f>VLOOKUP(PA[[#This Row],[Date]],Raw_Data[#All],9,0)</f>
        <v>0.27152777777777776</v>
      </c>
      <c r="J298" s="180">
        <f>VLOOKUP(PA[[#This Row],[Date]],Raw_Data[#All],10,0)</f>
        <v>0.81874999999999998</v>
      </c>
      <c r="K298" s="68">
        <f>IFERROR((PA[[#This Row],[Sunset Time (POA&lt;20 W/m2)]]-PA[[#This Row],[Sunrise Time (POA&gt;20 W/m2)]])*24,"")</f>
        <v>13.133333333333335</v>
      </c>
      <c r="L298" s="178" t="s">
        <v>437</v>
      </c>
      <c r="M298" s="178" t="s">
        <v>401</v>
      </c>
      <c r="N298" s="178" t="s">
        <v>395</v>
      </c>
      <c r="O298" s="178" t="s">
        <v>396</v>
      </c>
      <c r="P298" s="178" t="s">
        <v>397</v>
      </c>
      <c r="Q298" s="178"/>
      <c r="R298" s="6">
        <f>IF((PA[[#This Row],[String Type(If String BD)]]&amp;PA[[#This Row],[Equipment (If any BD other than PV  array and inv)]])="",1,0)</f>
        <v>0</v>
      </c>
      <c r="S298" s="6">
        <f>IF(PA[[#This Row],[String Type(If String BD)]]="",1,0)</f>
        <v>0</v>
      </c>
      <c r="T2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8" s="68">
        <f>IFERROR(VLOOKUP(PA[[#This Row],[Affected Equipment ]],'Basic Data '!$A$1:$B$1846,2,0),"")</f>
        <v>25.81</v>
      </c>
      <c r="V298" s="143">
        <f>IFERROR(VLOOKUP(PA[[#This Row],[Affected Equipment ]],'Basic Data '!$A$1:$C$1846,3,0),"")</f>
        <v>7.7023853221960597E-5</v>
      </c>
      <c r="W298" s="178" t="s">
        <v>451</v>
      </c>
      <c r="X298" s="110" t="s">
        <v>2603</v>
      </c>
      <c r="Y298" s="110" t="s">
        <v>2603</v>
      </c>
      <c r="Z298" s="109">
        <v>0.27152777777777776</v>
      </c>
      <c r="AA298" s="109">
        <v>0.27152777777777776</v>
      </c>
      <c r="AB298" s="109">
        <v>0.27152777777777776</v>
      </c>
      <c r="AC298" s="109">
        <v>0.81874999999999998</v>
      </c>
      <c r="AD298" s="82">
        <f>IF(PA[[#This Row],[Acknowledgement Time ]]="NA","",(PA[[#This Row],[Acknowledgement Time ]]-PA[[#This Row],[Fault Time]])*24)</f>
        <v>0</v>
      </c>
      <c r="AE298" s="82">
        <f>IF(PA[[#This Row],[Work Start time on Fault]]="NA","",(PA[[#This Row],[Work Start time on Fault]]-PA[[#This Row],[Fault Time]])*24)</f>
        <v>0</v>
      </c>
      <c r="AF298" s="111">
        <f>IF(PA[[#This Row],[Status]]="Open","",(PA[[#This Row],[Work Completion time on fault]]-PA[[#This Row],[Fault Time]])*24)</f>
        <v>13.133333333333335</v>
      </c>
      <c r="AG298" s="82">
        <f>IFERROR((PA[[#This Row],[Work Completion time on fault]]-PA[[#This Row],[Fault Time]])*24,"")</f>
        <v>13.133333333333335</v>
      </c>
      <c r="AH298" s="110" t="s">
        <v>2603</v>
      </c>
      <c r="AI298" s="79" t="s">
        <v>422</v>
      </c>
      <c r="AJ298" s="68">
        <f>IFERROR(PA[[#This Row],[Breakdown Time]]*PA[[#This Row],[Plant Equivalent Weightage]],"")</f>
        <v>1.0115799389817492E-3</v>
      </c>
      <c r="AK298" s="117">
        <v>5.75</v>
      </c>
      <c r="AL298" s="116">
        <f>IF(PA[[#This Row],[Lost PoA(Wh/m2)]]&gt;0,_xlfn.XLOOKUP($B298,'Daily KPI'!$A:$A,'Daily KPI'!$AE:$AE)*PA[[#This Row],[Lost PoA(Wh/m2)]]*U298,0)</f>
        <v>123.16226846669164</v>
      </c>
      <c r="AM298" s="176" t="s">
        <v>2605</v>
      </c>
    </row>
    <row r="299" spans="1:39" ht="14" customHeight="1">
      <c r="A299" s="177">
        <f t="shared" si="5"/>
        <v>296</v>
      </c>
      <c r="B299" s="185">
        <v>45826</v>
      </c>
      <c r="C299" s="178" t="s">
        <v>477</v>
      </c>
      <c r="D299" s="6">
        <f>YEAR(PA[[#This Row],[Date]])</f>
        <v>2025</v>
      </c>
      <c r="E299" s="178" t="s">
        <v>361</v>
      </c>
      <c r="F299" s="178" t="s">
        <v>361</v>
      </c>
      <c r="G299" s="179">
        <v>45809</v>
      </c>
      <c r="H299" s="176">
        <f>DAY(EOMONTH(PA[[#This Row],[Month Year]],0))</f>
        <v>30</v>
      </c>
      <c r="I299" s="180">
        <f>VLOOKUP(PA[[#This Row],[Date]],Raw_Data[#All],9,0)</f>
        <v>0.26527777777777778</v>
      </c>
      <c r="J299" s="180">
        <f>VLOOKUP(PA[[#This Row],[Date]],Raw_Data[#All],10,0)</f>
        <v>0.81666666666666665</v>
      </c>
      <c r="K299" s="68">
        <f>IFERROR((PA[[#This Row],[Sunset Time (POA&lt;20 W/m2)]]-PA[[#This Row],[Sunrise Time (POA&gt;20 W/m2)]])*24,"")</f>
        <v>13.233333333333334</v>
      </c>
      <c r="L299" s="178" t="s">
        <v>437</v>
      </c>
      <c r="M299" s="178" t="s">
        <v>401</v>
      </c>
      <c r="N299" s="178" t="s">
        <v>395</v>
      </c>
      <c r="O299" s="178" t="s">
        <v>396</v>
      </c>
      <c r="P299" s="178" t="s">
        <v>397</v>
      </c>
      <c r="Q299" s="178"/>
      <c r="R299" s="6">
        <f>IF((PA[[#This Row],[String Type(If String BD)]]&amp;PA[[#This Row],[Equipment (If any BD other than PV  array and inv)]])="",1,0)</f>
        <v>0</v>
      </c>
      <c r="S299" s="6">
        <f>IF(PA[[#This Row],[String Type(If String BD)]]="",1,0)</f>
        <v>0</v>
      </c>
      <c r="T2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9" s="68">
        <f>IFERROR(VLOOKUP(PA[[#This Row],[Affected Equipment ]],'Basic Data '!$A$1:$B$1846,2,0),"")</f>
        <v>25.81</v>
      </c>
      <c r="V299" s="143">
        <f>IFERROR(VLOOKUP(PA[[#This Row],[Affected Equipment ]],'Basic Data '!$A$1:$C$1846,3,0),"")</f>
        <v>7.7023853221960597E-5</v>
      </c>
      <c r="W299" s="178" t="s">
        <v>451</v>
      </c>
      <c r="X299" s="110" t="s">
        <v>2603</v>
      </c>
      <c r="Y299" s="110" t="s">
        <v>2603</v>
      </c>
      <c r="Z299" s="109">
        <v>0.26527777777777778</v>
      </c>
      <c r="AA299" s="109">
        <v>0.26527777777777778</v>
      </c>
      <c r="AB299" s="109">
        <v>0.26527777777777778</v>
      </c>
      <c r="AC299" s="109">
        <v>0.81666666666666665</v>
      </c>
      <c r="AD299" s="82">
        <f>IF(PA[[#This Row],[Acknowledgement Time ]]="NA","",(PA[[#This Row],[Acknowledgement Time ]]-PA[[#This Row],[Fault Time]])*24)</f>
        <v>0</v>
      </c>
      <c r="AE299" s="82">
        <f>IF(PA[[#This Row],[Work Start time on Fault]]="NA","",(PA[[#This Row],[Work Start time on Fault]]-PA[[#This Row],[Fault Time]])*24)</f>
        <v>0</v>
      </c>
      <c r="AF299" s="111">
        <f>IF(PA[[#This Row],[Status]]="Open","",(PA[[#This Row],[Work Completion time on fault]]-PA[[#This Row],[Fault Time]])*24)</f>
        <v>13.233333333333334</v>
      </c>
      <c r="AG299" s="82">
        <f>IFERROR((PA[[#This Row],[Work Completion time on fault]]-PA[[#This Row],[Fault Time]])*24,"")</f>
        <v>13.233333333333334</v>
      </c>
      <c r="AH299" s="110" t="s">
        <v>2603</v>
      </c>
      <c r="AI299" s="79" t="s">
        <v>422</v>
      </c>
      <c r="AJ299" s="68">
        <f>IFERROR(PA[[#This Row],[Breakdown Time]]*PA[[#This Row],[Plant Equivalent Weightage]],"")</f>
        <v>1.0192823243039453E-3</v>
      </c>
      <c r="AK299" s="117">
        <v>7.2</v>
      </c>
      <c r="AL299" s="116">
        <f>IF(PA[[#This Row],[Lost PoA(Wh/m2)]]&gt;0,_xlfn.XLOOKUP($B299,'Daily KPI'!$A:$A,'Daily KPI'!$AE:$AE)*PA[[#This Row],[Lost PoA(Wh/m2)]]*U299,0)</f>
        <v>154.22057964524868</v>
      </c>
      <c r="AM299" s="176" t="s">
        <v>2610</v>
      </c>
    </row>
    <row r="300" spans="1:39" ht="14" customHeight="1">
      <c r="A300" s="177">
        <f t="shared" si="5"/>
        <v>297</v>
      </c>
      <c r="B300" s="185">
        <v>45827</v>
      </c>
      <c r="C300" s="178" t="s">
        <v>477</v>
      </c>
      <c r="D300" s="6">
        <f>YEAR(PA[[#This Row],[Date]])</f>
        <v>2025</v>
      </c>
      <c r="E300" s="178" t="s">
        <v>361</v>
      </c>
      <c r="F300" s="178" t="s">
        <v>361</v>
      </c>
      <c r="G300" s="179">
        <v>45809</v>
      </c>
      <c r="H300" s="176">
        <f>DAY(EOMONTH(PA[[#This Row],[Month Year]],0))</f>
        <v>30</v>
      </c>
      <c r="I300" s="180">
        <f>VLOOKUP(PA[[#This Row],[Date]],Raw_Data[#All],9,0)</f>
        <v>0.25833333333333336</v>
      </c>
      <c r="J300" s="180">
        <f>VLOOKUP(PA[[#This Row],[Date]],Raw_Data[#All],10,0)</f>
        <v>0.81111111111111112</v>
      </c>
      <c r="K300" s="68">
        <f>IFERROR((PA[[#This Row],[Sunset Time (POA&lt;20 W/m2)]]-PA[[#This Row],[Sunrise Time (POA&gt;20 W/m2)]])*24,"")</f>
        <v>13.266666666666667</v>
      </c>
      <c r="L300" s="178" t="s">
        <v>437</v>
      </c>
      <c r="M300" s="178" t="s">
        <v>401</v>
      </c>
      <c r="N300" s="178" t="s">
        <v>395</v>
      </c>
      <c r="O300" s="178" t="s">
        <v>396</v>
      </c>
      <c r="P300" s="178" t="s">
        <v>397</v>
      </c>
      <c r="Q300" s="178"/>
      <c r="R300" s="6">
        <f>IF((PA[[#This Row],[String Type(If String BD)]]&amp;PA[[#This Row],[Equipment (If any BD other than PV  array and inv)]])="",1,0)</f>
        <v>0</v>
      </c>
      <c r="S300" s="6">
        <f>IF(PA[[#This Row],[String Type(If String BD)]]="",1,0)</f>
        <v>0</v>
      </c>
      <c r="T3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00" s="68">
        <f>IFERROR(VLOOKUP(PA[[#This Row],[Affected Equipment ]],'Basic Data '!$A$1:$B$1846,2,0),"")</f>
        <v>25.81</v>
      </c>
      <c r="V300" s="143">
        <f>IFERROR(VLOOKUP(PA[[#This Row],[Affected Equipment ]],'Basic Data '!$A$1:$C$1846,3,0),"")</f>
        <v>7.7023853221960597E-5</v>
      </c>
      <c r="W300" s="178" t="s">
        <v>451</v>
      </c>
      <c r="X300" s="110" t="s">
        <v>2603</v>
      </c>
      <c r="Y300" s="110" t="s">
        <v>2603</v>
      </c>
      <c r="Z300" s="109">
        <v>0.25833333333333336</v>
      </c>
      <c r="AA300" s="109">
        <v>0.25833333333333336</v>
      </c>
      <c r="AB300" s="109">
        <v>0.25833333333333336</v>
      </c>
      <c r="AC300" s="109">
        <v>0.81111111111111112</v>
      </c>
      <c r="AD300" s="82">
        <f>IF(PA[[#This Row],[Acknowledgement Time ]]="NA","",(PA[[#This Row],[Acknowledgement Time ]]-PA[[#This Row],[Fault Time]])*24)</f>
        <v>0</v>
      </c>
      <c r="AE300" s="82">
        <f>IF(PA[[#This Row],[Work Start time on Fault]]="NA","",(PA[[#This Row],[Work Start time on Fault]]-PA[[#This Row],[Fault Time]])*24)</f>
        <v>0</v>
      </c>
      <c r="AF300" s="111">
        <f>IF(PA[[#This Row],[Status]]="Open","",(PA[[#This Row],[Work Completion time on fault]]-PA[[#This Row],[Fault Time]])*24)</f>
        <v>13.266666666666667</v>
      </c>
      <c r="AG300" s="82">
        <f>IFERROR((PA[[#This Row],[Work Completion time on fault]]-PA[[#This Row],[Fault Time]])*24,"")</f>
        <v>13.266666666666667</v>
      </c>
      <c r="AH300" s="110" t="s">
        <v>2603</v>
      </c>
      <c r="AI300" s="79" t="s">
        <v>422</v>
      </c>
      <c r="AJ300" s="68">
        <f>IFERROR(PA[[#This Row],[Breakdown Time]]*PA[[#This Row],[Plant Equivalent Weightage]],"")</f>
        <v>1.0218497860780106E-3</v>
      </c>
      <c r="AK300" s="117">
        <v>6.75</v>
      </c>
      <c r="AL300" s="116">
        <f>IF(PA[[#This Row],[Lost PoA(Wh/m2)]]&gt;0,_xlfn.XLOOKUP($B300,'Daily KPI'!$A:$A,'Daily KPI'!$AE:$AE)*PA[[#This Row],[Lost PoA(Wh/m2)]]*U300,0)</f>
        <v>144.58179341742064</v>
      </c>
      <c r="AM300" s="176" t="s">
        <v>2612</v>
      </c>
    </row>
    <row r="301" spans="1:39" ht="14" customHeight="1">
      <c r="A301" s="177">
        <f t="shared" si="5"/>
        <v>298</v>
      </c>
      <c r="B301" s="185">
        <v>45827</v>
      </c>
      <c r="C301" s="178" t="s">
        <v>477</v>
      </c>
      <c r="D301" s="6">
        <f>YEAR(PA[[#This Row],[Date]])</f>
        <v>2025</v>
      </c>
      <c r="E301" s="178" t="s">
        <v>361</v>
      </c>
      <c r="F301" s="178" t="s">
        <v>361</v>
      </c>
      <c r="G301" s="179">
        <v>45809</v>
      </c>
      <c r="H301" s="176">
        <f>DAY(EOMONTH(PA[[#This Row],[Month Year]],0))</f>
        <v>30</v>
      </c>
      <c r="I301" s="180">
        <f>VLOOKUP(PA[[#This Row],[Date]],Raw_Data[#All],9,0)</f>
        <v>0.25833333333333336</v>
      </c>
      <c r="J301" s="180">
        <f>VLOOKUP(PA[[#This Row],[Date]],Raw_Data[#All],10,0)</f>
        <v>0.81111111111111112</v>
      </c>
      <c r="K301" s="68">
        <f>IFERROR((PA[[#This Row],[Sunset Time (POA&lt;20 W/m2)]]-PA[[#This Row],[Sunrise Time (POA&gt;20 W/m2)]])*24,"")</f>
        <v>13.266666666666667</v>
      </c>
      <c r="L301" s="178" t="s">
        <v>454</v>
      </c>
      <c r="M301" s="178" t="s">
        <v>408</v>
      </c>
      <c r="N301" s="178" t="s">
        <v>402</v>
      </c>
      <c r="O301" s="178"/>
      <c r="P301" s="178"/>
      <c r="Q301" s="178"/>
      <c r="R301" s="6">
        <f>IF((PA[[#This Row],[String Type(If String BD)]]&amp;PA[[#This Row],[Equipment (If any BD other than PV  array and inv)]])="",1,0)</f>
        <v>1</v>
      </c>
      <c r="S301" s="6">
        <f>IF(PA[[#This Row],[String Type(If String BD)]]="",1,0)</f>
        <v>1</v>
      </c>
      <c r="T3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1" s="68">
        <f>IFERROR(VLOOKUP(PA[[#This Row],[Affected Equipment ]],'Basic Data '!$A$1:$B$1846,2,0),"")</f>
        <v>2098.4399999999996</v>
      </c>
      <c r="V301" s="143">
        <f>IFERROR(VLOOKUP(PA[[#This Row],[Affected Equipment ]],'Basic Data '!$A$1:$C$1846,3,0),"")</f>
        <v>6.2622988979113125E-3</v>
      </c>
      <c r="W301" s="178" t="s">
        <v>427</v>
      </c>
      <c r="X301" s="110" t="s">
        <v>452</v>
      </c>
      <c r="Y301" s="110" t="s">
        <v>452</v>
      </c>
      <c r="Z301" s="109">
        <v>0.74027777777777781</v>
      </c>
      <c r="AA301" s="109">
        <v>0.74027777777777781</v>
      </c>
      <c r="AB301" s="109">
        <v>0.74027777777777781</v>
      </c>
      <c r="AC301" s="109">
        <v>0.81111111111111112</v>
      </c>
      <c r="AD301" s="82">
        <f>IF(PA[[#This Row],[Acknowledgement Time ]]="NA","",(PA[[#This Row],[Acknowledgement Time ]]-PA[[#This Row],[Fault Time]])*24)</f>
        <v>0</v>
      </c>
      <c r="AE301" s="82">
        <f>IF(PA[[#This Row],[Work Start time on Fault]]="NA","",(PA[[#This Row],[Work Start time on Fault]]-PA[[#This Row],[Fault Time]])*24)</f>
        <v>0</v>
      </c>
      <c r="AF301" s="111">
        <f>IF(PA[[#This Row],[Status]]="Open","",(PA[[#This Row],[Work Completion time on fault]]-PA[[#This Row],[Fault Time]])*24)</f>
        <v>1.6999999999999993</v>
      </c>
      <c r="AG301" s="82">
        <f>IFERROR((PA[[#This Row],[Work Completion time on fault]]-PA[[#This Row],[Fault Time]])*24,"")</f>
        <v>1.6999999999999993</v>
      </c>
      <c r="AH301" s="110" t="s">
        <v>2613</v>
      </c>
      <c r="AI301" s="178" t="s">
        <v>422</v>
      </c>
      <c r="AJ301" s="68">
        <f>IFERROR(PA[[#This Row],[Breakdown Time]]*PA[[#This Row],[Plant Equivalent Weightage]],"")</f>
        <v>1.0645908126449227E-2</v>
      </c>
      <c r="AK301" s="117">
        <v>0.13603663333333335</v>
      </c>
      <c r="AL301" s="116">
        <f>IF(PA[[#This Row],[Lost PoA(Wh/m2)]]&gt;0,_xlfn.XLOOKUP($B301,'Daily KPI'!$A:$A,'Daily KPI'!$AE:$AE)*PA[[#This Row],[Lost PoA(Wh/m2)]]*U301,0)</f>
        <v>236.90501896497864</v>
      </c>
      <c r="AM301" s="176"/>
    </row>
    <row r="302" spans="1:39" ht="14" customHeight="1">
      <c r="A302" s="177">
        <f t="shared" si="5"/>
        <v>299</v>
      </c>
      <c r="B302" s="185">
        <v>45827</v>
      </c>
      <c r="C302" s="178" t="s">
        <v>477</v>
      </c>
      <c r="D302" s="6">
        <f>YEAR(PA[[#This Row],[Date]])</f>
        <v>2025</v>
      </c>
      <c r="E302" s="178" t="s">
        <v>361</v>
      </c>
      <c r="F302" s="178" t="s">
        <v>361</v>
      </c>
      <c r="G302" s="179">
        <v>45809</v>
      </c>
      <c r="H302" s="176">
        <f>DAY(EOMONTH(PA[[#This Row],[Month Year]],0))</f>
        <v>30</v>
      </c>
      <c r="I302" s="180">
        <f>VLOOKUP(PA[[#This Row],[Date]],Raw_Data[#All],9,0)</f>
        <v>0.25833333333333336</v>
      </c>
      <c r="J302" s="180">
        <f>VLOOKUP(PA[[#This Row],[Date]],Raw_Data[#All],10,0)</f>
        <v>0.81111111111111112</v>
      </c>
      <c r="K302" s="68">
        <f>IFERROR((PA[[#This Row],[Sunset Time (POA&lt;20 W/m2)]]-PA[[#This Row],[Sunrise Time (POA&gt;20 W/m2)]])*24,"")</f>
        <v>13.266666666666667</v>
      </c>
      <c r="L302" s="178" t="s">
        <v>454</v>
      </c>
      <c r="M302" s="178" t="s">
        <v>408</v>
      </c>
      <c r="N302" s="178" t="s">
        <v>395</v>
      </c>
      <c r="O302" s="178"/>
      <c r="P302" s="178"/>
      <c r="Q302" s="178"/>
      <c r="R302" s="6">
        <f>IF((PA[[#This Row],[String Type(If String BD)]]&amp;PA[[#This Row],[Equipment (If any BD other than PV  array and inv)]])="",1,0)</f>
        <v>1</v>
      </c>
      <c r="S302" s="6">
        <f>IF(PA[[#This Row],[String Type(If String BD)]]="",1,0)</f>
        <v>1</v>
      </c>
      <c r="T3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2" s="68">
        <f>IFERROR(VLOOKUP(PA[[#This Row],[Affected Equipment ]],'Basic Data '!$A$1:$B$1846,2,0),"")</f>
        <v>2004.4799999999998</v>
      </c>
      <c r="V302" s="143">
        <f>IFERROR(VLOOKUP(PA[[#This Row],[Affected Equipment ]],'Basic Data '!$A$1:$C$1846,3,0),"")</f>
        <v>5.9818974547212545E-3</v>
      </c>
      <c r="W302" s="178" t="s">
        <v>427</v>
      </c>
      <c r="X302" s="110" t="s">
        <v>452</v>
      </c>
      <c r="Y302" s="110" t="s">
        <v>452</v>
      </c>
      <c r="Z302" s="109">
        <v>0.74027777777777781</v>
      </c>
      <c r="AA302" s="109">
        <v>0.74027777777777781</v>
      </c>
      <c r="AB302" s="109">
        <v>0.74027777777777781</v>
      </c>
      <c r="AC302" s="109">
        <v>0.81111111111111112</v>
      </c>
      <c r="AD302" s="82">
        <f>IF(PA[[#This Row],[Acknowledgement Time ]]="NA","",(PA[[#This Row],[Acknowledgement Time ]]-PA[[#This Row],[Fault Time]])*24)</f>
        <v>0</v>
      </c>
      <c r="AE302" s="82">
        <f>IF(PA[[#This Row],[Work Start time on Fault]]="NA","",(PA[[#This Row],[Work Start time on Fault]]-PA[[#This Row],[Fault Time]])*24)</f>
        <v>0</v>
      </c>
      <c r="AF302" s="111">
        <f>IF(PA[[#This Row],[Status]]="Open","",(PA[[#This Row],[Work Completion time on fault]]-PA[[#This Row],[Fault Time]])*24)</f>
        <v>1.6999999999999993</v>
      </c>
      <c r="AG302" s="82">
        <f>IFERROR((PA[[#This Row],[Work Completion time on fault]]-PA[[#This Row],[Fault Time]])*24,"")</f>
        <v>1.6999999999999993</v>
      </c>
      <c r="AH302" s="110" t="s">
        <v>2613</v>
      </c>
      <c r="AI302" s="178" t="s">
        <v>422</v>
      </c>
      <c r="AJ302" s="68">
        <f>IFERROR(PA[[#This Row],[Breakdown Time]]*PA[[#This Row],[Plant Equivalent Weightage]],"")</f>
        <v>1.0169225673026128E-2</v>
      </c>
      <c r="AK302" s="117">
        <v>0.13603663333333335</v>
      </c>
      <c r="AL302" s="116">
        <f>IF(PA[[#This Row],[Lost PoA(Wh/m2)]]&gt;0,_xlfn.XLOOKUP($B302,'Daily KPI'!$A:$A,'Daily KPI'!$AE:$AE)*PA[[#This Row],[Lost PoA(Wh/m2)]]*U302,0)</f>
        <v>226.29733154863635</v>
      </c>
      <c r="AM302" s="176"/>
    </row>
    <row r="303" spans="1:39" ht="14" customHeight="1">
      <c r="A303" s="177">
        <f t="shared" si="5"/>
        <v>300</v>
      </c>
      <c r="B303" s="185">
        <v>45827</v>
      </c>
      <c r="C303" s="178" t="s">
        <v>477</v>
      </c>
      <c r="D303" s="6">
        <f>YEAR(PA[[#This Row],[Date]])</f>
        <v>2025</v>
      </c>
      <c r="E303" s="178" t="s">
        <v>361</v>
      </c>
      <c r="F303" s="178" t="s">
        <v>361</v>
      </c>
      <c r="G303" s="179">
        <v>45809</v>
      </c>
      <c r="H303" s="176">
        <f>DAY(EOMONTH(PA[[#This Row],[Month Year]],0))</f>
        <v>30</v>
      </c>
      <c r="I303" s="180">
        <f>VLOOKUP(PA[[#This Row],[Date]],Raw_Data[#All],9,0)</f>
        <v>0.25833333333333336</v>
      </c>
      <c r="J303" s="180">
        <f>VLOOKUP(PA[[#This Row],[Date]],Raw_Data[#All],10,0)</f>
        <v>0.81111111111111112</v>
      </c>
      <c r="K303" s="68">
        <f>IFERROR((PA[[#This Row],[Sunset Time (POA&lt;20 W/m2)]]-PA[[#This Row],[Sunrise Time (POA&gt;20 W/m2)]])*24,"")</f>
        <v>13.266666666666667</v>
      </c>
      <c r="L303" s="178"/>
      <c r="M303" s="178"/>
      <c r="N303" s="178"/>
      <c r="O303" s="178"/>
      <c r="P303" s="178"/>
      <c r="Q303" s="178" t="s">
        <v>431</v>
      </c>
      <c r="R303" s="6">
        <f>IF((PA[[#This Row],[String Type(If String BD)]]&amp;PA[[#This Row],[Equipment (If any BD other than PV  array and inv)]])="",1,0)</f>
        <v>0</v>
      </c>
      <c r="S303" s="6">
        <f>IF(PA[[#This Row],[String Type(If String BD)]]="",1,0)</f>
        <v>1</v>
      </c>
      <c r="T3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303" s="68">
        <f>IFERROR(VLOOKUP(PA[[#This Row],[Affected Equipment ]],'Basic Data '!$A$1:$B$1846,2,0),"")</f>
        <v>167322.75</v>
      </c>
      <c r="V303" s="143">
        <f>IFERROR(VLOOKUP(PA[[#This Row],[Affected Equipment ]],'Basic Data '!$A$1:$C$1846,3,0),"")</f>
        <v>0.49933525519933392</v>
      </c>
      <c r="W303" s="178" t="s">
        <v>435</v>
      </c>
      <c r="X303" s="110" t="s">
        <v>2614</v>
      </c>
      <c r="Y303" s="110" t="s">
        <v>2614</v>
      </c>
      <c r="Z303" s="109">
        <v>0.81388888888888888</v>
      </c>
      <c r="AA303" s="109">
        <v>0.81388888888888888</v>
      </c>
      <c r="AB303" s="109">
        <v>0.83472222222222225</v>
      </c>
      <c r="AC303" s="109">
        <v>0.9506944444444444</v>
      </c>
      <c r="AD303" s="82">
        <f>IF(PA[[#This Row],[Acknowledgement Time ]]="NA","",(PA[[#This Row],[Acknowledgement Time ]]-PA[[#This Row],[Fault Time]])*24)</f>
        <v>0</v>
      </c>
      <c r="AE303" s="82">
        <f>IF(PA[[#This Row],[Work Start time on Fault]]="NA","",(PA[[#This Row],[Work Start time on Fault]]-PA[[#This Row],[Fault Time]])*24)</f>
        <v>0.50000000000000089</v>
      </c>
      <c r="AF303" s="111">
        <f>IF(PA[[#This Row],[Status]]="Open","",(PA[[#This Row],[Work Completion time on fault]]-PA[[#This Row],[Fault Time]])*24)</f>
        <v>3.2833333333333323</v>
      </c>
      <c r="AG303" s="82">
        <f>IFERROR((PA[[#This Row],[Work Completion time on fault]]-PA[[#This Row],[Fault Time]])*24,"")</f>
        <v>3.2833333333333323</v>
      </c>
      <c r="AH303" s="110" t="s">
        <v>2615</v>
      </c>
      <c r="AI303" s="178" t="s">
        <v>422</v>
      </c>
      <c r="AJ303" s="68">
        <f>IFERROR(PA[[#This Row],[Breakdown Time]]*PA[[#This Row],[Plant Equivalent Weightage]],"")</f>
        <v>1.6394840879044792</v>
      </c>
      <c r="AK303" s="117">
        <v>0</v>
      </c>
      <c r="AL303" s="116">
        <f>IF(PA[[#This Row],[Lost PoA(Wh/m2)]]&gt;0,_xlfn.XLOOKUP($B303,'Daily KPI'!$A:$A,'Daily KPI'!$AE:$AE)*PA[[#This Row],[Lost PoA(Wh/m2)]]*U303,0)</f>
        <v>0</v>
      </c>
      <c r="AM303" s="176" t="s">
        <v>2616</v>
      </c>
    </row>
    <row r="304" spans="1:39" ht="14" customHeight="1">
      <c r="A304" s="177">
        <f t="shared" si="5"/>
        <v>301</v>
      </c>
      <c r="B304" s="185">
        <v>45828</v>
      </c>
      <c r="C304" s="178" t="s">
        <v>477</v>
      </c>
      <c r="D304" s="6">
        <f>YEAR(PA[[#This Row],[Date]])</f>
        <v>2025</v>
      </c>
      <c r="E304" s="178" t="s">
        <v>361</v>
      </c>
      <c r="F304" s="178" t="s">
        <v>361</v>
      </c>
      <c r="G304" s="179">
        <v>45809</v>
      </c>
      <c r="H304" s="176">
        <f>DAY(EOMONTH(PA[[#This Row],[Month Year]],0))</f>
        <v>30</v>
      </c>
      <c r="I304" s="180">
        <f>VLOOKUP(PA[[#This Row],[Date]],Raw_Data[#All],9,0)</f>
        <v>0.26250000000000001</v>
      </c>
      <c r="J304" s="180">
        <f>VLOOKUP(PA[[#This Row],[Date]],Raw_Data[#All],10,0)</f>
        <v>0.81597222222222221</v>
      </c>
      <c r="K304" s="68">
        <f>IFERROR((PA[[#This Row],[Sunset Time (POA&lt;20 W/m2)]]-PA[[#This Row],[Sunrise Time (POA&gt;20 W/m2)]])*24,"")</f>
        <v>13.283333333333331</v>
      </c>
      <c r="L304" s="178" t="s">
        <v>454</v>
      </c>
      <c r="M304" s="178" t="s">
        <v>408</v>
      </c>
      <c r="N304" s="178" t="s">
        <v>402</v>
      </c>
      <c r="O304" s="178"/>
      <c r="P304" s="178"/>
      <c r="Q304" s="178"/>
      <c r="R304" s="6">
        <f>IF((PA[[#This Row],[String Type(If String BD)]]&amp;PA[[#This Row],[Equipment (If any BD other than PV  array and inv)]])="",1,0)</f>
        <v>1</v>
      </c>
      <c r="S304" s="6">
        <f>IF(PA[[#This Row],[String Type(If String BD)]]="",1,0)</f>
        <v>1</v>
      </c>
      <c r="T3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4" s="68">
        <f>IFERROR(VLOOKUP(PA[[#This Row],[Affected Equipment ]],'Basic Data '!$A$1:$B$1846,2,0),"")</f>
        <v>2098.4399999999996</v>
      </c>
      <c r="V304" s="143">
        <f>IFERROR(VLOOKUP(PA[[#This Row],[Affected Equipment ]],'Basic Data '!$A$1:$C$1846,3,0),"")</f>
        <v>6.2622988979113125E-3</v>
      </c>
      <c r="W304" s="178" t="s">
        <v>427</v>
      </c>
      <c r="X304" s="110" t="s">
        <v>452</v>
      </c>
      <c r="Y304" s="110" t="s">
        <v>452</v>
      </c>
      <c r="Z304" s="109">
        <v>0.26250000000000001</v>
      </c>
      <c r="AA304" s="109">
        <v>0.26250000000000001</v>
      </c>
      <c r="AB304" s="109">
        <v>0.27777777777777779</v>
      </c>
      <c r="AC304" s="109">
        <v>0.81597222222222221</v>
      </c>
      <c r="AD304" s="82">
        <f>IF(PA[[#This Row],[Acknowledgement Time ]]="NA","",(PA[[#This Row],[Acknowledgement Time ]]-PA[[#This Row],[Fault Time]])*24)</f>
        <v>0</v>
      </c>
      <c r="AE304" s="82">
        <f>IF(PA[[#This Row],[Work Start time on Fault]]="NA","",(PA[[#This Row],[Work Start time on Fault]]-PA[[#This Row],[Fault Time]])*24)</f>
        <v>0.3666666666666667</v>
      </c>
      <c r="AF304" s="111">
        <f>IF(PA[[#This Row],[Status]]="Open","",(PA[[#This Row],[Work Completion time on fault]]-PA[[#This Row],[Fault Time]])*24)</f>
        <v>13.283333333333331</v>
      </c>
      <c r="AG304" s="82">
        <f>IFERROR((PA[[#This Row],[Work Completion time on fault]]-PA[[#This Row],[Fault Time]])*24,"")</f>
        <v>13.283333333333331</v>
      </c>
      <c r="AH304" s="110" t="s">
        <v>2625</v>
      </c>
      <c r="AI304" s="178" t="s">
        <v>422</v>
      </c>
      <c r="AJ304" s="68">
        <f>IFERROR(PA[[#This Row],[Breakdown Time]]*PA[[#This Row],[Plant Equivalent Weightage]],"")</f>
        <v>8.3184203693921918E-2</v>
      </c>
      <c r="AK304" s="117">
        <v>6.58</v>
      </c>
      <c r="AL304" s="116">
        <f>IF(PA[[#This Row],[Lost PoA(Wh/m2)]]&gt;0,_xlfn.XLOOKUP($B304,'Daily KPI'!$A:$A,'Daily KPI'!$AE:$AE)*PA[[#This Row],[Lost PoA(Wh/m2)]]*U304,0)</f>
        <v>11458.935630742302</v>
      </c>
      <c r="AM304" s="176" t="s">
        <v>2622</v>
      </c>
    </row>
    <row r="305" spans="1:39" ht="14" customHeight="1">
      <c r="A305" s="177">
        <f t="shared" si="5"/>
        <v>302</v>
      </c>
      <c r="B305" s="185">
        <v>45828</v>
      </c>
      <c r="C305" s="178" t="s">
        <v>477</v>
      </c>
      <c r="D305" s="6">
        <f>YEAR(PA[[#This Row],[Date]])</f>
        <v>2025</v>
      </c>
      <c r="E305" s="178" t="s">
        <v>361</v>
      </c>
      <c r="F305" s="178" t="s">
        <v>361</v>
      </c>
      <c r="G305" s="179">
        <v>45809</v>
      </c>
      <c r="H305" s="176">
        <f>DAY(EOMONTH(PA[[#This Row],[Month Year]],0))</f>
        <v>30</v>
      </c>
      <c r="I305" s="180">
        <f>VLOOKUP(PA[[#This Row],[Date]],Raw_Data[#All],9,0)</f>
        <v>0.26250000000000001</v>
      </c>
      <c r="J305" s="180">
        <f>VLOOKUP(PA[[#This Row],[Date]],Raw_Data[#All],10,0)</f>
        <v>0.81597222222222221</v>
      </c>
      <c r="K305" s="68">
        <f>IFERROR((PA[[#This Row],[Sunset Time (POA&lt;20 W/m2)]]-PA[[#This Row],[Sunrise Time (POA&gt;20 W/m2)]])*24,"")</f>
        <v>13.283333333333331</v>
      </c>
      <c r="L305" s="178" t="s">
        <v>454</v>
      </c>
      <c r="M305" s="178" t="s">
        <v>408</v>
      </c>
      <c r="N305" s="178" t="s">
        <v>395</v>
      </c>
      <c r="O305" s="178"/>
      <c r="P305" s="178"/>
      <c r="Q305" s="178"/>
      <c r="R305" s="6">
        <f>IF((PA[[#This Row],[String Type(If String BD)]]&amp;PA[[#This Row],[Equipment (If any BD other than PV  array and inv)]])="",1,0)</f>
        <v>1</v>
      </c>
      <c r="S305" s="6">
        <f>IF(PA[[#This Row],[String Type(If String BD)]]="",1,0)</f>
        <v>1</v>
      </c>
      <c r="T3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5" s="68">
        <f>IFERROR(VLOOKUP(PA[[#This Row],[Affected Equipment ]],'Basic Data '!$A$1:$B$1846,2,0),"")</f>
        <v>2004.4799999999998</v>
      </c>
      <c r="V305" s="143">
        <f>IFERROR(VLOOKUP(PA[[#This Row],[Affected Equipment ]],'Basic Data '!$A$1:$C$1846,3,0),"")</f>
        <v>5.9818974547212545E-3</v>
      </c>
      <c r="W305" s="178" t="s">
        <v>427</v>
      </c>
      <c r="X305" s="110" t="s">
        <v>452</v>
      </c>
      <c r="Y305" s="110" t="s">
        <v>452</v>
      </c>
      <c r="Z305" s="109">
        <v>0.26250000000000001</v>
      </c>
      <c r="AA305" s="109">
        <v>0.26250000000000001</v>
      </c>
      <c r="AB305" s="109">
        <v>0.27777777777777779</v>
      </c>
      <c r="AC305" s="109">
        <v>0.81597222222222221</v>
      </c>
      <c r="AD305" s="82">
        <f>IF(PA[[#This Row],[Acknowledgement Time ]]="NA","",(PA[[#This Row],[Acknowledgement Time ]]-PA[[#This Row],[Fault Time]])*24)</f>
        <v>0</v>
      </c>
      <c r="AE305" s="82">
        <f>IF(PA[[#This Row],[Work Start time on Fault]]="NA","",(PA[[#This Row],[Work Start time on Fault]]-PA[[#This Row],[Fault Time]])*24)</f>
        <v>0.3666666666666667</v>
      </c>
      <c r="AF305" s="111">
        <f>IF(PA[[#This Row],[Status]]="Open","",(PA[[#This Row],[Work Completion time on fault]]-PA[[#This Row],[Fault Time]])*24)</f>
        <v>13.283333333333331</v>
      </c>
      <c r="AG305" s="82">
        <f>IFERROR((PA[[#This Row],[Work Completion time on fault]]-PA[[#This Row],[Fault Time]])*24,"")</f>
        <v>13.283333333333331</v>
      </c>
      <c r="AH305" s="110" t="s">
        <v>2625</v>
      </c>
      <c r="AI305" s="178" t="s">
        <v>422</v>
      </c>
      <c r="AJ305" s="68">
        <f>IFERROR(PA[[#This Row],[Breakdown Time]]*PA[[#This Row],[Plant Equivalent Weightage]],"")</f>
        <v>7.9459537856880647E-2</v>
      </c>
      <c r="AK305" s="117">
        <v>6.58</v>
      </c>
      <c r="AL305" s="116">
        <f>IF(PA[[#This Row],[Lost PoA(Wh/m2)]]&gt;0,_xlfn.XLOOKUP($B305,'Daily KPI'!$A:$A,'Daily KPI'!$AE:$AE)*PA[[#This Row],[Lost PoA(Wh/m2)]]*U305,0)</f>
        <v>10945.848960709065</v>
      </c>
      <c r="AM305" s="176" t="s">
        <v>2622</v>
      </c>
    </row>
    <row r="306" spans="1:39" ht="14" customHeight="1">
      <c r="A306" s="177">
        <f t="shared" si="5"/>
        <v>303</v>
      </c>
      <c r="B306" s="185">
        <v>45828</v>
      </c>
      <c r="C306" s="178" t="s">
        <v>477</v>
      </c>
      <c r="D306" s="6">
        <f>YEAR(PA[[#This Row],[Date]])</f>
        <v>2025</v>
      </c>
      <c r="E306" s="178" t="s">
        <v>361</v>
      </c>
      <c r="F306" s="178" t="s">
        <v>361</v>
      </c>
      <c r="G306" s="179">
        <v>45809</v>
      </c>
      <c r="H306" s="176">
        <f>DAY(EOMONTH(PA[[#This Row],[Month Year]],0))</f>
        <v>30</v>
      </c>
      <c r="I306" s="180">
        <f>VLOOKUP(PA[[#This Row],[Date]],Raw_Data[#All],9,0)</f>
        <v>0.26250000000000001</v>
      </c>
      <c r="J306" s="180">
        <f>VLOOKUP(PA[[#This Row],[Date]],Raw_Data[#All],10,0)</f>
        <v>0.81597222222222221</v>
      </c>
      <c r="K306" s="68">
        <f>IFERROR((PA[[#This Row],[Sunset Time (POA&lt;20 W/m2)]]-PA[[#This Row],[Sunrise Time (POA&gt;20 W/m2)]])*24,"")</f>
        <v>13.283333333333331</v>
      </c>
      <c r="L306" s="178" t="s">
        <v>405</v>
      </c>
      <c r="M306" s="178" t="s">
        <v>414</v>
      </c>
      <c r="N306" s="178" t="s">
        <v>402</v>
      </c>
      <c r="O306" s="178"/>
      <c r="P306" s="178"/>
      <c r="Q306" s="178"/>
      <c r="R306" s="6">
        <f>IF((PA[[#This Row],[String Type(If String BD)]]&amp;PA[[#This Row],[Equipment (If any BD other than PV  array and inv)]])="",1,0)</f>
        <v>1</v>
      </c>
      <c r="S306" s="6">
        <f>IF(PA[[#This Row],[String Type(If String BD)]]="",1,0)</f>
        <v>1</v>
      </c>
      <c r="T3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v>
      </c>
      <c r="U306" s="68">
        <f>IFERROR(VLOOKUP(PA[[#This Row],[Affected Equipment ]],'Basic Data '!$A$1:$B$1846,2,0),"")</f>
        <v>2223.7199999999998</v>
      </c>
      <c r="V306" s="143">
        <f>IFERROR(VLOOKUP(PA[[#This Row],[Affected Equipment ]],'Basic Data '!$A$1:$C$1846,3,0),"")</f>
        <v>6.6361674888313913E-3</v>
      </c>
      <c r="W306" s="178" t="s">
        <v>427</v>
      </c>
      <c r="X306" s="110" t="s">
        <v>432</v>
      </c>
      <c r="Y306" s="110" t="s">
        <v>432</v>
      </c>
      <c r="Z306" s="109">
        <v>0.26250000000000001</v>
      </c>
      <c r="AA306" s="109">
        <v>0.26250000000000001</v>
      </c>
      <c r="AB306" s="109">
        <v>0.29166666666666669</v>
      </c>
      <c r="AC306" s="109">
        <v>0.34375</v>
      </c>
      <c r="AD306" s="82">
        <f>IF(PA[[#This Row],[Acknowledgement Time ]]="NA","",(PA[[#This Row],[Acknowledgement Time ]]-PA[[#This Row],[Fault Time]])*24)</f>
        <v>0</v>
      </c>
      <c r="AE306" s="82">
        <f>IF(PA[[#This Row],[Work Start time on Fault]]="NA","",(PA[[#This Row],[Work Start time on Fault]]-PA[[#This Row],[Fault Time]])*24)</f>
        <v>0.70000000000000018</v>
      </c>
      <c r="AF306" s="111">
        <f>IF(PA[[#This Row],[Status]]="Open","",(PA[[#This Row],[Work Completion time on fault]]-PA[[#This Row],[Fault Time]])*24)</f>
        <v>1.9499999999999997</v>
      </c>
      <c r="AG306" s="82">
        <f>IFERROR((PA[[#This Row],[Work Completion time on fault]]-PA[[#This Row],[Fault Time]])*24,"")</f>
        <v>1.9499999999999997</v>
      </c>
      <c r="AH306" s="110" t="s">
        <v>459</v>
      </c>
      <c r="AI306" s="178" t="s">
        <v>422</v>
      </c>
      <c r="AJ306" s="68">
        <f>IFERROR(PA[[#This Row],[Breakdown Time]]*PA[[#This Row],[Plant Equivalent Weightage]],"")</f>
        <v>1.2940526603221212E-2</v>
      </c>
      <c r="AK306" s="117">
        <v>0.22639616666666668</v>
      </c>
      <c r="AL306" s="116">
        <f>IF(PA[[#This Row],[Lost PoA(Wh/m2)]]&gt;0,_xlfn.XLOOKUP($B306,'Daily KPI'!$A:$A,'Daily KPI'!$AE:$AE)*PA[[#This Row],[Lost PoA(Wh/m2)]]*U306,0)</f>
        <v>417.80246827221771</v>
      </c>
      <c r="AM306" s="176" t="s">
        <v>2623</v>
      </c>
    </row>
    <row r="307" spans="1:39" ht="14" customHeight="1">
      <c r="A307" s="177">
        <f t="shared" si="5"/>
        <v>304</v>
      </c>
      <c r="B307" s="185">
        <v>45828</v>
      </c>
      <c r="C307" s="178" t="s">
        <v>477</v>
      </c>
      <c r="D307" s="6">
        <f>YEAR(PA[[#This Row],[Date]])</f>
        <v>2025</v>
      </c>
      <c r="E307" s="178" t="s">
        <v>361</v>
      </c>
      <c r="F307" s="178" t="s">
        <v>361</v>
      </c>
      <c r="G307" s="179">
        <v>45809</v>
      </c>
      <c r="H307" s="176">
        <f>DAY(EOMONTH(PA[[#This Row],[Month Year]],0))</f>
        <v>30</v>
      </c>
      <c r="I307" s="180">
        <f>VLOOKUP(PA[[#This Row],[Date]],Raw_Data[#All],9,0)</f>
        <v>0.26250000000000001</v>
      </c>
      <c r="J307" s="180">
        <f>VLOOKUP(PA[[#This Row],[Date]],Raw_Data[#All],10,0)</f>
        <v>0.81597222222222221</v>
      </c>
      <c r="K307" s="68">
        <f>IFERROR((PA[[#This Row],[Sunset Time (POA&lt;20 W/m2)]]-PA[[#This Row],[Sunrise Time (POA&gt;20 W/m2)]])*24,"")</f>
        <v>13.283333333333331</v>
      </c>
      <c r="L307" s="178" t="s">
        <v>405</v>
      </c>
      <c r="M307" s="178" t="s">
        <v>414</v>
      </c>
      <c r="N307" s="178" t="s">
        <v>395</v>
      </c>
      <c r="O307" s="178"/>
      <c r="P307" s="178"/>
      <c r="Q307" s="178"/>
      <c r="R307" s="6">
        <f>IF((PA[[#This Row],[String Type(If String BD)]]&amp;PA[[#This Row],[Equipment (If any BD other than PV  array and inv)]])="",1,0)</f>
        <v>1</v>
      </c>
      <c r="S307" s="6">
        <f>IF(PA[[#This Row],[String Type(If String BD)]]="",1,0)</f>
        <v>1</v>
      </c>
      <c r="T3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IS18INV3M2</v>
      </c>
      <c r="U307" s="68">
        <f>IFERROR(VLOOKUP(PA[[#This Row],[Affected Equipment ]],'Basic Data '!$A$1:$B$1846,2,0),"")</f>
        <v>1973.1599999999999</v>
      </c>
      <c r="V307" s="143">
        <f>IFERROR(VLOOKUP(PA[[#This Row],[Affected Equipment ]],'Basic Data '!$A$1:$C$1846,3,0),"")</f>
        <v>5.8884303069912346E-3</v>
      </c>
      <c r="W307" s="178" t="s">
        <v>427</v>
      </c>
      <c r="X307" s="110" t="s">
        <v>2619</v>
      </c>
      <c r="Y307" s="110" t="s">
        <v>2619</v>
      </c>
      <c r="Z307" s="109">
        <v>0.30555555555555558</v>
      </c>
      <c r="AA307" s="109">
        <v>0.30555555555555558</v>
      </c>
      <c r="AB307" s="109">
        <v>0.30555555555555558</v>
      </c>
      <c r="AC307" s="109">
        <v>0.34375</v>
      </c>
      <c r="AD307" s="82">
        <f>IF(PA[[#This Row],[Acknowledgement Time ]]="NA","",(PA[[#This Row],[Acknowledgement Time ]]-PA[[#This Row],[Fault Time]])*24)</f>
        <v>0</v>
      </c>
      <c r="AE307" s="82">
        <f>IF(PA[[#This Row],[Work Start time on Fault]]="NA","",(PA[[#This Row],[Work Start time on Fault]]-PA[[#This Row],[Fault Time]])*24)</f>
        <v>0</v>
      </c>
      <c r="AF307" s="111">
        <f>IF(PA[[#This Row],[Status]]="Open","",(PA[[#This Row],[Work Completion time on fault]]-PA[[#This Row],[Fault Time]])*24)</f>
        <v>0.91666666666666607</v>
      </c>
      <c r="AG307" s="82">
        <f>IFERROR((PA[[#This Row],[Work Completion time on fault]]-PA[[#This Row],[Fault Time]])*24,"")</f>
        <v>0.91666666666666607</v>
      </c>
      <c r="AH307" s="110" t="s">
        <v>2619</v>
      </c>
      <c r="AI307" s="178" t="s">
        <v>422</v>
      </c>
      <c r="AJ307" s="68">
        <f>IFERROR(PA[[#This Row],[Breakdown Time]]*PA[[#This Row],[Plant Equivalent Weightage]],"")</f>
        <v>5.3977277814086285E-3</v>
      </c>
      <c r="AK307" s="117">
        <v>0.16585166666666668</v>
      </c>
      <c r="AL307" s="116">
        <f>IF(PA[[#This Row],[Lost PoA(Wh/m2)]]&gt;0,_xlfn.XLOOKUP($B307,'Daily KPI'!$A:$A,'Daily KPI'!$AE:$AE)*PA[[#This Row],[Lost PoA(Wh/m2)]]*U307,0)</f>
        <v>271.58387032807178</v>
      </c>
      <c r="AM307" s="176" t="s">
        <v>2623</v>
      </c>
    </row>
    <row r="308" spans="1:39" ht="14" customHeight="1">
      <c r="A308" s="177">
        <f t="shared" si="5"/>
        <v>305</v>
      </c>
      <c r="B308" s="185">
        <v>45828</v>
      </c>
      <c r="C308" s="178" t="s">
        <v>477</v>
      </c>
      <c r="D308" s="6">
        <f>YEAR(PA[[#This Row],[Date]])</f>
        <v>2025</v>
      </c>
      <c r="E308" s="178" t="s">
        <v>361</v>
      </c>
      <c r="F308" s="178" t="s">
        <v>361</v>
      </c>
      <c r="G308" s="179">
        <v>45809</v>
      </c>
      <c r="H308" s="176">
        <f>DAY(EOMONTH(PA[[#This Row],[Month Year]],0))</f>
        <v>30</v>
      </c>
      <c r="I308" s="180">
        <f>VLOOKUP(PA[[#This Row],[Date]],Raw_Data[#All],9,0)</f>
        <v>0.26250000000000001</v>
      </c>
      <c r="J308" s="180">
        <f>VLOOKUP(PA[[#This Row],[Date]],Raw_Data[#All],10,0)</f>
        <v>0.81597222222222221</v>
      </c>
      <c r="K308" s="68">
        <f>IFERROR((PA[[#This Row],[Sunset Time (POA&lt;20 W/m2)]]-PA[[#This Row],[Sunrise Time (POA&gt;20 W/m2)]])*24,"")</f>
        <v>13.283333333333331</v>
      </c>
      <c r="L308" s="178" t="s">
        <v>405</v>
      </c>
      <c r="M308" s="178" t="s">
        <v>414</v>
      </c>
      <c r="N308" s="178" t="s">
        <v>402</v>
      </c>
      <c r="O308" s="178" t="s">
        <v>403</v>
      </c>
      <c r="P308" s="178"/>
      <c r="Q308" s="178"/>
      <c r="R308" s="6">
        <f>IF((PA[[#This Row],[String Type(If String BD)]]&amp;PA[[#This Row],[Equipment (If any BD other than PV  array and inv)]])="",1,0)</f>
        <v>1</v>
      </c>
      <c r="S308" s="6">
        <f>IF(PA[[#This Row],[String Type(If String BD)]]="",1,0)</f>
        <v>1</v>
      </c>
      <c r="T3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IS18INV3M1SCB6</v>
      </c>
      <c r="U308" s="68">
        <f>IFERROR(VLOOKUP(PA[[#This Row],[Affected Equipment ]],'Basic Data '!$A$1:$B$1846,2,0),"")</f>
        <v>250.56</v>
      </c>
      <c r="V308" s="143">
        <f>IFERROR(VLOOKUP(PA[[#This Row],[Affected Equipment ]],'Basic Data '!$A$1:$C$1846,3,0),"")</f>
        <v>7.4773718184015681E-4</v>
      </c>
      <c r="W308" s="178" t="s">
        <v>433</v>
      </c>
      <c r="X308" s="110" t="s">
        <v>2620</v>
      </c>
      <c r="Y308" s="110" t="s">
        <v>2620</v>
      </c>
      <c r="Z308" s="109">
        <v>0.34375</v>
      </c>
      <c r="AA308" s="109">
        <v>0.34375</v>
      </c>
      <c r="AB308" s="109">
        <v>0.34375</v>
      </c>
      <c r="AC308" s="109">
        <v>0.37152777777777779</v>
      </c>
      <c r="AD308" s="82">
        <f>IF(PA[[#This Row],[Acknowledgement Time ]]="NA","",(PA[[#This Row],[Acknowledgement Time ]]-PA[[#This Row],[Fault Time]])*24)</f>
        <v>0</v>
      </c>
      <c r="AE308" s="82">
        <f>IF(PA[[#This Row],[Work Start time on Fault]]="NA","",(PA[[#This Row],[Work Start time on Fault]]-PA[[#This Row],[Fault Time]])*24)</f>
        <v>0</v>
      </c>
      <c r="AF308" s="111">
        <f>IF(PA[[#This Row],[Status]]="Open","",(PA[[#This Row],[Work Completion time on fault]]-PA[[#This Row],[Fault Time]])*24)</f>
        <v>0.66666666666666696</v>
      </c>
      <c r="AG308" s="82">
        <f>IFERROR((PA[[#This Row],[Work Completion time on fault]]-PA[[#This Row],[Fault Time]])*24,"")</f>
        <v>0.66666666666666696</v>
      </c>
      <c r="AH308" s="110" t="s">
        <v>2620</v>
      </c>
      <c r="AI308" s="178" t="s">
        <v>422</v>
      </c>
      <c r="AJ308" s="68">
        <f>IFERROR(PA[[#This Row],[Breakdown Time]]*PA[[#This Row],[Plant Equivalent Weightage]],"")</f>
        <v>4.9849145456010472E-4</v>
      </c>
      <c r="AK308" s="117">
        <v>0.16189833333333334</v>
      </c>
      <c r="AL308" s="116">
        <f>IF(PA[[#This Row],[Lost PoA(Wh/m2)]]&gt;0,_xlfn.XLOOKUP($B308,'Daily KPI'!$A:$A,'Daily KPI'!$AE:$AE)*PA[[#This Row],[Lost PoA(Wh/m2)]]*U308,0)</f>
        <v>33.664793002606324</v>
      </c>
      <c r="AM308" s="176" t="s">
        <v>2623</v>
      </c>
    </row>
    <row r="309" spans="1:39" ht="14" customHeight="1">
      <c r="A309" s="177">
        <f t="shared" si="5"/>
        <v>306</v>
      </c>
      <c r="B309" s="185">
        <v>45828</v>
      </c>
      <c r="C309" s="178" t="s">
        <v>477</v>
      </c>
      <c r="D309" s="6">
        <f>YEAR(PA[[#This Row],[Date]])</f>
        <v>2025</v>
      </c>
      <c r="E309" s="178" t="s">
        <v>361</v>
      </c>
      <c r="F309" s="178" t="s">
        <v>361</v>
      </c>
      <c r="G309" s="179">
        <v>45809</v>
      </c>
      <c r="H309" s="176">
        <f>DAY(EOMONTH(PA[[#This Row],[Month Year]],0))</f>
        <v>30</v>
      </c>
      <c r="I309" s="180">
        <f>VLOOKUP(PA[[#This Row],[Date]],Raw_Data[#All],9,0)</f>
        <v>0.26250000000000001</v>
      </c>
      <c r="J309" s="180">
        <f>VLOOKUP(PA[[#This Row],[Date]],Raw_Data[#All],10,0)</f>
        <v>0.81597222222222221</v>
      </c>
      <c r="K309" s="68">
        <f>IFERROR((PA[[#This Row],[Sunset Time (POA&lt;20 W/m2)]]-PA[[#This Row],[Sunrise Time (POA&gt;20 W/m2)]])*24,"")</f>
        <v>13.283333333333331</v>
      </c>
      <c r="L309" s="178" t="s">
        <v>405</v>
      </c>
      <c r="M309" s="178" t="s">
        <v>414</v>
      </c>
      <c r="N309" s="178" t="s">
        <v>402</v>
      </c>
      <c r="O309" s="178" t="s">
        <v>403</v>
      </c>
      <c r="P309" s="178" t="s">
        <v>429</v>
      </c>
      <c r="Q309" s="178"/>
      <c r="R309" s="6">
        <f>IF((PA[[#This Row],[String Type(If String BD)]]&amp;PA[[#This Row],[Equipment (If any BD other than PV  array and inv)]])="",1,0)</f>
        <v>0</v>
      </c>
      <c r="S309" s="6">
        <f>IF(PA[[#This Row],[String Type(If String BD)]]="",1,0)</f>
        <v>0</v>
      </c>
      <c r="T3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09" s="68">
        <f>IFERROR(VLOOKUP(PA[[#This Row],[Affected Equipment ]],'Basic Data '!$A$1:$B$1846,2,0),"")</f>
        <v>15.66</v>
      </c>
      <c r="V309" s="143">
        <f>IFERROR(VLOOKUP(PA[[#This Row],[Affected Equipment ]],'Basic Data '!$A$1:$C$1846,3,0),"")</f>
        <v>4.6733573865009801E-5</v>
      </c>
      <c r="W309" s="178" t="s">
        <v>451</v>
      </c>
      <c r="X309" s="110" t="s">
        <v>2621</v>
      </c>
      <c r="Y309" s="110" t="s">
        <v>2621</v>
      </c>
      <c r="Z309" s="109">
        <v>0.37152777777777779</v>
      </c>
      <c r="AA309" s="109">
        <v>0.37152777777777779</v>
      </c>
      <c r="AB309" s="109">
        <v>0.37152777777777779</v>
      </c>
      <c r="AC309" s="109">
        <v>0.81597222222222221</v>
      </c>
      <c r="AD309" s="82">
        <f>IF(PA[[#This Row],[Acknowledgement Time ]]="NA","",(PA[[#This Row],[Acknowledgement Time ]]-PA[[#This Row],[Fault Time]])*24)</f>
        <v>0</v>
      </c>
      <c r="AE309" s="82">
        <f>IF(PA[[#This Row],[Work Start time on Fault]]="NA","",(PA[[#This Row],[Work Start time on Fault]]-PA[[#This Row],[Fault Time]])*24)</f>
        <v>0</v>
      </c>
      <c r="AF309" s="111">
        <f>IF(PA[[#This Row],[Status]]="Open","",(PA[[#This Row],[Work Completion time on fault]]-PA[[#This Row],[Fault Time]])*24)</f>
        <v>10.666666666666666</v>
      </c>
      <c r="AG309" s="82">
        <f>IFERROR((PA[[#This Row],[Work Completion time on fault]]-PA[[#This Row],[Fault Time]])*24,"")</f>
        <v>10.666666666666666</v>
      </c>
      <c r="AH309" s="110" t="s">
        <v>2621</v>
      </c>
      <c r="AI309" s="178" t="s">
        <v>422</v>
      </c>
      <c r="AJ309" s="68">
        <f>IFERROR(PA[[#This Row],[Breakdown Time]]*PA[[#This Row],[Plant Equivalent Weightage]],"")</f>
        <v>4.984914545601045E-4</v>
      </c>
      <c r="AK309" s="117">
        <v>6.1940815833333334</v>
      </c>
      <c r="AL309" s="116">
        <f>IF(PA[[#This Row],[Lost PoA(Wh/m2)]]&gt;0,_xlfn.XLOOKUP($B309,'Daily KPI'!$A:$A,'Daily KPI'!$AE:$AE)*PA[[#This Row],[Lost PoA(Wh/m2)]]*U309,0)</f>
        <v>80.499004394799982</v>
      </c>
      <c r="AM309" s="176" t="s">
        <v>2623</v>
      </c>
    </row>
    <row r="310" spans="1:39" ht="14" customHeight="1">
      <c r="A310" s="177">
        <f t="shared" si="5"/>
        <v>307</v>
      </c>
      <c r="B310" s="185">
        <v>45828</v>
      </c>
      <c r="C310" s="178" t="s">
        <v>477</v>
      </c>
      <c r="D310" s="6">
        <f>YEAR(PA[[#This Row],[Date]])</f>
        <v>2025</v>
      </c>
      <c r="E310" s="178" t="s">
        <v>361</v>
      </c>
      <c r="F310" s="178" t="s">
        <v>361</v>
      </c>
      <c r="G310" s="179">
        <v>45809</v>
      </c>
      <c r="H310" s="176">
        <f>DAY(EOMONTH(PA[[#This Row],[Month Year]],0))</f>
        <v>30</v>
      </c>
      <c r="I310" s="180">
        <f>VLOOKUP(PA[[#This Row],[Date]],Raw_Data[#All],9,0)</f>
        <v>0.26250000000000001</v>
      </c>
      <c r="J310" s="180">
        <f>VLOOKUP(PA[[#This Row],[Date]],Raw_Data[#All],10,0)</f>
        <v>0.81597222222222221</v>
      </c>
      <c r="K310" s="68">
        <f>IFERROR((PA[[#This Row],[Sunset Time (POA&lt;20 W/m2)]]-PA[[#This Row],[Sunrise Time (POA&gt;20 W/m2)]])*24,"")</f>
        <v>13.283333333333331</v>
      </c>
      <c r="L310" s="178" t="s">
        <v>405</v>
      </c>
      <c r="M310" s="178" t="s">
        <v>408</v>
      </c>
      <c r="N310" s="178" t="s">
        <v>395</v>
      </c>
      <c r="O310" s="178" t="s">
        <v>406</v>
      </c>
      <c r="P310" s="178" t="s">
        <v>429</v>
      </c>
      <c r="Q310" s="178"/>
      <c r="R310" s="6">
        <f>IF((PA[[#This Row],[String Type(If String BD)]]&amp;PA[[#This Row],[Equipment (If any BD other than PV  array and inv)]])="",1,0)</f>
        <v>0</v>
      </c>
      <c r="S310" s="6">
        <f>IF(PA[[#This Row],[String Type(If String BD)]]="",1,0)</f>
        <v>0</v>
      </c>
      <c r="T3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0" s="68">
        <f>IFERROR(VLOOKUP(PA[[#This Row],[Affected Equipment ]],'Basic Data '!$A$1:$B$1846,2,0),"")</f>
        <v>15.66</v>
      </c>
      <c r="V310" s="143">
        <f>IFERROR(VLOOKUP(PA[[#This Row],[Affected Equipment ]],'Basic Data '!$A$1:$C$1846,3,0),"")</f>
        <v>4.6733573865009801E-5</v>
      </c>
      <c r="W310" s="178" t="s">
        <v>451</v>
      </c>
      <c r="X310" s="110" t="s">
        <v>2621</v>
      </c>
      <c r="Y310" s="110" t="s">
        <v>2621</v>
      </c>
      <c r="Z310" s="109">
        <v>0.26250000000000001</v>
      </c>
      <c r="AA310" s="109">
        <v>0.26250000000000001</v>
      </c>
      <c r="AB310" s="109">
        <v>0.26250000000000001</v>
      </c>
      <c r="AC310" s="109">
        <v>0.81597222222222221</v>
      </c>
      <c r="AD310" s="82">
        <f>IF(PA[[#This Row],[Acknowledgement Time ]]="NA","",(PA[[#This Row],[Acknowledgement Time ]]-PA[[#This Row],[Fault Time]])*24)</f>
        <v>0</v>
      </c>
      <c r="AE310" s="82">
        <f>IF(PA[[#This Row],[Work Start time on Fault]]="NA","",(PA[[#This Row],[Work Start time on Fault]]-PA[[#This Row],[Fault Time]])*24)</f>
        <v>0</v>
      </c>
      <c r="AF310" s="111">
        <f>IF(PA[[#This Row],[Status]]="Open","",(PA[[#This Row],[Work Completion time on fault]]-PA[[#This Row],[Fault Time]])*24)</f>
        <v>13.283333333333331</v>
      </c>
      <c r="AG310" s="82">
        <f>IFERROR((PA[[#This Row],[Work Completion time on fault]]-PA[[#This Row],[Fault Time]])*24,"")</f>
        <v>13.283333333333331</v>
      </c>
      <c r="AH310" s="110" t="s">
        <v>2621</v>
      </c>
      <c r="AI310" s="178" t="s">
        <v>422</v>
      </c>
      <c r="AJ310" s="68">
        <f>IFERROR(PA[[#This Row],[Breakdown Time]]*PA[[#This Row],[Plant Equivalent Weightage]],"")</f>
        <v>6.2077763950688005E-4</v>
      </c>
      <c r="AK310" s="117">
        <v>6.58</v>
      </c>
      <c r="AL310" s="116">
        <f>IF(PA[[#This Row],[Lost PoA(Wh/m2)]]&gt;0,_xlfn.XLOOKUP($B310,'Daily KPI'!$A:$A,'Daily KPI'!$AE:$AE)*PA[[#This Row],[Lost PoA(Wh/m2)]]*U310,0)</f>
        <v>85.514445005539585</v>
      </c>
      <c r="AM310" s="176" t="s">
        <v>2623</v>
      </c>
    </row>
    <row r="311" spans="1:39" ht="14" customHeight="1">
      <c r="A311" s="177">
        <f t="shared" si="5"/>
        <v>308</v>
      </c>
      <c r="B311" s="185">
        <v>45828</v>
      </c>
      <c r="C311" s="178" t="s">
        <v>477</v>
      </c>
      <c r="D311" s="6">
        <f>YEAR(PA[[#This Row],[Date]])</f>
        <v>2025</v>
      </c>
      <c r="E311" s="178" t="s">
        <v>361</v>
      </c>
      <c r="F311" s="178" t="s">
        <v>361</v>
      </c>
      <c r="G311" s="179">
        <v>45809</v>
      </c>
      <c r="H311" s="176">
        <f>DAY(EOMONTH(PA[[#This Row],[Month Year]],0))</f>
        <v>30</v>
      </c>
      <c r="I311" s="180">
        <f>VLOOKUP(PA[[#This Row],[Date]],Raw_Data[#All],9,0)</f>
        <v>0.26250000000000001</v>
      </c>
      <c r="J311" s="180">
        <f>VLOOKUP(PA[[#This Row],[Date]],Raw_Data[#All],10,0)</f>
        <v>0.81597222222222221</v>
      </c>
      <c r="K311" s="68">
        <f>IFERROR((PA[[#This Row],[Sunset Time (POA&lt;20 W/m2)]]-PA[[#This Row],[Sunrise Time (POA&gt;20 W/m2)]])*24,"")</f>
        <v>13.283333333333331</v>
      </c>
      <c r="L311" s="178" t="s">
        <v>437</v>
      </c>
      <c r="M311" s="178" t="s">
        <v>401</v>
      </c>
      <c r="N311" s="178" t="s">
        <v>395</v>
      </c>
      <c r="O311" s="178" t="s">
        <v>396</v>
      </c>
      <c r="P311" s="178" t="s">
        <v>397</v>
      </c>
      <c r="Q311" s="178"/>
      <c r="R311" s="6">
        <f>IF((PA[[#This Row],[String Type(If String BD)]]&amp;PA[[#This Row],[Equipment (If any BD other than PV  array and inv)]])="",1,0)</f>
        <v>0</v>
      </c>
      <c r="S311" s="6">
        <f>IF(PA[[#This Row],[String Type(If String BD)]]="",1,0)</f>
        <v>0</v>
      </c>
      <c r="T3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1" s="68">
        <f>IFERROR(VLOOKUP(PA[[#This Row],[Affected Equipment ]],'Basic Data '!$A$1:$B$1846,2,0),"")</f>
        <v>25.81</v>
      </c>
      <c r="V311" s="143">
        <f>IFERROR(VLOOKUP(PA[[#This Row],[Affected Equipment ]],'Basic Data '!$A$1:$C$1846,3,0),"")</f>
        <v>7.7023853221960597E-5</v>
      </c>
      <c r="W311" s="178" t="s">
        <v>451</v>
      </c>
      <c r="X311" s="110" t="s">
        <v>2603</v>
      </c>
      <c r="Y311" s="110" t="s">
        <v>2603</v>
      </c>
      <c r="Z311" s="109">
        <v>0.26250000000000001</v>
      </c>
      <c r="AA311" s="109">
        <v>0.26250000000000001</v>
      </c>
      <c r="AB311" s="109">
        <v>0.26250000000000001</v>
      </c>
      <c r="AC311" s="109">
        <v>0.81597222222222221</v>
      </c>
      <c r="AD311" s="82">
        <f>IF(PA[[#This Row],[Acknowledgement Time ]]="NA","",(PA[[#This Row],[Acknowledgement Time ]]-PA[[#This Row],[Fault Time]])*24)</f>
        <v>0</v>
      </c>
      <c r="AE311" s="82">
        <f>IF(PA[[#This Row],[Work Start time on Fault]]="NA","",(PA[[#This Row],[Work Start time on Fault]]-PA[[#This Row],[Fault Time]])*24)</f>
        <v>0</v>
      </c>
      <c r="AF311" s="111">
        <f>IF(PA[[#This Row],[Status]]="Open","",(PA[[#This Row],[Work Completion time on fault]]-PA[[#This Row],[Fault Time]])*24)</f>
        <v>13.283333333333331</v>
      </c>
      <c r="AG311" s="82">
        <f>IFERROR((PA[[#This Row],[Work Completion time on fault]]-PA[[#This Row],[Fault Time]])*24,"")</f>
        <v>13.283333333333331</v>
      </c>
      <c r="AH311" s="110" t="s">
        <v>2603</v>
      </c>
      <c r="AI311" s="79" t="s">
        <v>422</v>
      </c>
      <c r="AJ311" s="68">
        <f>IFERROR(PA[[#This Row],[Breakdown Time]]*PA[[#This Row],[Plant Equivalent Weightage]],"")</f>
        <v>1.0231335169650431E-3</v>
      </c>
      <c r="AK311" s="117">
        <v>6.58</v>
      </c>
      <c r="AL311" s="116">
        <f>IF(PA[[#This Row],[Lost PoA(Wh/m2)]]&gt;0,_xlfn.XLOOKUP($B311,'Daily KPI'!$A:$A,'Daily KPI'!$AE:$AE)*PA[[#This Row],[Lost PoA(Wh/m2)]]*U311,0)</f>
        <v>140.94047417579671</v>
      </c>
      <c r="AM311" s="176" t="s">
        <v>2624</v>
      </c>
    </row>
    <row r="312" spans="1:39" ht="14" customHeight="1">
      <c r="A312" s="177">
        <f t="shared" si="5"/>
        <v>309</v>
      </c>
      <c r="B312" s="185">
        <v>45829</v>
      </c>
      <c r="C312" s="178" t="s">
        <v>477</v>
      </c>
      <c r="D312" s="6">
        <f>YEAR(PA[[#This Row],[Date]])</f>
        <v>2025</v>
      </c>
      <c r="E312" s="178" t="s">
        <v>361</v>
      </c>
      <c r="F312" s="178" t="s">
        <v>361</v>
      </c>
      <c r="G312" s="179">
        <v>45809</v>
      </c>
      <c r="H312" s="176">
        <f>DAY(EOMONTH(PA[[#This Row],[Month Year]],0))</f>
        <v>30</v>
      </c>
      <c r="I312" s="180">
        <f>VLOOKUP(PA[[#This Row],[Date]],Raw_Data[#All],9,0)</f>
        <v>0.26597222222222222</v>
      </c>
      <c r="J312" s="180">
        <f>VLOOKUP(PA[[#This Row],[Date]],Raw_Data[#All],10,0)</f>
        <v>0.81111111111111112</v>
      </c>
      <c r="K312" s="68">
        <f>IFERROR((PA[[#This Row],[Sunset Time (POA&lt;20 W/m2)]]-PA[[#This Row],[Sunrise Time (POA&gt;20 W/m2)]])*24,"")</f>
        <v>13.083333333333332</v>
      </c>
      <c r="L312" s="178" t="s">
        <v>454</v>
      </c>
      <c r="M312" s="178" t="s">
        <v>408</v>
      </c>
      <c r="N312" s="178" t="s">
        <v>402</v>
      </c>
      <c r="O312" s="178"/>
      <c r="P312" s="178"/>
      <c r="Q312" s="178"/>
      <c r="R312" s="6">
        <f>IF((PA[[#This Row],[String Type(If String BD)]]&amp;PA[[#This Row],[Equipment (If any BD other than PV  array and inv)]])="",1,0)</f>
        <v>1</v>
      </c>
      <c r="S312" s="6">
        <f>IF(PA[[#This Row],[String Type(If String BD)]]="",1,0)</f>
        <v>1</v>
      </c>
      <c r="T3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12" s="68">
        <f>IFERROR(VLOOKUP(PA[[#This Row],[Affected Equipment ]],'Basic Data '!$A$1:$B$1846,2,0),"")</f>
        <v>2098.4399999999996</v>
      </c>
      <c r="V312" s="143">
        <f>IFERROR(VLOOKUP(PA[[#This Row],[Affected Equipment ]],'Basic Data '!$A$1:$C$1846,3,0),"")</f>
        <v>6.2622988979113125E-3</v>
      </c>
      <c r="W312" s="178" t="s">
        <v>427</v>
      </c>
      <c r="X312" s="110" t="s">
        <v>452</v>
      </c>
      <c r="Y312" s="110" t="s">
        <v>452</v>
      </c>
      <c r="Z312" s="109">
        <v>0.26597222222222222</v>
      </c>
      <c r="AA312" s="109">
        <v>0.26597222222222222</v>
      </c>
      <c r="AB312" s="109">
        <v>0.26597222222222222</v>
      </c>
      <c r="AC312" s="109">
        <v>0.81111111111111112</v>
      </c>
      <c r="AD312" s="82">
        <f>IF(PA[[#This Row],[Acknowledgement Time ]]="NA","",(PA[[#This Row],[Acknowledgement Time ]]-PA[[#This Row],[Fault Time]])*24)</f>
        <v>0</v>
      </c>
      <c r="AE312" s="82">
        <f>IF(PA[[#This Row],[Work Start time on Fault]]="NA","",(PA[[#This Row],[Work Start time on Fault]]-PA[[#This Row],[Fault Time]])*24)</f>
        <v>0</v>
      </c>
      <c r="AF312" s="111">
        <f>IF(PA[[#This Row],[Status]]="Open","",(PA[[#This Row],[Work Completion time on fault]]-PA[[#This Row],[Fault Time]])*24)</f>
        <v>13.083333333333332</v>
      </c>
      <c r="AG312" s="82">
        <f>IFERROR((PA[[#This Row],[Work Completion time on fault]]-PA[[#This Row],[Fault Time]])*24,"")</f>
        <v>13.083333333333332</v>
      </c>
      <c r="AH312" s="110" t="s">
        <v>2626</v>
      </c>
      <c r="AI312" s="178" t="s">
        <v>422</v>
      </c>
      <c r="AJ312" s="68">
        <f>IFERROR(PA[[#This Row],[Breakdown Time]]*PA[[#This Row],[Plant Equivalent Weightage]],"")</f>
        <v>8.1931743914339661E-2</v>
      </c>
      <c r="AK312" s="117">
        <v>2.13</v>
      </c>
      <c r="AL312" s="116">
        <f>IF(PA[[#This Row],[Lost PoA(Wh/m2)]]&gt;0,_xlfn.XLOOKUP($B312,'Daily KPI'!$A:$A,'Daily KPI'!$AE:$AE)*PA[[#This Row],[Lost PoA(Wh/m2)]]*U312,0)</f>
        <v>3709.3515035685564</v>
      </c>
      <c r="AM312" s="176" t="s">
        <v>2627</v>
      </c>
    </row>
    <row r="313" spans="1:39" ht="14" customHeight="1">
      <c r="A313" s="177">
        <f t="shared" si="5"/>
        <v>310</v>
      </c>
      <c r="B313" s="185">
        <v>45829</v>
      </c>
      <c r="C313" s="178" t="s">
        <v>477</v>
      </c>
      <c r="D313" s="6">
        <f>YEAR(PA[[#This Row],[Date]])</f>
        <v>2025</v>
      </c>
      <c r="E313" s="178" t="s">
        <v>361</v>
      </c>
      <c r="F313" s="178" t="s">
        <v>361</v>
      </c>
      <c r="G313" s="179">
        <v>45809</v>
      </c>
      <c r="H313" s="176">
        <f>DAY(EOMONTH(PA[[#This Row],[Month Year]],0))</f>
        <v>30</v>
      </c>
      <c r="I313" s="180">
        <f>VLOOKUP(PA[[#This Row],[Date]],Raw_Data[#All],9,0)</f>
        <v>0.26597222222222222</v>
      </c>
      <c r="J313" s="180">
        <f>VLOOKUP(PA[[#This Row],[Date]],Raw_Data[#All],10,0)</f>
        <v>0.81111111111111112</v>
      </c>
      <c r="K313" s="68">
        <f>IFERROR((PA[[#This Row],[Sunset Time (POA&lt;20 W/m2)]]-PA[[#This Row],[Sunrise Time (POA&gt;20 W/m2)]])*24,"")</f>
        <v>13.083333333333332</v>
      </c>
      <c r="L313" s="178" t="s">
        <v>454</v>
      </c>
      <c r="M313" s="178" t="s">
        <v>408</v>
      </c>
      <c r="N313" s="178" t="s">
        <v>395</v>
      </c>
      <c r="O313" s="178"/>
      <c r="P313" s="178"/>
      <c r="Q313" s="178"/>
      <c r="R313" s="6">
        <f>IF((PA[[#This Row],[String Type(If String BD)]]&amp;PA[[#This Row],[Equipment (If any BD other than PV  array and inv)]])="",1,0)</f>
        <v>1</v>
      </c>
      <c r="S313" s="6">
        <f>IF(PA[[#This Row],[String Type(If String BD)]]="",1,0)</f>
        <v>1</v>
      </c>
      <c r="T3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13" s="68">
        <f>IFERROR(VLOOKUP(PA[[#This Row],[Affected Equipment ]],'Basic Data '!$A$1:$B$1846,2,0),"")</f>
        <v>2004.4799999999998</v>
      </c>
      <c r="V313" s="143">
        <f>IFERROR(VLOOKUP(PA[[#This Row],[Affected Equipment ]],'Basic Data '!$A$1:$C$1846,3,0),"")</f>
        <v>5.9818974547212545E-3</v>
      </c>
      <c r="W313" s="178" t="s">
        <v>427</v>
      </c>
      <c r="X313" s="110" t="s">
        <v>452</v>
      </c>
      <c r="Y313" s="110" t="s">
        <v>452</v>
      </c>
      <c r="Z313" s="109">
        <v>0.26597222222222222</v>
      </c>
      <c r="AA313" s="109">
        <v>0.26597222222222222</v>
      </c>
      <c r="AB313" s="109">
        <v>0.26597222222222222</v>
      </c>
      <c r="AC313" s="109">
        <v>0.81111111111111112</v>
      </c>
      <c r="AD313" s="82">
        <f>IF(PA[[#This Row],[Acknowledgement Time ]]="NA","",(PA[[#This Row],[Acknowledgement Time ]]-PA[[#This Row],[Fault Time]])*24)</f>
        <v>0</v>
      </c>
      <c r="AE313" s="82">
        <f>IF(PA[[#This Row],[Work Start time on Fault]]="NA","",(PA[[#This Row],[Work Start time on Fault]]-PA[[#This Row],[Fault Time]])*24)</f>
        <v>0</v>
      </c>
      <c r="AF313" s="111">
        <f>IF(PA[[#This Row],[Status]]="Open","",(PA[[#This Row],[Work Completion time on fault]]-PA[[#This Row],[Fault Time]])*24)</f>
        <v>13.083333333333332</v>
      </c>
      <c r="AG313" s="82">
        <f>IFERROR((PA[[#This Row],[Work Completion time on fault]]-PA[[#This Row],[Fault Time]])*24,"")</f>
        <v>13.083333333333332</v>
      </c>
      <c r="AH313" s="110" t="s">
        <v>2626</v>
      </c>
      <c r="AI313" s="178" t="s">
        <v>422</v>
      </c>
      <c r="AJ313" s="68">
        <f>IFERROR(PA[[#This Row],[Breakdown Time]]*PA[[#This Row],[Plant Equivalent Weightage]],"")</f>
        <v>7.8263158365936406E-2</v>
      </c>
      <c r="AK313" s="117">
        <v>2.13</v>
      </c>
      <c r="AL313" s="116">
        <f>IF(PA[[#This Row],[Lost PoA(Wh/m2)]]&gt;0,_xlfn.XLOOKUP($B313,'Daily KPI'!$A:$A,'Daily KPI'!$AE:$AE)*PA[[#This Row],[Lost PoA(Wh/m2)]]*U313,0)</f>
        <v>3543.261137737129</v>
      </c>
      <c r="AM313" s="176" t="s">
        <v>2627</v>
      </c>
    </row>
    <row r="314" spans="1:39" ht="14" customHeight="1">
      <c r="A314" s="177">
        <f t="shared" si="5"/>
        <v>311</v>
      </c>
      <c r="B314" s="185">
        <v>45829</v>
      </c>
      <c r="C314" s="178" t="s">
        <v>477</v>
      </c>
      <c r="D314" s="6">
        <f>YEAR(PA[[#This Row],[Date]])</f>
        <v>2025</v>
      </c>
      <c r="E314" s="178" t="s">
        <v>361</v>
      </c>
      <c r="F314" s="178" t="s">
        <v>361</v>
      </c>
      <c r="G314" s="179">
        <v>45809</v>
      </c>
      <c r="H314" s="176">
        <f>DAY(EOMONTH(PA[[#This Row],[Month Year]],0))</f>
        <v>30</v>
      </c>
      <c r="I314" s="180">
        <f>VLOOKUP(PA[[#This Row],[Date]],Raw_Data[#All],9,0)</f>
        <v>0.26597222222222222</v>
      </c>
      <c r="J314" s="180">
        <f>VLOOKUP(PA[[#This Row],[Date]],Raw_Data[#All],10,0)</f>
        <v>0.81111111111111112</v>
      </c>
      <c r="K314" s="68">
        <f>IFERROR((PA[[#This Row],[Sunset Time (POA&lt;20 W/m2)]]-PA[[#This Row],[Sunrise Time (POA&gt;20 W/m2)]])*24,"")</f>
        <v>13.083333333333332</v>
      </c>
      <c r="L314" s="178" t="s">
        <v>405</v>
      </c>
      <c r="M314" s="178" t="s">
        <v>414</v>
      </c>
      <c r="N314" s="178" t="s">
        <v>402</v>
      </c>
      <c r="O314" s="178" t="s">
        <v>403</v>
      </c>
      <c r="P314" s="178" t="s">
        <v>429</v>
      </c>
      <c r="Q314" s="178"/>
      <c r="R314" s="6">
        <f>IF((PA[[#This Row],[String Type(If String BD)]]&amp;PA[[#This Row],[Equipment (If any BD other than PV  array and inv)]])="",1,0)</f>
        <v>0</v>
      </c>
      <c r="S314" s="6">
        <f>IF(PA[[#This Row],[String Type(If String BD)]]="",1,0)</f>
        <v>0</v>
      </c>
      <c r="T3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4" s="68">
        <f>IFERROR(VLOOKUP(PA[[#This Row],[Affected Equipment ]],'Basic Data '!$A$1:$B$1846,2,0),"")</f>
        <v>15.66</v>
      </c>
      <c r="V314" s="143">
        <f>IFERROR(VLOOKUP(PA[[#This Row],[Affected Equipment ]],'Basic Data '!$A$1:$C$1846,3,0),"")</f>
        <v>4.6733573865009801E-5</v>
      </c>
      <c r="W314" s="178" t="s">
        <v>451</v>
      </c>
      <c r="X314" s="110" t="s">
        <v>2621</v>
      </c>
      <c r="Y314" s="110" t="s">
        <v>2621</v>
      </c>
      <c r="Z314" s="109">
        <v>0.26597222222222222</v>
      </c>
      <c r="AA314" s="109">
        <v>0.26597222222222222</v>
      </c>
      <c r="AB314" s="109">
        <v>0.26597222222222222</v>
      </c>
      <c r="AC314" s="109">
        <v>0.81111111111111112</v>
      </c>
      <c r="AD314" s="82">
        <f>IF(PA[[#This Row],[Acknowledgement Time ]]="NA","",(PA[[#This Row],[Acknowledgement Time ]]-PA[[#This Row],[Fault Time]])*24)</f>
        <v>0</v>
      </c>
      <c r="AE314" s="82">
        <f>IF(PA[[#This Row],[Work Start time on Fault]]="NA","",(PA[[#This Row],[Work Start time on Fault]]-PA[[#This Row],[Fault Time]])*24)</f>
        <v>0</v>
      </c>
      <c r="AF314" s="111">
        <f>IF(PA[[#This Row],[Status]]="Open","",(PA[[#This Row],[Work Completion time on fault]]-PA[[#This Row],[Fault Time]])*24)</f>
        <v>13.083333333333332</v>
      </c>
      <c r="AG314" s="82">
        <f>IFERROR((PA[[#This Row],[Work Completion time on fault]]-PA[[#This Row],[Fault Time]])*24,"")</f>
        <v>13.083333333333332</v>
      </c>
      <c r="AH314" s="110" t="s">
        <v>2621</v>
      </c>
      <c r="AI314" s="178" t="s">
        <v>422</v>
      </c>
      <c r="AJ314" s="68">
        <f>IFERROR(PA[[#This Row],[Breakdown Time]]*PA[[#This Row],[Plant Equivalent Weightage]],"")</f>
        <v>6.1143092473387817E-4</v>
      </c>
      <c r="AK314" s="117">
        <v>2.13</v>
      </c>
      <c r="AL314" s="116">
        <f>IF(PA[[#This Row],[Lost PoA(Wh/m2)]]&gt;0,_xlfn.XLOOKUP($B314,'Daily KPI'!$A:$A,'Daily KPI'!$AE:$AE)*PA[[#This Row],[Lost PoA(Wh/m2)]]*U314,0)</f>
        <v>27.681727638571324</v>
      </c>
      <c r="AM314" s="176" t="s">
        <v>2623</v>
      </c>
    </row>
    <row r="315" spans="1:39" ht="14" customHeight="1">
      <c r="A315" s="177">
        <f t="shared" si="5"/>
        <v>312</v>
      </c>
      <c r="B315" s="185">
        <v>45829</v>
      </c>
      <c r="C315" s="178" t="s">
        <v>477</v>
      </c>
      <c r="D315" s="6">
        <f>YEAR(PA[[#This Row],[Date]])</f>
        <v>2025</v>
      </c>
      <c r="E315" s="178" t="s">
        <v>361</v>
      </c>
      <c r="F315" s="178" t="s">
        <v>361</v>
      </c>
      <c r="G315" s="179">
        <v>45809</v>
      </c>
      <c r="H315" s="176">
        <f>DAY(EOMONTH(PA[[#This Row],[Month Year]],0))</f>
        <v>30</v>
      </c>
      <c r="I315" s="180">
        <f>VLOOKUP(PA[[#This Row],[Date]],Raw_Data[#All],9,0)</f>
        <v>0.26597222222222222</v>
      </c>
      <c r="J315" s="180">
        <f>VLOOKUP(PA[[#This Row],[Date]],Raw_Data[#All],10,0)</f>
        <v>0.81111111111111112</v>
      </c>
      <c r="K315" s="68">
        <f>IFERROR((PA[[#This Row],[Sunset Time (POA&lt;20 W/m2)]]-PA[[#This Row],[Sunrise Time (POA&gt;20 W/m2)]])*24,"")</f>
        <v>13.083333333333332</v>
      </c>
      <c r="L315" s="178" t="s">
        <v>405</v>
      </c>
      <c r="M315" s="178" t="s">
        <v>408</v>
      </c>
      <c r="N315" s="178" t="s">
        <v>395</v>
      </c>
      <c r="O315" s="178" t="s">
        <v>406</v>
      </c>
      <c r="P315" s="178" t="s">
        <v>429</v>
      </c>
      <c r="Q315" s="178"/>
      <c r="R315" s="6">
        <f>IF((PA[[#This Row],[String Type(If String BD)]]&amp;PA[[#This Row],[Equipment (If any BD other than PV  array and inv)]])="",1,0)</f>
        <v>0</v>
      </c>
      <c r="S315" s="6">
        <f>IF(PA[[#This Row],[String Type(If String BD)]]="",1,0)</f>
        <v>0</v>
      </c>
      <c r="T3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5" s="68">
        <f>IFERROR(VLOOKUP(PA[[#This Row],[Affected Equipment ]],'Basic Data '!$A$1:$B$1846,2,0),"")</f>
        <v>15.66</v>
      </c>
      <c r="V315" s="143">
        <f>IFERROR(VLOOKUP(PA[[#This Row],[Affected Equipment ]],'Basic Data '!$A$1:$C$1846,3,0),"")</f>
        <v>4.6733573865009801E-5</v>
      </c>
      <c r="W315" s="178" t="s">
        <v>451</v>
      </c>
      <c r="X315" s="110" t="s">
        <v>2621</v>
      </c>
      <c r="Y315" s="110" t="s">
        <v>2621</v>
      </c>
      <c r="Z315" s="109">
        <v>0.26597222222222222</v>
      </c>
      <c r="AA315" s="109">
        <v>0.26597222222222222</v>
      </c>
      <c r="AB315" s="109">
        <v>0.26597222222222222</v>
      </c>
      <c r="AC315" s="109">
        <v>0.81111111111111112</v>
      </c>
      <c r="AD315" s="82">
        <f>IF(PA[[#This Row],[Acknowledgement Time ]]="NA","",(PA[[#This Row],[Acknowledgement Time ]]-PA[[#This Row],[Fault Time]])*24)</f>
        <v>0</v>
      </c>
      <c r="AE315" s="82">
        <f>IF(PA[[#This Row],[Work Start time on Fault]]="NA","",(PA[[#This Row],[Work Start time on Fault]]-PA[[#This Row],[Fault Time]])*24)</f>
        <v>0</v>
      </c>
      <c r="AF315" s="111">
        <f>IF(PA[[#This Row],[Status]]="Open","",(PA[[#This Row],[Work Completion time on fault]]-PA[[#This Row],[Fault Time]])*24)</f>
        <v>13.083333333333332</v>
      </c>
      <c r="AG315" s="82">
        <f>IFERROR((PA[[#This Row],[Work Completion time on fault]]-PA[[#This Row],[Fault Time]])*24,"")</f>
        <v>13.083333333333332</v>
      </c>
      <c r="AH315" s="110" t="s">
        <v>2621</v>
      </c>
      <c r="AI315" s="178" t="s">
        <v>422</v>
      </c>
      <c r="AJ315" s="68">
        <f>IFERROR(PA[[#This Row],[Breakdown Time]]*PA[[#This Row],[Plant Equivalent Weightage]],"")</f>
        <v>6.1143092473387817E-4</v>
      </c>
      <c r="AK315" s="117">
        <v>2.13</v>
      </c>
      <c r="AL315" s="116">
        <f>IF(PA[[#This Row],[Lost PoA(Wh/m2)]]&gt;0,_xlfn.XLOOKUP($B315,'Daily KPI'!$A:$A,'Daily KPI'!$AE:$AE)*PA[[#This Row],[Lost PoA(Wh/m2)]]*U315,0)</f>
        <v>27.681727638571324</v>
      </c>
      <c r="AM315" s="176" t="s">
        <v>2623</v>
      </c>
    </row>
    <row r="316" spans="1:39" ht="14" customHeight="1">
      <c r="A316" s="177">
        <f t="shared" si="5"/>
        <v>313</v>
      </c>
      <c r="B316" s="185">
        <v>45829</v>
      </c>
      <c r="C316" s="178" t="s">
        <v>477</v>
      </c>
      <c r="D316" s="6">
        <f>YEAR(PA[[#This Row],[Date]])</f>
        <v>2025</v>
      </c>
      <c r="E316" s="178" t="s">
        <v>361</v>
      </c>
      <c r="F316" s="178" t="s">
        <v>361</v>
      </c>
      <c r="G316" s="179">
        <v>45809</v>
      </c>
      <c r="H316" s="176">
        <f>DAY(EOMONTH(PA[[#This Row],[Month Year]],0))</f>
        <v>30</v>
      </c>
      <c r="I316" s="180">
        <f>VLOOKUP(PA[[#This Row],[Date]],Raw_Data[#All],9,0)</f>
        <v>0.26597222222222222</v>
      </c>
      <c r="J316" s="180">
        <f>VLOOKUP(PA[[#This Row],[Date]],Raw_Data[#All],10,0)</f>
        <v>0.81111111111111112</v>
      </c>
      <c r="K316" s="68">
        <f>IFERROR((PA[[#This Row],[Sunset Time (POA&lt;20 W/m2)]]-PA[[#This Row],[Sunrise Time (POA&gt;20 W/m2)]])*24,"")</f>
        <v>13.083333333333332</v>
      </c>
      <c r="L316" s="178" t="s">
        <v>437</v>
      </c>
      <c r="M316" s="178" t="s">
        <v>401</v>
      </c>
      <c r="N316" s="178" t="s">
        <v>395</v>
      </c>
      <c r="O316" s="178" t="s">
        <v>396</v>
      </c>
      <c r="P316" s="178" t="s">
        <v>397</v>
      </c>
      <c r="Q316" s="178"/>
      <c r="R316" s="6">
        <f>IF((PA[[#This Row],[String Type(If String BD)]]&amp;PA[[#This Row],[Equipment (If any BD other than PV  array and inv)]])="",1,0)</f>
        <v>0</v>
      </c>
      <c r="S316" s="6">
        <f>IF(PA[[#This Row],[String Type(If String BD)]]="",1,0)</f>
        <v>0</v>
      </c>
      <c r="T3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6" s="68">
        <f>IFERROR(VLOOKUP(PA[[#This Row],[Affected Equipment ]],'Basic Data '!$A$1:$B$1846,2,0),"")</f>
        <v>25.81</v>
      </c>
      <c r="V316" s="143">
        <f>IFERROR(VLOOKUP(PA[[#This Row],[Affected Equipment ]],'Basic Data '!$A$1:$C$1846,3,0),"")</f>
        <v>7.7023853221960597E-5</v>
      </c>
      <c r="W316" s="178" t="s">
        <v>451</v>
      </c>
      <c r="X316" s="110" t="s">
        <v>2603</v>
      </c>
      <c r="Y316" s="110" t="s">
        <v>2603</v>
      </c>
      <c r="Z316" s="109">
        <v>0.26597222222222222</v>
      </c>
      <c r="AA316" s="109">
        <v>0.26597222222222222</v>
      </c>
      <c r="AB316" s="109">
        <v>0.26597222222222222</v>
      </c>
      <c r="AC316" s="109">
        <v>0.81111111111111112</v>
      </c>
      <c r="AD316" s="82">
        <f>IF(PA[[#This Row],[Acknowledgement Time ]]="NA","",(PA[[#This Row],[Acknowledgement Time ]]-PA[[#This Row],[Fault Time]])*24)</f>
        <v>0</v>
      </c>
      <c r="AE316" s="82">
        <f>IF(PA[[#This Row],[Work Start time on Fault]]="NA","",(PA[[#This Row],[Work Start time on Fault]]-PA[[#This Row],[Fault Time]])*24)</f>
        <v>0</v>
      </c>
      <c r="AF316" s="111">
        <f>IF(PA[[#This Row],[Status]]="Open","",(PA[[#This Row],[Work Completion time on fault]]-PA[[#This Row],[Fault Time]])*24)</f>
        <v>13.083333333333332</v>
      </c>
      <c r="AG316" s="82">
        <f>IFERROR((PA[[#This Row],[Work Completion time on fault]]-PA[[#This Row],[Fault Time]])*24,"")</f>
        <v>13.083333333333332</v>
      </c>
      <c r="AH316" s="110" t="s">
        <v>2603</v>
      </c>
      <c r="AI316" s="79" t="s">
        <v>422</v>
      </c>
      <c r="AJ316" s="68">
        <f>IFERROR(PA[[#This Row],[Breakdown Time]]*PA[[#This Row],[Plant Equivalent Weightage]],"")</f>
        <v>1.0077287463206509E-3</v>
      </c>
      <c r="AK316" s="117">
        <v>2.13</v>
      </c>
      <c r="AL316" s="116">
        <f>IF(PA[[#This Row],[Lost PoA(Wh/m2)]]&gt;0,_xlfn.XLOOKUP($B316,'Daily KPI'!$A:$A,'Daily KPI'!$AE:$AE)*PA[[#This Row],[Lost PoA(Wh/m2)]]*U316,0)</f>
        <v>45.623588145052736</v>
      </c>
      <c r="AM316" s="176" t="s">
        <v>2624</v>
      </c>
    </row>
    <row r="317" spans="1:39" ht="14" customHeight="1">
      <c r="A317" s="177">
        <f t="shared" si="5"/>
        <v>314</v>
      </c>
      <c r="B317" s="185">
        <v>45830</v>
      </c>
      <c r="C317" s="178" t="s">
        <v>477</v>
      </c>
      <c r="D317" s="6">
        <f>YEAR(PA[[#This Row],[Date]])</f>
        <v>2025</v>
      </c>
      <c r="E317" s="178" t="s">
        <v>361</v>
      </c>
      <c r="F317" s="178" t="s">
        <v>361</v>
      </c>
      <c r="G317" s="179">
        <v>45809</v>
      </c>
      <c r="H317" s="176">
        <f>DAY(EOMONTH(PA[[#This Row],[Month Year]],0))</f>
        <v>30</v>
      </c>
      <c r="I317" s="180">
        <f>VLOOKUP(PA[[#This Row],[Date]],Raw_Data[#All],9,0)</f>
        <v>0.26041666666666669</v>
      </c>
      <c r="J317" s="180">
        <f>VLOOKUP(PA[[#This Row],[Date]],Raw_Data[#All],10,0)</f>
        <v>0.81388888888888888</v>
      </c>
      <c r="K317" s="68">
        <f>IFERROR((PA[[#This Row],[Sunset Time (POA&lt;20 W/m2)]]-PA[[#This Row],[Sunrise Time (POA&gt;20 W/m2)]])*24,"")</f>
        <v>13.283333333333331</v>
      </c>
      <c r="L317" s="178" t="s">
        <v>405</v>
      </c>
      <c r="M317" s="178" t="s">
        <v>414</v>
      </c>
      <c r="N317" s="178" t="s">
        <v>402</v>
      </c>
      <c r="O317" s="178" t="s">
        <v>403</v>
      </c>
      <c r="P317" s="178" t="s">
        <v>429</v>
      </c>
      <c r="Q317" s="178"/>
      <c r="R317" s="6">
        <f>IF((PA[[#This Row],[String Type(If String BD)]]&amp;PA[[#This Row],[Equipment (If any BD other than PV  array and inv)]])="",1,0)</f>
        <v>0</v>
      </c>
      <c r="S317" s="6">
        <f>IF(PA[[#This Row],[String Type(If String BD)]]="",1,0)</f>
        <v>0</v>
      </c>
      <c r="T3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7" s="68">
        <f>IFERROR(VLOOKUP(PA[[#This Row],[Affected Equipment ]],'Basic Data '!$A$1:$B$1846,2,0),"")</f>
        <v>15.66</v>
      </c>
      <c r="V317" s="143">
        <f>IFERROR(VLOOKUP(PA[[#This Row],[Affected Equipment ]],'Basic Data '!$A$1:$C$1846,3,0),"")</f>
        <v>4.6733573865009801E-5</v>
      </c>
      <c r="W317" s="178" t="s">
        <v>451</v>
      </c>
      <c r="X317" s="110" t="s">
        <v>2621</v>
      </c>
      <c r="Y317" s="110" t="s">
        <v>2621</v>
      </c>
      <c r="Z317" s="109">
        <v>0.26041666666666669</v>
      </c>
      <c r="AA317" s="109">
        <v>0.26041666666666669</v>
      </c>
      <c r="AB317" s="109">
        <v>0.26041666666666669</v>
      </c>
      <c r="AC317" s="109">
        <v>0.81388888888888888</v>
      </c>
      <c r="AD317" s="82">
        <f>IF(PA[[#This Row],[Acknowledgement Time ]]="NA","",(PA[[#This Row],[Acknowledgement Time ]]-PA[[#This Row],[Fault Time]])*24)</f>
        <v>0</v>
      </c>
      <c r="AE317" s="82">
        <f>IF(PA[[#This Row],[Work Start time on Fault]]="NA","",(PA[[#This Row],[Work Start time on Fault]]-PA[[#This Row],[Fault Time]])*24)</f>
        <v>0</v>
      </c>
      <c r="AF317" s="111">
        <f>IF(PA[[#This Row],[Status]]="Open","",(PA[[#This Row],[Work Completion time on fault]]-PA[[#This Row],[Fault Time]])*24)</f>
        <v>13.283333333333331</v>
      </c>
      <c r="AG317" s="82">
        <f>IFERROR((PA[[#This Row],[Work Completion time on fault]]-PA[[#This Row],[Fault Time]])*24,"")</f>
        <v>13.283333333333331</v>
      </c>
      <c r="AH317" s="110" t="s">
        <v>2621</v>
      </c>
      <c r="AI317" s="178" t="s">
        <v>422</v>
      </c>
      <c r="AJ317" s="68">
        <f>IFERROR(PA[[#This Row],[Breakdown Time]]*PA[[#This Row],[Plant Equivalent Weightage]],"")</f>
        <v>6.2077763950688005E-4</v>
      </c>
      <c r="AK317" s="117">
        <v>7</v>
      </c>
      <c r="AL317" s="116">
        <f>IF(PA[[#This Row],[Lost PoA(Wh/m2)]]&gt;0,_xlfn.XLOOKUP($B317,'Daily KPI'!$A:$A,'Daily KPI'!$AE:$AE)*PA[[#This Row],[Lost PoA(Wh/m2)]]*U317,0)</f>
        <v>90.972813835680412</v>
      </c>
      <c r="AM317" s="176" t="s">
        <v>2623</v>
      </c>
    </row>
    <row r="318" spans="1:39" ht="14" customHeight="1">
      <c r="A318" s="177">
        <f t="shared" si="5"/>
        <v>315</v>
      </c>
      <c r="B318" s="185">
        <v>45830</v>
      </c>
      <c r="C318" s="178" t="s">
        <v>477</v>
      </c>
      <c r="D318" s="6">
        <f>YEAR(PA[[#This Row],[Date]])</f>
        <v>2025</v>
      </c>
      <c r="E318" s="178" t="s">
        <v>361</v>
      </c>
      <c r="F318" s="178" t="s">
        <v>361</v>
      </c>
      <c r="G318" s="179">
        <v>45809</v>
      </c>
      <c r="H318" s="176">
        <f>DAY(EOMONTH(PA[[#This Row],[Month Year]],0))</f>
        <v>30</v>
      </c>
      <c r="I318" s="180">
        <f>VLOOKUP(PA[[#This Row],[Date]],Raw_Data[#All],9,0)</f>
        <v>0.26041666666666669</v>
      </c>
      <c r="J318" s="180">
        <f>VLOOKUP(PA[[#This Row],[Date]],Raw_Data[#All],10,0)</f>
        <v>0.81388888888888888</v>
      </c>
      <c r="K318" s="68">
        <f>IFERROR((PA[[#This Row],[Sunset Time (POA&lt;20 W/m2)]]-PA[[#This Row],[Sunrise Time (POA&gt;20 W/m2)]])*24,"")</f>
        <v>13.283333333333331</v>
      </c>
      <c r="L318" s="178" t="s">
        <v>405</v>
      </c>
      <c r="M318" s="178" t="s">
        <v>408</v>
      </c>
      <c r="N318" s="178" t="s">
        <v>395</v>
      </c>
      <c r="O318" s="178" t="s">
        <v>406</v>
      </c>
      <c r="P318" s="178" t="s">
        <v>429</v>
      </c>
      <c r="Q318" s="178"/>
      <c r="R318" s="6">
        <f>IF((PA[[#This Row],[String Type(If String BD)]]&amp;PA[[#This Row],[Equipment (If any BD other than PV  array and inv)]])="",1,0)</f>
        <v>0</v>
      </c>
      <c r="S318" s="6">
        <f>IF(PA[[#This Row],[String Type(If String BD)]]="",1,0)</f>
        <v>0</v>
      </c>
      <c r="T3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8" s="68">
        <f>IFERROR(VLOOKUP(PA[[#This Row],[Affected Equipment ]],'Basic Data '!$A$1:$B$1846,2,0),"")</f>
        <v>15.66</v>
      </c>
      <c r="V318" s="143">
        <f>IFERROR(VLOOKUP(PA[[#This Row],[Affected Equipment ]],'Basic Data '!$A$1:$C$1846,3,0),"")</f>
        <v>4.6733573865009801E-5</v>
      </c>
      <c r="W318" s="178" t="s">
        <v>451</v>
      </c>
      <c r="X318" s="110" t="s">
        <v>2621</v>
      </c>
      <c r="Y318" s="110" t="s">
        <v>2621</v>
      </c>
      <c r="Z318" s="109">
        <v>0.26041666666666669</v>
      </c>
      <c r="AA318" s="109">
        <v>0.26041666666666669</v>
      </c>
      <c r="AB318" s="109">
        <v>0.26041666666666669</v>
      </c>
      <c r="AC318" s="109">
        <v>0.81388888888888888</v>
      </c>
      <c r="AD318" s="82">
        <f>IF(PA[[#This Row],[Acknowledgement Time ]]="NA","",(PA[[#This Row],[Acknowledgement Time ]]-PA[[#This Row],[Fault Time]])*24)</f>
        <v>0</v>
      </c>
      <c r="AE318" s="82">
        <f>IF(PA[[#This Row],[Work Start time on Fault]]="NA","",(PA[[#This Row],[Work Start time on Fault]]-PA[[#This Row],[Fault Time]])*24)</f>
        <v>0</v>
      </c>
      <c r="AF318" s="111">
        <f>IF(PA[[#This Row],[Status]]="Open","",(PA[[#This Row],[Work Completion time on fault]]-PA[[#This Row],[Fault Time]])*24)</f>
        <v>13.283333333333331</v>
      </c>
      <c r="AG318" s="82">
        <f>IFERROR((PA[[#This Row],[Work Completion time on fault]]-PA[[#This Row],[Fault Time]])*24,"")</f>
        <v>13.283333333333331</v>
      </c>
      <c r="AH318" s="110" t="s">
        <v>2621</v>
      </c>
      <c r="AI318" s="178" t="s">
        <v>422</v>
      </c>
      <c r="AJ318" s="68">
        <f>IFERROR(PA[[#This Row],[Breakdown Time]]*PA[[#This Row],[Plant Equivalent Weightage]],"")</f>
        <v>6.2077763950688005E-4</v>
      </c>
      <c r="AK318" s="117">
        <v>7</v>
      </c>
      <c r="AL318" s="116">
        <f>IF(PA[[#This Row],[Lost PoA(Wh/m2)]]&gt;0,_xlfn.XLOOKUP($B318,'Daily KPI'!$A:$A,'Daily KPI'!$AE:$AE)*PA[[#This Row],[Lost PoA(Wh/m2)]]*U318,0)</f>
        <v>90.972813835680412</v>
      </c>
      <c r="AM318" s="176" t="s">
        <v>2623</v>
      </c>
    </row>
    <row r="319" spans="1:39" ht="14" customHeight="1">
      <c r="A319" s="177">
        <f t="shared" si="5"/>
        <v>316</v>
      </c>
      <c r="B319" s="185">
        <v>45830</v>
      </c>
      <c r="C319" s="178" t="s">
        <v>477</v>
      </c>
      <c r="D319" s="6">
        <f>YEAR(PA[[#This Row],[Date]])</f>
        <v>2025</v>
      </c>
      <c r="E319" s="178" t="s">
        <v>361</v>
      </c>
      <c r="F319" s="178" t="s">
        <v>361</v>
      </c>
      <c r="G319" s="179">
        <v>45809</v>
      </c>
      <c r="H319" s="176">
        <f>DAY(EOMONTH(PA[[#This Row],[Month Year]],0))</f>
        <v>30</v>
      </c>
      <c r="I319" s="180">
        <f>VLOOKUP(PA[[#This Row],[Date]],Raw_Data[#All],9,0)</f>
        <v>0.26041666666666669</v>
      </c>
      <c r="J319" s="180">
        <f>VLOOKUP(PA[[#This Row],[Date]],Raw_Data[#All],10,0)</f>
        <v>0.81388888888888888</v>
      </c>
      <c r="K319" s="68">
        <f>IFERROR((PA[[#This Row],[Sunset Time (POA&lt;20 W/m2)]]-PA[[#This Row],[Sunrise Time (POA&gt;20 W/m2)]])*24,"")</f>
        <v>13.283333333333331</v>
      </c>
      <c r="L319" s="178" t="s">
        <v>437</v>
      </c>
      <c r="M319" s="178" t="s">
        <v>401</v>
      </c>
      <c r="N319" s="178" t="s">
        <v>395</v>
      </c>
      <c r="O319" s="178" t="s">
        <v>396</v>
      </c>
      <c r="P319" s="178" t="s">
        <v>397</v>
      </c>
      <c r="Q319" s="178"/>
      <c r="R319" s="6">
        <f>IF((PA[[#This Row],[String Type(If String BD)]]&amp;PA[[#This Row],[Equipment (If any BD other than PV  array and inv)]])="",1,0)</f>
        <v>0</v>
      </c>
      <c r="S319" s="6">
        <f>IF(PA[[#This Row],[String Type(If String BD)]]="",1,0)</f>
        <v>0</v>
      </c>
      <c r="T3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9" s="68">
        <f>IFERROR(VLOOKUP(PA[[#This Row],[Affected Equipment ]],'Basic Data '!$A$1:$B$1846,2,0),"")</f>
        <v>25.81</v>
      </c>
      <c r="V319" s="143">
        <f>IFERROR(VLOOKUP(PA[[#This Row],[Affected Equipment ]],'Basic Data '!$A$1:$C$1846,3,0),"")</f>
        <v>7.7023853221960597E-5</v>
      </c>
      <c r="W319" s="178" t="s">
        <v>451</v>
      </c>
      <c r="X319" s="110" t="s">
        <v>2603</v>
      </c>
      <c r="Y319" s="110" t="s">
        <v>2603</v>
      </c>
      <c r="Z319" s="109">
        <v>0.26041666666666669</v>
      </c>
      <c r="AA319" s="109">
        <v>0.26041666666666669</v>
      </c>
      <c r="AB319" s="109">
        <v>0.26041666666666669</v>
      </c>
      <c r="AC319" s="109">
        <v>0.81388888888888888</v>
      </c>
      <c r="AD319" s="82">
        <f>IF(PA[[#This Row],[Acknowledgement Time ]]="NA","",(PA[[#This Row],[Acknowledgement Time ]]-PA[[#This Row],[Fault Time]])*24)</f>
        <v>0</v>
      </c>
      <c r="AE319" s="82">
        <f>IF(PA[[#This Row],[Work Start time on Fault]]="NA","",(PA[[#This Row],[Work Start time on Fault]]-PA[[#This Row],[Fault Time]])*24)</f>
        <v>0</v>
      </c>
      <c r="AF319" s="111">
        <f>IF(PA[[#This Row],[Status]]="Open","",(PA[[#This Row],[Work Completion time on fault]]-PA[[#This Row],[Fault Time]])*24)</f>
        <v>13.283333333333331</v>
      </c>
      <c r="AG319" s="82">
        <f>IFERROR((PA[[#This Row],[Work Completion time on fault]]-PA[[#This Row],[Fault Time]])*24,"")</f>
        <v>13.283333333333331</v>
      </c>
      <c r="AH319" s="110" t="s">
        <v>2603</v>
      </c>
      <c r="AI319" s="79" t="s">
        <v>422</v>
      </c>
      <c r="AJ319" s="68">
        <f>IFERROR(PA[[#This Row],[Breakdown Time]]*PA[[#This Row],[Plant Equivalent Weightage]],"")</f>
        <v>1.0231335169650431E-3</v>
      </c>
      <c r="AK319" s="117">
        <v>7.04</v>
      </c>
      <c r="AL319" s="116">
        <f>IF(PA[[#This Row],[Lost PoA(Wh/m2)]]&gt;0,_xlfn.XLOOKUP($B319,'Daily KPI'!$A:$A,'Daily KPI'!$AE:$AE)*PA[[#This Row],[Lost PoA(Wh/m2)]]*U319,0)</f>
        <v>150.79345565313204</v>
      </c>
      <c r="AM319" s="176" t="s">
        <v>2624</v>
      </c>
    </row>
    <row r="320" spans="1:39" ht="14" customHeight="1">
      <c r="A320" s="177">
        <f t="shared" si="5"/>
        <v>317</v>
      </c>
      <c r="B320" s="185">
        <v>45831</v>
      </c>
      <c r="C320" s="178" t="s">
        <v>477</v>
      </c>
      <c r="D320" s="6">
        <f>YEAR(PA[[#This Row],[Date]])</f>
        <v>2025</v>
      </c>
      <c r="E320" s="178" t="s">
        <v>361</v>
      </c>
      <c r="F320" s="178" t="s">
        <v>361</v>
      </c>
      <c r="G320" s="179">
        <v>45809</v>
      </c>
      <c r="H320" s="176">
        <f>DAY(EOMONTH(PA[[#This Row],[Month Year]],0))</f>
        <v>30</v>
      </c>
      <c r="I320" s="180">
        <f>VLOOKUP(PA[[#This Row],[Date]],Raw_Data[#All],9,0)</f>
        <v>0.26805555555555555</v>
      </c>
      <c r="J320" s="180">
        <f>VLOOKUP(PA[[#This Row],[Date]],Raw_Data[#All],10,0)</f>
        <v>0.81111111111111112</v>
      </c>
      <c r="K320" s="68">
        <f>IFERROR((PA[[#This Row],[Sunset Time (POA&lt;20 W/m2)]]-PA[[#This Row],[Sunrise Time (POA&gt;20 W/m2)]])*24,"")</f>
        <v>13.033333333333335</v>
      </c>
      <c r="L320" s="178" t="s">
        <v>405</v>
      </c>
      <c r="M320" s="178" t="s">
        <v>414</v>
      </c>
      <c r="N320" s="178" t="s">
        <v>402</v>
      </c>
      <c r="O320" s="178" t="s">
        <v>403</v>
      </c>
      <c r="P320" s="178" t="s">
        <v>429</v>
      </c>
      <c r="Q320" s="178"/>
      <c r="R320" s="6">
        <f>IF((PA[[#This Row],[String Type(If String BD)]]&amp;PA[[#This Row],[Equipment (If any BD other than PV  array and inv)]])="",1,0)</f>
        <v>0</v>
      </c>
      <c r="S320" s="6">
        <f>IF(PA[[#This Row],[String Type(If String BD)]]="",1,0)</f>
        <v>0</v>
      </c>
      <c r="T3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0" s="68">
        <f>IFERROR(VLOOKUP(PA[[#This Row],[Affected Equipment ]],'Basic Data '!$A$1:$B$1846,2,0),"")</f>
        <v>15.66</v>
      </c>
      <c r="V320" s="143">
        <f>IFERROR(VLOOKUP(PA[[#This Row],[Affected Equipment ]],'Basic Data '!$A$1:$C$1846,3,0),"")</f>
        <v>4.6733573865009801E-5</v>
      </c>
      <c r="W320" s="178" t="s">
        <v>451</v>
      </c>
      <c r="X320" s="110" t="s">
        <v>2621</v>
      </c>
      <c r="Y320" s="110" t="s">
        <v>2621</v>
      </c>
      <c r="Z320" s="109">
        <v>0.26805555555555555</v>
      </c>
      <c r="AA320" s="109">
        <v>0.26805555555555555</v>
      </c>
      <c r="AB320" s="109">
        <v>0.26805555555555555</v>
      </c>
      <c r="AC320" s="109">
        <v>0.81111111111111112</v>
      </c>
      <c r="AD320" s="82">
        <f>IF(PA[[#This Row],[Acknowledgement Time ]]="NA","",(PA[[#This Row],[Acknowledgement Time ]]-PA[[#This Row],[Fault Time]])*24)</f>
        <v>0</v>
      </c>
      <c r="AE320" s="82">
        <f>IF(PA[[#This Row],[Work Start time on Fault]]="NA","",(PA[[#This Row],[Work Start time on Fault]]-PA[[#This Row],[Fault Time]])*24)</f>
        <v>0</v>
      </c>
      <c r="AF320" s="111">
        <f>IF(PA[[#This Row],[Status]]="Open","",(PA[[#This Row],[Work Completion time on fault]]-PA[[#This Row],[Fault Time]])*24)</f>
        <v>13.033333333333335</v>
      </c>
      <c r="AG320" s="82">
        <f>IFERROR((PA[[#This Row],[Work Completion time on fault]]-PA[[#This Row],[Fault Time]])*24,"")</f>
        <v>13.033333333333335</v>
      </c>
      <c r="AH320" s="110" t="s">
        <v>2621</v>
      </c>
      <c r="AI320" s="178" t="s">
        <v>422</v>
      </c>
      <c r="AJ320" s="68">
        <f>IFERROR(PA[[#This Row],[Breakdown Time]]*PA[[#This Row],[Plant Equivalent Weightage]],"")</f>
        <v>6.0909424604062778E-4</v>
      </c>
      <c r="AK320" s="117">
        <v>5.7</v>
      </c>
      <c r="AL320" s="116">
        <f>IF(PA[[#This Row],[Lost PoA(Wh/m2)]]&gt;0,_xlfn.XLOOKUP($B320,'Daily KPI'!$A:$A,'Daily KPI'!$AE:$AE)*PA[[#This Row],[Lost PoA(Wh/m2)]]*U320,0)</f>
        <v>74.077862694768328</v>
      </c>
      <c r="AM320" s="176" t="s">
        <v>2623</v>
      </c>
    </row>
    <row r="321" spans="1:39" ht="14" customHeight="1">
      <c r="A321" s="177">
        <f t="shared" si="5"/>
        <v>318</v>
      </c>
      <c r="B321" s="185">
        <v>45831</v>
      </c>
      <c r="C321" s="178" t="s">
        <v>477</v>
      </c>
      <c r="D321" s="6">
        <f>YEAR(PA[[#This Row],[Date]])</f>
        <v>2025</v>
      </c>
      <c r="E321" s="178" t="s">
        <v>361</v>
      </c>
      <c r="F321" s="178" t="s">
        <v>361</v>
      </c>
      <c r="G321" s="179">
        <v>45809</v>
      </c>
      <c r="H321" s="176">
        <f>DAY(EOMONTH(PA[[#This Row],[Month Year]],0))</f>
        <v>30</v>
      </c>
      <c r="I321" s="180">
        <f>VLOOKUP(PA[[#This Row],[Date]],Raw_Data[#All],9,0)</f>
        <v>0.26805555555555555</v>
      </c>
      <c r="J321" s="180">
        <f>VLOOKUP(PA[[#This Row],[Date]],Raw_Data[#All],10,0)</f>
        <v>0.81111111111111112</v>
      </c>
      <c r="K321" s="68">
        <f>IFERROR((PA[[#This Row],[Sunset Time (POA&lt;20 W/m2)]]-PA[[#This Row],[Sunrise Time (POA&gt;20 W/m2)]])*24,"")</f>
        <v>13.033333333333335</v>
      </c>
      <c r="L321" s="178" t="s">
        <v>405</v>
      </c>
      <c r="M321" s="178" t="s">
        <v>408</v>
      </c>
      <c r="N321" s="178" t="s">
        <v>395</v>
      </c>
      <c r="O321" s="178" t="s">
        <v>406</v>
      </c>
      <c r="P321" s="178" t="s">
        <v>429</v>
      </c>
      <c r="Q321" s="178"/>
      <c r="R321" s="6">
        <f>IF((PA[[#This Row],[String Type(If String BD)]]&amp;PA[[#This Row],[Equipment (If any BD other than PV  array and inv)]])="",1,0)</f>
        <v>0</v>
      </c>
      <c r="S321" s="6">
        <f>IF(PA[[#This Row],[String Type(If String BD)]]="",1,0)</f>
        <v>0</v>
      </c>
      <c r="T3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1" s="68">
        <f>IFERROR(VLOOKUP(PA[[#This Row],[Affected Equipment ]],'Basic Data '!$A$1:$B$1846,2,0),"")</f>
        <v>15.66</v>
      </c>
      <c r="V321" s="143">
        <f>IFERROR(VLOOKUP(PA[[#This Row],[Affected Equipment ]],'Basic Data '!$A$1:$C$1846,3,0),"")</f>
        <v>4.6733573865009801E-5</v>
      </c>
      <c r="W321" s="178" t="s">
        <v>451</v>
      </c>
      <c r="X321" s="110" t="s">
        <v>2621</v>
      </c>
      <c r="Y321" s="110" t="s">
        <v>2621</v>
      </c>
      <c r="Z321" s="109">
        <v>0.26805555555555555</v>
      </c>
      <c r="AA321" s="109">
        <v>0.26805555555555555</v>
      </c>
      <c r="AB321" s="109">
        <v>0.26805555555555555</v>
      </c>
      <c r="AC321" s="109">
        <v>0.81111111111111112</v>
      </c>
      <c r="AD321" s="82">
        <f>IF(PA[[#This Row],[Acknowledgement Time ]]="NA","",(PA[[#This Row],[Acknowledgement Time ]]-PA[[#This Row],[Fault Time]])*24)</f>
        <v>0</v>
      </c>
      <c r="AE321" s="82">
        <f>IF(PA[[#This Row],[Work Start time on Fault]]="NA","",(PA[[#This Row],[Work Start time on Fault]]-PA[[#This Row],[Fault Time]])*24)</f>
        <v>0</v>
      </c>
      <c r="AF321" s="111">
        <f>IF(PA[[#This Row],[Status]]="Open","",(PA[[#This Row],[Work Completion time on fault]]-PA[[#This Row],[Fault Time]])*24)</f>
        <v>13.033333333333335</v>
      </c>
      <c r="AG321" s="82">
        <f>IFERROR((PA[[#This Row],[Work Completion time on fault]]-PA[[#This Row],[Fault Time]])*24,"")</f>
        <v>13.033333333333335</v>
      </c>
      <c r="AH321" s="110" t="s">
        <v>2621</v>
      </c>
      <c r="AI321" s="178" t="s">
        <v>422</v>
      </c>
      <c r="AJ321" s="68">
        <f>IFERROR(PA[[#This Row],[Breakdown Time]]*PA[[#This Row],[Plant Equivalent Weightage]],"")</f>
        <v>6.0909424604062778E-4</v>
      </c>
      <c r="AK321" s="117">
        <v>5.7</v>
      </c>
      <c r="AL321" s="116">
        <f>IF(PA[[#This Row],[Lost PoA(Wh/m2)]]&gt;0,_xlfn.XLOOKUP($B321,'Daily KPI'!$A:$A,'Daily KPI'!$AE:$AE)*PA[[#This Row],[Lost PoA(Wh/m2)]]*U321,0)</f>
        <v>74.077862694768328</v>
      </c>
      <c r="AM321" s="176" t="s">
        <v>2623</v>
      </c>
    </row>
    <row r="322" spans="1:39" ht="14" customHeight="1">
      <c r="A322" s="177">
        <f t="shared" si="5"/>
        <v>319</v>
      </c>
      <c r="B322" s="185">
        <v>45831</v>
      </c>
      <c r="C322" s="178" t="s">
        <v>477</v>
      </c>
      <c r="D322" s="6">
        <f>YEAR(PA[[#This Row],[Date]])</f>
        <v>2025</v>
      </c>
      <c r="E322" s="178" t="s">
        <v>361</v>
      </c>
      <c r="F322" s="178" t="s">
        <v>361</v>
      </c>
      <c r="G322" s="179">
        <v>45809</v>
      </c>
      <c r="H322" s="176">
        <f>DAY(EOMONTH(PA[[#This Row],[Month Year]],0))</f>
        <v>30</v>
      </c>
      <c r="I322" s="180">
        <f>VLOOKUP(PA[[#This Row],[Date]],Raw_Data[#All],9,0)</f>
        <v>0.26805555555555555</v>
      </c>
      <c r="J322" s="180">
        <f>VLOOKUP(PA[[#This Row],[Date]],Raw_Data[#All],10,0)</f>
        <v>0.81111111111111112</v>
      </c>
      <c r="K322" s="68">
        <f>IFERROR((PA[[#This Row],[Sunset Time (POA&lt;20 W/m2)]]-PA[[#This Row],[Sunrise Time (POA&gt;20 W/m2)]])*24,"")</f>
        <v>13.033333333333335</v>
      </c>
      <c r="L322" s="178" t="s">
        <v>437</v>
      </c>
      <c r="M322" s="178" t="s">
        <v>401</v>
      </c>
      <c r="N322" s="178" t="s">
        <v>395</v>
      </c>
      <c r="O322" s="178" t="s">
        <v>396</v>
      </c>
      <c r="P322" s="178" t="s">
        <v>397</v>
      </c>
      <c r="Q322" s="178"/>
      <c r="R322" s="6">
        <f>IF((PA[[#This Row],[String Type(If String BD)]]&amp;PA[[#This Row],[Equipment (If any BD other than PV  array and inv)]])="",1,0)</f>
        <v>0</v>
      </c>
      <c r="S322" s="6">
        <f>IF(PA[[#This Row],[String Type(If String BD)]]="",1,0)</f>
        <v>0</v>
      </c>
      <c r="T3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2" s="68">
        <f>IFERROR(VLOOKUP(PA[[#This Row],[Affected Equipment ]],'Basic Data '!$A$1:$B$1846,2,0),"")</f>
        <v>25.81</v>
      </c>
      <c r="V322" s="143">
        <f>IFERROR(VLOOKUP(PA[[#This Row],[Affected Equipment ]],'Basic Data '!$A$1:$C$1846,3,0),"")</f>
        <v>7.7023853221960597E-5</v>
      </c>
      <c r="W322" s="178" t="s">
        <v>451</v>
      </c>
      <c r="X322" s="110" t="s">
        <v>2603</v>
      </c>
      <c r="Y322" s="110" t="s">
        <v>2603</v>
      </c>
      <c r="Z322" s="109">
        <v>0.26805555555555555</v>
      </c>
      <c r="AA322" s="109">
        <v>0.26805555555555555</v>
      </c>
      <c r="AB322" s="109">
        <v>0.26805555555555555</v>
      </c>
      <c r="AC322" s="109">
        <v>0.81111111111111112</v>
      </c>
      <c r="AD322" s="82">
        <f>IF(PA[[#This Row],[Acknowledgement Time ]]="NA","",(PA[[#This Row],[Acknowledgement Time ]]-PA[[#This Row],[Fault Time]])*24)</f>
        <v>0</v>
      </c>
      <c r="AE322" s="82">
        <f>IF(PA[[#This Row],[Work Start time on Fault]]="NA","",(PA[[#This Row],[Work Start time on Fault]]-PA[[#This Row],[Fault Time]])*24)</f>
        <v>0</v>
      </c>
      <c r="AF322" s="111">
        <f>IF(PA[[#This Row],[Status]]="Open","",(PA[[#This Row],[Work Completion time on fault]]-PA[[#This Row],[Fault Time]])*24)</f>
        <v>13.033333333333335</v>
      </c>
      <c r="AG322" s="82">
        <f>IFERROR((PA[[#This Row],[Work Completion time on fault]]-PA[[#This Row],[Fault Time]])*24,"")</f>
        <v>13.033333333333335</v>
      </c>
      <c r="AH322" s="110" t="s">
        <v>2603</v>
      </c>
      <c r="AI322" s="79" t="s">
        <v>422</v>
      </c>
      <c r="AJ322" s="68">
        <f>IFERROR(PA[[#This Row],[Breakdown Time]]*PA[[#This Row],[Plant Equivalent Weightage]],"")</f>
        <v>1.0038775536595533E-3</v>
      </c>
      <c r="AK322" s="117">
        <v>5.74</v>
      </c>
      <c r="AL322" s="116">
        <f>IF(PA[[#This Row],[Lost PoA(Wh/m2)]]&gt;0,_xlfn.XLOOKUP($B322,'Daily KPI'!$A:$A,'Daily KPI'!$AE:$AE)*PA[[#This Row],[Lost PoA(Wh/m2)]]*U322,0)</f>
        <v>122.94807321718437</v>
      </c>
      <c r="AM322" s="176" t="s">
        <v>2624</v>
      </c>
    </row>
    <row r="323" spans="1:39" ht="14" customHeight="1">
      <c r="A323" s="177">
        <f t="shared" si="5"/>
        <v>320</v>
      </c>
      <c r="B323" s="185">
        <v>45832</v>
      </c>
      <c r="C323" s="178" t="s">
        <v>477</v>
      </c>
      <c r="D323" s="6">
        <f>YEAR(PA[[#This Row],[Date]])</f>
        <v>2025</v>
      </c>
      <c r="E323" s="178" t="s">
        <v>361</v>
      </c>
      <c r="F323" s="178" t="s">
        <v>361</v>
      </c>
      <c r="G323" s="179">
        <v>45809</v>
      </c>
      <c r="H323" s="176">
        <f>DAY(EOMONTH(PA[[#This Row],[Month Year]],0))</f>
        <v>30</v>
      </c>
      <c r="I323" s="180">
        <f>VLOOKUP(PA[[#This Row],[Date]],Raw_Data[#All],9,0)</f>
        <v>0.27013888888888887</v>
      </c>
      <c r="J323" s="180">
        <f>VLOOKUP(PA[[#This Row],[Date]],Raw_Data[#All],10,0)</f>
        <v>0.81319444444444444</v>
      </c>
      <c r="K323" s="68">
        <f>IFERROR((PA[[#This Row],[Sunset Time (POA&lt;20 W/m2)]]-PA[[#This Row],[Sunrise Time (POA&gt;20 W/m2)]])*24,"")</f>
        <v>13.033333333333335</v>
      </c>
      <c r="L323" s="178" t="s">
        <v>405</v>
      </c>
      <c r="M323" s="178" t="s">
        <v>414</v>
      </c>
      <c r="N323" s="178" t="s">
        <v>402</v>
      </c>
      <c r="O323" s="178" t="s">
        <v>403</v>
      </c>
      <c r="P323" s="178" t="s">
        <v>429</v>
      </c>
      <c r="Q323" s="178"/>
      <c r="R323" s="6">
        <f>IF((PA[[#This Row],[String Type(If String BD)]]&amp;PA[[#This Row],[Equipment (If any BD other than PV  array and inv)]])="",1,0)</f>
        <v>0</v>
      </c>
      <c r="S323" s="6">
        <f>IF(PA[[#This Row],[String Type(If String BD)]]="",1,0)</f>
        <v>0</v>
      </c>
      <c r="T3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3" s="68">
        <f>IFERROR(VLOOKUP(PA[[#This Row],[Affected Equipment ]],'Basic Data '!$A$1:$B$1846,2,0),"")</f>
        <v>15.66</v>
      </c>
      <c r="V323" s="143">
        <f>IFERROR(VLOOKUP(PA[[#This Row],[Affected Equipment ]],'Basic Data '!$A$1:$C$1846,3,0),"")</f>
        <v>4.6733573865009801E-5</v>
      </c>
      <c r="W323" s="178" t="s">
        <v>451</v>
      </c>
      <c r="X323" s="110" t="s">
        <v>2621</v>
      </c>
      <c r="Y323" s="110" t="s">
        <v>2621</v>
      </c>
      <c r="Z323" s="109">
        <v>0.27013888888888887</v>
      </c>
      <c r="AA323" s="109">
        <v>0.27013888888888887</v>
      </c>
      <c r="AB323" s="109">
        <v>0.27013888888888887</v>
      </c>
      <c r="AC323" s="109">
        <v>0.81319444444444444</v>
      </c>
      <c r="AD323" s="82">
        <f>IF(PA[[#This Row],[Acknowledgement Time ]]="NA","",(PA[[#This Row],[Acknowledgement Time ]]-PA[[#This Row],[Fault Time]])*24)</f>
        <v>0</v>
      </c>
      <c r="AE323" s="82">
        <f>IF(PA[[#This Row],[Work Start time on Fault]]="NA","",(PA[[#This Row],[Work Start time on Fault]]-PA[[#This Row],[Fault Time]])*24)</f>
        <v>0</v>
      </c>
      <c r="AF323" s="111">
        <f>IF(PA[[#This Row],[Status]]="Open","",(PA[[#This Row],[Work Completion time on fault]]-PA[[#This Row],[Fault Time]])*24)</f>
        <v>13.033333333333335</v>
      </c>
      <c r="AG323" s="82">
        <f>IFERROR((PA[[#This Row],[Work Completion time on fault]]-PA[[#This Row],[Fault Time]])*24,"")</f>
        <v>13.033333333333335</v>
      </c>
      <c r="AH323" s="110" t="s">
        <v>2621</v>
      </c>
      <c r="AI323" s="178" t="s">
        <v>422</v>
      </c>
      <c r="AJ323" s="68">
        <f>IFERROR(PA[[#This Row],[Breakdown Time]]*PA[[#This Row],[Plant Equivalent Weightage]],"")</f>
        <v>6.0909424604062778E-4</v>
      </c>
      <c r="AK323" s="117">
        <v>6.51</v>
      </c>
      <c r="AL323" s="116">
        <f>IF(PA[[#This Row],[Lost PoA(Wh/m2)]]&gt;0,_xlfn.XLOOKUP($B323,'Daily KPI'!$A:$A,'Daily KPI'!$AE:$AE)*PA[[#This Row],[Lost PoA(Wh/m2)]]*U323,0)</f>
        <v>84.604716867182788</v>
      </c>
      <c r="AM323" s="176" t="s">
        <v>2623</v>
      </c>
    </row>
    <row r="324" spans="1:39" ht="14" customHeight="1">
      <c r="A324" s="177">
        <f t="shared" si="5"/>
        <v>321</v>
      </c>
      <c r="B324" s="185">
        <v>45832</v>
      </c>
      <c r="C324" s="178" t="s">
        <v>477</v>
      </c>
      <c r="D324" s="6">
        <f>YEAR(PA[[#This Row],[Date]])</f>
        <v>2025</v>
      </c>
      <c r="E324" s="178" t="s">
        <v>361</v>
      </c>
      <c r="F324" s="178" t="s">
        <v>361</v>
      </c>
      <c r="G324" s="179">
        <v>45809</v>
      </c>
      <c r="H324" s="176">
        <f>DAY(EOMONTH(PA[[#This Row],[Month Year]],0))</f>
        <v>30</v>
      </c>
      <c r="I324" s="180">
        <f>VLOOKUP(PA[[#This Row],[Date]],Raw_Data[#All],9,0)</f>
        <v>0.27013888888888887</v>
      </c>
      <c r="J324" s="180">
        <f>VLOOKUP(PA[[#This Row],[Date]],Raw_Data[#All],10,0)</f>
        <v>0.81319444444444444</v>
      </c>
      <c r="K324" s="68">
        <f>IFERROR((PA[[#This Row],[Sunset Time (POA&lt;20 W/m2)]]-PA[[#This Row],[Sunrise Time (POA&gt;20 W/m2)]])*24,"")</f>
        <v>13.033333333333335</v>
      </c>
      <c r="L324" s="178" t="s">
        <v>405</v>
      </c>
      <c r="M324" s="178" t="s">
        <v>408</v>
      </c>
      <c r="N324" s="178" t="s">
        <v>395</v>
      </c>
      <c r="O324" s="178" t="s">
        <v>406</v>
      </c>
      <c r="P324" s="178" t="s">
        <v>429</v>
      </c>
      <c r="Q324" s="178"/>
      <c r="R324" s="6">
        <f>IF((PA[[#This Row],[String Type(If String BD)]]&amp;PA[[#This Row],[Equipment (If any BD other than PV  array and inv)]])="",1,0)</f>
        <v>0</v>
      </c>
      <c r="S324" s="6">
        <f>IF(PA[[#This Row],[String Type(If String BD)]]="",1,0)</f>
        <v>0</v>
      </c>
      <c r="T3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4" s="68">
        <f>IFERROR(VLOOKUP(PA[[#This Row],[Affected Equipment ]],'Basic Data '!$A$1:$B$1846,2,0),"")</f>
        <v>15.66</v>
      </c>
      <c r="V324" s="143">
        <f>IFERROR(VLOOKUP(PA[[#This Row],[Affected Equipment ]],'Basic Data '!$A$1:$C$1846,3,0),"")</f>
        <v>4.6733573865009801E-5</v>
      </c>
      <c r="W324" s="178" t="s">
        <v>451</v>
      </c>
      <c r="X324" s="110" t="s">
        <v>2621</v>
      </c>
      <c r="Y324" s="110" t="s">
        <v>2621</v>
      </c>
      <c r="Z324" s="109">
        <v>0.27013888888888887</v>
      </c>
      <c r="AA324" s="109">
        <v>0.27013888888888887</v>
      </c>
      <c r="AB324" s="109">
        <v>0.27013888888888887</v>
      </c>
      <c r="AC324" s="109">
        <v>0.81319444444444444</v>
      </c>
      <c r="AD324" s="82">
        <f>IF(PA[[#This Row],[Acknowledgement Time ]]="NA","",(PA[[#This Row],[Acknowledgement Time ]]-PA[[#This Row],[Fault Time]])*24)</f>
        <v>0</v>
      </c>
      <c r="AE324" s="82">
        <f>IF(PA[[#This Row],[Work Start time on Fault]]="NA","",(PA[[#This Row],[Work Start time on Fault]]-PA[[#This Row],[Fault Time]])*24)</f>
        <v>0</v>
      </c>
      <c r="AF324" s="111">
        <f>IF(PA[[#This Row],[Status]]="Open","",(PA[[#This Row],[Work Completion time on fault]]-PA[[#This Row],[Fault Time]])*24)</f>
        <v>13.033333333333335</v>
      </c>
      <c r="AG324" s="82">
        <f>IFERROR((PA[[#This Row],[Work Completion time on fault]]-PA[[#This Row],[Fault Time]])*24,"")</f>
        <v>13.033333333333335</v>
      </c>
      <c r="AH324" s="110" t="s">
        <v>2621</v>
      </c>
      <c r="AI324" s="178" t="s">
        <v>422</v>
      </c>
      <c r="AJ324" s="68">
        <f>IFERROR(PA[[#This Row],[Breakdown Time]]*PA[[#This Row],[Plant Equivalent Weightage]],"")</f>
        <v>6.0909424604062778E-4</v>
      </c>
      <c r="AK324" s="117">
        <v>6.51</v>
      </c>
      <c r="AL324" s="116">
        <f>IF(PA[[#This Row],[Lost PoA(Wh/m2)]]&gt;0,_xlfn.XLOOKUP($B324,'Daily KPI'!$A:$A,'Daily KPI'!$AE:$AE)*PA[[#This Row],[Lost PoA(Wh/m2)]]*U324,0)</f>
        <v>84.604716867182788</v>
      </c>
      <c r="AM324" s="176" t="s">
        <v>2623</v>
      </c>
    </row>
    <row r="325" spans="1:39" ht="14" customHeight="1">
      <c r="A325" s="177">
        <f t="shared" si="5"/>
        <v>322</v>
      </c>
      <c r="B325" s="185">
        <v>45832</v>
      </c>
      <c r="C325" s="178" t="s">
        <v>477</v>
      </c>
      <c r="D325" s="6">
        <f>YEAR(PA[[#This Row],[Date]])</f>
        <v>2025</v>
      </c>
      <c r="E325" s="178" t="s">
        <v>361</v>
      </c>
      <c r="F325" s="178" t="s">
        <v>361</v>
      </c>
      <c r="G325" s="179">
        <v>45809</v>
      </c>
      <c r="H325" s="176">
        <f>DAY(EOMONTH(PA[[#This Row],[Month Year]],0))</f>
        <v>30</v>
      </c>
      <c r="I325" s="180">
        <f>VLOOKUP(PA[[#This Row],[Date]],Raw_Data[#All],9,0)</f>
        <v>0.27013888888888887</v>
      </c>
      <c r="J325" s="180">
        <f>VLOOKUP(PA[[#This Row],[Date]],Raw_Data[#All],10,0)</f>
        <v>0.81319444444444444</v>
      </c>
      <c r="K325" s="68">
        <f>IFERROR((PA[[#This Row],[Sunset Time (POA&lt;20 W/m2)]]-PA[[#This Row],[Sunrise Time (POA&gt;20 W/m2)]])*24,"")</f>
        <v>13.033333333333335</v>
      </c>
      <c r="L325" s="178" t="s">
        <v>437</v>
      </c>
      <c r="M325" s="178" t="s">
        <v>401</v>
      </c>
      <c r="N325" s="178" t="s">
        <v>395</v>
      </c>
      <c r="O325" s="178" t="s">
        <v>396</v>
      </c>
      <c r="P325" s="178" t="s">
        <v>397</v>
      </c>
      <c r="Q325" s="178"/>
      <c r="R325" s="6">
        <f>IF((PA[[#This Row],[String Type(If String BD)]]&amp;PA[[#This Row],[Equipment (If any BD other than PV  array and inv)]])="",1,0)</f>
        <v>0</v>
      </c>
      <c r="S325" s="6">
        <f>IF(PA[[#This Row],[String Type(If String BD)]]="",1,0)</f>
        <v>0</v>
      </c>
      <c r="T3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5" s="68">
        <f>IFERROR(VLOOKUP(PA[[#This Row],[Affected Equipment ]],'Basic Data '!$A$1:$B$1846,2,0),"")</f>
        <v>25.81</v>
      </c>
      <c r="V325" s="143">
        <f>IFERROR(VLOOKUP(PA[[#This Row],[Affected Equipment ]],'Basic Data '!$A$1:$C$1846,3,0),"")</f>
        <v>7.7023853221960597E-5</v>
      </c>
      <c r="W325" s="178" t="s">
        <v>451</v>
      </c>
      <c r="X325" s="110" t="s">
        <v>2603</v>
      </c>
      <c r="Y325" s="110" t="s">
        <v>2603</v>
      </c>
      <c r="Z325" s="109">
        <v>0.27013888888888887</v>
      </c>
      <c r="AA325" s="109">
        <v>0.27013888888888887</v>
      </c>
      <c r="AB325" s="109">
        <v>0.27013888888888887</v>
      </c>
      <c r="AC325" s="109">
        <v>0.81319444444444444</v>
      </c>
      <c r="AD325" s="82">
        <f>IF(PA[[#This Row],[Acknowledgement Time ]]="NA","",(PA[[#This Row],[Acknowledgement Time ]]-PA[[#This Row],[Fault Time]])*24)</f>
        <v>0</v>
      </c>
      <c r="AE325" s="82">
        <f>IF(PA[[#This Row],[Work Start time on Fault]]="NA","",(PA[[#This Row],[Work Start time on Fault]]-PA[[#This Row],[Fault Time]])*24)</f>
        <v>0</v>
      </c>
      <c r="AF325" s="111">
        <f>IF(PA[[#This Row],[Status]]="Open","",(PA[[#This Row],[Work Completion time on fault]]-PA[[#This Row],[Fault Time]])*24)</f>
        <v>13.033333333333335</v>
      </c>
      <c r="AG325" s="82">
        <f>IFERROR((PA[[#This Row],[Work Completion time on fault]]-PA[[#This Row],[Fault Time]])*24,"")</f>
        <v>13.033333333333335</v>
      </c>
      <c r="AH325" s="110" t="s">
        <v>2603</v>
      </c>
      <c r="AI325" s="79" t="s">
        <v>422</v>
      </c>
      <c r="AJ325" s="68">
        <f>IFERROR(PA[[#This Row],[Breakdown Time]]*PA[[#This Row],[Plant Equivalent Weightage]],"")</f>
        <v>1.0038775536595533E-3</v>
      </c>
      <c r="AK325" s="117">
        <v>6.44</v>
      </c>
      <c r="AL325" s="116">
        <f>IF(PA[[#This Row],[Lost PoA(Wh/m2)]]&gt;0,_xlfn.XLOOKUP($B325,'Daily KPI'!$A:$A,'Daily KPI'!$AE:$AE)*PA[[#This Row],[Lost PoA(Wh/m2)]]*U325,0)</f>
        <v>137.94174068269467</v>
      </c>
      <c r="AM325" s="176" t="s">
        <v>2624</v>
      </c>
    </row>
    <row r="326" spans="1:39" ht="14" customHeight="1">
      <c r="A326" s="177">
        <f t="shared" ref="A326:A389" si="6">A325+1</f>
        <v>323</v>
      </c>
      <c r="B326" s="185">
        <v>45833</v>
      </c>
      <c r="C326" s="178" t="s">
        <v>477</v>
      </c>
      <c r="D326" s="6">
        <f>YEAR(PA[[#This Row],[Date]])</f>
        <v>2025</v>
      </c>
      <c r="E326" s="178" t="s">
        <v>361</v>
      </c>
      <c r="F326" s="178" t="s">
        <v>361</v>
      </c>
      <c r="G326" s="179">
        <v>45809</v>
      </c>
      <c r="H326" s="176">
        <f>DAY(EOMONTH(PA[[#This Row],[Month Year]],0))</f>
        <v>30</v>
      </c>
      <c r="I326" s="180">
        <f>VLOOKUP(PA[[#This Row],[Date]],Raw_Data[#All],9,0)</f>
        <v>0.26527777777777778</v>
      </c>
      <c r="J326" s="180">
        <f>VLOOKUP(PA[[#This Row],[Date]],Raw_Data[#All],10,0)</f>
        <v>0.80763888888888891</v>
      </c>
      <c r="K326" s="68">
        <f>IFERROR((PA[[#This Row],[Sunset Time (POA&lt;20 W/m2)]]-PA[[#This Row],[Sunrise Time (POA&gt;20 W/m2)]])*24,"")</f>
        <v>13.016666666666666</v>
      </c>
      <c r="L326" s="178" t="s">
        <v>405</v>
      </c>
      <c r="M326" s="178" t="s">
        <v>414</v>
      </c>
      <c r="N326" s="178" t="s">
        <v>402</v>
      </c>
      <c r="O326" s="178" t="s">
        <v>403</v>
      </c>
      <c r="P326" s="178" t="s">
        <v>429</v>
      </c>
      <c r="Q326" s="178"/>
      <c r="R326" s="6">
        <f>IF((PA[[#This Row],[String Type(If String BD)]]&amp;PA[[#This Row],[Equipment (If any BD other than PV  array and inv)]])="",1,0)</f>
        <v>0</v>
      </c>
      <c r="S326" s="6">
        <f>IF(PA[[#This Row],[String Type(If String BD)]]="",1,0)</f>
        <v>0</v>
      </c>
      <c r="T3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6" s="68">
        <f>IFERROR(VLOOKUP(PA[[#This Row],[Affected Equipment ]],'Basic Data '!$A$1:$B$1846,2,0),"")</f>
        <v>15.66</v>
      </c>
      <c r="V326" s="143">
        <f>IFERROR(VLOOKUP(PA[[#This Row],[Affected Equipment ]],'Basic Data '!$A$1:$C$1846,3,0),"")</f>
        <v>4.6733573865009801E-5</v>
      </c>
      <c r="W326" s="178" t="s">
        <v>451</v>
      </c>
      <c r="X326" s="110" t="s">
        <v>2621</v>
      </c>
      <c r="Y326" s="110" t="s">
        <v>2621</v>
      </c>
      <c r="Z326" s="109">
        <v>0.26527777777777778</v>
      </c>
      <c r="AA326" s="109">
        <v>0.26527777777777778</v>
      </c>
      <c r="AB326" s="109">
        <v>0.26527777777777778</v>
      </c>
      <c r="AC326" s="109">
        <v>0.80763888888888891</v>
      </c>
      <c r="AD326" s="82">
        <f>IF(PA[[#This Row],[Acknowledgement Time ]]="NA","",(PA[[#This Row],[Acknowledgement Time ]]-PA[[#This Row],[Fault Time]])*24)</f>
        <v>0</v>
      </c>
      <c r="AE326" s="82">
        <f>IF(PA[[#This Row],[Work Start time on Fault]]="NA","",(PA[[#This Row],[Work Start time on Fault]]-PA[[#This Row],[Fault Time]])*24)</f>
        <v>0</v>
      </c>
      <c r="AF326" s="111">
        <f>IF(PA[[#This Row],[Status]]="Open","",(PA[[#This Row],[Work Completion time on fault]]-PA[[#This Row],[Fault Time]])*24)</f>
        <v>13.016666666666666</v>
      </c>
      <c r="AG326" s="82">
        <f>IFERROR((PA[[#This Row],[Work Completion time on fault]]-PA[[#This Row],[Fault Time]])*24,"")</f>
        <v>13.016666666666666</v>
      </c>
      <c r="AH326" s="110" t="s">
        <v>2621</v>
      </c>
      <c r="AI326" s="178" t="s">
        <v>422</v>
      </c>
      <c r="AJ326" s="68">
        <f>IFERROR(PA[[#This Row],[Breakdown Time]]*PA[[#This Row],[Plant Equivalent Weightage]],"")</f>
        <v>6.0831535314287758E-4</v>
      </c>
      <c r="AK326" s="117">
        <v>6.16</v>
      </c>
      <c r="AL326" s="116">
        <f>IF(PA[[#This Row],[Lost PoA(Wh/m2)]]&gt;0,_xlfn.XLOOKUP($B326,'Daily KPI'!$A:$A,'Daily KPI'!$AE:$AE)*PA[[#This Row],[Lost PoA(Wh/m2)]]*U326,0)</f>
        <v>80.056076175398772</v>
      </c>
      <c r="AM326" s="176" t="s">
        <v>2623</v>
      </c>
    </row>
    <row r="327" spans="1:39" ht="14" customHeight="1">
      <c r="A327" s="177">
        <f t="shared" si="6"/>
        <v>324</v>
      </c>
      <c r="B327" s="185">
        <v>45833</v>
      </c>
      <c r="C327" s="178" t="s">
        <v>477</v>
      </c>
      <c r="D327" s="6">
        <f>YEAR(PA[[#This Row],[Date]])</f>
        <v>2025</v>
      </c>
      <c r="E327" s="178" t="s">
        <v>361</v>
      </c>
      <c r="F327" s="178" t="s">
        <v>361</v>
      </c>
      <c r="G327" s="179">
        <v>45809</v>
      </c>
      <c r="H327" s="176">
        <f>DAY(EOMONTH(PA[[#This Row],[Month Year]],0))</f>
        <v>30</v>
      </c>
      <c r="I327" s="180">
        <f>VLOOKUP(PA[[#This Row],[Date]],Raw_Data[#All],9,0)</f>
        <v>0.26527777777777778</v>
      </c>
      <c r="J327" s="180">
        <f>VLOOKUP(PA[[#This Row],[Date]],Raw_Data[#All],10,0)</f>
        <v>0.80763888888888891</v>
      </c>
      <c r="K327" s="68">
        <f>IFERROR((PA[[#This Row],[Sunset Time (POA&lt;20 W/m2)]]-PA[[#This Row],[Sunrise Time (POA&gt;20 W/m2)]])*24,"")</f>
        <v>13.016666666666666</v>
      </c>
      <c r="L327" s="178" t="s">
        <v>405</v>
      </c>
      <c r="M327" s="178" t="s">
        <v>408</v>
      </c>
      <c r="N327" s="178" t="s">
        <v>395</v>
      </c>
      <c r="O327" s="178" t="s">
        <v>406</v>
      </c>
      <c r="P327" s="178" t="s">
        <v>429</v>
      </c>
      <c r="Q327" s="178"/>
      <c r="R327" s="6">
        <f>IF((PA[[#This Row],[String Type(If String BD)]]&amp;PA[[#This Row],[Equipment (If any BD other than PV  array and inv)]])="",1,0)</f>
        <v>0</v>
      </c>
      <c r="S327" s="6">
        <f>IF(PA[[#This Row],[String Type(If String BD)]]="",1,0)</f>
        <v>0</v>
      </c>
      <c r="T3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7" s="68">
        <f>IFERROR(VLOOKUP(PA[[#This Row],[Affected Equipment ]],'Basic Data '!$A$1:$B$1846,2,0),"")</f>
        <v>15.66</v>
      </c>
      <c r="V327" s="143">
        <f>IFERROR(VLOOKUP(PA[[#This Row],[Affected Equipment ]],'Basic Data '!$A$1:$C$1846,3,0),"")</f>
        <v>4.6733573865009801E-5</v>
      </c>
      <c r="W327" s="178" t="s">
        <v>451</v>
      </c>
      <c r="X327" s="110" t="s">
        <v>2621</v>
      </c>
      <c r="Y327" s="110" t="s">
        <v>2621</v>
      </c>
      <c r="Z327" s="109">
        <v>0.26527777777777778</v>
      </c>
      <c r="AA327" s="109">
        <v>0.26527777777777778</v>
      </c>
      <c r="AB327" s="109">
        <v>0.26527777777777778</v>
      </c>
      <c r="AC327" s="109">
        <v>0.80763888888888891</v>
      </c>
      <c r="AD327" s="82">
        <f>IF(PA[[#This Row],[Acknowledgement Time ]]="NA","",(PA[[#This Row],[Acknowledgement Time ]]-PA[[#This Row],[Fault Time]])*24)</f>
        <v>0</v>
      </c>
      <c r="AE327" s="82">
        <f>IF(PA[[#This Row],[Work Start time on Fault]]="NA","",(PA[[#This Row],[Work Start time on Fault]]-PA[[#This Row],[Fault Time]])*24)</f>
        <v>0</v>
      </c>
      <c r="AF327" s="111">
        <f>IF(PA[[#This Row],[Status]]="Open","",(PA[[#This Row],[Work Completion time on fault]]-PA[[#This Row],[Fault Time]])*24)</f>
        <v>13.016666666666666</v>
      </c>
      <c r="AG327" s="82">
        <f>IFERROR((PA[[#This Row],[Work Completion time on fault]]-PA[[#This Row],[Fault Time]])*24,"")</f>
        <v>13.016666666666666</v>
      </c>
      <c r="AH327" s="110" t="s">
        <v>2621</v>
      </c>
      <c r="AI327" s="178" t="s">
        <v>422</v>
      </c>
      <c r="AJ327" s="68">
        <f>IFERROR(PA[[#This Row],[Breakdown Time]]*PA[[#This Row],[Plant Equivalent Weightage]],"")</f>
        <v>6.0831535314287758E-4</v>
      </c>
      <c r="AK327" s="117">
        <v>6.16</v>
      </c>
      <c r="AL327" s="116">
        <f>IF(PA[[#This Row],[Lost PoA(Wh/m2)]]&gt;0,_xlfn.XLOOKUP($B327,'Daily KPI'!$A:$A,'Daily KPI'!$AE:$AE)*PA[[#This Row],[Lost PoA(Wh/m2)]]*U327,0)</f>
        <v>80.056076175398772</v>
      </c>
      <c r="AM327" s="176" t="s">
        <v>2623</v>
      </c>
    </row>
    <row r="328" spans="1:39" ht="14" customHeight="1">
      <c r="A328" s="177">
        <f t="shared" si="6"/>
        <v>325</v>
      </c>
      <c r="B328" s="185">
        <v>45833</v>
      </c>
      <c r="C328" s="178" t="s">
        <v>477</v>
      </c>
      <c r="D328" s="6">
        <f>YEAR(PA[[#This Row],[Date]])</f>
        <v>2025</v>
      </c>
      <c r="E328" s="178" t="s">
        <v>361</v>
      </c>
      <c r="F328" s="178" t="s">
        <v>361</v>
      </c>
      <c r="G328" s="179">
        <v>45809</v>
      </c>
      <c r="H328" s="176">
        <f>DAY(EOMONTH(PA[[#This Row],[Month Year]],0))</f>
        <v>30</v>
      </c>
      <c r="I328" s="180">
        <f>VLOOKUP(PA[[#This Row],[Date]],Raw_Data[#All],9,0)</f>
        <v>0.26527777777777778</v>
      </c>
      <c r="J328" s="180">
        <f>VLOOKUP(PA[[#This Row],[Date]],Raw_Data[#All],10,0)</f>
        <v>0.80763888888888891</v>
      </c>
      <c r="K328" s="68">
        <f>IFERROR((PA[[#This Row],[Sunset Time (POA&lt;20 W/m2)]]-PA[[#This Row],[Sunrise Time (POA&gt;20 W/m2)]])*24,"")</f>
        <v>13.016666666666666</v>
      </c>
      <c r="L328" s="178" t="s">
        <v>437</v>
      </c>
      <c r="M328" s="178" t="s">
        <v>401</v>
      </c>
      <c r="N328" s="178" t="s">
        <v>395</v>
      </c>
      <c r="O328" s="178" t="s">
        <v>396</v>
      </c>
      <c r="P328" s="178" t="s">
        <v>397</v>
      </c>
      <c r="Q328" s="178"/>
      <c r="R328" s="6">
        <f>IF((PA[[#This Row],[String Type(If String BD)]]&amp;PA[[#This Row],[Equipment (If any BD other than PV  array and inv)]])="",1,0)</f>
        <v>0</v>
      </c>
      <c r="S328" s="6">
        <f>IF(PA[[#This Row],[String Type(If String BD)]]="",1,0)</f>
        <v>0</v>
      </c>
      <c r="T3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8" s="68">
        <f>IFERROR(VLOOKUP(PA[[#This Row],[Affected Equipment ]],'Basic Data '!$A$1:$B$1846,2,0),"")</f>
        <v>25.81</v>
      </c>
      <c r="V328" s="143">
        <f>IFERROR(VLOOKUP(PA[[#This Row],[Affected Equipment ]],'Basic Data '!$A$1:$C$1846,3,0),"")</f>
        <v>7.7023853221960597E-5</v>
      </c>
      <c r="W328" s="178" t="s">
        <v>451</v>
      </c>
      <c r="X328" s="110" t="s">
        <v>2603</v>
      </c>
      <c r="Y328" s="110" t="s">
        <v>2603</v>
      </c>
      <c r="Z328" s="109">
        <v>0.26527777777777778</v>
      </c>
      <c r="AA328" s="109">
        <v>0.26527777777777778</v>
      </c>
      <c r="AB328" s="109">
        <v>0.26527777777777778</v>
      </c>
      <c r="AC328" s="109">
        <v>0.80763888888888891</v>
      </c>
      <c r="AD328" s="82">
        <f>IF(PA[[#This Row],[Acknowledgement Time ]]="NA","",(PA[[#This Row],[Acknowledgement Time ]]-PA[[#This Row],[Fault Time]])*24)</f>
        <v>0</v>
      </c>
      <c r="AE328" s="82">
        <f>IF(PA[[#This Row],[Work Start time on Fault]]="NA","",(PA[[#This Row],[Work Start time on Fault]]-PA[[#This Row],[Fault Time]])*24)</f>
        <v>0</v>
      </c>
      <c r="AF328" s="111">
        <f>IF(PA[[#This Row],[Status]]="Open","",(PA[[#This Row],[Work Completion time on fault]]-PA[[#This Row],[Fault Time]])*24)</f>
        <v>13.016666666666666</v>
      </c>
      <c r="AG328" s="82">
        <f>IFERROR((PA[[#This Row],[Work Completion time on fault]]-PA[[#This Row],[Fault Time]])*24,"")</f>
        <v>13.016666666666666</v>
      </c>
      <c r="AH328" s="110" t="s">
        <v>2603</v>
      </c>
      <c r="AI328" s="79" t="s">
        <v>422</v>
      </c>
      <c r="AJ328" s="68">
        <f>IFERROR(PA[[#This Row],[Breakdown Time]]*PA[[#This Row],[Plant Equivalent Weightage]],"")</f>
        <v>1.0025938227725204E-3</v>
      </c>
      <c r="AK328" s="117">
        <v>6.13</v>
      </c>
      <c r="AL328" s="116">
        <f>IF(PA[[#This Row],[Lost PoA(Wh/m2)]]&gt;0,_xlfn.XLOOKUP($B328,'Daily KPI'!$A:$A,'Daily KPI'!$AE:$AE)*PA[[#This Row],[Lost PoA(Wh/m2)]]*U328,0)</f>
        <v>131.30168794796867</v>
      </c>
      <c r="AM328" s="176" t="s">
        <v>2624</v>
      </c>
    </row>
    <row r="329" spans="1:39" ht="14" customHeight="1">
      <c r="A329" s="177">
        <f t="shared" si="6"/>
        <v>326</v>
      </c>
      <c r="B329" s="185">
        <v>45834</v>
      </c>
      <c r="C329" s="178" t="s">
        <v>477</v>
      </c>
      <c r="D329" s="6">
        <f>YEAR(PA[[#This Row],[Date]])</f>
        <v>2025</v>
      </c>
      <c r="E329" s="178" t="s">
        <v>361</v>
      </c>
      <c r="F329" s="178" t="s">
        <v>361</v>
      </c>
      <c r="G329" s="179">
        <v>45809</v>
      </c>
      <c r="H329" s="176">
        <f>DAY(EOMONTH(PA[[#This Row],[Month Year]],0))</f>
        <v>30</v>
      </c>
      <c r="I329" s="180">
        <f>VLOOKUP(PA[[#This Row],[Date]],Raw_Data[#All],9,0)</f>
        <v>0.26597222222222222</v>
      </c>
      <c r="J329" s="180">
        <f>VLOOKUP(PA[[#This Row],[Date]],Raw_Data[#All],10,0)</f>
        <v>0.76041666666666663</v>
      </c>
      <c r="K329" s="68">
        <f>IFERROR((PA[[#This Row],[Sunset Time (POA&lt;20 W/m2)]]-PA[[#This Row],[Sunrise Time (POA&gt;20 W/m2)]])*24,"")</f>
        <v>11.866666666666665</v>
      </c>
      <c r="L329" s="178" t="s">
        <v>405</v>
      </c>
      <c r="M329" s="178" t="s">
        <v>414</v>
      </c>
      <c r="N329" s="178" t="s">
        <v>402</v>
      </c>
      <c r="O329" s="178" t="s">
        <v>403</v>
      </c>
      <c r="P329" s="178" t="s">
        <v>429</v>
      </c>
      <c r="Q329" s="178"/>
      <c r="R329" s="6">
        <f>IF((PA[[#This Row],[String Type(If String BD)]]&amp;PA[[#This Row],[Equipment (If any BD other than PV  array and inv)]])="",1,0)</f>
        <v>0</v>
      </c>
      <c r="S329" s="6">
        <f>IF(PA[[#This Row],[String Type(If String BD)]]="",1,0)</f>
        <v>0</v>
      </c>
      <c r="T3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9" s="68">
        <f>IFERROR(VLOOKUP(PA[[#This Row],[Affected Equipment ]],'Basic Data '!$A$1:$B$1846,2,0),"")</f>
        <v>15.66</v>
      </c>
      <c r="V329" s="143">
        <f>IFERROR(VLOOKUP(PA[[#This Row],[Affected Equipment ]],'Basic Data '!$A$1:$C$1846,3,0),"")</f>
        <v>4.6733573865009801E-5</v>
      </c>
      <c r="W329" s="178" t="s">
        <v>451</v>
      </c>
      <c r="X329" s="110" t="s">
        <v>2621</v>
      </c>
      <c r="Y329" s="110" t="s">
        <v>2621</v>
      </c>
      <c r="Z329" s="109">
        <v>0.26597222222222222</v>
      </c>
      <c r="AA329" s="109">
        <v>0.26597222222222222</v>
      </c>
      <c r="AB329" s="109">
        <v>0.26597222222222222</v>
      </c>
      <c r="AC329" s="109">
        <v>0.76041666666666663</v>
      </c>
      <c r="AD329" s="82">
        <f>IF(PA[[#This Row],[Acknowledgement Time ]]="NA","",(PA[[#This Row],[Acknowledgement Time ]]-PA[[#This Row],[Fault Time]])*24)</f>
        <v>0</v>
      </c>
      <c r="AE329" s="82">
        <f>IF(PA[[#This Row],[Work Start time on Fault]]="NA","",(PA[[#This Row],[Work Start time on Fault]]-PA[[#This Row],[Fault Time]])*24)</f>
        <v>0</v>
      </c>
      <c r="AF329" s="111">
        <f>IF(PA[[#This Row],[Status]]="Open","",(PA[[#This Row],[Work Completion time on fault]]-PA[[#This Row],[Fault Time]])*24)</f>
        <v>11.866666666666665</v>
      </c>
      <c r="AG329" s="82">
        <f>IFERROR((PA[[#This Row],[Work Completion time on fault]]-PA[[#This Row],[Fault Time]])*24,"")</f>
        <v>11.866666666666665</v>
      </c>
      <c r="AH329" s="110" t="s">
        <v>2621</v>
      </c>
      <c r="AI329" s="178" t="s">
        <v>422</v>
      </c>
      <c r="AJ329" s="68">
        <f>IFERROR(PA[[#This Row],[Breakdown Time]]*PA[[#This Row],[Plant Equivalent Weightage]],"")</f>
        <v>5.5457174319811624E-4</v>
      </c>
      <c r="AK329" s="117">
        <v>5.23</v>
      </c>
      <c r="AL329" s="116">
        <f>IF(PA[[#This Row],[Lost PoA(Wh/m2)]]&gt;0,_xlfn.XLOOKUP($B329,'Daily KPI'!$A:$A,'Daily KPI'!$AE:$AE)*PA[[#This Row],[Lost PoA(Wh/m2)]]*U329,0)</f>
        <v>67.969688051515519</v>
      </c>
      <c r="AM329" s="176" t="s">
        <v>2631</v>
      </c>
    </row>
    <row r="330" spans="1:39" ht="14" customHeight="1">
      <c r="A330" s="177">
        <f t="shared" si="6"/>
        <v>327</v>
      </c>
      <c r="B330" s="185">
        <v>45834</v>
      </c>
      <c r="C330" s="178" t="s">
        <v>477</v>
      </c>
      <c r="D330" s="6">
        <f>YEAR(PA[[#This Row],[Date]])</f>
        <v>2025</v>
      </c>
      <c r="E330" s="178" t="s">
        <v>361</v>
      </c>
      <c r="F330" s="178" t="s">
        <v>361</v>
      </c>
      <c r="G330" s="179">
        <v>45809</v>
      </c>
      <c r="H330" s="176">
        <f>DAY(EOMONTH(PA[[#This Row],[Month Year]],0))</f>
        <v>30</v>
      </c>
      <c r="I330" s="180">
        <f>VLOOKUP(PA[[#This Row],[Date]],Raw_Data[#All],9,0)</f>
        <v>0.26597222222222222</v>
      </c>
      <c r="J330" s="180">
        <f>VLOOKUP(PA[[#This Row],[Date]],Raw_Data[#All],10,0)</f>
        <v>0.76041666666666663</v>
      </c>
      <c r="K330" s="68">
        <f>IFERROR((PA[[#This Row],[Sunset Time (POA&lt;20 W/m2)]]-PA[[#This Row],[Sunrise Time (POA&gt;20 W/m2)]])*24,"")</f>
        <v>11.866666666666665</v>
      </c>
      <c r="L330" s="178" t="s">
        <v>405</v>
      </c>
      <c r="M330" s="178" t="s">
        <v>408</v>
      </c>
      <c r="N330" s="178" t="s">
        <v>395</v>
      </c>
      <c r="O330" s="178" t="s">
        <v>406</v>
      </c>
      <c r="P330" s="178" t="s">
        <v>429</v>
      </c>
      <c r="Q330" s="178"/>
      <c r="R330" s="6">
        <f>IF((PA[[#This Row],[String Type(If String BD)]]&amp;PA[[#This Row],[Equipment (If any BD other than PV  array and inv)]])="",1,0)</f>
        <v>0</v>
      </c>
      <c r="S330" s="6">
        <f>IF(PA[[#This Row],[String Type(If String BD)]]="",1,0)</f>
        <v>0</v>
      </c>
      <c r="T3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30" s="68">
        <f>IFERROR(VLOOKUP(PA[[#This Row],[Affected Equipment ]],'Basic Data '!$A$1:$B$1846,2,0),"")</f>
        <v>15.66</v>
      </c>
      <c r="V330" s="143">
        <f>IFERROR(VLOOKUP(PA[[#This Row],[Affected Equipment ]],'Basic Data '!$A$1:$C$1846,3,0),"")</f>
        <v>4.6733573865009801E-5</v>
      </c>
      <c r="W330" s="178" t="s">
        <v>451</v>
      </c>
      <c r="X330" s="110" t="s">
        <v>2621</v>
      </c>
      <c r="Y330" s="110" t="s">
        <v>2621</v>
      </c>
      <c r="Z330" s="109">
        <v>0.26597222222222222</v>
      </c>
      <c r="AA330" s="109">
        <v>0.26597222222222222</v>
      </c>
      <c r="AB330" s="109">
        <v>0.26597222222222222</v>
      </c>
      <c r="AC330" s="109">
        <v>0.76041666666666663</v>
      </c>
      <c r="AD330" s="82">
        <f>IF(PA[[#This Row],[Acknowledgement Time ]]="NA","",(PA[[#This Row],[Acknowledgement Time ]]-PA[[#This Row],[Fault Time]])*24)</f>
        <v>0</v>
      </c>
      <c r="AE330" s="82">
        <f>IF(PA[[#This Row],[Work Start time on Fault]]="NA","",(PA[[#This Row],[Work Start time on Fault]]-PA[[#This Row],[Fault Time]])*24)</f>
        <v>0</v>
      </c>
      <c r="AF330" s="111">
        <f>IF(PA[[#This Row],[Status]]="Open","",(PA[[#This Row],[Work Completion time on fault]]-PA[[#This Row],[Fault Time]])*24)</f>
        <v>11.866666666666665</v>
      </c>
      <c r="AG330" s="82">
        <f>IFERROR((PA[[#This Row],[Work Completion time on fault]]-PA[[#This Row],[Fault Time]])*24,"")</f>
        <v>11.866666666666665</v>
      </c>
      <c r="AH330" s="110" t="s">
        <v>2621</v>
      </c>
      <c r="AI330" s="178" t="s">
        <v>422</v>
      </c>
      <c r="AJ330" s="68">
        <f>IFERROR(PA[[#This Row],[Breakdown Time]]*PA[[#This Row],[Plant Equivalent Weightage]],"")</f>
        <v>5.5457174319811624E-4</v>
      </c>
      <c r="AK330" s="117">
        <v>5.23</v>
      </c>
      <c r="AL330" s="116">
        <f>IF(PA[[#This Row],[Lost PoA(Wh/m2)]]&gt;0,_xlfn.XLOOKUP($B330,'Daily KPI'!$A:$A,'Daily KPI'!$AE:$AE)*PA[[#This Row],[Lost PoA(Wh/m2)]]*U330,0)</f>
        <v>67.969688051515519</v>
      </c>
      <c r="AM330" s="176" t="s">
        <v>2631</v>
      </c>
    </row>
    <row r="331" spans="1:39" ht="14" customHeight="1">
      <c r="A331" s="177">
        <f t="shared" si="6"/>
        <v>328</v>
      </c>
      <c r="B331" s="185">
        <v>45834</v>
      </c>
      <c r="C331" s="178" t="s">
        <v>477</v>
      </c>
      <c r="D331" s="6">
        <f>YEAR(PA[[#This Row],[Date]])</f>
        <v>2025</v>
      </c>
      <c r="E331" s="178" t="s">
        <v>361</v>
      </c>
      <c r="F331" s="178" t="s">
        <v>361</v>
      </c>
      <c r="G331" s="179">
        <v>45809</v>
      </c>
      <c r="H331" s="176">
        <f>DAY(EOMONTH(PA[[#This Row],[Month Year]],0))</f>
        <v>30</v>
      </c>
      <c r="I331" s="180">
        <f>VLOOKUP(PA[[#This Row],[Date]],Raw_Data[#All],9,0)</f>
        <v>0.26597222222222222</v>
      </c>
      <c r="J331" s="180">
        <f>VLOOKUP(PA[[#This Row],[Date]],Raw_Data[#All],10,0)</f>
        <v>0.76041666666666663</v>
      </c>
      <c r="K331" s="68">
        <f>IFERROR((PA[[#This Row],[Sunset Time (POA&lt;20 W/m2)]]-PA[[#This Row],[Sunrise Time (POA&gt;20 W/m2)]])*24,"")</f>
        <v>11.866666666666665</v>
      </c>
      <c r="L331" s="178" t="s">
        <v>437</v>
      </c>
      <c r="M331" s="178" t="s">
        <v>401</v>
      </c>
      <c r="N331" s="178" t="s">
        <v>395</v>
      </c>
      <c r="O331" s="178" t="s">
        <v>396</v>
      </c>
      <c r="P331" s="178" t="s">
        <v>397</v>
      </c>
      <c r="Q331" s="178"/>
      <c r="R331" s="6">
        <f>IF((PA[[#This Row],[String Type(If String BD)]]&amp;PA[[#This Row],[Equipment (If any BD other than PV  array and inv)]])="",1,0)</f>
        <v>0</v>
      </c>
      <c r="S331" s="6">
        <f>IF(PA[[#This Row],[String Type(If String BD)]]="",1,0)</f>
        <v>0</v>
      </c>
      <c r="T3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1" s="68">
        <f>IFERROR(VLOOKUP(PA[[#This Row],[Affected Equipment ]],'Basic Data '!$A$1:$B$1846,2,0),"")</f>
        <v>25.81</v>
      </c>
      <c r="V331" s="143">
        <f>IFERROR(VLOOKUP(PA[[#This Row],[Affected Equipment ]],'Basic Data '!$A$1:$C$1846,3,0),"")</f>
        <v>7.7023853221960597E-5</v>
      </c>
      <c r="W331" s="178" t="s">
        <v>451</v>
      </c>
      <c r="X331" s="110" t="s">
        <v>2603</v>
      </c>
      <c r="Y331" s="110" t="s">
        <v>2603</v>
      </c>
      <c r="Z331" s="109">
        <v>0.26597222222222222</v>
      </c>
      <c r="AA331" s="109">
        <v>0.26597222222222222</v>
      </c>
      <c r="AB331" s="109">
        <v>0.26597222222222222</v>
      </c>
      <c r="AC331" s="109">
        <v>0.76041666666666663</v>
      </c>
      <c r="AD331" s="82">
        <f>IF(PA[[#This Row],[Acknowledgement Time ]]="NA","",(PA[[#This Row],[Acknowledgement Time ]]-PA[[#This Row],[Fault Time]])*24)</f>
        <v>0</v>
      </c>
      <c r="AE331" s="82">
        <f>IF(PA[[#This Row],[Work Start time on Fault]]="NA","",(PA[[#This Row],[Work Start time on Fault]]-PA[[#This Row],[Fault Time]])*24)</f>
        <v>0</v>
      </c>
      <c r="AF331" s="111">
        <f>IF(PA[[#This Row],[Status]]="Open","",(PA[[#This Row],[Work Completion time on fault]]-PA[[#This Row],[Fault Time]])*24)</f>
        <v>11.866666666666665</v>
      </c>
      <c r="AG331" s="82">
        <f>IFERROR((PA[[#This Row],[Work Completion time on fault]]-PA[[#This Row],[Fault Time]])*24,"")</f>
        <v>11.866666666666665</v>
      </c>
      <c r="AH331" s="110" t="s">
        <v>2603</v>
      </c>
      <c r="AI331" s="79" t="s">
        <v>422</v>
      </c>
      <c r="AJ331" s="68">
        <f>IFERROR(PA[[#This Row],[Breakdown Time]]*PA[[#This Row],[Plant Equivalent Weightage]],"")</f>
        <v>9.1401639156726562E-4</v>
      </c>
      <c r="AK331" s="117">
        <v>5.54</v>
      </c>
      <c r="AL331" s="116">
        <f>IF(PA[[#This Row],[Lost PoA(Wh/m2)]]&gt;0,_xlfn.XLOOKUP($B331,'Daily KPI'!$A:$A,'Daily KPI'!$AE:$AE)*PA[[#This Row],[Lost PoA(Wh/m2)]]*U331,0)</f>
        <v>118.66416822703857</v>
      </c>
      <c r="AM331" s="176" t="s">
        <v>2624</v>
      </c>
    </row>
    <row r="332" spans="1:39" ht="14" customHeight="1">
      <c r="A332" s="177">
        <f t="shared" si="6"/>
        <v>329</v>
      </c>
      <c r="B332" s="185">
        <v>45834</v>
      </c>
      <c r="C332" s="178" t="s">
        <v>477</v>
      </c>
      <c r="D332" s="6">
        <f>YEAR(PA[[#This Row],[Date]])</f>
        <v>2025</v>
      </c>
      <c r="E332" s="178" t="s">
        <v>361</v>
      </c>
      <c r="F332" s="178" t="s">
        <v>361</v>
      </c>
      <c r="G332" s="179">
        <v>45809</v>
      </c>
      <c r="H332" s="176">
        <f>DAY(EOMONTH(PA[[#This Row],[Month Year]],0))</f>
        <v>30</v>
      </c>
      <c r="I332" s="180">
        <f>VLOOKUP(PA[[#This Row],[Date]],Raw_Data[#All],9,0)</f>
        <v>0.26597222222222222</v>
      </c>
      <c r="J332" s="180">
        <f>VLOOKUP(PA[[#This Row],[Date]],Raw_Data[#All],10,0)</f>
        <v>0.76041666666666663</v>
      </c>
      <c r="K332" s="68">
        <f>IFERROR((PA[[#This Row],[Sunset Time (POA&lt;20 W/m2)]]-PA[[#This Row],[Sunrise Time (POA&gt;20 W/m2)]])*24,"")</f>
        <v>11.866666666666665</v>
      </c>
      <c r="L332" s="178" t="s">
        <v>419</v>
      </c>
      <c r="M332" s="178" t="s">
        <v>408</v>
      </c>
      <c r="N332" s="178" t="s">
        <v>402</v>
      </c>
      <c r="O332" s="178"/>
      <c r="P332" s="178"/>
      <c r="Q332" s="178"/>
      <c r="R332" s="6">
        <f>IF((PA[[#This Row],[String Type(If String BD)]]&amp;PA[[#This Row],[Equipment (If any BD other than PV  array and inv)]])="",1,0)</f>
        <v>1</v>
      </c>
      <c r="S332" s="6">
        <f>IF(PA[[#This Row],[String Type(If String BD)]]="",1,0)</f>
        <v>1</v>
      </c>
      <c r="T3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IS6INV2M1</v>
      </c>
      <c r="U332" s="68">
        <f>IFERROR(VLOOKUP(PA[[#This Row],[Affected Equipment ]],'Basic Data '!$A$1:$B$1846,2,0),"")</f>
        <v>2203.13</v>
      </c>
      <c r="V332" s="143">
        <f>IFERROR(VLOOKUP(PA[[#This Row],[Affected Equipment ]],'Basic Data '!$A$1:$C$1846,3,0),"")</f>
        <v>6.5747214935644354E-3</v>
      </c>
      <c r="W332" s="178" t="s">
        <v>427</v>
      </c>
      <c r="X332" s="110" t="s">
        <v>432</v>
      </c>
      <c r="Y332" s="110" t="s">
        <v>432</v>
      </c>
      <c r="Z332" s="109">
        <v>0.73055555555555551</v>
      </c>
      <c r="AA332" s="109">
        <v>0.73055555555555551</v>
      </c>
      <c r="AB332" s="109">
        <v>0.73055555555555551</v>
      </c>
      <c r="AC332" s="109">
        <v>0.76041666666666663</v>
      </c>
      <c r="AD332" s="82">
        <f>IF(PA[[#This Row],[Acknowledgement Time ]]="NA","",(PA[[#This Row],[Acknowledgement Time ]]-PA[[#This Row],[Fault Time]])*24)</f>
        <v>0</v>
      </c>
      <c r="AE332" s="82">
        <f>IF(PA[[#This Row],[Work Start time on Fault]]="NA","",(PA[[#This Row],[Work Start time on Fault]]-PA[[#This Row],[Fault Time]])*24)</f>
        <v>0</v>
      </c>
      <c r="AF332" s="111">
        <f>IF(PA[[#This Row],[Status]]="Open","",(PA[[#This Row],[Work Completion time on fault]]-PA[[#This Row],[Fault Time]])*24)</f>
        <v>0.71666666666666679</v>
      </c>
      <c r="AG332" s="82">
        <f>IFERROR((PA[[#This Row],[Work Completion time on fault]]-PA[[#This Row],[Fault Time]])*24,"")</f>
        <v>0.71666666666666679</v>
      </c>
      <c r="AH332" s="110" t="s">
        <v>2613</v>
      </c>
      <c r="AI332" s="178" t="s">
        <v>422</v>
      </c>
      <c r="AJ332" s="68">
        <f>IFERROR(PA[[#This Row],[Breakdown Time]]*PA[[#This Row],[Plant Equivalent Weightage]],"")</f>
        <v>4.711883737054513E-3</v>
      </c>
      <c r="AK332" s="117">
        <v>1.5161333333333332E-2</v>
      </c>
      <c r="AL332" s="116">
        <f>IF(PA[[#This Row],[Lost PoA(Wh/m2)]]&gt;0,_xlfn.XLOOKUP($B332,'Daily KPI'!$A:$A,'Daily KPI'!$AE:$AE)*PA[[#This Row],[Lost PoA(Wh/m2)]]*U332,0)</f>
        <v>27.720390924005606</v>
      </c>
      <c r="AM332" s="176"/>
    </row>
    <row r="333" spans="1:39" ht="14" customHeight="1">
      <c r="A333" s="177">
        <f t="shared" si="6"/>
        <v>330</v>
      </c>
      <c r="B333" s="185">
        <v>45835</v>
      </c>
      <c r="C333" s="178" t="s">
        <v>477</v>
      </c>
      <c r="D333" s="6">
        <f>YEAR(PA[[#This Row],[Date]])</f>
        <v>2025</v>
      </c>
      <c r="E333" s="178" t="s">
        <v>361</v>
      </c>
      <c r="F333" s="178" t="s">
        <v>361</v>
      </c>
      <c r="G333" s="179">
        <v>45809</v>
      </c>
      <c r="H333" s="176">
        <f>DAY(EOMONTH(PA[[#This Row],[Month Year]],0))</f>
        <v>30</v>
      </c>
      <c r="I333" s="180">
        <f>VLOOKUP(PA[[#This Row],[Date]],Raw_Data[#All],9,0)</f>
        <v>0.26527777777777778</v>
      </c>
      <c r="J333" s="180">
        <f>VLOOKUP(PA[[#This Row],[Date]],Raw_Data[#All],10,0)</f>
        <v>0.80208333333333337</v>
      </c>
      <c r="K333" s="68">
        <f>IFERROR((PA[[#This Row],[Sunset Time (POA&lt;20 W/m2)]]-PA[[#This Row],[Sunrise Time (POA&gt;20 W/m2)]])*24,"")</f>
        <v>12.883333333333333</v>
      </c>
      <c r="L333" s="178" t="s">
        <v>437</v>
      </c>
      <c r="M333" s="178" t="s">
        <v>401</v>
      </c>
      <c r="N333" s="178" t="s">
        <v>395</v>
      </c>
      <c r="O333" s="178" t="s">
        <v>396</v>
      </c>
      <c r="P333" s="178" t="s">
        <v>397</v>
      </c>
      <c r="Q333" s="178"/>
      <c r="R333" s="6">
        <f>IF((PA[[#This Row],[String Type(If String BD)]]&amp;PA[[#This Row],[Equipment (If any BD other than PV  array and inv)]])="",1,0)</f>
        <v>0</v>
      </c>
      <c r="S333" s="6">
        <f>IF(PA[[#This Row],[String Type(If String BD)]]="",1,0)</f>
        <v>0</v>
      </c>
      <c r="T3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3" s="68">
        <f>IFERROR(VLOOKUP(PA[[#This Row],[Affected Equipment ]],'Basic Data '!$A$1:$B$1846,2,0),"")</f>
        <v>25.81</v>
      </c>
      <c r="V333" s="143">
        <f>IFERROR(VLOOKUP(PA[[#This Row],[Affected Equipment ]],'Basic Data '!$A$1:$C$1846,3,0),"")</f>
        <v>7.7023853221960597E-5</v>
      </c>
      <c r="W333" s="178" t="s">
        <v>451</v>
      </c>
      <c r="X333" s="110" t="s">
        <v>2603</v>
      </c>
      <c r="Y333" s="110" t="s">
        <v>2603</v>
      </c>
      <c r="Z333" s="109">
        <v>0.26527777777777778</v>
      </c>
      <c r="AA333" s="109">
        <v>0.26527777777777778</v>
      </c>
      <c r="AB333" s="109">
        <v>0.26527777777777778</v>
      </c>
      <c r="AC333" s="109">
        <v>0.80208333333333337</v>
      </c>
      <c r="AD333" s="82">
        <f>IF(PA[[#This Row],[Acknowledgement Time ]]="NA","",(PA[[#This Row],[Acknowledgement Time ]]-PA[[#This Row],[Fault Time]])*24)</f>
        <v>0</v>
      </c>
      <c r="AE333" s="82">
        <f>IF(PA[[#This Row],[Work Start time on Fault]]="NA","",(PA[[#This Row],[Work Start time on Fault]]-PA[[#This Row],[Fault Time]])*24)</f>
        <v>0</v>
      </c>
      <c r="AF333" s="111">
        <f>IF(PA[[#This Row],[Status]]="Open","",(PA[[#This Row],[Work Completion time on fault]]-PA[[#This Row],[Fault Time]])*24)</f>
        <v>12.883333333333333</v>
      </c>
      <c r="AG333" s="82">
        <f>IFERROR((PA[[#This Row],[Work Completion time on fault]]-PA[[#This Row],[Fault Time]])*24,"")</f>
        <v>12.883333333333333</v>
      </c>
      <c r="AH333" s="110" t="s">
        <v>2603</v>
      </c>
      <c r="AI333" s="79" t="s">
        <v>422</v>
      </c>
      <c r="AJ333" s="68">
        <f>IFERROR(PA[[#This Row],[Breakdown Time]]*PA[[#This Row],[Plant Equivalent Weightage]],"")</f>
        <v>9.92323975676259E-4</v>
      </c>
      <c r="AK333" s="117">
        <v>4.25</v>
      </c>
      <c r="AL333" s="116">
        <f>IF(PA[[#This Row],[Lost PoA(Wh/m2)]]&gt;0,_xlfn.XLOOKUP($B333,'Daily KPI'!$A:$A,'Daily KPI'!$AE:$AE)*PA[[#This Row],[Lost PoA(Wh/m2)]]*U333,0)</f>
        <v>91.032981040598173</v>
      </c>
      <c r="AM333" s="176" t="s">
        <v>2624</v>
      </c>
    </row>
    <row r="334" spans="1:39" ht="14" customHeight="1">
      <c r="A334" s="177">
        <f t="shared" si="6"/>
        <v>331</v>
      </c>
      <c r="B334" s="185">
        <v>45835</v>
      </c>
      <c r="C334" s="178" t="s">
        <v>477</v>
      </c>
      <c r="D334" s="6">
        <f>YEAR(PA[[#This Row],[Date]])</f>
        <v>2025</v>
      </c>
      <c r="E334" s="178" t="s">
        <v>361</v>
      </c>
      <c r="F334" s="178" t="s">
        <v>361</v>
      </c>
      <c r="G334" s="179">
        <v>45809</v>
      </c>
      <c r="H334" s="176">
        <f>DAY(EOMONTH(PA[[#This Row],[Month Year]],0))</f>
        <v>30</v>
      </c>
      <c r="I334" s="180">
        <f>VLOOKUP(PA[[#This Row],[Date]],Raw_Data[#All],9,0)</f>
        <v>0.26527777777777778</v>
      </c>
      <c r="J334" s="180">
        <f>VLOOKUP(PA[[#This Row],[Date]],Raw_Data[#All],10,0)</f>
        <v>0.80208333333333337</v>
      </c>
      <c r="K334" s="68">
        <f>IFERROR((PA[[#This Row],[Sunset Time (POA&lt;20 W/m2)]]-PA[[#This Row],[Sunrise Time (POA&gt;20 W/m2)]])*24,"")</f>
        <v>12.883333333333333</v>
      </c>
      <c r="L334" s="178" t="s">
        <v>416</v>
      </c>
      <c r="M334" s="178" t="s">
        <v>401</v>
      </c>
      <c r="N334" s="178" t="s">
        <v>402</v>
      </c>
      <c r="O334" s="178"/>
      <c r="P334" s="178"/>
      <c r="Q334" s="178"/>
      <c r="R334" s="6">
        <f>IF((PA[[#This Row],[String Type(If String BD)]]&amp;PA[[#This Row],[Equipment (If any BD other than PV  array and inv)]])="",1,0)</f>
        <v>1</v>
      </c>
      <c r="S334" s="6">
        <f>IF(PA[[#This Row],[String Type(If String BD)]]="",1,0)</f>
        <v>1</v>
      </c>
      <c r="T3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34" s="68">
        <f>IFERROR(VLOOKUP(PA[[#This Row],[Affected Equipment ]],'Basic Data '!$A$1:$B$1846,2,0),"")</f>
        <v>2244.3100000000004</v>
      </c>
      <c r="V334" s="143">
        <f>IFERROR(VLOOKUP(PA[[#This Row],[Affected Equipment ]],'Basic Data '!$A$1:$C$1846,3,0),"")</f>
        <v>6.6976134840983506E-3</v>
      </c>
      <c r="W334" s="178" t="s">
        <v>427</v>
      </c>
      <c r="X334" s="110" t="s">
        <v>432</v>
      </c>
      <c r="Y334" s="110" t="s">
        <v>432</v>
      </c>
      <c r="Z334" s="109">
        <v>0.42083333333333334</v>
      </c>
      <c r="AA334" s="109">
        <v>0.42083333333333334</v>
      </c>
      <c r="AB334" s="109">
        <v>0.43055555555555558</v>
      </c>
      <c r="AC334" s="109">
        <v>0.4597222222222222</v>
      </c>
      <c r="AD334" s="82">
        <f>IF(PA[[#This Row],[Acknowledgement Time ]]="NA","",(PA[[#This Row],[Acknowledgement Time ]]-PA[[#This Row],[Fault Time]])*24)</f>
        <v>0</v>
      </c>
      <c r="AE334" s="82">
        <f>IF(PA[[#This Row],[Work Start time on Fault]]="NA","",(PA[[#This Row],[Work Start time on Fault]]-PA[[#This Row],[Fault Time]])*24)</f>
        <v>0.23333333333333384</v>
      </c>
      <c r="AF334" s="111">
        <f>IF(PA[[#This Row],[Status]]="Open","",(PA[[#This Row],[Work Completion time on fault]]-PA[[#This Row],[Fault Time]])*24)</f>
        <v>0.93333333333333268</v>
      </c>
      <c r="AG334" s="82">
        <f>IFERROR((PA[[#This Row],[Work Completion time on fault]]-PA[[#This Row],[Fault Time]])*24,"")</f>
        <v>0.93333333333333268</v>
      </c>
      <c r="AH334" s="110" t="s">
        <v>2633</v>
      </c>
      <c r="AI334" s="178" t="s">
        <v>422</v>
      </c>
      <c r="AJ334" s="68">
        <f>IFERROR(PA[[#This Row],[Breakdown Time]]*PA[[#This Row],[Plant Equivalent Weightage]],"")</f>
        <v>6.2511059184917894E-3</v>
      </c>
      <c r="AK334" s="117">
        <v>0.66534666666666675</v>
      </c>
      <c r="AL334" s="116">
        <f>IF(PA[[#This Row],[Lost PoA(Wh/m2)]]&gt;0,_xlfn.XLOOKUP($B334,'Daily KPI'!$A:$A,'Daily KPI'!$AE:$AE)*PA[[#This Row],[Lost PoA(Wh/m2)]]*U334,0)</f>
        <v>1239.2321161091847</v>
      </c>
      <c r="AM334" s="176" t="s">
        <v>2634</v>
      </c>
    </row>
    <row r="335" spans="1:39" ht="14" customHeight="1">
      <c r="A335" s="177">
        <f t="shared" si="6"/>
        <v>332</v>
      </c>
      <c r="B335" s="185">
        <v>45835</v>
      </c>
      <c r="C335" s="178" t="s">
        <v>477</v>
      </c>
      <c r="D335" s="6">
        <f>YEAR(PA[[#This Row],[Date]])</f>
        <v>2025</v>
      </c>
      <c r="E335" s="178" t="s">
        <v>361</v>
      </c>
      <c r="F335" s="178" t="s">
        <v>361</v>
      </c>
      <c r="G335" s="179">
        <v>45809</v>
      </c>
      <c r="H335" s="176">
        <f>DAY(EOMONTH(PA[[#This Row],[Month Year]],0))</f>
        <v>30</v>
      </c>
      <c r="I335" s="180">
        <f>VLOOKUP(PA[[#This Row],[Date]],Raw_Data[#All],9,0)</f>
        <v>0.26527777777777778</v>
      </c>
      <c r="J335" s="180">
        <f>VLOOKUP(PA[[#This Row],[Date]],Raw_Data[#All],10,0)</f>
        <v>0.80208333333333337</v>
      </c>
      <c r="K335" s="68">
        <f>IFERROR((PA[[#This Row],[Sunset Time (POA&lt;20 W/m2)]]-PA[[#This Row],[Sunrise Time (POA&gt;20 W/m2)]])*24,"")</f>
        <v>12.883333333333333</v>
      </c>
      <c r="L335" s="178" t="s">
        <v>416</v>
      </c>
      <c r="M335" s="178" t="s">
        <v>401</v>
      </c>
      <c r="N335" s="178" t="s">
        <v>395</v>
      </c>
      <c r="O335" s="178"/>
      <c r="P335" s="178"/>
      <c r="Q335" s="178"/>
      <c r="R335" s="6">
        <f>IF((PA[[#This Row],[String Type(If String BD)]]&amp;PA[[#This Row],[Equipment (If any BD other than PV  array and inv)]])="",1,0)</f>
        <v>1</v>
      </c>
      <c r="S335" s="6">
        <f>IF(PA[[#This Row],[String Type(If String BD)]]="",1,0)</f>
        <v>1</v>
      </c>
      <c r="T3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335" s="68">
        <f>IFERROR(VLOOKUP(PA[[#This Row],[Affected Equipment ]],'Basic Data '!$A$1:$B$1846,2,0),"")</f>
        <v>1959.8200000000002</v>
      </c>
      <c r="V335" s="143">
        <f>IFERROR(VLOOKUP(PA[[#This Row],[Affected Equipment ]],'Basic Data '!$A$1:$C$1846,3,0),"")</f>
        <v>5.8486202255506716E-3</v>
      </c>
      <c r="W335" s="178" t="s">
        <v>427</v>
      </c>
      <c r="X335" s="110" t="s">
        <v>2619</v>
      </c>
      <c r="Y335" s="110" t="s">
        <v>2619</v>
      </c>
      <c r="Z335" s="109">
        <v>0.43055555555555558</v>
      </c>
      <c r="AA335" s="109">
        <v>0.43055555555555558</v>
      </c>
      <c r="AB335" s="109">
        <v>0.43055555555555558</v>
      </c>
      <c r="AC335" s="109">
        <v>0.4597222222222222</v>
      </c>
      <c r="AD335" s="82">
        <f>IF(PA[[#This Row],[Acknowledgement Time ]]="NA","",(PA[[#This Row],[Acknowledgement Time ]]-PA[[#This Row],[Fault Time]])*24)</f>
        <v>0</v>
      </c>
      <c r="AE335" s="82">
        <f>IF(PA[[#This Row],[Work Start time on Fault]]="NA","",(PA[[#This Row],[Work Start time on Fault]]-PA[[#This Row],[Fault Time]])*24)</f>
        <v>0</v>
      </c>
      <c r="AF335" s="111">
        <f>IF(PA[[#This Row],[Status]]="Open","",(PA[[#This Row],[Work Completion time on fault]]-PA[[#This Row],[Fault Time]])*24)</f>
        <v>0.69999999999999885</v>
      </c>
      <c r="AG335" s="82">
        <f>IFERROR((PA[[#This Row],[Work Completion time on fault]]-PA[[#This Row],[Fault Time]])*24,"")</f>
        <v>0.69999999999999885</v>
      </c>
      <c r="AH335" s="110" t="s">
        <v>2619</v>
      </c>
      <c r="AI335" s="178" t="s">
        <v>422</v>
      </c>
      <c r="AJ335" s="68">
        <f>IFERROR(PA[[#This Row],[Breakdown Time]]*PA[[#This Row],[Plant Equivalent Weightage]],"")</f>
        <v>4.0940341578854633E-3</v>
      </c>
      <c r="AK335" s="117">
        <v>0.50024333333333326</v>
      </c>
      <c r="AL335" s="116">
        <f>IF(PA[[#This Row],[Lost PoA(Wh/m2)]]&gt;0,_xlfn.XLOOKUP($B335,'Daily KPI'!$A:$A,'Daily KPI'!$AE:$AE)*PA[[#This Row],[Lost PoA(Wh/m2)]]*U335,0)</f>
        <v>813.61570870696676</v>
      </c>
      <c r="AM335" s="176" t="s">
        <v>2634</v>
      </c>
    </row>
    <row r="336" spans="1:39" ht="14" customHeight="1">
      <c r="A336" s="177">
        <f t="shared" si="6"/>
        <v>333</v>
      </c>
      <c r="B336" s="185">
        <v>45835</v>
      </c>
      <c r="C336" s="178" t="s">
        <v>477</v>
      </c>
      <c r="D336" s="6">
        <f>YEAR(PA[[#This Row],[Date]])</f>
        <v>2025</v>
      </c>
      <c r="E336" s="178" t="s">
        <v>361</v>
      </c>
      <c r="F336" s="178" t="s">
        <v>361</v>
      </c>
      <c r="G336" s="179">
        <v>45809</v>
      </c>
      <c r="H336" s="176">
        <f>DAY(EOMONTH(PA[[#This Row],[Month Year]],0))</f>
        <v>30</v>
      </c>
      <c r="I336" s="180">
        <f>VLOOKUP(PA[[#This Row],[Date]],Raw_Data[#All],9,0)</f>
        <v>0.26527777777777778</v>
      </c>
      <c r="J336" s="180">
        <f>VLOOKUP(PA[[#This Row],[Date]],Raw_Data[#All],10,0)</f>
        <v>0.80208333333333337</v>
      </c>
      <c r="K336" s="68">
        <f>IFERROR((PA[[#This Row],[Sunset Time (POA&lt;20 W/m2)]]-PA[[#This Row],[Sunrise Time (POA&gt;20 W/m2)]])*24,"")</f>
        <v>12.883333333333333</v>
      </c>
      <c r="L336" s="178" t="s">
        <v>416</v>
      </c>
      <c r="M336" s="178" t="s">
        <v>401</v>
      </c>
      <c r="N336" s="178" t="s">
        <v>402</v>
      </c>
      <c r="O336" s="178" t="s">
        <v>409</v>
      </c>
      <c r="P336" s="178" t="s">
        <v>458</v>
      </c>
      <c r="Q336" s="178"/>
      <c r="R336" s="6">
        <f>IF((PA[[#This Row],[String Type(If String BD)]]&amp;PA[[#This Row],[Equipment (If any BD other than PV  array and inv)]])="",1,0)</f>
        <v>0</v>
      </c>
      <c r="S336" s="6">
        <f>IF(PA[[#This Row],[String Type(If String BD)]]="",1,0)</f>
        <v>0</v>
      </c>
      <c r="T3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336" s="68">
        <f>IFERROR(VLOOKUP(PA[[#This Row],[Affected Equipment ]],'Basic Data '!$A$1:$B$1846,2,0),"")</f>
        <v>15.805</v>
      </c>
      <c r="V336" s="143">
        <f>IFERROR(VLOOKUP(PA[[#This Row],[Affected Equipment ]],'Basic Data '!$A$1:$C$1846,3,0),"")</f>
        <v>4.7166292141537668E-5</v>
      </c>
      <c r="W336" s="178" t="s">
        <v>451</v>
      </c>
      <c r="X336" s="110" t="s">
        <v>471</v>
      </c>
      <c r="Y336" s="110" t="s">
        <v>471</v>
      </c>
      <c r="Z336" s="109">
        <v>0.4597222222222222</v>
      </c>
      <c r="AA336" s="109">
        <v>0.4597222222222222</v>
      </c>
      <c r="AB336" s="109">
        <v>0.4597222222222222</v>
      </c>
      <c r="AC336" s="109">
        <v>0.80208333333333337</v>
      </c>
      <c r="AD336" s="82">
        <f>IF(PA[[#This Row],[Acknowledgement Time ]]="NA","",(PA[[#This Row],[Acknowledgement Time ]]-PA[[#This Row],[Fault Time]])*24)</f>
        <v>0</v>
      </c>
      <c r="AE336" s="82">
        <f>IF(PA[[#This Row],[Work Start time on Fault]]="NA","",(PA[[#This Row],[Work Start time on Fault]]-PA[[#This Row],[Fault Time]])*24)</f>
        <v>0</v>
      </c>
      <c r="AF336" s="111">
        <f>IF(PA[[#This Row],[Status]]="Open","",(PA[[#This Row],[Work Completion time on fault]]-PA[[#This Row],[Fault Time]])*24)</f>
        <v>8.2166666666666686</v>
      </c>
      <c r="AG336" s="82">
        <f>IFERROR((PA[[#This Row],[Work Completion time on fault]]-PA[[#This Row],[Fault Time]])*24,"")</f>
        <v>8.2166666666666686</v>
      </c>
      <c r="AH336" s="110" t="s">
        <v>2632</v>
      </c>
      <c r="AI336" s="178" t="s">
        <v>422</v>
      </c>
      <c r="AJ336" s="68">
        <f>IFERROR(PA[[#This Row],[Breakdown Time]]*PA[[#This Row],[Plant Equivalent Weightage]],"")</f>
        <v>3.8754970042963459E-4</v>
      </c>
      <c r="AK336" s="117">
        <v>2.4104213333333333</v>
      </c>
      <c r="AL336" s="116">
        <f>IF(PA[[#This Row],[Lost PoA(Wh/m2)]]&gt;0,_xlfn.XLOOKUP($B336,'Daily KPI'!$A:$A,'Daily KPI'!$AE:$AE)*PA[[#This Row],[Lost PoA(Wh/m2)]]*U336,0)</f>
        <v>31.616172517585397</v>
      </c>
      <c r="AM336" s="176" t="s">
        <v>2634</v>
      </c>
    </row>
    <row r="337" spans="1:39" ht="14" customHeight="1">
      <c r="A337" s="177">
        <f t="shared" si="6"/>
        <v>334</v>
      </c>
      <c r="B337" s="185">
        <v>45836</v>
      </c>
      <c r="C337" s="178" t="s">
        <v>477</v>
      </c>
      <c r="D337" s="6">
        <f>YEAR(PA[[#This Row],[Date]])</f>
        <v>2025</v>
      </c>
      <c r="E337" s="178" t="s">
        <v>361</v>
      </c>
      <c r="F337" s="178" t="s">
        <v>361</v>
      </c>
      <c r="G337" s="179">
        <v>45809</v>
      </c>
      <c r="H337" s="176">
        <f>DAY(EOMONTH(PA[[#This Row],[Month Year]],0))</f>
        <v>30</v>
      </c>
      <c r="I337" s="180">
        <f>VLOOKUP(PA[[#This Row],[Date]],Raw_Data[#All],9,0)</f>
        <v>0.27291666666666664</v>
      </c>
      <c r="J337" s="180">
        <f>VLOOKUP(PA[[#This Row],[Date]],Raw_Data[#All],10,0)</f>
        <v>0.8125</v>
      </c>
      <c r="K337" s="68">
        <f>IFERROR((PA[[#This Row],[Sunset Time (POA&lt;20 W/m2)]]-PA[[#This Row],[Sunrise Time (POA&gt;20 W/m2)]])*24,"")</f>
        <v>12.95</v>
      </c>
      <c r="L337" s="178" t="s">
        <v>437</v>
      </c>
      <c r="M337" s="178" t="s">
        <v>401</v>
      </c>
      <c r="N337" s="178" t="s">
        <v>395</v>
      </c>
      <c r="O337" s="178" t="s">
        <v>396</v>
      </c>
      <c r="P337" s="178" t="s">
        <v>397</v>
      </c>
      <c r="Q337" s="178"/>
      <c r="R337" s="6">
        <f>IF((PA[[#This Row],[String Type(If String BD)]]&amp;PA[[#This Row],[Equipment (If any BD other than PV  array and inv)]])="",1,0)</f>
        <v>0</v>
      </c>
      <c r="S337" s="6">
        <f>IF(PA[[#This Row],[String Type(If String BD)]]="",1,0)</f>
        <v>0</v>
      </c>
      <c r="T3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7" s="68">
        <f>IFERROR(VLOOKUP(PA[[#This Row],[Affected Equipment ]],'Basic Data '!$A$1:$B$1846,2,0),"")</f>
        <v>25.81</v>
      </c>
      <c r="V337" s="143">
        <f>IFERROR(VLOOKUP(PA[[#This Row],[Affected Equipment ]],'Basic Data '!$A$1:$C$1846,3,0),"")</f>
        <v>7.7023853221960597E-5</v>
      </c>
      <c r="W337" s="178" t="s">
        <v>451</v>
      </c>
      <c r="X337" s="110" t="s">
        <v>2603</v>
      </c>
      <c r="Y337" s="110" t="s">
        <v>2603</v>
      </c>
      <c r="Z337" s="109">
        <v>0.27291666666666664</v>
      </c>
      <c r="AA337" s="109">
        <v>0.27291666666666664</v>
      </c>
      <c r="AB337" s="109">
        <v>0.27291666666666664</v>
      </c>
      <c r="AC337" s="109">
        <v>0.8125</v>
      </c>
      <c r="AD337" s="82">
        <f>IF(PA[[#This Row],[Acknowledgement Time ]]="NA","",(PA[[#This Row],[Acknowledgement Time ]]-PA[[#This Row],[Fault Time]])*24)</f>
        <v>0</v>
      </c>
      <c r="AE337" s="82">
        <f>IF(PA[[#This Row],[Work Start time on Fault]]="NA","",(PA[[#This Row],[Work Start time on Fault]]-PA[[#This Row],[Fault Time]])*24)</f>
        <v>0</v>
      </c>
      <c r="AF337" s="111">
        <f>IF(PA[[#This Row],[Status]]="Open","",(PA[[#This Row],[Work Completion time on fault]]-PA[[#This Row],[Fault Time]])*24)</f>
        <v>12.95</v>
      </c>
      <c r="AG337" s="82">
        <f>IFERROR((PA[[#This Row],[Work Completion time on fault]]-PA[[#This Row],[Fault Time]])*24,"")</f>
        <v>12.95</v>
      </c>
      <c r="AH337" s="110" t="s">
        <v>2603</v>
      </c>
      <c r="AI337" s="79" t="s">
        <v>422</v>
      </c>
      <c r="AJ337" s="68">
        <f>IFERROR(PA[[#This Row],[Breakdown Time]]*PA[[#This Row],[Plant Equivalent Weightage]],"")</f>
        <v>9.9745889922438972E-4</v>
      </c>
      <c r="AK337" s="117">
        <v>5.92</v>
      </c>
      <c r="AL337" s="116">
        <f>IF(PA[[#This Row],[Lost PoA(Wh/m2)]]&gt;0,_xlfn.XLOOKUP($B337,'Daily KPI'!$A:$A,'Daily KPI'!$AE:$AE)*PA[[#This Row],[Lost PoA(Wh/m2)]]*U337,0)</f>
        <v>126.80358770831558</v>
      </c>
      <c r="AM337" s="176" t="s">
        <v>2624</v>
      </c>
    </row>
    <row r="338" spans="1:39" ht="14" customHeight="1">
      <c r="A338" s="177">
        <f t="shared" si="6"/>
        <v>335</v>
      </c>
      <c r="B338" s="185">
        <v>45837</v>
      </c>
      <c r="C338" s="178" t="s">
        <v>477</v>
      </c>
      <c r="D338" s="6">
        <f>YEAR(PA[[#This Row],[Date]])</f>
        <v>2025</v>
      </c>
      <c r="E338" s="178" t="s">
        <v>361</v>
      </c>
      <c r="F338" s="178" t="s">
        <v>361</v>
      </c>
      <c r="G338" s="179">
        <v>45809</v>
      </c>
      <c r="H338" s="176">
        <f>DAY(EOMONTH(PA[[#This Row],[Month Year]],0))</f>
        <v>30</v>
      </c>
      <c r="I338" s="180">
        <f>VLOOKUP(PA[[#This Row],[Date]],Raw_Data[#All],9,0)</f>
        <v>0.26527777777777778</v>
      </c>
      <c r="J338" s="180">
        <f>VLOOKUP(PA[[#This Row],[Date]],Raw_Data[#All],10,0)</f>
        <v>0.81388888888888888</v>
      </c>
      <c r="K338" s="68">
        <f>IFERROR((PA[[#This Row],[Sunset Time (POA&lt;20 W/m2)]]-PA[[#This Row],[Sunrise Time (POA&gt;20 W/m2)]])*24,"")</f>
        <v>13.166666666666668</v>
      </c>
      <c r="L338" s="178" t="s">
        <v>437</v>
      </c>
      <c r="M338" s="178" t="s">
        <v>401</v>
      </c>
      <c r="N338" s="178" t="s">
        <v>395</v>
      </c>
      <c r="O338" s="178" t="s">
        <v>396</v>
      </c>
      <c r="P338" s="178" t="s">
        <v>397</v>
      </c>
      <c r="Q338" s="178"/>
      <c r="R338" s="6">
        <f>IF((PA[[#This Row],[String Type(If String BD)]]&amp;PA[[#This Row],[Equipment (If any BD other than PV  array and inv)]])="",1,0)</f>
        <v>0</v>
      </c>
      <c r="S338" s="6">
        <f>IF(PA[[#This Row],[String Type(If String BD)]]="",1,0)</f>
        <v>0</v>
      </c>
      <c r="T3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8" s="68">
        <f>IFERROR(VLOOKUP(PA[[#This Row],[Affected Equipment ]],'Basic Data '!$A$1:$B$1846,2,0),"")</f>
        <v>25.81</v>
      </c>
      <c r="V338" s="143">
        <f>IFERROR(VLOOKUP(PA[[#This Row],[Affected Equipment ]],'Basic Data '!$A$1:$C$1846,3,0),"")</f>
        <v>7.7023853221960597E-5</v>
      </c>
      <c r="W338" s="178" t="s">
        <v>451</v>
      </c>
      <c r="X338" s="110" t="s">
        <v>2603</v>
      </c>
      <c r="Y338" s="110" t="s">
        <v>2603</v>
      </c>
      <c r="Z338" s="109">
        <v>0.26527777777777778</v>
      </c>
      <c r="AA338" s="109">
        <v>0.26527777777777778</v>
      </c>
      <c r="AB338" s="109">
        <v>0.26527777777777778</v>
      </c>
      <c r="AC338" s="109">
        <v>0.81458333333333333</v>
      </c>
      <c r="AD338" s="82">
        <f>IF(PA[[#This Row],[Acknowledgement Time ]]="NA","",(PA[[#This Row],[Acknowledgement Time ]]-PA[[#This Row],[Fault Time]])*24)</f>
        <v>0</v>
      </c>
      <c r="AE338" s="82">
        <f>IF(PA[[#This Row],[Work Start time on Fault]]="NA","",(PA[[#This Row],[Work Start time on Fault]]-PA[[#This Row],[Fault Time]])*24)</f>
        <v>0</v>
      </c>
      <c r="AF338" s="111">
        <f>IF(PA[[#This Row],[Status]]="Open","",(PA[[#This Row],[Work Completion time on fault]]-PA[[#This Row],[Fault Time]])*24)</f>
        <v>13.183333333333332</v>
      </c>
      <c r="AG338" s="82">
        <f>IFERROR((PA[[#This Row],[Work Completion time on fault]]-PA[[#This Row],[Fault Time]])*24,"")</f>
        <v>13.183333333333332</v>
      </c>
      <c r="AH338" s="110" t="s">
        <v>2603</v>
      </c>
      <c r="AI338" s="79" t="s">
        <v>422</v>
      </c>
      <c r="AJ338" s="68">
        <f>IFERROR(PA[[#This Row],[Breakdown Time]]*PA[[#This Row],[Plant Equivalent Weightage]],"")</f>
        <v>1.015431131642847E-3</v>
      </c>
      <c r="AK338" s="117">
        <v>5.18</v>
      </c>
      <c r="AL338" s="116">
        <f>IF(PA[[#This Row],[Lost PoA(Wh/m2)]]&gt;0,_xlfn.XLOOKUP($B338,'Daily KPI'!$A:$A,'Daily KPI'!$AE:$AE)*PA[[#This Row],[Lost PoA(Wh/m2)]]*U338,0)</f>
        <v>110.95313924477614</v>
      </c>
      <c r="AM338" s="176" t="s">
        <v>2624</v>
      </c>
    </row>
    <row r="339" spans="1:39" ht="14" customHeight="1">
      <c r="A339" s="177">
        <f t="shared" si="6"/>
        <v>336</v>
      </c>
      <c r="B339" s="185">
        <v>45837</v>
      </c>
      <c r="C339" s="178" t="s">
        <v>477</v>
      </c>
      <c r="D339" s="6">
        <f>YEAR(PA[[#This Row],[Date]])</f>
        <v>2025</v>
      </c>
      <c r="E339" s="178" t="s">
        <v>361</v>
      </c>
      <c r="F339" s="178" t="s">
        <v>361</v>
      </c>
      <c r="G339" s="179">
        <v>45809</v>
      </c>
      <c r="H339" s="176">
        <f>DAY(EOMONTH(PA[[#This Row],[Month Year]],0))</f>
        <v>30</v>
      </c>
      <c r="I339" s="180">
        <f>VLOOKUP(PA[[#This Row],[Date]],Raw_Data[#All],9,0)</f>
        <v>0.26527777777777778</v>
      </c>
      <c r="J339" s="180">
        <f>VLOOKUP(PA[[#This Row],[Date]],Raw_Data[#All],10,0)</f>
        <v>0.81388888888888888</v>
      </c>
      <c r="K339" s="68">
        <f>IFERROR((PA[[#This Row],[Sunset Time (POA&lt;20 W/m2)]]-PA[[#This Row],[Sunrise Time (POA&gt;20 W/m2)]])*24,"")</f>
        <v>13.166666666666668</v>
      </c>
      <c r="L339" s="178" t="s">
        <v>446</v>
      </c>
      <c r="M339" s="178" t="s">
        <v>414</v>
      </c>
      <c r="N339" s="178" t="s">
        <v>402</v>
      </c>
      <c r="O339" s="178"/>
      <c r="P339" s="178"/>
      <c r="Q339" s="178"/>
      <c r="R339" s="6">
        <f>IF((PA[[#This Row],[String Type(If String BD)]]&amp;PA[[#This Row],[Equipment (If any BD other than PV  array and inv)]])="",1,0)</f>
        <v>1</v>
      </c>
      <c r="S339" s="6">
        <f>IF(PA[[#This Row],[String Type(If String BD)]]="",1,0)</f>
        <v>1</v>
      </c>
      <c r="T3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39" s="68">
        <f>IFERROR(VLOOKUP(PA[[#This Row],[Affected Equipment ]],'Basic Data '!$A$1:$B$1846,2,0),"")</f>
        <v>2129.7599999999998</v>
      </c>
      <c r="V339" s="143">
        <f>IFERROR(VLOOKUP(PA[[#This Row],[Affected Equipment ]],'Basic Data '!$A$1:$C$1846,3,0),"")</f>
        <v>6.3557660456413324E-3</v>
      </c>
      <c r="W339" s="178" t="s">
        <v>427</v>
      </c>
      <c r="X339" s="110" t="s">
        <v>452</v>
      </c>
      <c r="Y339" s="110" t="s">
        <v>452</v>
      </c>
      <c r="Z339" s="109">
        <v>0.26527777777777778</v>
      </c>
      <c r="AA339" s="109">
        <v>0.26527777777777778</v>
      </c>
      <c r="AB339" s="109">
        <v>0.29305555555555557</v>
      </c>
      <c r="AC339" s="109">
        <v>0.36319444444444443</v>
      </c>
      <c r="AD339" s="82">
        <f>IF(PA[[#This Row],[Acknowledgement Time ]]="NA","",(PA[[#This Row],[Acknowledgement Time ]]-PA[[#This Row],[Fault Time]])*24)</f>
        <v>0</v>
      </c>
      <c r="AE339" s="82">
        <f>IF(PA[[#This Row],[Work Start time on Fault]]="NA","",(PA[[#This Row],[Work Start time on Fault]]-PA[[#This Row],[Fault Time]])*24)</f>
        <v>0.66666666666666696</v>
      </c>
      <c r="AF339" s="111">
        <f>IF(PA[[#This Row],[Status]]="Open","",(PA[[#This Row],[Work Completion time on fault]]-PA[[#This Row],[Fault Time]])*24)</f>
        <v>2.3499999999999996</v>
      </c>
      <c r="AG339" s="82">
        <f>IFERROR((PA[[#This Row],[Work Completion time on fault]]-PA[[#This Row],[Fault Time]])*24,"")</f>
        <v>2.3499999999999996</v>
      </c>
      <c r="AH339" s="110" t="s">
        <v>479</v>
      </c>
      <c r="AI339" s="178" t="s">
        <v>422</v>
      </c>
      <c r="AJ339" s="68">
        <f>IFERROR(PA[[#This Row],[Breakdown Time]]*PA[[#This Row],[Plant Equivalent Weightage]],"")</f>
        <v>1.4936050207257129E-2</v>
      </c>
      <c r="AK339" s="117">
        <v>0.45257350000000002</v>
      </c>
      <c r="AL339" s="116">
        <f>IF(PA[[#This Row],[Lost PoA(Wh/m2)]]&gt;0,_xlfn.XLOOKUP($B339,'Daily KPI'!$A:$A,'Daily KPI'!$AE:$AE)*PA[[#This Row],[Lost PoA(Wh/m2)]]*U339,0)</f>
        <v>799.91090395641038</v>
      </c>
      <c r="AM339" s="176" t="s">
        <v>2636</v>
      </c>
    </row>
    <row r="340" spans="1:39" ht="14" customHeight="1">
      <c r="A340" s="177">
        <f t="shared" si="6"/>
        <v>337</v>
      </c>
      <c r="B340" s="185">
        <v>45837</v>
      </c>
      <c r="C340" s="178" t="s">
        <v>477</v>
      </c>
      <c r="D340" s="6">
        <f>YEAR(PA[[#This Row],[Date]])</f>
        <v>2025</v>
      </c>
      <c r="E340" s="178" t="s">
        <v>361</v>
      </c>
      <c r="F340" s="178" t="s">
        <v>361</v>
      </c>
      <c r="G340" s="179">
        <v>45809</v>
      </c>
      <c r="H340" s="176">
        <f>DAY(EOMONTH(PA[[#This Row],[Month Year]],0))</f>
        <v>30</v>
      </c>
      <c r="I340" s="180">
        <f>VLOOKUP(PA[[#This Row],[Date]],Raw_Data[#All],9,0)</f>
        <v>0.26527777777777778</v>
      </c>
      <c r="J340" s="180">
        <f>VLOOKUP(PA[[#This Row],[Date]],Raw_Data[#All],10,0)</f>
        <v>0.81388888888888888</v>
      </c>
      <c r="K340" s="68">
        <f>IFERROR((PA[[#This Row],[Sunset Time (POA&lt;20 W/m2)]]-PA[[#This Row],[Sunrise Time (POA&gt;20 W/m2)]])*24,"")</f>
        <v>13.166666666666668</v>
      </c>
      <c r="L340" s="178" t="s">
        <v>446</v>
      </c>
      <c r="M340" s="178" t="s">
        <v>414</v>
      </c>
      <c r="N340" s="178" t="s">
        <v>395</v>
      </c>
      <c r="O340" s="178"/>
      <c r="P340" s="178"/>
      <c r="Q340" s="178"/>
      <c r="R340" s="6">
        <f>IF((PA[[#This Row],[String Type(If String BD)]]&amp;PA[[#This Row],[Equipment (If any BD other than PV  array and inv)]])="",1,0)</f>
        <v>1</v>
      </c>
      <c r="S340" s="6">
        <f>IF(PA[[#This Row],[String Type(If String BD)]]="",1,0)</f>
        <v>1</v>
      </c>
      <c r="T3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40" s="68">
        <f>IFERROR(VLOOKUP(PA[[#This Row],[Affected Equipment ]],'Basic Data '!$A$1:$B$1846,2,0),"")</f>
        <v>1879.1999999999998</v>
      </c>
      <c r="V340" s="143">
        <f>IFERROR(VLOOKUP(PA[[#This Row],[Affected Equipment ]],'Basic Data '!$A$1:$C$1846,3,0),"")</f>
        <v>5.6080288638011757E-3</v>
      </c>
      <c r="W340" s="178" t="s">
        <v>427</v>
      </c>
      <c r="X340" s="110" t="s">
        <v>455</v>
      </c>
      <c r="Y340" s="110" t="s">
        <v>455</v>
      </c>
      <c r="Z340" s="109">
        <v>0.3527777777777778</v>
      </c>
      <c r="AA340" s="109">
        <v>0.3527777777777778</v>
      </c>
      <c r="AB340" s="109">
        <v>0.3527777777777778</v>
      </c>
      <c r="AC340" s="109">
        <v>0.36319444444444443</v>
      </c>
      <c r="AD340" s="82">
        <f>IF(PA[[#This Row],[Acknowledgement Time ]]="NA","",(PA[[#This Row],[Acknowledgement Time ]]-PA[[#This Row],[Fault Time]])*24)</f>
        <v>0</v>
      </c>
      <c r="AE340" s="82">
        <f>IF(PA[[#This Row],[Work Start time on Fault]]="NA","",(PA[[#This Row],[Work Start time on Fault]]-PA[[#This Row],[Fault Time]])*24)</f>
        <v>0</v>
      </c>
      <c r="AF340" s="111">
        <f>IF(PA[[#This Row],[Status]]="Open","",(PA[[#This Row],[Work Completion time on fault]]-PA[[#This Row],[Fault Time]])*24)</f>
        <v>0.24999999999999911</v>
      </c>
      <c r="AG340" s="82">
        <f>IFERROR((PA[[#This Row],[Work Completion time on fault]]-PA[[#This Row],[Fault Time]])*24,"")</f>
        <v>0.24999999999999911</v>
      </c>
      <c r="AH340" s="110" t="s">
        <v>455</v>
      </c>
      <c r="AI340" s="178" t="s">
        <v>422</v>
      </c>
      <c r="AJ340" s="68">
        <f>IFERROR(PA[[#This Row],[Breakdown Time]]*PA[[#This Row],[Plant Equivalent Weightage]],"")</f>
        <v>1.4020072159502889E-3</v>
      </c>
      <c r="AK340" s="117">
        <v>0.10360833333333333</v>
      </c>
      <c r="AL340" s="116">
        <f>IF(PA[[#This Row],[Lost PoA(Wh/m2)]]&gt;0,_xlfn.XLOOKUP($B340,'Daily KPI'!$A:$A,'Daily KPI'!$AE:$AE)*PA[[#This Row],[Lost PoA(Wh/m2)]]*U340,0)</f>
        <v>161.58071348843063</v>
      </c>
      <c r="AM340" s="176" t="s">
        <v>2636</v>
      </c>
    </row>
    <row r="341" spans="1:39" ht="14" customHeight="1">
      <c r="A341" s="177">
        <f t="shared" si="6"/>
        <v>338</v>
      </c>
      <c r="B341" s="185">
        <v>45838</v>
      </c>
      <c r="C341" s="178" t="s">
        <v>477</v>
      </c>
      <c r="D341" s="6">
        <f>YEAR(PA[[#This Row],[Date]])</f>
        <v>2025</v>
      </c>
      <c r="E341" s="178" t="s">
        <v>361</v>
      </c>
      <c r="F341" s="178" t="s">
        <v>361</v>
      </c>
      <c r="G341" s="179">
        <v>45809</v>
      </c>
      <c r="H341" s="176">
        <f>DAY(EOMONTH(PA[[#This Row],[Month Year]],0))</f>
        <v>30</v>
      </c>
      <c r="I341" s="180">
        <f>VLOOKUP(PA[[#This Row],[Date]],Raw_Data[#All],9,0)</f>
        <v>0.26180555555555557</v>
      </c>
      <c r="J341" s="180">
        <f>VLOOKUP(PA[[#This Row],[Date]],Raw_Data[#All],10,0)</f>
        <v>0.81319444444444444</v>
      </c>
      <c r="K341" s="68">
        <f>IFERROR((PA[[#This Row],[Sunset Time (POA&lt;20 W/m2)]]-PA[[#This Row],[Sunrise Time (POA&gt;20 W/m2)]])*24,"")</f>
        <v>13.233333333333334</v>
      </c>
      <c r="L341" s="178" t="s">
        <v>437</v>
      </c>
      <c r="M341" s="178" t="s">
        <v>401</v>
      </c>
      <c r="N341" s="178" t="s">
        <v>395</v>
      </c>
      <c r="O341" s="178" t="s">
        <v>396</v>
      </c>
      <c r="P341" s="178" t="s">
        <v>397</v>
      </c>
      <c r="Q341" s="178"/>
      <c r="R341" s="6">
        <f>IF((PA[[#This Row],[String Type(If String BD)]]&amp;PA[[#This Row],[Equipment (If any BD other than PV  array and inv)]])="",1,0)</f>
        <v>0</v>
      </c>
      <c r="S341" s="6">
        <f>IF(PA[[#This Row],[String Type(If String BD)]]="",1,0)</f>
        <v>0</v>
      </c>
      <c r="T3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1" s="68">
        <f>IFERROR(VLOOKUP(PA[[#This Row],[Affected Equipment ]],'Basic Data '!$A$1:$B$1846,2,0),"")</f>
        <v>25.81</v>
      </c>
      <c r="V341" s="143">
        <f>IFERROR(VLOOKUP(PA[[#This Row],[Affected Equipment ]],'Basic Data '!$A$1:$C$1846,3,0),"")</f>
        <v>7.7023853221960597E-5</v>
      </c>
      <c r="W341" s="178" t="s">
        <v>451</v>
      </c>
      <c r="X341" s="110" t="s">
        <v>2603</v>
      </c>
      <c r="Y341" s="110" t="s">
        <v>2603</v>
      </c>
      <c r="Z341" s="109">
        <v>0.26180555555555557</v>
      </c>
      <c r="AA341" s="109">
        <v>0.26180555555555557</v>
      </c>
      <c r="AB341" s="109">
        <v>0.26180555555555557</v>
      </c>
      <c r="AC341" s="109">
        <v>0.81319444444444444</v>
      </c>
      <c r="AD341" s="82">
        <f>IF(PA[[#This Row],[Acknowledgement Time ]]="NA","",(PA[[#This Row],[Acknowledgement Time ]]-PA[[#This Row],[Fault Time]])*24)</f>
        <v>0</v>
      </c>
      <c r="AE341" s="82">
        <f>IF(PA[[#This Row],[Work Start time on Fault]]="NA","",(PA[[#This Row],[Work Start time on Fault]]-PA[[#This Row],[Fault Time]])*24)</f>
        <v>0</v>
      </c>
      <c r="AF341" s="111">
        <f>IF(PA[[#This Row],[Status]]="Open","",(PA[[#This Row],[Work Completion time on fault]]-PA[[#This Row],[Fault Time]])*24)</f>
        <v>13.233333333333334</v>
      </c>
      <c r="AG341" s="82">
        <f>IFERROR((PA[[#This Row],[Work Completion time on fault]]-PA[[#This Row],[Fault Time]])*24,"")</f>
        <v>13.233333333333334</v>
      </c>
      <c r="AH341" s="110" t="s">
        <v>2603</v>
      </c>
      <c r="AI341" s="79" t="s">
        <v>422</v>
      </c>
      <c r="AJ341" s="68">
        <f>IFERROR(PA[[#This Row],[Breakdown Time]]*PA[[#This Row],[Plant Equivalent Weightage]],"")</f>
        <v>1.0192823243039453E-3</v>
      </c>
      <c r="AK341" s="117">
        <v>5.34</v>
      </c>
      <c r="AL341" s="116">
        <f>IF(PA[[#This Row],[Lost PoA(Wh/m2)]]&gt;0,_xlfn.XLOOKUP($B341,'Daily KPI'!$A:$A,'Daily KPI'!$AE:$AE)*PA[[#This Row],[Lost PoA(Wh/m2)]]*U341,0)</f>
        <v>114.38026323689276</v>
      </c>
      <c r="AM341" s="176" t="s">
        <v>2624</v>
      </c>
    </row>
    <row r="342" spans="1:39" ht="14" customHeight="1">
      <c r="A342" s="177">
        <f t="shared" si="6"/>
        <v>339</v>
      </c>
      <c r="B342" s="185">
        <v>45839</v>
      </c>
      <c r="C342" s="178" t="s">
        <v>477</v>
      </c>
      <c r="D342" s="6">
        <f>YEAR(PA[[#This Row],[Date]])</f>
        <v>2025</v>
      </c>
      <c r="E342" s="178" t="s">
        <v>361</v>
      </c>
      <c r="F342" s="178" t="s">
        <v>361</v>
      </c>
      <c r="G342" s="179">
        <v>45839</v>
      </c>
      <c r="H342" s="176">
        <f>DAY(EOMONTH(PA[[#This Row],[Month Year]],0))</f>
        <v>31</v>
      </c>
      <c r="I342" s="180">
        <f>VLOOKUP(PA[[#This Row],[Date]],Raw_Data[#All],9,0)</f>
        <v>0.26944444444444443</v>
      </c>
      <c r="J342" s="180">
        <f>VLOOKUP(PA[[#This Row],[Date]],Raw_Data[#All],10,0)</f>
        <v>0.8125</v>
      </c>
      <c r="K342" s="68">
        <f>IFERROR((PA[[#This Row],[Sunset Time (POA&lt;20 W/m2)]]-PA[[#This Row],[Sunrise Time (POA&gt;20 W/m2)]])*24,"")</f>
        <v>13.033333333333335</v>
      </c>
      <c r="L342" s="178" t="s">
        <v>437</v>
      </c>
      <c r="M342" s="178" t="s">
        <v>401</v>
      </c>
      <c r="N342" s="178" t="s">
        <v>395</v>
      </c>
      <c r="O342" s="178" t="s">
        <v>396</v>
      </c>
      <c r="P342" s="178" t="s">
        <v>397</v>
      </c>
      <c r="Q342" s="178"/>
      <c r="R342" s="6">
        <f>IF((PA[[#This Row],[String Type(If String BD)]]&amp;PA[[#This Row],[Equipment (If any BD other than PV  array and inv)]])="",1,0)</f>
        <v>0</v>
      </c>
      <c r="S342" s="6">
        <f>IF(PA[[#This Row],[String Type(If String BD)]]="",1,0)</f>
        <v>0</v>
      </c>
      <c r="T3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2" s="68">
        <f>IFERROR(VLOOKUP(PA[[#This Row],[Affected Equipment ]],'Basic Data '!$A$1:$B$1846,2,0),"")</f>
        <v>25.81</v>
      </c>
      <c r="V342" s="143">
        <f>IFERROR(VLOOKUP(PA[[#This Row],[Affected Equipment ]],'Basic Data '!$A$1:$C$1846,3,0),"")</f>
        <v>7.7023853221960597E-5</v>
      </c>
      <c r="W342" s="178" t="s">
        <v>451</v>
      </c>
      <c r="X342" s="110" t="s">
        <v>2603</v>
      </c>
      <c r="Y342" s="110" t="s">
        <v>2603</v>
      </c>
      <c r="Z342" s="109">
        <v>0.26944444444444443</v>
      </c>
      <c r="AA342" s="109">
        <v>0.26944444444444443</v>
      </c>
      <c r="AB342" s="109">
        <v>0.26944444444444443</v>
      </c>
      <c r="AC342" s="109">
        <v>0.8125</v>
      </c>
      <c r="AD342" s="82">
        <f>IF(PA[[#This Row],[Acknowledgement Time ]]="NA","",(PA[[#This Row],[Acknowledgement Time ]]-PA[[#This Row],[Fault Time]])*24)</f>
        <v>0</v>
      </c>
      <c r="AE342" s="82">
        <f>IF(PA[[#This Row],[Work Start time on Fault]]="NA","",(PA[[#This Row],[Work Start time on Fault]]-PA[[#This Row],[Fault Time]])*24)</f>
        <v>0</v>
      </c>
      <c r="AF342" s="111">
        <f>IF(PA[[#This Row],[Status]]="Open","",(PA[[#This Row],[Work Completion time on fault]]-PA[[#This Row],[Fault Time]])*24)</f>
        <v>13.033333333333335</v>
      </c>
      <c r="AG342" s="82">
        <f>IFERROR((PA[[#This Row],[Work Completion time on fault]]-PA[[#This Row],[Fault Time]])*24,"")</f>
        <v>13.033333333333335</v>
      </c>
      <c r="AH342" s="110" t="s">
        <v>2603</v>
      </c>
      <c r="AI342" s="79" t="s">
        <v>422</v>
      </c>
      <c r="AJ342" s="68">
        <f>IFERROR(PA[[#This Row],[Breakdown Time]]*PA[[#This Row],[Plant Equivalent Weightage]],"")</f>
        <v>1.0038775536595533E-3</v>
      </c>
      <c r="AK342" s="117">
        <v>6.24</v>
      </c>
      <c r="AL342" s="116">
        <f>IF(PA[[#This Row],[Lost PoA(Wh/m2)]]&gt;0,_xlfn.XLOOKUP($B342,'Daily KPI'!$A:$A,'Daily KPI'!$AE:$AE)*PA[[#This Row],[Lost PoA(Wh/m2)]]*U342,0)</f>
        <v>135.28819671412427</v>
      </c>
      <c r="AM342" s="176" t="s">
        <v>2624</v>
      </c>
    </row>
    <row r="343" spans="1:39" ht="14" customHeight="1">
      <c r="A343" s="177">
        <f t="shared" si="6"/>
        <v>340</v>
      </c>
      <c r="B343" s="185">
        <v>45839</v>
      </c>
      <c r="C343" s="178" t="s">
        <v>477</v>
      </c>
      <c r="D343" s="6">
        <f>YEAR(PA[[#This Row],[Date]])</f>
        <v>2025</v>
      </c>
      <c r="E343" s="178" t="s">
        <v>361</v>
      </c>
      <c r="F343" s="178" t="s">
        <v>361</v>
      </c>
      <c r="G343" s="179">
        <v>45839</v>
      </c>
      <c r="H343" s="176">
        <f>DAY(EOMONTH(PA[[#This Row],[Month Year]],0))</f>
        <v>31</v>
      </c>
      <c r="I343" s="180">
        <f>VLOOKUP(PA[[#This Row],[Date]],Raw_Data[#All],9,0)</f>
        <v>0.26944444444444443</v>
      </c>
      <c r="J343" s="180">
        <f>VLOOKUP(PA[[#This Row],[Date]],Raw_Data[#All],10,0)</f>
        <v>0.8125</v>
      </c>
      <c r="K343" s="68">
        <f>IFERROR((PA[[#This Row],[Sunset Time (POA&lt;20 W/m2)]]-PA[[#This Row],[Sunrise Time (POA&gt;20 W/m2)]])*24,"")</f>
        <v>13.033333333333335</v>
      </c>
      <c r="L343" s="178" t="s">
        <v>423</v>
      </c>
      <c r="M343" s="178" t="s">
        <v>414</v>
      </c>
      <c r="N343" s="178" t="s">
        <v>402</v>
      </c>
      <c r="O343" s="178" t="s">
        <v>442</v>
      </c>
      <c r="P343" s="178" t="s">
        <v>404</v>
      </c>
      <c r="Q343" s="178"/>
      <c r="R343" s="6">
        <f>IF((PA[[#This Row],[String Type(If String BD)]]&amp;PA[[#This Row],[Equipment (If any BD other than PV  array and inv)]])="",1,0)</f>
        <v>0</v>
      </c>
      <c r="S343" s="6">
        <f>IF(PA[[#This Row],[String Type(If String BD)]]="",1,0)</f>
        <v>0</v>
      </c>
      <c r="T3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3" s="68">
        <f>IFERROR(VLOOKUP(PA[[#This Row],[Affected Equipment ]],'Basic Data '!$A$1:$B$1846,2,0),"")</f>
        <v>31.32</v>
      </c>
      <c r="V343" s="143">
        <f>IFERROR(VLOOKUP(PA[[#This Row],[Affected Equipment ]],'Basic Data '!$A$1:$C$1846,3,0),"")</f>
        <v>9.3467147730019601E-5</v>
      </c>
      <c r="W343" s="178" t="s">
        <v>451</v>
      </c>
      <c r="X343" s="110" t="s">
        <v>2603</v>
      </c>
      <c r="Y343" s="110" t="s">
        <v>2603</v>
      </c>
      <c r="Z343" s="109">
        <v>0.26944444444444443</v>
      </c>
      <c r="AA343" s="109">
        <v>0.26944444444444443</v>
      </c>
      <c r="AB343" s="109">
        <v>0.26944444444444443</v>
      </c>
      <c r="AC343" s="109">
        <v>0.8125</v>
      </c>
      <c r="AD343" s="82">
        <f>IF(PA[[#This Row],[Acknowledgement Time ]]="NA","",(PA[[#This Row],[Acknowledgement Time ]]-PA[[#This Row],[Fault Time]])*24)</f>
        <v>0</v>
      </c>
      <c r="AE343" s="82">
        <f>IF(PA[[#This Row],[Work Start time on Fault]]="NA","",(PA[[#This Row],[Work Start time on Fault]]-PA[[#This Row],[Fault Time]])*24)</f>
        <v>0</v>
      </c>
      <c r="AF343" s="111">
        <f>IF(PA[[#This Row],[Status]]="Open","",(PA[[#This Row],[Work Completion time on fault]]-PA[[#This Row],[Fault Time]])*24)</f>
        <v>13.033333333333335</v>
      </c>
      <c r="AG343" s="82">
        <f>IFERROR((PA[[#This Row],[Work Completion time on fault]]-PA[[#This Row],[Fault Time]])*24,"")</f>
        <v>13.033333333333335</v>
      </c>
      <c r="AH343" s="110" t="s">
        <v>2603</v>
      </c>
      <c r="AI343" s="79" t="s">
        <v>422</v>
      </c>
      <c r="AJ343" s="68">
        <f>IFERROR(PA[[#This Row],[Breakdown Time]]*PA[[#This Row],[Plant Equivalent Weightage]],"")</f>
        <v>1.2181884920812556E-3</v>
      </c>
      <c r="AK343" s="117">
        <v>6.24</v>
      </c>
      <c r="AL343" s="116">
        <f>IF(PA[[#This Row],[Lost PoA(Wh/m2)]]&gt;0,_xlfn.XLOOKUP($B343,'Daily KPI'!$A:$A,'Daily KPI'!$AE:$AE)*PA[[#This Row],[Lost PoA(Wh/m2)]]*U343,0)</f>
        <v>164.16994657444295</v>
      </c>
      <c r="AM343" s="176" t="s">
        <v>2641</v>
      </c>
    </row>
    <row r="344" spans="1:39" ht="14" customHeight="1">
      <c r="A344" s="177">
        <f t="shared" si="6"/>
        <v>341</v>
      </c>
      <c r="B344" s="185">
        <v>45839</v>
      </c>
      <c r="C344" s="178" t="s">
        <v>477</v>
      </c>
      <c r="D344" s="6">
        <f>YEAR(PA[[#This Row],[Date]])</f>
        <v>2025</v>
      </c>
      <c r="E344" s="178" t="s">
        <v>361</v>
      </c>
      <c r="F344" s="178" t="s">
        <v>361</v>
      </c>
      <c r="G344" s="179">
        <v>45839</v>
      </c>
      <c r="H344" s="176">
        <f>DAY(EOMONTH(PA[[#This Row],[Month Year]],0))</f>
        <v>31</v>
      </c>
      <c r="I344" s="180">
        <f>VLOOKUP(PA[[#This Row],[Date]],Raw_Data[#All],9,0)</f>
        <v>0.26944444444444443</v>
      </c>
      <c r="J344" s="180">
        <f>VLOOKUP(PA[[#This Row],[Date]],Raw_Data[#All],10,0)</f>
        <v>0.8125</v>
      </c>
      <c r="K344" s="68">
        <f>IFERROR((PA[[#This Row],[Sunset Time (POA&lt;20 W/m2)]]-PA[[#This Row],[Sunrise Time (POA&gt;20 W/m2)]])*24,"")</f>
        <v>13.033333333333335</v>
      </c>
      <c r="L344" s="178" t="s">
        <v>426</v>
      </c>
      <c r="M344" s="178" t="s">
        <v>394</v>
      </c>
      <c r="N344" s="178" t="s">
        <v>402</v>
      </c>
      <c r="O344" s="178" t="s">
        <v>409</v>
      </c>
      <c r="P344" s="178" t="s">
        <v>404</v>
      </c>
      <c r="Q344" s="178"/>
      <c r="R344" s="6">
        <f>IF((PA[[#This Row],[String Type(If String BD)]]&amp;PA[[#This Row],[Equipment (If any BD other than PV  array and inv)]])="",1,0)</f>
        <v>0</v>
      </c>
      <c r="S344" s="6">
        <f>IF(PA[[#This Row],[String Type(If String BD)]]="",1,0)</f>
        <v>0</v>
      </c>
      <c r="T3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4" s="68">
        <f>IFERROR(VLOOKUP(PA[[#This Row],[Affected Equipment ]],'Basic Data '!$A$1:$B$1846,2,0),"")</f>
        <v>31.32</v>
      </c>
      <c r="V344" s="143">
        <f>IFERROR(VLOOKUP(PA[[#This Row],[Affected Equipment ]],'Basic Data '!$A$1:$C$1846,3,0),"")</f>
        <v>9.3467147730019601E-5</v>
      </c>
      <c r="W344" s="178" t="s">
        <v>451</v>
      </c>
      <c r="X344" s="110" t="s">
        <v>2638</v>
      </c>
      <c r="Y344" s="110" t="s">
        <v>2638</v>
      </c>
      <c r="Z344" s="109">
        <v>0.26944444444444443</v>
      </c>
      <c r="AA344" s="109">
        <v>0.26944444444444443</v>
      </c>
      <c r="AB344" s="109">
        <v>0.26944444444444443</v>
      </c>
      <c r="AC344" s="109">
        <v>0.8125</v>
      </c>
      <c r="AD344" s="82">
        <f>IF(PA[[#This Row],[Acknowledgement Time ]]="NA","",(PA[[#This Row],[Acknowledgement Time ]]-PA[[#This Row],[Fault Time]])*24)</f>
        <v>0</v>
      </c>
      <c r="AE344" s="82">
        <f>IF(PA[[#This Row],[Work Start time on Fault]]="NA","",(PA[[#This Row],[Work Start time on Fault]]-PA[[#This Row],[Fault Time]])*24)</f>
        <v>0</v>
      </c>
      <c r="AF344" s="111">
        <f>IF(PA[[#This Row],[Status]]="Open","",(PA[[#This Row],[Work Completion time on fault]]-PA[[#This Row],[Fault Time]])*24)</f>
        <v>13.033333333333335</v>
      </c>
      <c r="AG344" s="82">
        <f>IFERROR((PA[[#This Row],[Work Completion time on fault]]-PA[[#This Row],[Fault Time]])*24,"")</f>
        <v>13.033333333333335</v>
      </c>
      <c r="AH344" s="110" t="s">
        <v>2639</v>
      </c>
      <c r="AI344" s="178" t="s">
        <v>422</v>
      </c>
      <c r="AJ344" s="68">
        <f>IFERROR(PA[[#This Row],[Breakdown Time]]*PA[[#This Row],[Plant Equivalent Weightage]],"")</f>
        <v>1.2181884920812556E-3</v>
      </c>
      <c r="AK344" s="117">
        <v>6.24</v>
      </c>
      <c r="AL344" s="116">
        <f>IF(PA[[#This Row],[Lost PoA(Wh/m2)]]&gt;0,_xlfn.XLOOKUP($B344,'Daily KPI'!$A:$A,'Daily KPI'!$AE:$AE)*PA[[#This Row],[Lost PoA(Wh/m2)]]*U344,0)</f>
        <v>164.16994657444295</v>
      </c>
      <c r="AM344" s="176" t="s">
        <v>2640</v>
      </c>
    </row>
    <row r="345" spans="1:39" ht="14" customHeight="1">
      <c r="A345" s="177">
        <f t="shared" si="6"/>
        <v>342</v>
      </c>
      <c r="B345" s="185">
        <v>45839</v>
      </c>
      <c r="C345" s="178" t="s">
        <v>477</v>
      </c>
      <c r="D345" s="6">
        <f>YEAR(PA[[#This Row],[Date]])</f>
        <v>2025</v>
      </c>
      <c r="E345" s="178" t="s">
        <v>361</v>
      </c>
      <c r="F345" s="178" t="s">
        <v>361</v>
      </c>
      <c r="G345" s="179">
        <v>45839</v>
      </c>
      <c r="H345" s="176">
        <f>DAY(EOMONTH(PA[[#This Row],[Month Year]],0))</f>
        <v>31</v>
      </c>
      <c r="I345" s="180">
        <f>VLOOKUP(PA[[#This Row],[Date]],Raw_Data[#All],9,0)</f>
        <v>0.26944444444444443</v>
      </c>
      <c r="J345" s="180">
        <f>VLOOKUP(PA[[#This Row],[Date]],Raw_Data[#All],10,0)</f>
        <v>0.8125</v>
      </c>
      <c r="K345" s="68">
        <f>IFERROR((PA[[#This Row],[Sunset Time (POA&lt;20 W/m2)]]-PA[[#This Row],[Sunrise Time (POA&gt;20 W/m2)]])*24,"")</f>
        <v>13.033333333333335</v>
      </c>
      <c r="L345" s="178" t="s">
        <v>446</v>
      </c>
      <c r="M345" s="178" t="s">
        <v>414</v>
      </c>
      <c r="N345" s="178" t="s">
        <v>402</v>
      </c>
      <c r="O345" s="178" t="s">
        <v>413</v>
      </c>
      <c r="P345" s="178" t="s">
        <v>429</v>
      </c>
      <c r="Q345" s="178"/>
      <c r="R345" s="6">
        <f>IF((PA[[#This Row],[String Type(If String BD)]]&amp;PA[[#This Row],[Equipment (If any BD other than PV  array and inv)]])="",1,0)</f>
        <v>0</v>
      </c>
      <c r="S345" s="6">
        <f>IF(PA[[#This Row],[String Type(If String BD)]]="",1,0)</f>
        <v>0</v>
      </c>
      <c r="T3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45" s="68">
        <f>IFERROR(VLOOKUP(PA[[#This Row],[Affected Equipment ]],'Basic Data '!$A$1:$B$1846,2,0),"")</f>
        <v>15.66</v>
      </c>
      <c r="V345" s="143">
        <f>IFERROR(VLOOKUP(PA[[#This Row],[Affected Equipment ]],'Basic Data '!$A$1:$C$1846,3,0),"")</f>
        <v>4.6733573865009801E-5</v>
      </c>
      <c r="W345" s="178" t="s">
        <v>451</v>
      </c>
      <c r="X345" s="110" t="s">
        <v>471</v>
      </c>
      <c r="Y345" s="110" t="s">
        <v>471</v>
      </c>
      <c r="Z345" s="109">
        <v>0.26944444444444443</v>
      </c>
      <c r="AA345" s="109">
        <v>0.26944444444444443</v>
      </c>
      <c r="AB345" s="109">
        <v>0.26944444444444443</v>
      </c>
      <c r="AC345" s="109">
        <v>0.8125</v>
      </c>
      <c r="AD345" s="82">
        <f>IF(PA[[#This Row],[Acknowledgement Time ]]="NA","",(PA[[#This Row],[Acknowledgement Time ]]-PA[[#This Row],[Fault Time]])*24)</f>
        <v>0</v>
      </c>
      <c r="AE345" s="82">
        <f>IF(PA[[#This Row],[Work Start time on Fault]]="NA","",(PA[[#This Row],[Work Start time on Fault]]-PA[[#This Row],[Fault Time]])*24)</f>
        <v>0</v>
      </c>
      <c r="AF345" s="111">
        <f>IF(PA[[#This Row],[Status]]="Open","",(PA[[#This Row],[Work Completion time on fault]]-PA[[#This Row],[Fault Time]])*24)</f>
        <v>13.033333333333335</v>
      </c>
      <c r="AG345" s="82">
        <f>IFERROR((PA[[#This Row],[Work Completion time on fault]]-PA[[#This Row],[Fault Time]])*24,"")</f>
        <v>13.033333333333335</v>
      </c>
      <c r="AH345" s="110" t="s">
        <v>2632</v>
      </c>
      <c r="AI345" s="178" t="s">
        <v>422</v>
      </c>
      <c r="AJ345" s="68">
        <f>IFERROR(PA[[#This Row],[Breakdown Time]]*PA[[#This Row],[Plant Equivalent Weightage]],"")</f>
        <v>6.0909424604062778E-4</v>
      </c>
      <c r="AK345" s="117">
        <v>6.24</v>
      </c>
      <c r="AL345" s="116">
        <f>IF(PA[[#This Row],[Lost PoA(Wh/m2)]]&gt;0,_xlfn.XLOOKUP($B345,'Daily KPI'!$A:$A,'Daily KPI'!$AE:$AE)*PA[[#This Row],[Lost PoA(Wh/m2)]]*U345,0)</f>
        <v>82.084973287221473</v>
      </c>
      <c r="AM345" s="176" t="s">
        <v>2640</v>
      </c>
    </row>
    <row r="346" spans="1:39" ht="14" customHeight="1">
      <c r="A346" s="177">
        <f t="shared" si="6"/>
        <v>343</v>
      </c>
      <c r="B346" s="185">
        <v>45840</v>
      </c>
      <c r="C346" s="178" t="s">
        <v>477</v>
      </c>
      <c r="D346" s="6">
        <f>YEAR(PA[[#This Row],[Date]])</f>
        <v>2025</v>
      </c>
      <c r="E346" s="178" t="s">
        <v>361</v>
      </c>
      <c r="F346" s="178" t="s">
        <v>361</v>
      </c>
      <c r="G346" s="179">
        <v>45839</v>
      </c>
      <c r="H346" s="176">
        <f>DAY(EOMONTH(PA[[#This Row],[Month Year]],0))</f>
        <v>31</v>
      </c>
      <c r="I346" s="180">
        <f>VLOOKUP(PA[[#This Row],[Date]],Raw_Data[#All],9,0)</f>
        <v>0.26944444444444443</v>
      </c>
      <c r="J346" s="180">
        <f>VLOOKUP(PA[[#This Row],[Date]],Raw_Data[#All],10,0)</f>
        <v>0.78194444444444444</v>
      </c>
      <c r="K346" s="68">
        <f>IFERROR((PA[[#This Row],[Sunset Time (POA&lt;20 W/m2)]]-PA[[#This Row],[Sunrise Time (POA&gt;20 W/m2)]])*24,"")</f>
        <v>12.299999999999999</v>
      </c>
      <c r="L346" s="178" t="s">
        <v>437</v>
      </c>
      <c r="M346" s="178" t="s">
        <v>401</v>
      </c>
      <c r="N346" s="178" t="s">
        <v>395</v>
      </c>
      <c r="O346" s="178" t="s">
        <v>396</v>
      </c>
      <c r="P346" s="178" t="s">
        <v>397</v>
      </c>
      <c r="Q346" s="178"/>
      <c r="R346" s="6">
        <f>IF((PA[[#This Row],[String Type(If String BD)]]&amp;PA[[#This Row],[Equipment (If any BD other than PV  array and inv)]])="",1,0)</f>
        <v>0</v>
      </c>
      <c r="S346" s="6">
        <f>IF(PA[[#This Row],[String Type(If String BD)]]="",1,0)</f>
        <v>0</v>
      </c>
      <c r="T3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6" s="68">
        <f>IFERROR(VLOOKUP(PA[[#This Row],[Affected Equipment ]],'Basic Data '!$A$1:$B$1846,2,0),"")</f>
        <v>25.81</v>
      </c>
      <c r="V346" s="143">
        <f>IFERROR(VLOOKUP(PA[[#This Row],[Affected Equipment ]],'Basic Data '!$A$1:$C$1846,3,0),"")</f>
        <v>7.7023853221960597E-5</v>
      </c>
      <c r="W346" s="178" t="s">
        <v>451</v>
      </c>
      <c r="X346" s="110" t="s">
        <v>2603</v>
      </c>
      <c r="Y346" s="110" t="s">
        <v>2603</v>
      </c>
      <c r="Z346" s="109">
        <v>0.26944444444444443</v>
      </c>
      <c r="AA346" s="109">
        <v>0.26944444444444443</v>
      </c>
      <c r="AB346" s="109">
        <v>0.26944444444444443</v>
      </c>
      <c r="AC346" s="109">
        <v>0.78194444444444444</v>
      </c>
      <c r="AD346" s="82">
        <f>IF(PA[[#This Row],[Acknowledgement Time ]]="NA","",(PA[[#This Row],[Acknowledgement Time ]]-PA[[#This Row],[Fault Time]])*24)</f>
        <v>0</v>
      </c>
      <c r="AE346" s="82">
        <f>IF(PA[[#This Row],[Work Start time on Fault]]="NA","",(PA[[#This Row],[Work Start time on Fault]]-PA[[#This Row],[Fault Time]])*24)</f>
        <v>0</v>
      </c>
      <c r="AF346" s="111">
        <f>IF(PA[[#This Row],[Status]]="Open","",(PA[[#This Row],[Work Completion time on fault]]-PA[[#This Row],[Fault Time]])*24)</f>
        <v>12.299999999999999</v>
      </c>
      <c r="AG346" s="82">
        <f>IFERROR((PA[[#This Row],[Work Completion time on fault]]-PA[[#This Row],[Fault Time]])*24,"")</f>
        <v>12.299999999999999</v>
      </c>
      <c r="AH346" s="110" t="s">
        <v>2603</v>
      </c>
      <c r="AI346" s="79" t="s">
        <v>422</v>
      </c>
      <c r="AJ346" s="68">
        <f>IFERROR(PA[[#This Row],[Breakdown Time]]*PA[[#This Row],[Plant Equivalent Weightage]],"")</f>
        <v>9.473933946301153E-4</v>
      </c>
      <c r="AK346" s="117">
        <v>3.44</v>
      </c>
      <c r="AL346" s="116">
        <f>IF(PA[[#This Row],[Lost PoA(Wh/m2)]]&gt;0,_xlfn.XLOOKUP($B346,'Daily KPI'!$A:$A,'Daily KPI'!$AE:$AE)*PA[[#This Row],[Lost PoA(Wh/m2)]]*U346,0)</f>
        <v>74.581954598812104</v>
      </c>
      <c r="AM346" s="176" t="s">
        <v>2624</v>
      </c>
    </row>
    <row r="347" spans="1:39" ht="14" customHeight="1">
      <c r="A347" s="177">
        <f t="shared" si="6"/>
        <v>344</v>
      </c>
      <c r="B347" s="185">
        <v>45840</v>
      </c>
      <c r="C347" s="178" t="s">
        <v>477</v>
      </c>
      <c r="D347" s="6">
        <f>YEAR(PA[[#This Row],[Date]])</f>
        <v>2025</v>
      </c>
      <c r="E347" s="178" t="s">
        <v>361</v>
      </c>
      <c r="F347" s="178" t="s">
        <v>361</v>
      </c>
      <c r="G347" s="179">
        <v>45839</v>
      </c>
      <c r="H347" s="176">
        <f>DAY(EOMONTH(PA[[#This Row],[Month Year]],0))</f>
        <v>31</v>
      </c>
      <c r="I347" s="180">
        <f>VLOOKUP(PA[[#This Row],[Date]],Raw_Data[#All],9,0)</f>
        <v>0.26944444444444443</v>
      </c>
      <c r="J347" s="180">
        <f>VLOOKUP(PA[[#This Row],[Date]],Raw_Data[#All],10,0)</f>
        <v>0.78194444444444444</v>
      </c>
      <c r="K347" s="68">
        <f>IFERROR((PA[[#This Row],[Sunset Time (POA&lt;20 W/m2)]]-PA[[#This Row],[Sunrise Time (POA&gt;20 W/m2)]])*24,"")</f>
        <v>12.299999999999999</v>
      </c>
      <c r="L347" s="178" t="s">
        <v>423</v>
      </c>
      <c r="M347" s="178" t="s">
        <v>414</v>
      </c>
      <c r="N347" s="178" t="s">
        <v>402</v>
      </c>
      <c r="O347" s="178" t="s">
        <v>442</v>
      </c>
      <c r="P347" s="178" t="s">
        <v>404</v>
      </c>
      <c r="Q347" s="178"/>
      <c r="R347" s="6">
        <f>IF((PA[[#This Row],[String Type(If String BD)]]&amp;PA[[#This Row],[Equipment (If any BD other than PV  array and inv)]])="",1,0)</f>
        <v>0</v>
      </c>
      <c r="S347" s="6">
        <f>IF(PA[[#This Row],[String Type(If String BD)]]="",1,0)</f>
        <v>0</v>
      </c>
      <c r="T3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7" s="68">
        <f>IFERROR(VLOOKUP(PA[[#This Row],[Affected Equipment ]],'Basic Data '!$A$1:$B$1846,2,0),"")</f>
        <v>31.32</v>
      </c>
      <c r="V347" s="143">
        <f>IFERROR(VLOOKUP(PA[[#This Row],[Affected Equipment ]],'Basic Data '!$A$1:$C$1846,3,0),"")</f>
        <v>9.3467147730019601E-5</v>
      </c>
      <c r="W347" s="178" t="s">
        <v>451</v>
      </c>
      <c r="X347" s="110" t="s">
        <v>2603</v>
      </c>
      <c r="Y347" s="110" t="s">
        <v>2603</v>
      </c>
      <c r="Z347" s="109">
        <v>0.26944444444444443</v>
      </c>
      <c r="AA347" s="109">
        <v>0.26944444444444443</v>
      </c>
      <c r="AB347" s="109">
        <v>0.26944444444444443</v>
      </c>
      <c r="AC347" s="109">
        <v>0.78194444444444444</v>
      </c>
      <c r="AD347" s="82">
        <f>IF(PA[[#This Row],[Acknowledgement Time ]]="NA","",(PA[[#This Row],[Acknowledgement Time ]]-PA[[#This Row],[Fault Time]])*24)</f>
        <v>0</v>
      </c>
      <c r="AE347" s="82">
        <f>IF(PA[[#This Row],[Work Start time on Fault]]="NA","",(PA[[#This Row],[Work Start time on Fault]]-PA[[#This Row],[Fault Time]])*24)</f>
        <v>0</v>
      </c>
      <c r="AF347" s="111">
        <f>IF(PA[[#This Row],[Status]]="Open","",(PA[[#This Row],[Work Completion time on fault]]-PA[[#This Row],[Fault Time]])*24)</f>
        <v>12.299999999999999</v>
      </c>
      <c r="AG347" s="82">
        <f>IFERROR((PA[[#This Row],[Work Completion time on fault]]-PA[[#This Row],[Fault Time]])*24,"")</f>
        <v>12.299999999999999</v>
      </c>
      <c r="AH347" s="110" t="s">
        <v>2603</v>
      </c>
      <c r="AI347" s="178" t="s">
        <v>422</v>
      </c>
      <c r="AJ347" s="68">
        <f>IFERROR(PA[[#This Row],[Breakdown Time]]*PA[[#This Row],[Plant Equivalent Weightage]],"")</f>
        <v>1.149645917079241E-3</v>
      </c>
      <c r="AK347" s="117">
        <v>3.44</v>
      </c>
      <c r="AL347" s="116">
        <f>IF(PA[[#This Row],[Lost PoA(Wh/m2)]]&gt;0,_xlfn.XLOOKUP($B347,'Daily KPI'!$A:$A,'Daily KPI'!$AE:$AE)*PA[[#This Row],[Lost PoA(Wh/m2)]]*U347,0)</f>
        <v>90.503944906423683</v>
      </c>
      <c r="AM347" s="176" t="s">
        <v>2641</v>
      </c>
    </row>
    <row r="348" spans="1:39" ht="14" customHeight="1">
      <c r="A348" s="177">
        <f t="shared" si="6"/>
        <v>345</v>
      </c>
      <c r="B348" s="185">
        <v>45841</v>
      </c>
      <c r="C348" s="178" t="s">
        <v>477</v>
      </c>
      <c r="D348" s="6">
        <f>YEAR(PA[[#This Row],[Date]])</f>
        <v>2025</v>
      </c>
      <c r="E348" s="178" t="s">
        <v>361</v>
      </c>
      <c r="F348" s="178" t="s">
        <v>361</v>
      </c>
      <c r="G348" s="179">
        <v>45839</v>
      </c>
      <c r="H348" s="176">
        <f>DAY(EOMONTH(PA[[#This Row],[Month Year]],0))</f>
        <v>31</v>
      </c>
      <c r="I348" s="180">
        <f>VLOOKUP(PA[[#This Row],[Date]],Raw_Data[#All],9,0)</f>
        <v>0.26874999999999999</v>
      </c>
      <c r="J348" s="180">
        <f>VLOOKUP(PA[[#This Row],[Date]],Raw_Data[#All],10,0)</f>
        <v>0.80972222222222223</v>
      </c>
      <c r="K348" s="68">
        <f>IFERROR((PA[[#This Row],[Sunset Time (POA&lt;20 W/m2)]]-PA[[#This Row],[Sunrise Time (POA&gt;20 W/m2)]])*24,"")</f>
        <v>12.983333333333333</v>
      </c>
      <c r="L348" s="178" t="s">
        <v>437</v>
      </c>
      <c r="M348" s="178" t="s">
        <v>401</v>
      </c>
      <c r="N348" s="178" t="s">
        <v>395</v>
      </c>
      <c r="O348" s="178" t="s">
        <v>396</v>
      </c>
      <c r="P348" s="178" t="s">
        <v>397</v>
      </c>
      <c r="Q348" s="178"/>
      <c r="R348" s="6">
        <f>IF((PA[[#This Row],[String Type(If String BD)]]&amp;PA[[#This Row],[Equipment (If any BD other than PV  array and inv)]])="",1,0)</f>
        <v>0</v>
      </c>
      <c r="S348" s="6">
        <f>IF(PA[[#This Row],[String Type(If String BD)]]="",1,0)</f>
        <v>0</v>
      </c>
      <c r="T3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8" s="68">
        <f>IFERROR(VLOOKUP(PA[[#This Row],[Affected Equipment ]],'Basic Data '!$A$1:$B$1846,2,0),"")</f>
        <v>25.81</v>
      </c>
      <c r="V348" s="143">
        <f>IFERROR(VLOOKUP(PA[[#This Row],[Affected Equipment ]],'Basic Data '!$A$1:$C$1846,3,0),"")</f>
        <v>7.7023853221960597E-5</v>
      </c>
      <c r="W348" s="178" t="s">
        <v>451</v>
      </c>
      <c r="X348" s="110" t="s">
        <v>2603</v>
      </c>
      <c r="Y348" s="110" t="s">
        <v>2603</v>
      </c>
      <c r="Z348" s="109">
        <v>0.26874999999999999</v>
      </c>
      <c r="AA348" s="109">
        <v>0.26874999999999999</v>
      </c>
      <c r="AB348" s="109">
        <v>0.26874999999999999</v>
      </c>
      <c r="AC348" s="109">
        <v>0.80972222222222223</v>
      </c>
      <c r="AD348" s="82">
        <f>IF(PA[[#This Row],[Acknowledgement Time ]]="NA","",(PA[[#This Row],[Acknowledgement Time ]]-PA[[#This Row],[Fault Time]])*24)</f>
        <v>0</v>
      </c>
      <c r="AE348" s="82">
        <f>IF(PA[[#This Row],[Work Start time on Fault]]="NA","",(PA[[#This Row],[Work Start time on Fault]]-PA[[#This Row],[Fault Time]])*24)</f>
        <v>0</v>
      </c>
      <c r="AF348" s="111">
        <f>IF(PA[[#This Row],[Status]]="Open","",(PA[[#This Row],[Work Completion time on fault]]-PA[[#This Row],[Fault Time]])*24)</f>
        <v>12.983333333333333</v>
      </c>
      <c r="AG348" s="82">
        <f>IFERROR((PA[[#This Row],[Work Completion time on fault]]-PA[[#This Row],[Fault Time]])*24,"")</f>
        <v>12.983333333333333</v>
      </c>
      <c r="AH348" s="110" t="s">
        <v>2603</v>
      </c>
      <c r="AI348" s="79" t="s">
        <v>422</v>
      </c>
      <c r="AJ348" s="68">
        <f>IFERROR(PA[[#This Row],[Breakdown Time]]*PA[[#This Row],[Plant Equivalent Weightage]],"")</f>
        <v>1.0000263609984551E-3</v>
      </c>
      <c r="AK348" s="117">
        <v>2.6170028166666666</v>
      </c>
      <c r="AL348" s="116">
        <f>IF(PA[[#This Row],[Lost PoA(Wh/m2)]]&gt;0,_xlfn.XLOOKUP($B348,'Daily KPI'!$A:$A,'Daily KPI'!$AE:$AE)*PA[[#This Row],[Lost PoA(Wh/m2)]]*U348,0)</f>
        <v>56.738716644650211</v>
      </c>
      <c r="AM348" s="176" t="s">
        <v>2624</v>
      </c>
    </row>
    <row r="349" spans="1:39" ht="14" customHeight="1">
      <c r="A349" s="177">
        <f t="shared" si="6"/>
        <v>346</v>
      </c>
      <c r="B349" s="185">
        <v>45841</v>
      </c>
      <c r="C349" s="178" t="s">
        <v>477</v>
      </c>
      <c r="D349" s="6">
        <f>YEAR(PA[[#This Row],[Date]])</f>
        <v>2025</v>
      </c>
      <c r="E349" s="178" t="s">
        <v>361</v>
      </c>
      <c r="F349" s="178" t="s">
        <v>361</v>
      </c>
      <c r="G349" s="179">
        <v>45839</v>
      </c>
      <c r="H349" s="176">
        <f>DAY(EOMONTH(PA[[#This Row],[Month Year]],0))</f>
        <v>31</v>
      </c>
      <c r="I349" s="180">
        <f>VLOOKUP(PA[[#This Row],[Date]],Raw_Data[#All],9,0)</f>
        <v>0.26874999999999999</v>
      </c>
      <c r="J349" s="180">
        <f>VLOOKUP(PA[[#This Row],[Date]],Raw_Data[#All],10,0)</f>
        <v>0.80972222222222223</v>
      </c>
      <c r="K349" s="68">
        <f>IFERROR((PA[[#This Row],[Sunset Time (POA&lt;20 W/m2)]]-PA[[#This Row],[Sunrise Time (POA&gt;20 W/m2)]])*24,"")</f>
        <v>12.983333333333333</v>
      </c>
      <c r="L349" s="178" t="s">
        <v>423</v>
      </c>
      <c r="M349" s="178" t="s">
        <v>414</v>
      </c>
      <c r="N349" s="178" t="s">
        <v>402</v>
      </c>
      <c r="O349" s="178" t="s">
        <v>442</v>
      </c>
      <c r="P349" s="178" t="s">
        <v>404</v>
      </c>
      <c r="Q349" s="178"/>
      <c r="R349" s="6">
        <f>IF((PA[[#This Row],[String Type(If String BD)]]&amp;PA[[#This Row],[Equipment (If any BD other than PV  array and inv)]])="",1,0)</f>
        <v>0</v>
      </c>
      <c r="S349" s="6">
        <f>IF(PA[[#This Row],[String Type(If String BD)]]="",1,0)</f>
        <v>0</v>
      </c>
      <c r="T3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9" s="68">
        <f>IFERROR(VLOOKUP(PA[[#This Row],[Affected Equipment ]],'Basic Data '!$A$1:$B$1846,2,0),"")</f>
        <v>31.32</v>
      </c>
      <c r="V349" s="143">
        <f>IFERROR(VLOOKUP(PA[[#This Row],[Affected Equipment ]],'Basic Data '!$A$1:$C$1846,3,0),"")</f>
        <v>9.3467147730019601E-5</v>
      </c>
      <c r="W349" s="178" t="s">
        <v>451</v>
      </c>
      <c r="X349" s="110" t="s">
        <v>2603</v>
      </c>
      <c r="Y349" s="110" t="s">
        <v>2603</v>
      </c>
      <c r="Z349" s="109">
        <v>0.26874999999999999</v>
      </c>
      <c r="AA349" s="109">
        <v>0.26874999999999999</v>
      </c>
      <c r="AB349" s="109">
        <v>0.26874999999999999</v>
      </c>
      <c r="AC349" s="109">
        <v>0.80972222222222223</v>
      </c>
      <c r="AD349" s="82">
        <f>IF(PA[[#This Row],[Acknowledgement Time ]]="NA","",(PA[[#This Row],[Acknowledgement Time ]]-PA[[#This Row],[Fault Time]])*24)</f>
        <v>0</v>
      </c>
      <c r="AE349" s="82">
        <f>IF(PA[[#This Row],[Work Start time on Fault]]="NA","",(PA[[#This Row],[Work Start time on Fault]]-PA[[#This Row],[Fault Time]])*24)</f>
        <v>0</v>
      </c>
      <c r="AF349" s="111">
        <f>IF(PA[[#This Row],[Status]]="Open","",(PA[[#This Row],[Work Completion time on fault]]-PA[[#This Row],[Fault Time]])*24)</f>
        <v>12.983333333333333</v>
      </c>
      <c r="AG349" s="82">
        <f>IFERROR((PA[[#This Row],[Work Completion time on fault]]-PA[[#This Row],[Fault Time]])*24,"")</f>
        <v>12.983333333333333</v>
      </c>
      <c r="AH349" s="110" t="s">
        <v>2603</v>
      </c>
      <c r="AI349" s="178" t="s">
        <v>422</v>
      </c>
      <c r="AJ349" s="68">
        <f>IFERROR(PA[[#This Row],[Breakdown Time]]*PA[[#This Row],[Plant Equivalent Weightage]],"")</f>
        <v>1.2135151346947543E-3</v>
      </c>
      <c r="AK349" s="117">
        <v>2.4948041999999999</v>
      </c>
      <c r="AL349" s="116">
        <f>IF(PA[[#This Row],[Lost PoA(Wh/m2)]]&gt;0,_xlfn.XLOOKUP($B349,'Daily KPI'!$A:$A,'Daily KPI'!$AE:$AE)*PA[[#This Row],[Lost PoA(Wh/m2)]]*U349,0)</f>
        <v>65.636517985207675</v>
      </c>
      <c r="AM349" s="176" t="s">
        <v>2641</v>
      </c>
    </row>
    <row r="350" spans="1:39" ht="14" customHeight="1">
      <c r="A350" s="177">
        <f t="shared" si="6"/>
        <v>347</v>
      </c>
      <c r="B350" s="185">
        <v>45841</v>
      </c>
      <c r="C350" s="178" t="s">
        <v>477</v>
      </c>
      <c r="D350" s="6">
        <f>YEAR(PA[[#This Row],[Date]])</f>
        <v>2025</v>
      </c>
      <c r="E350" s="178" t="s">
        <v>361</v>
      </c>
      <c r="F350" s="178" t="s">
        <v>361</v>
      </c>
      <c r="G350" s="179">
        <v>45839</v>
      </c>
      <c r="H350" s="176">
        <f>DAY(EOMONTH(PA[[#This Row],[Month Year]],0))</f>
        <v>31</v>
      </c>
      <c r="I350" s="180">
        <f>VLOOKUP(PA[[#This Row],[Date]],Raw_Data[#All],9,0)</f>
        <v>0.26874999999999999</v>
      </c>
      <c r="J350" s="180">
        <f>VLOOKUP(PA[[#This Row],[Date]],Raw_Data[#All],10,0)</f>
        <v>0.80972222222222223</v>
      </c>
      <c r="K350" s="68">
        <f>IFERROR((PA[[#This Row],[Sunset Time (POA&lt;20 W/m2)]]-PA[[#This Row],[Sunrise Time (POA&gt;20 W/m2)]])*24,"")</f>
        <v>12.983333333333333</v>
      </c>
      <c r="L350" s="178" t="s">
        <v>454</v>
      </c>
      <c r="M350" s="178" t="s">
        <v>414</v>
      </c>
      <c r="N350" s="178" t="s">
        <v>402</v>
      </c>
      <c r="O350" s="178"/>
      <c r="P350" s="178"/>
      <c r="Q350" s="178"/>
      <c r="R350" s="6">
        <f>IF((PA[[#This Row],[String Type(If String BD)]]&amp;PA[[#This Row],[Equipment (If any BD other than PV  array and inv)]])="",1,0)</f>
        <v>1</v>
      </c>
      <c r="S350" s="6">
        <f>IF(PA[[#This Row],[String Type(If String BD)]]="",1,0)</f>
        <v>1</v>
      </c>
      <c r="T3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IS7INV3M1</v>
      </c>
      <c r="U350" s="68">
        <f>IFERROR(VLOOKUP(PA[[#This Row],[Affected Equipment ]],'Basic Data '!$A$1:$B$1846,2,0),"")</f>
        <v>2223.7199999999998</v>
      </c>
      <c r="V350" s="143">
        <f>IFERROR(VLOOKUP(PA[[#This Row],[Affected Equipment ]],'Basic Data '!$A$1:$C$1846,3,0),"")</f>
        <v>6.6361674888313913E-3</v>
      </c>
      <c r="W350" s="178" t="s">
        <v>427</v>
      </c>
      <c r="X350" s="110" t="s">
        <v>2583</v>
      </c>
      <c r="Y350" s="110" t="s">
        <v>2583</v>
      </c>
      <c r="Z350" s="109">
        <v>0.26874999999999999</v>
      </c>
      <c r="AA350" s="109">
        <v>0.26874999999999999</v>
      </c>
      <c r="AB350" s="109">
        <v>0.29166666666666669</v>
      </c>
      <c r="AC350" s="109">
        <v>0.31736111111111109</v>
      </c>
      <c r="AD350" s="82">
        <f>IF(PA[[#This Row],[Acknowledgement Time ]]="NA","",(PA[[#This Row],[Acknowledgement Time ]]-PA[[#This Row],[Fault Time]])*24)</f>
        <v>0</v>
      </c>
      <c r="AE350" s="82">
        <f>IF(PA[[#This Row],[Work Start time on Fault]]="NA","",(PA[[#This Row],[Work Start time on Fault]]-PA[[#This Row],[Fault Time]])*24)</f>
        <v>0.55000000000000071</v>
      </c>
      <c r="AF350" s="111">
        <f>IF(PA[[#This Row],[Status]]="Open","",(PA[[#This Row],[Work Completion time on fault]]-PA[[#This Row],[Fault Time]])*24)</f>
        <v>1.1666666666666665</v>
      </c>
      <c r="AG350" s="82">
        <f>IFERROR((PA[[#This Row],[Work Completion time on fault]]-PA[[#This Row],[Fault Time]])*24,"")</f>
        <v>1.1666666666666665</v>
      </c>
      <c r="AH350" s="110" t="s">
        <v>2642</v>
      </c>
      <c r="AI350" s="178" t="s">
        <v>422</v>
      </c>
      <c r="AJ350" s="68">
        <f>IFERROR(PA[[#This Row],[Breakdown Time]]*PA[[#This Row],[Plant Equivalent Weightage]],"")</f>
        <v>7.7421954036366218E-3</v>
      </c>
      <c r="AK350" s="117">
        <v>7.0914499999999991E-2</v>
      </c>
      <c r="AL350" s="116">
        <f>IF(PA[[#This Row],[Lost PoA(Wh/m2)]]&gt;0,_xlfn.XLOOKUP($B350,'Daily KPI'!$A:$A,'Daily KPI'!$AE:$AE)*PA[[#This Row],[Lost PoA(Wh/m2)]]*U350,0)</f>
        <v>132.46540176619976</v>
      </c>
      <c r="AM350" s="176" t="s">
        <v>2646</v>
      </c>
    </row>
    <row r="351" spans="1:39" ht="14" customHeight="1">
      <c r="A351" s="177">
        <f t="shared" si="6"/>
        <v>348</v>
      </c>
      <c r="B351" s="185">
        <v>45841</v>
      </c>
      <c r="C351" s="178" t="s">
        <v>477</v>
      </c>
      <c r="D351" s="6">
        <f>YEAR(PA[[#This Row],[Date]])</f>
        <v>2025</v>
      </c>
      <c r="E351" s="178" t="s">
        <v>361</v>
      </c>
      <c r="F351" s="178" t="s">
        <v>361</v>
      </c>
      <c r="G351" s="179">
        <v>45839</v>
      </c>
      <c r="H351" s="176">
        <f>DAY(EOMONTH(PA[[#This Row],[Month Year]],0))</f>
        <v>31</v>
      </c>
      <c r="I351" s="180">
        <f>VLOOKUP(PA[[#This Row],[Date]],Raw_Data[#All],9,0)</f>
        <v>0.26874999999999999</v>
      </c>
      <c r="J351" s="180">
        <f>VLOOKUP(PA[[#This Row],[Date]],Raw_Data[#All],10,0)</f>
        <v>0.80972222222222223</v>
      </c>
      <c r="K351" s="68">
        <f>IFERROR((PA[[#This Row],[Sunset Time (POA&lt;20 W/m2)]]-PA[[#This Row],[Sunrise Time (POA&gt;20 W/m2)]])*24,"")</f>
        <v>12.983333333333333</v>
      </c>
      <c r="L351" s="178" t="s">
        <v>441</v>
      </c>
      <c r="M351" s="178" t="s">
        <v>408</v>
      </c>
      <c r="N351" s="178" t="s">
        <v>402</v>
      </c>
      <c r="O351" s="178"/>
      <c r="P351" s="178"/>
      <c r="Q351" s="178"/>
      <c r="R351" s="6">
        <f>IF((PA[[#This Row],[String Type(If String BD)]]&amp;PA[[#This Row],[Equipment (If any BD other than PV  array and inv)]])="",1,0)</f>
        <v>1</v>
      </c>
      <c r="S351" s="6">
        <f>IF(PA[[#This Row],[String Type(If String BD)]]="",1,0)</f>
        <v>1</v>
      </c>
      <c r="T3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351" s="68">
        <f>IFERROR(VLOOKUP(PA[[#This Row],[Affected Equipment ]],'Basic Data '!$A$1:$B$1846,2,0),"")</f>
        <v>2114.1000000000004</v>
      </c>
      <c r="V351" s="143">
        <f>IFERROR(VLOOKUP(PA[[#This Row],[Affected Equipment ]],'Basic Data '!$A$1:$C$1846,3,0),"")</f>
        <v>6.3090324717763246E-3</v>
      </c>
      <c r="W351" s="178" t="s">
        <v>427</v>
      </c>
      <c r="X351" s="110" t="s">
        <v>432</v>
      </c>
      <c r="Y351" s="110" t="s">
        <v>432</v>
      </c>
      <c r="Z351" s="109">
        <v>0.26874999999999999</v>
      </c>
      <c r="AA351" s="109">
        <v>0.26874999999999999</v>
      </c>
      <c r="AB351" s="109">
        <v>0.29166666666666669</v>
      </c>
      <c r="AC351" s="109">
        <v>0.3347222222222222</v>
      </c>
      <c r="AD351" s="82">
        <f>IF(PA[[#This Row],[Acknowledgement Time ]]="NA","",(PA[[#This Row],[Acknowledgement Time ]]-PA[[#This Row],[Fault Time]])*24)</f>
        <v>0</v>
      </c>
      <c r="AE351" s="82">
        <f>IF(PA[[#This Row],[Work Start time on Fault]]="NA","",(PA[[#This Row],[Work Start time on Fault]]-PA[[#This Row],[Fault Time]])*24)</f>
        <v>0.55000000000000071</v>
      </c>
      <c r="AF351" s="111">
        <f>IF(PA[[#This Row],[Status]]="Open","",(PA[[#This Row],[Work Completion time on fault]]-PA[[#This Row],[Fault Time]])*24)</f>
        <v>1.583333333333333</v>
      </c>
      <c r="AG351" s="82">
        <f>IFERROR((PA[[#This Row],[Work Completion time on fault]]-PA[[#This Row],[Fault Time]])*24,"")</f>
        <v>1.583333333333333</v>
      </c>
      <c r="AH351" s="110" t="s">
        <v>2644</v>
      </c>
      <c r="AI351" s="178" t="s">
        <v>422</v>
      </c>
      <c r="AJ351" s="68">
        <f>IFERROR(PA[[#This Row],[Breakdown Time]]*PA[[#This Row],[Plant Equivalent Weightage]],"")</f>
        <v>9.9893014136458458E-3</v>
      </c>
      <c r="AK351" s="117">
        <v>0.14304616666666667</v>
      </c>
      <c r="AL351" s="116">
        <f>IF(PA[[#This Row],[Lost PoA(Wh/m2)]]&gt;0,_xlfn.XLOOKUP($B351,'Daily KPI'!$A:$A,'Daily KPI'!$AE:$AE)*PA[[#This Row],[Lost PoA(Wh/m2)]]*U351,0)</f>
        <v>254.03237242080505</v>
      </c>
      <c r="AM351" s="176" t="s">
        <v>2646</v>
      </c>
    </row>
    <row r="352" spans="1:39" ht="14" customHeight="1">
      <c r="A352" s="177">
        <f t="shared" si="6"/>
        <v>349</v>
      </c>
      <c r="B352" s="185">
        <v>45841</v>
      </c>
      <c r="C352" s="178" t="s">
        <v>477</v>
      </c>
      <c r="D352" s="6">
        <f>YEAR(PA[[#This Row],[Date]])</f>
        <v>2025</v>
      </c>
      <c r="E352" s="178" t="s">
        <v>361</v>
      </c>
      <c r="F352" s="178" t="s">
        <v>361</v>
      </c>
      <c r="G352" s="179">
        <v>45839</v>
      </c>
      <c r="H352" s="176">
        <f>DAY(EOMONTH(PA[[#This Row],[Month Year]],0))</f>
        <v>31</v>
      </c>
      <c r="I352" s="180">
        <f>VLOOKUP(PA[[#This Row],[Date]],Raw_Data[#All],9,0)</f>
        <v>0.26874999999999999</v>
      </c>
      <c r="J352" s="180">
        <f>VLOOKUP(PA[[#This Row],[Date]],Raw_Data[#All],10,0)</f>
        <v>0.80972222222222223</v>
      </c>
      <c r="K352" s="68">
        <f>IFERROR((PA[[#This Row],[Sunset Time (POA&lt;20 W/m2)]]-PA[[#This Row],[Sunrise Time (POA&gt;20 W/m2)]])*24,"")</f>
        <v>12.983333333333333</v>
      </c>
      <c r="L352" s="178" t="s">
        <v>441</v>
      </c>
      <c r="M352" s="178" t="s">
        <v>408</v>
      </c>
      <c r="N352" s="178" t="s">
        <v>402</v>
      </c>
      <c r="O352" s="178" t="s">
        <v>413</v>
      </c>
      <c r="P352" s="178"/>
      <c r="Q352" s="178"/>
      <c r="R352" s="6">
        <f>IF((PA[[#This Row],[String Type(If String BD)]]&amp;PA[[#This Row],[Equipment (If any BD other than PV  array and inv)]])="",1,0)</f>
        <v>1</v>
      </c>
      <c r="S352" s="6">
        <f>IF(PA[[#This Row],[String Type(If String BD)]]="",1,0)</f>
        <v>1</v>
      </c>
      <c r="T3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IS4INV2M1SCB3</v>
      </c>
      <c r="U352" s="68">
        <f>IFERROR(VLOOKUP(PA[[#This Row],[Affected Equipment ]],'Basic Data '!$A$1:$B$1846,2,0),"")</f>
        <v>234.9</v>
      </c>
      <c r="V352" s="143">
        <f>IFERROR(VLOOKUP(PA[[#This Row],[Affected Equipment ]],'Basic Data '!$A$1:$C$1846,3,0),"")</f>
        <v>7.0100360797514707E-4</v>
      </c>
      <c r="W352" s="178" t="s">
        <v>433</v>
      </c>
      <c r="X352" s="110" t="s">
        <v>2619</v>
      </c>
      <c r="Y352" s="110" t="s">
        <v>2619</v>
      </c>
      <c r="Z352" s="109">
        <v>0.3347222222222222</v>
      </c>
      <c r="AA352" s="109">
        <v>0.3347222222222222</v>
      </c>
      <c r="AB352" s="109">
        <v>0.3347222222222222</v>
      </c>
      <c r="AC352" s="109">
        <v>0.35069444444444442</v>
      </c>
      <c r="AD352" s="82">
        <f>IF(PA[[#This Row],[Acknowledgement Time ]]="NA","",(PA[[#This Row],[Acknowledgement Time ]]-PA[[#This Row],[Fault Time]])*24)</f>
        <v>0</v>
      </c>
      <c r="AE352" s="82">
        <f>IF(PA[[#This Row],[Work Start time on Fault]]="NA","",(PA[[#This Row],[Work Start time on Fault]]-PA[[#This Row],[Fault Time]])*24)</f>
        <v>0</v>
      </c>
      <c r="AF352" s="111">
        <f>IF(PA[[#This Row],[Status]]="Open","",(PA[[#This Row],[Work Completion time on fault]]-PA[[#This Row],[Fault Time]])*24)</f>
        <v>0.3833333333333333</v>
      </c>
      <c r="AG352" s="82">
        <f>IFERROR((PA[[#This Row],[Work Completion time on fault]]-PA[[#This Row],[Fault Time]])*24,"")</f>
        <v>0.3833333333333333</v>
      </c>
      <c r="AH352" s="110" t="s">
        <v>2619</v>
      </c>
      <c r="AI352" s="178" t="s">
        <v>422</v>
      </c>
      <c r="AJ352" s="68">
        <f>IFERROR(PA[[#This Row],[Breakdown Time]]*PA[[#This Row],[Plant Equivalent Weightage]],"")</f>
        <v>2.6871804972380638E-4</v>
      </c>
      <c r="AK352" s="117">
        <v>5.4826666666666662E-2</v>
      </c>
      <c r="AL352" s="116">
        <f>IF(PA[[#This Row],[Lost PoA(Wh/m2)]]&gt;0,_xlfn.XLOOKUP($B352,'Daily KPI'!$A:$A,'Daily KPI'!$AE:$AE)*PA[[#This Row],[Lost PoA(Wh/m2)]]*U352,0)</f>
        <v>10.818378530674829</v>
      </c>
      <c r="AM352" s="176" t="s">
        <v>2646</v>
      </c>
    </row>
    <row r="353" spans="1:39" ht="14" customHeight="1">
      <c r="A353" s="177">
        <f t="shared" si="6"/>
        <v>350</v>
      </c>
      <c r="B353" s="185">
        <v>45841</v>
      </c>
      <c r="C353" s="178" t="s">
        <v>477</v>
      </c>
      <c r="D353" s="6">
        <f>YEAR(PA[[#This Row],[Date]])</f>
        <v>2025</v>
      </c>
      <c r="E353" s="178" t="s">
        <v>361</v>
      </c>
      <c r="F353" s="178" t="s">
        <v>361</v>
      </c>
      <c r="G353" s="179">
        <v>45839</v>
      </c>
      <c r="H353" s="176">
        <f>DAY(EOMONTH(PA[[#This Row],[Month Year]],0))</f>
        <v>31</v>
      </c>
      <c r="I353" s="180">
        <f>VLOOKUP(PA[[#This Row],[Date]],Raw_Data[#All],9,0)</f>
        <v>0.26874999999999999</v>
      </c>
      <c r="J353" s="180">
        <f>VLOOKUP(PA[[#This Row],[Date]],Raw_Data[#All],10,0)</f>
        <v>0.80972222222222223</v>
      </c>
      <c r="K353" s="68">
        <f>IFERROR((PA[[#This Row],[Sunset Time (POA&lt;20 W/m2)]]-PA[[#This Row],[Sunrise Time (POA&gt;20 W/m2)]])*24,"")</f>
        <v>12.983333333333333</v>
      </c>
      <c r="L353" s="178" t="s">
        <v>441</v>
      </c>
      <c r="M353" s="178" t="s">
        <v>408</v>
      </c>
      <c r="N353" s="178" t="s">
        <v>402</v>
      </c>
      <c r="O353" s="178" t="s">
        <v>413</v>
      </c>
      <c r="P353" s="178" t="s">
        <v>445</v>
      </c>
      <c r="Q353" s="178"/>
      <c r="R353" s="6">
        <f>IF((PA[[#This Row],[String Type(If String BD)]]&amp;PA[[#This Row],[Equipment (If any BD other than PV  array and inv)]])="",1,0)</f>
        <v>0</v>
      </c>
      <c r="S353" s="6">
        <f>IF(PA[[#This Row],[String Type(If String BD)]]="",1,0)</f>
        <v>0</v>
      </c>
      <c r="T3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353" s="68">
        <f>IFERROR(VLOOKUP(PA[[#This Row],[Affected Equipment ]],'Basic Data '!$A$1:$B$1846,2,0),"")</f>
        <v>26.1</v>
      </c>
      <c r="V353" s="143">
        <f>IFERROR(VLOOKUP(PA[[#This Row],[Affected Equipment ]],'Basic Data '!$A$1:$C$1846,3,0),"")</f>
        <v>7.7889289775016346E-5</v>
      </c>
      <c r="W353" s="178" t="s">
        <v>451</v>
      </c>
      <c r="X353" s="110" t="s">
        <v>2643</v>
      </c>
      <c r="Y353" s="110" t="s">
        <v>2643</v>
      </c>
      <c r="Z353" s="109">
        <v>0.35069444444444442</v>
      </c>
      <c r="AA353" s="109">
        <v>0.35069444444444442</v>
      </c>
      <c r="AB353" s="109">
        <v>0.35069444444444442</v>
      </c>
      <c r="AC353" s="109">
        <v>0.36736111111111114</v>
      </c>
      <c r="AD353" s="82">
        <f>IF(PA[[#This Row],[Acknowledgement Time ]]="NA","",(PA[[#This Row],[Acknowledgement Time ]]-PA[[#This Row],[Fault Time]])*24)</f>
        <v>0</v>
      </c>
      <c r="AE353" s="82">
        <f>IF(PA[[#This Row],[Work Start time on Fault]]="NA","",(PA[[#This Row],[Work Start time on Fault]]-PA[[#This Row],[Fault Time]])*24)</f>
        <v>0</v>
      </c>
      <c r="AF353" s="111">
        <f>IF(PA[[#This Row],[Status]]="Open","",(PA[[#This Row],[Work Completion time on fault]]-PA[[#This Row],[Fault Time]])*24)</f>
        <v>0.40000000000000124</v>
      </c>
      <c r="AG353" s="82">
        <f>IFERROR((PA[[#This Row],[Work Completion time on fault]]-PA[[#This Row],[Fault Time]])*24,"")</f>
        <v>0.40000000000000124</v>
      </c>
      <c r="AH353" s="110" t="s">
        <v>2644</v>
      </c>
      <c r="AI353" s="178" t="s">
        <v>422</v>
      </c>
      <c r="AJ353" s="68">
        <f>IFERROR(PA[[#This Row],[Breakdown Time]]*PA[[#This Row],[Plant Equivalent Weightage]],"")</f>
        <v>3.1155715910006633E-5</v>
      </c>
      <c r="AK353" s="117">
        <v>9.3073333333333327E-2</v>
      </c>
      <c r="AL353" s="116">
        <f>IF(PA[[#This Row],[Lost PoA(Wh/m2)]]&gt;0,_xlfn.XLOOKUP($B353,'Daily KPI'!$A:$A,'Daily KPI'!$AE:$AE)*PA[[#This Row],[Lost PoA(Wh/m2)]]*U353,0)</f>
        <v>2.0405774787444781</v>
      </c>
      <c r="AM353" s="176" t="s">
        <v>2646</v>
      </c>
    </row>
    <row r="354" spans="1:39" ht="14" customHeight="1">
      <c r="A354" s="177">
        <f t="shared" si="6"/>
        <v>351</v>
      </c>
      <c r="B354" s="185">
        <v>45841</v>
      </c>
      <c r="C354" s="178" t="s">
        <v>477</v>
      </c>
      <c r="D354" s="6">
        <f>YEAR(PA[[#This Row],[Date]])</f>
        <v>2025</v>
      </c>
      <c r="E354" s="178" t="s">
        <v>361</v>
      </c>
      <c r="F354" s="178" t="s">
        <v>361</v>
      </c>
      <c r="G354" s="179">
        <v>45839</v>
      </c>
      <c r="H354" s="176">
        <f>DAY(EOMONTH(PA[[#This Row],[Month Year]],0))</f>
        <v>31</v>
      </c>
      <c r="I354" s="180">
        <f>VLOOKUP(PA[[#This Row],[Date]],Raw_Data[#All],9,0)</f>
        <v>0.26874999999999999</v>
      </c>
      <c r="J354" s="180">
        <f>VLOOKUP(PA[[#This Row],[Date]],Raw_Data[#All],10,0)</f>
        <v>0.80972222222222223</v>
      </c>
      <c r="K354" s="68">
        <f>IFERROR((PA[[#This Row],[Sunset Time (POA&lt;20 W/m2)]]-PA[[#This Row],[Sunrise Time (POA&gt;20 W/m2)]])*24,"")</f>
        <v>12.983333333333333</v>
      </c>
      <c r="L354" s="178" t="s">
        <v>441</v>
      </c>
      <c r="M354" s="178"/>
      <c r="N354" s="178"/>
      <c r="O354" s="178"/>
      <c r="P354" s="178"/>
      <c r="Q354" s="178" t="s">
        <v>420</v>
      </c>
      <c r="R354" s="6">
        <f>IF((PA[[#This Row],[String Type(If String BD)]]&amp;PA[[#This Row],[Equipment (If any BD other than PV  array and inv)]])="",1,0)</f>
        <v>0</v>
      </c>
      <c r="S354" s="6">
        <f>IF(PA[[#This Row],[String Type(If String BD)]]="",1,0)</f>
        <v>1</v>
      </c>
      <c r="T3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IS4Tx</v>
      </c>
      <c r="U354" s="68">
        <f>IFERROR(VLOOKUP(PA[[#This Row],[Affected Equipment ]],'Basic Data '!$A$1:$B$1846,2,0),"")</f>
        <v>16547.400000000001</v>
      </c>
      <c r="V354" s="143">
        <f>IFERROR(VLOOKUP(PA[[#This Row],[Affected Equipment ]],'Basic Data '!$A$1:$C$1846,3,0),"")</f>
        <v>4.9381809717360364E-2</v>
      </c>
      <c r="W354" s="178" t="s">
        <v>421</v>
      </c>
      <c r="X354" s="110" t="s">
        <v>2645</v>
      </c>
      <c r="Y354" s="110" t="s">
        <v>2645</v>
      </c>
      <c r="Z354" s="109">
        <v>0.53125</v>
      </c>
      <c r="AA354" s="109">
        <v>0.53125</v>
      </c>
      <c r="AB354" s="109">
        <v>0.53125</v>
      </c>
      <c r="AC354" s="109">
        <v>0.5708333333333333</v>
      </c>
      <c r="AD354" s="82">
        <f>IF(PA[[#This Row],[Acknowledgement Time ]]="NA","",(PA[[#This Row],[Acknowledgement Time ]]-PA[[#This Row],[Fault Time]])*24)</f>
        <v>0</v>
      </c>
      <c r="AE354" s="82">
        <f>IF(PA[[#This Row],[Work Start time on Fault]]="NA","",(PA[[#This Row],[Work Start time on Fault]]-PA[[#This Row],[Fault Time]])*24)</f>
        <v>0</v>
      </c>
      <c r="AF354" s="111">
        <f>IF(PA[[#This Row],[Status]]="Open","",(PA[[#This Row],[Work Completion time on fault]]-PA[[#This Row],[Fault Time]])*24)</f>
        <v>0.94999999999999929</v>
      </c>
      <c r="AG354" s="82">
        <f>IFERROR((PA[[#This Row],[Work Completion time on fault]]-PA[[#This Row],[Fault Time]])*24,"")</f>
        <v>0.94999999999999929</v>
      </c>
      <c r="AH354" s="110" t="s">
        <v>2645</v>
      </c>
      <c r="AI354" s="178" t="s">
        <v>422</v>
      </c>
      <c r="AJ354" s="68">
        <f>IFERROR(PA[[#This Row],[Breakdown Time]]*PA[[#This Row],[Plant Equivalent Weightage]],"")</f>
        <v>4.691271923149231E-2</v>
      </c>
      <c r="AK354" s="117">
        <v>0.14328149999999998</v>
      </c>
      <c r="AL354" s="116">
        <f>IF(PA[[#This Row],[Lost PoA(Wh/m2)]]&gt;0,_xlfn.XLOOKUP($B354,'Daily KPI'!$A:$A,'Daily KPI'!$AE:$AE)*PA[[#This Row],[Lost PoA(Wh/m2)]]*U354,0)</f>
        <v>1991.6233000623977</v>
      </c>
      <c r="AM354" s="176" t="s">
        <v>2647</v>
      </c>
    </row>
    <row r="355" spans="1:39" ht="14" customHeight="1">
      <c r="A355" s="177">
        <f t="shared" si="6"/>
        <v>352</v>
      </c>
      <c r="B355" s="185">
        <v>45842</v>
      </c>
      <c r="C355" s="178" t="s">
        <v>477</v>
      </c>
      <c r="D355" s="6">
        <f>YEAR(PA[[#This Row],[Date]])</f>
        <v>2025</v>
      </c>
      <c r="E355" s="178" t="s">
        <v>361</v>
      </c>
      <c r="F355" s="178" t="s">
        <v>361</v>
      </c>
      <c r="G355" s="179">
        <v>45839</v>
      </c>
      <c r="H355" s="176">
        <f>DAY(EOMONTH(PA[[#This Row],[Month Year]],0))</f>
        <v>31</v>
      </c>
      <c r="I355" s="180">
        <f>VLOOKUP(PA[[#This Row],[Date]],Raw_Data[#All],9,0)</f>
        <v>0.27152777777777776</v>
      </c>
      <c r="J355" s="180">
        <f>VLOOKUP(PA[[#This Row],[Date]],Raw_Data[#All],10,0)</f>
        <v>0.81319444444444444</v>
      </c>
      <c r="K355" s="68">
        <f>IFERROR((PA[[#This Row],[Sunset Time (POA&lt;20 W/m2)]]-PA[[#This Row],[Sunrise Time (POA&gt;20 W/m2)]])*24,"")</f>
        <v>13.000000000000002</v>
      </c>
      <c r="L355" s="178" t="s">
        <v>437</v>
      </c>
      <c r="M355" s="178" t="s">
        <v>401</v>
      </c>
      <c r="N355" s="178" t="s">
        <v>395</v>
      </c>
      <c r="O355" s="178" t="s">
        <v>396</v>
      </c>
      <c r="P355" s="178" t="s">
        <v>397</v>
      </c>
      <c r="Q355" s="178"/>
      <c r="R355" s="6">
        <f>IF((PA[[#This Row],[String Type(If String BD)]]&amp;PA[[#This Row],[Equipment (If any BD other than PV  array and inv)]])="",1,0)</f>
        <v>0</v>
      </c>
      <c r="S355" s="6">
        <f>IF(PA[[#This Row],[String Type(If String BD)]]="",1,0)</f>
        <v>0</v>
      </c>
      <c r="T3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55" s="68">
        <f>IFERROR(VLOOKUP(PA[[#This Row],[Affected Equipment ]],'Basic Data '!$A$1:$B$1846,2,0),"")</f>
        <v>25.81</v>
      </c>
      <c r="V355" s="143">
        <f>IFERROR(VLOOKUP(PA[[#This Row],[Affected Equipment ]],'Basic Data '!$A$1:$C$1846,3,0),"")</f>
        <v>7.7023853221960597E-5</v>
      </c>
      <c r="W355" s="178" t="s">
        <v>451</v>
      </c>
      <c r="X355" s="110" t="s">
        <v>2603</v>
      </c>
      <c r="Y355" s="110" t="s">
        <v>2603</v>
      </c>
      <c r="Z355" s="109">
        <v>0.27152777777777776</v>
      </c>
      <c r="AA355" s="109">
        <v>0.27152777777777776</v>
      </c>
      <c r="AB355" s="109">
        <v>0.27152777777777776</v>
      </c>
      <c r="AC355" s="109">
        <v>0.81319444444444444</v>
      </c>
      <c r="AD355" s="82">
        <f>IF(PA[[#This Row],[Acknowledgement Time ]]="NA","",(PA[[#This Row],[Acknowledgement Time ]]-PA[[#This Row],[Fault Time]])*24)</f>
        <v>0</v>
      </c>
      <c r="AE355" s="82">
        <f>IF(PA[[#This Row],[Work Start time on Fault]]="NA","",(PA[[#This Row],[Work Start time on Fault]]-PA[[#This Row],[Fault Time]])*24)</f>
        <v>0</v>
      </c>
      <c r="AF355" s="111">
        <f>IF(PA[[#This Row],[Status]]="Open","",(PA[[#This Row],[Work Completion time on fault]]-PA[[#This Row],[Fault Time]])*24)</f>
        <v>13.000000000000002</v>
      </c>
      <c r="AG355" s="82">
        <f>IFERROR((PA[[#This Row],[Work Completion time on fault]]-PA[[#This Row],[Fault Time]])*24,"")</f>
        <v>13.000000000000002</v>
      </c>
      <c r="AH355" s="110" t="s">
        <v>2603</v>
      </c>
      <c r="AI355" s="79" t="s">
        <v>422</v>
      </c>
      <c r="AJ355" s="68">
        <f>IFERROR(PA[[#This Row],[Breakdown Time]]*PA[[#This Row],[Plant Equivalent Weightage]],"")</f>
        <v>1.001310091885488E-3</v>
      </c>
      <c r="AK355" s="117">
        <v>5.0858373333333331</v>
      </c>
      <c r="AL355" s="116">
        <f>IF(PA[[#This Row],[Lost PoA(Wh/m2)]]&gt;0,_xlfn.XLOOKUP($B355,'Daily KPI'!$A:$A,'Daily KPI'!$AE:$AE)*PA[[#This Row],[Lost PoA(Wh/m2)]]*U355,0)</f>
        <v>110.26502589872391</v>
      </c>
      <c r="AM355" s="176" t="s">
        <v>2624</v>
      </c>
    </row>
    <row r="356" spans="1:39" ht="14" customHeight="1">
      <c r="A356" s="177">
        <f t="shared" si="6"/>
        <v>353</v>
      </c>
      <c r="B356" s="185">
        <v>45842</v>
      </c>
      <c r="C356" s="178" t="s">
        <v>477</v>
      </c>
      <c r="D356" s="6">
        <f>YEAR(PA[[#This Row],[Date]])</f>
        <v>2025</v>
      </c>
      <c r="E356" s="178" t="s">
        <v>361</v>
      </c>
      <c r="F356" s="178" t="s">
        <v>361</v>
      </c>
      <c r="G356" s="179">
        <v>45839</v>
      </c>
      <c r="H356" s="176">
        <f>DAY(EOMONTH(PA[[#This Row],[Month Year]],0))</f>
        <v>31</v>
      </c>
      <c r="I356" s="180">
        <f>VLOOKUP(PA[[#This Row],[Date]],Raw_Data[#All],9,0)</f>
        <v>0.27152777777777776</v>
      </c>
      <c r="J356" s="180">
        <f>VLOOKUP(PA[[#This Row],[Date]],Raw_Data[#All],10,0)</f>
        <v>0.81319444444444444</v>
      </c>
      <c r="K356" s="68">
        <f>IFERROR((PA[[#This Row],[Sunset Time (POA&lt;20 W/m2)]]-PA[[#This Row],[Sunrise Time (POA&gt;20 W/m2)]])*24,"")</f>
        <v>13.000000000000002</v>
      </c>
      <c r="L356" s="178" t="s">
        <v>423</v>
      </c>
      <c r="M356" s="178" t="s">
        <v>414</v>
      </c>
      <c r="N356" s="178" t="s">
        <v>402</v>
      </c>
      <c r="O356" s="178" t="s">
        <v>442</v>
      </c>
      <c r="P356" s="178" t="s">
        <v>404</v>
      </c>
      <c r="Q356" s="178"/>
      <c r="R356" s="6">
        <f>IF((PA[[#This Row],[String Type(If String BD)]]&amp;PA[[#This Row],[Equipment (If any BD other than PV  array and inv)]])="",1,0)</f>
        <v>0</v>
      </c>
      <c r="S356" s="6">
        <f>IF(PA[[#This Row],[String Type(If String BD)]]="",1,0)</f>
        <v>0</v>
      </c>
      <c r="T3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56" s="68">
        <f>IFERROR(VLOOKUP(PA[[#This Row],[Affected Equipment ]],'Basic Data '!$A$1:$B$1846,2,0),"")</f>
        <v>31.32</v>
      </c>
      <c r="V356" s="143">
        <f>IFERROR(VLOOKUP(PA[[#This Row],[Affected Equipment ]],'Basic Data '!$A$1:$C$1846,3,0),"")</f>
        <v>9.3467147730019601E-5</v>
      </c>
      <c r="W356" s="178" t="s">
        <v>451</v>
      </c>
      <c r="X356" s="110" t="s">
        <v>2603</v>
      </c>
      <c r="Y356" s="110" t="s">
        <v>2603</v>
      </c>
      <c r="Z356" s="109">
        <v>0.27152777777777776</v>
      </c>
      <c r="AA356" s="109">
        <v>0.27152777777777776</v>
      </c>
      <c r="AB356" s="109">
        <v>0.27152777777777776</v>
      </c>
      <c r="AC356" s="109">
        <v>0.81319444444444444</v>
      </c>
      <c r="AD356" s="82">
        <f>IF(PA[[#This Row],[Acknowledgement Time ]]="NA","",(PA[[#This Row],[Acknowledgement Time ]]-PA[[#This Row],[Fault Time]])*24)</f>
        <v>0</v>
      </c>
      <c r="AE356" s="82">
        <f>IF(PA[[#This Row],[Work Start time on Fault]]="NA","",(PA[[#This Row],[Work Start time on Fault]]-PA[[#This Row],[Fault Time]])*24)</f>
        <v>0</v>
      </c>
      <c r="AF356" s="111">
        <f>IF(PA[[#This Row],[Status]]="Open","",(PA[[#This Row],[Work Completion time on fault]]-PA[[#This Row],[Fault Time]])*24)</f>
        <v>13.000000000000002</v>
      </c>
      <c r="AG356" s="82">
        <f>IFERROR((PA[[#This Row],[Work Completion time on fault]]-PA[[#This Row],[Fault Time]])*24,"")</f>
        <v>13.000000000000002</v>
      </c>
      <c r="AH356" s="110" t="s">
        <v>2603</v>
      </c>
      <c r="AI356" s="178" t="s">
        <v>422</v>
      </c>
      <c r="AJ356" s="68">
        <f>IFERROR(PA[[#This Row],[Breakdown Time]]*PA[[#This Row],[Plant Equivalent Weightage]],"")</f>
        <v>1.215072920490255E-3</v>
      </c>
      <c r="AK356" s="117">
        <v>5.0858373333333331</v>
      </c>
      <c r="AL356" s="116">
        <f>IF(PA[[#This Row],[Lost PoA(Wh/m2)]]&gt;0,_xlfn.XLOOKUP($B356,'Daily KPI'!$A:$A,'Daily KPI'!$AE:$AE)*PA[[#This Row],[Lost PoA(Wh/m2)]]*U356,0)</f>
        <v>133.80475052878856</v>
      </c>
      <c r="AM356" s="176" t="s">
        <v>2641</v>
      </c>
    </row>
    <row r="357" spans="1:39" ht="14" customHeight="1">
      <c r="A357" s="177">
        <f t="shared" si="6"/>
        <v>354</v>
      </c>
      <c r="B357" s="185">
        <v>45842</v>
      </c>
      <c r="C357" s="178" t="s">
        <v>477</v>
      </c>
      <c r="D357" s="6">
        <f>YEAR(PA[[#This Row],[Date]])</f>
        <v>2025</v>
      </c>
      <c r="E357" s="178" t="s">
        <v>361</v>
      </c>
      <c r="F357" s="178" t="s">
        <v>361</v>
      </c>
      <c r="G357" s="179">
        <v>45839</v>
      </c>
      <c r="H357" s="176">
        <f>DAY(EOMONTH(PA[[#This Row],[Month Year]],0))</f>
        <v>31</v>
      </c>
      <c r="I357" s="180">
        <f>VLOOKUP(PA[[#This Row],[Date]],Raw_Data[#All],9,0)</f>
        <v>0.27152777777777776</v>
      </c>
      <c r="J357" s="180">
        <f>VLOOKUP(PA[[#This Row],[Date]],Raw_Data[#All],10,0)</f>
        <v>0.81319444444444444</v>
      </c>
      <c r="K357" s="68">
        <f>IFERROR((PA[[#This Row],[Sunset Time (POA&lt;20 W/m2)]]-PA[[#This Row],[Sunrise Time (POA&gt;20 W/m2)]])*24,"")</f>
        <v>13.000000000000002</v>
      </c>
      <c r="L357" s="178" t="s">
        <v>400</v>
      </c>
      <c r="M357" s="178" t="s">
        <v>408</v>
      </c>
      <c r="N357" s="178" t="s">
        <v>402</v>
      </c>
      <c r="O357" s="178"/>
      <c r="P357" s="178"/>
      <c r="Q357" s="178"/>
      <c r="R357" s="6">
        <f>IF((PA[[#This Row],[String Type(If String BD)]]&amp;PA[[#This Row],[Equipment (If any BD other than PV  array and inv)]])="",1,0)</f>
        <v>1</v>
      </c>
      <c r="S357" s="6">
        <f>IF(PA[[#This Row],[String Type(If String BD)]]="",1,0)</f>
        <v>1</v>
      </c>
      <c r="T3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57" s="68">
        <f>IFERROR(VLOOKUP(PA[[#This Row],[Affected Equipment ]],'Basic Data '!$A$1:$B$1846,2,0),"")</f>
        <v>2255.04</v>
      </c>
      <c r="V357" s="143">
        <f>IFERROR(VLOOKUP(PA[[#This Row],[Affected Equipment ]],'Basic Data '!$A$1:$C$1846,3,0),"")</f>
        <v>6.7296346365614112E-3</v>
      </c>
      <c r="W357" s="178" t="s">
        <v>427</v>
      </c>
      <c r="X357" s="110" t="s">
        <v>452</v>
      </c>
      <c r="Y357" s="110" t="s">
        <v>452</v>
      </c>
      <c r="Z357" s="109">
        <v>0.34375</v>
      </c>
      <c r="AA357" s="109">
        <v>0.34722222222222221</v>
      </c>
      <c r="AB357" s="109">
        <v>0.37152777777777779</v>
      </c>
      <c r="AC357" s="109">
        <v>0.45833333333333331</v>
      </c>
      <c r="AD357" s="82">
        <f>IF(PA[[#This Row],[Acknowledgement Time ]]="NA","",(PA[[#This Row],[Acknowledgement Time ]]-PA[[#This Row],[Fault Time]])*24)</f>
        <v>8.3333333333333037E-2</v>
      </c>
      <c r="AE357" s="82">
        <f>IF(PA[[#This Row],[Work Start time on Fault]]="NA","",(PA[[#This Row],[Work Start time on Fault]]-PA[[#This Row],[Fault Time]])*24)</f>
        <v>0.66666666666666696</v>
      </c>
      <c r="AF357" s="111">
        <f>IF(PA[[#This Row],[Status]]="Open","",(PA[[#This Row],[Work Completion time on fault]]-PA[[#This Row],[Fault Time]])*24)</f>
        <v>2.7499999999999996</v>
      </c>
      <c r="AG357" s="82">
        <f>IFERROR((PA[[#This Row],[Work Completion time on fault]]-PA[[#This Row],[Fault Time]])*24,"")</f>
        <v>2.7499999999999996</v>
      </c>
      <c r="AH357" s="110" t="s">
        <v>479</v>
      </c>
      <c r="AI357" s="178" t="s">
        <v>422</v>
      </c>
      <c r="AJ357" s="68">
        <f>IFERROR(PA[[#This Row],[Breakdown Time]]*PA[[#This Row],[Plant Equivalent Weightage]],"")</f>
        <v>1.8506495250543879E-2</v>
      </c>
      <c r="AK357" s="117">
        <v>1.2679508333333334</v>
      </c>
      <c r="AL357" s="116">
        <f>IF(PA[[#This Row],[Lost PoA(Wh/m2)]]&gt;0,_xlfn.XLOOKUP($B357,'Daily KPI'!$A:$A,'Daily KPI'!$AE:$AE)*PA[[#This Row],[Lost PoA(Wh/m2)]]*U357,0)</f>
        <v>2401.839468084851</v>
      </c>
      <c r="AM357" s="176" t="s">
        <v>2649</v>
      </c>
    </row>
    <row r="358" spans="1:39" ht="14" customHeight="1">
      <c r="A358" s="177">
        <f t="shared" si="6"/>
        <v>355</v>
      </c>
      <c r="B358" s="185">
        <v>45842</v>
      </c>
      <c r="C358" s="178" t="s">
        <v>477</v>
      </c>
      <c r="D358" s="6">
        <f>YEAR(PA[[#This Row],[Date]])</f>
        <v>2025</v>
      </c>
      <c r="E358" s="178" t="s">
        <v>361</v>
      </c>
      <c r="F358" s="178" t="s">
        <v>361</v>
      </c>
      <c r="G358" s="179">
        <v>45839</v>
      </c>
      <c r="H358" s="176">
        <f>DAY(EOMONTH(PA[[#This Row],[Month Year]],0))</f>
        <v>31</v>
      </c>
      <c r="I358" s="180">
        <f>VLOOKUP(PA[[#This Row],[Date]],Raw_Data[#All],9,0)</f>
        <v>0.27152777777777776</v>
      </c>
      <c r="J358" s="180">
        <f>VLOOKUP(PA[[#This Row],[Date]],Raw_Data[#All],10,0)</f>
        <v>0.81319444444444444</v>
      </c>
      <c r="K358" s="68">
        <f>IFERROR((PA[[#This Row],[Sunset Time (POA&lt;20 W/m2)]]-PA[[#This Row],[Sunrise Time (POA&gt;20 W/m2)]])*24,"")</f>
        <v>13.000000000000002</v>
      </c>
      <c r="L358" s="178" t="s">
        <v>400</v>
      </c>
      <c r="M358" s="178" t="s">
        <v>408</v>
      </c>
      <c r="N358" s="178" t="s">
        <v>395</v>
      </c>
      <c r="O358" s="178"/>
      <c r="P358" s="178"/>
      <c r="Q358" s="178"/>
      <c r="R358" s="6">
        <f>IF((PA[[#This Row],[String Type(If String BD)]]&amp;PA[[#This Row],[Equipment (If any BD other than PV  array and inv)]])="",1,0)</f>
        <v>1</v>
      </c>
      <c r="S358" s="6">
        <f>IF(PA[[#This Row],[String Type(If String BD)]]="",1,0)</f>
        <v>1</v>
      </c>
      <c r="T3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58" s="68">
        <f>IFERROR(VLOOKUP(PA[[#This Row],[Affected Equipment ]],'Basic Data '!$A$1:$B$1846,2,0),"")</f>
        <v>2255.04</v>
      </c>
      <c r="V358" s="143">
        <f>IFERROR(VLOOKUP(PA[[#This Row],[Affected Equipment ]],'Basic Data '!$A$1:$C$1846,3,0),"")</f>
        <v>6.7296346365614112E-3</v>
      </c>
      <c r="W358" s="178" t="s">
        <v>427</v>
      </c>
      <c r="X358" s="110" t="s">
        <v>455</v>
      </c>
      <c r="Y358" s="110" t="s">
        <v>455</v>
      </c>
      <c r="Z358" s="109">
        <v>0.43888888888888888</v>
      </c>
      <c r="AA358" s="109">
        <v>0.43888888888888888</v>
      </c>
      <c r="AB358" s="109">
        <v>0.43888888888888888</v>
      </c>
      <c r="AC358" s="109">
        <v>0.45833333333333331</v>
      </c>
      <c r="AD358" s="82">
        <f>IF(PA[[#This Row],[Acknowledgement Time ]]="NA","",(PA[[#This Row],[Acknowledgement Time ]]-PA[[#This Row],[Fault Time]])*24)</f>
        <v>0</v>
      </c>
      <c r="AE358" s="82">
        <f>IF(PA[[#This Row],[Work Start time on Fault]]="NA","",(PA[[#This Row],[Work Start time on Fault]]-PA[[#This Row],[Fault Time]])*24)</f>
        <v>0</v>
      </c>
      <c r="AF358" s="111">
        <f>IF(PA[[#This Row],[Status]]="Open","",(PA[[#This Row],[Work Completion time on fault]]-PA[[#This Row],[Fault Time]])*24)</f>
        <v>0.46666666666666634</v>
      </c>
      <c r="AG358" s="82">
        <f>IFERROR((PA[[#This Row],[Work Completion time on fault]]-PA[[#This Row],[Fault Time]])*24,"")</f>
        <v>0.46666666666666634</v>
      </c>
      <c r="AH358" s="110" t="s">
        <v>455</v>
      </c>
      <c r="AI358" s="178" t="s">
        <v>422</v>
      </c>
      <c r="AJ358" s="68">
        <f>IFERROR(PA[[#This Row],[Breakdown Time]]*PA[[#This Row],[Plant Equivalent Weightage]],"")</f>
        <v>3.1404961637286565E-3</v>
      </c>
      <c r="AK358" s="117">
        <v>0.33313666666666669</v>
      </c>
      <c r="AL358" s="116">
        <f>IF(PA[[#This Row],[Lost PoA(Wh/m2)]]&gt;0,_xlfn.XLOOKUP($B358,'Daily KPI'!$A:$A,'Daily KPI'!$AE:$AE)*PA[[#This Row],[Lost PoA(Wh/m2)]]*U358,0)</f>
        <v>631.05033194601549</v>
      </c>
      <c r="AM358" s="176" t="s">
        <v>2649</v>
      </c>
    </row>
    <row r="359" spans="1:39" ht="14" customHeight="1">
      <c r="A359" s="177">
        <f t="shared" si="6"/>
        <v>356</v>
      </c>
      <c r="B359" s="185">
        <v>45842</v>
      </c>
      <c r="C359" s="178" t="s">
        <v>477</v>
      </c>
      <c r="D359" s="6">
        <f>YEAR(PA[[#This Row],[Date]])</f>
        <v>2025</v>
      </c>
      <c r="E359" s="178" t="s">
        <v>361</v>
      </c>
      <c r="F359" s="178" t="s">
        <v>361</v>
      </c>
      <c r="G359" s="179">
        <v>45839</v>
      </c>
      <c r="H359" s="176">
        <f>DAY(EOMONTH(PA[[#This Row],[Month Year]],0))</f>
        <v>31</v>
      </c>
      <c r="I359" s="180">
        <f>VLOOKUP(PA[[#This Row],[Date]],Raw_Data[#All],9,0)</f>
        <v>0.27152777777777776</v>
      </c>
      <c r="J359" s="180">
        <f>VLOOKUP(PA[[#This Row],[Date]],Raw_Data[#All],10,0)</f>
        <v>0.81319444444444444</v>
      </c>
      <c r="K359" s="68">
        <f>IFERROR((PA[[#This Row],[Sunset Time (POA&lt;20 W/m2)]]-PA[[#This Row],[Sunrise Time (POA&gt;20 W/m2)]])*24,"")</f>
        <v>13.000000000000002</v>
      </c>
      <c r="L359" s="178" t="s">
        <v>430</v>
      </c>
      <c r="M359" s="178"/>
      <c r="N359" s="178"/>
      <c r="O359" s="178"/>
      <c r="P359" s="178"/>
      <c r="Q359" s="178" t="s">
        <v>420</v>
      </c>
      <c r="R359" s="6">
        <f>IF((PA[[#This Row],[String Type(If String BD)]]&amp;PA[[#This Row],[Equipment (If any BD other than PV  array and inv)]])="",1,0)</f>
        <v>0</v>
      </c>
      <c r="S359" s="6">
        <f>IF(PA[[#This Row],[String Type(If String BD)]]="",1,0)</f>
        <v>1</v>
      </c>
      <c r="T3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IS3Tx</v>
      </c>
      <c r="U359" s="68">
        <f>IFERROR(VLOOKUP(PA[[#This Row],[Affected Equipment ]],'Basic Data '!$A$1:$B$1846,2,0),"")</f>
        <v>16766.640000000003</v>
      </c>
      <c r="V359" s="143">
        <f>IFERROR(VLOOKUP(PA[[#This Row],[Affected Equipment ]],'Basic Data '!$A$1:$C$1846,3,0),"")</f>
        <v>5.0036079751470508E-2</v>
      </c>
      <c r="W359" s="178" t="s">
        <v>421</v>
      </c>
      <c r="X359" s="110" t="s">
        <v>2645</v>
      </c>
      <c r="Y359" s="110" t="s">
        <v>2645</v>
      </c>
      <c r="Z359" s="109">
        <v>0.52916666666666667</v>
      </c>
      <c r="AA359" s="109">
        <v>0.52916666666666667</v>
      </c>
      <c r="AB359" s="109">
        <v>0.52916666666666667</v>
      </c>
      <c r="AC359" s="109">
        <v>0.56805555555555554</v>
      </c>
      <c r="AD359" s="82">
        <f>IF(PA[[#This Row],[Acknowledgement Time ]]="NA","",(PA[[#This Row],[Acknowledgement Time ]]-PA[[#This Row],[Fault Time]])*24)</f>
        <v>0</v>
      </c>
      <c r="AE359" s="82">
        <f>IF(PA[[#This Row],[Work Start time on Fault]]="NA","",(PA[[#This Row],[Work Start time on Fault]]-PA[[#This Row],[Fault Time]])*24)</f>
        <v>0</v>
      </c>
      <c r="AF359" s="111">
        <f>IF(PA[[#This Row],[Status]]="Open","",(PA[[#This Row],[Work Completion time on fault]]-PA[[#This Row],[Fault Time]])*24)</f>
        <v>0.93333333333333268</v>
      </c>
      <c r="AG359" s="82">
        <f>IFERROR((PA[[#This Row],[Work Completion time on fault]]-PA[[#This Row],[Fault Time]])*24,"")</f>
        <v>0.93333333333333268</v>
      </c>
      <c r="AH359" s="110" t="s">
        <v>2645</v>
      </c>
      <c r="AI359" s="178" t="s">
        <v>422</v>
      </c>
      <c r="AJ359" s="68">
        <f>IFERROR(PA[[#This Row],[Breakdown Time]]*PA[[#This Row],[Plant Equivalent Weightage]],"")</f>
        <v>4.6700341101372445E-2</v>
      </c>
      <c r="AK359" s="117">
        <v>0.51797000000000004</v>
      </c>
      <c r="AL359" s="116">
        <f>IF(PA[[#This Row],[Lost PoA(Wh/m2)]]&gt;0,_xlfn.XLOOKUP($B359,'Daily KPI'!$A:$A,'Daily KPI'!$AE:$AE)*PA[[#This Row],[Lost PoA(Wh/m2)]]*U359,0)</f>
        <v>7295.2127247235994</v>
      </c>
      <c r="AM359" s="176" t="s">
        <v>2648</v>
      </c>
    </row>
    <row r="360" spans="1:39" ht="14" customHeight="1">
      <c r="A360" s="177">
        <f t="shared" si="6"/>
        <v>357</v>
      </c>
      <c r="B360" s="185">
        <v>45843</v>
      </c>
      <c r="C360" s="178" t="s">
        <v>477</v>
      </c>
      <c r="D360" s="6">
        <f>YEAR(PA[[#This Row],[Date]])</f>
        <v>2025</v>
      </c>
      <c r="E360" s="178" t="s">
        <v>361</v>
      </c>
      <c r="F360" s="178" t="s">
        <v>361</v>
      </c>
      <c r="G360" s="179">
        <v>45839</v>
      </c>
      <c r="H360" s="176">
        <f>DAY(EOMONTH(PA[[#This Row],[Month Year]],0))</f>
        <v>31</v>
      </c>
      <c r="I360" s="180">
        <f>VLOOKUP(PA[[#This Row],[Date]],Raw_Data[#All],9,0)</f>
        <v>0.26944444444444443</v>
      </c>
      <c r="J360" s="180">
        <f>VLOOKUP(PA[[#This Row],[Date]],Raw_Data[#All],10,0)</f>
        <v>0.81458333333333333</v>
      </c>
      <c r="K360" s="68">
        <f>IFERROR((PA[[#This Row],[Sunset Time (POA&lt;20 W/m2)]]-PA[[#This Row],[Sunrise Time (POA&gt;20 W/m2)]])*24,"")</f>
        <v>13.083333333333332</v>
      </c>
      <c r="L360" s="178" t="s">
        <v>437</v>
      </c>
      <c r="M360" s="178" t="s">
        <v>401</v>
      </c>
      <c r="N360" s="178" t="s">
        <v>395</v>
      </c>
      <c r="O360" s="178" t="s">
        <v>396</v>
      </c>
      <c r="P360" s="178" t="s">
        <v>397</v>
      </c>
      <c r="Q360" s="178"/>
      <c r="R360" s="6">
        <f>IF((PA[[#This Row],[String Type(If String BD)]]&amp;PA[[#This Row],[Equipment (If any BD other than PV  array and inv)]])="",1,0)</f>
        <v>0</v>
      </c>
      <c r="S360" s="6">
        <f>IF(PA[[#This Row],[String Type(If String BD)]]="",1,0)</f>
        <v>0</v>
      </c>
      <c r="T3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0" s="68">
        <f>IFERROR(VLOOKUP(PA[[#This Row],[Affected Equipment ]],'Basic Data '!$A$1:$B$1846,2,0),"")</f>
        <v>25.81</v>
      </c>
      <c r="V360" s="143">
        <f>IFERROR(VLOOKUP(PA[[#This Row],[Affected Equipment ]],'Basic Data '!$A$1:$C$1846,3,0),"")</f>
        <v>7.7023853221960597E-5</v>
      </c>
      <c r="W360" s="178" t="s">
        <v>451</v>
      </c>
      <c r="X360" s="110" t="s">
        <v>2603</v>
      </c>
      <c r="Y360" s="110" t="s">
        <v>2603</v>
      </c>
      <c r="Z360" s="109">
        <v>0.26944444444444443</v>
      </c>
      <c r="AA360" s="109">
        <v>0.26944444444444443</v>
      </c>
      <c r="AB360" s="109">
        <v>0.26944444444444443</v>
      </c>
      <c r="AC360" s="109">
        <v>0.81458333333333333</v>
      </c>
      <c r="AD360" s="82">
        <f>IF(PA[[#This Row],[Acknowledgement Time ]]="NA","",(PA[[#This Row],[Acknowledgement Time ]]-PA[[#This Row],[Fault Time]])*24)</f>
        <v>0</v>
      </c>
      <c r="AE360" s="82">
        <f>IF(PA[[#This Row],[Work Start time on Fault]]="NA","",(PA[[#This Row],[Work Start time on Fault]]-PA[[#This Row],[Fault Time]])*24)</f>
        <v>0</v>
      </c>
      <c r="AF360" s="111">
        <f>IF(PA[[#This Row],[Status]]="Open","",(PA[[#This Row],[Work Completion time on fault]]-PA[[#This Row],[Fault Time]])*24)</f>
        <v>13.083333333333332</v>
      </c>
      <c r="AG360" s="82">
        <f>IFERROR((PA[[#This Row],[Work Completion time on fault]]-PA[[#This Row],[Fault Time]])*24,"")</f>
        <v>13.083333333333332</v>
      </c>
      <c r="AH360" s="110" t="s">
        <v>2603</v>
      </c>
      <c r="AI360" s="79" t="s">
        <v>422</v>
      </c>
      <c r="AJ360" s="68">
        <f>IFERROR(PA[[#This Row],[Breakdown Time]]*PA[[#This Row],[Plant Equivalent Weightage]],"")</f>
        <v>1.0077287463206509E-3</v>
      </c>
      <c r="AK360" s="117">
        <v>6.3045200000000001</v>
      </c>
      <c r="AL360" s="116">
        <f>IF(PA[[#This Row],[Lost PoA(Wh/m2)]]&gt;0,_xlfn.XLOOKUP($B360,'Daily KPI'!$A:$A,'Daily KPI'!$AE:$AE)*PA[[#This Row],[Lost PoA(Wh/m2)]]*U360,0)</f>
        <v>136.68704197886711</v>
      </c>
      <c r="AM360" s="176" t="s">
        <v>2624</v>
      </c>
    </row>
    <row r="361" spans="1:39" ht="14" customHeight="1">
      <c r="A361" s="177">
        <f t="shared" si="6"/>
        <v>358</v>
      </c>
      <c r="B361" s="185">
        <v>45843</v>
      </c>
      <c r="C361" s="178" t="s">
        <v>477</v>
      </c>
      <c r="D361" s="6">
        <f>YEAR(PA[[#This Row],[Date]])</f>
        <v>2025</v>
      </c>
      <c r="E361" s="178" t="s">
        <v>361</v>
      </c>
      <c r="F361" s="178" t="s">
        <v>361</v>
      </c>
      <c r="G361" s="179">
        <v>45839</v>
      </c>
      <c r="H361" s="176">
        <f>DAY(EOMONTH(PA[[#This Row],[Month Year]],0))</f>
        <v>31</v>
      </c>
      <c r="I361" s="180">
        <f>VLOOKUP(PA[[#This Row],[Date]],Raw_Data[#All],9,0)</f>
        <v>0.26944444444444443</v>
      </c>
      <c r="J361" s="180">
        <f>VLOOKUP(PA[[#This Row],[Date]],Raw_Data[#All],10,0)</f>
        <v>0.81458333333333333</v>
      </c>
      <c r="K361" s="68">
        <f>IFERROR((PA[[#This Row],[Sunset Time (POA&lt;20 W/m2)]]-PA[[#This Row],[Sunrise Time (POA&gt;20 W/m2)]])*24,"")</f>
        <v>13.083333333333332</v>
      </c>
      <c r="L361" s="178" t="s">
        <v>423</v>
      </c>
      <c r="M361" s="178" t="s">
        <v>414</v>
      </c>
      <c r="N361" s="178" t="s">
        <v>402</v>
      </c>
      <c r="O361" s="178" t="s">
        <v>442</v>
      </c>
      <c r="P361" s="178" t="s">
        <v>404</v>
      </c>
      <c r="Q361" s="178"/>
      <c r="R361" s="6">
        <f>IF((PA[[#This Row],[String Type(If String BD)]]&amp;PA[[#This Row],[Equipment (If any BD other than PV  array and inv)]])="",1,0)</f>
        <v>0</v>
      </c>
      <c r="S361" s="6">
        <f>IF(PA[[#This Row],[String Type(If String BD)]]="",1,0)</f>
        <v>0</v>
      </c>
      <c r="T3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1" s="68">
        <f>IFERROR(VLOOKUP(PA[[#This Row],[Affected Equipment ]],'Basic Data '!$A$1:$B$1846,2,0),"")</f>
        <v>31.32</v>
      </c>
      <c r="V361" s="143">
        <f>IFERROR(VLOOKUP(PA[[#This Row],[Affected Equipment ]],'Basic Data '!$A$1:$C$1846,3,0),"")</f>
        <v>9.3467147730019601E-5</v>
      </c>
      <c r="W361" s="178" t="s">
        <v>451</v>
      </c>
      <c r="X361" s="110" t="s">
        <v>2603</v>
      </c>
      <c r="Y361" s="110" t="s">
        <v>2603</v>
      </c>
      <c r="Z361" s="109">
        <v>0.26944444444444443</v>
      </c>
      <c r="AA361" s="109">
        <v>0.26944444444444443</v>
      </c>
      <c r="AB361" s="109">
        <v>0.26944444444444443</v>
      </c>
      <c r="AC361" s="109">
        <v>0.81458333333333333</v>
      </c>
      <c r="AD361" s="82">
        <f>IF(PA[[#This Row],[Acknowledgement Time ]]="NA","",(PA[[#This Row],[Acknowledgement Time ]]-PA[[#This Row],[Fault Time]])*24)</f>
        <v>0</v>
      </c>
      <c r="AE361" s="82">
        <f>IF(PA[[#This Row],[Work Start time on Fault]]="NA","",(PA[[#This Row],[Work Start time on Fault]]-PA[[#This Row],[Fault Time]])*24)</f>
        <v>0</v>
      </c>
      <c r="AF361" s="111">
        <f>IF(PA[[#This Row],[Status]]="Open","",(PA[[#This Row],[Work Completion time on fault]]-PA[[#This Row],[Fault Time]])*24)</f>
        <v>13.083333333333332</v>
      </c>
      <c r="AG361" s="82">
        <f>IFERROR((PA[[#This Row],[Work Completion time on fault]]-PA[[#This Row],[Fault Time]])*24,"")</f>
        <v>13.083333333333332</v>
      </c>
      <c r="AH361" s="110" t="s">
        <v>2603</v>
      </c>
      <c r="AI361" s="178" t="s">
        <v>422</v>
      </c>
      <c r="AJ361" s="68">
        <f>IFERROR(PA[[#This Row],[Breakdown Time]]*PA[[#This Row],[Plant Equivalent Weightage]],"")</f>
        <v>1.2228618494677563E-3</v>
      </c>
      <c r="AK361" s="117">
        <v>6.3045200000000001</v>
      </c>
      <c r="AL361" s="116">
        <f>IF(PA[[#This Row],[Lost PoA(Wh/m2)]]&gt;0,_xlfn.XLOOKUP($B361,'Daily KPI'!$A:$A,'Daily KPI'!$AE:$AE)*PA[[#This Row],[Lost PoA(Wh/m2)]]*U361,0)</f>
        <v>165.86742172716461</v>
      </c>
      <c r="AM361" s="176" t="s">
        <v>2641</v>
      </c>
    </row>
    <row r="362" spans="1:39" ht="14" customHeight="1">
      <c r="A362" s="177">
        <f t="shared" si="6"/>
        <v>359</v>
      </c>
      <c r="B362" s="185">
        <v>45843</v>
      </c>
      <c r="C362" s="178" t="s">
        <v>477</v>
      </c>
      <c r="D362" s="6">
        <f>YEAR(PA[[#This Row],[Date]])</f>
        <v>2025</v>
      </c>
      <c r="E362" s="178" t="s">
        <v>361</v>
      </c>
      <c r="F362" s="178" t="s">
        <v>361</v>
      </c>
      <c r="G362" s="179">
        <v>45839</v>
      </c>
      <c r="H362" s="176">
        <f>DAY(EOMONTH(PA[[#This Row],[Month Year]],0))</f>
        <v>31</v>
      </c>
      <c r="I362" s="180">
        <f>VLOOKUP(PA[[#This Row],[Date]],Raw_Data[#All],9,0)</f>
        <v>0.26944444444444443</v>
      </c>
      <c r="J362" s="180">
        <f>VLOOKUP(PA[[#This Row],[Date]],Raw_Data[#All],10,0)</f>
        <v>0.81458333333333333</v>
      </c>
      <c r="K362" s="68">
        <f>IFERROR((PA[[#This Row],[Sunset Time (POA&lt;20 W/m2)]]-PA[[#This Row],[Sunrise Time (POA&gt;20 W/m2)]])*24,"")</f>
        <v>13.083333333333332</v>
      </c>
      <c r="L362" s="178" t="s">
        <v>425</v>
      </c>
      <c r="M362" s="178"/>
      <c r="N362" s="178"/>
      <c r="O362" s="178"/>
      <c r="P362" s="178"/>
      <c r="Q362" s="178" t="s">
        <v>420</v>
      </c>
      <c r="R362" s="6">
        <f>IF((PA[[#This Row],[String Type(If String BD)]]&amp;PA[[#This Row],[Equipment (If any BD other than PV  array and inv)]])="",1,0)</f>
        <v>0</v>
      </c>
      <c r="S362" s="6">
        <f>IF(PA[[#This Row],[String Type(If String BD)]]="",1,0)</f>
        <v>1</v>
      </c>
      <c r="T3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IS11Tx</v>
      </c>
      <c r="U362" s="68">
        <f>IFERROR(VLOOKUP(PA[[#This Row],[Affected Equipment ]],'Basic Data '!$A$1:$B$1846,2,0),"")</f>
        <v>16595.250000000004</v>
      </c>
      <c r="V362" s="143">
        <f>IFERROR(VLOOKUP(PA[[#This Row],[Affected Equipment ]],'Basic Data '!$A$1:$C$1846,3,0),"")</f>
        <v>4.9524606748614565E-2</v>
      </c>
      <c r="W362" s="178" t="s">
        <v>421</v>
      </c>
      <c r="X362" s="110" t="s">
        <v>2645</v>
      </c>
      <c r="Y362" s="110" t="s">
        <v>2645</v>
      </c>
      <c r="Z362" s="109">
        <v>0.51527777777777772</v>
      </c>
      <c r="AA362" s="109">
        <v>0.51527777777777772</v>
      </c>
      <c r="AB362" s="109">
        <v>0.51527777777777772</v>
      </c>
      <c r="AC362" s="109">
        <v>0.54513888888888884</v>
      </c>
      <c r="AD362" s="82">
        <f>IF(PA[[#This Row],[Acknowledgement Time ]]="NA","",(PA[[#This Row],[Acknowledgement Time ]]-PA[[#This Row],[Fault Time]])*24)</f>
        <v>0</v>
      </c>
      <c r="AE362" s="82">
        <f>IF(PA[[#This Row],[Work Start time on Fault]]="NA","",(PA[[#This Row],[Work Start time on Fault]]-PA[[#This Row],[Fault Time]])*24)</f>
        <v>0</v>
      </c>
      <c r="AF362" s="111">
        <f>IF(PA[[#This Row],[Status]]="Open","",(PA[[#This Row],[Work Completion time on fault]]-PA[[#This Row],[Fault Time]])*24)</f>
        <v>0.71666666666666679</v>
      </c>
      <c r="AG362" s="82">
        <f>IFERROR((PA[[#This Row],[Work Completion time on fault]]-PA[[#This Row],[Fault Time]])*24,"")</f>
        <v>0.71666666666666679</v>
      </c>
      <c r="AH362" s="110" t="s">
        <v>2645</v>
      </c>
      <c r="AI362" s="178" t="s">
        <v>422</v>
      </c>
      <c r="AJ362" s="68">
        <f>IFERROR(PA[[#This Row],[Breakdown Time]]*PA[[#This Row],[Plant Equivalent Weightage]],"")</f>
        <v>3.5492634836507109E-2</v>
      </c>
      <c r="AK362" s="117">
        <v>0.73140166666666662</v>
      </c>
      <c r="AL362" s="116">
        <f>IF(PA[[#This Row],[Lost PoA(Wh/m2)]]&gt;0,_xlfn.XLOOKUP($B362,'Daily KPI'!$A:$A,'Daily KPI'!$AE:$AE)*PA[[#This Row],[Lost PoA(Wh/m2)]]*U362,0)</f>
        <v>10195.93501256216</v>
      </c>
      <c r="AM362" s="176" t="s">
        <v>2651</v>
      </c>
    </row>
    <row r="363" spans="1:39" ht="14" customHeight="1">
      <c r="A363" s="177">
        <f t="shared" si="6"/>
        <v>360</v>
      </c>
      <c r="B363" s="185">
        <v>45843</v>
      </c>
      <c r="C363" s="178" t="s">
        <v>477</v>
      </c>
      <c r="D363" s="6">
        <f>YEAR(PA[[#This Row],[Date]])</f>
        <v>2025</v>
      </c>
      <c r="E363" s="178" t="s">
        <v>361</v>
      </c>
      <c r="F363" s="178" t="s">
        <v>361</v>
      </c>
      <c r="G363" s="179">
        <v>45839</v>
      </c>
      <c r="H363" s="176">
        <f>DAY(EOMONTH(PA[[#This Row],[Month Year]],0))</f>
        <v>31</v>
      </c>
      <c r="I363" s="180">
        <f>VLOOKUP(PA[[#This Row],[Date]],Raw_Data[#All],9,0)</f>
        <v>0.26944444444444443</v>
      </c>
      <c r="J363" s="180">
        <f>VLOOKUP(PA[[#This Row],[Date]],Raw_Data[#All],10,0)</f>
        <v>0.81458333333333333</v>
      </c>
      <c r="K363" s="68">
        <f>IFERROR((PA[[#This Row],[Sunset Time (POA&lt;20 W/m2)]]-PA[[#This Row],[Sunrise Time (POA&gt;20 W/m2)]])*24,"")</f>
        <v>13.083333333333332</v>
      </c>
      <c r="L363" s="178" t="s">
        <v>434</v>
      </c>
      <c r="M363" s="178" t="s">
        <v>401</v>
      </c>
      <c r="N363" s="178" t="s">
        <v>395</v>
      </c>
      <c r="O363" s="178" t="s">
        <v>418</v>
      </c>
      <c r="P363" s="178" t="s">
        <v>404</v>
      </c>
      <c r="Q363" s="178"/>
      <c r="R363" s="6">
        <f>IF((PA[[#This Row],[String Type(If String BD)]]&amp;PA[[#This Row],[Equipment (If any BD other than PV  array and inv)]])="",1,0)</f>
        <v>0</v>
      </c>
      <c r="S363" s="6">
        <f>IF(PA[[#This Row],[String Type(If String BD)]]="",1,0)</f>
        <v>0</v>
      </c>
      <c r="T3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3" s="68">
        <f>IFERROR(VLOOKUP(PA[[#This Row],[Affected Equipment ]],'Basic Data '!$A$1:$B$1846,2,0),"")</f>
        <v>31.32</v>
      </c>
      <c r="V363" s="143">
        <f>IFERROR(VLOOKUP(PA[[#This Row],[Affected Equipment ]],'Basic Data '!$A$1:$C$1846,3,0),"")</f>
        <v>9.3467147730019601E-5</v>
      </c>
      <c r="W363" s="178" t="s">
        <v>451</v>
      </c>
      <c r="X363" s="110" t="s">
        <v>2652</v>
      </c>
      <c r="Y363" s="110" t="s">
        <v>2653</v>
      </c>
      <c r="Z363" s="109">
        <v>0.26944444444444443</v>
      </c>
      <c r="AA363" s="109">
        <v>0.26944444444444443</v>
      </c>
      <c r="AB363" s="109">
        <v>0.26944444444444443</v>
      </c>
      <c r="AC363" s="109">
        <v>0.81458333333333333</v>
      </c>
      <c r="AD363" s="82">
        <f>IF(PA[[#This Row],[Acknowledgement Time ]]="NA","",(PA[[#This Row],[Acknowledgement Time ]]-PA[[#This Row],[Fault Time]])*24)</f>
        <v>0</v>
      </c>
      <c r="AE363" s="82">
        <f>IF(PA[[#This Row],[Work Start time on Fault]]="NA","",(PA[[#This Row],[Work Start time on Fault]]-PA[[#This Row],[Fault Time]])*24)</f>
        <v>0</v>
      </c>
      <c r="AF363" s="111">
        <f>IF(PA[[#This Row],[Status]]="Open","",(PA[[#This Row],[Work Completion time on fault]]-PA[[#This Row],[Fault Time]])*24)</f>
        <v>13.083333333333332</v>
      </c>
      <c r="AG363" s="82">
        <f>IFERROR((PA[[#This Row],[Work Completion time on fault]]-PA[[#This Row],[Fault Time]])*24,"")</f>
        <v>13.083333333333332</v>
      </c>
      <c r="AH363" s="110" t="s">
        <v>2653</v>
      </c>
      <c r="AI363" s="178" t="s">
        <v>422</v>
      </c>
      <c r="AJ363" s="68">
        <f>IFERROR(PA[[#This Row],[Breakdown Time]]*PA[[#This Row],[Plant Equivalent Weightage]],"")</f>
        <v>1.2228618494677563E-3</v>
      </c>
      <c r="AK363" s="117">
        <v>6.3045200000000001</v>
      </c>
      <c r="AL363" s="116">
        <f>IF(PA[[#This Row],[Lost PoA(Wh/m2)]]&gt;0,_xlfn.XLOOKUP($B363,'Daily KPI'!$A:$A,'Daily KPI'!$AE:$AE)*PA[[#This Row],[Lost PoA(Wh/m2)]]*U363,0)</f>
        <v>165.86742172716461</v>
      </c>
      <c r="AM363" s="176" t="s">
        <v>2650</v>
      </c>
    </row>
    <row r="364" spans="1:39" ht="14" customHeight="1">
      <c r="A364" s="177">
        <f t="shared" si="6"/>
        <v>361</v>
      </c>
      <c r="B364" s="185">
        <v>45844</v>
      </c>
      <c r="C364" s="178" t="s">
        <v>477</v>
      </c>
      <c r="D364" s="6">
        <f>YEAR(PA[[#This Row],[Date]])</f>
        <v>2025</v>
      </c>
      <c r="E364" s="178" t="s">
        <v>361</v>
      </c>
      <c r="F364" s="178" t="s">
        <v>361</v>
      </c>
      <c r="G364" s="179">
        <v>45839</v>
      </c>
      <c r="H364" s="176">
        <f>DAY(EOMONTH(PA[[#This Row],[Month Year]],0))</f>
        <v>31</v>
      </c>
      <c r="I364" s="180">
        <f>VLOOKUP(PA[[#This Row],[Date]],Raw_Data[#All],9,0)</f>
        <v>0.27916666666666667</v>
      </c>
      <c r="J364" s="180">
        <f>VLOOKUP(PA[[#This Row],[Date]],Raw_Data[#All],10,0)</f>
        <v>0.81041666666666667</v>
      </c>
      <c r="K364" s="68">
        <f>IFERROR((PA[[#This Row],[Sunset Time (POA&lt;20 W/m2)]]-PA[[#This Row],[Sunrise Time (POA&gt;20 W/m2)]])*24,"")</f>
        <v>12.75</v>
      </c>
      <c r="L364" s="178" t="s">
        <v>437</v>
      </c>
      <c r="M364" s="178" t="s">
        <v>401</v>
      </c>
      <c r="N364" s="178" t="s">
        <v>395</v>
      </c>
      <c r="O364" s="178" t="s">
        <v>396</v>
      </c>
      <c r="P364" s="178" t="s">
        <v>397</v>
      </c>
      <c r="Q364" s="178"/>
      <c r="R364" s="6">
        <f>IF((PA[[#This Row],[String Type(If String BD)]]&amp;PA[[#This Row],[Equipment (If any BD other than PV  array and inv)]])="",1,0)</f>
        <v>0</v>
      </c>
      <c r="S364" s="6">
        <f>IF(PA[[#This Row],[String Type(If String BD)]]="",1,0)</f>
        <v>0</v>
      </c>
      <c r="T3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4" s="68">
        <f>IFERROR(VLOOKUP(PA[[#This Row],[Affected Equipment ]],'Basic Data '!$A$1:$B$1846,2,0),"")</f>
        <v>25.81</v>
      </c>
      <c r="V364" s="143">
        <f>IFERROR(VLOOKUP(PA[[#This Row],[Affected Equipment ]],'Basic Data '!$A$1:$C$1846,3,0),"")</f>
        <v>7.7023853221960597E-5</v>
      </c>
      <c r="W364" s="178" t="s">
        <v>451</v>
      </c>
      <c r="X364" s="110" t="s">
        <v>2603</v>
      </c>
      <c r="Y364" s="110" t="s">
        <v>2603</v>
      </c>
      <c r="Z364" s="109">
        <v>0.27916666666666667</v>
      </c>
      <c r="AA364" s="109">
        <v>0.27916666666666667</v>
      </c>
      <c r="AB364" s="109">
        <v>0.27916666666666667</v>
      </c>
      <c r="AC364" s="109">
        <v>0.81041666666666667</v>
      </c>
      <c r="AD364" s="82">
        <f>IF(PA[[#This Row],[Acknowledgement Time ]]="NA","",(PA[[#This Row],[Acknowledgement Time ]]-PA[[#This Row],[Fault Time]])*24)</f>
        <v>0</v>
      </c>
      <c r="AE364" s="82">
        <f>IF(PA[[#This Row],[Work Start time on Fault]]="NA","",(PA[[#This Row],[Work Start time on Fault]]-PA[[#This Row],[Fault Time]])*24)</f>
        <v>0</v>
      </c>
      <c r="AF364" s="111">
        <f>IF(PA[[#This Row],[Status]]="Open","",(PA[[#This Row],[Work Completion time on fault]]-PA[[#This Row],[Fault Time]])*24)</f>
        <v>12.75</v>
      </c>
      <c r="AG364" s="82">
        <f>IFERROR((PA[[#This Row],[Work Completion time on fault]]-PA[[#This Row],[Fault Time]])*24,"")</f>
        <v>12.75</v>
      </c>
      <c r="AH364" s="110" t="s">
        <v>2603</v>
      </c>
      <c r="AI364" s="79" t="s">
        <v>422</v>
      </c>
      <c r="AJ364" s="68">
        <f>IFERROR(PA[[#This Row],[Breakdown Time]]*PA[[#This Row],[Plant Equivalent Weightage]],"")</f>
        <v>9.8205412857999756E-4</v>
      </c>
      <c r="AK364" s="117">
        <v>6.6503328333333327</v>
      </c>
      <c r="AL364" s="116">
        <f>IF(PA[[#This Row],[Lost PoA(Wh/m2)]]&gt;0,_xlfn.XLOOKUP($B364,'Daily KPI'!$A:$A,'Daily KPI'!$AE:$AE)*PA[[#This Row],[Lost PoA(Wh/m2)]]*U364,0)</f>
        <v>144.1845411170512</v>
      </c>
      <c r="AM364" s="176" t="s">
        <v>2624</v>
      </c>
    </row>
    <row r="365" spans="1:39" ht="14" customHeight="1">
      <c r="A365" s="177">
        <f t="shared" si="6"/>
        <v>362</v>
      </c>
      <c r="B365" s="185">
        <v>45844</v>
      </c>
      <c r="C365" s="178" t="s">
        <v>477</v>
      </c>
      <c r="D365" s="6">
        <f>YEAR(PA[[#This Row],[Date]])</f>
        <v>2025</v>
      </c>
      <c r="E365" s="178" t="s">
        <v>361</v>
      </c>
      <c r="F365" s="178" t="s">
        <v>361</v>
      </c>
      <c r="G365" s="179">
        <v>45839</v>
      </c>
      <c r="H365" s="176">
        <f>DAY(EOMONTH(PA[[#This Row],[Month Year]],0))</f>
        <v>31</v>
      </c>
      <c r="I365" s="180">
        <f>VLOOKUP(PA[[#This Row],[Date]],Raw_Data[#All],9,0)</f>
        <v>0.27916666666666667</v>
      </c>
      <c r="J365" s="180">
        <f>VLOOKUP(PA[[#This Row],[Date]],Raw_Data[#All],10,0)</f>
        <v>0.81041666666666667</v>
      </c>
      <c r="K365" s="68">
        <f>IFERROR((PA[[#This Row],[Sunset Time (POA&lt;20 W/m2)]]-PA[[#This Row],[Sunrise Time (POA&gt;20 W/m2)]])*24,"")</f>
        <v>12.75</v>
      </c>
      <c r="L365" s="178" t="s">
        <v>423</v>
      </c>
      <c r="M365" s="178" t="s">
        <v>414</v>
      </c>
      <c r="N365" s="178" t="s">
        <v>402</v>
      </c>
      <c r="O365" s="178" t="s">
        <v>442</v>
      </c>
      <c r="P365" s="178" t="s">
        <v>404</v>
      </c>
      <c r="Q365" s="178"/>
      <c r="R365" s="6">
        <f>IF((PA[[#This Row],[String Type(If String BD)]]&amp;PA[[#This Row],[Equipment (If any BD other than PV  array and inv)]])="",1,0)</f>
        <v>0</v>
      </c>
      <c r="S365" s="6">
        <f>IF(PA[[#This Row],[String Type(If String BD)]]="",1,0)</f>
        <v>0</v>
      </c>
      <c r="T3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5" s="68">
        <f>IFERROR(VLOOKUP(PA[[#This Row],[Affected Equipment ]],'Basic Data '!$A$1:$B$1846,2,0),"")</f>
        <v>31.32</v>
      </c>
      <c r="V365" s="143">
        <f>IFERROR(VLOOKUP(PA[[#This Row],[Affected Equipment ]],'Basic Data '!$A$1:$C$1846,3,0),"")</f>
        <v>9.3467147730019601E-5</v>
      </c>
      <c r="W365" s="178" t="s">
        <v>451</v>
      </c>
      <c r="X365" s="110" t="s">
        <v>2603</v>
      </c>
      <c r="Y365" s="110" t="s">
        <v>2603</v>
      </c>
      <c r="Z365" s="109">
        <v>0.27916666666666667</v>
      </c>
      <c r="AA365" s="109">
        <v>0.27916666666666667</v>
      </c>
      <c r="AB365" s="109">
        <v>0.27916666666666667</v>
      </c>
      <c r="AC365" s="109">
        <v>0.81041666666666667</v>
      </c>
      <c r="AD365" s="82">
        <f>IF(PA[[#This Row],[Acknowledgement Time ]]="NA","",(PA[[#This Row],[Acknowledgement Time ]]-PA[[#This Row],[Fault Time]])*24)</f>
        <v>0</v>
      </c>
      <c r="AE365" s="82">
        <f>IF(PA[[#This Row],[Work Start time on Fault]]="NA","",(PA[[#This Row],[Work Start time on Fault]]-PA[[#This Row],[Fault Time]])*24)</f>
        <v>0</v>
      </c>
      <c r="AF365" s="111">
        <f>IF(PA[[#This Row],[Status]]="Open","",(PA[[#This Row],[Work Completion time on fault]]-PA[[#This Row],[Fault Time]])*24)</f>
        <v>12.75</v>
      </c>
      <c r="AG365" s="82">
        <f>IFERROR((PA[[#This Row],[Work Completion time on fault]]-PA[[#This Row],[Fault Time]])*24,"")</f>
        <v>12.75</v>
      </c>
      <c r="AH365" s="110" t="s">
        <v>2603</v>
      </c>
      <c r="AI365" s="178" t="s">
        <v>422</v>
      </c>
      <c r="AJ365" s="68">
        <f>IFERROR(PA[[#This Row],[Breakdown Time]]*PA[[#This Row],[Plant Equivalent Weightage]],"")</f>
        <v>1.19170613355775E-3</v>
      </c>
      <c r="AK365" s="117">
        <v>6.6503328333333327</v>
      </c>
      <c r="AL365" s="116">
        <f>IF(PA[[#This Row],[Lost PoA(Wh/m2)]]&gt;0,_xlfn.XLOOKUP($B365,'Daily KPI'!$A:$A,'Daily KPI'!$AE:$AE)*PA[[#This Row],[Lost PoA(Wh/m2)]]*U365,0)</f>
        <v>174.96551056900594</v>
      </c>
      <c r="AM365" s="176" t="s">
        <v>2641</v>
      </c>
    </row>
    <row r="366" spans="1:39" ht="14" customHeight="1">
      <c r="A366" s="177">
        <f t="shared" si="6"/>
        <v>363</v>
      </c>
      <c r="B366" s="185">
        <v>45844</v>
      </c>
      <c r="C366" s="178" t="s">
        <v>477</v>
      </c>
      <c r="D366" s="6">
        <f>YEAR(PA[[#This Row],[Date]])</f>
        <v>2025</v>
      </c>
      <c r="E366" s="178" t="s">
        <v>361</v>
      </c>
      <c r="F366" s="178" t="s">
        <v>361</v>
      </c>
      <c r="G366" s="179">
        <v>45839</v>
      </c>
      <c r="H366" s="176">
        <f>DAY(EOMONTH(PA[[#This Row],[Month Year]],0))</f>
        <v>31</v>
      </c>
      <c r="I366" s="180">
        <f>VLOOKUP(PA[[#This Row],[Date]],Raw_Data[#All],9,0)</f>
        <v>0.27916666666666667</v>
      </c>
      <c r="J366" s="180">
        <f>VLOOKUP(PA[[#This Row],[Date]],Raw_Data[#All],10,0)</f>
        <v>0.81041666666666667</v>
      </c>
      <c r="K366" s="68">
        <f>IFERROR((PA[[#This Row],[Sunset Time (POA&lt;20 W/m2)]]-PA[[#This Row],[Sunrise Time (POA&gt;20 W/m2)]])*24,"")</f>
        <v>12.75</v>
      </c>
      <c r="L366" s="178" t="s">
        <v>447</v>
      </c>
      <c r="M366" s="178"/>
      <c r="N366" s="178"/>
      <c r="O366" s="178"/>
      <c r="P366" s="178"/>
      <c r="Q366" s="178" t="s">
        <v>420</v>
      </c>
      <c r="R366" s="6">
        <f>IF((PA[[#This Row],[String Type(If String BD)]]&amp;PA[[#This Row],[Equipment (If any BD other than PV  array and inv)]])="",1,0)</f>
        <v>0</v>
      </c>
      <c r="S366" s="6">
        <f>IF(PA[[#This Row],[String Type(If String BD)]]="",1,0)</f>
        <v>1</v>
      </c>
      <c r="T3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IS12Tx</v>
      </c>
      <c r="U366" s="68">
        <f>IFERROR(VLOOKUP(PA[[#This Row],[Affected Equipment ]],'Basic Data '!$A$1:$B$1846,2,0),"")</f>
        <v>16912.8</v>
      </c>
      <c r="V366" s="143">
        <f>IFERROR(VLOOKUP(PA[[#This Row],[Affected Equipment ]],'Basic Data '!$A$1:$C$1846,3,0),"")</f>
        <v>5.0472259774210583E-2</v>
      </c>
      <c r="W366" s="178" t="s">
        <v>421</v>
      </c>
      <c r="X366" s="110" t="s">
        <v>2645</v>
      </c>
      <c r="Y366" s="110" t="s">
        <v>2645</v>
      </c>
      <c r="Z366" s="109">
        <v>0.55000000000000004</v>
      </c>
      <c r="AA366" s="109">
        <v>0.55000000000000004</v>
      </c>
      <c r="AB366" s="109">
        <v>0.55000000000000004</v>
      </c>
      <c r="AC366" s="109">
        <v>0.5805555555555556</v>
      </c>
      <c r="AD366" s="82">
        <f>IF(PA[[#This Row],[Acknowledgement Time ]]="NA","",(PA[[#This Row],[Acknowledgement Time ]]-PA[[#This Row],[Fault Time]])*24)</f>
        <v>0</v>
      </c>
      <c r="AE366" s="82">
        <f>IF(PA[[#This Row],[Work Start time on Fault]]="NA","",(PA[[#This Row],[Work Start time on Fault]]-PA[[#This Row],[Fault Time]])*24)</f>
        <v>0</v>
      </c>
      <c r="AF366" s="111">
        <f>IF(PA[[#This Row],[Status]]="Open","",(PA[[#This Row],[Work Completion time on fault]]-PA[[#This Row],[Fault Time]])*24)</f>
        <v>0.73333333333333339</v>
      </c>
      <c r="AG366" s="82">
        <f>IFERROR((PA[[#This Row],[Work Completion time on fault]]-PA[[#This Row],[Fault Time]])*24,"")</f>
        <v>0.73333333333333339</v>
      </c>
      <c r="AH366" s="110" t="s">
        <v>2645</v>
      </c>
      <c r="AI366" s="178" t="s">
        <v>422</v>
      </c>
      <c r="AJ366" s="68">
        <f>IFERROR(PA[[#This Row],[Breakdown Time]]*PA[[#This Row],[Plant Equivalent Weightage]],"")</f>
        <v>3.7012990501087764E-2</v>
      </c>
      <c r="AK366" s="117">
        <v>0.6387883333333334</v>
      </c>
      <c r="AL366" s="116">
        <f>IF(PA[[#This Row],[Lost PoA(Wh/m2)]]&gt;0,_xlfn.XLOOKUP($B366,'Daily KPI'!$A:$A,'Daily KPI'!$AE:$AE)*PA[[#This Row],[Lost PoA(Wh/m2)]]*U366,0)</f>
        <v>9075.2751827057418</v>
      </c>
      <c r="AM366" s="176" t="s">
        <v>2654</v>
      </c>
    </row>
    <row r="367" spans="1:39" ht="14" customHeight="1">
      <c r="A367" s="177">
        <f t="shared" si="6"/>
        <v>364</v>
      </c>
      <c r="B367" s="185">
        <v>45844</v>
      </c>
      <c r="C367" s="178" t="s">
        <v>477</v>
      </c>
      <c r="D367" s="6">
        <f>YEAR(PA[[#This Row],[Date]])</f>
        <v>2025</v>
      </c>
      <c r="E367" s="178" t="s">
        <v>361</v>
      </c>
      <c r="F367" s="178" t="s">
        <v>361</v>
      </c>
      <c r="G367" s="179">
        <v>45839</v>
      </c>
      <c r="H367" s="176">
        <f>DAY(EOMONTH(PA[[#This Row],[Month Year]],0))</f>
        <v>31</v>
      </c>
      <c r="I367" s="180">
        <f>VLOOKUP(PA[[#This Row],[Date]],Raw_Data[#All],9,0)</f>
        <v>0.27916666666666667</v>
      </c>
      <c r="J367" s="180">
        <f>VLOOKUP(PA[[#This Row],[Date]],Raw_Data[#All],10,0)</f>
        <v>0.81041666666666667</v>
      </c>
      <c r="K367" s="68">
        <f>IFERROR((PA[[#This Row],[Sunset Time (POA&lt;20 W/m2)]]-PA[[#This Row],[Sunrise Time (POA&gt;20 W/m2)]])*24,"")</f>
        <v>12.75</v>
      </c>
      <c r="L367" s="178" t="s">
        <v>434</v>
      </c>
      <c r="M367" s="178" t="s">
        <v>401</v>
      </c>
      <c r="N367" s="178" t="s">
        <v>395</v>
      </c>
      <c r="O367" s="178" t="s">
        <v>418</v>
      </c>
      <c r="P367" s="178" t="s">
        <v>404</v>
      </c>
      <c r="Q367" s="178"/>
      <c r="R367" s="6">
        <f>IF((PA[[#This Row],[String Type(If String BD)]]&amp;PA[[#This Row],[Equipment (If any BD other than PV  array and inv)]])="",1,0)</f>
        <v>0</v>
      </c>
      <c r="S367" s="6">
        <f>IF(PA[[#This Row],[String Type(If String BD)]]="",1,0)</f>
        <v>0</v>
      </c>
      <c r="T3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7" s="68">
        <f>IFERROR(VLOOKUP(PA[[#This Row],[Affected Equipment ]],'Basic Data '!$A$1:$B$1846,2,0),"")</f>
        <v>31.32</v>
      </c>
      <c r="V367" s="143">
        <f>IFERROR(VLOOKUP(PA[[#This Row],[Affected Equipment ]],'Basic Data '!$A$1:$C$1846,3,0),"")</f>
        <v>9.3467147730019601E-5</v>
      </c>
      <c r="W367" s="178" t="s">
        <v>451</v>
      </c>
      <c r="X367" s="110" t="s">
        <v>2652</v>
      </c>
      <c r="Y367" s="110" t="s">
        <v>2653</v>
      </c>
      <c r="Z367" s="109">
        <v>0.27916666666666667</v>
      </c>
      <c r="AA367" s="109">
        <v>0.27916666666666667</v>
      </c>
      <c r="AB367" s="109">
        <v>0.27916666666666667</v>
      </c>
      <c r="AC367" s="109">
        <v>0.81041666666666667</v>
      </c>
      <c r="AD367" s="82">
        <f>IF(PA[[#This Row],[Acknowledgement Time ]]="NA","",(PA[[#This Row],[Acknowledgement Time ]]-PA[[#This Row],[Fault Time]])*24)</f>
        <v>0</v>
      </c>
      <c r="AE367" s="82">
        <f>IF(PA[[#This Row],[Work Start time on Fault]]="NA","",(PA[[#This Row],[Work Start time on Fault]]-PA[[#This Row],[Fault Time]])*24)</f>
        <v>0</v>
      </c>
      <c r="AF367" s="111">
        <f>IF(PA[[#This Row],[Status]]="Open","",(PA[[#This Row],[Work Completion time on fault]]-PA[[#This Row],[Fault Time]])*24)</f>
        <v>12.75</v>
      </c>
      <c r="AG367" s="82">
        <f>IFERROR((PA[[#This Row],[Work Completion time on fault]]-PA[[#This Row],[Fault Time]])*24,"")</f>
        <v>12.75</v>
      </c>
      <c r="AH367" s="110" t="s">
        <v>2653</v>
      </c>
      <c r="AI367" s="178" t="s">
        <v>422</v>
      </c>
      <c r="AJ367" s="68">
        <f>IFERROR(PA[[#This Row],[Breakdown Time]]*PA[[#This Row],[Plant Equivalent Weightage]],"")</f>
        <v>1.19170613355775E-3</v>
      </c>
      <c r="AK367" s="117">
        <v>6.6503328333333327</v>
      </c>
      <c r="AL367" s="116">
        <f>IF(PA[[#This Row],[Lost PoA(Wh/m2)]]&gt;0,_xlfn.XLOOKUP($B367,'Daily KPI'!$A:$A,'Daily KPI'!$AE:$AE)*PA[[#This Row],[Lost PoA(Wh/m2)]]*U367,0)</f>
        <v>174.96551056900594</v>
      </c>
      <c r="AM367" s="176" t="s">
        <v>2650</v>
      </c>
    </row>
    <row r="368" spans="1:39" ht="14" customHeight="1">
      <c r="A368" s="177">
        <f t="shared" si="6"/>
        <v>365</v>
      </c>
      <c r="B368" s="185">
        <v>45845</v>
      </c>
      <c r="C368" s="178" t="s">
        <v>477</v>
      </c>
      <c r="D368" s="6">
        <f>YEAR(PA[[#This Row],[Date]])</f>
        <v>2025</v>
      </c>
      <c r="E368" s="178" t="s">
        <v>361</v>
      </c>
      <c r="F368" s="178" t="s">
        <v>361</v>
      </c>
      <c r="G368" s="179">
        <v>45839</v>
      </c>
      <c r="H368" s="176">
        <f>DAY(EOMONTH(PA[[#This Row],[Month Year]],0))</f>
        <v>31</v>
      </c>
      <c r="I368" s="180">
        <f>VLOOKUP(PA[[#This Row],[Date]],Raw_Data[#All],9,0)</f>
        <v>0.27916666666666667</v>
      </c>
      <c r="J368" s="180">
        <f>VLOOKUP(PA[[#This Row],[Date]],Raw_Data[#All],10,0)</f>
        <v>0.80625000000000002</v>
      </c>
      <c r="K368" s="68">
        <f>IFERROR((PA[[#This Row],[Sunset Time (POA&lt;20 W/m2)]]-PA[[#This Row],[Sunrise Time (POA&gt;20 W/m2)]])*24,"")</f>
        <v>12.65</v>
      </c>
      <c r="L368" s="178" t="s">
        <v>437</v>
      </c>
      <c r="M368" s="178" t="s">
        <v>401</v>
      </c>
      <c r="N368" s="178" t="s">
        <v>395</v>
      </c>
      <c r="O368" s="178" t="s">
        <v>396</v>
      </c>
      <c r="P368" s="178" t="s">
        <v>397</v>
      </c>
      <c r="Q368" s="178"/>
      <c r="R368" s="6">
        <f>IF((PA[[#This Row],[String Type(If String BD)]]&amp;PA[[#This Row],[Equipment (If any BD other than PV  array and inv)]])="",1,0)</f>
        <v>0</v>
      </c>
      <c r="S368" s="6">
        <f>IF(PA[[#This Row],[String Type(If String BD)]]="",1,0)</f>
        <v>0</v>
      </c>
      <c r="T3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8" s="68">
        <f>IFERROR(VLOOKUP(PA[[#This Row],[Affected Equipment ]],'Basic Data '!$A$1:$B$1846,2,0),"")</f>
        <v>25.81</v>
      </c>
      <c r="V368" s="143">
        <f>IFERROR(VLOOKUP(PA[[#This Row],[Affected Equipment ]],'Basic Data '!$A$1:$C$1846,3,0),"")</f>
        <v>7.7023853221960597E-5</v>
      </c>
      <c r="W368" s="178" t="s">
        <v>451</v>
      </c>
      <c r="X368" s="110" t="s">
        <v>2603</v>
      </c>
      <c r="Y368" s="110" t="s">
        <v>2603</v>
      </c>
      <c r="Z368" s="109">
        <v>0.27916666666666667</v>
      </c>
      <c r="AA368" s="109">
        <v>0.27916666666666667</v>
      </c>
      <c r="AB368" s="109">
        <v>0.27916666666666667</v>
      </c>
      <c r="AC368" s="109">
        <v>0.80625000000000002</v>
      </c>
      <c r="AD368" s="82">
        <f>IF(PA[[#This Row],[Acknowledgement Time ]]="NA","",(PA[[#This Row],[Acknowledgement Time ]]-PA[[#This Row],[Fault Time]])*24)</f>
        <v>0</v>
      </c>
      <c r="AE368" s="82">
        <f>IF(PA[[#This Row],[Work Start time on Fault]]="NA","",(PA[[#This Row],[Work Start time on Fault]]-PA[[#This Row],[Fault Time]])*24)</f>
        <v>0</v>
      </c>
      <c r="AF368" s="111">
        <f>IF(PA[[#This Row],[Status]]="Open","",(PA[[#This Row],[Work Completion time on fault]]-PA[[#This Row],[Fault Time]])*24)</f>
        <v>12.65</v>
      </c>
      <c r="AG368" s="82">
        <f>IFERROR((PA[[#This Row],[Work Completion time on fault]]-PA[[#This Row],[Fault Time]])*24,"")</f>
        <v>12.65</v>
      </c>
      <c r="AH368" s="110" t="s">
        <v>2603</v>
      </c>
      <c r="AI368" s="79" t="s">
        <v>422</v>
      </c>
      <c r="AJ368" s="68">
        <f>IFERROR(PA[[#This Row],[Breakdown Time]]*PA[[#This Row],[Plant Equivalent Weightage]],"")</f>
        <v>9.7435174325780159E-4</v>
      </c>
      <c r="AK368" s="117">
        <v>5.5071099999999999</v>
      </c>
      <c r="AL368" s="116">
        <f>IF(PA[[#This Row],[Lost PoA(Wh/m2)]]&gt;0,_xlfn.XLOOKUP($B368,'Daily KPI'!$A:$A,'Daily KPI'!$AE:$AE)*PA[[#This Row],[Lost PoA(Wh/m2)]]*U368,0)</f>
        <v>119.39855464844887</v>
      </c>
      <c r="AM368" s="176" t="s">
        <v>2624</v>
      </c>
    </row>
    <row r="369" spans="1:39" ht="14" customHeight="1">
      <c r="A369" s="177">
        <f t="shared" si="6"/>
        <v>366</v>
      </c>
      <c r="B369" s="185">
        <v>45845</v>
      </c>
      <c r="C369" s="178" t="s">
        <v>477</v>
      </c>
      <c r="D369" s="6">
        <f>YEAR(PA[[#This Row],[Date]])</f>
        <v>2025</v>
      </c>
      <c r="E369" s="178" t="s">
        <v>361</v>
      </c>
      <c r="F369" s="178" t="s">
        <v>361</v>
      </c>
      <c r="G369" s="179">
        <v>45839</v>
      </c>
      <c r="H369" s="176">
        <f>DAY(EOMONTH(PA[[#This Row],[Month Year]],0))</f>
        <v>31</v>
      </c>
      <c r="I369" s="180">
        <f>VLOOKUP(PA[[#This Row],[Date]],Raw_Data[#All],9,0)</f>
        <v>0.27916666666666667</v>
      </c>
      <c r="J369" s="180">
        <f>VLOOKUP(PA[[#This Row],[Date]],Raw_Data[#All],10,0)</f>
        <v>0.80625000000000002</v>
      </c>
      <c r="K369" s="68">
        <f>IFERROR((PA[[#This Row],[Sunset Time (POA&lt;20 W/m2)]]-PA[[#This Row],[Sunrise Time (POA&gt;20 W/m2)]])*24,"")</f>
        <v>12.65</v>
      </c>
      <c r="L369" s="178" t="s">
        <v>423</v>
      </c>
      <c r="M369" s="178" t="s">
        <v>414</v>
      </c>
      <c r="N369" s="178" t="s">
        <v>402</v>
      </c>
      <c r="O369" s="178" t="s">
        <v>442</v>
      </c>
      <c r="P369" s="178" t="s">
        <v>404</v>
      </c>
      <c r="Q369" s="178"/>
      <c r="R369" s="6">
        <f>IF((PA[[#This Row],[String Type(If String BD)]]&amp;PA[[#This Row],[Equipment (If any BD other than PV  array and inv)]])="",1,0)</f>
        <v>0</v>
      </c>
      <c r="S369" s="6">
        <f>IF(PA[[#This Row],[String Type(If String BD)]]="",1,0)</f>
        <v>0</v>
      </c>
      <c r="T3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9" s="68">
        <f>IFERROR(VLOOKUP(PA[[#This Row],[Affected Equipment ]],'Basic Data '!$A$1:$B$1846,2,0),"")</f>
        <v>31.32</v>
      </c>
      <c r="V369" s="143">
        <f>IFERROR(VLOOKUP(PA[[#This Row],[Affected Equipment ]],'Basic Data '!$A$1:$C$1846,3,0),"")</f>
        <v>9.3467147730019601E-5</v>
      </c>
      <c r="W369" s="178" t="s">
        <v>451</v>
      </c>
      <c r="X369" s="110" t="s">
        <v>2603</v>
      </c>
      <c r="Y369" s="110" t="s">
        <v>2603</v>
      </c>
      <c r="Z369" s="109">
        <v>0.27916666666666667</v>
      </c>
      <c r="AA369" s="109">
        <v>0.27916666666666667</v>
      </c>
      <c r="AB369" s="109">
        <v>0.27916666666666667</v>
      </c>
      <c r="AC369" s="109">
        <v>0.80625000000000002</v>
      </c>
      <c r="AD369" s="82">
        <f>IF(PA[[#This Row],[Acknowledgement Time ]]="NA","",(PA[[#This Row],[Acknowledgement Time ]]-PA[[#This Row],[Fault Time]])*24)</f>
        <v>0</v>
      </c>
      <c r="AE369" s="82">
        <f>IF(PA[[#This Row],[Work Start time on Fault]]="NA","",(PA[[#This Row],[Work Start time on Fault]]-PA[[#This Row],[Fault Time]])*24)</f>
        <v>0</v>
      </c>
      <c r="AF369" s="111">
        <f>IF(PA[[#This Row],[Status]]="Open","",(PA[[#This Row],[Work Completion time on fault]]-PA[[#This Row],[Fault Time]])*24)</f>
        <v>12.65</v>
      </c>
      <c r="AG369" s="82">
        <f>IFERROR((PA[[#This Row],[Work Completion time on fault]]-PA[[#This Row],[Fault Time]])*24,"")</f>
        <v>12.65</v>
      </c>
      <c r="AH369" s="110" t="s">
        <v>2603</v>
      </c>
      <c r="AI369" s="178" t="s">
        <v>422</v>
      </c>
      <c r="AJ369" s="68">
        <f>IFERROR(PA[[#This Row],[Breakdown Time]]*PA[[#This Row],[Plant Equivalent Weightage]],"")</f>
        <v>1.182359418784748E-3</v>
      </c>
      <c r="AK369" s="117">
        <v>5.5071099999999999</v>
      </c>
      <c r="AL369" s="116">
        <f>IF(PA[[#This Row],[Lost PoA(Wh/m2)]]&gt;0,_xlfn.XLOOKUP($B369,'Daily KPI'!$A:$A,'Daily KPI'!$AE:$AE)*PA[[#This Row],[Lost PoA(Wh/m2)]]*U369,0)</f>
        <v>144.88813373070201</v>
      </c>
      <c r="AM369" s="176" t="s">
        <v>2641</v>
      </c>
    </row>
    <row r="370" spans="1:39" ht="14" customHeight="1">
      <c r="A370" s="177">
        <f t="shared" si="6"/>
        <v>367</v>
      </c>
      <c r="B370" s="185">
        <v>45845</v>
      </c>
      <c r="C370" s="178" t="s">
        <v>477</v>
      </c>
      <c r="D370" s="6">
        <f>YEAR(PA[[#This Row],[Date]])</f>
        <v>2025</v>
      </c>
      <c r="E370" s="178" t="s">
        <v>361</v>
      </c>
      <c r="F370" s="178" t="s">
        <v>361</v>
      </c>
      <c r="G370" s="179">
        <v>45839</v>
      </c>
      <c r="H370" s="176">
        <f>DAY(EOMONTH(PA[[#This Row],[Month Year]],0))</f>
        <v>31</v>
      </c>
      <c r="I370" s="180">
        <f>VLOOKUP(PA[[#This Row],[Date]],Raw_Data[#All],9,0)</f>
        <v>0.27916666666666667</v>
      </c>
      <c r="J370" s="180">
        <f>VLOOKUP(PA[[#This Row],[Date]],Raw_Data[#All],10,0)</f>
        <v>0.80625000000000002</v>
      </c>
      <c r="K370" s="68">
        <f>IFERROR((PA[[#This Row],[Sunset Time (POA&lt;20 W/m2)]]-PA[[#This Row],[Sunrise Time (POA&gt;20 W/m2)]])*24,"")</f>
        <v>12.65</v>
      </c>
      <c r="L370" s="178" t="s">
        <v>423</v>
      </c>
      <c r="M370" s="178"/>
      <c r="N370" s="178"/>
      <c r="O370" s="178"/>
      <c r="P370" s="178"/>
      <c r="Q370" s="178" t="s">
        <v>420</v>
      </c>
      <c r="R370" s="6">
        <f>IF((PA[[#This Row],[String Type(If String BD)]]&amp;PA[[#This Row],[Equipment (If any BD other than PV  array and inv)]])="",1,0)</f>
        <v>0</v>
      </c>
      <c r="S370" s="6">
        <f>IF(PA[[#This Row],[String Type(If String BD)]]="",1,0)</f>
        <v>1</v>
      </c>
      <c r="T3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IS13Tx</v>
      </c>
      <c r="U370" s="68">
        <f>IFERROR(VLOOKUP(PA[[#This Row],[Affected Equipment ]],'Basic Data '!$A$1:$B$1846,2,0),"")</f>
        <v>16599.599999999999</v>
      </c>
      <c r="V370" s="143">
        <f>IFERROR(VLOOKUP(PA[[#This Row],[Affected Equipment ]],'Basic Data '!$A$1:$C$1846,3,0),"")</f>
        <v>4.9537588296910386E-2</v>
      </c>
      <c r="W370" s="178" t="s">
        <v>421</v>
      </c>
      <c r="X370" s="110" t="s">
        <v>2645</v>
      </c>
      <c r="Y370" s="110" t="s">
        <v>2645</v>
      </c>
      <c r="Z370" s="109">
        <v>0.52361111111111114</v>
      </c>
      <c r="AA370" s="109">
        <v>0.52361111111111114</v>
      </c>
      <c r="AB370" s="109">
        <v>0.52361111111111114</v>
      </c>
      <c r="AC370" s="109">
        <v>0.55208333333333337</v>
      </c>
      <c r="AD370" s="82">
        <f>IF(PA[[#This Row],[Acknowledgement Time ]]="NA","",(PA[[#This Row],[Acknowledgement Time ]]-PA[[#This Row],[Fault Time]])*24)</f>
        <v>0</v>
      </c>
      <c r="AE370" s="82">
        <f>IF(PA[[#This Row],[Work Start time on Fault]]="NA","",(PA[[#This Row],[Work Start time on Fault]]-PA[[#This Row],[Fault Time]])*24)</f>
        <v>0</v>
      </c>
      <c r="AF370" s="111">
        <f>IF(PA[[#This Row],[Status]]="Open","",(PA[[#This Row],[Work Completion time on fault]]-PA[[#This Row],[Fault Time]])*24)</f>
        <v>0.68333333333333357</v>
      </c>
      <c r="AG370" s="82">
        <f>IFERROR((PA[[#This Row],[Work Completion time on fault]]-PA[[#This Row],[Fault Time]])*24,"")</f>
        <v>0.68333333333333357</v>
      </c>
      <c r="AH370" s="110" t="s">
        <v>2645</v>
      </c>
      <c r="AI370" s="178" t="s">
        <v>422</v>
      </c>
      <c r="AJ370" s="68">
        <f>IFERROR(PA[[#This Row],[Breakdown Time]]*PA[[#This Row],[Plant Equivalent Weightage]],"")</f>
        <v>3.3850685336222111E-2</v>
      </c>
      <c r="AK370" s="117">
        <v>0.51514000000000004</v>
      </c>
      <c r="AL370" s="116">
        <f>IF(PA[[#This Row],[Lost PoA(Wh/m2)]]&gt;0,_xlfn.XLOOKUP($B370,'Daily KPI'!$A:$A,'Daily KPI'!$AE:$AE)*PA[[#This Row],[Lost PoA(Wh/m2)]]*U370,0)</f>
        <v>7183.0718473605812</v>
      </c>
      <c r="AM370" s="176" t="s">
        <v>2656</v>
      </c>
    </row>
    <row r="371" spans="1:39" ht="14" customHeight="1">
      <c r="A371" s="177">
        <f t="shared" si="6"/>
        <v>368</v>
      </c>
      <c r="B371" s="185">
        <v>45845</v>
      </c>
      <c r="C371" s="178" t="s">
        <v>477</v>
      </c>
      <c r="D371" s="6">
        <f>YEAR(PA[[#This Row],[Date]])</f>
        <v>2025</v>
      </c>
      <c r="E371" s="178" t="s">
        <v>361</v>
      </c>
      <c r="F371" s="178" t="s">
        <v>361</v>
      </c>
      <c r="G371" s="179">
        <v>45839</v>
      </c>
      <c r="H371" s="176">
        <f>DAY(EOMONTH(PA[[#This Row],[Month Year]],0))</f>
        <v>31</v>
      </c>
      <c r="I371" s="180">
        <f>VLOOKUP(PA[[#This Row],[Date]],Raw_Data[#All],9,0)</f>
        <v>0.27916666666666667</v>
      </c>
      <c r="J371" s="180">
        <f>VLOOKUP(PA[[#This Row],[Date]],Raw_Data[#All],10,0)</f>
        <v>0.80625000000000002</v>
      </c>
      <c r="K371" s="68">
        <f>IFERROR((PA[[#This Row],[Sunset Time (POA&lt;20 W/m2)]]-PA[[#This Row],[Sunrise Time (POA&gt;20 W/m2)]])*24,"")</f>
        <v>12.65</v>
      </c>
      <c r="L371" s="178" t="s">
        <v>446</v>
      </c>
      <c r="M371" s="178" t="s">
        <v>414</v>
      </c>
      <c r="N371" s="178" t="s">
        <v>402</v>
      </c>
      <c r="O371" s="178"/>
      <c r="P371" s="178"/>
      <c r="Q371" s="178"/>
      <c r="R371" s="6">
        <f>IF((PA[[#This Row],[String Type(If String BD)]]&amp;PA[[#This Row],[Equipment (If any BD other than PV  array and inv)]])="",1,0)</f>
        <v>1</v>
      </c>
      <c r="S371" s="6">
        <f>IF(PA[[#This Row],[String Type(If String BD)]]="",1,0)</f>
        <v>1</v>
      </c>
      <c r="T3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71" s="68">
        <f>IFERROR(VLOOKUP(PA[[#This Row],[Affected Equipment ]],'Basic Data '!$A$1:$B$1846,2,0),"")</f>
        <v>2129.7599999999998</v>
      </c>
      <c r="V371" s="143">
        <f>IFERROR(VLOOKUP(PA[[#This Row],[Affected Equipment ]],'Basic Data '!$A$1:$C$1846,3,0),"")</f>
        <v>6.3557660456413324E-3</v>
      </c>
      <c r="W371" s="178" t="s">
        <v>427</v>
      </c>
      <c r="X371" s="110" t="s">
        <v>452</v>
      </c>
      <c r="Y371" s="110" t="s">
        <v>452</v>
      </c>
      <c r="Z371" s="109">
        <v>0.27916666666666667</v>
      </c>
      <c r="AA371" s="109">
        <v>0.27916666666666667</v>
      </c>
      <c r="AB371" s="109">
        <v>0.29722222222222222</v>
      </c>
      <c r="AC371" s="109">
        <v>0.32361111111111113</v>
      </c>
      <c r="AD371" s="82">
        <f>IF(PA[[#This Row],[Acknowledgement Time ]]="NA","",(PA[[#This Row],[Acknowledgement Time ]]-PA[[#This Row],[Fault Time]])*24)</f>
        <v>0</v>
      </c>
      <c r="AE371" s="82">
        <f>IF(PA[[#This Row],[Work Start time on Fault]]="NA","",(PA[[#This Row],[Work Start time on Fault]]-PA[[#This Row],[Fault Time]])*24)</f>
        <v>0.43333333333333313</v>
      </c>
      <c r="AF371" s="111">
        <f>IF(PA[[#This Row],[Status]]="Open","",(PA[[#This Row],[Work Completion time on fault]]-PA[[#This Row],[Fault Time]])*24)</f>
        <v>1.0666666666666669</v>
      </c>
      <c r="AG371" s="82">
        <f>IFERROR((PA[[#This Row],[Work Completion time on fault]]-PA[[#This Row],[Fault Time]])*24,"")</f>
        <v>1.0666666666666669</v>
      </c>
      <c r="AH371" s="110" t="s">
        <v>479</v>
      </c>
      <c r="AI371" s="178" t="s">
        <v>422</v>
      </c>
      <c r="AJ371" s="68">
        <f>IFERROR(PA[[#This Row],[Breakdown Time]]*PA[[#This Row],[Plant Equivalent Weightage]],"")</f>
        <v>6.7794837820174224E-3</v>
      </c>
      <c r="AK371" s="117">
        <v>8.1426833333333323E-2</v>
      </c>
      <c r="AL371" s="116">
        <f>IF(PA[[#This Row],[Lost PoA(Wh/m2)]]&gt;0,_xlfn.XLOOKUP($B371,'Daily KPI'!$A:$A,'Daily KPI'!$AE:$AE)*PA[[#This Row],[Lost PoA(Wh/m2)]]*U371,0)</f>
        <v>145.67516726090372</v>
      </c>
      <c r="AM371" s="176" t="s">
        <v>2657</v>
      </c>
    </row>
    <row r="372" spans="1:39" ht="14" customHeight="1">
      <c r="A372" s="177">
        <f t="shared" si="6"/>
        <v>369</v>
      </c>
      <c r="B372" s="185">
        <v>45845</v>
      </c>
      <c r="C372" s="178" t="s">
        <v>477</v>
      </c>
      <c r="D372" s="6">
        <f>YEAR(PA[[#This Row],[Date]])</f>
        <v>2025</v>
      </c>
      <c r="E372" s="178" t="s">
        <v>361</v>
      </c>
      <c r="F372" s="178" t="s">
        <v>361</v>
      </c>
      <c r="G372" s="179">
        <v>45839</v>
      </c>
      <c r="H372" s="176">
        <f>DAY(EOMONTH(PA[[#This Row],[Month Year]],0))</f>
        <v>31</v>
      </c>
      <c r="I372" s="180">
        <f>VLOOKUP(PA[[#This Row],[Date]],Raw_Data[#All],9,0)</f>
        <v>0.27916666666666667</v>
      </c>
      <c r="J372" s="180">
        <f>VLOOKUP(PA[[#This Row],[Date]],Raw_Data[#All],10,0)</f>
        <v>0.80625000000000002</v>
      </c>
      <c r="K372" s="68">
        <f>IFERROR((PA[[#This Row],[Sunset Time (POA&lt;20 W/m2)]]-PA[[#This Row],[Sunrise Time (POA&gt;20 W/m2)]])*24,"")</f>
        <v>12.65</v>
      </c>
      <c r="L372" s="178" t="s">
        <v>446</v>
      </c>
      <c r="M372" s="178" t="s">
        <v>414</v>
      </c>
      <c r="N372" s="178" t="s">
        <v>395</v>
      </c>
      <c r="O372" s="178"/>
      <c r="P372" s="178"/>
      <c r="Q372" s="178"/>
      <c r="R372" s="6">
        <f>IF((PA[[#This Row],[String Type(If String BD)]]&amp;PA[[#This Row],[Equipment (If any BD other than PV  array and inv)]])="",1,0)</f>
        <v>1</v>
      </c>
      <c r="S372" s="6">
        <f>IF(PA[[#This Row],[String Type(If String BD)]]="",1,0)</f>
        <v>1</v>
      </c>
      <c r="T3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72" s="68">
        <f>IFERROR(VLOOKUP(PA[[#This Row],[Affected Equipment ]],'Basic Data '!$A$1:$B$1846,2,0),"")</f>
        <v>1879.1999999999998</v>
      </c>
      <c r="V372" s="143">
        <f>IFERROR(VLOOKUP(PA[[#This Row],[Affected Equipment ]],'Basic Data '!$A$1:$C$1846,3,0),"")</f>
        <v>5.6080288638011757E-3</v>
      </c>
      <c r="W372" s="178" t="s">
        <v>427</v>
      </c>
      <c r="X372" s="110" t="s">
        <v>455</v>
      </c>
      <c r="Y372" s="110" t="s">
        <v>455</v>
      </c>
      <c r="Z372" s="109">
        <v>0.31388888888888888</v>
      </c>
      <c r="AA372" s="109">
        <v>0.31388888888888888</v>
      </c>
      <c r="AB372" s="109">
        <v>0.31388888888888888</v>
      </c>
      <c r="AC372" s="109">
        <v>0.32361111111111113</v>
      </c>
      <c r="AD372" s="82">
        <f>IF(PA[[#This Row],[Acknowledgement Time ]]="NA","",(PA[[#This Row],[Acknowledgement Time ]]-PA[[#This Row],[Fault Time]])*24)</f>
        <v>0</v>
      </c>
      <c r="AE372" s="82">
        <f>IF(PA[[#This Row],[Work Start time on Fault]]="NA","",(PA[[#This Row],[Work Start time on Fault]]-PA[[#This Row],[Fault Time]])*24)</f>
        <v>0</v>
      </c>
      <c r="AF372" s="111">
        <f>IF(PA[[#This Row],[Status]]="Open","",(PA[[#This Row],[Work Completion time on fault]]-PA[[#This Row],[Fault Time]])*24)</f>
        <v>0.23333333333333384</v>
      </c>
      <c r="AG372" s="82">
        <f>IFERROR((PA[[#This Row],[Work Completion time on fault]]-PA[[#This Row],[Fault Time]])*24,"")</f>
        <v>0.23333333333333384</v>
      </c>
      <c r="AH372" s="110" t="s">
        <v>455</v>
      </c>
      <c r="AI372" s="178" t="s">
        <v>422</v>
      </c>
      <c r="AJ372" s="68">
        <f>IFERROR(PA[[#This Row],[Breakdown Time]]*PA[[#This Row],[Plant Equivalent Weightage]],"")</f>
        <v>1.308540068220277E-3</v>
      </c>
      <c r="AK372" s="117">
        <v>2.8346666666666666E-2</v>
      </c>
      <c r="AL372" s="116">
        <f>IF(PA[[#This Row],[Lost PoA(Wh/m2)]]&gt;0,_xlfn.XLOOKUP($B372,'Daily KPI'!$A:$A,'Daily KPI'!$AE:$AE)*PA[[#This Row],[Lost PoA(Wh/m2)]]*U372,0)</f>
        <v>44.746834156059705</v>
      </c>
      <c r="AM372" s="176" t="s">
        <v>2657</v>
      </c>
    </row>
    <row r="373" spans="1:39" ht="14" customHeight="1">
      <c r="A373" s="177">
        <f t="shared" si="6"/>
        <v>370</v>
      </c>
      <c r="B373" s="185">
        <v>45845</v>
      </c>
      <c r="C373" s="178" t="s">
        <v>477</v>
      </c>
      <c r="D373" s="6">
        <f>YEAR(PA[[#This Row],[Date]])</f>
        <v>2025</v>
      </c>
      <c r="E373" s="178" t="s">
        <v>361</v>
      </c>
      <c r="F373" s="178" t="s">
        <v>361</v>
      </c>
      <c r="G373" s="179">
        <v>45839</v>
      </c>
      <c r="H373" s="176">
        <f>DAY(EOMONTH(PA[[#This Row],[Month Year]],0))</f>
        <v>31</v>
      </c>
      <c r="I373" s="180">
        <f>VLOOKUP(PA[[#This Row],[Date]],Raw_Data[#All],9,0)</f>
        <v>0.27916666666666667</v>
      </c>
      <c r="J373" s="180">
        <f>VLOOKUP(PA[[#This Row],[Date]],Raw_Data[#All],10,0)</f>
        <v>0.80625000000000002</v>
      </c>
      <c r="K373" s="68">
        <f>IFERROR((PA[[#This Row],[Sunset Time (POA&lt;20 W/m2)]]-PA[[#This Row],[Sunrise Time (POA&gt;20 W/m2)]])*24,"")</f>
        <v>12.65</v>
      </c>
      <c r="L373" s="178" t="s">
        <v>400</v>
      </c>
      <c r="M373" s="178" t="s">
        <v>408</v>
      </c>
      <c r="N373" s="178" t="s">
        <v>402</v>
      </c>
      <c r="O373" s="178"/>
      <c r="P373" s="178"/>
      <c r="Q373" s="178"/>
      <c r="R373" s="6">
        <f>IF((PA[[#This Row],[String Type(If String BD)]]&amp;PA[[#This Row],[Equipment (If any BD other than PV  array and inv)]])="",1,0)</f>
        <v>1</v>
      </c>
      <c r="S373" s="6">
        <f>IF(PA[[#This Row],[String Type(If String BD)]]="",1,0)</f>
        <v>1</v>
      </c>
      <c r="T3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73" s="68">
        <f>IFERROR(VLOOKUP(PA[[#This Row],[Affected Equipment ]],'Basic Data '!$A$1:$B$1846,2,0),"")</f>
        <v>2255.04</v>
      </c>
      <c r="V373" s="143">
        <f>IFERROR(VLOOKUP(PA[[#This Row],[Affected Equipment ]],'Basic Data '!$A$1:$C$1846,3,0),"")</f>
        <v>6.7296346365614112E-3</v>
      </c>
      <c r="W373" s="178" t="s">
        <v>427</v>
      </c>
      <c r="X373" s="110" t="s">
        <v>452</v>
      </c>
      <c r="Y373" s="110" t="s">
        <v>452</v>
      </c>
      <c r="Z373" s="109">
        <v>0.27916666666666667</v>
      </c>
      <c r="AA373" s="109">
        <v>0.27916666666666667</v>
      </c>
      <c r="AB373" s="109">
        <v>0.31388888888888888</v>
      </c>
      <c r="AC373" s="109">
        <v>0.33888888888888891</v>
      </c>
      <c r="AD373" s="82">
        <f>IF(PA[[#This Row],[Acknowledgement Time ]]="NA","",(PA[[#This Row],[Acknowledgement Time ]]-PA[[#This Row],[Fault Time]])*24)</f>
        <v>0</v>
      </c>
      <c r="AE373" s="82">
        <f>IF(PA[[#This Row],[Work Start time on Fault]]="NA","",(PA[[#This Row],[Work Start time on Fault]]-PA[[#This Row],[Fault Time]])*24)</f>
        <v>0.83333333333333304</v>
      </c>
      <c r="AF373" s="111">
        <f>IF(PA[[#This Row],[Status]]="Open","",(PA[[#This Row],[Work Completion time on fault]]-PA[[#This Row],[Fault Time]])*24)</f>
        <v>1.4333333333333336</v>
      </c>
      <c r="AG373" s="82">
        <f>IFERROR((PA[[#This Row],[Work Completion time on fault]]-PA[[#This Row],[Fault Time]])*24,"")</f>
        <v>1.4333333333333336</v>
      </c>
      <c r="AH373" s="110" t="s">
        <v>479</v>
      </c>
      <c r="AI373" s="178" t="s">
        <v>422</v>
      </c>
      <c r="AJ373" s="68">
        <f>IFERROR(PA[[#This Row],[Breakdown Time]]*PA[[#This Row],[Plant Equivalent Weightage]],"")</f>
        <v>9.6458096457380238E-3</v>
      </c>
      <c r="AK373" s="117">
        <v>0.14998516666666667</v>
      </c>
      <c r="AL373" s="116">
        <f>IF(PA[[#This Row],[Lost PoA(Wh/m2)]]&gt;0,_xlfn.XLOOKUP($B373,'Daily KPI'!$A:$A,'Daily KPI'!$AE:$AE)*PA[[#This Row],[Lost PoA(Wh/m2)]]*U373,0)</f>
        <v>284.11219383029527</v>
      </c>
      <c r="AM373" s="176" t="s">
        <v>2657</v>
      </c>
    </row>
    <row r="374" spans="1:39" ht="14" customHeight="1">
      <c r="A374" s="177">
        <f t="shared" si="6"/>
        <v>371</v>
      </c>
      <c r="B374" s="185">
        <v>45845</v>
      </c>
      <c r="C374" s="178" t="s">
        <v>477</v>
      </c>
      <c r="D374" s="6">
        <f>YEAR(PA[[#This Row],[Date]])</f>
        <v>2025</v>
      </c>
      <c r="E374" s="178" t="s">
        <v>361</v>
      </c>
      <c r="F374" s="178" t="s">
        <v>361</v>
      </c>
      <c r="G374" s="179">
        <v>45839</v>
      </c>
      <c r="H374" s="176">
        <f>DAY(EOMONTH(PA[[#This Row],[Month Year]],0))</f>
        <v>31</v>
      </c>
      <c r="I374" s="180">
        <f>VLOOKUP(PA[[#This Row],[Date]],Raw_Data[#All],9,0)</f>
        <v>0.27916666666666667</v>
      </c>
      <c r="J374" s="180">
        <f>VLOOKUP(PA[[#This Row],[Date]],Raw_Data[#All],10,0)</f>
        <v>0.80625000000000002</v>
      </c>
      <c r="K374" s="68">
        <f>IFERROR((PA[[#This Row],[Sunset Time (POA&lt;20 W/m2)]]-PA[[#This Row],[Sunrise Time (POA&gt;20 W/m2)]])*24,"")</f>
        <v>12.65</v>
      </c>
      <c r="L374" s="178" t="s">
        <v>400</v>
      </c>
      <c r="M374" s="178" t="s">
        <v>408</v>
      </c>
      <c r="N374" s="178" t="s">
        <v>395</v>
      </c>
      <c r="O374" s="178"/>
      <c r="P374" s="178"/>
      <c r="Q374" s="178"/>
      <c r="R374" s="6">
        <f>IF((PA[[#This Row],[String Type(If String BD)]]&amp;PA[[#This Row],[Equipment (If any BD other than PV  array and inv)]])="",1,0)</f>
        <v>1</v>
      </c>
      <c r="S374" s="6">
        <f>IF(PA[[#This Row],[String Type(If String BD)]]="",1,0)</f>
        <v>1</v>
      </c>
      <c r="T3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74" s="68">
        <f>IFERROR(VLOOKUP(PA[[#This Row],[Affected Equipment ]],'Basic Data '!$A$1:$B$1846,2,0),"")</f>
        <v>2255.04</v>
      </c>
      <c r="V374" s="143">
        <f>IFERROR(VLOOKUP(PA[[#This Row],[Affected Equipment ]],'Basic Data '!$A$1:$C$1846,3,0),"")</f>
        <v>6.7296346365614112E-3</v>
      </c>
      <c r="W374" s="178" t="s">
        <v>427</v>
      </c>
      <c r="X374" s="110" t="s">
        <v>455</v>
      </c>
      <c r="Y374" s="110" t="s">
        <v>455</v>
      </c>
      <c r="Z374" s="109">
        <v>0.3298611111111111</v>
      </c>
      <c r="AA374" s="109">
        <v>0.3298611111111111</v>
      </c>
      <c r="AB374" s="109">
        <v>0.3298611111111111</v>
      </c>
      <c r="AC374" s="109">
        <v>0.33888888888888891</v>
      </c>
      <c r="AD374" s="82">
        <f>IF(PA[[#This Row],[Acknowledgement Time ]]="NA","",(PA[[#This Row],[Acknowledgement Time ]]-PA[[#This Row],[Fault Time]])*24)</f>
        <v>0</v>
      </c>
      <c r="AE374" s="82">
        <f>IF(PA[[#This Row],[Work Start time on Fault]]="NA","",(PA[[#This Row],[Work Start time on Fault]]-PA[[#This Row],[Fault Time]])*24)</f>
        <v>0</v>
      </c>
      <c r="AF374" s="111">
        <f>IF(PA[[#This Row],[Status]]="Open","",(PA[[#This Row],[Work Completion time on fault]]-PA[[#This Row],[Fault Time]])*24)</f>
        <v>0.21666666666666723</v>
      </c>
      <c r="AG374" s="82">
        <f>IFERROR((PA[[#This Row],[Work Completion time on fault]]-PA[[#This Row],[Fault Time]])*24,"")</f>
        <v>0.21666666666666723</v>
      </c>
      <c r="AH374" s="110" t="s">
        <v>455</v>
      </c>
      <c r="AI374" s="178" t="s">
        <v>422</v>
      </c>
      <c r="AJ374" s="68">
        <f>IFERROR(PA[[#This Row],[Breakdown Time]]*PA[[#This Row],[Plant Equivalent Weightage]],"")</f>
        <v>1.4580875045883096E-3</v>
      </c>
      <c r="AK374" s="117">
        <v>4.5741666666666667E-2</v>
      </c>
      <c r="AL374" s="116">
        <f>IF(PA[[#This Row],[Lost PoA(Wh/m2)]]&gt;0,_xlfn.XLOOKUP($B374,'Daily KPI'!$A:$A,'Daily KPI'!$AE:$AE)*PA[[#This Row],[Lost PoA(Wh/m2)]]*U374,0)</f>
        <v>86.647003533376676</v>
      </c>
      <c r="AM374" s="176" t="s">
        <v>2657</v>
      </c>
    </row>
    <row r="375" spans="1:39" ht="14" customHeight="1">
      <c r="A375" s="177">
        <f t="shared" si="6"/>
        <v>372</v>
      </c>
      <c r="B375" s="185">
        <v>45846</v>
      </c>
      <c r="C375" s="178" t="s">
        <v>477</v>
      </c>
      <c r="D375" s="6">
        <f>YEAR(PA[[#This Row],[Date]])</f>
        <v>2025</v>
      </c>
      <c r="E375" s="178" t="s">
        <v>361</v>
      </c>
      <c r="F375" s="178" t="s">
        <v>361</v>
      </c>
      <c r="G375" s="179">
        <v>45839</v>
      </c>
      <c r="H375" s="176">
        <f>DAY(EOMONTH(PA[[#This Row],[Month Year]],0))</f>
        <v>31</v>
      </c>
      <c r="I375" s="180">
        <f>VLOOKUP(PA[[#This Row],[Date]],Raw_Data[#All],9,0)</f>
        <v>0.2673611111111111</v>
      </c>
      <c r="J375" s="180">
        <f>VLOOKUP(PA[[#This Row],[Date]],Raw_Data[#All],10,0)</f>
        <v>0.81388888888888888</v>
      </c>
      <c r="K375" s="68">
        <f>IFERROR((PA[[#This Row],[Sunset Time (POA&lt;20 W/m2)]]-PA[[#This Row],[Sunrise Time (POA&gt;20 W/m2)]])*24,"")</f>
        <v>13.116666666666665</v>
      </c>
      <c r="L375" s="178" t="s">
        <v>437</v>
      </c>
      <c r="M375" s="178" t="s">
        <v>401</v>
      </c>
      <c r="N375" s="178" t="s">
        <v>395</v>
      </c>
      <c r="O375" s="178" t="s">
        <v>396</v>
      </c>
      <c r="P375" s="178" t="s">
        <v>397</v>
      </c>
      <c r="Q375" s="178"/>
      <c r="R375" s="6">
        <f>IF((PA[[#This Row],[String Type(If String BD)]]&amp;PA[[#This Row],[Equipment (If any BD other than PV  array and inv)]])="",1,0)</f>
        <v>0</v>
      </c>
      <c r="S375" s="6">
        <f>IF(PA[[#This Row],[String Type(If String BD)]]="",1,0)</f>
        <v>0</v>
      </c>
      <c r="T3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75" s="68">
        <f>IFERROR(VLOOKUP(PA[[#This Row],[Affected Equipment ]],'Basic Data '!$A$1:$B$1846,2,0),"")</f>
        <v>25.81</v>
      </c>
      <c r="V375" s="143">
        <f>IFERROR(VLOOKUP(PA[[#This Row],[Affected Equipment ]],'Basic Data '!$A$1:$C$1846,3,0),"")</f>
        <v>7.7023853221960597E-5</v>
      </c>
      <c r="W375" s="178" t="s">
        <v>451</v>
      </c>
      <c r="X375" s="110" t="s">
        <v>2603</v>
      </c>
      <c r="Y375" s="110" t="s">
        <v>2603</v>
      </c>
      <c r="Z375" s="109">
        <v>0.2673611111111111</v>
      </c>
      <c r="AA375" s="109">
        <v>0.2673611111111111</v>
      </c>
      <c r="AB375" s="109">
        <v>0.2673611111111111</v>
      </c>
      <c r="AC375" s="109">
        <v>0.81388888888888888</v>
      </c>
      <c r="AD375" s="82">
        <f>IF(PA[[#This Row],[Acknowledgement Time ]]="NA","",(PA[[#This Row],[Acknowledgement Time ]]-PA[[#This Row],[Fault Time]])*24)</f>
        <v>0</v>
      </c>
      <c r="AE375" s="82">
        <f>IF(PA[[#This Row],[Work Start time on Fault]]="NA","",(PA[[#This Row],[Work Start time on Fault]]-PA[[#This Row],[Fault Time]])*24)</f>
        <v>0</v>
      </c>
      <c r="AF375" s="111">
        <f>IF(PA[[#This Row],[Status]]="Open","",(PA[[#This Row],[Work Completion time on fault]]-PA[[#This Row],[Fault Time]])*24)</f>
        <v>13.116666666666665</v>
      </c>
      <c r="AG375" s="82">
        <f>IFERROR((PA[[#This Row],[Work Completion time on fault]]-PA[[#This Row],[Fault Time]])*24,"")</f>
        <v>13.116666666666665</v>
      </c>
      <c r="AH375" s="110" t="s">
        <v>2603</v>
      </c>
      <c r="AI375" s="79" t="s">
        <v>422</v>
      </c>
      <c r="AJ375" s="68">
        <f>IFERROR(PA[[#This Row],[Breakdown Time]]*PA[[#This Row],[Plant Equivalent Weightage]],"")</f>
        <v>1.0102962080947163E-3</v>
      </c>
      <c r="AK375" s="117">
        <v>5.0695769999999998</v>
      </c>
      <c r="AL375" s="116">
        <f>IF(PA[[#This Row],[Lost PoA(Wh/m2)]]&gt;0,_xlfn.XLOOKUP($B375,'Daily KPI'!$A:$A,'Daily KPI'!$AE:$AE)*PA[[#This Row],[Lost PoA(Wh/m2)]]*U375,0)</f>
        <v>109.9124888515064</v>
      </c>
      <c r="AM375" s="176" t="s">
        <v>2624</v>
      </c>
    </row>
    <row r="376" spans="1:39" ht="14" customHeight="1">
      <c r="A376" s="177">
        <f t="shared" si="6"/>
        <v>373</v>
      </c>
      <c r="B376" s="185">
        <v>45846</v>
      </c>
      <c r="C376" s="178" t="s">
        <v>477</v>
      </c>
      <c r="D376" s="6">
        <f>YEAR(PA[[#This Row],[Date]])</f>
        <v>2025</v>
      </c>
      <c r="E376" s="178" t="s">
        <v>361</v>
      </c>
      <c r="F376" s="178" t="s">
        <v>361</v>
      </c>
      <c r="G376" s="179">
        <v>45839</v>
      </c>
      <c r="H376" s="176">
        <f>DAY(EOMONTH(PA[[#This Row],[Month Year]],0))</f>
        <v>31</v>
      </c>
      <c r="I376" s="180">
        <f>VLOOKUP(PA[[#This Row],[Date]],Raw_Data[#All],9,0)</f>
        <v>0.2673611111111111</v>
      </c>
      <c r="J376" s="180">
        <f>VLOOKUP(PA[[#This Row],[Date]],Raw_Data[#All],10,0)</f>
        <v>0.81388888888888888</v>
      </c>
      <c r="K376" s="68">
        <f>IFERROR((PA[[#This Row],[Sunset Time (POA&lt;20 W/m2)]]-PA[[#This Row],[Sunrise Time (POA&gt;20 W/m2)]])*24,"")</f>
        <v>13.116666666666665</v>
      </c>
      <c r="L376" s="178" t="s">
        <v>423</v>
      </c>
      <c r="M376" s="178" t="s">
        <v>414</v>
      </c>
      <c r="N376" s="178" t="s">
        <v>402</v>
      </c>
      <c r="O376" s="178" t="s">
        <v>442</v>
      </c>
      <c r="P376" s="178" t="s">
        <v>404</v>
      </c>
      <c r="Q376" s="178"/>
      <c r="R376" s="6">
        <f>IF((PA[[#This Row],[String Type(If String BD)]]&amp;PA[[#This Row],[Equipment (If any BD other than PV  array and inv)]])="",1,0)</f>
        <v>0</v>
      </c>
      <c r="S376" s="6">
        <f>IF(PA[[#This Row],[String Type(If String BD)]]="",1,0)</f>
        <v>0</v>
      </c>
      <c r="T3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76" s="68">
        <f>IFERROR(VLOOKUP(PA[[#This Row],[Affected Equipment ]],'Basic Data '!$A$1:$B$1846,2,0),"")</f>
        <v>31.32</v>
      </c>
      <c r="V376" s="143">
        <f>IFERROR(VLOOKUP(PA[[#This Row],[Affected Equipment ]],'Basic Data '!$A$1:$C$1846,3,0),"")</f>
        <v>9.3467147730019601E-5</v>
      </c>
      <c r="W376" s="178" t="s">
        <v>451</v>
      </c>
      <c r="X376" s="110" t="s">
        <v>2603</v>
      </c>
      <c r="Y376" s="110" t="s">
        <v>2603</v>
      </c>
      <c r="Z376" s="109">
        <v>0.2673611111111111</v>
      </c>
      <c r="AA376" s="109">
        <v>0.2673611111111111</v>
      </c>
      <c r="AB376" s="109">
        <v>0.2673611111111111</v>
      </c>
      <c r="AC376" s="109">
        <v>0.81388888888888888</v>
      </c>
      <c r="AD376" s="82">
        <f>IF(PA[[#This Row],[Acknowledgement Time ]]="NA","",(PA[[#This Row],[Acknowledgement Time ]]-PA[[#This Row],[Fault Time]])*24)</f>
        <v>0</v>
      </c>
      <c r="AE376" s="82">
        <f>IF(PA[[#This Row],[Work Start time on Fault]]="NA","",(PA[[#This Row],[Work Start time on Fault]]-PA[[#This Row],[Fault Time]])*24)</f>
        <v>0</v>
      </c>
      <c r="AF376" s="111">
        <f>IF(PA[[#This Row],[Status]]="Open","",(PA[[#This Row],[Work Completion time on fault]]-PA[[#This Row],[Fault Time]])*24)</f>
        <v>13.116666666666665</v>
      </c>
      <c r="AG376" s="82">
        <f>IFERROR((PA[[#This Row],[Work Completion time on fault]]-PA[[#This Row],[Fault Time]])*24,"")</f>
        <v>13.116666666666665</v>
      </c>
      <c r="AH376" s="110" t="s">
        <v>2603</v>
      </c>
      <c r="AI376" s="79" t="s">
        <v>422</v>
      </c>
      <c r="AJ376" s="68">
        <f>IFERROR(PA[[#This Row],[Breakdown Time]]*PA[[#This Row],[Plant Equivalent Weightage]],"")</f>
        <v>1.2259774210587569E-3</v>
      </c>
      <c r="AK376" s="117">
        <v>5.0695769999999998</v>
      </c>
      <c r="AL376" s="116">
        <f>IF(PA[[#This Row],[Lost PoA(Wh/m2)]]&gt;0,_xlfn.XLOOKUP($B376,'Daily KPI'!$A:$A,'Daily KPI'!$AE:$AE)*PA[[#This Row],[Lost PoA(Wh/m2)]]*U376,0)</f>
        <v>133.37695276362575</v>
      </c>
      <c r="AM376" s="176" t="s">
        <v>2641</v>
      </c>
    </row>
    <row r="377" spans="1:39" ht="14" customHeight="1">
      <c r="A377" s="177">
        <f t="shared" si="6"/>
        <v>374</v>
      </c>
      <c r="B377" s="185">
        <v>45846</v>
      </c>
      <c r="C377" s="178" t="s">
        <v>477</v>
      </c>
      <c r="D377" s="6">
        <f>YEAR(PA[[#This Row],[Date]])</f>
        <v>2025</v>
      </c>
      <c r="E377" s="178" t="s">
        <v>361</v>
      </c>
      <c r="F377" s="178" t="s">
        <v>361</v>
      </c>
      <c r="G377" s="179">
        <v>45839</v>
      </c>
      <c r="H377" s="176">
        <f>DAY(EOMONTH(PA[[#This Row],[Month Year]],0))</f>
        <v>31</v>
      </c>
      <c r="I377" s="180">
        <f>VLOOKUP(PA[[#This Row],[Date]],Raw_Data[#All],9,0)</f>
        <v>0.2673611111111111</v>
      </c>
      <c r="J377" s="180">
        <f>VLOOKUP(PA[[#This Row],[Date]],Raw_Data[#All],10,0)</f>
        <v>0.81388888888888888</v>
      </c>
      <c r="K377" s="68">
        <f>IFERROR((PA[[#This Row],[Sunset Time (POA&lt;20 W/m2)]]-PA[[#This Row],[Sunrise Time (POA&gt;20 W/m2)]])*24,"")</f>
        <v>13.116666666666665</v>
      </c>
      <c r="L377" s="178" t="s">
        <v>426</v>
      </c>
      <c r="M377" s="178" t="s">
        <v>401</v>
      </c>
      <c r="N377" s="178" t="s">
        <v>395</v>
      </c>
      <c r="O377" s="178"/>
      <c r="P377" s="178"/>
      <c r="Q377" s="178"/>
      <c r="R377" s="6">
        <f>IF((PA[[#This Row],[String Type(If String BD)]]&amp;PA[[#This Row],[Equipment (If any BD other than PV  array and inv)]])="",1,0)</f>
        <v>1</v>
      </c>
      <c r="S377" s="6">
        <f>IF(PA[[#This Row],[String Type(If String BD)]]="",1,0)</f>
        <v>1</v>
      </c>
      <c r="T3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IS15INV4M2</v>
      </c>
      <c r="U377" s="68">
        <f>IFERROR(VLOOKUP(PA[[#This Row],[Affected Equipment ]],'Basic Data '!$A$1:$B$1846,2,0),"")</f>
        <v>2004.4799999999998</v>
      </c>
      <c r="V377" s="143">
        <f>IFERROR(VLOOKUP(PA[[#This Row],[Affected Equipment ]],'Basic Data '!$A$1:$C$1846,3,0),"")</f>
        <v>5.9818974547212545E-3</v>
      </c>
      <c r="W377" s="178" t="s">
        <v>427</v>
      </c>
      <c r="X377" s="110" t="s">
        <v>452</v>
      </c>
      <c r="Y377" s="110" t="s">
        <v>452</v>
      </c>
      <c r="Z377" s="109">
        <v>0.2673611111111111</v>
      </c>
      <c r="AA377" s="109">
        <v>0.2673611111111111</v>
      </c>
      <c r="AB377" s="109">
        <v>0.28472222222222221</v>
      </c>
      <c r="AC377" s="109">
        <v>0.2902777777777778</v>
      </c>
      <c r="AD377" s="82">
        <f>IF(PA[[#This Row],[Acknowledgement Time ]]="NA","",(PA[[#This Row],[Acknowledgement Time ]]-PA[[#This Row],[Fault Time]])*24)</f>
        <v>0</v>
      </c>
      <c r="AE377" s="82">
        <f>IF(PA[[#This Row],[Work Start time on Fault]]="NA","",(PA[[#This Row],[Work Start time on Fault]]-PA[[#This Row],[Fault Time]])*24)</f>
        <v>0.41666666666666652</v>
      </c>
      <c r="AF377" s="111">
        <f>IF(PA[[#This Row],[Status]]="Open","",(PA[[#This Row],[Work Completion time on fault]]-PA[[#This Row],[Fault Time]])*24)</f>
        <v>0.55000000000000071</v>
      </c>
      <c r="AG377" s="82">
        <f>IFERROR((PA[[#This Row],[Work Completion time on fault]]-PA[[#This Row],[Fault Time]])*24,"")</f>
        <v>0.55000000000000071</v>
      </c>
      <c r="AH377" s="110" t="s">
        <v>479</v>
      </c>
      <c r="AI377" s="178" t="s">
        <v>422</v>
      </c>
      <c r="AJ377" s="68">
        <f>IFERROR(PA[[#This Row],[Breakdown Time]]*PA[[#This Row],[Plant Equivalent Weightage]],"")</f>
        <v>3.2900436000966944E-3</v>
      </c>
      <c r="AK377" s="117">
        <v>3.3193666666666663E-2</v>
      </c>
      <c r="AL377" s="116">
        <f>IF(PA[[#This Row],[Lost PoA(Wh/m2)]]&gt;0,_xlfn.XLOOKUP($B377,'Daily KPI'!$A:$A,'Daily KPI'!$AE:$AE)*PA[[#This Row],[Lost PoA(Wh/m2)]]*U377,0)</f>
        <v>55.891307520784963</v>
      </c>
      <c r="AM377" s="176" t="s">
        <v>2659</v>
      </c>
    </row>
    <row r="378" spans="1:39" ht="14" customHeight="1">
      <c r="A378" s="177">
        <f t="shared" si="6"/>
        <v>375</v>
      </c>
      <c r="B378" s="185">
        <v>45846</v>
      </c>
      <c r="C378" s="178" t="s">
        <v>477</v>
      </c>
      <c r="D378" s="6">
        <f>YEAR(PA[[#This Row],[Date]])</f>
        <v>2025</v>
      </c>
      <c r="E378" s="178" t="s">
        <v>361</v>
      </c>
      <c r="F378" s="178" t="s">
        <v>361</v>
      </c>
      <c r="G378" s="179">
        <v>45839</v>
      </c>
      <c r="H378" s="176">
        <f>DAY(EOMONTH(PA[[#This Row],[Month Year]],0))</f>
        <v>31</v>
      </c>
      <c r="I378" s="180">
        <f>VLOOKUP(PA[[#This Row],[Date]],Raw_Data[#All],9,0)</f>
        <v>0.2673611111111111</v>
      </c>
      <c r="J378" s="180">
        <f>VLOOKUP(PA[[#This Row],[Date]],Raw_Data[#All],10,0)</f>
        <v>0.81388888888888888</v>
      </c>
      <c r="K378" s="68">
        <f>IFERROR((PA[[#This Row],[Sunset Time (POA&lt;20 W/m2)]]-PA[[#This Row],[Sunrise Time (POA&gt;20 W/m2)]])*24,"")</f>
        <v>13.116666666666665</v>
      </c>
      <c r="L378" s="178" t="s">
        <v>426</v>
      </c>
      <c r="M378" s="178" t="s">
        <v>401</v>
      </c>
      <c r="N378" s="178" t="s">
        <v>402</v>
      </c>
      <c r="O378" s="178"/>
      <c r="P378" s="178"/>
      <c r="Q378" s="178"/>
      <c r="R378" s="6">
        <f>IF((PA[[#This Row],[String Type(If String BD)]]&amp;PA[[#This Row],[Equipment (If any BD other than PV  array and inv)]])="",1,0)</f>
        <v>1</v>
      </c>
      <c r="S378" s="6">
        <f>IF(PA[[#This Row],[String Type(If String BD)]]="",1,0)</f>
        <v>1</v>
      </c>
      <c r="T3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378" s="68">
        <f>IFERROR(VLOOKUP(PA[[#This Row],[Affected Equipment ]],'Basic Data '!$A$1:$B$1846,2,0),"")</f>
        <v>2192.4</v>
      </c>
      <c r="V378" s="143">
        <f>IFERROR(VLOOKUP(PA[[#This Row],[Affected Equipment ]],'Basic Data '!$A$1:$C$1846,3,0),"")</f>
        <v>6.5427003411013731E-3</v>
      </c>
      <c r="W378" s="178" t="s">
        <v>427</v>
      </c>
      <c r="X378" s="110" t="s">
        <v>455</v>
      </c>
      <c r="Y378" s="110" t="s">
        <v>455</v>
      </c>
      <c r="Z378" s="109">
        <v>0.28749999999999998</v>
      </c>
      <c r="AA378" s="109">
        <v>0.28749999999999998</v>
      </c>
      <c r="AB378" s="109">
        <v>0.28749999999999998</v>
      </c>
      <c r="AC378" s="109">
        <v>0.2902777777777778</v>
      </c>
      <c r="AD378" s="82">
        <f>IF(PA[[#This Row],[Acknowledgement Time ]]="NA","",(PA[[#This Row],[Acknowledgement Time ]]-PA[[#This Row],[Fault Time]])*24)</f>
        <v>0</v>
      </c>
      <c r="AE378" s="82">
        <f>IF(PA[[#This Row],[Work Start time on Fault]]="NA","",(PA[[#This Row],[Work Start time on Fault]]-PA[[#This Row],[Fault Time]])*24)</f>
        <v>0</v>
      </c>
      <c r="AF378" s="111">
        <f>IF(PA[[#This Row],[Status]]="Open","",(PA[[#This Row],[Work Completion time on fault]]-PA[[#This Row],[Fault Time]])*24)</f>
        <v>6.6666666666667762E-2</v>
      </c>
      <c r="AG378" s="82">
        <f>IFERROR((PA[[#This Row],[Work Completion time on fault]]-PA[[#This Row],[Fault Time]])*24,"")</f>
        <v>6.6666666666667762E-2</v>
      </c>
      <c r="AH378" s="110" t="s">
        <v>455</v>
      </c>
      <c r="AI378" s="178" t="s">
        <v>422</v>
      </c>
      <c r="AJ378" s="68">
        <f>IFERROR(PA[[#This Row],[Breakdown Time]]*PA[[#This Row],[Plant Equivalent Weightage]],"")</f>
        <v>4.3618002274009869E-4</v>
      </c>
      <c r="AK378" s="117">
        <v>8.0383333333333331E-3</v>
      </c>
      <c r="AL378" s="116">
        <f>IF(PA[[#This Row],[Lost PoA(Wh/m2)]]&gt;0,_xlfn.XLOOKUP($B378,'Daily KPI'!$A:$A,'Daily KPI'!$AE:$AE)*PA[[#This Row],[Lost PoA(Wh/m2)]]*U378,0)</f>
        <v>14.803796918535706</v>
      </c>
      <c r="AM378" s="176" t="s">
        <v>2659</v>
      </c>
    </row>
    <row r="379" spans="1:39" ht="14" customHeight="1">
      <c r="A379" s="177">
        <f t="shared" si="6"/>
        <v>376</v>
      </c>
      <c r="B379" s="185">
        <v>45846</v>
      </c>
      <c r="C379" s="178" t="s">
        <v>477</v>
      </c>
      <c r="D379" s="6">
        <f>YEAR(PA[[#This Row],[Date]])</f>
        <v>2025</v>
      </c>
      <c r="E379" s="178" t="s">
        <v>361</v>
      </c>
      <c r="F379" s="178" t="s">
        <v>361</v>
      </c>
      <c r="G379" s="179">
        <v>45839</v>
      </c>
      <c r="H379" s="176">
        <f>DAY(EOMONTH(PA[[#This Row],[Month Year]],0))</f>
        <v>31</v>
      </c>
      <c r="I379" s="180">
        <f>VLOOKUP(PA[[#This Row],[Date]],Raw_Data[#All],9,0)</f>
        <v>0.2673611111111111</v>
      </c>
      <c r="J379" s="180">
        <f>VLOOKUP(PA[[#This Row],[Date]],Raw_Data[#All],10,0)</f>
        <v>0.81388888888888888</v>
      </c>
      <c r="K379" s="68">
        <f>IFERROR((PA[[#This Row],[Sunset Time (POA&lt;20 W/m2)]]-PA[[#This Row],[Sunrise Time (POA&gt;20 W/m2)]])*24,"")</f>
        <v>13.116666666666665</v>
      </c>
      <c r="L379" s="178" t="s">
        <v>400</v>
      </c>
      <c r="M379" s="178" t="s">
        <v>401</v>
      </c>
      <c r="N379" s="178" t="s">
        <v>402</v>
      </c>
      <c r="O379" s="178"/>
      <c r="P379" s="178"/>
      <c r="Q379" s="178"/>
      <c r="R379" s="6">
        <f>IF((PA[[#This Row],[String Type(If String BD)]]&amp;PA[[#This Row],[Equipment (If any BD other than PV  array and inv)]])="",1,0)</f>
        <v>1</v>
      </c>
      <c r="S379" s="6">
        <f>IF(PA[[#This Row],[String Type(If String BD)]]="",1,0)</f>
        <v>1</v>
      </c>
      <c r="T3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IS20INV4M1</v>
      </c>
      <c r="U379" s="68">
        <f>IFERROR(VLOOKUP(PA[[#This Row],[Affected Equipment ]],'Basic Data '!$A$1:$B$1846,2,0),"")</f>
        <v>2255.04</v>
      </c>
      <c r="V379" s="143">
        <f>IFERROR(VLOOKUP(PA[[#This Row],[Affected Equipment ]],'Basic Data '!$A$1:$C$1846,3,0),"")</f>
        <v>6.7296346365614112E-3</v>
      </c>
      <c r="W379" s="178" t="s">
        <v>427</v>
      </c>
      <c r="X379" s="110" t="s">
        <v>452</v>
      </c>
      <c r="Y379" s="110" t="s">
        <v>452</v>
      </c>
      <c r="Z379" s="109">
        <v>0.2673611111111111</v>
      </c>
      <c r="AA379" s="109">
        <v>0.2673611111111111</v>
      </c>
      <c r="AB379" s="109">
        <v>0.2673611111111111</v>
      </c>
      <c r="AC379" s="109">
        <v>0.27569444444444446</v>
      </c>
      <c r="AD379" s="82">
        <f>IF(PA[[#This Row],[Acknowledgement Time ]]="NA","",(PA[[#This Row],[Acknowledgement Time ]]-PA[[#This Row],[Fault Time]])*24)</f>
        <v>0</v>
      </c>
      <c r="AE379" s="82">
        <f>IF(PA[[#This Row],[Work Start time on Fault]]="NA","",(PA[[#This Row],[Work Start time on Fault]]-PA[[#This Row],[Fault Time]])*24)</f>
        <v>0</v>
      </c>
      <c r="AF379" s="111">
        <f>IF(PA[[#This Row],[Status]]="Open","",(PA[[#This Row],[Work Completion time on fault]]-PA[[#This Row],[Fault Time]])*24)</f>
        <v>0.20000000000000062</v>
      </c>
      <c r="AG379" s="82">
        <f>IFERROR((PA[[#This Row],[Work Completion time on fault]]-PA[[#This Row],[Fault Time]])*24,"")</f>
        <v>0.20000000000000062</v>
      </c>
      <c r="AH379" s="110" t="s">
        <v>2658</v>
      </c>
      <c r="AI379" s="178" t="s">
        <v>422</v>
      </c>
      <c r="AJ379" s="68">
        <f>IFERROR(PA[[#This Row],[Breakdown Time]]*PA[[#This Row],[Plant Equivalent Weightage]],"")</f>
        <v>1.3459269273122863E-3</v>
      </c>
      <c r="AK379" s="117">
        <v>6.5699999999999995E-3</v>
      </c>
      <c r="AL379" s="116">
        <f>IF(PA[[#This Row],[Lost PoA(Wh/m2)]]&gt;0,_xlfn.XLOOKUP($B379,'Daily KPI'!$A:$A,'Daily KPI'!$AE:$AE)*PA[[#This Row],[Lost PoA(Wh/m2)]]*U379,0)</f>
        <v>12.445344796085655</v>
      </c>
      <c r="AM379" s="176" t="s">
        <v>2659</v>
      </c>
    </row>
    <row r="380" spans="1:39" ht="14" customHeight="1">
      <c r="A380" s="177">
        <f t="shared" si="6"/>
        <v>377</v>
      </c>
      <c r="B380" s="185">
        <v>45847</v>
      </c>
      <c r="C380" s="178" t="s">
        <v>477</v>
      </c>
      <c r="D380" s="6">
        <f>YEAR(PA[[#This Row],[Date]])</f>
        <v>2025</v>
      </c>
      <c r="E380" s="178" t="s">
        <v>361</v>
      </c>
      <c r="F380" s="178" t="s">
        <v>361</v>
      </c>
      <c r="G380" s="179">
        <v>45839</v>
      </c>
      <c r="H380" s="176">
        <f>DAY(EOMONTH(PA[[#This Row],[Month Year]],0))</f>
        <v>31</v>
      </c>
      <c r="I380" s="180">
        <f>VLOOKUP(PA[[#This Row],[Date]],Raw_Data[#All],9,0)</f>
        <v>0.27569444444444446</v>
      </c>
      <c r="J380" s="180">
        <f>VLOOKUP(PA[[#This Row],[Date]],Raw_Data[#All],10,0)</f>
        <v>0.81319444444444444</v>
      </c>
      <c r="K380" s="68">
        <f>IFERROR((PA[[#This Row],[Sunset Time (POA&lt;20 W/m2)]]-PA[[#This Row],[Sunrise Time (POA&gt;20 W/m2)]])*24,"")</f>
        <v>12.899999999999999</v>
      </c>
      <c r="L380" s="178" t="s">
        <v>437</v>
      </c>
      <c r="M380" s="178" t="s">
        <v>401</v>
      </c>
      <c r="N380" s="178" t="s">
        <v>395</v>
      </c>
      <c r="O380" s="178" t="s">
        <v>396</v>
      </c>
      <c r="P380" s="178" t="s">
        <v>397</v>
      </c>
      <c r="Q380" s="178"/>
      <c r="R380" s="6">
        <f>IF((PA[[#This Row],[String Type(If String BD)]]&amp;PA[[#This Row],[Equipment (If any BD other than PV  array and inv)]])="",1,0)</f>
        <v>0</v>
      </c>
      <c r="S380" s="6">
        <f>IF(PA[[#This Row],[String Type(If String BD)]]="",1,0)</f>
        <v>0</v>
      </c>
      <c r="T3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0" s="68">
        <f>IFERROR(VLOOKUP(PA[[#This Row],[Affected Equipment ]],'Basic Data '!$A$1:$B$1846,2,0),"")</f>
        <v>25.81</v>
      </c>
      <c r="V380" s="143">
        <f>IFERROR(VLOOKUP(PA[[#This Row],[Affected Equipment ]],'Basic Data '!$A$1:$C$1846,3,0),"")</f>
        <v>7.7023853221960597E-5</v>
      </c>
      <c r="W380" s="178" t="s">
        <v>451</v>
      </c>
      <c r="X380" s="110" t="s">
        <v>2603</v>
      </c>
      <c r="Y380" s="110" t="s">
        <v>2603</v>
      </c>
      <c r="Z380" s="109">
        <v>0.27569444444444446</v>
      </c>
      <c r="AA380" s="109">
        <v>0.27569444444444446</v>
      </c>
      <c r="AB380" s="109">
        <v>0.27569444444444446</v>
      </c>
      <c r="AC380" s="109">
        <v>0.81319444444444444</v>
      </c>
      <c r="AD380" s="82">
        <f>IF(PA[[#This Row],[Acknowledgement Time ]]="NA","",(PA[[#This Row],[Acknowledgement Time ]]-PA[[#This Row],[Fault Time]])*24)</f>
        <v>0</v>
      </c>
      <c r="AE380" s="82">
        <f>IF(PA[[#This Row],[Work Start time on Fault]]="NA","",(PA[[#This Row],[Work Start time on Fault]]-PA[[#This Row],[Fault Time]])*24)</f>
        <v>0</v>
      </c>
      <c r="AF380" s="111">
        <f>IF(PA[[#This Row],[Status]]="Open","",(PA[[#This Row],[Work Completion time on fault]]-PA[[#This Row],[Fault Time]])*24)</f>
        <v>12.899999999999999</v>
      </c>
      <c r="AG380" s="82">
        <f>IFERROR((PA[[#This Row],[Work Completion time on fault]]-PA[[#This Row],[Fault Time]])*24,"")</f>
        <v>12.899999999999999</v>
      </c>
      <c r="AH380" s="110" t="s">
        <v>2603</v>
      </c>
      <c r="AI380" s="79" t="s">
        <v>422</v>
      </c>
      <c r="AJ380" s="68">
        <f>IFERROR(PA[[#This Row],[Breakdown Time]]*PA[[#This Row],[Plant Equivalent Weightage]],"")</f>
        <v>9.9360770656329168E-4</v>
      </c>
      <c r="AK380" s="117">
        <v>5.46</v>
      </c>
      <c r="AL380" s="116">
        <f>IF(PA[[#This Row],[Lost PoA(Wh/m2)]]&gt;0,_xlfn.XLOOKUP($B380,'Daily KPI'!$A:$A,'Daily KPI'!$AE:$AE)*PA[[#This Row],[Lost PoA(Wh/m2)]]*U380,0)</f>
        <v>118.37717212485873</v>
      </c>
      <c r="AM380" s="176" t="s">
        <v>2624</v>
      </c>
    </row>
    <row r="381" spans="1:39" ht="14" customHeight="1">
      <c r="A381" s="177">
        <f t="shared" si="6"/>
        <v>378</v>
      </c>
      <c r="B381" s="185">
        <v>45847</v>
      </c>
      <c r="C381" s="178" t="s">
        <v>477</v>
      </c>
      <c r="D381" s="6">
        <f>YEAR(PA[[#This Row],[Date]])</f>
        <v>2025</v>
      </c>
      <c r="E381" s="178" t="s">
        <v>361</v>
      </c>
      <c r="F381" s="178" t="s">
        <v>361</v>
      </c>
      <c r="G381" s="179">
        <v>45839</v>
      </c>
      <c r="H381" s="176">
        <f>DAY(EOMONTH(PA[[#This Row],[Month Year]],0))</f>
        <v>31</v>
      </c>
      <c r="I381" s="180">
        <f>VLOOKUP(PA[[#This Row],[Date]],Raw_Data[#All],9,0)</f>
        <v>0.27569444444444446</v>
      </c>
      <c r="J381" s="180">
        <f>VLOOKUP(PA[[#This Row],[Date]],Raw_Data[#All],10,0)</f>
        <v>0.81319444444444444</v>
      </c>
      <c r="K381" s="68">
        <f>IFERROR((PA[[#This Row],[Sunset Time (POA&lt;20 W/m2)]]-PA[[#This Row],[Sunrise Time (POA&gt;20 W/m2)]])*24,"")</f>
        <v>12.899999999999999</v>
      </c>
      <c r="L381" s="178" t="s">
        <v>423</v>
      </c>
      <c r="M381" s="178" t="s">
        <v>414</v>
      </c>
      <c r="N381" s="178" t="s">
        <v>402</v>
      </c>
      <c r="O381" s="178" t="s">
        <v>442</v>
      </c>
      <c r="P381" s="178" t="s">
        <v>404</v>
      </c>
      <c r="Q381" s="178"/>
      <c r="R381" s="6">
        <f>IF((PA[[#This Row],[String Type(If String BD)]]&amp;PA[[#This Row],[Equipment (If any BD other than PV  array and inv)]])="",1,0)</f>
        <v>0</v>
      </c>
      <c r="S381" s="6">
        <f>IF(PA[[#This Row],[String Type(If String BD)]]="",1,0)</f>
        <v>0</v>
      </c>
      <c r="T3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1" s="68">
        <f>IFERROR(VLOOKUP(PA[[#This Row],[Affected Equipment ]],'Basic Data '!$A$1:$B$1846,2,0),"")</f>
        <v>31.32</v>
      </c>
      <c r="V381" s="143">
        <f>IFERROR(VLOOKUP(PA[[#This Row],[Affected Equipment ]],'Basic Data '!$A$1:$C$1846,3,0),"")</f>
        <v>9.3467147730019601E-5</v>
      </c>
      <c r="W381" s="178" t="s">
        <v>451</v>
      </c>
      <c r="X381" s="110" t="s">
        <v>2603</v>
      </c>
      <c r="Y381" s="110" t="s">
        <v>2603</v>
      </c>
      <c r="Z381" s="109">
        <v>0.27569444444444446</v>
      </c>
      <c r="AA381" s="109">
        <v>0.27569444444444446</v>
      </c>
      <c r="AB381" s="109">
        <v>0.27569444444444446</v>
      </c>
      <c r="AC381" s="109">
        <v>0.81319444444444444</v>
      </c>
      <c r="AD381" s="82">
        <f>IF(PA[[#This Row],[Acknowledgement Time ]]="NA","",(PA[[#This Row],[Acknowledgement Time ]]-PA[[#This Row],[Fault Time]])*24)</f>
        <v>0</v>
      </c>
      <c r="AE381" s="82">
        <f>IF(PA[[#This Row],[Work Start time on Fault]]="NA","",(PA[[#This Row],[Work Start time on Fault]]-PA[[#This Row],[Fault Time]])*24)</f>
        <v>0</v>
      </c>
      <c r="AF381" s="111">
        <f>IF(PA[[#This Row],[Status]]="Open","",(PA[[#This Row],[Work Completion time on fault]]-PA[[#This Row],[Fault Time]])*24)</f>
        <v>12.899999999999999</v>
      </c>
      <c r="AG381" s="82">
        <f>IFERROR((PA[[#This Row],[Work Completion time on fault]]-PA[[#This Row],[Fault Time]])*24,"")</f>
        <v>12.899999999999999</v>
      </c>
      <c r="AH381" s="110" t="s">
        <v>2603</v>
      </c>
      <c r="AI381" s="79" t="s">
        <v>422</v>
      </c>
      <c r="AJ381" s="68">
        <f>IFERROR(PA[[#This Row],[Breakdown Time]]*PA[[#This Row],[Plant Equivalent Weightage]],"")</f>
        <v>1.2057262057172528E-3</v>
      </c>
      <c r="AK381" s="117">
        <v>5.46</v>
      </c>
      <c r="AL381" s="116">
        <f>IF(PA[[#This Row],[Lost PoA(Wh/m2)]]&gt;0,_xlfn.XLOOKUP($B381,'Daily KPI'!$A:$A,'Daily KPI'!$AE:$AE)*PA[[#This Row],[Lost PoA(Wh/m2)]]*U381,0)</f>
        <v>143.64870325263757</v>
      </c>
      <c r="AM381" s="176" t="s">
        <v>2641</v>
      </c>
    </row>
    <row r="382" spans="1:39" ht="14" customHeight="1">
      <c r="A382" s="177">
        <f t="shared" si="6"/>
        <v>379</v>
      </c>
      <c r="B382" s="185">
        <v>45848</v>
      </c>
      <c r="C382" s="178" t="s">
        <v>477</v>
      </c>
      <c r="D382" s="6">
        <f>YEAR(PA[[#This Row],[Date]])</f>
        <v>2025</v>
      </c>
      <c r="E382" s="178" t="s">
        <v>361</v>
      </c>
      <c r="F382" s="178" t="s">
        <v>361</v>
      </c>
      <c r="G382" s="179">
        <v>45839</v>
      </c>
      <c r="H382" s="176">
        <f>DAY(EOMONTH(PA[[#This Row],[Month Year]],0))</f>
        <v>31</v>
      </c>
      <c r="I382" s="180">
        <f>VLOOKUP(PA[[#This Row],[Date]],Raw_Data[#All],9,0)</f>
        <v>0.26805555555555555</v>
      </c>
      <c r="J382" s="180">
        <f>VLOOKUP(PA[[#This Row],[Date]],Raw_Data[#All],10,0)</f>
        <v>0.80833333333333335</v>
      </c>
      <c r="K382" s="68">
        <f>IFERROR((PA[[#This Row],[Sunset Time (POA&lt;20 W/m2)]]-PA[[#This Row],[Sunrise Time (POA&gt;20 W/m2)]])*24,"")</f>
        <v>12.966666666666669</v>
      </c>
      <c r="L382" s="178" t="s">
        <v>437</v>
      </c>
      <c r="M382" s="178" t="s">
        <v>401</v>
      </c>
      <c r="N382" s="178" t="s">
        <v>395</v>
      </c>
      <c r="O382" s="178" t="s">
        <v>396</v>
      </c>
      <c r="P382" s="178" t="s">
        <v>397</v>
      </c>
      <c r="Q382" s="178"/>
      <c r="R382" s="6">
        <f>IF((PA[[#This Row],[String Type(If String BD)]]&amp;PA[[#This Row],[Equipment (If any BD other than PV  array and inv)]])="",1,0)</f>
        <v>0</v>
      </c>
      <c r="S382" s="6">
        <f>IF(PA[[#This Row],[String Type(If String BD)]]="",1,0)</f>
        <v>0</v>
      </c>
      <c r="T3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2" s="68">
        <f>IFERROR(VLOOKUP(PA[[#This Row],[Affected Equipment ]],'Basic Data '!$A$1:$B$1846,2,0),"")</f>
        <v>25.81</v>
      </c>
      <c r="V382" s="143">
        <f>IFERROR(VLOOKUP(PA[[#This Row],[Affected Equipment ]],'Basic Data '!$A$1:$C$1846,3,0),"")</f>
        <v>7.7023853221960597E-5</v>
      </c>
      <c r="W382" s="178" t="s">
        <v>451</v>
      </c>
      <c r="X382" s="110" t="s">
        <v>2603</v>
      </c>
      <c r="Y382" s="110" t="s">
        <v>2603</v>
      </c>
      <c r="Z382" s="109">
        <v>0.26805555555555555</v>
      </c>
      <c r="AA382" s="109">
        <v>0.26805555555555555</v>
      </c>
      <c r="AB382" s="109">
        <v>0.26805555555555555</v>
      </c>
      <c r="AC382" s="109">
        <v>0.80833333333333335</v>
      </c>
      <c r="AD382" s="82">
        <f>IF(PA[[#This Row],[Acknowledgement Time ]]="NA","",(PA[[#This Row],[Acknowledgement Time ]]-PA[[#This Row],[Fault Time]])*24)</f>
        <v>0</v>
      </c>
      <c r="AE382" s="82">
        <f>IF(PA[[#This Row],[Work Start time on Fault]]="NA","",(PA[[#This Row],[Work Start time on Fault]]-PA[[#This Row],[Fault Time]])*24)</f>
        <v>0</v>
      </c>
      <c r="AF382" s="111">
        <f>IF(PA[[#This Row],[Status]]="Open","",(PA[[#This Row],[Work Completion time on fault]]-PA[[#This Row],[Fault Time]])*24)</f>
        <v>12.966666666666669</v>
      </c>
      <c r="AG382" s="82">
        <f>IFERROR((PA[[#This Row],[Work Completion time on fault]]-PA[[#This Row],[Fault Time]])*24,"")</f>
        <v>12.966666666666669</v>
      </c>
      <c r="AH382" s="110" t="s">
        <v>2603</v>
      </c>
      <c r="AI382" s="79" t="s">
        <v>422</v>
      </c>
      <c r="AJ382" s="68">
        <f>IFERROR(PA[[#This Row],[Breakdown Time]]*PA[[#This Row],[Plant Equivalent Weightage]],"")</f>
        <v>9.9874263011142262E-4</v>
      </c>
      <c r="AK382" s="117">
        <v>5.56</v>
      </c>
      <c r="AL382" s="116">
        <f>IF(PA[[#This Row],[Lost PoA(Wh/m2)]]&gt;0,_xlfn.XLOOKUP($B382,'Daily KPI'!$A:$A,'Daily KPI'!$AE:$AE)*PA[[#This Row],[Lost PoA(Wh/m2)]]*U382,0)</f>
        <v>120.5452522004056</v>
      </c>
      <c r="AM382" s="176" t="s">
        <v>2624</v>
      </c>
    </row>
    <row r="383" spans="1:39" ht="14" customHeight="1">
      <c r="A383" s="177">
        <f t="shared" si="6"/>
        <v>380</v>
      </c>
      <c r="B383" s="185">
        <v>45848</v>
      </c>
      <c r="C383" s="178" t="s">
        <v>477</v>
      </c>
      <c r="D383" s="6">
        <f>YEAR(PA[[#This Row],[Date]])</f>
        <v>2025</v>
      </c>
      <c r="E383" s="178" t="s">
        <v>361</v>
      </c>
      <c r="F383" s="178" t="s">
        <v>361</v>
      </c>
      <c r="G383" s="179">
        <v>45839</v>
      </c>
      <c r="H383" s="176">
        <f>DAY(EOMONTH(PA[[#This Row],[Month Year]],0))</f>
        <v>31</v>
      </c>
      <c r="I383" s="180">
        <f>VLOOKUP(PA[[#This Row],[Date]],Raw_Data[#All],9,0)</f>
        <v>0.26805555555555555</v>
      </c>
      <c r="J383" s="180">
        <f>VLOOKUP(PA[[#This Row],[Date]],Raw_Data[#All],10,0)</f>
        <v>0.80833333333333335</v>
      </c>
      <c r="K383" s="68">
        <f>IFERROR((PA[[#This Row],[Sunset Time (POA&lt;20 W/m2)]]-PA[[#This Row],[Sunrise Time (POA&gt;20 W/m2)]])*24,"")</f>
        <v>12.966666666666669</v>
      </c>
      <c r="L383" s="178" t="s">
        <v>423</v>
      </c>
      <c r="M383" s="178" t="s">
        <v>414</v>
      </c>
      <c r="N383" s="178" t="s">
        <v>402</v>
      </c>
      <c r="O383" s="178" t="s">
        <v>442</v>
      </c>
      <c r="P383" s="178" t="s">
        <v>404</v>
      </c>
      <c r="Q383" s="178"/>
      <c r="R383" s="6">
        <f>IF((PA[[#This Row],[String Type(If String BD)]]&amp;PA[[#This Row],[Equipment (If any BD other than PV  array and inv)]])="",1,0)</f>
        <v>0</v>
      </c>
      <c r="S383" s="6">
        <f>IF(PA[[#This Row],[String Type(If String BD)]]="",1,0)</f>
        <v>0</v>
      </c>
      <c r="T3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3" s="68">
        <f>IFERROR(VLOOKUP(PA[[#This Row],[Affected Equipment ]],'Basic Data '!$A$1:$B$1846,2,0),"")</f>
        <v>31.32</v>
      </c>
      <c r="V383" s="143">
        <f>IFERROR(VLOOKUP(PA[[#This Row],[Affected Equipment ]],'Basic Data '!$A$1:$C$1846,3,0),"")</f>
        <v>9.3467147730019601E-5</v>
      </c>
      <c r="W383" s="178" t="s">
        <v>451</v>
      </c>
      <c r="X383" s="110" t="s">
        <v>2603</v>
      </c>
      <c r="Y383" s="110" t="s">
        <v>2603</v>
      </c>
      <c r="Z383" s="109">
        <v>0.26805555555555555</v>
      </c>
      <c r="AA383" s="109">
        <v>0.26805555555555555</v>
      </c>
      <c r="AB383" s="109">
        <v>0.26805555555555555</v>
      </c>
      <c r="AC383" s="109">
        <v>0.80833333333333335</v>
      </c>
      <c r="AD383" s="82">
        <f>IF(PA[[#This Row],[Acknowledgement Time ]]="NA","",(PA[[#This Row],[Acknowledgement Time ]]-PA[[#This Row],[Fault Time]])*24)</f>
        <v>0</v>
      </c>
      <c r="AE383" s="82">
        <f>IF(PA[[#This Row],[Work Start time on Fault]]="NA","",(PA[[#This Row],[Work Start time on Fault]]-PA[[#This Row],[Fault Time]])*24)</f>
        <v>0</v>
      </c>
      <c r="AF383" s="111">
        <f>IF(PA[[#This Row],[Status]]="Open","",(PA[[#This Row],[Work Completion time on fault]]-PA[[#This Row],[Fault Time]])*24)</f>
        <v>12.966666666666669</v>
      </c>
      <c r="AG383" s="82">
        <f>IFERROR((PA[[#This Row],[Work Completion time on fault]]-PA[[#This Row],[Fault Time]])*24,"")</f>
        <v>12.966666666666669</v>
      </c>
      <c r="AH383" s="110" t="s">
        <v>2603</v>
      </c>
      <c r="AI383" s="79" t="s">
        <v>422</v>
      </c>
      <c r="AJ383" s="68">
        <f>IFERROR(PA[[#This Row],[Breakdown Time]]*PA[[#This Row],[Plant Equivalent Weightage]],"")</f>
        <v>1.2119573488992544E-3</v>
      </c>
      <c r="AK383" s="117">
        <v>5.56</v>
      </c>
      <c r="AL383" s="116">
        <f>IF(PA[[#This Row],[Lost PoA(Wh/m2)]]&gt;0,_xlfn.XLOOKUP($B383,'Daily KPI'!$A:$A,'Daily KPI'!$AE:$AE)*PA[[#This Row],[Lost PoA(Wh/m2)]]*U383,0)</f>
        <v>146.27963188363827</v>
      </c>
      <c r="AM383" s="176" t="s">
        <v>2641</v>
      </c>
    </row>
    <row r="384" spans="1:39" ht="14" customHeight="1">
      <c r="A384" s="177">
        <f t="shared" si="6"/>
        <v>381</v>
      </c>
      <c r="B384" s="185">
        <v>45848</v>
      </c>
      <c r="C384" s="178" t="s">
        <v>477</v>
      </c>
      <c r="D384" s="6">
        <f>YEAR(PA[[#This Row],[Date]])</f>
        <v>2025</v>
      </c>
      <c r="E384" s="178" t="s">
        <v>361</v>
      </c>
      <c r="F384" s="178" t="s">
        <v>361</v>
      </c>
      <c r="G384" s="179">
        <v>45839</v>
      </c>
      <c r="H384" s="176">
        <f>DAY(EOMONTH(PA[[#This Row],[Month Year]],0))</f>
        <v>31</v>
      </c>
      <c r="I384" s="180">
        <f>VLOOKUP(PA[[#This Row],[Date]],Raw_Data[#All],9,0)</f>
        <v>0.26805555555555555</v>
      </c>
      <c r="J384" s="180">
        <f>VLOOKUP(PA[[#This Row],[Date]],Raw_Data[#All],10,0)</f>
        <v>0.80833333333333335</v>
      </c>
      <c r="K384" s="68">
        <f>IFERROR((PA[[#This Row],[Sunset Time (POA&lt;20 W/m2)]]-PA[[#This Row],[Sunrise Time (POA&gt;20 W/m2)]])*24,"")</f>
        <v>12.966666666666669</v>
      </c>
      <c r="L384" s="178" t="s">
        <v>437</v>
      </c>
      <c r="M384" s="178" t="s">
        <v>394</v>
      </c>
      <c r="N384" s="178" t="s">
        <v>402</v>
      </c>
      <c r="O384" s="178"/>
      <c r="P384" s="178"/>
      <c r="Q384" s="178"/>
      <c r="R384" s="6">
        <f>IF((PA[[#This Row],[String Type(If String BD)]]&amp;PA[[#This Row],[Equipment (If any BD other than PV  array and inv)]])="",1,0)</f>
        <v>1</v>
      </c>
      <c r="S384" s="6">
        <f>IF(PA[[#This Row],[String Type(If String BD)]]="",1,0)</f>
        <v>1</v>
      </c>
      <c r="T3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384" s="68">
        <f>IFERROR(VLOOKUP(PA[[#This Row],[Affected Equipment ]],'Basic Data '!$A$1:$B$1846,2,0),"")</f>
        <v>2064.7999999999997</v>
      </c>
      <c r="V384" s="143">
        <f>IFERROR(VLOOKUP(PA[[#This Row],[Affected Equipment ]],'Basic Data '!$A$1:$C$1846,3,0),"")</f>
        <v>6.1619082577568469E-3</v>
      </c>
      <c r="W384" s="178" t="s">
        <v>427</v>
      </c>
      <c r="X384" s="110" t="s">
        <v>473</v>
      </c>
      <c r="Y384" s="110" t="s">
        <v>474</v>
      </c>
      <c r="Z384" s="109">
        <v>0.58333333333333337</v>
      </c>
      <c r="AA384" s="109">
        <v>0.58333333333333337</v>
      </c>
      <c r="AB384" s="109">
        <v>0.58333333333333337</v>
      </c>
      <c r="AC384" s="109">
        <v>0.80833333333333335</v>
      </c>
      <c r="AD384" s="82">
        <f>IF(PA[[#This Row],[Acknowledgement Time ]]="NA","",(PA[[#This Row],[Acknowledgement Time ]]-PA[[#This Row],[Fault Time]])*24)</f>
        <v>0</v>
      </c>
      <c r="AE384" s="82">
        <f>IF(PA[[#This Row],[Work Start time on Fault]]="NA","",(PA[[#This Row],[Work Start time on Fault]]-PA[[#This Row],[Fault Time]])*24)</f>
        <v>0</v>
      </c>
      <c r="AF384" s="111">
        <f>IF(PA[[#This Row],[Status]]="Open","",(PA[[#This Row],[Work Completion time on fault]]-PA[[#This Row],[Fault Time]])*24)</f>
        <v>5.3999999999999995</v>
      </c>
      <c r="AG384" s="82">
        <f>IFERROR((PA[[#This Row],[Work Completion time on fault]]-PA[[#This Row],[Fault Time]])*24,"")</f>
        <v>5.3999999999999995</v>
      </c>
      <c r="AH384" s="110" t="s">
        <v>2662</v>
      </c>
      <c r="AI384" s="79" t="s">
        <v>422</v>
      </c>
      <c r="AJ384" s="68">
        <f>IFERROR(PA[[#This Row],[Breakdown Time]]*PA[[#This Row],[Plant Equivalent Weightage]],"")</f>
        <v>3.3274304591886968E-2</v>
      </c>
      <c r="AK384" s="117">
        <v>2.0457028333333334</v>
      </c>
      <c r="AL384" s="116">
        <f>IF(PA[[#This Row],[Lost PoA(Wh/m2)]]&gt;0,_xlfn.XLOOKUP($B384,'Daily KPI'!$A:$A,'Daily KPI'!$AE:$AE)*PA[[#This Row],[Lost PoA(Wh/m2)]]*U384,0)</f>
        <v>3548.1980427518124</v>
      </c>
      <c r="AM384" s="176" t="s">
        <v>2663</v>
      </c>
    </row>
    <row r="385" spans="1:39" ht="14" customHeight="1">
      <c r="A385" s="177">
        <f t="shared" si="6"/>
        <v>382</v>
      </c>
      <c r="B385" s="185">
        <v>45848</v>
      </c>
      <c r="C385" s="178" t="s">
        <v>477</v>
      </c>
      <c r="D385" s="6">
        <f>YEAR(PA[[#This Row],[Date]])</f>
        <v>2025</v>
      </c>
      <c r="E385" s="178" t="s">
        <v>361</v>
      </c>
      <c r="F385" s="178" t="s">
        <v>361</v>
      </c>
      <c r="G385" s="179">
        <v>45839</v>
      </c>
      <c r="H385" s="176">
        <f>DAY(EOMONTH(PA[[#This Row],[Month Year]],0))</f>
        <v>31</v>
      </c>
      <c r="I385" s="180">
        <f>VLOOKUP(PA[[#This Row],[Date]],Raw_Data[#All],9,0)</f>
        <v>0.26805555555555555</v>
      </c>
      <c r="J385" s="180">
        <f>VLOOKUP(PA[[#This Row],[Date]],Raw_Data[#All],10,0)</f>
        <v>0.80833333333333335</v>
      </c>
      <c r="K385" s="68">
        <f>IFERROR((PA[[#This Row],[Sunset Time (POA&lt;20 W/m2)]]-PA[[#This Row],[Sunrise Time (POA&gt;20 W/m2)]])*24,"")</f>
        <v>12.966666666666669</v>
      </c>
      <c r="L385" s="178" t="s">
        <v>437</v>
      </c>
      <c r="M385" s="178" t="s">
        <v>394</v>
      </c>
      <c r="N385" s="178" t="s">
        <v>395</v>
      </c>
      <c r="O385" s="178"/>
      <c r="P385" s="178"/>
      <c r="Q385" s="178"/>
      <c r="R385" s="6">
        <f>IF((PA[[#This Row],[String Type(If String BD)]]&amp;PA[[#This Row],[Equipment (If any BD other than PV  array and inv)]])="",1,0)</f>
        <v>1</v>
      </c>
      <c r="S385" s="6">
        <f>IF(PA[[#This Row],[String Type(If String BD)]]="",1,0)</f>
        <v>1</v>
      </c>
      <c r="T3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385" s="68">
        <f>IFERROR(VLOOKUP(PA[[#This Row],[Affected Equipment ]],'Basic Data '!$A$1:$B$1846,2,0),"")</f>
        <v>2090.61</v>
      </c>
      <c r="V385" s="143">
        <f>IFERROR(VLOOKUP(PA[[#This Row],[Affected Equipment ]],'Basic Data '!$A$1:$C$1846,3,0),"")</f>
        <v>6.2389321109788095E-3</v>
      </c>
      <c r="W385" s="178" t="s">
        <v>427</v>
      </c>
      <c r="X385" s="110" t="s">
        <v>473</v>
      </c>
      <c r="Y385" s="110" t="s">
        <v>474</v>
      </c>
      <c r="Z385" s="109">
        <v>0.58333333333333337</v>
      </c>
      <c r="AA385" s="109">
        <v>0.58333333333333337</v>
      </c>
      <c r="AB385" s="109">
        <v>0.58333333333333337</v>
      </c>
      <c r="AC385" s="109">
        <v>0.80833333333333335</v>
      </c>
      <c r="AD385" s="82">
        <f>IF(PA[[#This Row],[Acknowledgement Time ]]="NA","",(PA[[#This Row],[Acknowledgement Time ]]-PA[[#This Row],[Fault Time]])*24)</f>
        <v>0</v>
      </c>
      <c r="AE385" s="82">
        <f>IF(PA[[#This Row],[Work Start time on Fault]]="NA","",(PA[[#This Row],[Work Start time on Fault]]-PA[[#This Row],[Fault Time]])*24)</f>
        <v>0</v>
      </c>
      <c r="AF385" s="111">
        <f>IF(PA[[#This Row],[Status]]="Open","",(PA[[#This Row],[Work Completion time on fault]]-PA[[#This Row],[Fault Time]])*24)</f>
        <v>5.3999999999999995</v>
      </c>
      <c r="AG385" s="82">
        <f>IFERROR((PA[[#This Row],[Work Completion time on fault]]-PA[[#This Row],[Fault Time]])*24,"")</f>
        <v>5.3999999999999995</v>
      </c>
      <c r="AH385" s="110" t="s">
        <v>2662</v>
      </c>
      <c r="AI385" s="79" t="s">
        <v>422</v>
      </c>
      <c r="AJ385" s="68">
        <f>IFERROR(PA[[#This Row],[Breakdown Time]]*PA[[#This Row],[Plant Equivalent Weightage]],"")</f>
        <v>3.369023339928557E-2</v>
      </c>
      <c r="AK385" s="117">
        <v>2.0457028333333334</v>
      </c>
      <c r="AL385" s="116">
        <f>IF(PA[[#This Row],[Lost PoA(Wh/m2)]]&gt;0,_xlfn.XLOOKUP($B385,'Daily KPI'!$A:$A,'Daily KPI'!$AE:$AE)*PA[[#This Row],[Lost PoA(Wh/m2)]]*U385,0)</f>
        <v>3592.5505182862107</v>
      </c>
      <c r="AM385" s="176" t="s">
        <v>2663</v>
      </c>
    </row>
    <row r="386" spans="1:39" ht="14" customHeight="1">
      <c r="A386" s="177">
        <f t="shared" si="6"/>
        <v>383</v>
      </c>
      <c r="B386" s="185">
        <v>45850</v>
      </c>
      <c r="C386" s="178" t="s">
        <v>477</v>
      </c>
      <c r="D386" s="6">
        <f>YEAR(PA[[#This Row],[Date]])</f>
        <v>2025</v>
      </c>
      <c r="E386" s="178" t="s">
        <v>361</v>
      </c>
      <c r="F386" s="178" t="s">
        <v>361</v>
      </c>
      <c r="G386" s="179">
        <v>45839</v>
      </c>
      <c r="H386" s="176">
        <f>DAY(EOMONTH(PA[[#This Row],[Month Year]],0))</f>
        <v>31</v>
      </c>
      <c r="I386" s="180">
        <f>VLOOKUP(PA[[#This Row],[Date]],Raw_Data[#All],9,0)</f>
        <v>0.27152777777777776</v>
      </c>
      <c r="J386" s="180">
        <f>VLOOKUP(PA[[#This Row],[Date]],Raw_Data[#All],10,0)</f>
        <v>0.81388888888888888</v>
      </c>
      <c r="K386" s="68">
        <f>IFERROR((PA[[#This Row],[Sunset Time (POA&lt;20 W/m2)]]-PA[[#This Row],[Sunrise Time (POA&gt;20 W/m2)]])*24,"")</f>
        <v>13.016666666666666</v>
      </c>
      <c r="L386" s="178" t="s">
        <v>439</v>
      </c>
      <c r="M386" s="178" t="s">
        <v>401</v>
      </c>
      <c r="N386" s="178" t="s">
        <v>395</v>
      </c>
      <c r="O386" s="178"/>
      <c r="P386" s="178"/>
      <c r="Q386" s="178"/>
      <c r="R386" s="6">
        <f>IF((PA[[#This Row],[String Type(If String BD)]]&amp;PA[[#This Row],[Equipment (If any BD other than PV  array and inv)]])="",1,0)</f>
        <v>1</v>
      </c>
      <c r="S386" s="6">
        <f>IF(PA[[#This Row],[String Type(If String BD)]]="",1,0)</f>
        <v>1</v>
      </c>
      <c r="T3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86" s="68">
        <f>IFERROR(VLOOKUP(PA[[#This Row],[Affected Equipment ]],'Basic Data '!$A$1:$B$1846,2,0),"")</f>
        <v>2004.4799999999998</v>
      </c>
      <c r="V386" s="143">
        <f>IFERROR(VLOOKUP(PA[[#This Row],[Affected Equipment ]],'Basic Data '!$A$1:$C$1846,3,0),"")</f>
        <v>5.9818974547212545E-3</v>
      </c>
      <c r="W386" s="178" t="s">
        <v>427</v>
      </c>
      <c r="X386" s="110" t="s">
        <v>2664</v>
      </c>
      <c r="Y386" s="110" t="s">
        <v>2664</v>
      </c>
      <c r="Z386" s="109">
        <v>0.27152777777777776</v>
      </c>
      <c r="AA386" s="109">
        <v>0.27152777777777776</v>
      </c>
      <c r="AB386" s="109">
        <v>0.28819444444444442</v>
      </c>
      <c r="AC386" s="109">
        <v>0.81388888888888888</v>
      </c>
      <c r="AD386" s="82">
        <f>IF(PA[[#This Row],[Acknowledgement Time ]]="NA","",(PA[[#This Row],[Acknowledgement Time ]]-PA[[#This Row],[Fault Time]])*24)</f>
        <v>0</v>
      </c>
      <c r="AE386" s="82">
        <f>IF(PA[[#This Row],[Work Start time on Fault]]="NA","",(PA[[#This Row],[Work Start time on Fault]]-PA[[#This Row],[Fault Time]])*24)</f>
        <v>0.39999999999999991</v>
      </c>
      <c r="AF386" s="111">
        <f>IF(PA[[#This Row],[Status]]="Open","",(PA[[#This Row],[Work Completion time on fault]]-PA[[#This Row],[Fault Time]])*24)</f>
        <v>13.016666666666666</v>
      </c>
      <c r="AG386" s="82">
        <f>IFERROR((PA[[#This Row],[Work Completion time on fault]]-PA[[#This Row],[Fault Time]])*24,"")</f>
        <v>13.016666666666666</v>
      </c>
      <c r="AH386" s="110" t="s">
        <v>2666</v>
      </c>
      <c r="AI386" s="79" t="s">
        <v>422</v>
      </c>
      <c r="AJ386" s="68">
        <f>IFERROR(PA[[#This Row],[Breakdown Time]]*PA[[#This Row],[Plant Equivalent Weightage]],"")</f>
        <v>7.786436520228833E-2</v>
      </c>
      <c r="AK386" s="117">
        <v>4.1822505666666672</v>
      </c>
      <c r="AL386" s="116">
        <f>IF(PA[[#This Row],[Lost PoA(Wh/m2)]]&gt;0,_xlfn.XLOOKUP($B386,'Daily KPI'!$A:$A,'Daily KPI'!$AE:$AE)*PA[[#This Row],[Lost PoA(Wh/m2)]]*U386,0)</f>
        <v>7042.0497650317993</v>
      </c>
      <c r="AM386" s="176" t="s">
        <v>2667</v>
      </c>
    </row>
    <row r="387" spans="1:39" ht="14" customHeight="1">
      <c r="A387" s="177">
        <f t="shared" si="6"/>
        <v>384</v>
      </c>
      <c r="B387" s="185">
        <v>45850</v>
      </c>
      <c r="C387" s="178" t="s">
        <v>477</v>
      </c>
      <c r="D387" s="6">
        <f>YEAR(PA[[#This Row],[Date]])</f>
        <v>2025</v>
      </c>
      <c r="E387" s="178" t="s">
        <v>361</v>
      </c>
      <c r="F387" s="178" t="s">
        <v>361</v>
      </c>
      <c r="G387" s="179">
        <v>45839</v>
      </c>
      <c r="H387" s="176">
        <f>DAY(EOMONTH(PA[[#This Row],[Month Year]],0))</f>
        <v>31</v>
      </c>
      <c r="I387" s="180">
        <f>VLOOKUP(PA[[#This Row],[Date]],Raw_Data[#All],9,0)</f>
        <v>0.27152777777777776</v>
      </c>
      <c r="J387" s="180">
        <f>VLOOKUP(PA[[#This Row],[Date]],Raw_Data[#All],10,0)</f>
        <v>0.81388888888888888</v>
      </c>
      <c r="K387" s="68">
        <f>IFERROR((PA[[#This Row],[Sunset Time (POA&lt;20 W/m2)]]-PA[[#This Row],[Sunrise Time (POA&gt;20 W/m2)]])*24,"")</f>
        <v>13.016666666666666</v>
      </c>
      <c r="L387" s="178" t="s">
        <v>439</v>
      </c>
      <c r="M387" s="178" t="s">
        <v>401</v>
      </c>
      <c r="N387" s="178" t="s">
        <v>402</v>
      </c>
      <c r="O387" s="178"/>
      <c r="P387" s="178"/>
      <c r="Q387" s="178"/>
      <c r="R387" s="6">
        <f>IF((PA[[#This Row],[String Type(If String BD)]]&amp;PA[[#This Row],[Equipment (If any BD other than PV  array and inv)]])="",1,0)</f>
        <v>1</v>
      </c>
      <c r="S387" s="6">
        <f>IF(PA[[#This Row],[String Type(If String BD)]]="",1,0)</f>
        <v>1</v>
      </c>
      <c r="T3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IS17INV4M1</v>
      </c>
      <c r="U387" s="68">
        <f>IFERROR(VLOOKUP(PA[[#This Row],[Affected Equipment ]],'Basic Data '!$A$1:$B$1846,2,0),"")</f>
        <v>2004.4799999999998</v>
      </c>
      <c r="V387" s="143">
        <f>IFERROR(VLOOKUP(PA[[#This Row],[Affected Equipment ]],'Basic Data '!$A$1:$C$1846,3,0),"")</f>
        <v>5.9818974547212545E-3</v>
      </c>
      <c r="W387" s="178" t="s">
        <v>427</v>
      </c>
      <c r="X387" s="110" t="s">
        <v>2665</v>
      </c>
      <c r="Y387" s="110" t="s">
        <v>2665</v>
      </c>
      <c r="Z387" s="109">
        <v>0.31458333333333333</v>
      </c>
      <c r="AA387" s="109">
        <v>0.31458333333333333</v>
      </c>
      <c r="AB387" s="109">
        <v>0.31458333333333333</v>
      </c>
      <c r="AC387" s="109">
        <v>0.375</v>
      </c>
      <c r="AD387" s="82">
        <f>IF(PA[[#This Row],[Acknowledgement Time ]]="NA","",(PA[[#This Row],[Acknowledgement Time ]]-PA[[#This Row],[Fault Time]])*24)</f>
        <v>0</v>
      </c>
      <c r="AE387" s="82">
        <f>IF(PA[[#This Row],[Work Start time on Fault]]="NA","",(PA[[#This Row],[Work Start time on Fault]]-PA[[#This Row],[Fault Time]])*24)</f>
        <v>0</v>
      </c>
      <c r="AF387" s="111">
        <f>IF(PA[[#This Row],[Status]]="Open","",(PA[[#This Row],[Work Completion time on fault]]-PA[[#This Row],[Fault Time]])*24)</f>
        <v>1.4500000000000002</v>
      </c>
      <c r="AG387" s="82">
        <f>IFERROR((PA[[#This Row],[Work Completion time on fault]]-PA[[#This Row],[Fault Time]])*24,"")</f>
        <v>1.4500000000000002</v>
      </c>
      <c r="AH387" s="110" t="s">
        <v>2665</v>
      </c>
      <c r="AI387" s="79" t="s">
        <v>422</v>
      </c>
      <c r="AJ387" s="68">
        <f>IFERROR(PA[[#This Row],[Breakdown Time]]*PA[[#This Row],[Plant Equivalent Weightage]],"")</f>
        <v>8.6737513093458202E-3</v>
      </c>
      <c r="AK387" s="117">
        <v>0.50494166666666662</v>
      </c>
      <c r="AL387" s="116">
        <f>IF(PA[[#This Row],[Lost PoA(Wh/m2)]]&gt;0,_xlfn.XLOOKUP($B387,'Daily KPI'!$A:$A,'Daily KPI'!$AE:$AE)*PA[[#This Row],[Lost PoA(Wh/m2)]]*U387,0)</f>
        <v>850.2179122038649</v>
      </c>
      <c r="AM387" s="176" t="s">
        <v>2667</v>
      </c>
    </row>
    <row r="388" spans="1:39" ht="14" customHeight="1">
      <c r="A388" s="177">
        <f t="shared" si="6"/>
        <v>385</v>
      </c>
      <c r="B388" s="185">
        <v>45851</v>
      </c>
      <c r="C388" s="178" t="s">
        <v>477</v>
      </c>
      <c r="D388" s="6">
        <f>YEAR(PA[[#This Row],[Date]])</f>
        <v>2025</v>
      </c>
      <c r="E388" s="178" t="s">
        <v>361</v>
      </c>
      <c r="F388" s="178" t="s">
        <v>361</v>
      </c>
      <c r="G388" s="179">
        <v>45839</v>
      </c>
      <c r="H388" s="176">
        <f>DAY(EOMONTH(PA[[#This Row],[Month Year]],0))</f>
        <v>31</v>
      </c>
      <c r="I388" s="180">
        <f>VLOOKUP(PA[[#This Row],[Date]],Raw_Data[#All],9,0)</f>
        <v>0.26527777777777778</v>
      </c>
      <c r="J388" s="180">
        <f>VLOOKUP(PA[[#This Row],[Date]],Raw_Data[#All],10,0)</f>
        <v>0.81527777777777777</v>
      </c>
      <c r="K388" s="68">
        <f>IFERROR((PA[[#This Row],[Sunset Time (POA&lt;20 W/m2)]]-PA[[#This Row],[Sunrise Time (POA&gt;20 W/m2)]])*24,"")</f>
        <v>13.200000000000001</v>
      </c>
      <c r="L388" s="178" t="s">
        <v>454</v>
      </c>
      <c r="M388" s="178"/>
      <c r="N388" s="178"/>
      <c r="O388" s="178"/>
      <c r="P388" s="178"/>
      <c r="Q388" s="178" t="s">
        <v>420</v>
      </c>
      <c r="R388" s="6">
        <f>IF((PA[[#This Row],[String Type(If String BD)]]&amp;PA[[#This Row],[Equipment (If any BD other than PV  array and inv)]])="",1,0)</f>
        <v>0</v>
      </c>
      <c r="S388" s="6">
        <f>IF(PA[[#This Row],[String Type(If String BD)]]="",1,0)</f>
        <v>1</v>
      </c>
      <c r="T3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388" s="68">
        <f>IFERROR(VLOOKUP(PA[[#This Row],[Affected Equipment ]],'Basic Data '!$A$1:$B$1846,2,0),"")</f>
        <v>16443</v>
      </c>
      <c r="V388" s="143">
        <f>IFERROR(VLOOKUP(PA[[#This Row],[Affected Equipment ]],'Basic Data '!$A$1:$C$1846,3,0),"")</f>
        <v>4.9070252558260294E-2</v>
      </c>
      <c r="W388" s="178" t="s">
        <v>421</v>
      </c>
      <c r="X388" s="110" t="s">
        <v>468</v>
      </c>
      <c r="Y388" s="110" t="s">
        <v>468</v>
      </c>
      <c r="Z388" s="109">
        <v>0.26527777777777778</v>
      </c>
      <c r="AA388" s="109">
        <v>0.26527777777777778</v>
      </c>
      <c r="AB388" s="109">
        <v>0.2986111111111111</v>
      </c>
      <c r="AC388" s="109">
        <v>0.5229166666666667</v>
      </c>
      <c r="AD388" s="82">
        <f>IF(PA[[#This Row],[Acknowledgement Time ]]="NA","",(PA[[#This Row],[Acknowledgement Time ]]-PA[[#This Row],[Fault Time]])*24)</f>
        <v>0</v>
      </c>
      <c r="AE388" s="82">
        <f>IF(PA[[#This Row],[Work Start time on Fault]]="NA","",(PA[[#This Row],[Work Start time on Fault]]-PA[[#This Row],[Fault Time]])*24)</f>
        <v>0.79999999999999982</v>
      </c>
      <c r="AF388" s="111">
        <f>IF(PA[[#This Row],[Status]]="Open","",(PA[[#This Row],[Work Completion time on fault]]-PA[[#This Row],[Fault Time]])*24)</f>
        <v>6.1833333333333336</v>
      </c>
      <c r="AG388" s="82">
        <f>IFERROR((PA[[#This Row],[Work Completion time on fault]]-PA[[#This Row],[Fault Time]])*24,"")</f>
        <v>6.1833333333333336</v>
      </c>
      <c r="AH388" s="110" t="s">
        <v>2668</v>
      </c>
      <c r="AI388" s="79" t="s">
        <v>422</v>
      </c>
      <c r="AJ388" s="68">
        <f>IFERROR(PA[[#This Row],[Breakdown Time]]*PA[[#This Row],[Plant Equivalent Weightage]],"")</f>
        <v>0.30341772831857616</v>
      </c>
      <c r="AK388" s="117">
        <v>3.1930948333333333</v>
      </c>
      <c r="AL388" s="116">
        <f>IF(PA[[#This Row],[Lost PoA(Wh/m2)]]&gt;0,_xlfn.XLOOKUP($B388,'Daily KPI'!$A:$A,'Daily KPI'!$AE:$AE)*PA[[#This Row],[Lost PoA(Wh/m2)]]*U388,0)</f>
        <v>44104.224247214443</v>
      </c>
      <c r="AM388" s="176" t="s">
        <v>2674</v>
      </c>
    </row>
    <row r="389" spans="1:39" ht="14" customHeight="1">
      <c r="A389" s="177">
        <f t="shared" si="6"/>
        <v>386</v>
      </c>
      <c r="B389" s="185">
        <v>45851</v>
      </c>
      <c r="C389" s="178" t="s">
        <v>477</v>
      </c>
      <c r="D389" s="6">
        <f>YEAR(PA[[#This Row],[Date]])</f>
        <v>2025</v>
      </c>
      <c r="E389" s="178" t="s">
        <v>361</v>
      </c>
      <c r="F389" s="178" t="s">
        <v>361</v>
      </c>
      <c r="G389" s="179">
        <v>45839</v>
      </c>
      <c r="H389" s="176">
        <f>DAY(EOMONTH(PA[[#This Row],[Month Year]],0))</f>
        <v>31</v>
      </c>
      <c r="I389" s="180">
        <f>VLOOKUP(PA[[#This Row],[Date]],Raw_Data[#All],9,0)</f>
        <v>0.26527777777777778</v>
      </c>
      <c r="J389" s="180">
        <f>VLOOKUP(PA[[#This Row],[Date]],Raw_Data[#All],10,0)</f>
        <v>0.81527777777777777</v>
      </c>
      <c r="K389" s="68">
        <f>IFERROR((PA[[#This Row],[Sunset Time (POA&lt;20 W/m2)]]-PA[[#This Row],[Sunrise Time (POA&gt;20 W/m2)]])*24,"")</f>
        <v>13.200000000000001</v>
      </c>
      <c r="L389" s="178" t="s">
        <v>454</v>
      </c>
      <c r="M389" s="178" t="s">
        <v>408</v>
      </c>
      <c r="N389" s="178" t="s">
        <v>402</v>
      </c>
      <c r="O389" s="178"/>
      <c r="P389" s="178"/>
      <c r="Q389" s="178"/>
      <c r="R389" s="6">
        <f>IF((PA[[#This Row],[String Type(If String BD)]]&amp;PA[[#This Row],[Equipment (If any BD other than PV  array and inv)]])="",1,0)</f>
        <v>1</v>
      </c>
      <c r="S389" s="6">
        <f>IF(PA[[#This Row],[String Type(If String BD)]]="",1,0)</f>
        <v>1</v>
      </c>
      <c r="T3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89" s="68">
        <f>IFERROR(VLOOKUP(PA[[#This Row],[Affected Equipment ]],'Basic Data '!$A$1:$B$1846,2,0),"")</f>
        <v>2098.4399999999996</v>
      </c>
      <c r="V389" s="143">
        <f>IFERROR(VLOOKUP(PA[[#This Row],[Affected Equipment ]],'Basic Data '!$A$1:$C$1846,3,0),"")</f>
        <v>6.2622988979113125E-3</v>
      </c>
      <c r="W389" s="178" t="s">
        <v>427</v>
      </c>
      <c r="X389" s="110" t="s">
        <v>2669</v>
      </c>
      <c r="Y389" s="110" t="s">
        <v>2669</v>
      </c>
      <c r="Z389" s="109">
        <v>0.5229166666666667</v>
      </c>
      <c r="AA389" s="109">
        <v>0.5229166666666667</v>
      </c>
      <c r="AB389" s="109">
        <v>0.5229166666666667</v>
      </c>
      <c r="AC389" s="109">
        <v>0.81527777777777777</v>
      </c>
      <c r="AD389" s="82">
        <f>IF(PA[[#This Row],[Acknowledgement Time ]]="NA","",(PA[[#This Row],[Acknowledgement Time ]]-PA[[#This Row],[Fault Time]])*24)</f>
        <v>0</v>
      </c>
      <c r="AE389" s="82">
        <f>IF(PA[[#This Row],[Work Start time on Fault]]="NA","",(PA[[#This Row],[Work Start time on Fault]]-PA[[#This Row],[Fault Time]])*24)</f>
        <v>0</v>
      </c>
      <c r="AF389" s="111">
        <f>IF(PA[[#This Row],[Status]]="Open","",(PA[[#This Row],[Work Completion time on fault]]-PA[[#This Row],[Fault Time]])*24)</f>
        <v>7.0166666666666657</v>
      </c>
      <c r="AG389" s="82">
        <f>IFERROR((PA[[#This Row],[Work Completion time on fault]]-PA[[#This Row],[Fault Time]])*24,"")</f>
        <v>7.0166666666666657</v>
      </c>
      <c r="AH389" s="110" t="s">
        <v>2671</v>
      </c>
      <c r="AI389" s="79" t="s">
        <v>422</v>
      </c>
      <c r="AJ389" s="68">
        <f>IFERROR(PA[[#This Row],[Breakdown Time]]*PA[[#This Row],[Plant Equivalent Weightage]],"")</f>
        <v>4.3940463933677704E-2</v>
      </c>
      <c r="AK389" s="117">
        <v>3.5924720000000003</v>
      </c>
      <c r="AL389" s="116">
        <f>IF(PA[[#This Row],[Lost PoA(Wh/m2)]]&gt;0,_xlfn.XLOOKUP($B389,'Daily KPI'!$A:$A,'Daily KPI'!$AE:$AE)*PA[[#This Row],[Lost PoA(Wh/m2)]]*U389,0)</f>
        <v>6332.5300853817635</v>
      </c>
      <c r="AM389" s="176" t="s">
        <v>2673</v>
      </c>
    </row>
    <row r="390" spans="1:39" ht="14" customHeight="1">
      <c r="A390" s="177">
        <f t="shared" ref="A390:A453" si="7">A389+1</f>
        <v>387</v>
      </c>
      <c r="B390" s="185">
        <v>45851</v>
      </c>
      <c r="C390" s="178" t="s">
        <v>477</v>
      </c>
      <c r="D390" s="6">
        <f>YEAR(PA[[#This Row],[Date]])</f>
        <v>2025</v>
      </c>
      <c r="E390" s="178" t="s">
        <v>361</v>
      </c>
      <c r="F390" s="178" t="s">
        <v>361</v>
      </c>
      <c r="G390" s="179">
        <v>45839</v>
      </c>
      <c r="H390" s="176">
        <f>DAY(EOMONTH(PA[[#This Row],[Month Year]],0))</f>
        <v>31</v>
      </c>
      <c r="I390" s="180">
        <f>VLOOKUP(PA[[#This Row],[Date]],Raw_Data[#All],9,0)</f>
        <v>0.26527777777777778</v>
      </c>
      <c r="J390" s="180">
        <f>VLOOKUP(PA[[#This Row],[Date]],Raw_Data[#All],10,0)</f>
        <v>0.81527777777777777</v>
      </c>
      <c r="K390" s="68">
        <f>IFERROR((PA[[#This Row],[Sunset Time (POA&lt;20 W/m2)]]-PA[[#This Row],[Sunrise Time (POA&gt;20 W/m2)]])*24,"")</f>
        <v>13.200000000000001</v>
      </c>
      <c r="L390" s="178" t="s">
        <v>454</v>
      </c>
      <c r="M390" s="178" t="s">
        <v>408</v>
      </c>
      <c r="N390" s="178" t="s">
        <v>395</v>
      </c>
      <c r="O390" s="178"/>
      <c r="P390" s="178"/>
      <c r="Q390" s="178"/>
      <c r="R390" s="6">
        <f>IF((PA[[#This Row],[String Type(If String BD)]]&amp;PA[[#This Row],[Equipment (If any BD other than PV  array and inv)]])="",1,0)</f>
        <v>1</v>
      </c>
      <c r="S390" s="6">
        <f>IF(PA[[#This Row],[String Type(If String BD)]]="",1,0)</f>
        <v>1</v>
      </c>
      <c r="T3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0" s="68">
        <f>IFERROR(VLOOKUP(PA[[#This Row],[Affected Equipment ]],'Basic Data '!$A$1:$B$1846,2,0),"")</f>
        <v>2004.4799999999998</v>
      </c>
      <c r="V390" s="143">
        <f>IFERROR(VLOOKUP(PA[[#This Row],[Affected Equipment ]],'Basic Data '!$A$1:$C$1846,3,0),"")</f>
        <v>5.9818974547212545E-3</v>
      </c>
      <c r="W390" s="178" t="s">
        <v>427</v>
      </c>
      <c r="X390" s="110" t="s">
        <v>2669</v>
      </c>
      <c r="Y390" s="110" t="s">
        <v>2669</v>
      </c>
      <c r="Z390" s="109">
        <v>0.5229166666666667</v>
      </c>
      <c r="AA390" s="109">
        <v>0.5229166666666667</v>
      </c>
      <c r="AB390" s="109">
        <v>0.5229166666666667</v>
      </c>
      <c r="AC390" s="109">
        <v>0.81527777777777777</v>
      </c>
      <c r="AD390" s="82">
        <f>IF(PA[[#This Row],[Acknowledgement Time ]]="NA","",(PA[[#This Row],[Acknowledgement Time ]]-PA[[#This Row],[Fault Time]])*24)</f>
        <v>0</v>
      </c>
      <c r="AE390" s="82">
        <f>IF(PA[[#This Row],[Work Start time on Fault]]="NA","",(PA[[#This Row],[Work Start time on Fault]]-PA[[#This Row],[Fault Time]])*24)</f>
        <v>0</v>
      </c>
      <c r="AF390" s="111">
        <f>IF(PA[[#This Row],[Status]]="Open","",(PA[[#This Row],[Work Completion time on fault]]-PA[[#This Row],[Fault Time]])*24)</f>
        <v>7.0166666666666657</v>
      </c>
      <c r="AG390" s="82">
        <f>IFERROR((PA[[#This Row],[Work Completion time on fault]]-PA[[#This Row],[Fault Time]])*24,"")</f>
        <v>7.0166666666666657</v>
      </c>
      <c r="AH390" s="110" t="s">
        <v>2671</v>
      </c>
      <c r="AI390" s="79" t="s">
        <v>422</v>
      </c>
      <c r="AJ390" s="68">
        <f>IFERROR(PA[[#This Row],[Breakdown Time]]*PA[[#This Row],[Plant Equivalent Weightage]],"")</f>
        <v>4.1972980473960794E-2</v>
      </c>
      <c r="AK390" s="117">
        <v>3.5924720000000003</v>
      </c>
      <c r="AL390" s="116">
        <f>IF(PA[[#This Row],[Lost PoA(Wh/m2)]]&gt;0,_xlfn.XLOOKUP($B390,'Daily KPI'!$A:$A,'Daily KPI'!$AE:$AE)*PA[[#This Row],[Lost PoA(Wh/m2)]]*U390,0)</f>
        <v>6048.9839621557148</v>
      </c>
      <c r="AM390" s="176" t="s">
        <v>2673</v>
      </c>
    </row>
    <row r="391" spans="1:39" ht="14" customHeight="1">
      <c r="A391" s="177">
        <f t="shared" si="7"/>
        <v>388</v>
      </c>
      <c r="B391" s="185">
        <v>45851</v>
      </c>
      <c r="C391" s="178" t="s">
        <v>477</v>
      </c>
      <c r="D391" s="6">
        <f>YEAR(PA[[#This Row],[Date]])</f>
        <v>2025</v>
      </c>
      <c r="E391" s="178" t="s">
        <v>361</v>
      </c>
      <c r="F391" s="178" t="s">
        <v>361</v>
      </c>
      <c r="G391" s="179">
        <v>45839</v>
      </c>
      <c r="H391" s="176">
        <f>DAY(EOMONTH(PA[[#This Row],[Month Year]],0))</f>
        <v>31</v>
      </c>
      <c r="I391" s="180">
        <f>VLOOKUP(PA[[#This Row],[Date]],Raw_Data[#All],9,0)</f>
        <v>0.26527777777777778</v>
      </c>
      <c r="J391" s="180">
        <f>VLOOKUP(PA[[#This Row],[Date]],Raw_Data[#All],10,0)</f>
        <v>0.81527777777777777</v>
      </c>
      <c r="K391" s="68">
        <f>IFERROR((PA[[#This Row],[Sunset Time (POA&lt;20 W/m2)]]-PA[[#This Row],[Sunrise Time (POA&gt;20 W/m2)]])*24,"")</f>
        <v>13.200000000000001</v>
      </c>
      <c r="L391" s="178" t="s">
        <v>439</v>
      </c>
      <c r="M391" s="178" t="s">
        <v>401</v>
      </c>
      <c r="N391" s="178" t="s">
        <v>395</v>
      </c>
      <c r="O391" s="178"/>
      <c r="P391" s="178"/>
      <c r="Q391" s="178"/>
      <c r="R391" s="6">
        <f>IF((PA[[#This Row],[String Type(If String BD)]]&amp;PA[[#This Row],[Equipment (If any BD other than PV  array and inv)]])="",1,0)</f>
        <v>1</v>
      </c>
      <c r="S391" s="6">
        <f>IF(PA[[#This Row],[String Type(If String BD)]]="",1,0)</f>
        <v>1</v>
      </c>
      <c r="T3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91" s="68">
        <f>IFERROR(VLOOKUP(PA[[#This Row],[Affected Equipment ]],'Basic Data '!$A$1:$B$1846,2,0),"")</f>
        <v>2004.4799999999998</v>
      </c>
      <c r="V391" s="143">
        <f>IFERROR(VLOOKUP(PA[[#This Row],[Affected Equipment ]],'Basic Data '!$A$1:$C$1846,3,0),"")</f>
        <v>5.9818974547212545E-3</v>
      </c>
      <c r="W391" s="178" t="s">
        <v>427</v>
      </c>
      <c r="X391" s="110" t="s">
        <v>2664</v>
      </c>
      <c r="Y391" s="110" t="s">
        <v>2664</v>
      </c>
      <c r="Z391" s="109">
        <v>0.26527777777777778</v>
      </c>
      <c r="AA391" s="109">
        <v>0.26527777777777778</v>
      </c>
      <c r="AB391" s="109">
        <v>0.26527777777777778</v>
      </c>
      <c r="AC391" s="109">
        <v>0.81527777777777777</v>
      </c>
      <c r="AD391" s="82">
        <f>IF(PA[[#This Row],[Acknowledgement Time ]]="NA","",(PA[[#This Row],[Acknowledgement Time ]]-PA[[#This Row],[Fault Time]])*24)</f>
        <v>0</v>
      </c>
      <c r="AE391" s="82">
        <f>IF(PA[[#This Row],[Work Start time on Fault]]="NA","",(PA[[#This Row],[Work Start time on Fault]]-PA[[#This Row],[Fault Time]])*24)</f>
        <v>0</v>
      </c>
      <c r="AF391" s="111">
        <f>IF(PA[[#This Row],[Status]]="Open","",(PA[[#This Row],[Work Completion time on fault]]-PA[[#This Row],[Fault Time]])*24)</f>
        <v>13.200000000000001</v>
      </c>
      <c r="AG391" s="82">
        <f>IFERROR((PA[[#This Row],[Work Completion time on fault]]-PA[[#This Row],[Fault Time]])*24,"")</f>
        <v>13.200000000000001</v>
      </c>
      <c r="AH391" s="110" t="s">
        <v>2670</v>
      </c>
      <c r="AI391" s="79" t="s">
        <v>422</v>
      </c>
      <c r="AJ391" s="68">
        <f>IFERROR(PA[[#This Row],[Breakdown Time]]*PA[[#This Row],[Plant Equivalent Weightage]],"")</f>
        <v>7.8961046402320559E-2</v>
      </c>
      <c r="AK391" s="117">
        <v>6.6725176666666668</v>
      </c>
      <c r="AL391" s="116">
        <f>IF(PA[[#This Row],[Lost PoA(Wh/m2)]]&gt;0,_xlfn.XLOOKUP($B391,'Daily KPI'!$A:$A,'Daily KPI'!$AE:$AE)*PA[[#This Row],[Lost PoA(Wh/m2)]]*U391,0)</f>
        <v>11235.147372858393</v>
      </c>
      <c r="AM391" s="176" t="s">
        <v>2672</v>
      </c>
    </row>
    <row r="392" spans="1:39" ht="14" customHeight="1">
      <c r="A392" s="177">
        <f t="shared" si="7"/>
        <v>389</v>
      </c>
      <c r="B392" s="185">
        <v>45852</v>
      </c>
      <c r="C392" s="178" t="s">
        <v>477</v>
      </c>
      <c r="D392" s="6">
        <f>YEAR(PA[[#This Row],[Date]])</f>
        <v>2025</v>
      </c>
      <c r="E392" s="178" t="s">
        <v>361</v>
      </c>
      <c r="F392" s="178" t="s">
        <v>361</v>
      </c>
      <c r="G392" s="179">
        <v>45839</v>
      </c>
      <c r="H392" s="176">
        <f>DAY(EOMONTH(PA[[#This Row],[Month Year]],0))</f>
        <v>31</v>
      </c>
      <c r="I392" s="180">
        <f>VLOOKUP(PA[[#This Row],[Date]],Raw_Data[#All],9,0)</f>
        <v>0.26944444444444443</v>
      </c>
      <c r="J392" s="180">
        <f>VLOOKUP(PA[[#This Row],[Date]],Raw_Data[#All],10,0)</f>
        <v>0.80069444444444449</v>
      </c>
      <c r="K392" s="68">
        <f>IFERROR((PA[[#This Row],[Sunset Time (POA&lt;20 W/m2)]]-PA[[#This Row],[Sunrise Time (POA&gt;20 W/m2)]])*24,"")</f>
        <v>12.75</v>
      </c>
      <c r="L392" s="178" t="s">
        <v>393</v>
      </c>
      <c r="M392" s="178" t="s">
        <v>401</v>
      </c>
      <c r="N392" s="178" t="s">
        <v>395</v>
      </c>
      <c r="O392" s="178"/>
      <c r="P392" s="178"/>
      <c r="Q392" s="178"/>
      <c r="R392" s="6">
        <f>IF((PA[[#This Row],[String Type(If String BD)]]&amp;PA[[#This Row],[Equipment (If any BD other than PV  array and inv)]])="",1,0)</f>
        <v>1</v>
      </c>
      <c r="S392" s="6">
        <f>IF(PA[[#This Row],[String Type(If String BD)]]="",1,0)</f>
        <v>1</v>
      </c>
      <c r="T3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IS2INV4M2</v>
      </c>
      <c r="U392" s="68">
        <f>IFERROR(VLOOKUP(PA[[#This Row],[Affected Equipment ]],'Basic Data '!$A$1:$B$1846,2,0),"")</f>
        <v>2090.61</v>
      </c>
      <c r="V392" s="143">
        <f>IFERROR(VLOOKUP(PA[[#This Row],[Affected Equipment ]],'Basic Data '!$A$1:$C$1846,3,0),"")</f>
        <v>6.2389321109788095E-3</v>
      </c>
      <c r="W392" s="178" t="s">
        <v>427</v>
      </c>
      <c r="X392" s="110" t="s">
        <v>452</v>
      </c>
      <c r="Y392" s="110" t="s">
        <v>452</v>
      </c>
      <c r="Z392" s="109">
        <v>0.26944444444444443</v>
      </c>
      <c r="AA392" s="109">
        <v>0.26944444444444443</v>
      </c>
      <c r="AB392" s="109">
        <v>0.26944444444444443</v>
      </c>
      <c r="AC392" s="109">
        <v>0.80069444444444449</v>
      </c>
      <c r="AD392" s="82">
        <f>IF(PA[[#This Row],[Acknowledgement Time ]]="NA","",(PA[[#This Row],[Acknowledgement Time ]]-PA[[#This Row],[Fault Time]])*24)</f>
        <v>0</v>
      </c>
      <c r="AE392" s="82">
        <f>IF(PA[[#This Row],[Work Start time on Fault]]="NA","",(PA[[#This Row],[Work Start time on Fault]]-PA[[#This Row],[Fault Time]])*24)</f>
        <v>0</v>
      </c>
      <c r="AF392" s="111">
        <f>IF(PA[[#This Row],[Status]]="Open","",(PA[[#This Row],[Work Completion time on fault]]-PA[[#This Row],[Fault Time]])*24)</f>
        <v>12.75</v>
      </c>
      <c r="AG392" s="82">
        <f>IFERROR((PA[[#This Row],[Work Completion time on fault]]-PA[[#This Row],[Fault Time]])*24,"")</f>
        <v>12.75</v>
      </c>
      <c r="AH392" s="110" t="s">
        <v>2679</v>
      </c>
      <c r="AI392" s="79" t="s">
        <v>422</v>
      </c>
      <c r="AJ392" s="68">
        <f>IFERROR(PA[[#This Row],[Breakdown Time]]*PA[[#This Row],[Plant Equivalent Weightage]],"")</f>
        <v>7.9546384414979826E-2</v>
      </c>
      <c r="AK392" s="117">
        <v>5.6903569999999997</v>
      </c>
      <c r="AL392" s="116">
        <f>IF(PA[[#This Row],[Lost PoA(Wh/m2)]]&gt;0,_xlfn.XLOOKUP($B392,'Daily KPI'!$A:$A,'Daily KPI'!$AE:$AE)*PA[[#This Row],[Lost PoA(Wh/m2)]]*U392,0)</f>
        <v>9993.0912039033865</v>
      </c>
      <c r="AM392" s="176" t="s">
        <v>2683</v>
      </c>
    </row>
    <row r="393" spans="1:39" ht="14" customHeight="1">
      <c r="A393" s="177">
        <f t="shared" si="7"/>
        <v>390</v>
      </c>
      <c r="B393" s="185">
        <v>45852</v>
      </c>
      <c r="C393" s="178" t="s">
        <v>477</v>
      </c>
      <c r="D393" s="6">
        <f>YEAR(PA[[#This Row],[Date]])</f>
        <v>2025</v>
      </c>
      <c r="E393" s="178" t="s">
        <v>361</v>
      </c>
      <c r="F393" s="178" t="s">
        <v>361</v>
      </c>
      <c r="G393" s="179">
        <v>45839</v>
      </c>
      <c r="H393" s="176">
        <f>DAY(EOMONTH(PA[[#This Row],[Month Year]],0))</f>
        <v>31</v>
      </c>
      <c r="I393" s="180">
        <f>VLOOKUP(PA[[#This Row],[Date]],Raw_Data[#All],9,0)</f>
        <v>0.26944444444444443</v>
      </c>
      <c r="J393" s="180">
        <f>VLOOKUP(PA[[#This Row],[Date]],Raw_Data[#All],10,0)</f>
        <v>0.80069444444444449</v>
      </c>
      <c r="K393" s="68">
        <f>IFERROR((PA[[#This Row],[Sunset Time (POA&lt;20 W/m2)]]-PA[[#This Row],[Sunrise Time (POA&gt;20 W/m2)]])*24,"")</f>
        <v>12.75</v>
      </c>
      <c r="L393" s="178" t="s">
        <v>393</v>
      </c>
      <c r="M393" s="178" t="s">
        <v>401</v>
      </c>
      <c r="N393" s="178" t="s">
        <v>402</v>
      </c>
      <c r="O393" s="178"/>
      <c r="P393" s="178"/>
      <c r="Q393" s="178"/>
      <c r="R393" s="6">
        <f>IF((PA[[#This Row],[String Type(If String BD)]]&amp;PA[[#This Row],[Equipment (If any BD other than PV  array and inv)]])="",1,0)</f>
        <v>1</v>
      </c>
      <c r="S393" s="6">
        <f>IF(PA[[#This Row],[String Type(If String BD)]]="",1,0)</f>
        <v>1</v>
      </c>
      <c r="T3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3" s="68">
        <f>IFERROR(VLOOKUP(PA[[#This Row],[Affected Equipment ]],'Basic Data '!$A$1:$B$1846,2,0),"")</f>
        <v>2090.61</v>
      </c>
      <c r="V393" s="143">
        <f>IFERROR(VLOOKUP(PA[[#This Row],[Affected Equipment ]],'Basic Data '!$A$1:$C$1846,3,0),"")</f>
        <v>6.2389321109788095E-3</v>
      </c>
      <c r="W393" s="178" t="s">
        <v>427</v>
      </c>
      <c r="X393" s="110" t="s">
        <v>455</v>
      </c>
      <c r="Y393" s="110" t="s">
        <v>455</v>
      </c>
      <c r="Z393" s="109">
        <v>0.35069444444444442</v>
      </c>
      <c r="AA393" s="109">
        <v>0.35069444444444442</v>
      </c>
      <c r="AB393" s="109">
        <v>0.35069444444444442</v>
      </c>
      <c r="AC393" s="109">
        <v>0.36249999999999999</v>
      </c>
      <c r="AD393" s="82">
        <f>IF(PA[[#This Row],[Acknowledgement Time ]]="NA","",(PA[[#This Row],[Acknowledgement Time ]]-PA[[#This Row],[Fault Time]])*24)</f>
        <v>0</v>
      </c>
      <c r="AE393" s="82">
        <f>IF(PA[[#This Row],[Work Start time on Fault]]="NA","",(PA[[#This Row],[Work Start time on Fault]]-PA[[#This Row],[Fault Time]])*24)</f>
        <v>0</v>
      </c>
      <c r="AF393" s="111">
        <f>IF(PA[[#This Row],[Status]]="Open","",(PA[[#This Row],[Work Completion time on fault]]-PA[[#This Row],[Fault Time]])*24)</f>
        <v>0.28333333333333366</v>
      </c>
      <c r="AG393" s="82">
        <f>IFERROR((PA[[#This Row],[Work Completion time on fault]]-PA[[#This Row],[Fault Time]])*24,"")</f>
        <v>0.28333333333333366</v>
      </c>
      <c r="AH393" s="110" t="s">
        <v>455</v>
      </c>
      <c r="AI393" s="79" t="s">
        <v>422</v>
      </c>
      <c r="AJ393" s="68">
        <f>IFERROR(PA[[#This Row],[Breakdown Time]]*PA[[#This Row],[Plant Equivalent Weightage]],"")</f>
        <v>1.7676974314439981E-3</v>
      </c>
      <c r="AK393" s="117">
        <v>9.9305000000000004E-2</v>
      </c>
      <c r="AL393" s="116">
        <f>IF(PA[[#This Row],[Lost PoA(Wh/m2)]]&gt;0,_xlfn.XLOOKUP($B393,'Daily KPI'!$A:$A,'Daily KPI'!$AE:$AE)*PA[[#This Row],[Lost PoA(Wh/m2)]]*U393,0)</f>
        <v>174.39396544076683</v>
      </c>
      <c r="AM393" s="176" t="s">
        <v>2684</v>
      </c>
    </row>
    <row r="394" spans="1:39" ht="14" customHeight="1">
      <c r="A394" s="177">
        <f t="shared" si="7"/>
        <v>391</v>
      </c>
      <c r="B394" s="185">
        <v>45852</v>
      </c>
      <c r="C394" s="178" t="s">
        <v>477</v>
      </c>
      <c r="D394" s="6">
        <f>YEAR(PA[[#This Row],[Date]])</f>
        <v>2025</v>
      </c>
      <c r="E394" s="178" t="s">
        <v>361</v>
      </c>
      <c r="F394" s="178" t="s">
        <v>361</v>
      </c>
      <c r="G394" s="179">
        <v>45839</v>
      </c>
      <c r="H394" s="176">
        <f>DAY(EOMONTH(PA[[#This Row],[Month Year]],0))</f>
        <v>31</v>
      </c>
      <c r="I394" s="180">
        <f>VLOOKUP(PA[[#This Row],[Date]],Raw_Data[#All],9,0)</f>
        <v>0.26944444444444443</v>
      </c>
      <c r="J394" s="180">
        <f>VLOOKUP(PA[[#This Row],[Date]],Raw_Data[#All],10,0)</f>
        <v>0.80069444444444449</v>
      </c>
      <c r="K394" s="68">
        <f>IFERROR((PA[[#This Row],[Sunset Time (POA&lt;20 W/m2)]]-PA[[#This Row],[Sunrise Time (POA&gt;20 W/m2)]])*24,"")</f>
        <v>12.75</v>
      </c>
      <c r="L394" s="178" t="s">
        <v>393</v>
      </c>
      <c r="M394" s="178" t="s">
        <v>401</v>
      </c>
      <c r="N394" s="178" t="s">
        <v>402</v>
      </c>
      <c r="O394" s="178"/>
      <c r="P394" s="178"/>
      <c r="Q394" s="178"/>
      <c r="R394" s="6">
        <f>IF((PA[[#This Row],[String Type(If String BD)]]&amp;PA[[#This Row],[Equipment (If any BD other than PV  array and inv)]])="",1,0)</f>
        <v>1</v>
      </c>
      <c r="S394" s="6">
        <f>IF(PA[[#This Row],[String Type(If String BD)]]="",1,0)</f>
        <v>1</v>
      </c>
      <c r="T3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4" s="68">
        <f>IFERROR(VLOOKUP(PA[[#This Row],[Affected Equipment ]],'Basic Data '!$A$1:$B$1846,2,0),"")</f>
        <v>2090.61</v>
      </c>
      <c r="V394" s="143">
        <f>IFERROR(VLOOKUP(PA[[#This Row],[Affected Equipment ]],'Basic Data '!$A$1:$C$1846,3,0),"")</f>
        <v>6.2389321109788095E-3</v>
      </c>
      <c r="W394" s="178" t="s">
        <v>427</v>
      </c>
      <c r="X394" s="110" t="s">
        <v>455</v>
      </c>
      <c r="Y394" s="110" t="s">
        <v>455</v>
      </c>
      <c r="Z394" s="109">
        <v>0.42708333333333331</v>
      </c>
      <c r="AA394" s="109">
        <v>0.42708333333333331</v>
      </c>
      <c r="AB394" s="109">
        <v>0.42708333333333331</v>
      </c>
      <c r="AC394" s="109">
        <v>0.45277777777777778</v>
      </c>
      <c r="AD394" s="82">
        <f>IF(PA[[#This Row],[Acknowledgement Time ]]="NA","",(PA[[#This Row],[Acknowledgement Time ]]-PA[[#This Row],[Fault Time]])*24)</f>
        <v>0</v>
      </c>
      <c r="AE394" s="82">
        <f>IF(PA[[#This Row],[Work Start time on Fault]]="NA","",(PA[[#This Row],[Work Start time on Fault]]-PA[[#This Row],[Fault Time]])*24)</f>
        <v>0</v>
      </c>
      <c r="AF394" s="111">
        <f>IF(PA[[#This Row],[Status]]="Open","",(PA[[#This Row],[Work Completion time on fault]]-PA[[#This Row],[Fault Time]])*24)</f>
        <v>0.61666666666666714</v>
      </c>
      <c r="AG394" s="82">
        <f>IFERROR((PA[[#This Row],[Work Completion time on fault]]-PA[[#This Row],[Fault Time]])*24,"")</f>
        <v>0.61666666666666714</v>
      </c>
      <c r="AH394" s="110" t="s">
        <v>455</v>
      </c>
      <c r="AI394" s="79" t="s">
        <v>422</v>
      </c>
      <c r="AJ394" s="68">
        <f>IFERROR(PA[[#This Row],[Breakdown Time]]*PA[[#This Row],[Plant Equivalent Weightage]],"")</f>
        <v>3.8473414684369353E-3</v>
      </c>
      <c r="AK394" s="117">
        <v>0.39623666666666668</v>
      </c>
      <c r="AL394" s="116">
        <f>IF(PA[[#This Row],[Lost PoA(Wh/m2)]]&gt;0,_xlfn.XLOOKUP($B394,'Daily KPI'!$A:$A,'Daily KPI'!$AE:$AE)*PA[[#This Row],[Lost PoA(Wh/m2)]]*U394,0)</f>
        <v>695.84898598289442</v>
      </c>
      <c r="AM394" s="176" t="s">
        <v>2684</v>
      </c>
    </row>
    <row r="395" spans="1:39" ht="14" customHeight="1">
      <c r="A395" s="177">
        <f t="shared" si="7"/>
        <v>392</v>
      </c>
      <c r="B395" s="185">
        <v>45852</v>
      </c>
      <c r="C395" s="178" t="s">
        <v>477</v>
      </c>
      <c r="D395" s="6">
        <f>YEAR(PA[[#This Row],[Date]])</f>
        <v>2025</v>
      </c>
      <c r="E395" s="178" t="s">
        <v>361</v>
      </c>
      <c r="F395" s="178" t="s">
        <v>361</v>
      </c>
      <c r="G395" s="179">
        <v>45839</v>
      </c>
      <c r="H395" s="176">
        <f>DAY(EOMONTH(PA[[#This Row],[Month Year]],0))</f>
        <v>31</v>
      </c>
      <c r="I395" s="180">
        <f>VLOOKUP(PA[[#This Row],[Date]],Raw_Data[#All],9,0)</f>
        <v>0.26944444444444443</v>
      </c>
      <c r="J395" s="180">
        <f>VLOOKUP(PA[[#This Row],[Date]],Raw_Data[#All],10,0)</f>
        <v>0.80069444444444449</v>
      </c>
      <c r="K395" s="68">
        <f>IFERROR((PA[[#This Row],[Sunset Time (POA&lt;20 W/m2)]]-PA[[#This Row],[Sunrise Time (POA&gt;20 W/m2)]])*24,"")</f>
        <v>12.75</v>
      </c>
      <c r="L395" s="178" t="s">
        <v>454</v>
      </c>
      <c r="M395" s="178" t="s">
        <v>408</v>
      </c>
      <c r="N395" s="178" t="s">
        <v>402</v>
      </c>
      <c r="O395" s="178"/>
      <c r="P395" s="178"/>
      <c r="Q395" s="178"/>
      <c r="R395" s="6">
        <f>IF((PA[[#This Row],[String Type(If String BD)]]&amp;PA[[#This Row],[Equipment (If any BD other than PV  array and inv)]])="",1,0)</f>
        <v>1</v>
      </c>
      <c r="S395" s="6">
        <f>IF(PA[[#This Row],[String Type(If String BD)]]="",1,0)</f>
        <v>1</v>
      </c>
      <c r="T3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95" s="68">
        <f>IFERROR(VLOOKUP(PA[[#This Row],[Affected Equipment ]],'Basic Data '!$A$1:$B$1846,2,0),"")</f>
        <v>2098.4399999999996</v>
      </c>
      <c r="V395" s="143">
        <f>IFERROR(VLOOKUP(PA[[#This Row],[Affected Equipment ]],'Basic Data '!$A$1:$C$1846,3,0),"")</f>
        <v>6.2622988979113125E-3</v>
      </c>
      <c r="W395" s="178" t="s">
        <v>427</v>
      </c>
      <c r="X395" s="110" t="s">
        <v>2669</v>
      </c>
      <c r="Y395" s="110" t="s">
        <v>2669</v>
      </c>
      <c r="Z395" s="109">
        <v>0.26944444444444443</v>
      </c>
      <c r="AA395" s="109">
        <v>0.26944444444444443</v>
      </c>
      <c r="AB395" s="109">
        <v>0.26944444444444443</v>
      </c>
      <c r="AC395" s="109">
        <v>0.61041666666666672</v>
      </c>
      <c r="AD395" s="82">
        <f>IF(PA[[#This Row],[Acknowledgement Time ]]="NA","",(PA[[#This Row],[Acknowledgement Time ]]-PA[[#This Row],[Fault Time]])*24)</f>
        <v>0</v>
      </c>
      <c r="AE395" s="82">
        <f>IF(PA[[#This Row],[Work Start time on Fault]]="NA","",(PA[[#This Row],[Work Start time on Fault]]-PA[[#This Row],[Fault Time]])*24)</f>
        <v>0</v>
      </c>
      <c r="AF395" s="111">
        <f>IF(PA[[#This Row],[Status]]="Open","",(PA[[#This Row],[Work Completion time on fault]]-PA[[#This Row],[Fault Time]])*24)</f>
        <v>8.1833333333333353</v>
      </c>
      <c r="AG395" s="82">
        <f>IFERROR((PA[[#This Row],[Work Completion time on fault]]-PA[[#This Row],[Fault Time]])*24,"")</f>
        <v>8.1833333333333353</v>
      </c>
      <c r="AH395" s="110" t="s">
        <v>2680</v>
      </c>
      <c r="AI395" s="79" t="s">
        <v>422</v>
      </c>
      <c r="AJ395" s="68">
        <f>IFERROR(PA[[#This Row],[Breakdown Time]]*PA[[#This Row],[Plant Equivalent Weightage]],"")</f>
        <v>5.1246479314574253E-2</v>
      </c>
      <c r="AK395" s="117">
        <v>4.6085246666666659</v>
      </c>
      <c r="AL395" s="116">
        <f>IF(PA[[#This Row],[Lost PoA(Wh/m2)]]&gt;0,_xlfn.XLOOKUP($B395,'Daily KPI'!$A:$A,'Daily KPI'!$AE:$AE)*PA[[#This Row],[Lost PoA(Wh/m2)]]*U395,0)</f>
        <v>8123.5486597781755</v>
      </c>
      <c r="AM395" s="176" t="s">
        <v>2685</v>
      </c>
    </row>
    <row r="396" spans="1:39" ht="14" customHeight="1">
      <c r="A396" s="177">
        <f t="shared" si="7"/>
        <v>393</v>
      </c>
      <c r="B396" s="185">
        <v>45852</v>
      </c>
      <c r="C396" s="178" t="s">
        <v>477</v>
      </c>
      <c r="D396" s="6">
        <f>YEAR(PA[[#This Row],[Date]])</f>
        <v>2025</v>
      </c>
      <c r="E396" s="178" t="s">
        <v>361</v>
      </c>
      <c r="F396" s="178" t="s">
        <v>361</v>
      </c>
      <c r="G396" s="179">
        <v>45839</v>
      </c>
      <c r="H396" s="176">
        <f>DAY(EOMONTH(PA[[#This Row],[Month Year]],0))</f>
        <v>31</v>
      </c>
      <c r="I396" s="180">
        <f>VLOOKUP(PA[[#This Row],[Date]],Raw_Data[#All],9,0)</f>
        <v>0.26944444444444443</v>
      </c>
      <c r="J396" s="180">
        <f>VLOOKUP(PA[[#This Row],[Date]],Raw_Data[#All],10,0)</f>
        <v>0.80069444444444449</v>
      </c>
      <c r="K396" s="68">
        <f>IFERROR((PA[[#This Row],[Sunset Time (POA&lt;20 W/m2)]]-PA[[#This Row],[Sunrise Time (POA&gt;20 W/m2)]])*24,"")</f>
        <v>12.75</v>
      </c>
      <c r="L396" s="178" t="s">
        <v>454</v>
      </c>
      <c r="M396" s="178" t="s">
        <v>408</v>
      </c>
      <c r="N396" s="178" t="s">
        <v>395</v>
      </c>
      <c r="O396" s="178"/>
      <c r="P396" s="178"/>
      <c r="Q396" s="178"/>
      <c r="R396" s="6">
        <f>IF((PA[[#This Row],[String Type(If String BD)]]&amp;PA[[#This Row],[Equipment (If any BD other than PV  array and inv)]])="",1,0)</f>
        <v>1</v>
      </c>
      <c r="S396" s="6">
        <f>IF(PA[[#This Row],[String Type(If String BD)]]="",1,0)</f>
        <v>1</v>
      </c>
      <c r="T3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6" s="68">
        <f>IFERROR(VLOOKUP(PA[[#This Row],[Affected Equipment ]],'Basic Data '!$A$1:$B$1846,2,0),"")</f>
        <v>2004.4799999999998</v>
      </c>
      <c r="V396" s="143">
        <f>IFERROR(VLOOKUP(PA[[#This Row],[Affected Equipment ]],'Basic Data '!$A$1:$C$1846,3,0),"")</f>
        <v>5.9818974547212545E-3</v>
      </c>
      <c r="W396" s="178" t="s">
        <v>427</v>
      </c>
      <c r="X396" s="110" t="s">
        <v>2669</v>
      </c>
      <c r="Y396" s="110" t="s">
        <v>2669</v>
      </c>
      <c r="Z396" s="109">
        <v>0.26944444444444443</v>
      </c>
      <c r="AA396" s="109">
        <v>0.26944444444444443</v>
      </c>
      <c r="AB396" s="109">
        <v>0.26944444444444443</v>
      </c>
      <c r="AC396" s="109">
        <v>0.61041666666666672</v>
      </c>
      <c r="AD396" s="82">
        <f>IF(PA[[#This Row],[Acknowledgement Time ]]="NA","",(PA[[#This Row],[Acknowledgement Time ]]-PA[[#This Row],[Fault Time]])*24)</f>
        <v>0</v>
      </c>
      <c r="AE396" s="82">
        <f>IF(PA[[#This Row],[Work Start time on Fault]]="NA","",(PA[[#This Row],[Work Start time on Fault]]-PA[[#This Row],[Fault Time]])*24)</f>
        <v>0</v>
      </c>
      <c r="AF396" s="111">
        <f>IF(PA[[#This Row],[Status]]="Open","",(PA[[#This Row],[Work Completion time on fault]]-PA[[#This Row],[Fault Time]])*24)</f>
        <v>8.1833333333333353</v>
      </c>
      <c r="AG396" s="82">
        <f>IFERROR((PA[[#This Row],[Work Completion time on fault]]-PA[[#This Row],[Fault Time]])*24,"")</f>
        <v>8.1833333333333353</v>
      </c>
      <c r="AH396" s="110" t="s">
        <v>2680</v>
      </c>
      <c r="AI396" s="79" t="s">
        <v>422</v>
      </c>
      <c r="AJ396" s="68">
        <f>IFERROR(PA[[#This Row],[Breakdown Time]]*PA[[#This Row],[Plant Equivalent Weightage]],"")</f>
        <v>4.8951860837802279E-2</v>
      </c>
      <c r="AK396" s="117">
        <v>4.6085246666666659</v>
      </c>
      <c r="AL396" s="116">
        <f>IF(PA[[#This Row],[Lost PoA(Wh/m2)]]&gt;0,_xlfn.XLOOKUP($B396,'Daily KPI'!$A:$A,'Daily KPI'!$AE:$AE)*PA[[#This Row],[Lost PoA(Wh/m2)]]*U396,0)</f>
        <v>7759.8076750119899</v>
      </c>
      <c r="AM396" s="176" t="s">
        <v>2685</v>
      </c>
    </row>
    <row r="397" spans="1:39" ht="14" customHeight="1">
      <c r="A397" s="177">
        <f t="shared" si="7"/>
        <v>394</v>
      </c>
      <c r="B397" s="185">
        <v>45852</v>
      </c>
      <c r="C397" s="178" t="s">
        <v>477</v>
      </c>
      <c r="D397" s="6">
        <f>YEAR(PA[[#This Row],[Date]])</f>
        <v>2025</v>
      </c>
      <c r="E397" s="178" t="s">
        <v>361</v>
      </c>
      <c r="F397" s="178" t="s">
        <v>361</v>
      </c>
      <c r="G397" s="179">
        <v>45839</v>
      </c>
      <c r="H397" s="176">
        <f>DAY(EOMONTH(PA[[#This Row],[Month Year]],0))</f>
        <v>31</v>
      </c>
      <c r="I397" s="180">
        <f>VLOOKUP(PA[[#This Row],[Date]],Raw_Data[#All],9,0)</f>
        <v>0.26944444444444443</v>
      </c>
      <c r="J397" s="180">
        <f>VLOOKUP(PA[[#This Row],[Date]],Raw_Data[#All],10,0)</f>
        <v>0.80069444444444449</v>
      </c>
      <c r="K397" s="68">
        <f>IFERROR((PA[[#This Row],[Sunset Time (POA&lt;20 W/m2)]]-PA[[#This Row],[Sunrise Time (POA&gt;20 W/m2)]])*24,"")</f>
        <v>12.75</v>
      </c>
      <c r="L397" s="178" t="s">
        <v>416</v>
      </c>
      <c r="M397" s="178" t="s">
        <v>394</v>
      </c>
      <c r="N397" s="178" t="s">
        <v>402</v>
      </c>
      <c r="O397" s="178"/>
      <c r="P397" s="178"/>
      <c r="Q397" s="178"/>
      <c r="R397" s="6">
        <f>IF((PA[[#This Row],[String Type(If String BD)]]&amp;PA[[#This Row],[Equipment (If any BD other than PV  array and inv)]])="",1,0)</f>
        <v>1</v>
      </c>
      <c r="S397" s="6">
        <f>IF(PA[[#This Row],[String Type(If String BD)]]="",1,0)</f>
        <v>1</v>
      </c>
      <c r="T3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IS9INV1M1</v>
      </c>
      <c r="U397" s="68">
        <f>IFERROR(VLOOKUP(PA[[#This Row],[Affected Equipment ]],'Basic Data '!$A$1:$B$1846,2,0),"")</f>
        <v>2102.0650000000001</v>
      </c>
      <c r="V397" s="143">
        <f>IFERROR(VLOOKUP(PA[[#This Row],[Affected Equipment ]],'Basic Data '!$A$1:$C$1846,3,0),"")</f>
        <v>6.2731168548245102E-3</v>
      </c>
      <c r="W397" s="178" t="s">
        <v>427</v>
      </c>
      <c r="X397" s="110" t="s">
        <v>2677</v>
      </c>
      <c r="Y397" s="110" t="s">
        <v>2677</v>
      </c>
      <c r="Z397" s="109">
        <v>0.26944444444444443</v>
      </c>
      <c r="AA397" s="109">
        <v>0.26944444444444443</v>
      </c>
      <c r="AB397" s="109">
        <v>0.31111111111111112</v>
      </c>
      <c r="AC397" s="109">
        <v>0.3263888888888889</v>
      </c>
      <c r="AD397" s="82">
        <f>IF(PA[[#This Row],[Acknowledgement Time ]]="NA","",(PA[[#This Row],[Acknowledgement Time ]]-PA[[#This Row],[Fault Time]])*24)</f>
        <v>0</v>
      </c>
      <c r="AE397" s="82">
        <f>IF(PA[[#This Row],[Work Start time on Fault]]="NA","",(PA[[#This Row],[Work Start time on Fault]]-PA[[#This Row],[Fault Time]])*24)</f>
        <v>1.0000000000000004</v>
      </c>
      <c r="AF397" s="111">
        <f>IF(PA[[#This Row],[Status]]="Open","",(PA[[#This Row],[Work Completion time on fault]]-PA[[#This Row],[Fault Time]])*24)</f>
        <v>1.3666666666666671</v>
      </c>
      <c r="AG397" s="82">
        <f>IFERROR((PA[[#This Row],[Work Completion time on fault]]-PA[[#This Row],[Fault Time]])*24,"")</f>
        <v>1.3666666666666671</v>
      </c>
      <c r="AH397" s="110" t="s">
        <v>2681</v>
      </c>
      <c r="AI397" s="79" t="s">
        <v>422</v>
      </c>
      <c r="AJ397" s="68">
        <f>IFERROR(PA[[#This Row],[Breakdown Time]]*PA[[#This Row],[Plant Equivalent Weightage]],"")</f>
        <v>8.5732597015935001E-3</v>
      </c>
      <c r="AK397" s="117">
        <v>0.16262633333333334</v>
      </c>
      <c r="AL397" s="116">
        <f>IF(PA[[#This Row],[Lost PoA(Wh/m2)]]&gt;0,_xlfn.XLOOKUP($B397,'Daily KPI'!$A:$A,'Daily KPI'!$AE:$AE)*PA[[#This Row],[Lost PoA(Wh/m2)]]*U397,0)</f>
        <v>287.16025160785631</v>
      </c>
      <c r="AM397" s="176" t="s">
        <v>2684</v>
      </c>
    </row>
    <row r="398" spans="1:39" ht="14" customHeight="1">
      <c r="A398" s="177">
        <f t="shared" si="7"/>
        <v>395</v>
      </c>
      <c r="B398" s="185">
        <v>45852</v>
      </c>
      <c r="C398" s="178" t="s">
        <v>477</v>
      </c>
      <c r="D398" s="6">
        <f>YEAR(PA[[#This Row],[Date]])</f>
        <v>2025</v>
      </c>
      <c r="E398" s="178" t="s">
        <v>361</v>
      </c>
      <c r="F398" s="178" t="s">
        <v>361</v>
      </c>
      <c r="G398" s="179">
        <v>45839</v>
      </c>
      <c r="H398" s="176">
        <f>DAY(EOMONTH(PA[[#This Row],[Month Year]],0))</f>
        <v>31</v>
      </c>
      <c r="I398" s="180">
        <f>VLOOKUP(PA[[#This Row],[Date]],Raw_Data[#All],9,0)</f>
        <v>0.26944444444444443</v>
      </c>
      <c r="J398" s="180">
        <f>VLOOKUP(PA[[#This Row],[Date]],Raw_Data[#All],10,0)</f>
        <v>0.80069444444444449</v>
      </c>
      <c r="K398" s="68">
        <f>IFERROR((PA[[#This Row],[Sunset Time (POA&lt;20 W/m2)]]-PA[[#This Row],[Sunrise Time (POA&gt;20 W/m2)]])*24,"")</f>
        <v>12.75</v>
      </c>
      <c r="L398" s="178" t="s">
        <v>416</v>
      </c>
      <c r="M398" s="178" t="s">
        <v>401</v>
      </c>
      <c r="N398" s="178" t="s">
        <v>402</v>
      </c>
      <c r="O398" s="178"/>
      <c r="P398" s="178"/>
      <c r="Q398" s="178"/>
      <c r="R398" s="6">
        <f>IF((PA[[#This Row],[String Type(If String BD)]]&amp;PA[[#This Row],[Equipment (If any BD other than PV  array and inv)]])="",1,0)</f>
        <v>1</v>
      </c>
      <c r="S398" s="6">
        <f>IF(PA[[#This Row],[String Type(If String BD)]]="",1,0)</f>
        <v>1</v>
      </c>
      <c r="T3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98" s="68">
        <f>IFERROR(VLOOKUP(PA[[#This Row],[Affected Equipment ]],'Basic Data '!$A$1:$B$1846,2,0),"")</f>
        <v>2244.3100000000004</v>
      </c>
      <c r="V398" s="143">
        <f>IFERROR(VLOOKUP(PA[[#This Row],[Affected Equipment ]],'Basic Data '!$A$1:$C$1846,3,0),"")</f>
        <v>6.6976134840983506E-3</v>
      </c>
      <c r="W398" s="178" t="s">
        <v>427</v>
      </c>
      <c r="X398" s="110" t="s">
        <v>2677</v>
      </c>
      <c r="Y398" s="110" t="s">
        <v>2677</v>
      </c>
      <c r="Z398" s="109">
        <v>0.26944444444444443</v>
      </c>
      <c r="AA398" s="109">
        <v>0.26944444444444443</v>
      </c>
      <c r="AB398" s="109">
        <v>0.31111111111111112</v>
      </c>
      <c r="AC398" s="109">
        <v>0.3263888888888889</v>
      </c>
      <c r="AD398" s="82">
        <f>IF(PA[[#This Row],[Acknowledgement Time ]]="NA","",(PA[[#This Row],[Acknowledgement Time ]]-PA[[#This Row],[Fault Time]])*24)</f>
        <v>0</v>
      </c>
      <c r="AE398" s="82">
        <f>IF(PA[[#This Row],[Work Start time on Fault]]="NA","",(PA[[#This Row],[Work Start time on Fault]]-PA[[#This Row],[Fault Time]])*24)</f>
        <v>1.0000000000000004</v>
      </c>
      <c r="AF398" s="111">
        <f>IF(PA[[#This Row],[Status]]="Open","",(PA[[#This Row],[Work Completion time on fault]]-PA[[#This Row],[Fault Time]])*24)</f>
        <v>1.3666666666666671</v>
      </c>
      <c r="AG398" s="82">
        <f>IFERROR((PA[[#This Row],[Work Completion time on fault]]-PA[[#This Row],[Fault Time]])*24,"")</f>
        <v>1.3666666666666671</v>
      </c>
      <c r="AH398" s="110" t="s">
        <v>2681</v>
      </c>
      <c r="AI398" s="79" t="s">
        <v>422</v>
      </c>
      <c r="AJ398" s="68">
        <f>IFERROR(PA[[#This Row],[Breakdown Time]]*PA[[#This Row],[Plant Equivalent Weightage]],"")</f>
        <v>9.1534050949344161E-3</v>
      </c>
      <c r="AK398" s="117">
        <v>0.16262633333333334</v>
      </c>
      <c r="AL398" s="116">
        <f>IF(PA[[#This Row],[Lost PoA(Wh/m2)]]&gt;0,_xlfn.XLOOKUP($B398,'Daily KPI'!$A:$A,'Daily KPI'!$AE:$AE)*PA[[#This Row],[Lost PoA(Wh/m2)]]*U398,0)</f>
        <v>306.59214833320004</v>
      </c>
      <c r="AM398" s="176" t="s">
        <v>2684</v>
      </c>
    </row>
    <row r="399" spans="1:39" ht="14" customHeight="1">
      <c r="A399" s="177">
        <f t="shared" si="7"/>
        <v>396</v>
      </c>
      <c r="B399" s="185">
        <v>45852</v>
      </c>
      <c r="C399" s="178" t="s">
        <v>477</v>
      </c>
      <c r="D399" s="6">
        <f>YEAR(PA[[#This Row],[Date]])</f>
        <v>2025</v>
      </c>
      <c r="E399" s="178" t="s">
        <v>361</v>
      </c>
      <c r="F399" s="178" t="s">
        <v>361</v>
      </c>
      <c r="G399" s="179">
        <v>45839</v>
      </c>
      <c r="H399" s="176">
        <f>DAY(EOMONTH(PA[[#This Row],[Month Year]],0))</f>
        <v>31</v>
      </c>
      <c r="I399" s="180">
        <f>VLOOKUP(PA[[#This Row],[Date]],Raw_Data[#All],9,0)</f>
        <v>0.26944444444444443</v>
      </c>
      <c r="J399" s="180">
        <f>VLOOKUP(PA[[#This Row],[Date]],Raw_Data[#All],10,0)</f>
        <v>0.80069444444444449</v>
      </c>
      <c r="K399" s="68">
        <f>IFERROR((PA[[#This Row],[Sunset Time (POA&lt;20 W/m2)]]-PA[[#This Row],[Sunrise Time (POA&gt;20 W/m2)]])*24,"")</f>
        <v>12.75</v>
      </c>
      <c r="L399" s="178" t="s">
        <v>428</v>
      </c>
      <c r="M399" s="178" t="s">
        <v>414</v>
      </c>
      <c r="N399" s="178" t="s">
        <v>395</v>
      </c>
      <c r="O399" s="178"/>
      <c r="P399" s="178"/>
      <c r="Q399" s="178"/>
      <c r="R399" s="6">
        <f>IF((PA[[#This Row],[String Type(If String BD)]]&amp;PA[[#This Row],[Equipment (If any BD other than PV  array and inv)]])="",1,0)</f>
        <v>1</v>
      </c>
      <c r="S399" s="6">
        <f>IF(PA[[#This Row],[String Type(If String BD)]]="",1,0)</f>
        <v>1</v>
      </c>
      <c r="T3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399" s="68">
        <f>IFERROR(VLOOKUP(PA[[#This Row],[Affected Equipment ]],'Basic Data '!$A$1:$B$1846,2,0),"")</f>
        <v>2004.4799999999998</v>
      </c>
      <c r="V399" s="143">
        <f>IFERROR(VLOOKUP(PA[[#This Row],[Affected Equipment ]],'Basic Data '!$A$1:$C$1846,3,0),"")</f>
        <v>5.9818974547212545E-3</v>
      </c>
      <c r="W399" s="178" t="s">
        <v>427</v>
      </c>
      <c r="X399" s="110" t="s">
        <v>2677</v>
      </c>
      <c r="Y399" s="110" t="s">
        <v>2677</v>
      </c>
      <c r="Z399" s="109">
        <v>0.26944444444444443</v>
      </c>
      <c r="AA399" s="109">
        <v>0.26944444444444443</v>
      </c>
      <c r="AB399" s="109">
        <v>0.31111111111111112</v>
      </c>
      <c r="AC399" s="109">
        <v>0.3263888888888889</v>
      </c>
      <c r="AD399" s="82">
        <f>IF(PA[[#This Row],[Acknowledgement Time ]]="NA","",(PA[[#This Row],[Acknowledgement Time ]]-PA[[#This Row],[Fault Time]])*24)</f>
        <v>0</v>
      </c>
      <c r="AE399" s="82">
        <f>IF(PA[[#This Row],[Work Start time on Fault]]="NA","",(PA[[#This Row],[Work Start time on Fault]]-PA[[#This Row],[Fault Time]])*24)</f>
        <v>1.0000000000000004</v>
      </c>
      <c r="AF399" s="111">
        <f>IF(PA[[#This Row],[Status]]="Open","",(PA[[#This Row],[Work Completion time on fault]]-PA[[#This Row],[Fault Time]])*24)</f>
        <v>1.3666666666666671</v>
      </c>
      <c r="AG399" s="82">
        <f>IFERROR((PA[[#This Row],[Work Completion time on fault]]-PA[[#This Row],[Fault Time]])*24,"")</f>
        <v>1.3666666666666671</v>
      </c>
      <c r="AH399" s="110" t="s">
        <v>2681</v>
      </c>
      <c r="AI399" s="79" t="s">
        <v>422</v>
      </c>
      <c r="AJ399" s="68">
        <f>IFERROR(PA[[#This Row],[Breakdown Time]]*PA[[#This Row],[Plant Equivalent Weightage]],"")</f>
        <v>8.1752598547857169E-3</v>
      </c>
      <c r="AK399" s="117">
        <v>0.16262633333333334</v>
      </c>
      <c r="AL399" s="116">
        <f>IF(PA[[#This Row],[Lost PoA(Wh/m2)]]&gt;0,_xlfn.XLOOKUP($B399,'Daily KPI'!$A:$A,'Daily KPI'!$AE:$AE)*PA[[#This Row],[Lost PoA(Wh/m2)]]*U399,0)</f>
        <v>273.82929697365006</v>
      </c>
      <c r="AM399" s="176" t="s">
        <v>2684</v>
      </c>
    </row>
    <row r="400" spans="1:39" ht="14" customHeight="1">
      <c r="A400" s="177">
        <f t="shared" si="7"/>
        <v>397</v>
      </c>
      <c r="B400" s="185">
        <v>45852</v>
      </c>
      <c r="C400" s="178" t="s">
        <v>477</v>
      </c>
      <c r="D400" s="6">
        <f>YEAR(PA[[#This Row],[Date]])</f>
        <v>2025</v>
      </c>
      <c r="E400" s="178" t="s">
        <v>361</v>
      </c>
      <c r="F400" s="178" t="s">
        <v>361</v>
      </c>
      <c r="G400" s="179">
        <v>45839</v>
      </c>
      <c r="H400" s="176">
        <f>DAY(EOMONTH(PA[[#This Row],[Month Year]],0))</f>
        <v>31</v>
      </c>
      <c r="I400" s="180">
        <f>VLOOKUP(PA[[#This Row],[Date]],Raw_Data[#All],9,0)</f>
        <v>0.26944444444444443</v>
      </c>
      <c r="J400" s="180">
        <f>VLOOKUP(PA[[#This Row],[Date]],Raw_Data[#All],10,0)</f>
        <v>0.80069444444444449</v>
      </c>
      <c r="K400" s="68">
        <f>IFERROR((PA[[#This Row],[Sunset Time (POA&lt;20 W/m2)]]-PA[[#This Row],[Sunrise Time (POA&gt;20 W/m2)]])*24,"")</f>
        <v>12.75</v>
      </c>
      <c r="L400" s="178" t="s">
        <v>454</v>
      </c>
      <c r="M400" s="178"/>
      <c r="N400" s="178"/>
      <c r="O400" s="178"/>
      <c r="P400" s="178"/>
      <c r="Q400" s="178" t="s">
        <v>420</v>
      </c>
      <c r="R400" s="6">
        <f>IF((PA[[#This Row],[String Type(If String BD)]]&amp;PA[[#This Row],[Equipment (If any BD other than PV  array and inv)]])="",1,0)</f>
        <v>0</v>
      </c>
      <c r="S400" s="6">
        <f>IF(PA[[#This Row],[String Type(If String BD)]]="",1,0)</f>
        <v>1</v>
      </c>
      <c r="T4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400" s="68">
        <f>IFERROR(VLOOKUP(PA[[#This Row],[Affected Equipment ]],'Basic Data '!$A$1:$B$1846,2,0),"")</f>
        <v>16443</v>
      </c>
      <c r="V400" s="143">
        <f>IFERROR(VLOOKUP(PA[[#This Row],[Affected Equipment ]],'Basic Data '!$A$1:$C$1846,3,0),"")</f>
        <v>4.9070252558260294E-2</v>
      </c>
      <c r="W400" s="178" t="s">
        <v>421</v>
      </c>
      <c r="X400" s="110" t="s">
        <v>2678</v>
      </c>
      <c r="Y400" s="110" t="s">
        <v>2678</v>
      </c>
      <c r="Z400" s="109">
        <v>0.58194444444444449</v>
      </c>
      <c r="AA400" s="109">
        <v>0.58194444444444449</v>
      </c>
      <c r="AB400" s="109">
        <v>0.58194444444444449</v>
      </c>
      <c r="AC400" s="109">
        <v>0.61041666666666672</v>
      </c>
      <c r="AD400" s="82">
        <f>IF(PA[[#This Row],[Acknowledgement Time ]]="NA","",(PA[[#This Row],[Acknowledgement Time ]]-PA[[#This Row],[Fault Time]])*24)</f>
        <v>0</v>
      </c>
      <c r="AE400" s="82">
        <f>IF(PA[[#This Row],[Work Start time on Fault]]="NA","",(PA[[#This Row],[Work Start time on Fault]]-PA[[#This Row],[Fault Time]])*24)</f>
        <v>0</v>
      </c>
      <c r="AF400" s="111">
        <f>IF(PA[[#This Row],[Status]]="Open","",(PA[[#This Row],[Work Completion time on fault]]-PA[[#This Row],[Fault Time]])*24)</f>
        <v>0.68333333333333357</v>
      </c>
      <c r="AG400" s="82">
        <f>IFERROR((PA[[#This Row],[Work Completion time on fault]]-PA[[#This Row],[Fault Time]])*24,"")</f>
        <v>0.68333333333333357</v>
      </c>
      <c r="AH400" s="110" t="s">
        <v>2682</v>
      </c>
      <c r="AI400" s="79" t="s">
        <v>422</v>
      </c>
      <c r="AJ400" s="68">
        <f>IFERROR(PA[[#This Row],[Breakdown Time]]*PA[[#This Row],[Plant Equivalent Weightage]],"")</f>
        <v>3.3531339248144547E-2</v>
      </c>
      <c r="AK400" s="117">
        <v>0.45545166666666664</v>
      </c>
      <c r="AL400" s="116">
        <f>IF(PA[[#This Row],[Lost PoA(Wh/m2)]]&gt;0,_xlfn.XLOOKUP($B400,'Daily KPI'!$A:$A,'Daily KPI'!$AE:$AE)*PA[[#This Row],[Lost PoA(Wh/m2)]]*U400,0)</f>
        <v>6290.8693568191538</v>
      </c>
      <c r="AM400" s="176" t="s">
        <v>2685</v>
      </c>
    </row>
    <row r="401" spans="1:39" ht="14" customHeight="1">
      <c r="A401" s="177">
        <f t="shared" si="7"/>
        <v>398</v>
      </c>
      <c r="B401" s="185">
        <v>45853</v>
      </c>
      <c r="C401" s="178" t="s">
        <v>477</v>
      </c>
      <c r="D401" s="6">
        <f>YEAR(PA[[#This Row],[Date]])</f>
        <v>2025</v>
      </c>
      <c r="E401" s="178" t="s">
        <v>361</v>
      </c>
      <c r="F401" s="178" t="s">
        <v>361</v>
      </c>
      <c r="G401" s="179">
        <v>45839</v>
      </c>
      <c r="H401" s="176">
        <f>DAY(EOMONTH(PA[[#This Row],[Month Year]],0))</f>
        <v>31</v>
      </c>
      <c r="I401" s="180">
        <f>VLOOKUP(PA[[#This Row],[Date]],Raw_Data[#All],9,0)</f>
        <v>0.2673611111111111</v>
      </c>
      <c r="J401" s="180">
        <f>VLOOKUP(PA[[#This Row],[Date]],Raw_Data[#All],10,0)</f>
        <v>0.81319444444444444</v>
      </c>
      <c r="K401" s="68">
        <f>IFERROR((PA[[#This Row],[Sunset Time (POA&lt;20 W/m2)]]-PA[[#This Row],[Sunrise Time (POA&gt;20 W/m2)]])*24,"")</f>
        <v>13.100000000000001</v>
      </c>
      <c r="L401" s="178" t="s">
        <v>419</v>
      </c>
      <c r="M401" s="178" t="s">
        <v>394</v>
      </c>
      <c r="N401" s="178" t="s">
        <v>402</v>
      </c>
      <c r="O401" s="178" t="s">
        <v>442</v>
      </c>
      <c r="P401" s="178" t="s">
        <v>404</v>
      </c>
      <c r="Q401" s="178"/>
      <c r="R401" s="6">
        <f>IF((PA[[#This Row],[String Type(If String BD)]]&amp;PA[[#This Row],[Equipment (If any BD other than PV  array and inv)]])="",1,0)</f>
        <v>0</v>
      </c>
      <c r="S401" s="6">
        <f>IF(PA[[#This Row],[String Type(If String BD)]]="",1,0)</f>
        <v>0</v>
      </c>
      <c r="T4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1" s="68">
        <f>IFERROR(VLOOKUP(PA[[#This Row],[Affected Equipment ]],'Basic Data '!$A$1:$B$1846,2,0),"")</f>
        <v>31.32</v>
      </c>
      <c r="V401" s="143">
        <f>IFERROR(VLOOKUP(PA[[#This Row],[Affected Equipment ]],'Basic Data '!$A$1:$C$1846,3,0),"")</f>
        <v>9.3467147730019601E-5</v>
      </c>
      <c r="W401" s="178" t="s">
        <v>451</v>
      </c>
      <c r="X401" s="110" t="s">
        <v>2686</v>
      </c>
      <c r="Y401" s="110" t="s">
        <v>2686</v>
      </c>
      <c r="Z401" s="109">
        <v>0.2673611111111111</v>
      </c>
      <c r="AA401" s="109">
        <v>0.2673611111111111</v>
      </c>
      <c r="AB401" s="109">
        <v>0.2673611111111111</v>
      </c>
      <c r="AC401" s="109">
        <v>0.81319444444444444</v>
      </c>
      <c r="AD401" s="82">
        <f>IF(PA[[#This Row],[Acknowledgement Time ]]="NA","",(PA[[#This Row],[Acknowledgement Time ]]-PA[[#This Row],[Fault Time]])*24)</f>
        <v>0</v>
      </c>
      <c r="AE401" s="82">
        <f>IF(PA[[#This Row],[Work Start time on Fault]]="NA","",(PA[[#This Row],[Work Start time on Fault]]-PA[[#This Row],[Fault Time]])*24)</f>
        <v>0</v>
      </c>
      <c r="AF401" s="111">
        <f>IF(PA[[#This Row],[Status]]="Open","",(PA[[#This Row],[Work Completion time on fault]]-PA[[#This Row],[Fault Time]])*24)</f>
        <v>13.100000000000001</v>
      </c>
      <c r="AG401" s="82">
        <f>IFERROR((PA[[#This Row],[Work Completion time on fault]]-PA[[#This Row],[Fault Time]])*24,"")</f>
        <v>13.100000000000001</v>
      </c>
      <c r="AH401" s="110" t="s">
        <v>2686</v>
      </c>
      <c r="AI401" s="79" t="s">
        <v>422</v>
      </c>
      <c r="AJ401" s="68">
        <f>IFERROR(PA[[#This Row],[Breakdown Time]]*PA[[#This Row],[Plant Equivalent Weightage]],"")</f>
        <v>1.224419635263257E-3</v>
      </c>
      <c r="AK401" s="117">
        <v>6.42</v>
      </c>
      <c r="AL401" s="116">
        <f>IF(PA[[#This Row],[Lost PoA(Wh/m2)]]&gt;0,_xlfn.XLOOKUP($B401,'Daily KPI'!$A:$A,'Daily KPI'!$AE:$AE)*PA[[#This Row],[Lost PoA(Wh/m2)]]*U401,0)</f>
        <v>168.90561811024418</v>
      </c>
      <c r="AM401" s="176" t="s">
        <v>2688</v>
      </c>
    </row>
    <row r="402" spans="1:39" ht="14" customHeight="1">
      <c r="A402" s="177">
        <f t="shared" si="7"/>
        <v>399</v>
      </c>
      <c r="B402" s="185">
        <v>45853</v>
      </c>
      <c r="C402" s="178" t="s">
        <v>477</v>
      </c>
      <c r="D402" s="6">
        <f>YEAR(PA[[#This Row],[Date]])</f>
        <v>2025</v>
      </c>
      <c r="E402" s="178" t="s">
        <v>361</v>
      </c>
      <c r="F402" s="178" t="s">
        <v>361</v>
      </c>
      <c r="G402" s="179">
        <v>45839</v>
      </c>
      <c r="H402" s="176">
        <f>DAY(EOMONTH(PA[[#This Row],[Month Year]],0))</f>
        <v>31</v>
      </c>
      <c r="I402" s="180">
        <f>VLOOKUP(PA[[#This Row],[Date]],Raw_Data[#All],9,0)</f>
        <v>0.2673611111111111</v>
      </c>
      <c r="J402" s="180">
        <f>VLOOKUP(PA[[#This Row],[Date]],Raw_Data[#All],10,0)</f>
        <v>0.81319444444444444</v>
      </c>
      <c r="K402" s="68">
        <f>IFERROR((PA[[#This Row],[Sunset Time (POA&lt;20 W/m2)]]-PA[[#This Row],[Sunrise Time (POA&gt;20 W/m2)]])*24,"")</f>
        <v>13.100000000000001</v>
      </c>
      <c r="L402" s="178" t="s">
        <v>416</v>
      </c>
      <c r="M402" s="178" t="s">
        <v>394</v>
      </c>
      <c r="N402" s="178" t="s">
        <v>402</v>
      </c>
      <c r="O402" s="178" t="s">
        <v>403</v>
      </c>
      <c r="P402" s="178" t="s">
        <v>448</v>
      </c>
      <c r="Q402" s="178"/>
      <c r="R402" s="6">
        <f>IF((PA[[#This Row],[String Type(If String BD)]]&amp;PA[[#This Row],[Equipment (If any BD other than PV  array and inv)]])="",1,0)</f>
        <v>0</v>
      </c>
      <c r="S402" s="6">
        <f>IF(PA[[#This Row],[String Type(If String BD)]]="",1,0)</f>
        <v>0</v>
      </c>
      <c r="T4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2" s="68">
        <f>IFERROR(VLOOKUP(PA[[#This Row],[Affected Equipment ]],'Basic Data '!$A$1:$B$1846,2,0),"")</f>
        <v>31.61</v>
      </c>
      <c r="V402" s="143">
        <f>IFERROR(VLOOKUP(PA[[#This Row],[Affected Equipment ]],'Basic Data '!$A$1:$C$1846,3,0),"")</f>
        <v>9.4332584283075336E-5</v>
      </c>
      <c r="W402" s="178" t="s">
        <v>451</v>
      </c>
      <c r="X402" s="110" t="s">
        <v>2686</v>
      </c>
      <c r="Y402" s="110" t="s">
        <v>2686</v>
      </c>
      <c r="Z402" s="109">
        <v>0.2673611111111111</v>
      </c>
      <c r="AA402" s="109">
        <v>0.2673611111111111</v>
      </c>
      <c r="AB402" s="109">
        <v>0.2673611111111111</v>
      </c>
      <c r="AC402" s="109">
        <v>0.81319444444444444</v>
      </c>
      <c r="AD402" s="82">
        <f>IF(PA[[#This Row],[Acknowledgement Time ]]="NA","",(PA[[#This Row],[Acknowledgement Time ]]-PA[[#This Row],[Fault Time]])*24)</f>
        <v>0</v>
      </c>
      <c r="AE402" s="82">
        <f>IF(PA[[#This Row],[Work Start time on Fault]]="NA","",(PA[[#This Row],[Work Start time on Fault]]-PA[[#This Row],[Fault Time]])*24)</f>
        <v>0</v>
      </c>
      <c r="AF402" s="111">
        <f>IF(PA[[#This Row],[Status]]="Open","",(PA[[#This Row],[Work Completion time on fault]]-PA[[#This Row],[Fault Time]])*24)</f>
        <v>13.100000000000001</v>
      </c>
      <c r="AG402" s="82">
        <f>IFERROR((PA[[#This Row],[Work Completion time on fault]]-PA[[#This Row],[Fault Time]])*24,"")</f>
        <v>13.100000000000001</v>
      </c>
      <c r="AH402" s="110" t="s">
        <v>2686</v>
      </c>
      <c r="AI402" s="79" t="s">
        <v>422</v>
      </c>
      <c r="AJ402" s="68">
        <f>IFERROR(PA[[#This Row],[Breakdown Time]]*PA[[#This Row],[Plant Equivalent Weightage]],"")</f>
        <v>1.2357568541082871E-3</v>
      </c>
      <c r="AK402" s="117">
        <v>6.62</v>
      </c>
      <c r="AL402" s="116">
        <f>IF(PA[[#This Row],[Lost PoA(Wh/m2)]]&gt;0,_xlfn.XLOOKUP($B402,'Daily KPI'!$A:$A,'Daily KPI'!$AE:$AE)*PA[[#This Row],[Lost PoA(Wh/m2)]]*U402,0)</f>
        <v>175.78013718124782</v>
      </c>
      <c r="AM402" s="176" t="s">
        <v>2688</v>
      </c>
    </row>
    <row r="403" spans="1:39" ht="14" customHeight="1">
      <c r="A403" s="177">
        <f t="shared" si="7"/>
        <v>400</v>
      </c>
      <c r="B403" s="185">
        <v>45853</v>
      </c>
      <c r="C403" s="178" t="s">
        <v>477</v>
      </c>
      <c r="D403" s="6">
        <f>YEAR(PA[[#This Row],[Date]])</f>
        <v>2025</v>
      </c>
      <c r="E403" s="178" t="s">
        <v>361</v>
      </c>
      <c r="F403" s="178" t="s">
        <v>361</v>
      </c>
      <c r="G403" s="179">
        <v>45839</v>
      </c>
      <c r="H403" s="176">
        <f>DAY(EOMONTH(PA[[#This Row],[Month Year]],0))</f>
        <v>31</v>
      </c>
      <c r="I403" s="180">
        <f>VLOOKUP(PA[[#This Row],[Date]],Raw_Data[#All],9,0)</f>
        <v>0.2673611111111111</v>
      </c>
      <c r="J403" s="180">
        <f>VLOOKUP(PA[[#This Row],[Date]],Raw_Data[#All],10,0)</f>
        <v>0.81319444444444444</v>
      </c>
      <c r="K403" s="68">
        <f>IFERROR((PA[[#This Row],[Sunset Time (POA&lt;20 W/m2)]]-PA[[#This Row],[Sunrise Time (POA&gt;20 W/m2)]])*24,"")</f>
        <v>13.100000000000001</v>
      </c>
      <c r="L403" s="178" t="s">
        <v>425</v>
      </c>
      <c r="M403" s="178" t="s">
        <v>408</v>
      </c>
      <c r="N403" s="178" t="s">
        <v>402</v>
      </c>
      <c r="O403" s="178" t="s">
        <v>417</v>
      </c>
      <c r="P403" s="178" t="s">
        <v>448</v>
      </c>
      <c r="Q403" s="178"/>
      <c r="R403" s="6">
        <f>IF((PA[[#This Row],[String Type(If String BD)]]&amp;PA[[#This Row],[Equipment (If any BD other than PV  array and inv)]])="",1,0)</f>
        <v>0</v>
      </c>
      <c r="S403" s="6">
        <f>IF(PA[[#This Row],[String Type(If String BD)]]="",1,0)</f>
        <v>0</v>
      </c>
      <c r="T4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3" s="68">
        <f>IFERROR(VLOOKUP(PA[[#This Row],[Affected Equipment ]],'Basic Data '!$A$1:$B$1846,2,0),"")</f>
        <v>31.61</v>
      </c>
      <c r="V403" s="143">
        <f>IFERROR(VLOOKUP(PA[[#This Row],[Affected Equipment ]],'Basic Data '!$A$1:$C$1846,3,0),"")</f>
        <v>9.4332584283075336E-5</v>
      </c>
      <c r="W403" s="178" t="s">
        <v>451</v>
      </c>
      <c r="X403" s="110" t="s">
        <v>2686</v>
      </c>
      <c r="Y403" s="110" t="s">
        <v>2686</v>
      </c>
      <c r="Z403" s="109">
        <v>0.2673611111111111</v>
      </c>
      <c r="AA403" s="109">
        <v>0.2673611111111111</v>
      </c>
      <c r="AB403" s="109">
        <v>0.2673611111111111</v>
      </c>
      <c r="AC403" s="109">
        <v>0.81319444444444444</v>
      </c>
      <c r="AD403" s="82">
        <f>IF(PA[[#This Row],[Acknowledgement Time ]]="NA","",(PA[[#This Row],[Acknowledgement Time ]]-PA[[#This Row],[Fault Time]])*24)</f>
        <v>0</v>
      </c>
      <c r="AE403" s="82">
        <f>IF(PA[[#This Row],[Work Start time on Fault]]="NA","",(PA[[#This Row],[Work Start time on Fault]]-PA[[#This Row],[Fault Time]])*24)</f>
        <v>0</v>
      </c>
      <c r="AF403" s="111">
        <f>IF(PA[[#This Row],[Status]]="Open","",(PA[[#This Row],[Work Completion time on fault]]-PA[[#This Row],[Fault Time]])*24)</f>
        <v>13.100000000000001</v>
      </c>
      <c r="AG403" s="82">
        <f>IFERROR((PA[[#This Row],[Work Completion time on fault]]-PA[[#This Row],[Fault Time]])*24,"")</f>
        <v>13.100000000000001</v>
      </c>
      <c r="AH403" s="110" t="s">
        <v>2686</v>
      </c>
      <c r="AI403" s="79" t="s">
        <v>422</v>
      </c>
      <c r="AJ403" s="68">
        <f>IFERROR(PA[[#This Row],[Breakdown Time]]*PA[[#This Row],[Plant Equivalent Weightage]],"")</f>
        <v>1.2357568541082871E-3</v>
      </c>
      <c r="AK403" s="117">
        <v>6.62</v>
      </c>
      <c r="AL403" s="116">
        <f>IF(PA[[#This Row],[Lost PoA(Wh/m2)]]&gt;0,_xlfn.XLOOKUP($B403,'Daily KPI'!$A:$A,'Daily KPI'!$AE:$AE)*PA[[#This Row],[Lost PoA(Wh/m2)]]*U403,0)</f>
        <v>175.78013718124782</v>
      </c>
      <c r="AM403" s="176" t="s">
        <v>2688</v>
      </c>
    </row>
    <row r="404" spans="1:39" ht="14" customHeight="1">
      <c r="A404" s="177">
        <f t="shared" si="7"/>
        <v>401</v>
      </c>
      <c r="B404" s="185">
        <v>45853</v>
      </c>
      <c r="C404" s="178" t="s">
        <v>477</v>
      </c>
      <c r="D404" s="6">
        <f>YEAR(PA[[#This Row],[Date]])</f>
        <v>2025</v>
      </c>
      <c r="E404" s="178" t="s">
        <v>361</v>
      </c>
      <c r="F404" s="178" t="s">
        <v>361</v>
      </c>
      <c r="G404" s="179">
        <v>45839</v>
      </c>
      <c r="H404" s="176">
        <f>DAY(EOMONTH(PA[[#This Row],[Month Year]],0))</f>
        <v>31</v>
      </c>
      <c r="I404" s="180">
        <f>VLOOKUP(PA[[#This Row],[Date]],Raw_Data[#All],9,0)</f>
        <v>0.2673611111111111</v>
      </c>
      <c r="J404" s="180">
        <f>VLOOKUP(PA[[#This Row],[Date]],Raw_Data[#All],10,0)</f>
        <v>0.81319444444444444</v>
      </c>
      <c r="K404" s="68">
        <f>IFERROR((PA[[#This Row],[Sunset Time (POA&lt;20 W/m2)]]-PA[[#This Row],[Sunrise Time (POA&gt;20 W/m2)]])*24,"")</f>
        <v>13.100000000000001</v>
      </c>
      <c r="L404" s="178" t="s">
        <v>439</v>
      </c>
      <c r="M404" s="178" t="s">
        <v>401</v>
      </c>
      <c r="N404" s="178" t="s">
        <v>395</v>
      </c>
      <c r="O404" s="178" t="s">
        <v>403</v>
      </c>
      <c r="P404" s="178" t="s">
        <v>404</v>
      </c>
      <c r="Q404" s="178"/>
      <c r="R404" s="6">
        <f>IF((PA[[#This Row],[String Type(If String BD)]]&amp;PA[[#This Row],[Equipment (If any BD other than PV  array and inv)]])="",1,0)</f>
        <v>0</v>
      </c>
      <c r="S404" s="6">
        <f>IF(PA[[#This Row],[String Type(If String BD)]]="",1,0)</f>
        <v>0</v>
      </c>
      <c r="T4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4" s="68">
        <f>IFERROR(VLOOKUP(PA[[#This Row],[Affected Equipment ]],'Basic Data '!$A$1:$B$1846,2,0),"")</f>
        <v>31.32</v>
      </c>
      <c r="V404" s="143">
        <f>IFERROR(VLOOKUP(PA[[#This Row],[Affected Equipment ]],'Basic Data '!$A$1:$C$1846,3,0),"")</f>
        <v>9.3467147730019601E-5</v>
      </c>
      <c r="W404" s="178" t="s">
        <v>451</v>
      </c>
      <c r="X404" s="110" t="s">
        <v>2687</v>
      </c>
      <c r="Y404" s="110" t="s">
        <v>2687</v>
      </c>
      <c r="Z404" s="109">
        <v>0.2673611111111111</v>
      </c>
      <c r="AA404" s="109">
        <v>0.2673611111111111</v>
      </c>
      <c r="AB404" s="109">
        <v>0.2673611111111111</v>
      </c>
      <c r="AC404" s="109">
        <v>0.81319444444444444</v>
      </c>
      <c r="AD404" s="82">
        <f>IF(PA[[#This Row],[Acknowledgement Time ]]="NA","",(PA[[#This Row],[Acknowledgement Time ]]-PA[[#This Row],[Fault Time]])*24)</f>
        <v>0</v>
      </c>
      <c r="AE404" s="82">
        <f>IF(PA[[#This Row],[Work Start time on Fault]]="NA","",(PA[[#This Row],[Work Start time on Fault]]-PA[[#This Row],[Fault Time]])*24)</f>
        <v>0</v>
      </c>
      <c r="AF404" s="111">
        <f>IF(PA[[#This Row],[Status]]="Open","",(PA[[#This Row],[Work Completion time on fault]]-PA[[#This Row],[Fault Time]])*24)</f>
        <v>13.100000000000001</v>
      </c>
      <c r="AG404" s="82">
        <f>IFERROR((PA[[#This Row],[Work Completion time on fault]]-PA[[#This Row],[Fault Time]])*24,"")</f>
        <v>13.100000000000001</v>
      </c>
      <c r="AH404" s="110" t="s">
        <v>2687</v>
      </c>
      <c r="AI404" s="79" t="s">
        <v>422</v>
      </c>
      <c r="AJ404" s="68">
        <f>IFERROR(PA[[#This Row],[Breakdown Time]]*PA[[#This Row],[Plant Equivalent Weightage]],"")</f>
        <v>1.224419635263257E-3</v>
      </c>
      <c r="AK404" s="117">
        <v>6.16</v>
      </c>
      <c r="AL404" s="116">
        <f>IF(PA[[#This Row],[Lost PoA(Wh/m2)]]&gt;0,_xlfn.XLOOKUP($B404,'Daily KPI'!$A:$A,'Daily KPI'!$AE:$AE)*PA[[#This Row],[Lost PoA(Wh/m2)]]*U404,0)</f>
        <v>162.06520366964241</v>
      </c>
      <c r="AM404" s="176" t="s">
        <v>2688</v>
      </c>
    </row>
    <row r="405" spans="1:39" ht="14" customHeight="1">
      <c r="A405" s="177">
        <f t="shared" si="7"/>
        <v>402</v>
      </c>
      <c r="B405" s="185">
        <v>45853</v>
      </c>
      <c r="C405" s="178" t="s">
        <v>477</v>
      </c>
      <c r="D405" s="6">
        <f>YEAR(PA[[#This Row],[Date]])</f>
        <v>2025</v>
      </c>
      <c r="E405" s="178" t="s">
        <v>361</v>
      </c>
      <c r="F405" s="178" t="s">
        <v>361</v>
      </c>
      <c r="G405" s="179">
        <v>45839</v>
      </c>
      <c r="H405" s="176">
        <f>DAY(EOMONTH(PA[[#This Row],[Month Year]],0))</f>
        <v>31</v>
      </c>
      <c r="I405" s="180">
        <f>VLOOKUP(PA[[#This Row],[Date]],Raw_Data[#All],9,0)</f>
        <v>0.2673611111111111</v>
      </c>
      <c r="J405" s="180">
        <f>VLOOKUP(PA[[#This Row],[Date]],Raw_Data[#All],10,0)</f>
        <v>0.81319444444444444</v>
      </c>
      <c r="K405" s="68">
        <f>IFERROR((PA[[#This Row],[Sunset Time (POA&lt;20 W/m2)]]-PA[[#This Row],[Sunrise Time (POA&gt;20 W/m2)]])*24,"")</f>
        <v>13.100000000000001</v>
      </c>
      <c r="L405" s="178" t="s">
        <v>423</v>
      </c>
      <c r="M405" s="178" t="s">
        <v>414</v>
      </c>
      <c r="N405" s="178" t="s">
        <v>402</v>
      </c>
      <c r="O405" s="178" t="s">
        <v>417</v>
      </c>
      <c r="P405" s="178" t="s">
        <v>429</v>
      </c>
      <c r="Q405" s="178"/>
      <c r="R405" s="6">
        <f>IF((PA[[#This Row],[String Type(If String BD)]]&amp;PA[[#This Row],[Equipment (If any BD other than PV  array and inv)]])="",1,0)</f>
        <v>0</v>
      </c>
      <c r="S405" s="6">
        <f>IF(PA[[#This Row],[String Type(If String BD)]]="",1,0)</f>
        <v>0</v>
      </c>
      <c r="T4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5" s="68">
        <f>IFERROR(VLOOKUP(PA[[#This Row],[Affected Equipment ]],'Basic Data '!$A$1:$B$1846,2,0),"")</f>
        <v>15.66</v>
      </c>
      <c r="V405" s="143">
        <f>IFERROR(VLOOKUP(PA[[#This Row],[Affected Equipment ]],'Basic Data '!$A$1:$C$1846,3,0),"")</f>
        <v>4.6733573865009801E-5</v>
      </c>
      <c r="W405" s="178" t="s">
        <v>451</v>
      </c>
      <c r="X405" s="110" t="s">
        <v>2689</v>
      </c>
      <c r="Y405" s="110" t="s">
        <v>2689</v>
      </c>
      <c r="Z405" s="109">
        <v>0.2673611111111111</v>
      </c>
      <c r="AA405" s="109">
        <v>0.2673611111111111</v>
      </c>
      <c r="AB405" s="109">
        <v>0.2673611111111111</v>
      </c>
      <c r="AC405" s="109">
        <v>0.81319444444444444</v>
      </c>
      <c r="AD405" s="82">
        <f>IF(PA[[#This Row],[Acknowledgement Time ]]="NA","",(PA[[#This Row],[Acknowledgement Time ]]-PA[[#This Row],[Fault Time]])*24)</f>
        <v>0</v>
      </c>
      <c r="AE405" s="82">
        <f>IF(PA[[#This Row],[Work Start time on Fault]]="NA","",(PA[[#This Row],[Work Start time on Fault]]-PA[[#This Row],[Fault Time]])*24)</f>
        <v>0</v>
      </c>
      <c r="AF405" s="111">
        <f>IF(PA[[#This Row],[Status]]="Open","",(PA[[#This Row],[Work Completion time on fault]]-PA[[#This Row],[Fault Time]])*24)</f>
        <v>13.100000000000001</v>
      </c>
      <c r="AG405" s="82">
        <f>IFERROR((PA[[#This Row],[Work Completion time on fault]]-PA[[#This Row],[Fault Time]])*24,"")</f>
        <v>13.100000000000001</v>
      </c>
      <c r="AH405" s="110" t="s">
        <v>2689</v>
      </c>
      <c r="AI405" s="79" t="s">
        <v>422</v>
      </c>
      <c r="AJ405" s="68">
        <f>IFERROR(PA[[#This Row],[Breakdown Time]]*PA[[#This Row],[Plant Equivalent Weightage]],"")</f>
        <v>6.1220981763162848E-4</v>
      </c>
      <c r="AK405" s="117">
        <v>6.16</v>
      </c>
      <c r="AL405" s="116">
        <f>IF(PA[[#This Row],[Lost PoA(Wh/m2)]]&gt;0,_xlfn.XLOOKUP($B405,'Daily KPI'!$A:$A,'Daily KPI'!$AE:$AE)*PA[[#This Row],[Lost PoA(Wh/m2)]]*U405,0)</f>
        <v>81.032601834821207</v>
      </c>
      <c r="AM405" s="176" t="s">
        <v>2688</v>
      </c>
    </row>
    <row r="406" spans="1:39" ht="14" customHeight="1">
      <c r="A406" s="177">
        <f t="shared" si="7"/>
        <v>403</v>
      </c>
      <c r="B406" s="185">
        <v>45853</v>
      </c>
      <c r="C406" s="178" t="s">
        <v>477</v>
      </c>
      <c r="D406" s="6">
        <f>YEAR(PA[[#This Row],[Date]])</f>
        <v>2025</v>
      </c>
      <c r="E406" s="178" t="s">
        <v>361</v>
      </c>
      <c r="F406" s="178" t="s">
        <v>361</v>
      </c>
      <c r="G406" s="179">
        <v>45839</v>
      </c>
      <c r="H406" s="176">
        <f>DAY(EOMONTH(PA[[#This Row],[Month Year]],0))</f>
        <v>31</v>
      </c>
      <c r="I406" s="180">
        <f>VLOOKUP(PA[[#This Row],[Date]],Raw_Data[#All],9,0)</f>
        <v>0.2673611111111111</v>
      </c>
      <c r="J406" s="180">
        <f>VLOOKUP(PA[[#This Row],[Date]],Raw_Data[#All],10,0)</f>
        <v>0.81319444444444444</v>
      </c>
      <c r="K406" s="68">
        <f>IFERROR((PA[[#This Row],[Sunset Time (POA&lt;20 W/m2)]]-PA[[#This Row],[Sunrise Time (POA&gt;20 W/m2)]])*24,"")</f>
        <v>13.100000000000001</v>
      </c>
      <c r="L406" s="178" t="s">
        <v>428</v>
      </c>
      <c r="M406" s="178" t="s">
        <v>394</v>
      </c>
      <c r="N406" s="178" t="s">
        <v>402</v>
      </c>
      <c r="O406" s="178" t="s">
        <v>406</v>
      </c>
      <c r="P406" s="178" t="s">
        <v>429</v>
      </c>
      <c r="Q406" s="178"/>
      <c r="R406" s="6">
        <f>IF((PA[[#This Row],[String Type(If String BD)]]&amp;PA[[#This Row],[Equipment (If any BD other than PV  array and inv)]])="",1,0)</f>
        <v>0</v>
      </c>
      <c r="S406" s="6">
        <f>IF(PA[[#This Row],[String Type(If String BD)]]="",1,0)</f>
        <v>0</v>
      </c>
      <c r="T4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6" s="68">
        <f>IFERROR(VLOOKUP(PA[[#This Row],[Affected Equipment ]],'Basic Data '!$A$1:$B$1846,2,0),"")</f>
        <v>15.66</v>
      </c>
      <c r="V406" s="143">
        <f>IFERROR(VLOOKUP(PA[[#This Row],[Affected Equipment ]],'Basic Data '!$A$1:$C$1846,3,0),"")</f>
        <v>4.6733573865009801E-5</v>
      </c>
      <c r="W406" s="178" t="s">
        <v>451</v>
      </c>
      <c r="X406" s="110" t="s">
        <v>2690</v>
      </c>
      <c r="Y406" s="110" t="s">
        <v>2690</v>
      </c>
      <c r="Z406" s="109">
        <v>0.2673611111111111</v>
      </c>
      <c r="AA406" s="109">
        <v>0.2673611111111111</v>
      </c>
      <c r="AB406" s="109">
        <v>0.2673611111111111</v>
      </c>
      <c r="AC406" s="109">
        <v>0.81319444444444444</v>
      </c>
      <c r="AD406" s="82">
        <f>IF(PA[[#This Row],[Acknowledgement Time ]]="NA","",(PA[[#This Row],[Acknowledgement Time ]]-PA[[#This Row],[Fault Time]])*24)</f>
        <v>0</v>
      </c>
      <c r="AE406" s="82">
        <f>IF(PA[[#This Row],[Work Start time on Fault]]="NA","",(PA[[#This Row],[Work Start time on Fault]]-PA[[#This Row],[Fault Time]])*24)</f>
        <v>0</v>
      </c>
      <c r="AF406" s="111">
        <f>IF(PA[[#This Row],[Status]]="Open","",(PA[[#This Row],[Work Completion time on fault]]-PA[[#This Row],[Fault Time]])*24)</f>
        <v>13.100000000000001</v>
      </c>
      <c r="AG406" s="82">
        <f>IFERROR((PA[[#This Row],[Work Completion time on fault]]-PA[[#This Row],[Fault Time]])*24,"")</f>
        <v>13.100000000000001</v>
      </c>
      <c r="AH406" s="110" t="s">
        <v>2690</v>
      </c>
      <c r="AI406" s="79" t="s">
        <v>422</v>
      </c>
      <c r="AJ406" s="68">
        <f>IFERROR(PA[[#This Row],[Breakdown Time]]*PA[[#This Row],[Plant Equivalent Weightage]],"")</f>
        <v>6.1220981763162848E-4</v>
      </c>
      <c r="AK406" s="117">
        <v>6.16</v>
      </c>
      <c r="AL406" s="116">
        <f>IF(PA[[#This Row],[Lost PoA(Wh/m2)]]&gt;0,_xlfn.XLOOKUP($B406,'Daily KPI'!$A:$A,'Daily KPI'!$AE:$AE)*PA[[#This Row],[Lost PoA(Wh/m2)]]*U406,0)</f>
        <v>81.032601834821207</v>
      </c>
      <c r="AM406" s="176" t="s">
        <v>2688</v>
      </c>
    </row>
    <row r="407" spans="1:39" ht="14" customHeight="1">
      <c r="A407" s="177">
        <f t="shared" si="7"/>
        <v>404</v>
      </c>
      <c r="B407" s="185">
        <v>45853</v>
      </c>
      <c r="C407" s="178" t="s">
        <v>477</v>
      </c>
      <c r="D407" s="6">
        <f>YEAR(PA[[#This Row],[Date]])</f>
        <v>2025</v>
      </c>
      <c r="E407" s="178" t="s">
        <v>361</v>
      </c>
      <c r="F407" s="178" t="s">
        <v>361</v>
      </c>
      <c r="G407" s="179">
        <v>45839</v>
      </c>
      <c r="H407" s="176">
        <f>DAY(EOMONTH(PA[[#This Row],[Month Year]],0))</f>
        <v>31</v>
      </c>
      <c r="I407" s="180">
        <f>VLOOKUP(PA[[#This Row],[Date]],Raw_Data[#All],9,0)</f>
        <v>0.2673611111111111</v>
      </c>
      <c r="J407" s="180">
        <f>VLOOKUP(PA[[#This Row],[Date]],Raw_Data[#All],10,0)</f>
        <v>0.81319444444444444</v>
      </c>
      <c r="K407" s="68">
        <f>IFERROR((PA[[#This Row],[Sunset Time (POA&lt;20 W/m2)]]-PA[[#This Row],[Sunrise Time (POA&gt;20 W/m2)]])*24,"")</f>
        <v>13.100000000000001</v>
      </c>
      <c r="L407" s="178" t="s">
        <v>428</v>
      </c>
      <c r="M407" s="178" t="s">
        <v>408</v>
      </c>
      <c r="N407" s="178" t="s">
        <v>402</v>
      </c>
      <c r="O407" s="178" t="s">
        <v>406</v>
      </c>
      <c r="P407" s="178" t="s">
        <v>429</v>
      </c>
      <c r="Q407" s="178"/>
      <c r="R407" s="6">
        <f>IF((PA[[#This Row],[String Type(If String BD)]]&amp;PA[[#This Row],[Equipment (If any BD other than PV  array and inv)]])="",1,0)</f>
        <v>0</v>
      </c>
      <c r="S407" s="6">
        <f>IF(PA[[#This Row],[String Type(If String BD)]]="",1,0)</f>
        <v>0</v>
      </c>
      <c r="T4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7" s="68">
        <f>IFERROR(VLOOKUP(PA[[#This Row],[Affected Equipment ]],'Basic Data '!$A$1:$B$1846,2,0),"")</f>
        <v>15.66</v>
      </c>
      <c r="V407" s="143">
        <f>IFERROR(VLOOKUP(PA[[#This Row],[Affected Equipment ]],'Basic Data '!$A$1:$C$1846,3,0),"")</f>
        <v>4.6733573865009801E-5</v>
      </c>
      <c r="W407" s="178" t="s">
        <v>451</v>
      </c>
      <c r="X407" s="110" t="s">
        <v>2691</v>
      </c>
      <c r="Y407" s="110" t="s">
        <v>2691</v>
      </c>
      <c r="Z407" s="109">
        <v>0.2673611111111111</v>
      </c>
      <c r="AA407" s="109">
        <v>0.2673611111111111</v>
      </c>
      <c r="AB407" s="109">
        <v>0.2673611111111111</v>
      </c>
      <c r="AC407" s="109">
        <v>0.81319444444444444</v>
      </c>
      <c r="AD407" s="82">
        <f>IF(PA[[#This Row],[Acknowledgement Time ]]="NA","",(PA[[#This Row],[Acknowledgement Time ]]-PA[[#This Row],[Fault Time]])*24)</f>
        <v>0</v>
      </c>
      <c r="AE407" s="82">
        <f>IF(PA[[#This Row],[Work Start time on Fault]]="NA","",(PA[[#This Row],[Work Start time on Fault]]-PA[[#This Row],[Fault Time]])*24)</f>
        <v>0</v>
      </c>
      <c r="AF407" s="111">
        <f>IF(PA[[#This Row],[Status]]="Open","",(PA[[#This Row],[Work Completion time on fault]]-PA[[#This Row],[Fault Time]])*24)</f>
        <v>13.100000000000001</v>
      </c>
      <c r="AG407" s="82">
        <f>IFERROR((PA[[#This Row],[Work Completion time on fault]]-PA[[#This Row],[Fault Time]])*24,"")</f>
        <v>13.100000000000001</v>
      </c>
      <c r="AH407" s="110" t="s">
        <v>2691</v>
      </c>
      <c r="AI407" s="79" t="s">
        <v>422</v>
      </c>
      <c r="AJ407" s="68">
        <f>IFERROR(PA[[#This Row],[Breakdown Time]]*PA[[#This Row],[Plant Equivalent Weightage]],"")</f>
        <v>6.1220981763162848E-4</v>
      </c>
      <c r="AK407" s="117">
        <v>6.16</v>
      </c>
      <c r="AL407" s="116">
        <f>IF(PA[[#This Row],[Lost PoA(Wh/m2)]]&gt;0,_xlfn.XLOOKUP($B407,'Daily KPI'!$A:$A,'Daily KPI'!$AE:$AE)*PA[[#This Row],[Lost PoA(Wh/m2)]]*U407,0)</f>
        <v>81.032601834821207</v>
      </c>
      <c r="AM407" s="176" t="s">
        <v>2688</v>
      </c>
    </row>
    <row r="408" spans="1:39" ht="14" customHeight="1">
      <c r="A408" s="177">
        <f t="shared" si="7"/>
        <v>405</v>
      </c>
      <c r="B408" s="185">
        <v>45853</v>
      </c>
      <c r="C408" s="178" t="s">
        <v>477</v>
      </c>
      <c r="D408" s="6">
        <f>YEAR(PA[[#This Row],[Date]])</f>
        <v>2025</v>
      </c>
      <c r="E408" s="178" t="s">
        <v>361</v>
      </c>
      <c r="F408" s="178" t="s">
        <v>361</v>
      </c>
      <c r="G408" s="179">
        <v>45839</v>
      </c>
      <c r="H408" s="176">
        <f>DAY(EOMONTH(PA[[#This Row],[Month Year]],0))</f>
        <v>31</v>
      </c>
      <c r="I408" s="180">
        <f>VLOOKUP(PA[[#This Row],[Date]],Raw_Data[#All],9,0)</f>
        <v>0.2673611111111111</v>
      </c>
      <c r="J408" s="180">
        <f>VLOOKUP(PA[[#This Row],[Date]],Raw_Data[#All],10,0)</f>
        <v>0.81319444444444444</v>
      </c>
      <c r="K408" s="68">
        <f>IFERROR((PA[[#This Row],[Sunset Time (POA&lt;20 W/m2)]]-PA[[#This Row],[Sunrise Time (POA&gt;20 W/m2)]])*24,"")</f>
        <v>13.100000000000001</v>
      </c>
      <c r="L408" s="178" t="s">
        <v>439</v>
      </c>
      <c r="M408" s="178" t="s">
        <v>401</v>
      </c>
      <c r="N408" s="178" t="s">
        <v>402</v>
      </c>
      <c r="O408" s="178" t="s">
        <v>417</v>
      </c>
      <c r="P408" s="178" t="s">
        <v>429</v>
      </c>
      <c r="Q408" s="178"/>
      <c r="R408" s="6">
        <f>IF((PA[[#This Row],[String Type(If String BD)]]&amp;PA[[#This Row],[Equipment (If any BD other than PV  array and inv)]])="",1,0)</f>
        <v>0</v>
      </c>
      <c r="S408" s="6">
        <f>IF(PA[[#This Row],[String Type(If String BD)]]="",1,0)</f>
        <v>0</v>
      </c>
      <c r="T4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8" s="68">
        <f>IFERROR(VLOOKUP(PA[[#This Row],[Affected Equipment ]],'Basic Data '!$A$1:$B$1846,2,0),"")</f>
        <v>15.66</v>
      </c>
      <c r="V408" s="143">
        <f>IFERROR(VLOOKUP(PA[[#This Row],[Affected Equipment ]],'Basic Data '!$A$1:$C$1846,3,0),"")</f>
        <v>4.6733573865009801E-5</v>
      </c>
      <c r="W408" s="178" t="s">
        <v>451</v>
      </c>
      <c r="X408" s="110" t="s">
        <v>2692</v>
      </c>
      <c r="Y408" s="110" t="s">
        <v>2692</v>
      </c>
      <c r="Z408" s="109">
        <v>0.2673611111111111</v>
      </c>
      <c r="AA408" s="109">
        <v>0.2673611111111111</v>
      </c>
      <c r="AB408" s="109">
        <v>0.2673611111111111</v>
      </c>
      <c r="AC408" s="109">
        <v>0.81319444444444444</v>
      </c>
      <c r="AD408" s="82">
        <f>IF(PA[[#This Row],[Acknowledgement Time ]]="NA","",(PA[[#This Row],[Acknowledgement Time ]]-PA[[#This Row],[Fault Time]])*24)</f>
        <v>0</v>
      </c>
      <c r="AE408" s="82">
        <f>IF(PA[[#This Row],[Work Start time on Fault]]="NA","",(PA[[#This Row],[Work Start time on Fault]]-PA[[#This Row],[Fault Time]])*24)</f>
        <v>0</v>
      </c>
      <c r="AF408" s="111">
        <f>IF(PA[[#This Row],[Status]]="Open","",(PA[[#This Row],[Work Completion time on fault]]-PA[[#This Row],[Fault Time]])*24)</f>
        <v>13.100000000000001</v>
      </c>
      <c r="AG408" s="82">
        <f>IFERROR((PA[[#This Row],[Work Completion time on fault]]-PA[[#This Row],[Fault Time]])*24,"")</f>
        <v>13.100000000000001</v>
      </c>
      <c r="AH408" s="110" t="s">
        <v>2692</v>
      </c>
      <c r="AI408" s="79" t="s">
        <v>422</v>
      </c>
      <c r="AJ408" s="68">
        <f>IFERROR(PA[[#This Row],[Breakdown Time]]*PA[[#This Row],[Plant Equivalent Weightage]],"")</f>
        <v>6.1220981763162848E-4</v>
      </c>
      <c r="AK408" s="117">
        <v>6.16</v>
      </c>
      <c r="AL408" s="116">
        <f>IF(PA[[#This Row],[Lost PoA(Wh/m2)]]&gt;0,_xlfn.XLOOKUP($B408,'Daily KPI'!$A:$A,'Daily KPI'!$AE:$AE)*PA[[#This Row],[Lost PoA(Wh/m2)]]*U408,0)</f>
        <v>81.032601834821207</v>
      </c>
      <c r="AM408" s="176" t="s">
        <v>2688</v>
      </c>
    </row>
    <row r="409" spans="1:39" ht="14" customHeight="1">
      <c r="A409" s="177">
        <f t="shared" si="7"/>
        <v>406</v>
      </c>
      <c r="B409" s="185">
        <v>45854</v>
      </c>
      <c r="C409" s="178" t="s">
        <v>477</v>
      </c>
      <c r="D409" s="6">
        <f>YEAR(PA[[#This Row],[Date]])</f>
        <v>2025</v>
      </c>
      <c r="E409" s="178" t="s">
        <v>361</v>
      </c>
      <c r="F409" s="178" t="s">
        <v>361</v>
      </c>
      <c r="G409" s="179">
        <v>45839</v>
      </c>
      <c r="H409" s="176">
        <f>DAY(EOMONTH(PA[[#This Row],[Month Year]],0))</f>
        <v>31</v>
      </c>
      <c r="I409" s="180">
        <f>VLOOKUP(PA[[#This Row],[Date]],Raw_Data[#All],9,0)</f>
        <v>0.27013888888888887</v>
      </c>
      <c r="J409" s="180">
        <f>VLOOKUP(PA[[#This Row],[Date]],Raw_Data[#All],10,0)</f>
        <v>0.79513888888888884</v>
      </c>
      <c r="K409" s="68">
        <f>IFERROR((PA[[#This Row],[Sunset Time (POA&lt;20 W/m2)]]-PA[[#This Row],[Sunrise Time (POA&gt;20 W/m2)]])*24,"")</f>
        <v>12.599999999999998</v>
      </c>
      <c r="L409" s="178" t="s">
        <v>419</v>
      </c>
      <c r="M409" s="178" t="s">
        <v>394</v>
      </c>
      <c r="N409" s="178" t="s">
        <v>402</v>
      </c>
      <c r="O409" s="178" t="s">
        <v>442</v>
      </c>
      <c r="P409" s="178" t="s">
        <v>404</v>
      </c>
      <c r="Q409" s="178"/>
      <c r="R409" s="6">
        <f>IF((PA[[#This Row],[String Type(If String BD)]]&amp;PA[[#This Row],[Equipment (If any BD other than PV  array and inv)]])="",1,0)</f>
        <v>0</v>
      </c>
      <c r="S409" s="6">
        <f>IF(PA[[#This Row],[String Type(If String BD)]]="",1,0)</f>
        <v>0</v>
      </c>
      <c r="T4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9" s="68">
        <f>IFERROR(VLOOKUP(PA[[#This Row],[Affected Equipment ]],'Basic Data '!$A$1:$B$1846,2,0),"")</f>
        <v>31.32</v>
      </c>
      <c r="V409" s="143">
        <f>IFERROR(VLOOKUP(PA[[#This Row],[Affected Equipment ]],'Basic Data '!$A$1:$C$1846,3,0),"")</f>
        <v>9.3467147730019601E-5</v>
      </c>
      <c r="W409" s="178" t="s">
        <v>451</v>
      </c>
      <c r="X409" s="110" t="s">
        <v>2686</v>
      </c>
      <c r="Y409" s="110" t="s">
        <v>2686</v>
      </c>
      <c r="Z409" s="109">
        <v>0.27013888888888887</v>
      </c>
      <c r="AA409" s="109">
        <v>0.27013888888888887</v>
      </c>
      <c r="AB409" s="109">
        <v>0.27013888888888887</v>
      </c>
      <c r="AC409" s="109">
        <v>0.79513888888888884</v>
      </c>
      <c r="AD409" s="82">
        <f>IF(PA[[#This Row],[Acknowledgement Time ]]="NA","",(PA[[#This Row],[Acknowledgement Time ]]-PA[[#This Row],[Fault Time]])*24)</f>
        <v>0</v>
      </c>
      <c r="AE409" s="82">
        <f>IF(PA[[#This Row],[Work Start time on Fault]]="NA","",(PA[[#This Row],[Work Start time on Fault]]-PA[[#This Row],[Fault Time]])*24)</f>
        <v>0</v>
      </c>
      <c r="AF409" s="111">
        <f>IF(PA[[#This Row],[Status]]="Open","",(PA[[#This Row],[Work Completion time on fault]]-PA[[#This Row],[Fault Time]])*24)</f>
        <v>12.599999999999998</v>
      </c>
      <c r="AG409" s="82">
        <f>IFERROR((PA[[#This Row],[Work Completion time on fault]]-PA[[#This Row],[Fault Time]])*24,"")</f>
        <v>12.599999999999998</v>
      </c>
      <c r="AH409" s="110" t="s">
        <v>2686</v>
      </c>
      <c r="AI409" s="79" t="s">
        <v>422</v>
      </c>
      <c r="AJ409" s="68">
        <f>IFERROR(PA[[#This Row],[Breakdown Time]]*PA[[#This Row],[Plant Equivalent Weightage]],"")</f>
        <v>1.1776860613982468E-3</v>
      </c>
      <c r="AK409" s="117">
        <v>5.67</v>
      </c>
      <c r="AL409" s="116">
        <f>IF(PA[[#This Row],[Lost PoA(Wh/m2)]]&gt;0,_xlfn.XLOOKUP($B409,'Daily KPI'!$A:$A,'Daily KPI'!$AE:$AE)*PA[[#This Row],[Lost PoA(Wh/m2)]]*U409,0)</f>
        <v>149.17365337773904</v>
      </c>
      <c r="AM409" s="176" t="s">
        <v>2688</v>
      </c>
    </row>
    <row r="410" spans="1:39" ht="14" customHeight="1">
      <c r="A410" s="177">
        <f t="shared" si="7"/>
        <v>407</v>
      </c>
      <c r="B410" s="185">
        <v>45854</v>
      </c>
      <c r="C410" s="178" t="s">
        <v>477</v>
      </c>
      <c r="D410" s="6">
        <f>YEAR(PA[[#This Row],[Date]])</f>
        <v>2025</v>
      </c>
      <c r="E410" s="178" t="s">
        <v>361</v>
      </c>
      <c r="F410" s="178" t="s">
        <v>361</v>
      </c>
      <c r="G410" s="179">
        <v>45839</v>
      </c>
      <c r="H410" s="176">
        <f>DAY(EOMONTH(PA[[#This Row],[Month Year]],0))</f>
        <v>31</v>
      </c>
      <c r="I410" s="180">
        <f>VLOOKUP(PA[[#This Row],[Date]],Raw_Data[#All],9,0)</f>
        <v>0.27013888888888887</v>
      </c>
      <c r="J410" s="180">
        <f>VLOOKUP(PA[[#This Row],[Date]],Raw_Data[#All],10,0)</f>
        <v>0.79513888888888884</v>
      </c>
      <c r="K410" s="68">
        <f>IFERROR((PA[[#This Row],[Sunset Time (POA&lt;20 W/m2)]]-PA[[#This Row],[Sunrise Time (POA&gt;20 W/m2)]])*24,"")</f>
        <v>12.599999999999998</v>
      </c>
      <c r="L410" s="178" t="s">
        <v>416</v>
      </c>
      <c r="M410" s="178" t="s">
        <v>394</v>
      </c>
      <c r="N410" s="178" t="s">
        <v>402</v>
      </c>
      <c r="O410" s="178" t="s">
        <v>403</v>
      </c>
      <c r="P410" s="178" t="s">
        <v>448</v>
      </c>
      <c r="Q410" s="178"/>
      <c r="R410" s="6">
        <f>IF((PA[[#This Row],[String Type(If String BD)]]&amp;PA[[#This Row],[Equipment (If any BD other than PV  array and inv)]])="",1,0)</f>
        <v>0</v>
      </c>
      <c r="S410" s="6">
        <f>IF(PA[[#This Row],[String Type(If String BD)]]="",1,0)</f>
        <v>0</v>
      </c>
      <c r="T4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0" s="68">
        <f>IFERROR(VLOOKUP(PA[[#This Row],[Affected Equipment ]],'Basic Data '!$A$1:$B$1846,2,0),"")</f>
        <v>31.61</v>
      </c>
      <c r="V410" s="143">
        <f>IFERROR(VLOOKUP(PA[[#This Row],[Affected Equipment ]],'Basic Data '!$A$1:$C$1846,3,0),"")</f>
        <v>9.4332584283075336E-5</v>
      </c>
      <c r="W410" s="178" t="s">
        <v>451</v>
      </c>
      <c r="X410" s="110" t="s">
        <v>2686</v>
      </c>
      <c r="Y410" s="110" t="s">
        <v>2686</v>
      </c>
      <c r="Z410" s="109">
        <v>0.27013888888888887</v>
      </c>
      <c r="AA410" s="109">
        <v>0.27013888888888887</v>
      </c>
      <c r="AB410" s="109">
        <v>0.27013888888888887</v>
      </c>
      <c r="AC410" s="109">
        <v>0.79513888888888884</v>
      </c>
      <c r="AD410" s="82">
        <f>IF(PA[[#This Row],[Acknowledgement Time ]]="NA","",(PA[[#This Row],[Acknowledgement Time ]]-PA[[#This Row],[Fault Time]])*24)</f>
        <v>0</v>
      </c>
      <c r="AE410" s="82">
        <f>IF(PA[[#This Row],[Work Start time on Fault]]="NA","",(PA[[#This Row],[Work Start time on Fault]]-PA[[#This Row],[Fault Time]])*24)</f>
        <v>0</v>
      </c>
      <c r="AF410" s="111">
        <f>IF(PA[[#This Row],[Status]]="Open","",(PA[[#This Row],[Work Completion time on fault]]-PA[[#This Row],[Fault Time]])*24)</f>
        <v>12.599999999999998</v>
      </c>
      <c r="AG410" s="82">
        <f>IFERROR((PA[[#This Row],[Work Completion time on fault]]-PA[[#This Row],[Fault Time]])*24,"")</f>
        <v>12.599999999999998</v>
      </c>
      <c r="AH410" s="110" t="s">
        <v>2686</v>
      </c>
      <c r="AI410" s="79" t="s">
        <v>422</v>
      </c>
      <c r="AJ410" s="68">
        <f>IFERROR(PA[[#This Row],[Breakdown Time]]*PA[[#This Row],[Plant Equivalent Weightage]],"")</f>
        <v>1.188590561966749E-3</v>
      </c>
      <c r="AK410" s="117">
        <v>5.73</v>
      </c>
      <c r="AL410" s="116">
        <f>IF(PA[[#This Row],[Lost PoA(Wh/m2)]]&gt;0,_xlfn.XLOOKUP($B410,'Daily KPI'!$A:$A,'Daily KPI'!$AE:$AE)*PA[[#This Row],[Lost PoA(Wh/m2)]]*U410,0)</f>
        <v>152.14806435778704</v>
      </c>
      <c r="AM410" s="176" t="s">
        <v>2688</v>
      </c>
    </row>
    <row r="411" spans="1:39" ht="14" customHeight="1">
      <c r="A411" s="177">
        <f t="shared" si="7"/>
        <v>408</v>
      </c>
      <c r="B411" s="185">
        <v>45854</v>
      </c>
      <c r="C411" s="178" t="s">
        <v>477</v>
      </c>
      <c r="D411" s="6">
        <f>YEAR(PA[[#This Row],[Date]])</f>
        <v>2025</v>
      </c>
      <c r="E411" s="178" t="s">
        <v>361</v>
      </c>
      <c r="F411" s="178" t="s">
        <v>361</v>
      </c>
      <c r="G411" s="179">
        <v>45839</v>
      </c>
      <c r="H411" s="176">
        <f>DAY(EOMONTH(PA[[#This Row],[Month Year]],0))</f>
        <v>31</v>
      </c>
      <c r="I411" s="180">
        <f>VLOOKUP(PA[[#This Row],[Date]],Raw_Data[#All],9,0)</f>
        <v>0.27013888888888887</v>
      </c>
      <c r="J411" s="180">
        <f>VLOOKUP(PA[[#This Row],[Date]],Raw_Data[#All],10,0)</f>
        <v>0.79513888888888884</v>
      </c>
      <c r="K411" s="68">
        <f>IFERROR((PA[[#This Row],[Sunset Time (POA&lt;20 W/m2)]]-PA[[#This Row],[Sunrise Time (POA&gt;20 W/m2)]])*24,"")</f>
        <v>12.599999999999998</v>
      </c>
      <c r="L411" s="178" t="s">
        <v>425</v>
      </c>
      <c r="M411" s="178" t="s">
        <v>408</v>
      </c>
      <c r="N411" s="178" t="s">
        <v>402</v>
      </c>
      <c r="O411" s="178" t="s">
        <v>417</v>
      </c>
      <c r="P411" s="178" t="s">
        <v>448</v>
      </c>
      <c r="Q411" s="178"/>
      <c r="R411" s="6">
        <f>IF((PA[[#This Row],[String Type(If String BD)]]&amp;PA[[#This Row],[Equipment (If any BD other than PV  array and inv)]])="",1,0)</f>
        <v>0</v>
      </c>
      <c r="S411" s="6">
        <f>IF(PA[[#This Row],[String Type(If String BD)]]="",1,0)</f>
        <v>0</v>
      </c>
      <c r="T4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1" s="68">
        <f>IFERROR(VLOOKUP(PA[[#This Row],[Affected Equipment ]],'Basic Data '!$A$1:$B$1846,2,0),"")</f>
        <v>31.61</v>
      </c>
      <c r="V411" s="143">
        <f>IFERROR(VLOOKUP(PA[[#This Row],[Affected Equipment ]],'Basic Data '!$A$1:$C$1846,3,0),"")</f>
        <v>9.4332584283075336E-5</v>
      </c>
      <c r="W411" s="178" t="s">
        <v>451</v>
      </c>
      <c r="X411" s="110" t="s">
        <v>2686</v>
      </c>
      <c r="Y411" s="110" t="s">
        <v>2686</v>
      </c>
      <c r="Z411" s="109">
        <v>0.27013888888888887</v>
      </c>
      <c r="AA411" s="109">
        <v>0.27013888888888887</v>
      </c>
      <c r="AB411" s="109">
        <v>0.27013888888888887</v>
      </c>
      <c r="AC411" s="109">
        <v>0.79513888888888884</v>
      </c>
      <c r="AD411" s="82">
        <f>IF(PA[[#This Row],[Acknowledgement Time ]]="NA","",(PA[[#This Row],[Acknowledgement Time ]]-PA[[#This Row],[Fault Time]])*24)</f>
        <v>0</v>
      </c>
      <c r="AE411" s="82">
        <f>IF(PA[[#This Row],[Work Start time on Fault]]="NA","",(PA[[#This Row],[Work Start time on Fault]]-PA[[#This Row],[Fault Time]])*24)</f>
        <v>0</v>
      </c>
      <c r="AF411" s="111">
        <f>IF(PA[[#This Row],[Status]]="Open","",(PA[[#This Row],[Work Completion time on fault]]-PA[[#This Row],[Fault Time]])*24)</f>
        <v>12.599999999999998</v>
      </c>
      <c r="AG411" s="82">
        <f>IFERROR((PA[[#This Row],[Work Completion time on fault]]-PA[[#This Row],[Fault Time]])*24,"")</f>
        <v>12.599999999999998</v>
      </c>
      <c r="AH411" s="110" t="s">
        <v>2686</v>
      </c>
      <c r="AI411" s="79" t="s">
        <v>422</v>
      </c>
      <c r="AJ411" s="68">
        <f>IFERROR(PA[[#This Row],[Breakdown Time]]*PA[[#This Row],[Plant Equivalent Weightage]],"")</f>
        <v>1.188590561966749E-3</v>
      </c>
      <c r="AK411" s="117">
        <v>5.73</v>
      </c>
      <c r="AL411" s="116">
        <f>IF(PA[[#This Row],[Lost PoA(Wh/m2)]]&gt;0,_xlfn.XLOOKUP($B411,'Daily KPI'!$A:$A,'Daily KPI'!$AE:$AE)*PA[[#This Row],[Lost PoA(Wh/m2)]]*U411,0)</f>
        <v>152.14806435778704</v>
      </c>
      <c r="AM411" s="176" t="s">
        <v>2688</v>
      </c>
    </row>
    <row r="412" spans="1:39" ht="14" customHeight="1">
      <c r="A412" s="177">
        <f t="shared" si="7"/>
        <v>409</v>
      </c>
      <c r="B412" s="185">
        <v>45854</v>
      </c>
      <c r="C412" s="178" t="s">
        <v>477</v>
      </c>
      <c r="D412" s="6">
        <f>YEAR(PA[[#This Row],[Date]])</f>
        <v>2025</v>
      </c>
      <c r="E412" s="178" t="s">
        <v>361</v>
      </c>
      <c r="F412" s="178" t="s">
        <v>361</v>
      </c>
      <c r="G412" s="179">
        <v>45839</v>
      </c>
      <c r="H412" s="176">
        <f>DAY(EOMONTH(PA[[#This Row],[Month Year]],0))</f>
        <v>31</v>
      </c>
      <c r="I412" s="180">
        <f>VLOOKUP(PA[[#This Row],[Date]],Raw_Data[#All],9,0)</f>
        <v>0.27013888888888887</v>
      </c>
      <c r="J412" s="180">
        <f>VLOOKUP(PA[[#This Row],[Date]],Raw_Data[#All],10,0)</f>
        <v>0.79513888888888884</v>
      </c>
      <c r="K412" s="68">
        <f>IFERROR((PA[[#This Row],[Sunset Time (POA&lt;20 W/m2)]]-PA[[#This Row],[Sunrise Time (POA&gt;20 W/m2)]])*24,"")</f>
        <v>12.599999999999998</v>
      </c>
      <c r="L412" s="178" t="s">
        <v>439</v>
      </c>
      <c r="M412" s="178" t="s">
        <v>401</v>
      </c>
      <c r="N412" s="178" t="s">
        <v>395</v>
      </c>
      <c r="O412" s="178" t="s">
        <v>403</v>
      </c>
      <c r="P412" s="178" t="s">
        <v>404</v>
      </c>
      <c r="Q412" s="178"/>
      <c r="R412" s="6">
        <f>IF((PA[[#This Row],[String Type(If String BD)]]&amp;PA[[#This Row],[Equipment (If any BD other than PV  array and inv)]])="",1,0)</f>
        <v>0</v>
      </c>
      <c r="S412" s="6">
        <f>IF(PA[[#This Row],[String Type(If String BD)]]="",1,0)</f>
        <v>0</v>
      </c>
      <c r="T4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2" s="68">
        <f>IFERROR(VLOOKUP(PA[[#This Row],[Affected Equipment ]],'Basic Data '!$A$1:$B$1846,2,0),"")</f>
        <v>31.32</v>
      </c>
      <c r="V412" s="143">
        <f>IFERROR(VLOOKUP(PA[[#This Row],[Affected Equipment ]],'Basic Data '!$A$1:$C$1846,3,0),"")</f>
        <v>9.3467147730019601E-5</v>
      </c>
      <c r="W412" s="178" t="s">
        <v>451</v>
      </c>
      <c r="X412" s="110" t="s">
        <v>2687</v>
      </c>
      <c r="Y412" s="110" t="s">
        <v>2687</v>
      </c>
      <c r="Z412" s="109">
        <v>0.27013888888888887</v>
      </c>
      <c r="AA412" s="109">
        <v>0.27013888888888887</v>
      </c>
      <c r="AB412" s="109">
        <v>0.27013888888888887</v>
      </c>
      <c r="AC412" s="109">
        <v>0.79513888888888884</v>
      </c>
      <c r="AD412" s="82">
        <f>IF(PA[[#This Row],[Acknowledgement Time ]]="NA","",(PA[[#This Row],[Acknowledgement Time ]]-PA[[#This Row],[Fault Time]])*24)</f>
        <v>0</v>
      </c>
      <c r="AE412" s="82">
        <f>IF(PA[[#This Row],[Work Start time on Fault]]="NA","",(PA[[#This Row],[Work Start time on Fault]]-PA[[#This Row],[Fault Time]])*24)</f>
        <v>0</v>
      </c>
      <c r="AF412" s="111">
        <f>IF(PA[[#This Row],[Status]]="Open","",(PA[[#This Row],[Work Completion time on fault]]-PA[[#This Row],[Fault Time]])*24)</f>
        <v>12.599999999999998</v>
      </c>
      <c r="AG412" s="82">
        <f>IFERROR((PA[[#This Row],[Work Completion time on fault]]-PA[[#This Row],[Fault Time]])*24,"")</f>
        <v>12.599999999999998</v>
      </c>
      <c r="AH412" s="110" t="s">
        <v>2687</v>
      </c>
      <c r="AI412" s="79" t="s">
        <v>422</v>
      </c>
      <c r="AJ412" s="68">
        <f>IFERROR(PA[[#This Row],[Breakdown Time]]*PA[[#This Row],[Plant Equivalent Weightage]],"")</f>
        <v>1.1776860613982468E-3</v>
      </c>
      <c r="AK412" s="117">
        <v>6.36</v>
      </c>
      <c r="AL412" s="116">
        <f>IF(PA[[#This Row],[Lost PoA(Wh/m2)]]&gt;0,_xlfn.XLOOKUP($B412,'Daily KPI'!$A:$A,'Daily KPI'!$AE:$AE)*PA[[#This Row],[Lost PoA(Wh/m2)]]*U412,0)</f>
        <v>167.32706093164379</v>
      </c>
      <c r="AM412" s="176" t="s">
        <v>2688</v>
      </c>
    </row>
    <row r="413" spans="1:39" ht="14" customHeight="1">
      <c r="A413" s="177">
        <f t="shared" si="7"/>
        <v>410</v>
      </c>
      <c r="B413" s="185">
        <v>45854</v>
      </c>
      <c r="C413" s="178" t="s">
        <v>477</v>
      </c>
      <c r="D413" s="6">
        <f>YEAR(PA[[#This Row],[Date]])</f>
        <v>2025</v>
      </c>
      <c r="E413" s="178" t="s">
        <v>361</v>
      </c>
      <c r="F413" s="178" t="s">
        <v>361</v>
      </c>
      <c r="G413" s="179">
        <v>45839</v>
      </c>
      <c r="H413" s="176">
        <f>DAY(EOMONTH(PA[[#This Row],[Month Year]],0))</f>
        <v>31</v>
      </c>
      <c r="I413" s="180">
        <f>VLOOKUP(PA[[#This Row],[Date]],Raw_Data[#All],9,0)</f>
        <v>0.27013888888888887</v>
      </c>
      <c r="J413" s="180">
        <f>VLOOKUP(PA[[#This Row],[Date]],Raw_Data[#All],10,0)</f>
        <v>0.79513888888888884</v>
      </c>
      <c r="K413" s="68">
        <f>IFERROR((PA[[#This Row],[Sunset Time (POA&lt;20 W/m2)]]-PA[[#This Row],[Sunrise Time (POA&gt;20 W/m2)]])*24,"")</f>
        <v>12.599999999999998</v>
      </c>
      <c r="L413" s="178" t="s">
        <v>423</v>
      </c>
      <c r="M413" s="178" t="s">
        <v>414</v>
      </c>
      <c r="N413" s="178" t="s">
        <v>402</v>
      </c>
      <c r="O413" s="178" t="s">
        <v>417</v>
      </c>
      <c r="P413" s="178" t="s">
        <v>429</v>
      </c>
      <c r="Q413" s="178"/>
      <c r="R413" s="6">
        <f>IF((PA[[#This Row],[String Type(If String BD)]]&amp;PA[[#This Row],[Equipment (If any BD other than PV  array and inv)]])="",1,0)</f>
        <v>0</v>
      </c>
      <c r="S413" s="6">
        <f>IF(PA[[#This Row],[String Type(If String BD)]]="",1,0)</f>
        <v>0</v>
      </c>
      <c r="T4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3" s="68">
        <f>IFERROR(VLOOKUP(PA[[#This Row],[Affected Equipment ]],'Basic Data '!$A$1:$B$1846,2,0),"")</f>
        <v>15.66</v>
      </c>
      <c r="V413" s="143">
        <f>IFERROR(VLOOKUP(PA[[#This Row],[Affected Equipment ]],'Basic Data '!$A$1:$C$1846,3,0),"")</f>
        <v>4.6733573865009801E-5</v>
      </c>
      <c r="W413" s="178" t="s">
        <v>451</v>
      </c>
      <c r="X413" s="110" t="s">
        <v>2689</v>
      </c>
      <c r="Y413" s="110" t="s">
        <v>2689</v>
      </c>
      <c r="Z413" s="109">
        <v>0.27013888888888887</v>
      </c>
      <c r="AA413" s="109">
        <v>0.27013888888888887</v>
      </c>
      <c r="AB413" s="109">
        <v>0.27013888888888887</v>
      </c>
      <c r="AC413" s="109">
        <v>0.79513888888888884</v>
      </c>
      <c r="AD413" s="82">
        <f>IF(PA[[#This Row],[Acknowledgement Time ]]="NA","",(PA[[#This Row],[Acknowledgement Time ]]-PA[[#This Row],[Fault Time]])*24)</f>
        <v>0</v>
      </c>
      <c r="AE413" s="82">
        <f>IF(PA[[#This Row],[Work Start time on Fault]]="NA","",(PA[[#This Row],[Work Start time on Fault]]-PA[[#This Row],[Fault Time]])*24)</f>
        <v>0</v>
      </c>
      <c r="AF413" s="111">
        <f>IF(PA[[#This Row],[Status]]="Open","",(PA[[#This Row],[Work Completion time on fault]]-PA[[#This Row],[Fault Time]])*24)</f>
        <v>12.599999999999998</v>
      </c>
      <c r="AG413" s="82">
        <f>IFERROR((PA[[#This Row],[Work Completion time on fault]]-PA[[#This Row],[Fault Time]])*24,"")</f>
        <v>12.599999999999998</v>
      </c>
      <c r="AH413" s="110" t="s">
        <v>2689</v>
      </c>
      <c r="AI413" s="79" t="s">
        <v>422</v>
      </c>
      <c r="AJ413" s="68">
        <f>IFERROR(PA[[#This Row],[Breakdown Time]]*PA[[#This Row],[Plant Equivalent Weightage]],"")</f>
        <v>5.8884303069912339E-4</v>
      </c>
      <c r="AK413" s="117">
        <v>6.36</v>
      </c>
      <c r="AL413" s="116">
        <f>IF(PA[[#This Row],[Lost PoA(Wh/m2)]]&gt;0,_xlfn.XLOOKUP($B413,'Daily KPI'!$A:$A,'Daily KPI'!$AE:$AE)*PA[[#This Row],[Lost PoA(Wh/m2)]]*U413,0)</f>
        <v>83.663530465821893</v>
      </c>
      <c r="AM413" s="176" t="s">
        <v>2688</v>
      </c>
    </row>
    <row r="414" spans="1:39" ht="14" customHeight="1">
      <c r="A414" s="177">
        <f t="shared" si="7"/>
        <v>411</v>
      </c>
      <c r="B414" s="185">
        <v>45854</v>
      </c>
      <c r="C414" s="178" t="s">
        <v>477</v>
      </c>
      <c r="D414" s="6">
        <f>YEAR(PA[[#This Row],[Date]])</f>
        <v>2025</v>
      </c>
      <c r="E414" s="178" t="s">
        <v>361</v>
      </c>
      <c r="F414" s="178" t="s">
        <v>361</v>
      </c>
      <c r="G414" s="179">
        <v>45839</v>
      </c>
      <c r="H414" s="176">
        <f>DAY(EOMONTH(PA[[#This Row],[Month Year]],0))</f>
        <v>31</v>
      </c>
      <c r="I414" s="180">
        <f>VLOOKUP(PA[[#This Row],[Date]],Raw_Data[#All],9,0)</f>
        <v>0.27013888888888887</v>
      </c>
      <c r="J414" s="180">
        <f>VLOOKUP(PA[[#This Row],[Date]],Raw_Data[#All],10,0)</f>
        <v>0.79513888888888884</v>
      </c>
      <c r="K414" s="68">
        <f>IFERROR((PA[[#This Row],[Sunset Time (POA&lt;20 W/m2)]]-PA[[#This Row],[Sunrise Time (POA&gt;20 W/m2)]])*24,"")</f>
        <v>12.599999999999998</v>
      </c>
      <c r="L414" s="178" t="s">
        <v>428</v>
      </c>
      <c r="M414" s="178" t="s">
        <v>394</v>
      </c>
      <c r="N414" s="178" t="s">
        <v>402</v>
      </c>
      <c r="O414" s="178" t="s">
        <v>406</v>
      </c>
      <c r="P414" s="178" t="s">
        <v>429</v>
      </c>
      <c r="Q414" s="178"/>
      <c r="R414" s="6">
        <f>IF((PA[[#This Row],[String Type(If String BD)]]&amp;PA[[#This Row],[Equipment (If any BD other than PV  array and inv)]])="",1,0)</f>
        <v>0</v>
      </c>
      <c r="S414" s="6">
        <f>IF(PA[[#This Row],[String Type(If String BD)]]="",1,0)</f>
        <v>0</v>
      </c>
      <c r="T4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4" s="68">
        <f>IFERROR(VLOOKUP(PA[[#This Row],[Affected Equipment ]],'Basic Data '!$A$1:$B$1846,2,0),"")</f>
        <v>15.66</v>
      </c>
      <c r="V414" s="143">
        <f>IFERROR(VLOOKUP(PA[[#This Row],[Affected Equipment ]],'Basic Data '!$A$1:$C$1846,3,0),"")</f>
        <v>4.6733573865009801E-5</v>
      </c>
      <c r="W414" s="178" t="s">
        <v>451</v>
      </c>
      <c r="X414" s="110" t="s">
        <v>2690</v>
      </c>
      <c r="Y414" s="110" t="s">
        <v>2690</v>
      </c>
      <c r="Z414" s="109">
        <v>0.27013888888888887</v>
      </c>
      <c r="AA414" s="109">
        <v>0.27013888888888887</v>
      </c>
      <c r="AB414" s="109">
        <v>0.27013888888888887</v>
      </c>
      <c r="AC414" s="109">
        <v>0.79513888888888884</v>
      </c>
      <c r="AD414" s="82">
        <f>IF(PA[[#This Row],[Acknowledgement Time ]]="NA","",(PA[[#This Row],[Acknowledgement Time ]]-PA[[#This Row],[Fault Time]])*24)</f>
        <v>0</v>
      </c>
      <c r="AE414" s="82">
        <f>IF(PA[[#This Row],[Work Start time on Fault]]="NA","",(PA[[#This Row],[Work Start time on Fault]]-PA[[#This Row],[Fault Time]])*24)</f>
        <v>0</v>
      </c>
      <c r="AF414" s="111">
        <f>IF(PA[[#This Row],[Status]]="Open","",(PA[[#This Row],[Work Completion time on fault]]-PA[[#This Row],[Fault Time]])*24)</f>
        <v>12.599999999999998</v>
      </c>
      <c r="AG414" s="82">
        <f>IFERROR((PA[[#This Row],[Work Completion time on fault]]-PA[[#This Row],[Fault Time]])*24,"")</f>
        <v>12.599999999999998</v>
      </c>
      <c r="AH414" s="110" t="s">
        <v>2690</v>
      </c>
      <c r="AI414" s="79" t="s">
        <v>422</v>
      </c>
      <c r="AJ414" s="68">
        <f>IFERROR(PA[[#This Row],[Breakdown Time]]*PA[[#This Row],[Plant Equivalent Weightage]],"")</f>
        <v>5.8884303069912339E-4</v>
      </c>
      <c r="AK414" s="117">
        <v>6.36</v>
      </c>
      <c r="AL414" s="116">
        <f>IF(PA[[#This Row],[Lost PoA(Wh/m2)]]&gt;0,_xlfn.XLOOKUP($B414,'Daily KPI'!$A:$A,'Daily KPI'!$AE:$AE)*PA[[#This Row],[Lost PoA(Wh/m2)]]*U414,0)</f>
        <v>83.663530465821893</v>
      </c>
      <c r="AM414" s="176" t="s">
        <v>2688</v>
      </c>
    </row>
    <row r="415" spans="1:39" ht="14" customHeight="1">
      <c r="A415" s="177">
        <f t="shared" si="7"/>
        <v>412</v>
      </c>
      <c r="B415" s="185">
        <v>45854</v>
      </c>
      <c r="C415" s="178" t="s">
        <v>477</v>
      </c>
      <c r="D415" s="6">
        <f>YEAR(PA[[#This Row],[Date]])</f>
        <v>2025</v>
      </c>
      <c r="E415" s="178" t="s">
        <v>361</v>
      </c>
      <c r="F415" s="178" t="s">
        <v>361</v>
      </c>
      <c r="G415" s="179">
        <v>45839</v>
      </c>
      <c r="H415" s="176">
        <f>DAY(EOMONTH(PA[[#This Row],[Month Year]],0))</f>
        <v>31</v>
      </c>
      <c r="I415" s="180">
        <f>VLOOKUP(PA[[#This Row],[Date]],Raw_Data[#All],9,0)</f>
        <v>0.27013888888888887</v>
      </c>
      <c r="J415" s="180">
        <f>VLOOKUP(PA[[#This Row],[Date]],Raw_Data[#All],10,0)</f>
        <v>0.79513888888888884</v>
      </c>
      <c r="K415" s="68">
        <f>IFERROR((PA[[#This Row],[Sunset Time (POA&lt;20 W/m2)]]-PA[[#This Row],[Sunrise Time (POA&gt;20 W/m2)]])*24,"")</f>
        <v>12.599999999999998</v>
      </c>
      <c r="L415" s="178" t="s">
        <v>428</v>
      </c>
      <c r="M415" s="178" t="s">
        <v>408</v>
      </c>
      <c r="N415" s="178" t="s">
        <v>402</v>
      </c>
      <c r="O415" s="178" t="s">
        <v>406</v>
      </c>
      <c r="P415" s="178" t="s">
        <v>429</v>
      </c>
      <c r="Q415" s="178"/>
      <c r="R415" s="6">
        <f>IF((PA[[#This Row],[String Type(If String BD)]]&amp;PA[[#This Row],[Equipment (If any BD other than PV  array and inv)]])="",1,0)</f>
        <v>0</v>
      </c>
      <c r="S415" s="6">
        <f>IF(PA[[#This Row],[String Type(If String BD)]]="",1,0)</f>
        <v>0</v>
      </c>
      <c r="T4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5" s="68">
        <f>IFERROR(VLOOKUP(PA[[#This Row],[Affected Equipment ]],'Basic Data '!$A$1:$B$1846,2,0),"")</f>
        <v>15.66</v>
      </c>
      <c r="V415" s="143">
        <f>IFERROR(VLOOKUP(PA[[#This Row],[Affected Equipment ]],'Basic Data '!$A$1:$C$1846,3,0),"")</f>
        <v>4.6733573865009801E-5</v>
      </c>
      <c r="W415" s="178" t="s">
        <v>451</v>
      </c>
      <c r="X415" s="110" t="s">
        <v>2691</v>
      </c>
      <c r="Y415" s="110" t="s">
        <v>2691</v>
      </c>
      <c r="Z415" s="109">
        <v>0.27013888888888887</v>
      </c>
      <c r="AA415" s="109">
        <v>0.27013888888888887</v>
      </c>
      <c r="AB415" s="109">
        <v>0.27013888888888887</v>
      </c>
      <c r="AC415" s="109">
        <v>0.79513888888888884</v>
      </c>
      <c r="AD415" s="82">
        <f>IF(PA[[#This Row],[Acknowledgement Time ]]="NA","",(PA[[#This Row],[Acknowledgement Time ]]-PA[[#This Row],[Fault Time]])*24)</f>
        <v>0</v>
      </c>
      <c r="AE415" s="82">
        <f>IF(PA[[#This Row],[Work Start time on Fault]]="NA","",(PA[[#This Row],[Work Start time on Fault]]-PA[[#This Row],[Fault Time]])*24)</f>
        <v>0</v>
      </c>
      <c r="AF415" s="111">
        <f>IF(PA[[#This Row],[Status]]="Open","",(PA[[#This Row],[Work Completion time on fault]]-PA[[#This Row],[Fault Time]])*24)</f>
        <v>12.599999999999998</v>
      </c>
      <c r="AG415" s="82">
        <f>IFERROR((PA[[#This Row],[Work Completion time on fault]]-PA[[#This Row],[Fault Time]])*24,"")</f>
        <v>12.599999999999998</v>
      </c>
      <c r="AH415" s="110" t="s">
        <v>2691</v>
      </c>
      <c r="AI415" s="79" t="s">
        <v>422</v>
      </c>
      <c r="AJ415" s="68">
        <f>IFERROR(PA[[#This Row],[Breakdown Time]]*PA[[#This Row],[Plant Equivalent Weightage]],"")</f>
        <v>5.8884303069912339E-4</v>
      </c>
      <c r="AK415" s="117">
        <v>6.36</v>
      </c>
      <c r="AL415" s="116">
        <f>IF(PA[[#This Row],[Lost PoA(Wh/m2)]]&gt;0,_xlfn.XLOOKUP($B415,'Daily KPI'!$A:$A,'Daily KPI'!$AE:$AE)*PA[[#This Row],[Lost PoA(Wh/m2)]]*U415,0)</f>
        <v>83.663530465821893</v>
      </c>
      <c r="AM415" s="176" t="s">
        <v>2688</v>
      </c>
    </row>
    <row r="416" spans="1:39" ht="14" customHeight="1">
      <c r="A416" s="177">
        <f t="shared" si="7"/>
        <v>413</v>
      </c>
      <c r="B416" s="185">
        <v>45854</v>
      </c>
      <c r="C416" s="178" t="s">
        <v>477</v>
      </c>
      <c r="D416" s="6">
        <f>YEAR(PA[[#This Row],[Date]])</f>
        <v>2025</v>
      </c>
      <c r="E416" s="178" t="s">
        <v>361</v>
      </c>
      <c r="F416" s="178" t="s">
        <v>361</v>
      </c>
      <c r="G416" s="179">
        <v>45839</v>
      </c>
      <c r="H416" s="176">
        <f>DAY(EOMONTH(PA[[#This Row],[Month Year]],0))</f>
        <v>31</v>
      </c>
      <c r="I416" s="180">
        <f>VLOOKUP(PA[[#This Row],[Date]],Raw_Data[#All],9,0)</f>
        <v>0.27013888888888887</v>
      </c>
      <c r="J416" s="180">
        <f>VLOOKUP(PA[[#This Row],[Date]],Raw_Data[#All],10,0)</f>
        <v>0.79513888888888884</v>
      </c>
      <c r="K416" s="68">
        <f>IFERROR((PA[[#This Row],[Sunset Time (POA&lt;20 W/m2)]]-PA[[#This Row],[Sunrise Time (POA&gt;20 W/m2)]])*24,"")</f>
        <v>12.599999999999998</v>
      </c>
      <c r="L416" s="178" t="s">
        <v>439</v>
      </c>
      <c r="M416" s="178" t="s">
        <v>401</v>
      </c>
      <c r="N416" s="178" t="s">
        <v>402</v>
      </c>
      <c r="O416" s="178" t="s">
        <v>417</v>
      </c>
      <c r="P416" s="178" t="s">
        <v>429</v>
      </c>
      <c r="Q416" s="178"/>
      <c r="R416" s="6">
        <f>IF((PA[[#This Row],[String Type(If String BD)]]&amp;PA[[#This Row],[Equipment (If any BD other than PV  array and inv)]])="",1,0)</f>
        <v>0</v>
      </c>
      <c r="S416" s="6">
        <f>IF(PA[[#This Row],[String Type(If String BD)]]="",1,0)</f>
        <v>0</v>
      </c>
      <c r="T4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6" s="68">
        <f>IFERROR(VLOOKUP(PA[[#This Row],[Affected Equipment ]],'Basic Data '!$A$1:$B$1846,2,0),"")</f>
        <v>15.66</v>
      </c>
      <c r="V416" s="143">
        <f>IFERROR(VLOOKUP(PA[[#This Row],[Affected Equipment ]],'Basic Data '!$A$1:$C$1846,3,0),"")</f>
        <v>4.6733573865009801E-5</v>
      </c>
      <c r="W416" s="178" t="s">
        <v>451</v>
      </c>
      <c r="X416" s="110" t="s">
        <v>2692</v>
      </c>
      <c r="Y416" s="110" t="s">
        <v>2692</v>
      </c>
      <c r="Z416" s="109">
        <v>0.27013888888888887</v>
      </c>
      <c r="AA416" s="109">
        <v>0.27013888888888887</v>
      </c>
      <c r="AB416" s="109">
        <v>0.27013888888888887</v>
      </c>
      <c r="AC416" s="109">
        <v>0.79513888888888884</v>
      </c>
      <c r="AD416" s="82">
        <f>IF(PA[[#This Row],[Acknowledgement Time ]]="NA","",(PA[[#This Row],[Acknowledgement Time ]]-PA[[#This Row],[Fault Time]])*24)</f>
        <v>0</v>
      </c>
      <c r="AE416" s="82">
        <f>IF(PA[[#This Row],[Work Start time on Fault]]="NA","",(PA[[#This Row],[Work Start time on Fault]]-PA[[#This Row],[Fault Time]])*24)</f>
        <v>0</v>
      </c>
      <c r="AF416" s="111">
        <f>IF(PA[[#This Row],[Status]]="Open","",(PA[[#This Row],[Work Completion time on fault]]-PA[[#This Row],[Fault Time]])*24)</f>
        <v>12.599999999999998</v>
      </c>
      <c r="AG416" s="82">
        <f>IFERROR((PA[[#This Row],[Work Completion time on fault]]-PA[[#This Row],[Fault Time]])*24,"")</f>
        <v>12.599999999999998</v>
      </c>
      <c r="AH416" s="110" t="s">
        <v>2692</v>
      </c>
      <c r="AI416" s="79" t="s">
        <v>422</v>
      </c>
      <c r="AJ416" s="68">
        <f>IFERROR(PA[[#This Row],[Breakdown Time]]*PA[[#This Row],[Plant Equivalent Weightage]],"")</f>
        <v>5.8884303069912339E-4</v>
      </c>
      <c r="AK416" s="117">
        <v>6.36</v>
      </c>
      <c r="AL416" s="116">
        <f>IF(PA[[#This Row],[Lost PoA(Wh/m2)]]&gt;0,_xlfn.XLOOKUP($B416,'Daily KPI'!$A:$A,'Daily KPI'!$AE:$AE)*PA[[#This Row],[Lost PoA(Wh/m2)]]*U416,0)</f>
        <v>83.663530465821893</v>
      </c>
      <c r="AM416" s="176" t="s">
        <v>2688</v>
      </c>
    </row>
    <row r="417" spans="1:39" ht="14" customHeight="1">
      <c r="A417" s="177">
        <f t="shared" si="7"/>
        <v>414</v>
      </c>
      <c r="B417" s="185">
        <v>45855</v>
      </c>
      <c r="C417" s="178" t="s">
        <v>477</v>
      </c>
      <c r="D417" s="6">
        <f>YEAR(PA[[#This Row],[Date]])</f>
        <v>2025</v>
      </c>
      <c r="E417" s="178" t="s">
        <v>361</v>
      </c>
      <c r="F417" s="178" t="s">
        <v>361</v>
      </c>
      <c r="G417" s="179">
        <v>45839</v>
      </c>
      <c r="H417" s="176">
        <f>DAY(EOMONTH(PA[[#This Row],[Month Year]],0))</f>
        <v>31</v>
      </c>
      <c r="I417" s="180">
        <f>VLOOKUP(PA[[#This Row],[Date]],Raw_Data[#All],9,0)</f>
        <v>0.28402777777777777</v>
      </c>
      <c r="J417" s="180">
        <f>VLOOKUP(PA[[#This Row],[Date]],Raw_Data[#All],10,0)</f>
        <v>0.81388888888888888</v>
      </c>
      <c r="K417" s="68">
        <f>IFERROR((PA[[#This Row],[Sunset Time (POA&lt;20 W/m2)]]-PA[[#This Row],[Sunrise Time (POA&gt;20 W/m2)]])*24,"")</f>
        <v>12.716666666666667</v>
      </c>
      <c r="L417" s="178" t="s">
        <v>419</v>
      </c>
      <c r="M417" s="178" t="s">
        <v>394</v>
      </c>
      <c r="N417" s="178" t="s">
        <v>402</v>
      </c>
      <c r="O417" s="178" t="s">
        <v>442</v>
      </c>
      <c r="P417" s="178" t="s">
        <v>404</v>
      </c>
      <c r="Q417" s="178"/>
      <c r="R417" s="6">
        <f>IF((PA[[#This Row],[String Type(If String BD)]]&amp;PA[[#This Row],[Equipment (If any BD other than PV  array and inv)]])="",1,0)</f>
        <v>0</v>
      </c>
      <c r="S417" s="6">
        <f>IF(PA[[#This Row],[String Type(If String BD)]]="",1,0)</f>
        <v>0</v>
      </c>
      <c r="T4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7" s="68">
        <f>IFERROR(VLOOKUP(PA[[#This Row],[Affected Equipment ]],'Basic Data '!$A$1:$B$1846,2,0),"")</f>
        <v>31.32</v>
      </c>
      <c r="V417" s="143">
        <f>IFERROR(VLOOKUP(PA[[#This Row],[Affected Equipment ]],'Basic Data '!$A$1:$C$1846,3,0),"")</f>
        <v>9.3467147730019601E-5</v>
      </c>
      <c r="W417" s="178" t="s">
        <v>451</v>
      </c>
      <c r="X417" s="110" t="s">
        <v>2686</v>
      </c>
      <c r="Y417" s="110" t="s">
        <v>2686</v>
      </c>
      <c r="Z417" s="109">
        <v>0.28402777777777777</v>
      </c>
      <c r="AA417" s="109">
        <v>0.28402777777777777</v>
      </c>
      <c r="AB417" s="109">
        <v>0.28402777777777777</v>
      </c>
      <c r="AC417" s="109">
        <v>0.81388888888888888</v>
      </c>
      <c r="AD417" s="82">
        <f>IF(PA[[#This Row],[Acknowledgement Time ]]="NA","",(PA[[#This Row],[Acknowledgement Time ]]-PA[[#This Row],[Fault Time]])*24)</f>
        <v>0</v>
      </c>
      <c r="AE417" s="82">
        <f>IF(PA[[#This Row],[Work Start time on Fault]]="NA","",(PA[[#This Row],[Work Start time on Fault]]-PA[[#This Row],[Fault Time]])*24)</f>
        <v>0</v>
      </c>
      <c r="AF417" s="111">
        <f>IF(PA[[#This Row],[Status]]="Open","",(PA[[#This Row],[Work Completion time on fault]]-PA[[#This Row],[Fault Time]])*24)</f>
        <v>12.716666666666667</v>
      </c>
      <c r="AG417" s="82">
        <f>IFERROR((PA[[#This Row],[Work Completion time on fault]]-PA[[#This Row],[Fault Time]])*24,"")</f>
        <v>12.716666666666667</v>
      </c>
      <c r="AH417" s="110" t="s">
        <v>2686</v>
      </c>
      <c r="AI417" s="79" t="s">
        <v>422</v>
      </c>
      <c r="AJ417" s="68">
        <f>IFERROR(PA[[#This Row],[Breakdown Time]]*PA[[#This Row],[Plant Equivalent Weightage]],"")</f>
        <v>1.1885905619667492E-3</v>
      </c>
      <c r="AK417" s="117">
        <v>5.33</v>
      </c>
      <c r="AL417" s="116">
        <f>IF(PA[[#This Row],[Lost PoA(Wh/m2)]]&gt;0,_xlfn.XLOOKUP($B417,'Daily KPI'!$A:$A,'Daily KPI'!$AE:$AE)*PA[[#This Row],[Lost PoA(Wh/m2)]]*U417,0)</f>
        <v>140.22849603233669</v>
      </c>
      <c r="AM417" s="176" t="s">
        <v>2693</v>
      </c>
    </row>
    <row r="418" spans="1:39" ht="14" customHeight="1">
      <c r="A418" s="177">
        <f t="shared" si="7"/>
        <v>415</v>
      </c>
      <c r="B418" s="185">
        <v>45855</v>
      </c>
      <c r="C418" s="178" t="s">
        <v>477</v>
      </c>
      <c r="D418" s="6">
        <f>YEAR(PA[[#This Row],[Date]])</f>
        <v>2025</v>
      </c>
      <c r="E418" s="178" t="s">
        <v>361</v>
      </c>
      <c r="F418" s="178" t="s">
        <v>361</v>
      </c>
      <c r="G418" s="179">
        <v>45839</v>
      </c>
      <c r="H418" s="176">
        <f>DAY(EOMONTH(PA[[#This Row],[Month Year]],0))</f>
        <v>31</v>
      </c>
      <c r="I418" s="180">
        <f>VLOOKUP(PA[[#This Row],[Date]],Raw_Data[#All],9,0)</f>
        <v>0.28402777777777777</v>
      </c>
      <c r="J418" s="180">
        <f>VLOOKUP(PA[[#This Row],[Date]],Raw_Data[#All],10,0)</f>
        <v>0.81388888888888888</v>
      </c>
      <c r="K418" s="68">
        <f>IFERROR((PA[[#This Row],[Sunset Time (POA&lt;20 W/m2)]]-PA[[#This Row],[Sunrise Time (POA&gt;20 W/m2)]])*24,"")</f>
        <v>12.716666666666667</v>
      </c>
      <c r="L418" s="178" t="s">
        <v>416</v>
      </c>
      <c r="M418" s="178" t="s">
        <v>394</v>
      </c>
      <c r="N418" s="178" t="s">
        <v>402</v>
      </c>
      <c r="O418" s="178" t="s">
        <v>403</v>
      </c>
      <c r="P418" s="178" t="s">
        <v>448</v>
      </c>
      <c r="Q418" s="178"/>
      <c r="R418" s="6">
        <f>IF((PA[[#This Row],[String Type(If String BD)]]&amp;PA[[#This Row],[Equipment (If any BD other than PV  array and inv)]])="",1,0)</f>
        <v>0</v>
      </c>
      <c r="S418" s="6">
        <f>IF(PA[[#This Row],[String Type(If String BD)]]="",1,0)</f>
        <v>0</v>
      </c>
      <c r="T4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8" s="68">
        <f>IFERROR(VLOOKUP(PA[[#This Row],[Affected Equipment ]],'Basic Data '!$A$1:$B$1846,2,0),"")</f>
        <v>31.61</v>
      </c>
      <c r="V418" s="143">
        <f>IFERROR(VLOOKUP(PA[[#This Row],[Affected Equipment ]],'Basic Data '!$A$1:$C$1846,3,0),"")</f>
        <v>9.4332584283075336E-5</v>
      </c>
      <c r="W418" s="178" t="s">
        <v>451</v>
      </c>
      <c r="X418" s="110" t="s">
        <v>2686</v>
      </c>
      <c r="Y418" s="110" t="s">
        <v>2686</v>
      </c>
      <c r="Z418" s="109">
        <v>0.28402777777777777</v>
      </c>
      <c r="AA418" s="109">
        <v>0.28402777777777777</v>
      </c>
      <c r="AB418" s="109">
        <v>0.28402777777777777</v>
      </c>
      <c r="AC418" s="109">
        <v>0.81388888888888888</v>
      </c>
      <c r="AD418" s="82">
        <f>IF(PA[[#This Row],[Acknowledgement Time ]]="NA","",(PA[[#This Row],[Acknowledgement Time ]]-PA[[#This Row],[Fault Time]])*24)</f>
        <v>0</v>
      </c>
      <c r="AE418" s="82">
        <f>IF(PA[[#This Row],[Work Start time on Fault]]="NA","",(PA[[#This Row],[Work Start time on Fault]]-PA[[#This Row],[Fault Time]])*24)</f>
        <v>0</v>
      </c>
      <c r="AF418" s="111">
        <f>IF(PA[[#This Row],[Status]]="Open","",(PA[[#This Row],[Work Completion time on fault]]-PA[[#This Row],[Fault Time]])*24)</f>
        <v>12.716666666666667</v>
      </c>
      <c r="AG418" s="82">
        <f>IFERROR((PA[[#This Row],[Work Completion time on fault]]-PA[[#This Row],[Fault Time]])*24,"")</f>
        <v>12.716666666666667</v>
      </c>
      <c r="AH418" s="110" t="s">
        <v>2686</v>
      </c>
      <c r="AI418" s="79" t="s">
        <v>422</v>
      </c>
      <c r="AJ418" s="68">
        <f>IFERROR(PA[[#This Row],[Breakdown Time]]*PA[[#This Row],[Plant Equivalent Weightage]],"")</f>
        <v>1.1995960301331081E-3</v>
      </c>
      <c r="AK418" s="117">
        <v>5.0599999999999996</v>
      </c>
      <c r="AL418" s="116">
        <f>IF(PA[[#This Row],[Lost PoA(Wh/m2)]]&gt;0,_xlfn.XLOOKUP($B418,'Daily KPI'!$A:$A,'Daily KPI'!$AE:$AE)*PA[[#This Row],[Lost PoA(Wh/m2)]]*U418,0)</f>
        <v>134.3576275131592</v>
      </c>
      <c r="AM418" s="176" t="s">
        <v>2693</v>
      </c>
    </row>
    <row r="419" spans="1:39" ht="14" customHeight="1">
      <c r="A419" s="177">
        <f t="shared" si="7"/>
        <v>416</v>
      </c>
      <c r="B419" s="185">
        <v>45855</v>
      </c>
      <c r="C419" s="178" t="s">
        <v>477</v>
      </c>
      <c r="D419" s="6">
        <f>YEAR(PA[[#This Row],[Date]])</f>
        <v>2025</v>
      </c>
      <c r="E419" s="178" t="s">
        <v>361</v>
      </c>
      <c r="F419" s="178" t="s">
        <v>361</v>
      </c>
      <c r="G419" s="179">
        <v>45839</v>
      </c>
      <c r="H419" s="176">
        <f>DAY(EOMONTH(PA[[#This Row],[Month Year]],0))</f>
        <v>31</v>
      </c>
      <c r="I419" s="180">
        <f>VLOOKUP(PA[[#This Row],[Date]],Raw_Data[#All],9,0)</f>
        <v>0.28402777777777777</v>
      </c>
      <c r="J419" s="180">
        <f>VLOOKUP(PA[[#This Row],[Date]],Raw_Data[#All],10,0)</f>
        <v>0.81388888888888888</v>
      </c>
      <c r="K419" s="68">
        <f>IFERROR((PA[[#This Row],[Sunset Time (POA&lt;20 W/m2)]]-PA[[#This Row],[Sunrise Time (POA&gt;20 W/m2)]])*24,"")</f>
        <v>12.716666666666667</v>
      </c>
      <c r="L419" s="178" t="s">
        <v>425</v>
      </c>
      <c r="M419" s="178" t="s">
        <v>408</v>
      </c>
      <c r="N419" s="178" t="s">
        <v>402</v>
      </c>
      <c r="O419" s="178" t="s">
        <v>417</v>
      </c>
      <c r="P419" s="178" t="s">
        <v>448</v>
      </c>
      <c r="Q419" s="178"/>
      <c r="R419" s="6">
        <f>IF((PA[[#This Row],[String Type(If String BD)]]&amp;PA[[#This Row],[Equipment (If any BD other than PV  array and inv)]])="",1,0)</f>
        <v>0</v>
      </c>
      <c r="S419" s="6">
        <f>IF(PA[[#This Row],[String Type(If String BD)]]="",1,0)</f>
        <v>0</v>
      </c>
      <c r="T4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9" s="68">
        <f>IFERROR(VLOOKUP(PA[[#This Row],[Affected Equipment ]],'Basic Data '!$A$1:$B$1846,2,0),"")</f>
        <v>31.61</v>
      </c>
      <c r="V419" s="143">
        <f>IFERROR(VLOOKUP(PA[[#This Row],[Affected Equipment ]],'Basic Data '!$A$1:$C$1846,3,0),"")</f>
        <v>9.4332584283075336E-5</v>
      </c>
      <c r="W419" s="178" t="s">
        <v>451</v>
      </c>
      <c r="X419" s="110" t="s">
        <v>2686</v>
      </c>
      <c r="Y419" s="110" t="s">
        <v>2686</v>
      </c>
      <c r="Z419" s="109">
        <v>0.28402777777777777</v>
      </c>
      <c r="AA419" s="109">
        <v>0.28402777777777777</v>
      </c>
      <c r="AB419" s="109">
        <v>0.28402777777777777</v>
      </c>
      <c r="AC419" s="109">
        <v>0.81388888888888888</v>
      </c>
      <c r="AD419" s="82">
        <f>IF(PA[[#This Row],[Acknowledgement Time ]]="NA","",(PA[[#This Row],[Acknowledgement Time ]]-PA[[#This Row],[Fault Time]])*24)</f>
        <v>0</v>
      </c>
      <c r="AE419" s="82">
        <f>IF(PA[[#This Row],[Work Start time on Fault]]="NA","",(PA[[#This Row],[Work Start time on Fault]]-PA[[#This Row],[Fault Time]])*24)</f>
        <v>0</v>
      </c>
      <c r="AF419" s="111">
        <f>IF(PA[[#This Row],[Status]]="Open","",(PA[[#This Row],[Work Completion time on fault]]-PA[[#This Row],[Fault Time]])*24)</f>
        <v>12.716666666666667</v>
      </c>
      <c r="AG419" s="82">
        <f>IFERROR((PA[[#This Row],[Work Completion time on fault]]-PA[[#This Row],[Fault Time]])*24,"")</f>
        <v>12.716666666666667</v>
      </c>
      <c r="AH419" s="110" t="s">
        <v>2686</v>
      </c>
      <c r="AI419" s="79" t="s">
        <v>422</v>
      </c>
      <c r="AJ419" s="68">
        <f>IFERROR(PA[[#This Row],[Breakdown Time]]*PA[[#This Row],[Plant Equivalent Weightage]],"")</f>
        <v>1.1995960301331081E-3</v>
      </c>
      <c r="AK419" s="117">
        <v>5.0599999999999996</v>
      </c>
      <c r="AL419" s="116">
        <f>IF(PA[[#This Row],[Lost PoA(Wh/m2)]]&gt;0,_xlfn.XLOOKUP($B419,'Daily KPI'!$A:$A,'Daily KPI'!$AE:$AE)*PA[[#This Row],[Lost PoA(Wh/m2)]]*U419,0)</f>
        <v>134.3576275131592</v>
      </c>
      <c r="AM419" s="176" t="s">
        <v>2693</v>
      </c>
    </row>
    <row r="420" spans="1:39" ht="14" customHeight="1">
      <c r="A420" s="177">
        <f t="shared" si="7"/>
        <v>417</v>
      </c>
      <c r="B420" s="185">
        <v>45855</v>
      </c>
      <c r="C420" s="178" t="s">
        <v>477</v>
      </c>
      <c r="D420" s="6">
        <f>YEAR(PA[[#This Row],[Date]])</f>
        <v>2025</v>
      </c>
      <c r="E420" s="178" t="s">
        <v>361</v>
      </c>
      <c r="F420" s="178" t="s">
        <v>361</v>
      </c>
      <c r="G420" s="179">
        <v>45839</v>
      </c>
      <c r="H420" s="176">
        <f>DAY(EOMONTH(PA[[#This Row],[Month Year]],0))</f>
        <v>31</v>
      </c>
      <c r="I420" s="180">
        <f>VLOOKUP(PA[[#This Row],[Date]],Raw_Data[#All],9,0)</f>
        <v>0.28402777777777777</v>
      </c>
      <c r="J420" s="180">
        <f>VLOOKUP(PA[[#This Row],[Date]],Raw_Data[#All],10,0)</f>
        <v>0.81388888888888888</v>
      </c>
      <c r="K420" s="68">
        <f>IFERROR((PA[[#This Row],[Sunset Time (POA&lt;20 W/m2)]]-PA[[#This Row],[Sunrise Time (POA&gt;20 W/m2)]])*24,"")</f>
        <v>12.716666666666667</v>
      </c>
      <c r="L420" s="178" t="s">
        <v>439</v>
      </c>
      <c r="M420" s="178" t="s">
        <v>401</v>
      </c>
      <c r="N420" s="178" t="s">
        <v>395</v>
      </c>
      <c r="O420" s="178" t="s">
        <v>403</v>
      </c>
      <c r="P420" s="178" t="s">
        <v>404</v>
      </c>
      <c r="Q420" s="178"/>
      <c r="R420" s="6">
        <f>IF((PA[[#This Row],[String Type(If String BD)]]&amp;PA[[#This Row],[Equipment (If any BD other than PV  array and inv)]])="",1,0)</f>
        <v>0</v>
      </c>
      <c r="S420" s="6">
        <f>IF(PA[[#This Row],[String Type(If String BD)]]="",1,0)</f>
        <v>0</v>
      </c>
      <c r="T4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0" s="68">
        <f>IFERROR(VLOOKUP(PA[[#This Row],[Affected Equipment ]],'Basic Data '!$A$1:$B$1846,2,0),"")</f>
        <v>31.32</v>
      </c>
      <c r="V420" s="143">
        <f>IFERROR(VLOOKUP(PA[[#This Row],[Affected Equipment ]],'Basic Data '!$A$1:$C$1846,3,0),"")</f>
        <v>9.3467147730019601E-5</v>
      </c>
      <c r="W420" s="178" t="s">
        <v>451</v>
      </c>
      <c r="X420" s="110" t="s">
        <v>2687</v>
      </c>
      <c r="Y420" s="110" t="s">
        <v>2687</v>
      </c>
      <c r="Z420" s="109">
        <v>0.28402777777777777</v>
      </c>
      <c r="AA420" s="109">
        <v>0.28402777777777777</v>
      </c>
      <c r="AB420" s="109">
        <v>0.28402777777777777</v>
      </c>
      <c r="AC420" s="109">
        <v>0.81388888888888888</v>
      </c>
      <c r="AD420" s="82">
        <f>IF(PA[[#This Row],[Acknowledgement Time ]]="NA","",(PA[[#This Row],[Acknowledgement Time ]]-PA[[#This Row],[Fault Time]])*24)</f>
        <v>0</v>
      </c>
      <c r="AE420" s="82">
        <f>IF(PA[[#This Row],[Work Start time on Fault]]="NA","",(PA[[#This Row],[Work Start time on Fault]]-PA[[#This Row],[Fault Time]])*24)</f>
        <v>0</v>
      </c>
      <c r="AF420" s="111">
        <f>IF(PA[[#This Row],[Status]]="Open","",(PA[[#This Row],[Work Completion time on fault]]-PA[[#This Row],[Fault Time]])*24)</f>
        <v>12.716666666666667</v>
      </c>
      <c r="AG420" s="82">
        <f>IFERROR((PA[[#This Row],[Work Completion time on fault]]-PA[[#This Row],[Fault Time]])*24,"")</f>
        <v>12.716666666666667</v>
      </c>
      <c r="AH420" s="110" t="s">
        <v>2687</v>
      </c>
      <c r="AI420" s="79" t="s">
        <v>422</v>
      </c>
      <c r="AJ420" s="68">
        <f>IFERROR(PA[[#This Row],[Breakdown Time]]*PA[[#This Row],[Plant Equivalent Weightage]],"")</f>
        <v>1.1885905619667492E-3</v>
      </c>
      <c r="AK420" s="117">
        <v>5.28</v>
      </c>
      <c r="AL420" s="116">
        <f>IF(PA[[#This Row],[Lost PoA(Wh/m2)]]&gt;0,_xlfn.XLOOKUP($B420,'Daily KPI'!$A:$A,'Daily KPI'!$AE:$AE)*PA[[#This Row],[Lost PoA(Wh/m2)]]*U420,0)</f>
        <v>138.91303171683634</v>
      </c>
      <c r="AM420" s="176" t="s">
        <v>2693</v>
      </c>
    </row>
    <row r="421" spans="1:39" ht="14" customHeight="1">
      <c r="A421" s="177">
        <f t="shared" si="7"/>
        <v>418</v>
      </c>
      <c r="B421" s="185">
        <v>45855</v>
      </c>
      <c r="C421" s="178" t="s">
        <v>477</v>
      </c>
      <c r="D421" s="6">
        <f>YEAR(PA[[#This Row],[Date]])</f>
        <v>2025</v>
      </c>
      <c r="E421" s="178" t="s">
        <v>361</v>
      </c>
      <c r="F421" s="178" t="s">
        <v>361</v>
      </c>
      <c r="G421" s="179">
        <v>45839</v>
      </c>
      <c r="H421" s="176">
        <f>DAY(EOMONTH(PA[[#This Row],[Month Year]],0))</f>
        <v>31</v>
      </c>
      <c r="I421" s="180">
        <f>VLOOKUP(PA[[#This Row],[Date]],Raw_Data[#All],9,0)</f>
        <v>0.28402777777777777</v>
      </c>
      <c r="J421" s="180">
        <f>VLOOKUP(PA[[#This Row],[Date]],Raw_Data[#All],10,0)</f>
        <v>0.81388888888888888</v>
      </c>
      <c r="K421" s="68">
        <f>IFERROR((PA[[#This Row],[Sunset Time (POA&lt;20 W/m2)]]-PA[[#This Row],[Sunrise Time (POA&gt;20 W/m2)]])*24,"")</f>
        <v>12.716666666666667</v>
      </c>
      <c r="L421" s="178" t="s">
        <v>423</v>
      </c>
      <c r="M421" s="178" t="s">
        <v>414</v>
      </c>
      <c r="N421" s="178" t="s">
        <v>402</v>
      </c>
      <c r="O421" s="178" t="s">
        <v>417</v>
      </c>
      <c r="P421" s="178" t="s">
        <v>429</v>
      </c>
      <c r="Q421" s="178"/>
      <c r="R421" s="6">
        <f>IF((PA[[#This Row],[String Type(If String BD)]]&amp;PA[[#This Row],[Equipment (If any BD other than PV  array and inv)]])="",1,0)</f>
        <v>0</v>
      </c>
      <c r="S421" s="6">
        <f>IF(PA[[#This Row],[String Type(If String BD)]]="",1,0)</f>
        <v>0</v>
      </c>
      <c r="T4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1" s="68">
        <f>IFERROR(VLOOKUP(PA[[#This Row],[Affected Equipment ]],'Basic Data '!$A$1:$B$1846,2,0),"")</f>
        <v>15.66</v>
      </c>
      <c r="V421" s="143">
        <f>IFERROR(VLOOKUP(PA[[#This Row],[Affected Equipment ]],'Basic Data '!$A$1:$C$1846,3,0),"")</f>
        <v>4.6733573865009801E-5</v>
      </c>
      <c r="W421" s="178" t="s">
        <v>451</v>
      </c>
      <c r="X421" s="110" t="s">
        <v>2689</v>
      </c>
      <c r="Y421" s="110" t="s">
        <v>2689</v>
      </c>
      <c r="Z421" s="109">
        <v>0.28402777777777777</v>
      </c>
      <c r="AA421" s="109">
        <v>0.28402777777777777</v>
      </c>
      <c r="AB421" s="109">
        <v>0.28402777777777777</v>
      </c>
      <c r="AC421" s="109">
        <v>0.81388888888888888</v>
      </c>
      <c r="AD421" s="82">
        <f>IF(PA[[#This Row],[Acknowledgement Time ]]="NA","",(PA[[#This Row],[Acknowledgement Time ]]-PA[[#This Row],[Fault Time]])*24)</f>
        <v>0</v>
      </c>
      <c r="AE421" s="82">
        <f>IF(PA[[#This Row],[Work Start time on Fault]]="NA","",(PA[[#This Row],[Work Start time on Fault]]-PA[[#This Row],[Fault Time]])*24)</f>
        <v>0</v>
      </c>
      <c r="AF421" s="111">
        <f>IF(PA[[#This Row],[Status]]="Open","",(PA[[#This Row],[Work Completion time on fault]]-PA[[#This Row],[Fault Time]])*24)</f>
        <v>12.716666666666667</v>
      </c>
      <c r="AG421" s="82">
        <f>IFERROR((PA[[#This Row],[Work Completion time on fault]]-PA[[#This Row],[Fault Time]])*24,"")</f>
        <v>12.716666666666667</v>
      </c>
      <c r="AH421" s="110" t="s">
        <v>2689</v>
      </c>
      <c r="AI421" s="79" t="s">
        <v>422</v>
      </c>
      <c r="AJ421" s="68">
        <f>IFERROR(PA[[#This Row],[Breakdown Time]]*PA[[#This Row],[Plant Equivalent Weightage]],"")</f>
        <v>5.9429528098337459E-4</v>
      </c>
      <c r="AK421" s="117">
        <v>5.28</v>
      </c>
      <c r="AL421" s="116">
        <f>IF(PA[[#This Row],[Lost PoA(Wh/m2)]]&gt;0,_xlfn.XLOOKUP($B421,'Daily KPI'!$A:$A,'Daily KPI'!$AE:$AE)*PA[[#This Row],[Lost PoA(Wh/m2)]]*U421,0)</f>
        <v>69.456515858418172</v>
      </c>
      <c r="AM421" s="176" t="s">
        <v>2693</v>
      </c>
    </row>
    <row r="422" spans="1:39" ht="14" customHeight="1">
      <c r="A422" s="177">
        <f t="shared" si="7"/>
        <v>419</v>
      </c>
      <c r="B422" s="185">
        <v>45855</v>
      </c>
      <c r="C422" s="178" t="s">
        <v>477</v>
      </c>
      <c r="D422" s="6">
        <f>YEAR(PA[[#This Row],[Date]])</f>
        <v>2025</v>
      </c>
      <c r="E422" s="178" t="s">
        <v>361</v>
      </c>
      <c r="F422" s="178" t="s">
        <v>361</v>
      </c>
      <c r="G422" s="179">
        <v>45839</v>
      </c>
      <c r="H422" s="176">
        <f>DAY(EOMONTH(PA[[#This Row],[Month Year]],0))</f>
        <v>31</v>
      </c>
      <c r="I422" s="180">
        <f>VLOOKUP(PA[[#This Row],[Date]],Raw_Data[#All],9,0)</f>
        <v>0.28402777777777777</v>
      </c>
      <c r="J422" s="180">
        <f>VLOOKUP(PA[[#This Row],[Date]],Raw_Data[#All],10,0)</f>
        <v>0.81388888888888888</v>
      </c>
      <c r="K422" s="68">
        <f>IFERROR((PA[[#This Row],[Sunset Time (POA&lt;20 W/m2)]]-PA[[#This Row],[Sunrise Time (POA&gt;20 W/m2)]])*24,"")</f>
        <v>12.716666666666667</v>
      </c>
      <c r="L422" s="178" t="s">
        <v>428</v>
      </c>
      <c r="M422" s="178" t="s">
        <v>394</v>
      </c>
      <c r="N422" s="178" t="s">
        <v>402</v>
      </c>
      <c r="O422" s="178" t="s">
        <v>406</v>
      </c>
      <c r="P422" s="178" t="s">
        <v>429</v>
      </c>
      <c r="Q422" s="178"/>
      <c r="R422" s="6">
        <f>IF((PA[[#This Row],[String Type(If String BD)]]&amp;PA[[#This Row],[Equipment (If any BD other than PV  array and inv)]])="",1,0)</f>
        <v>0</v>
      </c>
      <c r="S422" s="6">
        <f>IF(PA[[#This Row],[String Type(If String BD)]]="",1,0)</f>
        <v>0</v>
      </c>
      <c r="T4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2" s="68">
        <f>IFERROR(VLOOKUP(PA[[#This Row],[Affected Equipment ]],'Basic Data '!$A$1:$B$1846,2,0),"")</f>
        <v>15.66</v>
      </c>
      <c r="V422" s="143">
        <f>IFERROR(VLOOKUP(PA[[#This Row],[Affected Equipment ]],'Basic Data '!$A$1:$C$1846,3,0),"")</f>
        <v>4.6733573865009801E-5</v>
      </c>
      <c r="W422" s="178" t="s">
        <v>451</v>
      </c>
      <c r="X422" s="110" t="s">
        <v>2690</v>
      </c>
      <c r="Y422" s="110" t="s">
        <v>2690</v>
      </c>
      <c r="Z422" s="109">
        <v>0.28402777777777777</v>
      </c>
      <c r="AA422" s="109">
        <v>0.28402777777777777</v>
      </c>
      <c r="AB422" s="109">
        <v>0.28402777777777777</v>
      </c>
      <c r="AC422" s="109">
        <v>0.81388888888888888</v>
      </c>
      <c r="AD422" s="82">
        <f>IF(PA[[#This Row],[Acknowledgement Time ]]="NA","",(PA[[#This Row],[Acknowledgement Time ]]-PA[[#This Row],[Fault Time]])*24)</f>
        <v>0</v>
      </c>
      <c r="AE422" s="82">
        <f>IF(PA[[#This Row],[Work Start time on Fault]]="NA","",(PA[[#This Row],[Work Start time on Fault]]-PA[[#This Row],[Fault Time]])*24)</f>
        <v>0</v>
      </c>
      <c r="AF422" s="111">
        <f>IF(PA[[#This Row],[Status]]="Open","",(PA[[#This Row],[Work Completion time on fault]]-PA[[#This Row],[Fault Time]])*24)</f>
        <v>12.716666666666667</v>
      </c>
      <c r="AG422" s="82">
        <f>IFERROR((PA[[#This Row],[Work Completion time on fault]]-PA[[#This Row],[Fault Time]])*24,"")</f>
        <v>12.716666666666667</v>
      </c>
      <c r="AH422" s="110" t="s">
        <v>2690</v>
      </c>
      <c r="AI422" s="79" t="s">
        <v>422</v>
      </c>
      <c r="AJ422" s="68">
        <f>IFERROR(PA[[#This Row],[Breakdown Time]]*PA[[#This Row],[Plant Equivalent Weightage]],"")</f>
        <v>5.9429528098337459E-4</v>
      </c>
      <c r="AK422" s="117">
        <v>5.28</v>
      </c>
      <c r="AL422" s="116">
        <f>IF(PA[[#This Row],[Lost PoA(Wh/m2)]]&gt;0,_xlfn.XLOOKUP($B422,'Daily KPI'!$A:$A,'Daily KPI'!$AE:$AE)*PA[[#This Row],[Lost PoA(Wh/m2)]]*U422,0)</f>
        <v>69.456515858418172</v>
      </c>
      <c r="AM422" s="176" t="s">
        <v>2693</v>
      </c>
    </row>
    <row r="423" spans="1:39" ht="14" customHeight="1">
      <c r="A423" s="177">
        <f t="shared" si="7"/>
        <v>420</v>
      </c>
      <c r="B423" s="185">
        <v>45855</v>
      </c>
      <c r="C423" s="178" t="s">
        <v>477</v>
      </c>
      <c r="D423" s="6">
        <f>YEAR(PA[[#This Row],[Date]])</f>
        <v>2025</v>
      </c>
      <c r="E423" s="178" t="s">
        <v>361</v>
      </c>
      <c r="F423" s="178" t="s">
        <v>361</v>
      </c>
      <c r="G423" s="179">
        <v>45839</v>
      </c>
      <c r="H423" s="176">
        <f>DAY(EOMONTH(PA[[#This Row],[Month Year]],0))</f>
        <v>31</v>
      </c>
      <c r="I423" s="180">
        <f>VLOOKUP(PA[[#This Row],[Date]],Raw_Data[#All],9,0)</f>
        <v>0.28402777777777777</v>
      </c>
      <c r="J423" s="180">
        <f>VLOOKUP(PA[[#This Row],[Date]],Raw_Data[#All],10,0)</f>
        <v>0.81388888888888888</v>
      </c>
      <c r="K423" s="68">
        <f>IFERROR((PA[[#This Row],[Sunset Time (POA&lt;20 W/m2)]]-PA[[#This Row],[Sunrise Time (POA&gt;20 W/m2)]])*24,"")</f>
        <v>12.716666666666667</v>
      </c>
      <c r="L423" s="178" t="s">
        <v>428</v>
      </c>
      <c r="M423" s="178" t="s">
        <v>408</v>
      </c>
      <c r="N423" s="178" t="s">
        <v>402</v>
      </c>
      <c r="O423" s="178" t="s">
        <v>406</v>
      </c>
      <c r="P423" s="178" t="s">
        <v>429</v>
      </c>
      <c r="Q423" s="178"/>
      <c r="R423" s="6">
        <f>IF((PA[[#This Row],[String Type(If String BD)]]&amp;PA[[#This Row],[Equipment (If any BD other than PV  array and inv)]])="",1,0)</f>
        <v>0</v>
      </c>
      <c r="S423" s="6">
        <f>IF(PA[[#This Row],[String Type(If String BD)]]="",1,0)</f>
        <v>0</v>
      </c>
      <c r="T4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3" s="68">
        <f>IFERROR(VLOOKUP(PA[[#This Row],[Affected Equipment ]],'Basic Data '!$A$1:$B$1846,2,0),"")</f>
        <v>15.66</v>
      </c>
      <c r="V423" s="143">
        <f>IFERROR(VLOOKUP(PA[[#This Row],[Affected Equipment ]],'Basic Data '!$A$1:$C$1846,3,0),"")</f>
        <v>4.6733573865009801E-5</v>
      </c>
      <c r="W423" s="178" t="s">
        <v>451</v>
      </c>
      <c r="X423" s="110" t="s">
        <v>2691</v>
      </c>
      <c r="Y423" s="110" t="s">
        <v>2691</v>
      </c>
      <c r="Z423" s="109">
        <v>0.28402777777777777</v>
      </c>
      <c r="AA423" s="109">
        <v>0.28402777777777777</v>
      </c>
      <c r="AB423" s="109">
        <v>0.28402777777777777</v>
      </c>
      <c r="AC423" s="109">
        <v>0.81388888888888888</v>
      </c>
      <c r="AD423" s="82">
        <f>IF(PA[[#This Row],[Acknowledgement Time ]]="NA","",(PA[[#This Row],[Acknowledgement Time ]]-PA[[#This Row],[Fault Time]])*24)</f>
        <v>0</v>
      </c>
      <c r="AE423" s="82">
        <f>IF(PA[[#This Row],[Work Start time on Fault]]="NA","",(PA[[#This Row],[Work Start time on Fault]]-PA[[#This Row],[Fault Time]])*24)</f>
        <v>0</v>
      </c>
      <c r="AF423" s="111">
        <f>IF(PA[[#This Row],[Status]]="Open","",(PA[[#This Row],[Work Completion time on fault]]-PA[[#This Row],[Fault Time]])*24)</f>
        <v>12.716666666666667</v>
      </c>
      <c r="AG423" s="82">
        <f>IFERROR((PA[[#This Row],[Work Completion time on fault]]-PA[[#This Row],[Fault Time]])*24,"")</f>
        <v>12.716666666666667</v>
      </c>
      <c r="AH423" s="110" t="s">
        <v>2691</v>
      </c>
      <c r="AI423" s="79" t="s">
        <v>422</v>
      </c>
      <c r="AJ423" s="68">
        <f>IFERROR(PA[[#This Row],[Breakdown Time]]*PA[[#This Row],[Plant Equivalent Weightage]],"")</f>
        <v>5.9429528098337459E-4</v>
      </c>
      <c r="AK423" s="117">
        <v>5.28</v>
      </c>
      <c r="AL423" s="116">
        <f>IF(PA[[#This Row],[Lost PoA(Wh/m2)]]&gt;0,_xlfn.XLOOKUP($B423,'Daily KPI'!$A:$A,'Daily KPI'!$AE:$AE)*PA[[#This Row],[Lost PoA(Wh/m2)]]*U423,0)</f>
        <v>69.456515858418172</v>
      </c>
      <c r="AM423" s="176" t="s">
        <v>2693</v>
      </c>
    </row>
    <row r="424" spans="1:39" ht="14" customHeight="1">
      <c r="A424" s="177">
        <f t="shared" si="7"/>
        <v>421</v>
      </c>
      <c r="B424" s="185">
        <v>45855</v>
      </c>
      <c r="C424" s="178" t="s">
        <v>477</v>
      </c>
      <c r="D424" s="18">
        <f>YEAR(PA[[#This Row],[Date]])</f>
        <v>2025</v>
      </c>
      <c r="E424" s="178" t="s">
        <v>361</v>
      </c>
      <c r="F424" s="178" t="s">
        <v>361</v>
      </c>
      <c r="G424" s="179">
        <v>45839</v>
      </c>
      <c r="H424" s="176">
        <f>DAY(EOMONTH(PA[[#This Row],[Month Year]],0))</f>
        <v>31</v>
      </c>
      <c r="I424" s="180">
        <f>VLOOKUP(PA[[#This Row],[Date]],Raw_Data[#All],9,0)</f>
        <v>0.28402777777777777</v>
      </c>
      <c r="J424" s="180">
        <f>VLOOKUP(PA[[#This Row],[Date]],Raw_Data[#All],10,0)</f>
        <v>0.81388888888888888</v>
      </c>
      <c r="K424" s="68">
        <f>IFERROR((PA[[#This Row],[Sunset Time (POA&lt;20 W/m2)]]-PA[[#This Row],[Sunrise Time (POA&gt;20 W/m2)]])*24,"")</f>
        <v>12.716666666666667</v>
      </c>
      <c r="L424" s="178" t="s">
        <v>439</v>
      </c>
      <c r="M424" s="178" t="s">
        <v>401</v>
      </c>
      <c r="N424" s="178" t="s">
        <v>402</v>
      </c>
      <c r="O424" s="178" t="s">
        <v>417</v>
      </c>
      <c r="P424" s="178" t="s">
        <v>429</v>
      </c>
      <c r="Q424" s="178"/>
      <c r="R424" s="18">
        <f>IF((PA[[#This Row],[String Type(If String BD)]]&amp;PA[[#This Row],[Equipment (If any BD other than PV  array and inv)]])="",1,0)</f>
        <v>0</v>
      </c>
      <c r="S424" s="18">
        <f>IF(PA[[#This Row],[String Type(If String BD)]]="",1,0)</f>
        <v>0</v>
      </c>
      <c r="T424"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4" s="74">
        <f>IFERROR(VLOOKUP(PA[[#This Row],[Affected Equipment ]],'Basic Data '!$A$1:$B$1846,2,0),"")</f>
        <v>15.66</v>
      </c>
      <c r="V424" s="144">
        <f>IFERROR(VLOOKUP(PA[[#This Row],[Affected Equipment ]],'Basic Data '!$A$1:$C$1846,3,0),"")</f>
        <v>4.6733573865009801E-5</v>
      </c>
      <c r="W424" s="178" t="s">
        <v>451</v>
      </c>
      <c r="X424" s="110" t="s">
        <v>2692</v>
      </c>
      <c r="Y424" s="110" t="s">
        <v>2692</v>
      </c>
      <c r="Z424" s="109">
        <v>0.28402777777777777</v>
      </c>
      <c r="AA424" s="109">
        <v>0.28402777777777777</v>
      </c>
      <c r="AB424" s="109">
        <v>0.28402777777777777</v>
      </c>
      <c r="AC424" s="109">
        <v>0.81388888888888888</v>
      </c>
      <c r="AD424" s="82">
        <f>IF(PA[[#This Row],[Acknowledgement Time ]]="NA","",(PA[[#This Row],[Acknowledgement Time ]]-PA[[#This Row],[Fault Time]])*24)</f>
        <v>0</v>
      </c>
      <c r="AE424" s="82">
        <f>IF(PA[[#This Row],[Work Start time on Fault]]="NA","",(PA[[#This Row],[Work Start time on Fault]]-PA[[#This Row],[Fault Time]])*24)</f>
        <v>0</v>
      </c>
      <c r="AF424" s="111">
        <f>IF(PA[[#This Row],[Status]]="Open","",(PA[[#This Row],[Work Completion time on fault]]-PA[[#This Row],[Fault Time]])*24)</f>
        <v>12.716666666666667</v>
      </c>
      <c r="AG424" s="82">
        <f>IFERROR((PA[[#This Row],[Work Completion time on fault]]-PA[[#This Row],[Fault Time]])*24,"")</f>
        <v>12.716666666666667</v>
      </c>
      <c r="AH424" s="110" t="s">
        <v>2692</v>
      </c>
      <c r="AI424" s="79" t="s">
        <v>422</v>
      </c>
      <c r="AJ424" s="74">
        <f>IFERROR(PA[[#This Row],[Breakdown Time]]*PA[[#This Row],[Plant Equivalent Weightage]],"")</f>
        <v>5.9429528098337459E-4</v>
      </c>
      <c r="AK424" s="117">
        <v>5.28</v>
      </c>
      <c r="AL424" s="258">
        <f>IF(PA[[#This Row],[Lost PoA(Wh/m2)]]&gt;0,_xlfn.XLOOKUP($B424,'Daily KPI'!$A:$A,'Daily KPI'!$AE:$AE)*PA[[#This Row],[Lost PoA(Wh/m2)]]*U424,0)</f>
        <v>69.456515858418172</v>
      </c>
      <c r="AM424" s="176" t="s">
        <v>2693</v>
      </c>
    </row>
    <row r="425" spans="1:39" ht="14" customHeight="1">
      <c r="A425" s="177">
        <f t="shared" si="7"/>
        <v>422</v>
      </c>
      <c r="B425" s="185">
        <v>45855</v>
      </c>
      <c r="C425" s="178" t="s">
        <v>477</v>
      </c>
      <c r="D425" s="6">
        <f>YEAR(PA[[#This Row],[Date]])</f>
        <v>2025</v>
      </c>
      <c r="E425" s="178" t="s">
        <v>361</v>
      </c>
      <c r="F425" s="178" t="s">
        <v>361</v>
      </c>
      <c r="G425" s="179">
        <v>45839</v>
      </c>
      <c r="H425" s="176">
        <f>DAY(EOMONTH(PA[[#This Row],[Month Year]],0))</f>
        <v>31</v>
      </c>
      <c r="I425" s="180">
        <f>VLOOKUP(PA[[#This Row],[Date]],Raw_Data[#All],9,0)</f>
        <v>0.28402777777777777</v>
      </c>
      <c r="J425" s="180">
        <f>VLOOKUP(PA[[#This Row],[Date]],Raw_Data[#All],10,0)</f>
        <v>0.81388888888888888</v>
      </c>
      <c r="K425" s="68">
        <f>IFERROR((PA[[#This Row],[Sunset Time (POA&lt;20 W/m2)]]-PA[[#This Row],[Sunrise Time (POA&gt;20 W/m2)]])*24,"")</f>
        <v>12.716666666666667</v>
      </c>
      <c r="L425" s="178" t="s">
        <v>426</v>
      </c>
      <c r="M425" s="178"/>
      <c r="N425" s="178"/>
      <c r="O425" s="178"/>
      <c r="P425" s="178"/>
      <c r="Q425" s="178" t="s">
        <v>420</v>
      </c>
      <c r="R425" s="6">
        <f>IF((PA[[#This Row],[String Type(If String BD)]]&amp;PA[[#This Row],[Equipment (If any BD other than PV  array and inv)]])="",1,0)</f>
        <v>0</v>
      </c>
      <c r="S425" s="6">
        <f>IF(PA[[#This Row],[String Type(If String BD)]]="",1,0)</f>
        <v>1</v>
      </c>
      <c r="T4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IS15Tx</v>
      </c>
      <c r="U425" s="68">
        <f>IFERROR(VLOOKUP(PA[[#This Row],[Affected Equipment ]],'Basic Data '!$A$1:$B$1846,2,0),"")</f>
        <v>16756.2</v>
      </c>
      <c r="V425" s="143">
        <f>IFERROR(VLOOKUP(PA[[#This Row],[Affected Equipment ]],'Basic Data '!$A$1:$C$1846,3,0),"")</f>
        <v>5.0004924035560491E-2</v>
      </c>
      <c r="W425" s="178" t="s">
        <v>421</v>
      </c>
      <c r="X425" s="110" t="s">
        <v>2694</v>
      </c>
      <c r="Y425" s="110" t="s">
        <v>2694</v>
      </c>
      <c r="Z425" s="109">
        <v>0.52777777777777779</v>
      </c>
      <c r="AA425" s="109">
        <v>0.52777777777777779</v>
      </c>
      <c r="AB425" s="109">
        <v>0.52777777777777779</v>
      </c>
      <c r="AC425" s="109">
        <v>0.58402777777777781</v>
      </c>
      <c r="AD425" s="82">
        <f>IF(PA[[#This Row],[Acknowledgement Time ]]="NA","",(PA[[#This Row],[Acknowledgement Time ]]-PA[[#This Row],[Fault Time]])*24)</f>
        <v>0</v>
      </c>
      <c r="AE425" s="82">
        <f>IF(PA[[#This Row],[Work Start time on Fault]]="NA","",(PA[[#This Row],[Work Start time on Fault]]-PA[[#This Row],[Fault Time]])*24)</f>
        <v>0</v>
      </c>
      <c r="AF425" s="111">
        <f>IF(PA[[#This Row],[Status]]="Open","",(PA[[#This Row],[Work Completion time on fault]]-PA[[#This Row],[Fault Time]])*24)</f>
        <v>1.3500000000000005</v>
      </c>
      <c r="AG425" s="82">
        <f>IFERROR((PA[[#This Row],[Work Completion time on fault]]-PA[[#This Row],[Fault Time]])*24,"")</f>
        <v>1.3500000000000005</v>
      </c>
      <c r="AH425" s="110" t="s">
        <v>2694</v>
      </c>
      <c r="AI425" s="79" t="s">
        <v>422</v>
      </c>
      <c r="AJ425" s="68">
        <f>IFERROR(PA[[#This Row],[Breakdown Time]]*PA[[#This Row],[Plant Equivalent Weightage]],"")</f>
        <v>6.750664744800669E-2</v>
      </c>
      <c r="AK425" s="117">
        <v>1.2658866666666666</v>
      </c>
      <c r="AL425" s="116">
        <f>IF(PA[[#This Row],[Lost PoA(Wh/m2)]]&gt;0,_xlfn.XLOOKUP($B425,'Daily KPI'!$A:$A,'Daily KPI'!$AE:$AE)*PA[[#This Row],[Lost PoA(Wh/m2)]]*U425,0)</f>
        <v>17817.947490904167</v>
      </c>
      <c r="AM425" s="176" t="s">
        <v>2695</v>
      </c>
    </row>
    <row r="426" spans="1:39" ht="14" customHeight="1">
      <c r="A426" s="177">
        <f t="shared" si="7"/>
        <v>423</v>
      </c>
      <c r="B426" s="260">
        <v>45856</v>
      </c>
      <c r="C426" s="178" t="s">
        <v>477</v>
      </c>
      <c r="D426" s="18">
        <f>YEAR(PA[[#This Row],[Date]])</f>
        <v>2025</v>
      </c>
      <c r="E426" s="178" t="s">
        <v>361</v>
      </c>
      <c r="F426" s="178" t="s">
        <v>361</v>
      </c>
      <c r="G426" s="179">
        <v>45839</v>
      </c>
      <c r="H426" s="176">
        <f>DAY(EOMONTH(PA[[#This Row],[Month Year]],0))</f>
        <v>31</v>
      </c>
      <c r="I426" s="180">
        <f>VLOOKUP(PA[[#This Row],[Date]],Raw_Data[#All],9,0)</f>
        <v>0.26597222222222222</v>
      </c>
      <c r="J426" s="180">
        <f>VLOOKUP(PA[[#This Row],[Date]],Raw_Data[#All],10,0)</f>
        <v>0.73472222222222228</v>
      </c>
      <c r="K426" s="68">
        <f>IFERROR((PA[[#This Row],[Sunset Time (POA&lt;20 W/m2)]]-PA[[#This Row],[Sunrise Time (POA&gt;20 W/m2)]])*24,"")</f>
        <v>11.250000000000002</v>
      </c>
      <c r="L426" s="178" t="s">
        <v>419</v>
      </c>
      <c r="M426" s="178" t="s">
        <v>394</v>
      </c>
      <c r="N426" s="178" t="s">
        <v>402</v>
      </c>
      <c r="O426" s="178" t="s">
        <v>442</v>
      </c>
      <c r="P426" s="178" t="s">
        <v>404</v>
      </c>
      <c r="Q426" s="178"/>
      <c r="R426" s="18">
        <f>IF((PA[[#This Row],[String Type(If String BD)]]&amp;PA[[#This Row],[Equipment (If any BD other than PV  array and inv)]])="",1,0)</f>
        <v>0</v>
      </c>
      <c r="S426" s="18">
        <f>IF(PA[[#This Row],[String Type(If String BD)]]="",1,0)</f>
        <v>0</v>
      </c>
      <c r="T426"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6" s="74">
        <f>IFERROR(VLOOKUP(PA[[#This Row],[Affected Equipment ]],'Basic Data '!$A$1:$B$1846,2,0),"")</f>
        <v>31.32</v>
      </c>
      <c r="V426" s="144">
        <f>IFERROR(VLOOKUP(PA[[#This Row],[Affected Equipment ]],'Basic Data '!$A$1:$C$1846,3,0),"")</f>
        <v>9.3467147730019601E-5</v>
      </c>
      <c r="W426" s="178" t="s">
        <v>451</v>
      </c>
      <c r="X426" s="110" t="s">
        <v>2686</v>
      </c>
      <c r="Y426" s="110" t="s">
        <v>2686</v>
      </c>
      <c r="Z426" s="109">
        <v>0.26597222222222222</v>
      </c>
      <c r="AA426" s="109">
        <v>0.26597222222222222</v>
      </c>
      <c r="AB426" s="109">
        <v>0.26597222222222222</v>
      </c>
      <c r="AC426" s="109">
        <v>0.73472222222222228</v>
      </c>
      <c r="AD426" s="82">
        <f>IF(PA[[#This Row],[Acknowledgement Time ]]="NA","",(PA[[#This Row],[Acknowledgement Time ]]-PA[[#This Row],[Fault Time]])*24)</f>
        <v>0</v>
      </c>
      <c r="AE426" s="82">
        <f>IF(PA[[#This Row],[Work Start time on Fault]]="NA","",(PA[[#This Row],[Work Start time on Fault]]-PA[[#This Row],[Fault Time]])*24)</f>
        <v>0</v>
      </c>
      <c r="AF426" s="111">
        <f>IF(PA[[#This Row],[Status]]="Open","",(PA[[#This Row],[Work Completion time on fault]]-PA[[#This Row],[Fault Time]])*24)</f>
        <v>11.250000000000002</v>
      </c>
      <c r="AG426" s="82">
        <f>IFERROR((PA[[#This Row],[Work Completion time on fault]]-PA[[#This Row],[Fault Time]])*24,"")</f>
        <v>11.250000000000002</v>
      </c>
      <c r="AH426" s="110" t="s">
        <v>2686</v>
      </c>
      <c r="AI426" s="79" t="s">
        <v>422</v>
      </c>
      <c r="AJ426" s="68">
        <f>IFERROR(PA[[#This Row],[Breakdown Time]]*PA[[#This Row],[Plant Equivalent Weightage]],"")</f>
        <v>1.0515054119627208E-3</v>
      </c>
      <c r="AK426" s="117">
        <v>2.5299999999999998</v>
      </c>
      <c r="AL426" s="116">
        <f>IF(PA[[#This Row],[Lost PoA(Wh/m2)]]&gt;0,_xlfn.XLOOKUP($B426,'Daily KPI'!$A:$A,'Daily KPI'!$AE:$AE)*PA[[#This Row],[Lost PoA(Wh/m2)]]*U426,0)</f>
        <v>66.562494364317402</v>
      </c>
      <c r="AM426" s="176" t="s">
        <v>2693</v>
      </c>
    </row>
    <row r="427" spans="1:39" ht="14" customHeight="1">
      <c r="A427" s="177">
        <f t="shared" si="7"/>
        <v>424</v>
      </c>
      <c r="B427" s="185">
        <v>45856</v>
      </c>
      <c r="C427" s="178" t="s">
        <v>477</v>
      </c>
      <c r="D427" s="6">
        <f>YEAR(PA[[#This Row],[Date]])</f>
        <v>2025</v>
      </c>
      <c r="E427" s="178" t="s">
        <v>361</v>
      </c>
      <c r="F427" s="178" t="s">
        <v>361</v>
      </c>
      <c r="G427" s="179">
        <v>45839</v>
      </c>
      <c r="H427" s="176">
        <f>DAY(EOMONTH(PA[[#This Row],[Month Year]],0))</f>
        <v>31</v>
      </c>
      <c r="I427" s="180">
        <f>VLOOKUP(PA[[#This Row],[Date]],Raw_Data[#All],9,0)</f>
        <v>0.26597222222222222</v>
      </c>
      <c r="J427" s="180">
        <f>VLOOKUP(PA[[#This Row],[Date]],Raw_Data[#All],10,0)</f>
        <v>0.73472222222222228</v>
      </c>
      <c r="K427" s="68">
        <f>IFERROR((PA[[#This Row],[Sunset Time (POA&lt;20 W/m2)]]-PA[[#This Row],[Sunrise Time (POA&gt;20 W/m2)]])*24,"")</f>
        <v>11.250000000000002</v>
      </c>
      <c r="L427" s="178" t="s">
        <v>416</v>
      </c>
      <c r="M427" s="178" t="s">
        <v>394</v>
      </c>
      <c r="N427" s="178" t="s">
        <v>402</v>
      </c>
      <c r="O427" s="178" t="s">
        <v>403</v>
      </c>
      <c r="P427" s="178" t="s">
        <v>448</v>
      </c>
      <c r="Q427" s="178"/>
      <c r="R427" s="6">
        <f>IF((PA[[#This Row],[String Type(If String BD)]]&amp;PA[[#This Row],[Equipment (If any BD other than PV  array and inv)]])="",1,0)</f>
        <v>0</v>
      </c>
      <c r="S427" s="6">
        <f>IF(PA[[#This Row],[String Type(If String BD)]]="",1,0)</f>
        <v>0</v>
      </c>
      <c r="T4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7" s="68">
        <f>IFERROR(VLOOKUP(PA[[#This Row],[Affected Equipment ]],'Basic Data '!$A$1:$B$1846,2,0),"")</f>
        <v>31.61</v>
      </c>
      <c r="V427" s="143">
        <f>IFERROR(VLOOKUP(PA[[#This Row],[Affected Equipment ]],'Basic Data '!$A$1:$C$1846,3,0),"")</f>
        <v>9.4332584283075336E-5</v>
      </c>
      <c r="W427" s="178" t="s">
        <v>451</v>
      </c>
      <c r="X427" s="110" t="s">
        <v>2686</v>
      </c>
      <c r="Y427" s="110" t="s">
        <v>2686</v>
      </c>
      <c r="Z427" s="109">
        <v>0.26597222222222222</v>
      </c>
      <c r="AA427" s="109">
        <v>0.26597222222222222</v>
      </c>
      <c r="AB427" s="109">
        <v>0.26597222222222222</v>
      </c>
      <c r="AC427" s="109">
        <v>0.73472222222222228</v>
      </c>
      <c r="AD427" s="82">
        <f>IF(PA[[#This Row],[Acknowledgement Time ]]="NA","",(PA[[#This Row],[Acknowledgement Time ]]-PA[[#This Row],[Fault Time]])*24)</f>
        <v>0</v>
      </c>
      <c r="AE427" s="82">
        <f>IF(PA[[#This Row],[Work Start time on Fault]]="NA","",(PA[[#This Row],[Work Start time on Fault]]-PA[[#This Row],[Fault Time]])*24)</f>
        <v>0</v>
      </c>
      <c r="AF427" s="111">
        <f>IF(PA[[#This Row],[Status]]="Open","",(PA[[#This Row],[Work Completion time on fault]]-PA[[#This Row],[Fault Time]])*24)</f>
        <v>11.250000000000002</v>
      </c>
      <c r="AG427" s="82">
        <f>IFERROR((PA[[#This Row],[Work Completion time on fault]]-PA[[#This Row],[Fault Time]])*24,"")</f>
        <v>11.250000000000002</v>
      </c>
      <c r="AH427" s="110" t="s">
        <v>2686</v>
      </c>
      <c r="AI427" s="79" t="s">
        <v>422</v>
      </c>
      <c r="AJ427" s="68">
        <f>IFERROR(PA[[#This Row],[Breakdown Time]]*PA[[#This Row],[Plant Equivalent Weightage]],"")</f>
        <v>1.0612415731845978E-3</v>
      </c>
      <c r="AK427" s="117">
        <v>2.56</v>
      </c>
      <c r="AL427" s="116">
        <f>IF(PA[[#This Row],[Lost PoA(Wh/m2)]]&gt;0,_xlfn.XLOOKUP($B427,'Daily KPI'!$A:$A,'Daily KPI'!$AE:$AE)*PA[[#This Row],[Lost PoA(Wh/m2)]]*U427,0)</f>
        <v>67.975400480965931</v>
      </c>
      <c r="AM427" s="176" t="s">
        <v>2693</v>
      </c>
    </row>
    <row r="428" spans="1:39" ht="14" customHeight="1">
      <c r="A428" s="177">
        <f t="shared" si="7"/>
        <v>425</v>
      </c>
      <c r="B428" s="185">
        <v>45856</v>
      </c>
      <c r="C428" s="178" t="s">
        <v>477</v>
      </c>
      <c r="D428" s="6">
        <f>YEAR(PA[[#This Row],[Date]])</f>
        <v>2025</v>
      </c>
      <c r="E428" s="178" t="s">
        <v>361</v>
      </c>
      <c r="F428" s="178" t="s">
        <v>361</v>
      </c>
      <c r="G428" s="179">
        <v>45839</v>
      </c>
      <c r="H428" s="176">
        <f>DAY(EOMONTH(PA[[#This Row],[Month Year]],0))</f>
        <v>31</v>
      </c>
      <c r="I428" s="180">
        <f>VLOOKUP(PA[[#This Row],[Date]],Raw_Data[#All],9,0)</f>
        <v>0.26597222222222222</v>
      </c>
      <c r="J428" s="180">
        <f>VLOOKUP(PA[[#This Row],[Date]],Raw_Data[#All],10,0)</f>
        <v>0.73472222222222228</v>
      </c>
      <c r="K428" s="68">
        <f>IFERROR((PA[[#This Row],[Sunset Time (POA&lt;20 W/m2)]]-PA[[#This Row],[Sunrise Time (POA&gt;20 W/m2)]])*24,"")</f>
        <v>11.250000000000002</v>
      </c>
      <c r="L428" s="178" t="s">
        <v>425</v>
      </c>
      <c r="M428" s="178" t="s">
        <v>408</v>
      </c>
      <c r="N428" s="178" t="s">
        <v>402</v>
      </c>
      <c r="O428" s="178" t="s">
        <v>417</v>
      </c>
      <c r="P428" s="178" t="s">
        <v>448</v>
      </c>
      <c r="Q428" s="178"/>
      <c r="R428" s="6">
        <f>IF((PA[[#This Row],[String Type(If String BD)]]&amp;PA[[#This Row],[Equipment (If any BD other than PV  array and inv)]])="",1,0)</f>
        <v>0</v>
      </c>
      <c r="S428" s="6">
        <f>IF(PA[[#This Row],[String Type(If String BD)]]="",1,0)</f>
        <v>0</v>
      </c>
      <c r="T4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8" s="68">
        <f>IFERROR(VLOOKUP(PA[[#This Row],[Affected Equipment ]],'Basic Data '!$A$1:$B$1846,2,0),"")</f>
        <v>31.61</v>
      </c>
      <c r="V428" s="143">
        <f>IFERROR(VLOOKUP(PA[[#This Row],[Affected Equipment ]],'Basic Data '!$A$1:$C$1846,3,0),"")</f>
        <v>9.4332584283075336E-5</v>
      </c>
      <c r="W428" s="178" t="s">
        <v>451</v>
      </c>
      <c r="X428" s="110" t="s">
        <v>2686</v>
      </c>
      <c r="Y428" s="110" t="s">
        <v>2686</v>
      </c>
      <c r="Z428" s="109">
        <v>0.26597222222222222</v>
      </c>
      <c r="AA428" s="109">
        <v>0.26597222222222222</v>
      </c>
      <c r="AB428" s="109">
        <v>0.26597222222222222</v>
      </c>
      <c r="AC428" s="109">
        <v>0.73472222222222228</v>
      </c>
      <c r="AD428" s="82">
        <f>IF(PA[[#This Row],[Acknowledgement Time ]]="NA","",(PA[[#This Row],[Acknowledgement Time ]]-PA[[#This Row],[Fault Time]])*24)</f>
        <v>0</v>
      </c>
      <c r="AE428" s="82">
        <f>IF(PA[[#This Row],[Work Start time on Fault]]="NA","",(PA[[#This Row],[Work Start time on Fault]]-PA[[#This Row],[Fault Time]])*24)</f>
        <v>0</v>
      </c>
      <c r="AF428" s="111">
        <f>IF(PA[[#This Row],[Status]]="Open","",(PA[[#This Row],[Work Completion time on fault]]-PA[[#This Row],[Fault Time]])*24)</f>
        <v>11.250000000000002</v>
      </c>
      <c r="AG428" s="82">
        <f>IFERROR((PA[[#This Row],[Work Completion time on fault]]-PA[[#This Row],[Fault Time]])*24,"")</f>
        <v>11.250000000000002</v>
      </c>
      <c r="AH428" s="110" t="s">
        <v>2686</v>
      </c>
      <c r="AI428" s="79" t="s">
        <v>422</v>
      </c>
      <c r="AJ428" s="68">
        <f>IFERROR(PA[[#This Row],[Breakdown Time]]*PA[[#This Row],[Plant Equivalent Weightage]],"")</f>
        <v>1.0612415731845978E-3</v>
      </c>
      <c r="AK428" s="117">
        <v>2.56</v>
      </c>
      <c r="AL428" s="116">
        <f>IF(PA[[#This Row],[Lost PoA(Wh/m2)]]&gt;0,_xlfn.XLOOKUP($B428,'Daily KPI'!$A:$A,'Daily KPI'!$AE:$AE)*PA[[#This Row],[Lost PoA(Wh/m2)]]*U428,0)</f>
        <v>67.975400480965931</v>
      </c>
      <c r="AM428" s="176" t="s">
        <v>2693</v>
      </c>
    </row>
    <row r="429" spans="1:39" ht="14" customHeight="1">
      <c r="A429" s="177">
        <f t="shared" si="7"/>
        <v>426</v>
      </c>
      <c r="B429" s="185">
        <v>45856</v>
      </c>
      <c r="C429" s="178" t="s">
        <v>477</v>
      </c>
      <c r="D429" s="6">
        <f>YEAR(PA[[#This Row],[Date]])</f>
        <v>2025</v>
      </c>
      <c r="E429" s="178" t="s">
        <v>361</v>
      </c>
      <c r="F429" s="178" t="s">
        <v>361</v>
      </c>
      <c r="G429" s="179">
        <v>45839</v>
      </c>
      <c r="H429" s="176">
        <f>DAY(EOMONTH(PA[[#This Row],[Month Year]],0))</f>
        <v>31</v>
      </c>
      <c r="I429" s="180">
        <f>VLOOKUP(PA[[#This Row],[Date]],Raw_Data[#All],9,0)</f>
        <v>0.26597222222222222</v>
      </c>
      <c r="J429" s="180">
        <f>VLOOKUP(PA[[#This Row],[Date]],Raw_Data[#All],10,0)</f>
        <v>0.73472222222222228</v>
      </c>
      <c r="K429" s="68">
        <f>IFERROR((PA[[#This Row],[Sunset Time (POA&lt;20 W/m2)]]-PA[[#This Row],[Sunrise Time (POA&gt;20 W/m2)]])*24,"")</f>
        <v>11.250000000000002</v>
      </c>
      <c r="L429" s="178" t="s">
        <v>439</v>
      </c>
      <c r="M429" s="178" t="s">
        <v>401</v>
      </c>
      <c r="N429" s="178" t="s">
        <v>395</v>
      </c>
      <c r="O429" s="178" t="s">
        <v>403</v>
      </c>
      <c r="P429" s="178" t="s">
        <v>404</v>
      </c>
      <c r="Q429" s="178"/>
      <c r="R429" s="6">
        <f>IF((PA[[#This Row],[String Type(If String BD)]]&amp;PA[[#This Row],[Equipment (If any BD other than PV  array and inv)]])="",1,0)</f>
        <v>0</v>
      </c>
      <c r="S429" s="6">
        <f>IF(PA[[#This Row],[String Type(If String BD)]]="",1,0)</f>
        <v>0</v>
      </c>
      <c r="T4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9" s="68">
        <f>IFERROR(VLOOKUP(PA[[#This Row],[Affected Equipment ]],'Basic Data '!$A$1:$B$1846,2,0),"")</f>
        <v>31.32</v>
      </c>
      <c r="V429" s="143">
        <f>IFERROR(VLOOKUP(PA[[#This Row],[Affected Equipment ]],'Basic Data '!$A$1:$C$1846,3,0),"")</f>
        <v>9.3467147730019601E-5</v>
      </c>
      <c r="W429" s="178" t="s">
        <v>451</v>
      </c>
      <c r="X429" s="110" t="s">
        <v>2687</v>
      </c>
      <c r="Y429" s="110" t="s">
        <v>2687</v>
      </c>
      <c r="Z429" s="109">
        <v>0.26597222222222222</v>
      </c>
      <c r="AA429" s="109">
        <v>0.26597222222222222</v>
      </c>
      <c r="AB429" s="109">
        <v>0.26597222222222222</v>
      </c>
      <c r="AC429" s="109">
        <v>0.73472222222222228</v>
      </c>
      <c r="AD429" s="82">
        <f>IF(PA[[#This Row],[Acknowledgement Time ]]="NA","",(PA[[#This Row],[Acknowledgement Time ]]-PA[[#This Row],[Fault Time]])*24)</f>
        <v>0</v>
      </c>
      <c r="AE429" s="82">
        <f>IF(PA[[#This Row],[Work Start time on Fault]]="NA","",(PA[[#This Row],[Work Start time on Fault]]-PA[[#This Row],[Fault Time]])*24)</f>
        <v>0</v>
      </c>
      <c r="AF429" s="111">
        <f>IF(PA[[#This Row],[Status]]="Open","",(PA[[#This Row],[Work Completion time on fault]]-PA[[#This Row],[Fault Time]])*24)</f>
        <v>11.250000000000002</v>
      </c>
      <c r="AG429" s="82">
        <f>IFERROR((PA[[#This Row],[Work Completion time on fault]]-PA[[#This Row],[Fault Time]])*24,"")</f>
        <v>11.250000000000002</v>
      </c>
      <c r="AH429" s="110" t="s">
        <v>2687</v>
      </c>
      <c r="AI429" s="79" t="s">
        <v>422</v>
      </c>
      <c r="AJ429" s="68">
        <f>IFERROR(PA[[#This Row],[Breakdown Time]]*PA[[#This Row],[Plant Equivalent Weightage]],"")</f>
        <v>1.0515054119627208E-3</v>
      </c>
      <c r="AK429" s="117">
        <v>2.5499999999999998</v>
      </c>
      <c r="AL429" s="116">
        <f>IF(PA[[#This Row],[Lost PoA(Wh/m2)]]&gt;0,_xlfn.XLOOKUP($B429,'Daily KPI'!$A:$A,'Daily KPI'!$AE:$AE)*PA[[#This Row],[Lost PoA(Wh/m2)]]*U429,0)</f>
        <v>67.088680090517556</v>
      </c>
      <c r="AM429" s="176" t="s">
        <v>2693</v>
      </c>
    </row>
    <row r="430" spans="1:39" ht="14" customHeight="1">
      <c r="A430" s="177">
        <f t="shared" si="7"/>
        <v>427</v>
      </c>
      <c r="B430" s="185">
        <v>45856</v>
      </c>
      <c r="C430" s="178" t="s">
        <v>477</v>
      </c>
      <c r="D430" s="6">
        <f>YEAR(PA[[#This Row],[Date]])</f>
        <v>2025</v>
      </c>
      <c r="E430" s="178" t="s">
        <v>361</v>
      </c>
      <c r="F430" s="178" t="s">
        <v>361</v>
      </c>
      <c r="G430" s="179">
        <v>45839</v>
      </c>
      <c r="H430" s="176">
        <f>DAY(EOMONTH(PA[[#This Row],[Month Year]],0))</f>
        <v>31</v>
      </c>
      <c r="I430" s="180">
        <f>VLOOKUP(PA[[#This Row],[Date]],Raw_Data[#All],9,0)</f>
        <v>0.26597222222222222</v>
      </c>
      <c r="J430" s="180">
        <f>VLOOKUP(PA[[#This Row],[Date]],Raw_Data[#All],10,0)</f>
        <v>0.73472222222222228</v>
      </c>
      <c r="K430" s="68">
        <f>IFERROR((PA[[#This Row],[Sunset Time (POA&lt;20 W/m2)]]-PA[[#This Row],[Sunrise Time (POA&gt;20 W/m2)]])*24,"")</f>
        <v>11.250000000000002</v>
      </c>
      <c r="L430" s="178" t="s">
        <v>423</v>
      </c>
      <c r="M430" s="178" t="s">
        <v>414</v>
      </c>
      <c r="N430" s="178" t="s">
        <v>402</v>
      </c>
      <c r="O430" s="178" t="s">
        <v>417</v>
      </c>
      <c r="P430" s="178" t="s">
        <v>429</v>
      </c>
      <c r="Q430" s="178"/>
      <c r="R430" s="6">
        <f>IF((PA[[#This Row],[String Type(If String BD)]]&amp;PA[[#This Row],[Equipment (If any BD other than PV  array and inv)]])="",1,0)</f>
        <v>0</v>
      </c>
      <c r="S430" s="6">
        <f>IF(PA[[#This Row],[String Type(If String BD)]]="",1,0)</f>
        <v>0</v>
      </c>
      <c r="T4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0" s="68">
        <f>IFERROR(VLOOKUP(PA[[#This Row],[Affected Equipment ]],'Basic Data '!$A$1:$B$1846,2,0),"")</f>
        <v>15.66</v>
      </c>
      <c r="V430" s="143">
        <f>IFERROR(VLOOKUP(PA[[#This Row],[Affected Equipment ]],'Basic Data '!$A$1:$C$1846,3,0),"")</f>
        <v>4.6733573865009801E-5</v>
      </c>
      <c r="W430" s="178" t="s">
        <v>451</v>
      </c>
      <c r="X430" s="110" t="s">
        <v>2689</v>
      </c>
      <c r="Y430" s="110" t="s">
        <v>2689</v>
      </c>
      <c r="Z430" s="109">
        <v>0.26597222222222222</v>
      </c>
      <c r="AA430" s="109">
        <v>0.26597222222222222</v>
      </c>
      <c r="AB430" s="109">
        <v>0.26597222222222222</v>
      </c>
      <c r="AC430" s="109">
        <v>0.73472222222222228</v>
      </c>
      <c r="AD430" s="82">
        <f>IF(PA[[#This Row],[Acknowledgement Time ]]="NA","",(PA[[#This Row],[Acknowledgement Time ]]-PA[[#This Row],[Fault Time]])*24)</f>
        <v>0</v>
      </c>
      <c r="AE430" s="82">
        <f>IF(PA[[#This Row],[Work Start time on Fault]]="NA","",(PA[[#This Row],[Work Start time on Fault]]-PA[[#This Row],[Fault Time]])*24)</f>
        <v>0</v>
      </c>
      <c r="AF430" s="111">
        <f>IF(PA[[#This Row],[Status]]="Open","",(PA[[#This Row],[Work Completion time on fault]]-PA[[#This Row],[Fault Time]])*24)</f>
        <v>11.250000000000002</v>
      </c>
      <c r="AG430" s="82">
        <f>IFERROR((PA[[#This Row],[Work Completion time on fault]]-PA[[#This Row],[Fault Time]])*24,"")</f>
        <v>11.250000000000002</v>
      </c>
      <c r="AH430" s="110" t="s">
        <v>2689</v>
      </c>
      <c r="AI430" s="79" t="s">
        <v>422</v>
      </c>
      <c r="AJ430" s="68">
        <f>IFERROR(PA[[#This Row],[Breakdown Time]]*PA[[#This Row],[Plant Equivalent Weightage]],"")</f>
        <v>5.2575270598136038E-4</v>
      </c>
      <c r="AK430" s="117">
        <v>2.5499999999999998</v>
      </c>
      <c r="AL430" s="116">
        <f>IF(PA[[#This Row],[Lost PoA(Wh/m2)]]&gt;0,_xlfn.XLOOKUP($B430,'Daily KPI'!$A:$A,'Daily KPI'!$AE:$AE)*PA[[#This Row],[Lost PoA(Wh/m2)]]*U430,0)</f>
        <v>33.544340045258778</v>
      </c>
      <c r="AM430" s="176" t="s">
        <v>2693</v>
      </c>
    </row>
    <row r="431" spans="1:39" ht="14" customHeight="1">
      <c r="A431" s="177">
        <f t="shared" si="7"/>
        <v>428</v>
      </c>
      <c r="B431" s="185">
        <v>45856</v>
      </c>
      <c r="C431" s="178" t="s">
        <v>477</v>
      </c>
      <c r="D431" s="6">
        <f>YEAR(PA[[#This Row],[Date]])</f>
        <v>2025</v>
      </c>
      <c r="E431" s="178" t="s">
        <v>361</v>
      </c>
      <c r="F431" s="178" t="s">
        <v>361</v>
      </c>
      <c r="G431" s="179">
        <v>45839</v>
      </c>
      <c r="H431" s="176">
        <f>DAY(EOMONTH(PA[[#This Row],[Month Year]],0))</f>
        <v>31</v>
      </c>
      <c r="I431" s="180">
        <f>VLOOKUP(PA[[#This Row],[Date]],Raw_Data[#All],9,0)</f>
        <v>0.26597222222222222</v>
      </c>
      <c r="J431" s="180">
        <f>VLOOKUP(PA[[#This Row],[Date]],Raw_Data[#All],10,0)</f>
        <v>0.73472222222222228</v>
      </c>
      <c r="K431" s="68">
        <f>IFERROR((PA[[#This Row],[Sunset Time (POA&lt;20 W/m2)]]-PA[[#This Row],[Sunrise Time (POA&gt;20 W/m2)]])*24,"")</f>
        <v>11.250000000000002</v>
      </c>
      <c r="L431" s="178" t="s">
        <v>428</v>
      </c>
      <c r="M431" s="178" t="s">
        <v>394</v>
      </c>
      <c r="N431" s="178" t="s">
        <v>402</v>
      </c>
      <c r="O431" s="178" t="s">
        <v>406</v>
      </c>
      <c r="P431" s="178" t="s">
        <v>429</v>
      </c>
      <c r="Q431" s="178"/>
      <c r="R431" s="6">
        <f>IF((PA[[#This Row],[String Type(If String BD)]]&amp;PA[[#This Row],[Equipment (If any BD other than PV  array and inv)]])="",1,0)</f>
        <v>0</v>
      </c>
      <c r="S431" s="6">
        <f>IF(PA[[#This Row],[String Type(If String BD)]]="",1,0)</f>
        <v>0</v>
      </c>
      <c r="T4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1" s="68">
        <f>IFERROR(VLOOKUP(PA[[#This Row],[Affected Equipment ]],'Basic Data '!$A$1:$B$1846,2,0),"")</f>
        <v>15.66</v>
      </c>
      <c r="V431" s="143">
        <f>IFERROR(VLOOKUP(PA[[#This Row],[Affected Equipment ]],'Basic Data '!$A$1:$C$1846,3,0),"")</f>
        <v>4.6733573865009801E-5</v>
      </c>
      <c r="W431" s="178" t="s">
        <v>451</v>
      </c>
      <c r="X431" s="110" t="s">
        <v>2690</v>
      </c>
      <c r="Y431" s="110" t="s">
        <v>2690</v>
      </c>
      <c r="Z431" s="109">
        <v>0.26597222222222222</v>
      </c>
      <c r="AA431" s="109">
        <v>0.26597222222222222</v>
      </c>
      <c r="AB431" s="109">
        <v>0.26597222222222222</v>
      </c>
      <c r="AC431" s="109">
        <v>0.73472222222222228</v>
      </c>
      <c r="AD431" s="82">
        <f>IF(PA[[#This Row],[Acknowledgement Time ]]="NA","",(PA[[#This Row],[Acknowledgement Time ]]-PA[[#This Row],[Fault Time]])*24)</f>
        <v>0</v>
      </c>
      <c r="AE431" s="82">
        <f>IF(PA[[#This Row],[Work Start time on Fault]]="NA","",(PA[[#This Row],[Work Start time on Fault]]-PA[[#This Row],[Fault Time]])*24)</f>
        <v>0</v>
      </c>
      <c r="AF431" s="111">
        <f>IF(PA[[#This Row],[Status]]="Open","",(PA[[#This Row],[Work Completion time on fault]]-PA[[#This Row],[Fault Time]])*24)</f>
        <v>11.250000000000002</v>
      </c>
      <c r="AG431" s="82">
        <f>IFERROR((PA[[#This Row],[Work Completion time on fault]]-PA[[#This Row],[Fault Time]])*24,"")</f>
        <v>11.250000000000002</v>
      </c>
      <c r="AH431" s="110" t="s">
        <v>2690</v>
      </c>
      <c r="AI431" s="79" t="s">
        <v>422</v>
      </c>
      <c r="AJ431" s="68">
        <f>IFERROR(PA[[#This Row],[Breakdown Time]]*PA[[#This Row],[Plant Equivalent Weightage]],"")</f>
        <v>5.2575270598136038E-4</v>
      </c>
      <c r="AK431" s="117">
        <v>2.5499999999999998</v>
      </c>
      <c r="AL431" s="116">
        <f>IF(PA[[#This Row],[Lost PoA(Wh/m2)]]&gt;0,_xlfn.XLOOKUP($B431,'Daily KPI'!$A:$A,'Daily KPI'!$AE:$AE)*PA[[#This Row],[Lost PoA(Wh/m2)]]*U431,0)</f>
        <v>33.544340045258778</v>
      </c>
      <c r="AM431" s="176" t="s">
        <v>2693</v>
      </c>
    </row>
    <row r="432" spans="1:39" ht="14" customHeight="1">
      <c r="A432" s="177">
        <f t="shared" si="7"/>
        <v>429</v>
      </c>
      <c r="B432" s="185">
        <v>45856</v>
      </c>
      <c r="C432" s="178" t="s">
        <v>477</v>
      </c>
      <c r="D432" s="6">
        <f>YEAR(PA[[#This Row],[Date]])</f>
        <v>2025</v>
      </c>
      <c r="E432" s="178" t="s">
        <v>361</v>
      </c>
      <c r="F432" s="178" t="s">
        <v>361</v>
      </c>
      <c r="G432" s="179">
        <v>45839</v>
      </c>
      <c r="H432" s="176">
        <f>DAY(EOMONTH(PA[[#This Row],[Month Year]],0))</f>
        <v>31</v>
      </c>
      <c r="I432" s="180">
        <f>VLOOKUP(PA[[#This Row],[Date]],Raw_Data[#All],9,0)</f>
        <v>0.26597222222222222</v>
      </c>
      <c r="J432" s="180">
        <f>VLOOKUP(PA[[#This Row],[Date]],Raw_Data[#All],10,0)</f>
        <v>0.73472222222222228</v>
      </c>
      <c r="K432" s="68">
        <f>IFERROR((PA[[#This Row],[Sunset Time (POA&lt;20 W/m2)]]-PA[[#This Row],[Sunrise Time (POA&gt;20 W/m2)]])*24,"")</f>
        <v>11.250000000000002</v>
      </c>
      <c r="L432" s="178" t="s">
        <v>428</v>
      </c>
      <c r="M432" s="178" t="s">
        <v>408</v>
      </c>
      <c r="N432" s="178" t="s">
        <v>402</v>
      </c>
      <c r="O432" s="178" t="s">
        <v>406</v>
      </c>
      <c r="P432" s="178" t="s">
        <v>429</v>
      </c>
      <c r="Q432" s="178"/>
      <c r="R432" s="6">
        <f>IF((PA[[#This Row],[String Type(If String BD)]]&amp;PA[[#This Row],[Equipment (If any BD other than PV  array and inv)]])="",1,0)</f>
        <v>0</v>
      </c>
      <c r="S432" s="6">
        <f>IF(PA[[#This Row],[String Type(If String BD)]]="",1,0)</f>
        <v>0</v>
      </c>
      <c r="T4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2" s="68">
        <f>IFERROR(VLOOKUP(PA[[#This Row],[Affected Equipment ]],'Basic Data '!$A$1:$B$1846,2,0),"")</f>
        <v>15.66</v>
      </c>
      <c r="V432" s="143">
        <f>IFERROR(VLOOKUP(PA[[#This Row],[Affected Equipment ]],'Basic Data '!$A$1:$C$1846,3,0),"")</f>
        <v>4.6733573865009801E-5</v>
      </c>
      <c r="W432" s="178" t="s">
        <v>451</v>
      </c>
      <c r="X432" s="110" t="s">
        <v>2691</v>
      </c>
      <c r="Y432" s="110" t="s">
        <v>2691</v>
      </c>
      <c r="Z432" s="109">
        <v>0.26597222222222222</v>
      </c>
      <c r="AA432" s="109">
        <v>0.26597222222222222</v>
      </c>
      <c r="AB432" s="109">
        <v>0.26597222222222222</v>
      </c>
      <c r="AC432" s="109">
        <v>0.73472222222222228</v>
      </c>
      <c r="AD432" s="82">
        <f>IF(PA[[#This Row],[Acknowledgement Time ]]="NA","",(PA[[#This Row],[Acknowledgement Time ]]-PA[[#This Row],[Fault Time]])*24)</f>
        <v>0</v>
      </c>
      <c r="AE432" s="82">
        <f>IF(PA[[#This Row],[Work Start time on Fault]]="NA","",(PA[[#This Row],[Work Start time on Fault]]-PA[[#This Row],[Fault Time]])*24)</f>
        <v>0</v>
      </c>
      <c r="AF432" s="111">
        <f>IF(PA[[#This Row],[Status]]="Open","",(PA[[#This Row],[Work Completion time on fault]]-PA[[#This Row],[Fault Time]])*24)</f>
        <v>11.250000000000002</v>
      </c>
      <c r="AG432" s="82">
        <f>IFERROR((PA[[#This Row],[Work Completion time on fault]]-PA[[#This Row],[Fault Time]])*24,"")</f>
        <v>11.250000000000002</v>
      </c>
      <c r="AH432" s="110" t="s">
        <v>2691</v>
      </c>
      <c r="AI432" s="79" t="s">
        <v>422</v>
      </c>
      <c r="AJ432" s="68">
        <f>IFERROR(PA[[#This Row],[Breakdown Time]]*PA[[#This Row],[Plant Equivalent Weightage]],"")</f>
        <v>5.2575270598136038E-4</v>
      </c>
      <c r="AK432" s="117">
        <v>2.5499999999999998</v>
      </c>
      <c r="AL432" s="116">
        <f>IF(PA[[#This Row],[Lost PoA(Wh/m2)]]&gt;0,_xlfn.XLOOKUP($B432,'Daily KPI'!$A:$A,'Daily KPI'!$AE:$AE)*PA[[#This Row],[Lost PoA(Wh/m2)]]*U432,0)</f>
        <v>33.544340045258778</v>
      </c>
      <c r="AM432" s="176" t="s">
        <v>2693</v>
      </c>
    </row>
    <row r="433" spans="1:39" ht="14" customHeight="1">
      <c r="A433" s="177">
        <f t="shared" si="7"/>
        <v>430</v>
      </c>
      <c r="B433" s="185">
        <v>45856</v>
      </c>
      <c r="C433" s="178" t="s">
        <v>477</v>
      </c>
      <c r="D433" s="6">
        <f>YEAR(PA[[#This Row],[Date]])</f>
        <v>2025</v>
      </c>
      <c r="E433" s="178" t="s">
        <v>361</v>
      </c>
      <c r="F433" s="178" t="s">
        <v>361</v>
      </c>
      <c r="G433" s="179">
        <v>45839</v>
      </c>
      <c r="H433" s="176">
        <f>DAY(EOMONTH(PA[[#This Row],[Month Year]],0))</f>
        <v>31</v>
      </c>
      <c r="I433" s="180">
        <f>VLOOKUP(PA[[#This Row],[Date]],Raw_Data[#All],9,0)</f>
        <v>0.26597222222222222</v>
      </c>
      <c r="J433" s="180">
        <f>VLOOKUP(PA[[#This Row],[Date]],Raw_Data[#All],10,0)</f>
        <v>0.73472222222222228</v>
      </c>
      <c r="K433" s="68">
        <f>IFERROR((PA[[#This Row],[Sunset Time (POA&lt;20 W/m2)]]-PA[[#This Row],[Sunrise Time (POA&gt;20 W/m2)]])*24,"")</f>
        <v>11.250000000000002</v>
      </c>
      <c r="L433" s="178" t="s">
        <v>439</v>
      </c>
      <c r="M433" s="178" t="s">
        <v>401</v>
      </c>
      <c r="N433" s="178" t="s">
        <v>402</v>
      </c>
      <c r="O433" s="178" t="s">
        <v>417</v>
      </c>
      <c r="P433" s="178" t="s">
        <v>429</v>
      </c>
      <c r="Q433" s="178"/>
      <c r="R433" s="6">
        <f>IF((PA[[#This Row],[String Type(If String BD)]]&amp;PA[[#This Row],[Equipment (If any BD other than PV  array and inv)]])="",1,0)</f>
        <v>0</v>
      </c>
      <c r="S433" s="6">
        <f>IF(PA[[#This Row],[String Type(If String BD)]]="",1,0)</f>
        <v>0</v>
      </c>
      <c r="T4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3" s="68">
        <f>IFERROR(VLOOKUP(PA[[#This Row],[Affected Equipment ]],'Basic Data '!$A$1:$B$1846,2,0),"")</f>
        <v>15.66</v>
      </c>
      <c r="V433" s="143">
        <f>IFERROR(VLOOKUP(PA[[#This Row],[Affected Equipment ]],'Basic Data '!$A$1:$C$1846,3,0),"")</f>
        <v>4.6733573865009801E-5</v>
      </c>
      <c r="W433" s="178" t="s">
        <v>451</v>
      </c>
      <c r="X433" s="110" t="s">
        <v>2692</v>
      </c>
      <c r="Y433" s="110" t="s">
        <v>2692</v>
      </c>
      <c r="Z433" s="109">
        <v>0.26597222222222222</v>
      </c>
      <c r="AA433" s="109">
        <v>0.26597222222222222</v>
      </c>
      <c r="AB433" s="109">
        <v>0.26597222222222222</v>
      </c>
      <c r="AC433" s="109">
        <v>0.73472222222222228</v>
      </c>
      <c r="AD433" s="82">
        <f>IF(PA[[#This Row],[Acknowledgement Time ]]="NA","",(PA[[#This Row],[Acknowledgement Time ]]-PA[[#This Row],[Fault Time]])*24)</f>
        <v>0</v>
      </c>
      <c r="AE433" s="82">
        <f>IF(PA[[#This Row],[Work Start time on Fault]]="NA","",(PA[[#This Row],[Work Start time on Fault]]-PA[[#This Row],[Fault Time]])*24)</f>
        <v>0</v>
      </c>
      <c r="AF433" s="111">
        <f>IF(PA[[#This Row],[Status]]="Open","",(PA[[#This Row],[Work Completion time on fault]]-PA[[#This Row],[Fault Time]])*24)</f>
        <v>11.250000000000002</v>
      </c>
      <c r="AG433" s="82">
        <f>IFERROR((PA[[#This Row],[Work Completion time on fault]]-PA[[#This Row],[Fault Time]])*24,"")</f>
        <v>11.250000000000002</v>
      </c>
      <c r="AH433" s="110" t="s">
        <v>2692</v>
      </c>
      <c r="AI433" s="79" t="s">
        <v>422</v>
      </c>
      <c r="AJ433" s="68">
        <f>IFERROR(PA[[#This Row],[Breakdown Time]]*PA[[#This Row],[Plant Equivalent Weightage]],"")</f>
        <v>5.2575270598136038E-4</v>
      </c>
      <c r="AK433" s="117">
        <v>2.5499999999999998</v>
      </c>
      <c r="AL433" s="116">
        <f>IF(PA[[#This Row],[Lost PoA(Wh/m2)]]&gt;0,_xlfn.XLOOKUP($B433,'Daily KPI'!$A:$A,'Daily KPI'!$AE:$AE)*PA[[#This Row],[Lost PoA(Wh/m2)]]*U433,0)</f>
        <v>33.544340045258778</v>
      </c>
      <c r="AM433" s="176" t="s">
        <v>2693</v>
      </c>
    </row>
    <row r="434" spans="1:39" ht="14" customHeight="1">
      <c r="A434" s="177">
        <f t="shared" si="7"/>
        <v>431</v>
      </c>
      <c r="B434" s="185">
        <v>45857</v>
      </c>
      <c r="C434" s="178" t="s">
        <v>477</v>
      </c>
      <c r="D434" s="6">
        <f>YEAR(PA[[#This Row],[Date]])</f>
        <v>2025</v>
      </c>
      <c r="E434" s="178" t="s">
        <v>361</v>
      </c>
      <c r="F434" s="178" t="s">
        <v>361</v>
      </c>
      <c r="G434" s="179">
        <v>45839</v>
      </c>
      <c r="H434" s="176">
        <f>DAY(EOMONTH(PA[[#This Row],[Month Year]],0))</f>
        <v>31</v>
      </c>
      <c r="I434" s="180">
        <f>VLOOKUP(PA[[#This Row],[Date]],Raw_Data[#All],9,0)</f>
        <v>0.27847222222222223</v>
      </c>
      <c r="J434" s="180">
        <f>VLOOKUP(PA[[#This Row],[Date]],Raw_Data[#All],10,0)</f>
        <v>0.69097222222222221</v>
      </c>
      <c r="K434" s="68">
        <f>IFERROR((PA[[#This Row],[Sunset Time (POA&lt;20 W/m2)]]-PA[[#This Row],[Sunrise Time (POA&gt;20 W/m2)]])*24,"")</f>
        <v>9.8999999999999986</v>
      </c>
      <c r="L434" s="178" t="s">
        <v>419</v>
      </c>
      <c r="M434" s="178" t="s">
        <v>394</v>
      </c>
      <c r="N434" s="178" t="s">
        <v>402</v>
      </c>
      <c r="O434" s="178" t="s">
        <v>442</v>
      </c>
      <c r="P434" s="178" t="s">
        <v>404</v>
      </c>
      <c r="Q434" s="178"/>
      <c r="R434" s="6">
        <f>IF((PA[[#This Row],[String Type(If String BD)]]&amp;PA[[#This Row],[Equipment (If any BD other than PV  array and inv)]])="",1,0)</f>
        <v>0</v>
      </c>
      <c r="S434" s="6">
        <f>IF(PA[[#This Row],[String Type(If String BD)]]="",1,0)</f>
        <v>0</v>
      </c>
      <c r="T4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4" s="68">
        <f>IFERROR(VLOOKUP(PA[[#This Row],[Affected Equipment ]],'Basic Data '!$A$1:$B$1846,2,0),"")</f>
        <v>31.32</v>
      </c>
      <c r="V434" s="143">
        <f>IFERROR(VLOOKUP(PA[[#This Row],[Affected Equipment ]],'Basic Data '!$A$1:$C$1846,3,0),"")</f>
        <v>9.3467147730019601E-5</v>
      </c>
      <c r="W434" s="178" t="s">
        <v>451</v>
      </c>
      <c r="X434" s="110" t="s">
        <v>2686</v>
      </c>
      <c r="Y434" s="110" t="s">
        <v>2686</v>
      </c>
      <c r="Z434" s="109">
        <v>0.27847222222222223</v>
      </c>
      <c r="AA434" s="109">
        <v>0.27847222222222223</v>
      </c>
      <c r="AB434" s="109">
        <v>0.27847222222222223</v>
      </c>
      <c r="AC434" s="109">
        <v>0.69097222222222221</v>
      </c>
      <c r="AD434" s="82">
        <f>IF(PA[[#This Row],[Acknowledgement Time ]]="NA","",(PA[[#This Row],[Acknowledgement Time ]]-PA[[#This Row],[Fault Time]])*24)</f>
        <v>0</v>
      </c>
      <c r="AE434" s="82">
        <f>IF(PA[[#This Row],[Work Start time on Fault]]="NA","",(PA[[#This Row],[Work Start time on Fault]]-PA[[#This Row],[Fault Time]])*24)</f>
        <v>0</v>
      </c>
      <c r="AF434" s="111">
        <f>IF(PA[[#This Row],[Status]]="Open","",(PA[[#This Row],[Work Completion time on fault]]-PA[[#This Row],[Fault Time]])*24)</f>
        <v>9.8999999999999986</v>
      </c>
      <c r="AG434" s="82">
        <f>IFERROR((PA[[#This Row],[Work Completion time on fault]]-PA[[#This Row],[Fault Time]])*24,"")</f>
        <v>9.8999999999999986</v>
      </c>
      <c r="AH434" s="110" t="s">
        <v>2686</v>
      </c>
      <c r="AI434" s="79" t="s">
        <v>422</v>
      </c>
      <c r="AJ434" s="68">
        <f>IFERROR(PA[[#This Row],[Breakdown Time]]*PA[[#This Row],[Plant Equivalent Weightage]],"")</f>
        <v>9.2532476252719389E-4</v>
      </c>
      <c r="AK434" s="117">
        <v>2.2400000000000002</v>
      </c>
      <c r="AL434" s="116">
        <f>IF(PA[[#This Row],[Lost PoA(Wh/m2)]]&gt;0,_xlfn.XLOOKUP($B434,'Daily KPI'!$A:$A,'Daily KPI'!$AE:$AE)*PA[[#This Row],[Lost PoA(Wh/m2)]]*U434,0)</f>
        <v>58.932801334415423</v>
      </c>
      <c r="AM434" s="176" t="s">
        <v>2697</v>
      </c>
    </row>
    <row r="435" spans="1:39" ht="14" customHeight="1">
      <c r="A435" s="177">
        <f t="shared" si="7"/>
        <v>432</v>
      </c>
      <c r="B435" s="185">
        <v>45857</v>
      </c>
      <c r="C435" s="178" t="s">
        <v>477</v>
      </c>
      <c r="D435" s="6">
        <f>YEAR(PA[[#This Row],[Date]])</f>
        <v>2025</v>
      </c>
      <c r="E435" s="178" t="s">
        <v>361</v>
      </c>
      <c r="F435" s="178" t="s">
        <v>361</v>
      </c>
      <c r="G435" s="179">
        <v>45839</v>
      </c>
      <c r="H435" s="176">
        <f>DAY(EOMONTH(PA[[#This Row],[Month Year]],0))</f>
        <v>31</v>
      </c>
      <c r="I435" s="180">
        <f>VLOOKUP(PA[[#This Row],[Date]],Raw_Data[#All],9,0)</f>
        <v>0.27847222222222223</v>
      </c>
      <c r="J435" s="180">
        <f>VLOOKUP(PA[[#This Row],[Date]],Raw_Data[#All],10,0)</f>
        <v>0.69097222222222221</v>
      </c>
      <c r="K435" s="68">
        <f>IFERROR((PA[[#This Row],[Sunset Time (POA&lt;20 W/m2)]]-PA[[#This Row],[Sunrise Time (POA&gt;20 W/m2)]])*24,"")</f>
        <v>9.8999999999999986</v>
      </c>
      <c r="L435" s="178" t="s">
        <v>416</v>
      </c>
      <c r="M435" s="178" t="s">
        <v>394</v>
      </c>
      <c r="N435" s="178" t="s">
        <v>402</v>
      </c>
      <c r="O435" s="178" t="s">
        <v>403</v>
      </c>
      <c r="P435" s="178" t="s">
        <v>448</v>
      </c>
      <c r="Q435" s="178"/>
      <c r="R435" s="6">
        <f>IF((PA[[#This Row],[String Type(If String BD)]]&amp;PA[[#This Row],[Equipment (If any BD other than PV  array and inv)]])="",1,0)</f>
        <v>0</v>
      </c>
      <c r="S435" s="6">
        <f>IF(PA[[#This Row],[String Type(If String BD)]]="",1,0)</f>
        <v>0</v>
      </c>
      <c r="T4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35" s="68">
        <f>IFERROR(VLOOKUP(PA[[#This Row],[Affected Equipment ]],'Basic Data '!$A$1:$B$1846,2,0),"")</f>
        <v>31.61</v>
      </c>
      <c r="V435" s="143">
        <f>IFERROR(VLOOKUP(PA[[#This Row],[Affected Equipment ]],'Basic Data '!$A$1:$C$1846,3,0),"")</f>
        <v>9.4332584283075336E-5</v>
      </c>
      <c r="W435" s="178" t="s">
        <v>451</v>
      </c>
      <c r="X435" s="110" t="s">
        <v>2686</v>
      </c>
      <c r="Y435" s="110" t="s">
        <v>2686</v>
      </c>
      <c r="Z435" s="109">
        <v>0.27847222222222223</v>
      </c>
      <c r="AA435" s="109">
        <v>0.27847222222222223</v>
      </c>
      <c r="AB435" s="109">
        <v>0.27847222222222223</v>
      </c>
      <c r="AC435" s="109">
        <v>0.69097222222222221</v>
      </c>
      <c r="AD435" s="82">
        <f>IF(PA[[#This Row],[Acknowledgement Time ]]="NA","",(PA[[#This Row],[Acknowledgement Time ]]-PA[[#This Row],[Fault Time]])*24)</f>
        <v>0</v>
      </c>
      <c r="AE435" s="82">
        <f>IF(PA[[#This Row],[Work Start time on Fault]]="NA","",(PA[[#This Row],[Work Start time on Fault]]-PA[[#This Row],[Fault Time]])*24)</f>
        <v>0</v>
      </c>
      <c r="AF435" s="111">
        <f>IF(PA[[#This Row],[Status]]="Open","",(PA[[#This Row],[Work Completion time on fault]]-PA[[#This Row],[Fault Time]])*24)</f>
        <v>9.8999999999999986</v>
      </c>
      <c r="AG435" s="82">
        <f>IFERROR((PA[[#This Row],[Work Completion time on fault]]-PA[[#This Row],[Fault Time]])*24,"")</f>
        <v>9.8999999999999986</v>
      </c>
      <c r="AH435" s="110" t="s">
        <v>2686</v>
      </c>
      <c r="AI435" s="79" t="s">
        <v>422</v>
      </c>
      <c r="AJ435" s="68">
        <f>IFERROR(PA[[#This Row],[Breakdown Time]]*PA[[#This Row],[Plant Equivalent Weightage]],"")</f>
        <v>9.3389258440244568E-4</v>
      </c>
      <c r="AK435" s="117">
        <v>2.21</v>
      </c>
      <c r="AL435" s="116">
        <f>IF(PA[[#This Row],[Lost PoA(Wh/m2)]]&gt;0,_xlfn.XLOOKUP($B435,'Daily KPI'!$A:$A,'Daily KPI'!$AE:$AE)*PA[[#This Row],[Lost PoA(Wh/m2)]]*U435,0)</f>
        <v>58.68188869645887</v>
      </c>
      <c r="AM435" s="176" t="s">
        <v>2697</v>
      </c>
    </row>
    <row r="436" spans="1:39" ht="14" customHeight="1">
      <c r="A436" s="177">
        <f t="shared" si="7"/>
        <v>433</v>
      </c>
      <c r="B436" s="185">
        <v>45857</v>
      </c>
      <c r="C436" s="178" t="s">
        <v>477</v>
      </c>
      <c r="D436" s="6">
        <f>YEAR(PA[[#This Row],[Date]])</f>
        <v>2025</v>
      </c>
      <c r="E436" s="178" t="s">
        <v>361</v>
      </c>
      <c r="F436" s="178" t="s">
        <v>361</v>
      </c>
      <c r="G436" s="179">
        <v>45839</v>
      </c>
      <c r="H436" s="176">
        <f>DAY(EOMONTH(PA[[#This Row],[Month Year]],0))</f>
        <v>31</v>
      </c>
      <c r="I436" s="180">
        <f>VLOOKUP(PA[[#This Row],[Date]],Raw_Data[#All],9,0)</f>
        <v>0.27847222222222223</v>
      </c>
      <c r="J436" s="180">
        <f>VLOOKUP(PA[[#This Row],[Date]],Raw_Data[#All],10,0)</f>
        <v>0.69097222222222221</v>
      </c>
      <c r="K436" s="68">
        <f>IFERROR((PA[[#This Row],[Sunset Time (POA&lt;20 W/m2)]]-PA[[#This Row],[Sunrise Time (POA&gt;20 W/m2)]])*24,"")</f>
        <v>9.8999999999999986</v>
      </c>
      <c r="L436" s="178" t="s">
        <v>439</v>
      </c>
      <c r="M436" s="178" t="s">
        <v>401</v>
      </c>
      <c r="N436" s="178" t="s">
        <v>395</v>
      </c>
      <c r="O436" s="178" t="s">
        <v>403</v>
      </c>
      <c r="P436" s="178" t="s">
        <v>404</v>
      </c>
      <c r="Q436" s="178"/>
      <c r="R436" s="6">
        <f>IF((PA[[#This Row],[String Type(If String BD)]]&amp;PA[[#This Row],[Equipment (If any BD other than PV  array and inv)]])="",1,0)</f>
        <v>0</v>
      </c>
      <c r="S436" s="6">
        <f>IF(PA[[#This Row],[String Type(If String BD)]]="",1,0)</f>
        <v>0</v>
      </c>
      <c r="T4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6" s="68">
        <f>IFERROR(VLOOKUP(PA[[#This Row],[Affected Equipment ]],'Basic Data '!$A$1:$B$1846,2,0),"")</f>
        <v>31.32</v>
      </c>
      <c r="V436" s="143">
        <f>IFERROR(VLOOKUP(PA[[#This Row],[Affected Equipment ]],'Basic Data '!$A$1:$C$1846,3,0),"")</f>
        <v>9.3467147730019601E-5</v>
      </c>
      <c r="W436" s="178" t="s">
        <v>451</v>
      </c>
      <c r="X436" s="110" t="s">
        <v>2687</v>
      </c>
      <c r="Y436" s="110" t="s">
        <v>2687</v>
      </c>
      <c r="Z436" s="109">
        <v>0.27847222222222223</v>
      </c>
      <c r="AA436" s="109">
        <v>0.27847222222222223</v>
      </c>
      <c r="AB436" s="109">
        <v>0.27847222222222223</v>
      </c>
      <c r="AC436" s="109">
        <v>0.69097222222222221</v>
      </c>
      <c r="AD436" s="82">
        <f>IF(PA[[#This Row],[Acknowledgement Time ]]="NA","",(PA[[#This Row],[Acknowledgement Time ]]-PA[[#This Row],[Fault Time]])*24)</f>
        <v>0</v>
      </c>
      <c r="AE436" s="82">
        <f>IF(PA[[#This Row],[Work Start time on Fault]]="NA","",(PA[[#This Row],[Work Start time on Fault]]-PA[[#This Row],[Fault Time]])*24)</f>
        <v>0</v>
      </c>
      <c r="AF436" s="111">
        <f>IF(PA[[#This Row],[Status]]="Open","",(PA[[#This Row],[Work Completion time on fault]]-PA[[#This Row],[Fault Time]])*24)</f>
        <v>9.8999999999999986</v>
      </c>
      <c r="AG436" s="82">
        <f>IFERROR((PA[[#This Row],[Work Completion time on fault]]-PA[[#This Row],[Fault Time]])*24,"")</f>
        <v>9.8999999999999986</v>
      </c>
      <c r="AH436" s="110" t="s">
        <v>2687</v>
      </c>
      <c r="AI436" s="79" t="s">
        <v>422</v>
      </c>
      <c r="AJ436" s="68">
        <f>IFERROR(PA[[#This Row],[Breakdown Time]]*PA[[#This Row],[Plant Equivalent Weightage]],"")</f>
        <v>9.2532476252719389E-4</v>
      </c>
      <c r="AK436" s="117">
        <v>2.2400000000000002</v>
      </c>
      <c r="AL436" s="116">
        <f>IF(PA[[#This Row],[Lost PoA(Wh/m2)]]&gt;0,_xlfn.XLOOKUP($B436,'Daily KPI'!$A:$A,'Daily KPI'!$AE:$AE)*PA[[#This Row],[Lost PoA(Wh/m2)]]*U436,0)</f>
        <v>58.932801334415423</v>
      </c>
      <c r="AM436" s="176" t="s">
        <v>2697</v>
      </c>
    </row>
    <row r="437" spans="1:39" ht="14" customHeight="1">
      <c r="A437" s="177">
        <f t="shared" si="7"/>
        <v>434</v>
      </c>
      <c r="B437" s="185">
        <v>45857</v>
      </c>
      <c r="C437" s="178" t="s">
        <v>477</v>
      </c>
      <c r="D437" s="6">
        <f>YEAR(PA[[#This Row],[Date]])</f>
        <v>2025</v>
      </c>
      <c r="E437" s="178" t="s">
        <v>361</v>
      </c>
      <c r="F437" s="178" t="s">
        <v>361</v>
      </c>
      <c r="G437" s="179">
        <v>45839</v>
      </c>
      <c r="H437" s="176">
        <f>DAY(EOMONTH(PA[[#This Row],[Month Year]],0))</f>
        <v>31</v>
      </c>
      <c r="I437" s="180">
        <f>VLOOKUP(PA[[#This Row],[Date]],Raw_Data[#All],9,0)</f>
        <v>0.27847222222222223</v>
      </c>
      <c r="J437" s="180">
        <f>VLOOKUP(PA[[#This Row],[Date]],Raw_Data[#All],10,0)</f>
        <v>0.69097222222222221</v>
      </c>
      <c r="K437" s="68">
        <f>IFERROR((PA[[#This Row],[Sunset Time (POA&lt;20 W/m2)]]-PA[[#This Row],[Sunrise Time (POA&gt;20 W/m2)]])*24,"")</f>
        <v>9.8999999999999986</v>
      </c>
      <c r="L437" s="178" t="s">
        <v>423</v>
      </c>
      <c r="M437" s="178" t="s">
        <v>414</v>
      </c>
      <c r="N437" s="178" t="s">
        <v>402</v>
      </c>
      <c r="O437" s="178" t="s">
        <v>417</v>
      </c>
      <c r="P437" s="178" t="s">
        <v>429</v>
      </c>
      <c r="Q437" s="178"/>
      <c r="R437" s="6">
        <f>IF((PA[[#This Row],[String Type(If String BD)]]&amp;PA[[#This Row],[Equipment (If any BD other than PV  array and inv)]])="",1,0)</f>
        <v>0</v>
      </c>
      <c r="S437" s="6">
        <f>IF(PA[[#This Row],[String Type(If String BD)]]="",1,0)</f>
        <v>0</v>
      </c>
      <c r="T4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7" s="68">
        <f>IFERROR(VLOOKUP(PA[[#This Row],[Affected Equipment ]],'Basic Data '!$A$1:$B$1846,2,0),"")</f>
        <v>15.66</v>
      </c>
      <c r="V437" s="143">
        <f>IFERROR(VLOOKUP(PA[[#This Row],[Affected Equipment ]],'Basic Data '!$A$1:$C$1846,3,0),"")</f>
        <v>4.6733573865009801E-5</v>
      </c>
      <c r="W437" s="178" t="s">
        <v>451</v>
      </c>
      <c r="X437" s="110" t="s">
        <v>2689</v>
      </c>
      <c r="Y437" s="110" t="s">
        <v>2689</v>
      </c>
      <c r="Z437" s="109">
        <v>0.27847222222222223</v>
      </c>
      <c r="AA437" s="109">
        <v>0.27847222222222223</v>
      </c>
      <c r="AB437" s="109">
        <v>0.27847222222222223</v>
      </c>
      <c r="AC437" s="109">
        <v>0.69097222222222221</v>
      </c>
      <c r="AD437" s="82">
        <f>IF(PA[[#This Row],[Acknowledgement Time ]]="NA","",(PA[[#This Row],[Acknowledgement Time ]]-PA[[#This Row],[Fault Time]])*24)</f>
        <v>0</v>
      </c>
      <c r="AE437" s="82">
        <f>IF(PA[[#This Row],[Work Start time on Fault]]="NA","",(PA[[#This Row],[Work Start time on Fault]]-PA[[#This Row],[Fault Time]])*24)</f>
        <v>0</v>
      </c>
      <c r="AF437" s="111">
        <f>IF(PA[[#This Row],[Status]]="Open","",(PA[[#This Row],[Work Completion time on fault]]-PA[[#This Row],[Fault Time]])*24)</f>
        <v>9.8999999999999986</v>
      </c>
      <c r="AG437" s="82">
        <f>IFERROR((PA[[#This Row],[Work Completion time on fault]]-PA[[#This Row],[Fault Time]])*24,"")</f>
        <v>9.8999999999999986</v>
      </c>
      <c r="AH437" s="110" t="s">
        <v>2689</v>
      </c>
      <c r="AI437" s="79" t="s">
        <v>422</v>
      </c>
      <c r="AJ437" s="68">
        <f>IFERROR(PA[[#This Row],[Breakdown Time]]*PA[[#This Row],[Plant Equivalent Weightage]],"")</f>
        <v>4.6266238126359694E-4</v>
      </c>
      <c r="AK437" s="117">
        <v>2.2400000000000002</v>
      </c>
      <c r="AL437" s="116">
        <f>IF(PA[[#This Row],[Lost PoA(Wh/m2)]]&gt;0,_xlfn.XLOOKUP($B437,'Daily KPI'!$A:$A,'Daily KPI'!$AE:$AE)*PA[[#This Row],[Lost PoA(Wh/m2)]]*U437,0)</f>
        <v>29.466400667207711</v>
      </c>
      <c r="AM437" s="176" t="s">
        <v>2697</v>
      </c>
    </row>
    <row r="438" spans="1:39" ht="14" customHeight="1">
      <c r="A438" s="177">
        <f t="shared" si="7"/>
        <v>435</v>
      </c>
      <c r="B438" s="185">
        <v>45857</v>
      </c>
      <c r="C438" s="178" t="s">
        <v>477</v>
      </c>
      <c r="D438" s="6">
        <f>YEAR(PA[[#This Row],[Date]])</f>
        <v>2025</v>
      </c>
      <c r="E438" s="178" t="s">
        <v>361</v>
      </c>
      <c r="F438" s="178" t="s">
        <v>361</v>
      </c>
      <c r="G438" s="179">
        <v>45839</v>
      </c>
      <c r="H438" s="176">
        <f>DAY(EOMONTH(PA[[#This Row],[Month Year]],0))</f>
        <v>31</v>
      </c>
      <c r="I438" s="180">
        <f>VLOOKUP(PA[[#This Row],[Date]],Raw_Data[#All],9,0)</f>
        <v>0.27847222222222223</v>
      </c>
      <c r="J438" s="180">
        <f>VLOOKUP(PA[[#This Row],[Date]],Raw_Data[#All],10,0)</f>
        <v>0.69097222222222221</v>
      </c>
      <c r="K438" s="68">
        <f>IFERROR((PA[[#This Row],[Sunset Time (POA&lt;20 W/m2)]]-PA[[#This Row],[Sunrise Time (POA&gt;20 W/m2)]])*24,"")</f>
        <v>9.8999999999999986</v>
      </c>
      <c r="L438" s="178" t="s">
        <v>428</v>
      </c>
      <c r="M438" s="178" t="s">
        <v>394</v>
      </c>
      <c r="N438" s="178" t="s">
        <v>402</v>
      </c>
      <c r="O438" s="178" t="s">
        <v>406</v>
      </c>
      <c r="P438" s="178" t="s">
        <v>429</v>
      </c>
      <c r="Q438" s="178"/>
      <c r="R438" s="6">
        <f>IF((PA[[#This Row],[String Type(If String BD)]]&amp;PA[[#This Row],[Equipment (If any BD other than PV  array and inv)]])="",1,0)</f>
        <v>0</v>
      </c>
      <c r="S438" s="6">
        <f>IF(PA[[#This Row],[String Type(If String BD)]]="",1,0)</f>
        <v>0</v>
      </c>
      <c r="T4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8" s="68">
        <f>IFERROR(VLOOKUP(PA[[#This Row],[Affected Equipment ]],'Basic Data '!$A$1:$B$1846,2,0),"")</f>
        <v>15.66</v>
      </c>
      <c r="V438" s="143">
        <f>IFERROR(VLOOKUP(PA[[#This Row],[Affected Equipment ]],'Basic Data '!$A$1:$C$1846,3,0),"")</f>
        <v>4.6733573865009801E-5</v>
      </c>
      <c r="W438" s="178" t="s">
        <v>451</v>
      </c>
      <c r="X438" s="110" t="s">
        <v>2690</v>
      </c>
      <c r="Y438" s="110" t="s">
        <v>2690</v>
      </c>
      <c r="Z438" s="109">
        <v>0.27847222222222223</v>
      </c>
      <c r="AA438" s="109">
        <v>0.27847222222222223</v>
      </c>
      <c r="AB438" s="109">
        <v>0.27847222222222223</v>
      </c>
      <c r="AC438" s="109">
        <v>0.69097222222222221</v>
      </c>
      <c r="AD438" s="82">
        <f>IF(PA[[#This Row],[Acknowledgement Time ]]="NA","",(PA[[#This Row],[Acknowledgement Time ]]-PA[[#This Row],[Fault Time]])*24)</f>
        <v>0</v>
      </c>
      <c r="AE438" s="82">
        <f>IF(PA[[#This Row],[Work Start time on Fault]]="NA","",(PA[[#This Row],[Work Start time on Fault]]-PA[[#This Row],[Fault Time]])*24)</f>
        <v>0</v>
      </c>
      <c r="AF438" s="111">
        <f>IF(PA[[#This Row],[Status]]="Open","",(PA[[#This Row],[Work Completion time on fault]]-PA[[#This Row],[Fault Time]])*24)</f>
        <v>9.8999999999999986</v>
      </c>
      <c r="AG438" s="82">
        <f>IFERROR((PA[[#This Row],[Work Completion time on fault]]-PA[[#This Row],[Fault Time]])*24,"")</f>
        <v>9.8999999999999986</v>
      </c>
      <c r="AH438" s="110" t="s">
        <v>2690</v>
      </c>
      <c r="AI438" s="79" t="s">
        <v>422</v>
      </c>
      <c r="AJ438" s="68">
        <f>IFERROR(PA[[#This Row],[Breakdown Time]]*PA[[#This Row],[Plant Equivalent Weightage]],"")</f>
        <v>4.6266238126359694E-4</v>
      </c>
      <c r="AK438" s="117">
        <v>2.2400000000000002</v>
      </c>
      <c r="AL438" s="116">
        <f>IF(PA[[#This Row],[Lost PoA(Wh/m2)]]&gt;0,_xlfn.XLOOKUP($B438,'Daily KPI'!$A:$A,'Daily KPI'!$AE:$AE)*PA[[#This Row],[Lost PoA(Wh/m2)]]*U438,0)</f>
        <v>29.466400667207711</v>
      </c>
      <c r="AM438" s="176" t="s">
        <v>2697</v>
      </c>
    </row>
    <row r="439" spans="1:39" ht="14" customHeight="1">
      <c r="A439" s="177">
        <f t="shared" si="7"/>
        <v>436</v>
      </c>
      <c r="B439" s="185">
        <v>45857</v>
      </c>
      <c r="C439" s="178" t="s">
        <v>477</v>
      </c>
      <c r="D439" s="6">
        <f>YEAR(PA[[#This Row],[Date]])</f>
        <v>2025</v>
      </c>
      <c r="E439" s="178" t="s">
        <v>361</v>
      </c>
      <c r="F439" s="178" t="s">
        <v>361</v>
      </c>
      <c r="G439" s="179">
        <v>45839</v>
      </c>
      <c r="H439" s="176">
        <f>DAY(EOMONTH(PA[[#This Row],[Month Year]],0))</f>
        <v>31</v>
      </c>
      <c r="I439" s="180">
        <f>VLOOKUP(PA[[#This Row],[Date]],Raw_Data[#All],9,0)</f>
        <v>0.27847222222222223</v>
      </c>
      <c r="J439" s="180">
        <f>VLOOKUP(PA[[#This Row],[Date]],Raw_Data[#All],10,0)</f>
        <v>0.69097222222222221</v>
      </c>
      <c r="K439" s="68">
        <f>IFERROR((PA[[#This Row],[Sunset Time (POA&lt;20 W/m2)]]-PA[[#This Row],[Sunrise Time (POA&gt;20 W/m2)]])*24,"")</f>
        <v>9.8999999999999986</v>
      </c>
      <c r="L439" s="178" t="s">
        <v>428</v>
      </c>
      <c r="M439" s="178" t="s">
        <v>408</v>
      </c>
      <c r="N439" s="178" t="s">
        <v>402</v>
      </c>
      <c r="O439" s="178" t="s">
        <v>406</v>
      </c>
      <c r="P439" s="178" t="s">
        <v>429</v>
      </c>
      <c r="Q439" s="178"/>
      <c r="R439" s="6">
        <f>IF((PA[[#This Row],[String Type(If String BD)]]&amp;PA[[#This Row],[Equipment (If any BD other than PV  array and inv)]])="",1,0)</f>
        <v>0</v>
      </c>
      <c r="S439" s="6">
        <f>IF(PA[[#This Row],[String Type(If String BD)]]="",1,0)</f>
        <v>0</v>
      </c>
      <c r="T4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9" s="68">
        <f>IFERROR(VLOOKUP(PA[[#This Row],[Affected Equipment ]],'Basic Data '!$A$1:$B$1846,2,0),"")</f>
        <v>15.66</v>
      </c>
      <c r="V439" s="143">
        <f>IFERROR(VLOOKUP(PA[[#This Row],[Affected Equipment ]],'Basic Data '!$A$1:$C$1846,3,0),"")</f>
        <v>4.6733573865009801E-5</v>
      </c>
      <c r="W439" s="178" t="s">
        <v>451</v>
      </c>
      <c r="X439" s="110" t="s">
        <v>2691</v>
      </c>
      <c r="Y439" s="110" t="s">
        <v>2691</v>
      </c>
      <c r="Z439" s="109">
        <v>0.27847222222222223</v>
      </c>
      <c r="AA439" s="109">
        <v>0.27847222222222223</v>
      </c>
      <c r="AB439" s="109">
        <v>0.27847222222222223</v>
      </c>
      <c r="AC439" s="109">
        <v>0.69097222222222221</v>
      </c>
      <c r="AD439" s="82">
        <f>IF(PA[[#This Row],[Acknowledgement Time ]]="NA","",(PA[[#This Row],[Acknowledgement Time ]]-PA[[#This Row],[Fault Time]])*24)</f>
        <v>0</v>
      </c>
      <c r="AE439" s="82">
        <f>IF(PA[[#This Row],[Work Start time on Fault]]="NA","",(PA[[#This Row],[Work Start time on Fault]]-PA[[#This Row],[Fault Time]])*24)</f>
        <v>0</v>
      </c>
      <c r="AF439" s="111">
        <f>IF(PA[[#This Row],[Status]]="Open","",(PA[[#This Row],[Work Completion time on fault]]-PA[[#This Row],[Fault Time]])*24)</f>
        <v>9.8999999999999986</v>
      </c>
      <c r="AG439" s="82">
        <f>IFERROR((PA[[#This Row],[Work Completion time on fault]]-PA[[#This Row],[Fault Time]])*24,"")</f>
        <v>9.8999999999999986</v>
      </c>
      <c r="AH439" s="110" t="s">
        <v>2691</v>
      </c>
      <c r="AI439" s="79" t="s">
        <v>422</v>
      </c>
      <c r="AJ439" s="68">
        <f>IFERROR(PA[[#This Row],[Breakdown Time]]*PA[[#This Row],[Plant Equivalent Weightage]],"")</f>
        <v>4.6266238126359694E-4</v>
      </c>
      <c r="AK439" s="117">
        <v>2.2400000000000002</v>
      </c>
      <c r="AL439" s="116">
        <f>IF(PA[[#This Row],[Lost PoA(Wh/m2)]]&gt;0,_xlfn.XLOOKUP($B439,'Daily KPI'!$A:$A,'Daily KPI'!$AE:$AE)*PA[[#This Row],[Lost PoA(Wh/m2)]]*U439,0)</f>
        <v>29.466400667207711</v>
      </c>
      <c r="AM439" s="176" t="s">
        <v>2697</v>
      </c>
    </row>
    <row r="440" spans="1:39" ht="14" customHeight="1">
      <c r="A440" s="177">
        <f t="shared" si="7"/>
        <v>437</v>
      </c>
      <c r="B440" s="185">
        <v>45857</v>
      </c>
      <c r="C440" s="178" t="s">
        <v>477</v>
      </c>
      <c r="D440" s="18">
        <f>YEAR(PA[[#This Row],[Date]])</f>
        <v>2025</v>
      </c>
      <c r="E440" s="178" t="s">
        <v>361</v>
      </c>
      <c r="F440" s="178" t="s">
        <v>361</v>
      </c>
      <c r="G440" s="179">
        <v>45839</v>
      </c>
      <c r="H440" s="176">
        <f>DAY(EOMONTH(PA[[#This Row],[Month Year]],0))</f>
        <v>31</v>
      </c>
      <c r="I440" s="180">
        <f>VLOOKUP(PA[[#This Row],[Date]],Raw_Data[#All],9,0)</f>
        <v>0.27847222222222223</v>
      </c>
      <c r="J440" s="180">
        <f>VLOOKUP(PA[[#This Row],[Date]],Raw_Data[#All],10,0)</f>
        <v>0.69097222222222221</v>
      </c>
      <c r="K440" s="68">
        <f>IFERROR((PA[[#This Row],[Sunset Time (POA&lt;20 W/m2)]]-PA[[#This Row],[Sunrise Time (POA&gt;20 W/m2)]])*24,"")</f>
        <v>9.8999999999999986</v>
      </c>
      <c r="L440" s="178" t="s">
        <v>439</v>
      </c>
      <c r="M440" s="178" t="s">
        <v>401</v>
      </c>
      <c r="N440" s="178" t="s">
        <v>402</v>
      </c>
      <c r="O440" s="178" t="s">
        <v>417</v>
      </c>
      <c r="P440" s="178" t="s">
        <v>429</v>
      </c>
      <c r="Q440" s="178"/>
      <c r="R440" s="18">
        <f>IF((PA[[#This Row],[String Type(If String BD)]]&amp;PA[[#This Row],[Equipment (If any BD other than PV  array and inv)]])="",1,0)</f>
        <v>0</v>
      </c>
      <c r="S440" s="18">
        <f>IF(PA[[#This Row],[String Type(If String BD)]]="",1,0)</f>
        <v>0</v>
      </c>
      <c r="T440"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40" s="74">
        <f>IFERROR(VLOOKUP(PA[[#This Row],[Affected Equipment ]],'Basic Data '!$A$1:$B$1846,2,0),"")</f>
        <v>15.66</v>
      </c>
      <c r="V440" s="144">
        <f>IFERROR(VLOOKUP(PA[[#This Row],[Affected Equipment ]],'Basic Data '!$A$1:$C$1846,3,0),"")</f>
        <v>4.6733573865009801E-5</v>
      </c>
      <c r="W440" s="178" t="s">
        <v>451</v>
      </c>
      <c r="X440" s="110" t="s">
        <v>2692</v>
      </c>
      <c r="Y440" s="110" t="s">
        <v>2692</v>
      </c>
      <c r="Z440" s="109">
        <v>0.27847222222222223</v>
      </c>
      <c r="AA440" s="109">
        <v>0.27847222222222223</v>
      </c>
      <c r="AB440" s="109">
        <v>0.27847222222222223</v>
      </c>
      <c r="AC440" s="109">
        <v>0.69097222222222221</v>
      </c>
      <c r="AD440" s="82">
        <f>IF(PA[[#This Row],[Acknowledgement Time ]]="NA","",(PA[[#This Row],[Acknowledgement Time ]]-PA[[#This Row],[Fault Time]])*24)</f>
        <v>0</v>
      </c>
      <c r="AE440" s="82">
        <f>IF(PA[[#This Row],[Work Start time on Fault]]="NA","",(PA[[#This Row],[Work Start time on Fault]]-PA[[#This Row],[Fault Time]])*24)</f>
        <v>0</v>
      </c>
      <c r="AF440" s="111">
        <f>IF(PA[[#This Row],[Status]]="Open","",(PA[[#This Row],[Work Completion time on fault]]-PA[[#This Row],[Fault Time]])*24)</f>
        <v>9.8999999999999986</v>
      </c>
      <c r="AG440" s="82">
        <f>IFERROR((PA[[#This Row],[Work Completion time on fault]]-PA[[#This Row],[Fault Time]])*24,"")</f>
        <v>9.8999999999999986</v>
      </c>
      <c r="AH440" s="110" t="s">
        <v>2692</v>
      </c>
      <c r="AI440" s="79" t="s">
        <v>422</v>
      </c>
      <c r="AJ440" s="74">
        <f>IFERROR(PA[[#This Row],[Breakdown Time]]*PA[[#This Row],[Plant Equivalent Weightage]],"")</f>
        <v>4.6266238126359694E-4</v>
      </c>
      <c r="AK440" s="117">
        <v>2.2400000000000002</v>
      </c>
      <c r="AL440" s="258">
        <f>IF(PA[[#This Row],[Lost PoA(Wh/m2)]]&gt;0,_xlfn.XLOOKUP($B440,'Daily KPI'!$A:$A,'Daily KPI'!$AE:$AE)*PA[[#This Row],[Lost PoA(Wh/m2)]]*U440,0)</f>
        <v>29.466400667207711</v>
      </c>
      <c r="AM440" s="176" t="s">
        <v>2697</v>
      </c>
    </row>
    <row r="441" spans="1:39" ht="14" customHeight="1">
      <c r="A441" s="177">
        <f t="shared" si="7"/>
        <v>438</v>
      </c>
      <c r="B441" s="185">
        <v>45857</v>
      </c>
      <c r="C441" s="178" t="s">
        <v>477</v>
      </c>
      <c r="D441" s="6">
        <f>YEAR(PA[[#This Row],[Date]])</f>
        <v>2025</v>
      </c>
      <c r="E441" s="178" t="s">
        <v>361</v>
      </c>
      <c r="F441" s="178" t="s">
        <v>361</v>
      </c>
      <c r="G441" s="179">
        <v>45839</v>
      </c>
      <c r="H441" s="176">
        <f>DAY(EOMONTH(PA[[#This Row],[Month Year]],0))</f>
        <v>31</v>
      </c>
      <c r="I441" s="180">
        <f>VLOOKUP(PA[[#This Row],[Date]],Raw_Data[#All],9,0)</f>
        <v>0.27847222222222223</v>
      </c>
      <c r="J441" s="180">
        <f>VLOOKUP(PA[[#This Row],[Date]],Raw_Data[#All],10,0)</f>
        <v>0.69097222222222221</v>
      </c>
      <c r="K441" s="68">
        <f>IFERROR((PA[[#This Row],[Sunset Time (POA&lt;20 W/m2)]]-PA[[#This Row],[Sunrise Time (POA&gt;20 W/m2)]])*24,"")</f>
        <v>9.8999999999999986</v>
      </c>
      <c r="L441" s="178" t="s">
        <v>419</v>
      </c>
      <c r="M441" s="178" t="s">
        <v>414</v>
      </c>
      <c r="N441" s="178" t="s">
        <v>395</v>
      </c>
      <c r="O441" s="178"/>
      <c r="P441" s="178"/>
      <c r="Q441" s="178"/>
      <c r="R441" s="6">
        <f>IF((PA[[#This Row],[String Type(If String BD)]]&amp;PA[[#This Row],[Equipment (If any BD other than PV  array and inv)]])="",1,0)</f>
        <v>1</v>
      </c>
      <c r="S441" s="6">
        <f>IF(PA[[#This Row],[String Type(If String BD)]]="",1,0)</f>
        <v>1</v>
      </c>
      <c r="T4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IS6INV3M2</v>
      </c>
      <c r="U441" s="68">
        <f>IFERROR(VLOOKUP(PA[[#This Row],[Affected Equipment ]],'Basic Data '!$A$1:$B$1846,2,0),"")</f>
        <v>2380.3200000000002</v>
      </c>
      <c r="V441" s="143">
        <f>IFERROR(VLOOKUP(PA[[#This Row],[Affected Equipment ]],'Basic Data '!$A$1:$C$1846,3,0),"")</f>
        <v>7.1035032274814908E-3</v>
      </c>
      <c r="W441" s="178" t="s">
        <v>427</v>
      </c>
      <c r="X441" s="110" t="s">
        <v>2677</v>
      </c>
      <c r="Y441" s="110" t="s">
        <v>2677</v>
      </c>
      <c r="Z441" s="109">
        <v>0.27847222222222223</v>
      </c>
      <c r="AA441" s="109">
        <v>0.27847222222222223</v>
      </c>
      <c r="AB441" s="109">
        <v>0.29166666666666669</v>
      </c>
      <c r="AC441" s="109">
        <v>0.30763888888888891</v>
      </c>
      <c r="AD441" s="82">
        <f>IF(PA[[#This Row],[Acknowledgement Time ]]="NA","",(PA[[#This Row],[Acknowledgement Time ]]-PA[[#This Row],[Fault Time]])*24)</f>
        <v>0</v>
      </c>
      <c r="AE441" s="82">
        <f>IF(PA[[#This Row],[Work Start time on Fault]]="NA","",(PA[[#This Row],[Work Start time on Fault]]-PA[[#This Row],[Fault Time]])*24)</f>
        <v>0.31666666666666687</v>
      </c>
      <c r="AF441" s="111">
        <f>IF(PA[[#This Row],[Status]]="Open","",(PA[[#This Row],[Work Completion time on fault]]-PA[[#This Row],[Fault Time]])*24)</f>
        <v>0.70000000000000018</v>
      </c>
      <c r="AG441" s="82">
        <f>IFERROR((PA[[#This Row],[Work Completion time on fault]]-PA[[#This Row],[Fault Time]])*24,"")</f>
        <v>0.70000000000000018</v>
      </c>
      <c r="AH441" s="110" t="s">
        <v>2681</v>
      </c>
      <c r="AI441" s="79" t="s">
        <v>422</v>
      </c>
      <c r="AJ441" s="68">
        <f>IFERROR(PA[[#This Row],[Breakdown Time]]*PA[[#This Row],[Plant Equivalent Weightage]],"")</f>
        <v>4.9724522592370446E-3</v>
      </c>
      <c r="AK441" s="117">
        <v>2.5744000000000003E-2</v>
      </c>
      <c r="AL441" s="116">
        <f>IF(PA[[#This Row],[Lost PoA(Wh/m2)]]&gt;0,_xlfn.XLOOKUP($B441,'Daily KPI'!$A:$A,'Daily KPI'!$AE:$AE)*PA[[#This Row],[Lost PoA(Wh/m2)]]*U441,0)</f>
        <v>51.475276274126117</v>
      </c>
      <c r="AM441" s="176" t="s">
        <v>2698</v>
      </c>
    </row>
    <row r="442" spans="1:39" ht="14" customHeight="1">
      <c r="A442" s="177">
        <f t="shared" si="7"/>
        <v>439</v>
      </c>
      <c r="B442" s="185">
        <v>45857</v>
      </c>
      <c r="C442" s="178" t="s">
        <v>477</v>
      </c>
      <c r="D442" s="6">
        <f>YEAR(PA[[#This Row],[Date]])</f>
        <v>2025</v>
      </c>
      <c r="E442" s="178" t="s">
        <v>361</v>
      </c>
      <c r="F442" s="178" t="s">
        <v>361</v>
      </c>
      <c r="G442" s="179">
        <v>45839</v>
      </c>
      <c r="H442" s="176">
        <f>DAY(EOMONTH(PA[[#This Row],[Month Year]],0))</f>
        <v>31</v>
      </c>
      <c r="I442" s="180">
        <f>VLOOKUP(PA[[#This Row],[Date]],Raw_Data[#All],9,0)</f>
        <v>0.27847222222222223</v>
      </c>
      <c r="J442" s="180">
        <f>VLOOKUP(PA[[#This Row],[Date]],Raw_Data[#All],10,0)</f>
        <v>0.69097222222222221</v>
      </c>
      <c r="K442" s="68">
        <f>IFERROR((PA[[#This Row],[Sunset Time (POA&lt;20 W/m2)]]-PA[[#This Row],[Sunrise Time (POA&gt;20 W/m2)]])*24,"")</f>
        <v>9.8999999999999986</v>
      </c>
      <c r="L442" s="178" t="s">
        <v>428</v>
      </c>
      <c r="M442" s="178" t="s">
        <v>414</v>
      </c>
      <c r="N442" s="178" t="s">
        <v>395</v>
      </c>
      <c r="O442" s="178"/>
      <c r="P442" s="178"/>
      <c r="Q442" s="178"/>
      <c r="R442" s="6">
        <f>IF((PA[[#This Row],[String Type(If String BD)]]&amp;PA[[#This Row],[Equipment (If any BD other than PV  array and inv)]])="",1,0)</f>
        <v>1</v>
      </c>
      <c r="S442" s="6">
        <f>IF(PA[[#This Row],[String Type(If String BD)]]="",1,0)</f>
        <v>1</v>
      </c>
      <c r="T4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442" s="68">
        <f>IFERROR(VLOOKUP(PA[[#This Row],[Affected Equipment ]],'Basic Data '!$A$1:$B$1846,2,0),"")</f>
        <v>2004.4799999999998</v>
      </c>
      <c r="V442" s="143">
        <f>IFERROR(VLOOKUP(PA[[#This Row],[Affected Equipment ]],'Basic Data '!$A$1:$C$1846,3,0),"")</f>
        <v>5.9818974547212545E-3</v>
      </c>
      <c r="W442" s="178" t="s">
        <v>427</v>
      </c>
      <c r="X442" s="110" t="s">
        <v>2677</v>
      </c>
      <c r="Y442" s="110" t="s">
        <v>2677</v>
      </c>
      <c r="Z442" s="109">
        <v>0.27847222222222223</v>
      </c>
      <c r="AA442" s="109">
        <v>0.27847222222222223</v>
      </c>
      <c r="AB442" s="109">
        <v>0.29166666666666669</v>
      </c>
      <c r="AC442" s="109">
        <v>0.30902777777777779</v>
      </c>
      <c r="AD442" s="82">
        <f>IF(PA[[#This Row],[Acknowledgement Time ]]="NA","",(PA[[#This Row],[Acknowledgement Time ]]-PA[[#This Row],[Fault Time]])*24)</f>
        <v>0</v>
      </c>
      <c r="AE442" s="82">
        <f>IF(PA[[#This Row],[Work Start time on Fault]]="NA","",(PA[[#This Row],[Work Start time on Fault]]-PA[[#This Row],[Fault Time]])*24)</f>
        <v>0.31666666666666687</v>
      </c>
      <c r="AF442" s="111">
        <f>IF(PA[[#This Row],[Status]]="Open","",(PA[[#This Row],[Work Completion time on fault]]-PA[[#This Row],[Fault Time]])*24)</f>
        <v>0.73333333333333339</v>
      </c>
      <c r="AG442" s="82">
        <f>IFERROR((PA[[#This Row],[Work Completion time on fault]]-PA[[#This Row],[Fault Time]])*24,"")</f>
        <v>0.73333333333333339</v>
      </c>
      <c r="AH442" s="110" t="s">
        <v>2681</v>
      </c>
      <c r="AI442" s="79" t="s">
        <v>422</v>
      </c>
      <c r="AJ442" s="68">
        <f>IFERROR(PA[[#This Row],[Breakdown Time]]*PA[[#This Row],[Plant Equivalent Weightage]],"")</f>
        <v>4.3867248001289204E-3</v>
      </c>
      <c r="AK442" s="117">
        <v>2.889733333333333E-2</v>
      </c>
      <c r="AL442" s="116">
        <f>IF(PA[[#This Row],[Lost PoA(Wh/m2)]]&gt;0,_xlfn.XLOOKUP($B442,'Daily KPI'!$A:$A,'Daily KPI'!$AE:$AE)*PA[[#This Row],[Lost PoA(Wh/m2)]]*U442,0)</f>
        <v>48.657165840791812</v>
      </c>
      <c r="AM442" s="176" t="s">
        <v>2698</v>
      </c>
    </row>
    <row r="443" spans="1:39" ht="14" customHeight="1">
      <c r="A443" s="177">
        <f t="shared" si="7"/>
        <v>440</v>
      </c>
      <c r="B443" s="185">
        <v>45857</v>
      </c>
      <c r="C443" s="178" t="s">
        <v>477</v>
      </c>
      <c r="D443" s="6">
        <f>YEAR(PA[[#This Row],[Date]])</f>
        <v>2025</v>
      </c>
      <c r="E443" s="178" t="s">
        <v>361</v>
      </c>
      <c r="F443" s="178" t="s">
        <v>361</v>
      </c>
      <c r="G443" s="179">
        <v>45839</v>
      </c>
      <c r="H443" s="176">
        <f>DAY(EOMONTH(PA[[#This Row],[Month Year]],0))</f>
        <v>31</v>
      </c>
      <c r="I443" s="180">
        <f>VLOOKUP(PA[[#This Row],[Date]],Raw_Data[#All],9,0)</f>
        <v>0.27847222222222223</v>
      </c>
      <c r="J443" s="180">
        <f>VLOOKUP(PA[[#This Row],[Date]],Raw_Data[#All],10,0)</f>
        <v>0.69097222222222221</v>
      </c>
      <c r="K443" s="68">
        <f>IFERROR((PA[[#This Row],[Sunset Time (POA&lt;20 W/m2)]]-PA[[#This Row],[Sunrise Time (POA&gt;20 W/m2)]])*24,"")</f>
        <v>9.8999999999999986</v>
      </c>
      <c r="L443" s="178" t="s">
        <v>426</v>
      </c>
      <c r="M443" s="178" t="s">
        <v>408</v>
      </c>
      <c r="N443" s="178" t="s">
        <v>402</v>
      </c>
      <c r="O443" s="178"/>
      <c r="P443" s="178"/>
      <c r="Q443" s="178"/>
      <c r="R443" s="6">
        <f>IF((PA[[#This Row],[String Type(If String BD)]]&amp;PA[[#This Row],[Equipment (If any BD other than PV  array and inv)]])="",1,0)</f>
        <v>1</v>
      </c>
      <c r="S443" s="6">
        <f>IF(PA[[#This Row],[String Type(If String BD)]]="",1,0)</f>
        <v>1</v>
      </c>
      <c r="T4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43" s="68">
        <f>IFERROR(VLOOKUP(PA[[#This Row],[Affected Equipment ]],'Basic Data '!$A$1:$B$1846,2,0),"")</f>
        <v>2004.4799999999998</v>
      </c>
      <c r="V443" s="143">
        <f>IFERROR(VLOOKUP(PA[[#This Row],[Affected Equipment ]],'Basic Data '!$A$1:$C$1846,3,0),"")</f>
        <v>5.9818974547212545E-3</v>
      </c>
      <c r="W443" s="178" t="s">
        <v>427</v>
      </c>
      <c r="X443" s="110" t="s">
        <v>2677</v>
      </c>
      <c r="Y443" s="110" t="s">
        <v>2677</v>
      </c>
      <c r="Z443" s="109">
        <v>0.27847222222222223</v>
      </c>
      <c r="AA443" s="109">
        <v>0.27847222222222223</v>
      </c>
      <c r="AB443" s="109">
        <v>0.3125</v>
      </c>
      <c r="AC443" s="109">
        <v>0.32430555555555557</v>
      </c>
      <c r="AD443" s="82">
        <f>IF(PA[[#This Row],[Acknowledgement Time ]]="NA","",(PA[[#This Row],[Acknowledgement Time ]]-PA[[#This Row],[Fault Time]])*24)</f>
        <v>0</v>
      </c>
      <c r="AE443" s="82">
        <f>IF(PA[[#This Row],[Work Start time on Fault]]="NA","",(PA[[#This Row],[Work Start time on Fault]]-PA[[#This Row],[Fault Time]])*24)</f>
        <v>0.81666666666666643</v>
      </c>
      <c r="AF443" s="111">
        <f>IF(PA[[#This Row],[Status]]="Open","",(PA[[#This Row],[Work Completion time on fault]]-PA[[#This Row],[Fault Time]])*24)</f>
        <v>1.1000000000000001</v>
      </c>
      <c r="AG443" s="82">
        <f>IFERROR((PA[[#This Row],[Work Completion time on fault]]-PA[[#This Row],[Fault Time]])*24,"")</f>
        <v>1.1000000000000001</v>
      </c>
      <c r="AH443" s="110" t="s">
        <v>2681</v>
      </c>
      <c r="AI443" s="79" t="s">
        <v>422</v>
      </c>
      <c r="AJ443" s="68">
        <f>IFERROR(PA[[#This Row],[Breakdown Time]]*PA[[#This Row],[Plant Equivalent Weightage]],"")</f>
        <v>6.5800872001933802E-3</v>
      </c>
      <c r="AK443" s="117">
        <v>6.2124666666666668E-2</v>
      </c>
      <c r="AL443" s="116">
        <f>IF(PA[[#This Row],[Lost PoA(Wh/m2)]]&gt;0,_xlfn.XLOOKUP($B443,'Daily KPI'!$A:$A,'Daily KPI'!$AE:$AE)*PA[[#This Row],[Lost PoA(Wh/m2)]]*U443,0)</f>
        <v>104.60516110381275</v>
      </c>
      <c r="AM443" s="176" t="s">
        <v>2698</v>
      </c>
    </row>
    <row r="444" spans="1:39" ht="14" customHeight="1">
      <c r="A444" s="177">
        <f t="shared" si="7"/>
        <v>441</v>
      </c>
      <c r="B444" s="185">
        <v>45857</v>
      </c>
      <c r="C444" s="178" t="s">
        <v>477</v>
      </c>
      <c r="D444" s="6">
        <f>YEAR(PA[[#This Row],[Date]])</f>
        <v>2025</v>
      </c>
      <c r="E444" s="178" t="s">
        <v>361</v>
      </c>
      <c r="F444" s="178" t="s">
        <v>361</v>
      </c>
      <c r="G444" s="179">
        <v>45839</v>
      </c>
      <c r="H444" s="176">
        <f>DAY(EOMONTH(PA[[#This Row],[Month Year]],0))</f>
        <v>31</v>
      </c>
      <c r="I444" s="180">
        <f>VLOOKUP(PA[[#This Row],[Date]],Raw_Data[#All],9,0)</f>
        <v>0.27847222222222223</v>
      </c>
      <c r="J444" s="180">
        <f>VLOOKUP(PA[[#This Row],[Date]],Raw_Data[#All],10,0)</f>
        <v>0.69097222222222221</v>
      </c>
      <c r="K444" s="68">
        <f>IFERROR((PA[[#This Row],[Sunset Time (POA&lt;20 W/m2)]]-PA[[#This Row],[Sunrise Time (POA&gt;20 W/m2)]])*24,"")</f>
        <v>9.8999999999999986</v>
      </c>
      <c r="L444" s="178" t="s">
        <v>426</v>
      </c>
      <c r="M444" s="178" t="s">
        <v>401</v>
      </c>
      <c r="N444" s="178" t="s">
        <v>402</v>
      </c>
      <c r="O444" s="178"/>
      <c r="P444" s="178"/>
      <c r="Q444" s="178"/>
      <c r="R444" s="6">
        <f>IF((PA[[#This Row],[String Type(If String BD)]]&amp;PA[[#This Row],[Equipment (If any BD other than PV  array and inv)]])="",1,0)</f>
        <v>1</v>
      </c>
      <c r="S444" s="6">
        <f>IF(PA[[#This Row],[String Type(If String BD)]]="",1,0)</f>
        <v>1</v>
      </c>
      <c r="T4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44" s="68">
        <f>IFERROR(VLOOKUP(PA[[#This Row],[Affected Equipment ]],'Basic Data '!$A$1:$B$1846,2,0),"")</f>
        <v>2192.4</v>
      </c>
      <c r="V444" s="143">
        <f>IFERROR(VLOOKUP(PA[[#This Row],[Affected Equipment ]],'Basic Data '!$A$1:$C$1846,3,0),"")</f>
        <v>6.5427003411013731E-3</v>
      </c>
      <c r="W444" s="178" t="s">
        <v>427</v>
      </c>
      <c r="X444" s="110" t="s">
        <v>2677</v>
      </c>
      <c r="Y444" s="110" t="s">
        <v>2677</v>
      </c>
      <c r="Z444" s="109">
        <v>0.27847222222222223</v>
      </c>
      <c r="AA444" s="109">
        <v>0.27847222222222223</v>
      </c>
      <c r="AB444" s="109">
        <v>0.3125</v>
      </c>
      <c r="AC444" s="109">
        <v>0.32569444444444445</v>
      </c>
      <c r="AD444" s="82">
        <f>IF(PA[[#This Row],[Acknowledgement Time ]]="NA","",(PA[[#This Row],[Acknowledgement Time ]]-PA[[#This Row],[Fault Time]])*24)</f>
        <v>0</v>
      </c>
      <c r="AE444" s="82">
        <f>IF(PA[[#This Row],[Work Start time on Fault]]="NA","",(PA[[#This Row],[Work Start time on Fault]]-PA[[#This Row],[Fault Time]])*24)</f>
        <v>0.81666666666666643</v>
      </c>
      <c r="AF444" s="111">
        <f>IF(PA[[#This Row],[Status]]="Open","",(PA[[#This Row],[Work Completion time on fault]]-PA[[#This Row],[Fault Time]])*24)</f>
        <v>1.1333333333333333</v>
      </c>
      <c r="AG444" s="82">
        <f>IFERROR((PA[[#This Row],[Work Completion time on fault]]-PA[[#This Row],[Fault Time]])*24,"")</f>
        <v>1.1333333333333333</v>
      </c>
      <c r="AH444" s="110" t="s">
        <v>2681</v>
      </c>
      <c r="AI444" s="79" t="s">
        <v>422</v>
      </c>
      <c r="AJ444" s="68">
        <f>IFERROR(PA[[#This Row],[Breakdown Time]]*PA[[#This Row],[Plant Equivalent Weightage]],"")</f>
        <v>7.4150603865815561E-3</v>
      </c>
      <c r="AK444" s="117">
        <v>6.5842999999999999E-2</v>
      </c>
      <c r="AL444" s="116">
        <f>IF(PA[[#This Row],[Lost PoA(Wh/m2)]]&gt;0,_xlfn.XLOOKUP($B444,'Daily KPI'!$A:$A,'Daily KPI'!$AE:$AE)*PA[[#This Row],[Lost PoA(Wh/m2)]]*U444,0)</f>
        <v>121.25976369568482</v>
      </c>
      <c r="AM444" s="176" t="s">
        <v>2698</v>
      </c>
    </row>
    <row r="445" spans="1:39" ht="14" customHeight="1">
      <c r="A445" s="177">
        <f t="shared" si="7"/>
        <v>442</v>
      </c>
      <c r="B445" s="185">
        <v>45857</v>
      </c>
      <c r="C445" s="178" t="s">
        <v>477</v>
      </c>
      <c r="D445" s="6">
        <f>YEAR(PA[[#This Row],[Date]])</f>
        <v>2025</v>
      </c>
      <c r="E445" s="178" t="s">
        <v>361</v>
      </c>
      <c r="F445" s="178" t="s">
        <v>361</v>
      </c>
      <c r="G445" s="179">
        <v>45839</v>
      </c>
      <c r="H445" s="176">
        <f>DAY(EOMONTH(PA[[#This Row],[Month Year]],0))</f>
        <v>31</v>
      </c>
      <c r="I445" s="180">
        <f>VLOOKUP(PA[[#This Row],[Date]],Raw_Data[#All],9,0)</f>
        <v>0.27847222222222223</v>
      </c>
      <c r="J445" s="180">
        <f>VLOOKUP(PA[[#This Row],[Date]],Raw_Data[#All],10,0)</f>
        <v>0.69097222222222221</v>
      </c>
      <c r="K445" s="68">
        <f>IFERROR((PA[[#This Row],[Sunset Time (POA&lt;20 W/m2)]]-PA[[#This Row],[Sunrise Time (POA&gt;20 W/m2)]])*24,"")</f>
        <v>9.8999999999999986</v>
      </c>
      <c r="L445" s="178" t="s">
        <v>446</v>
      </c>
      <c r="M445" s="178" t="s">
        <v>394</v>
      </c>
      <c r="N445" s="178" t="s">
        <v>402</v>
      </c>
      <c r="O445" s="178"/>
      <c r="P445" s="178"/>
      <c r="Q445" s="178"/>
      <c r="R445" s="6">
        <f>IF((PA[[#This Row],[String Type(If String BD)]]&amp;PA[[#This Row],[Equipment (If any BD other than PV  array and inv)]])="",1,0)</f>
        <v>1</v>
      </c>
      <c r="S445" s="6">
        <f>IF(PA[[#This Row],[String Type(If String BD)]]="",1,0)</f>
        <v>1</v>
      </c>
      <c r="T4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IS16INV1M1</v>
      </c>
      <c r="U445" s="68">
        <f>IFERROR(VLOOKUP(PA[[#This Row],[Affected Equipment ]],'Basic Data '!$A$1:$B$1846,2,0),"")</f>
        <v>2192.4</v>
      </c>
      <c r="V445" s="143">
        <f>IFERROR(VLOOKUP(PA[[#This Row],[Affected Equipment ]],'Basic Data '!$A$1:$C$1846,3,0),"")</f>
        <v>6.5427003411013731E-3</v>
      </c>
      <c r="W445" s="178" t="s">
        <v>427</v>
      </c>
      <c r="X445" s="110" t="s">
        <v>2677</v>
      </c>
      <c r="Y445" s="110" t="s">
        <v>2677</v>
      </c>
      <c r="Z445" s="109">
        <v>0.27847222222222223</v>
      </c>
      <c r="AA445" s="109">
        <v>0.27847222222222223</v>
      </c>
      <c r="AB445" s="109">
        <v>0.3125</v>
      </c>
      <c r="AC445" s="109">
        <v>0.31736111111111109</v>
      </c>
      <c r="AD445" s="82">
        <f>IF(PA[[#This Row],[Acknowledgement Time ]]="NA","",(PA[[#This Row],[Acknowledgement Time ]]-PA[[#This Row],[Fault Time]])*24)</f>
        <v>0</v>
      </c>
      <c r="AE445" s="82">
        <f>IF(PA[[#This Row],[Work Start time on Fault]]="NA","",(PA[[#This Row],[Work Start time on Fault]]-PA[[#This Row],[Fault Time]])*24)</f>
        <v>0.81666666666666643</v>
      </c>
      <c r="AF445" s="111">
        <f>IF(PA[[#This Row],[Status]]="Open","",(PA[[#This Row],[Work Completion time on fault]]-PA[[#This Row],[Fault Time]])*24)</f>
        <v>0.93333333333333268</v>
      </c>
      <c r="AG445" s="82">
        <f>IFERROR((PA[[#This Row],[Work Completion time on fault]]-PA[[#This Row],[Fault Time]])*24,"")</f>
        <v>0.93333333333333268</v>
      </c>
      <c r="AH445" s="110" t="s">
        <v>2681</v>
      </c>
      <c r="AI445" s="79" t="s">
        <v>422</v>
      </c>
      <c r="AJ445" s="68">
        <f>IFERROR(PA[[#This Row],[Breakdown Time]]*PA[[#This Row],[Plant Equivalent Weightage]],"")</f>
        <v>6.1065203183612773E-3</v>
      </c>
      <c r="AK445" s="117">
        <v>4.4858000000000002E-2</v>
      </c>
      <c r="AL445" s="116">
        <f>IF(PA[[#This Row],[Lost PoA(Wh/m2)]]&gt;0,_xlfn.XLOOKUP($B445,'Daily KPI'!$A:$A,'Daily KPI'!$AE:$AE)*PA[[#This Row],[Lost PoA(Wh/m2)]]*U445,0)</f>
        <v>82.612737570600231</v>
      </c>
      <c r="AM445" s="176" t="s">
        <v>2698</v>
      </c>
    </row>
    <row r="446" spans="1:39" ht="14" customHeight="1">
      <c r="A446" s="177">
        <f t="shared" si="7"/>
        <v>443</v>
      </c>
      <c r="B446" s="185">
        <v>45857</v>
      </c>
      <c r="C446" s="178" t="s">
        <v>477</v>
      </c>
      <c r="D446" s="6">
        <f>YEAR(PA[[#This Row],[Date]])</f>
        <v>2025</v>
      </c>
      <c r="E446" s="178" t="s">
        <v>361</v>
      </c>
      <c r="F446" s="178" t="s">
        <v>361</v>
      </c>
      <c r="G446" s="179">
        <v>45839</v>
      </c>
      <c r="H446" s="176">
        <f>DAY(EOMONTH(PA[[#This Row],[Month Year]],0))</f>
        <v>31</v>
      </c>
      <c r="I446" s="180">
        <f>VLOOKUP(PA[[#This Row],[Date]],Raw_Data[#All],9,0)</f>
        <v>0.27847222222222223</v>
      </c>
      <c r="J446" s="180">
        <f>VLOOKUP(PA[[#This Row],[Date]],Raw_Data[#All],10,0)</f>
        <v>0.69097222222222221</v>
      </c>
      <c r="K446" s="68">
        <f>IFERROR((PA[[#This Row],[Sunset Time (POA&lt;20 W/m2)]]-PA[[#This Row],[Sunrise Time (POA&gt;20 W/m2)]])*24,"")</f>
        <v>9.8999999999999986</v>
      </c>
      <c r="L446" s="178" t="s">
        <v>446</v>
      </c>
      <c r="M446" s="178" t="s">
        <v>401</v>
      </c>
      <c r="N446" s="178" t="s">
        <v>395</v>
      </c>
      <c r="O446" s="178"/>
      <c r="P446" s="178"/>
      <c r="Q446" s="178"/>
      <c r="R446" s="6">
        <f>IF((PA[[#This Row],[String Type(If String BD)]]&amp;PA[[#This Row],[Equipment (If any BD other than PV  array and inv)]])="",1,0)</f>
        <v>1</v>
      </c>
      <c r="S446" s="6">
        <f>IF(PA[[#This Row],[String Type(If String BD)]]="",1,0)</f>
        <v>1</v>
      </c>
      <c r="T4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IS16INV4M2</v>
      </c>
      <c r="U446" s="68">
        <f>IFERROR(VLOOKUP(PA[[#This Row],[Affected Equipment ]],'Basic Data '!$A$1:$B$1846,2,0),"")</f>
        <v>1973.1599999999999</v>
      </c>
      <c r="V446" s="143">
        <f>IFERROR(VLOOKUP(PA[[#This Row],[Affected Equipment ]],'Basic Data '!$A$1:$C$1846,3,0),"")</f>
        <v>5.8884303069912346E-3</v>
      </c>
      <c r="W446" s="178" t="s">
        <v>427</v>
      </c>
      <c r="X446" s="110" t="s">
        <v>2677</v>
      </c>
      <c r="Y446" s="110" t="s">
        <v>2677</v>
      </c>
      <c r="Z446" s="109">
        <v>0.27847222222222223</v>
      </c>
      <c r="AA446" s="109">
        <v>0.27847222222222223</v>
      </c>
      <c r="AB446" s="109">
        <v>0.3125</v>
      </c>
      <c r="AC446" s="109">
        <v>0.31944444444444442</v>
      </c>
      <c r="AD446" s="82">
        <f>IF(PA[[#This Row],[Acknowledgement Time ]]="NA","",(PA[[#This Row],[Acknowledgement Time ]]-PA[[#This Row],[Fault Time]])*24)</f>
        <v>0</v>
      </c>
      <c r="AE446" s="82">
        <f>IF(PA[[#This Row],[Work Start time on Fault]]="NA","",(PA[[#This Row],[Work Start time on Fault]]-PA[[#This Row],[Fault Time]])*24)</f>
        <v>0.81666666666666643</v>
      </c>
      <c r="AF446" s="111">
        <f>IF(PA[[#This Row],[Status]]="Open","",(PA[[#This Row],[Work Completion time on fault]]-PA[[#This Row],[Fault Time]])*24)</f>
        <v>0.9833333333333325</v>
      </c>
      <c r="AG446" s="82">
        <f>IFERROR((PA[[#This Row],[Work Completion time on fault]]-PA[[#This Row],[Fault Time]])*24,"")</f>
        <v>0.9833333333333325</v>
      </c>
      <c r="AH446" s="110" t="s">
        <v>2681</v>
      </c>
      <c r="AI446" s="79" t="s">
        <v>422</v>
      </c>
      <c r="AJ446" s="68">
        <f>IFERROR(PA[[#This Row],[Breakdown Time]]*PA[[#This Row],[Plant Equivalent Weightage]],"")</f>
        <v>5.7902898018747095E-3</v>
      </c>
      <c r="AK446" s="117">
        <v>4.969133333333333E-2</v>
      </c>
      <c r="AL446" s="116">
        <f>IF(PA[[#This Row],[Lost PoA(Wh/m2)]]&gt;0,_xlfn.XLOOKUP($B446,'Daily KPI'!$A:$A,'Daily KPI'!$AE:$AE)*PA[[#This Row],[Lost PoA(Wh/m2)]]*U446,0)</f>
        <v>82.362641494937279</v>
      </c>
      <c r="AM446" s="176" t="s">
        <v>2698</v>
      </c>
    </row>
    <row r="447" spans="1:39" ht="14" customHeight="1">
      <c r="A447" s="177">
        <f t="shared" si="7"/>
        <v>444</v>
      </c>
      <c r="B447" s="260">
        <v>45858</v>
      </c>
      <c r="C447" s="178" t="s">
        <v>477</v>
      </c>
      <c r="D447" s="18">
        <f>YEAR(PA[[#This Row],[Date]])</f>
        <v>2025</v>
      </c>
      <c r="E447" s="178" t="s">
        <v>361</v>
      </c>
      <c r="F447" s="178" t="s">
        <v>361</v>
      </c>
      <c r="G447" s="179">
        <v>45839</v>
      </c>
      <c r="H447" s="176">
        <f>DAY(EOMONTH(PA[[#This Row],[Month Year]],0))</f>
        <v>31</v>
      </c>
      <c r="I447" s="180">
        <f>VLOOKUP(PA[[#This Row],[Date]],Raw_Data[#All],9,0)</f>
        <v>0.29722222222222222</v>
      </c>
      <c r="J447" s="180">
        <f>VLOOKUP(PA[[#This Row],[Date]],Raw_Data[#All],10,0)</f>
        <v>0.8041666666666667</v>
      </c>
      <c r="K447" s="68">
        <f>IFERROR((PA[[#This Row],[Sunset Time (POA&lt;20 W/m2)]]-PA[[#This Row],[Sunrise Time (POA&gt;20 W/m2)]])*24,"")</f>
        <v>12.166666666666666</v>
      </c>
      <c r="L447" s="178" t="s">
        <v>419</v>
      </c>
      <c r="M447" s="178" t="s">
        <v>394</v>
      </c>
      <c r="N447" s="178" t="s">
        <v>402</v>
      </c>
      <c r="O447" s="178" t="s">
        <v>442</v>
      </c>
      <c r="P447" s="178" t="s">
        <v>404</v>
      </c>
      <c r="Q447" s="178"/>
      <c r="R447" s="18">
        <f>IF((PA[[#This Row],[String Type(If String BD)]]&amp;PA[[#This Row],[Equipment (If any BD other than PV  array and inv)]])="",1,0)</f>
        <v>0</v>
      </c>
      <c r="S447" s="18">
        <f>IF(PA[[#This Row],[String Type(If String BD)]]="",1,0)</f>
        <v>0</v>
      </c>
      <c r="T447"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7" s="74">
        <f>IFERROR(VLOOKUP(PA[[#This Row],[Affected Equipment ]],'Basic Data '!$A$1:$B$1846,2,0),"")</f>
        <v>31.32</v>
      </c>
      <c r="V447" s="144">
        <f>IFERROR(VLOOKUP(PA[[#This Row],[Affected Equipment ]],'Basic Data '!$A$1:$C$1846,3,0),"")</f>
        <v>9.3467147730019601E-5</v>
      </c>
      <c r="W447" s="178" t="s">
        <v>451</v>
      </c>
      <c r="X447" s="110" t="s">
        <v>2686</v>
      </c>
      <c r="Y447" s="110" t="s">
        <v>2686</v>
      </c>
      <c r="Z447" s="109">
        <v>0.29722222222222222</v>
      </c>
      <c r="AA447" s="109">
        <v>0.29722222222222222</v>
      </c>
      <c r="AB447" s="109">
        <v>0.29722222222222222</v>
      </c>
      <c r="AC447" s="109">
        <v>0.8041666666666667</v>
      </c>
      <c r="AD447" s="82">
        <f>IF(PA[[#This Row],[Acknowledgement Time ]]="NA","",(PA[[#This Row],[Acknowledgement Time ]]-PA[[#This Row],[Fault Time]])*24)</f>
        <v>0</v>
      </c>
      <c r="AE447" s="82">
        <f>IF(PA[[#This Row],[Work Start time on Fault]]="NA","",(PA[[#This Row],[Work Start time on Fault]]-PA[[#This Row],[Fault Time]])*24)</f>
        <v>0</v>
      </c>
      <c r="AF447" s="111"/>
      <c r="AG447" s="82">
        <f>IFERROR((PA[[#This Row],[Work Completion time on fault]]-PA[[#This Row],[Fault Time]])*24,"")</f>
        <v>12.166666666666666</v>
      </c>
      <c r="AH447" s="110" t="s">
        <v>2686</v>
      </c>
      <c r="AI447" s="79" t="s">
        <v>399</v>
      </c>
      <c r="AJ447" s="74">
        <f>IFERROR(PA[[#This Row],[Breakdown Time]]*PA[[#This Row],[Plant Equivalent Weightage]],"")</f>
        <v>1.1371836307152384E-3</v>
      </c>
      <c r="AK447" s="117">
        <v>2.4700000000000002</v>
      </c>
      <c r="AL447" s="258">
        <f>IF(PA[[#This Row],[Lost PoA(Wh/m2)]]&gt;0,_xlfn.XLOOKUP($B447,'Daily KPI'!$A:$A,'Daily KPI'!$AE:$AE)*PA[[#This Row],[Lost PoA(Wh/m2)]]*U447,0)</f>
        <v>64.983937185717011</v>
      </c>
      <c r="AM447" s="176" t="s">
        <v>2697</v>
      </c>
    </row>
    <row r="448" spans="1:39" ht="14" customHeight="1">
      <c r="A448" s="177">
        <f t="shared" si="7"/>
        <v>445</v>
      </c>
      <c r="B448" s="185">
        <v>45858</v>
      </c>
      <c r="C448" s="178" t="s">
        <v>477</v>
      </c>
      <c r="D448" s="6">
        <f>YEAR(PA[[#This Row],[Date]])</f>
        <v>2025</v>
      </c>
      <c r="E448" s="178" t="s">
        <v>361</v>
      </c>
      <c r="F448" s="178" t="s">
        <v>361</v>
      </c>
      <c r="G448" s="179">
        <v>45839</v>
      </c>
      <c r="H448" s="176">
        <f>DAY(EOMONTH(PA[[#This Row],[Month Year]],0))</f>
        <v>31</v>
      </c>
      <c r="I448" s="180">
        <f>VLOOKUP(PA[[#This Row],[Date]],Raw_Data[#All],9,0)</f>
        <v>0.29722222222222222</v>
      </c>
      <c r="J448" s="180">
        <f>VLOOKUP(PA[[#This Row],[Date]],Raw_Data[#All],10,0)</f>
        <v>0.8041666666666667</v>
      </c>
      <c r="K448" s="68">
        <f>IFERROR((PA[[#This Row],[Sunset Time (POA&lt;20 W/m2)]]-PA[[#This Row],[Sunrise Time (POA&gt;20 W/m2)]])*24,"")</f>
        <v>12.166666666666666</v>
      </c>
      <c r="L448" s="178" t="s">
        <v>416</v>
      </c>
      <c r="M448" s="178" t="s">
        <v>394</v>
      </c>
      <c r="N448" s="178" t="s">
        <v>402</v>
      </c>
      <c r="O448" s="178" t="s">
        <v>403</v>
      </c>
      <c r="P448" s="178" t="s">
        <v>448</v>
      </c>
      <c r="Q448" s="178"/>
      <c r="R448" s="6">
        <f>IF((PA[[#This Row],[String Type(If String BD)]]&amp;PA[[#This Row],[Equipment (If any BD other than PV  array and inv)]])="",1,0)</f>
        <v>0</v>
      </c>
      <c r="S448" s="6">
        <f>IF(PA[[#This Row],[String Type(If String BD)]]="",1,0)</f>
        <v>0</v>
      </c>
      <c r="T4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48" s="68">
        <f>IFERROR(VLOOKUP(PA[[#This Row],[Affected Equipment ]],'Basic Data '!$A$1:$B$1846,2,0),"")</f>
        <v>31.61</v>
      </c>
      <c r="V448" s="143">
        <f>IFERROR(VLOOKUP(PA[[#This Row],[Affected Equipment ]],'Basic Data '!$A$1:$C$1846,3,0),"")</f>
        <v>9.4332584283075336E-5</v>
      </c>
      <c r="W448" s="178" t="s">
        <v>451</v>
      </c>
      <c r="X448" s="110" t="s">
        <v>2686</v>
      </c>
      <c r="Y448" s="110" t="s">
        <v>2686</v>
      </c>
      <c r="Z448" s="109">
        <v>0.29722222222222222</v>
      </c>
      <c r="AA448" s="109">
        <v>0.29722222222222222</v>
      </c>
      <c r="AB448" s="109">
        <v>0.29722222222222222</v>
      </c>
      <c r="AC448" s="109">
        <v>0.8041666666666667</v>
      </c>
      <c r="AD448" s="82">
        <f>IF(PA[[#This Row],[Acknowledgement Time ]]="NA","",(PA[[#This Row],[Acknowledgement Time ]]-PA[[#This Row],[Fault Time]])*24)</f>
        <v>0</v>
      </c>
      <c r="AE448" s="82">
        <f>IF(PA[[#This Row],[Work Start time on Fault]]="NA","",(PA[[#This Row],[Work Start time on Fault]]-PA[[#This Row],[Fault Time]])*24)</f>
        <v>0</v>
      </c>
      <c r="AF448" s="111"/>
      <c r="AG448" s="82">
        <f>IFERROR((PA[[#This Row],[Work Completion time on fault]]-PA[[#This Row],[Fault Time]])*24,"")</f>
        <v>12.166666666666666</v>
      </c>
      <c r="AH448" s="110" t="s">
        <v>2686</v>
      </c>
      <c r="AI448" s="79" t="s">
        <v>399</v>
      </c>
      <c r="AJ448" s="68">
        <f>IFERROR(PA[[#This Row],[Breakdown Time]]*PA[[#This Row],[Plant Equivalent Weightage]],"")</f>
        <v>1.1477131087774166E-3</v>
      </c>
      <c r="AK448" s="117">
        <v>2.34</v>
      </c>
      <c r="AL448" s="116">
        <f>IF(PA[[#This Row],[Lost PoA(Wh/m2)]]&gt;0,_xlfn.XLOOKUP($B448,'Daily KPI'!$A:$A,'Daily KPI'!$AE:$AE)*PA[[#This Row],[Lost PoA(Wh/m2)]]*U448,0)</f>
        <v>62.133764502132912</v>
      </c>
      <c r="AM448" s="176" t="s">
        <v>2697</v>
      </c>
    </row>
    <row r="449" spans="1:39" ht="14" customHeight="1">
      <c r="A449" s="177">
        <f t="shared" si="7"/>
        <v>446</v>
      </c>
      <c r="B449" s="185">
        <v>45858</v>
      </c>
      <c r="C449" s="178" t="s">
        <v>477</v>
      </c>
      <c r="D449" s="6">
        <f>YEAR(PA[[#This Row],[Date]])</f>
        <v>2025</v>
      </c>
      <c r="E449" s="178" t="s">
        <v>361</v>
      </c>
      <c r="F449" s="178" t="s">
        <v>361</v>
      </c>
      <c r="G449" s="179">
        <v>45839</v>
      </c>
      <c r="H449" s="176">
        <f>DAY(EOMONTH(PA[[#This Row],[Month Year]],0))</f>
        <v>31</v>
      </c>
      <c r="I449" s="180">
        <f>VLOOKUP(PA[[#This Row],[Date]],Raw_Data[#All],9,0)</f>
        <v>0.29722222222222222</v>
      </c>
      <c r="J449" s="180">
        <f>VLOOKUP(PA[[#This Row],[Date]],Raw_Data[#All],10,0)</f>
        <v>0.8041666666666667</v>
      </c>
      <c r="K449" s="68">
        <f>IFERROR((PA[[#This Row],[Sunset Time (POA&lt;20 W/m2)]]-PA[[#This Row],[Sunrise Time (POA&gt;20 W/m2)]])*24,"")</f>
        <v>12.166666666666666</v>
      </c>
      <c r="L449" s="178" t="s">
        <v>439</v>
      </c>
      <c r="M449" s="178" t="s">
        <v>401</v>
      </c>
      <c r="N449" s="178" t="s">
        <v>395</v>
      </c>
      <c r="O449" s="178" t="s">
        <v>403</v>
      </c>
      <c r="P449" s="178" t="s">
        <v>404</v>
      </c>
      <c r="Q449" s="178"/>
      <c r="R449" s="6">
        <f>IF((PA[[#This Row],[String Type(If String BD)]]&amp;PA[[#This Row],[Equipment (If any BD other than PV  array and inv)]])="",1,0)</f>
        <v>0</v>
      </c>
      <c r="S449" s="6">
        <f>IF(PA[[#This Row],[String Type(If String BD)]]="",1,0)</f>
        <v>0</v>
      </c>
      <c r="T4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9" s="68">
        <f>IFERROR(VLOOKUP(PA[[#This Row],[Affected Equipment ]],'Basic Data '!$A$1:$B$1846,2,0),"")</f>
        <v>31.32</v>
      </c>
      <c r="V449" s="143">
        <f>IFERROR(VLOOKUP(PA[[#This Row],[Affected Equipment ]],'Basic Data '!$A$1:$C$1846,3,0),"")</f>
        <v>9.3467147730019601E-5</v>
      </c>
      <c r="W449" s="178" t="s">
        <v>451</v>
      </c>
      <c r="X449" s="110" t="s">
        <v>2687</v>
      </c>
      <c r="Y449" s="110" t="s">
        <v>2687</v>
      </c>
      <c r="Z449" s="109">
        <v>0.29722222222222222</v>
      </c>
      <c r="AA449" s="109">
        <v>0.29722222222222222</v>
      </c>
      <c r="AB449" s="109">
        <v>0.29722222222222222</v>
      </c>
      <c r="AC449" s="109">
        <v>0.8041666666666667</v>
      </c>
      <c r="AD449" s="82">
        <f>IF(PA[[#This Row],[Acknowledgement Time ]]="NA","",(PA[[#This Row],[Acknowledgement Time ]]-PA[[#This Row],[Fault Time]])*24)</f>
        <v>0</v>
      </c>
      <c r="AE449" s="82">
        <f>IF(PA[[#This Row],[Work Start time on Fault]]="NA","",(PA[[#This Row],[Work Start time on Fault]]-PA[[#This Row],[Fault Time]])*24)</f>
        <v>0</v>
      </c>
      <c r="AF449" s="111" t="str">
        <f>IF(PA[[#This Row],[Status]]="Open","",(PA[[#This Row],[Work Completion time on fault]]-PA[[#This Row],[Fault Time]])*24)</f>
        <v/>
      </c>
      <c r="AG449" s="82">
        <f>IFERROR((PA[[#This Row],[Work Completion time on fault]]-PA[[#This Row],[Fault Time]])*24,"")</f>
        <v>12.166666666666666</v>
      </c>
      <c r="AH449" s="110" t="s">
        <v>2687</v>
      </c>
      <c r="AI449" s="79" t="s">
        <v>399</v>
      </c>
      <c r="AJ449" s="68">
        <f>IFERROR(PA[[#This Row],[Breakdown Time]]*PA[[#This Row],[Plant Equivalent Weightage]],"")</f>
        <v>1.1371836307152384E-3</v>
      </c>
      <c r="AK449" s="117">
        <v>2.27</v>
      </c>
      <c r="AL449" s="116">
        <f>IF(PA[[#This Row],[Lost PoA(Wh/m2)]]&gt;0,_xlfn.XLOOKUP($B449,'Daily KPI'!$A:$A,'Daily KPI'!$AE:$AE)*PA[[#This Row],[Lost PoA(Wh/m2)]]*U449,0)</f>
        <v>59.722079923715626</v>
      </c>
      <c r="AM449" s="176" t="s">
        <v>2697</v>
      </c>
    </row>
    <row r="450" spans="1:39" ht="14" customHeight="1">
      <c r="A450" s="177">
        <f t="shared" si="7"/>
        <v>447</v>
      </c>
      <c r="B450" s="185">
        <v>45858</v>
      </c>
      <c r="C450" s="178" t="s">
        <v>477</v>
      </c>
      <c r="D450" s="6">
        <f>YEAR(PA[[#This Row],[Date]])</f>
        <v>2025</v>
      </c>
      <c r="E450" s="178" t="s">
        <v>361</v>
      </c>
      <c r="F450" s="178" t="s">
        <v>361</v>
      </c>
      <c r="G450" s="179">
        <v>45839</v>
      </c>
      <c r="H450" s="176">
        <f>DAY(EOMONTH(PA[[#This Row],[Month Year]],0))</f>
        <v>31</v>
      </c>
      <c r="I450" s="180">
        <f>VLOOKUP(PA[[#This Row],[Date]],Raw_Data[#All],9,0)</f>
        <v>0.29722222222222222</v>
      </c>
      <c r="J450" s="180">
        <f>VLOOKUP(PA[[#This Row],[Date]],Raw_Data[#All],10,0)</f>
        <v>0.8041666666666667</v>
      </c>
      <c r="K450" s="68">
        <f>IFERROR((PA[[#This Row],[Sunset Time (POA&lt;20 W/m2)]]-PA[[#This Row],[Sunrise Time (POA&gt;20 W/m2)]])*24,"")</f>
        <v>12.166666666666666</v>
      </c>
      <c r="L450" s="178" t="s">
        <v>423</v>
      </c>
      <c r="M450" s="178" t="s">
        <v>414</v>
      </c>
      <c r="N450" s="178" t="s">
        <v>402</v>
      </c>
      <c r="O450" s="178" t="s">
        <v>417</v>
      </c>
      <c r="P450" s="178" t="s">
        <v>429</v>
      </c>
      <c r="Q450" s="178"/>
      <c r="R450" s="6">
        <f>IF((PA[[#This Row],[String Type(If String BD)]]&amp;PA[[#This Row],[Equipment (If any BD other than PV  array and inv)]])="",1,0)</f>
        <v>0</v>
      </c>
      <c r="S450" s="6">
        <f>IF(PA[[#This Row],[String Type(If String BD)]]="",1,0)</f>
        <v>0</v>
      </c>
      <c r="T4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0" s="68">
        <f>IFERROR(VLOOKUP(PA[[#This Row],[Affected Equipment ]],'Basic Data '!$A$1:$B$1846,2,0),"")</f>
        <v>15.66</v>
      </c>
      <c r="V450" s="143">
        <f>IFERROR(VLOOKUP(PA[[#This Row],[Affected Equipment ]],'Basic Data '!$A$1:$C$1846,3,0),"")</f>
        <v>4.6733573865009801E-5</v>
      </c>
      <c r="W450" s="178" t="s">
        <v>451</v>
      </c>
      <c r="X450" s="110" t="s">
        <v>2689</v>
      </c>
      <c r="Y450" s="110" t="s">
        <v>2689</v>
      </c>
      <c r="Z450" s="109">
        <v>0.29722222222222222</v>
      </c>
      <c r="AA450" s="109">
        <v>0.29722222222222222</v>
      </c>
      <c r="AB450" s="109">
        <v>0.29722222222222222</v>
      </c>
      <c r="AC450" s="109">
        <v>0.8041666666666667</v>
      </c>
      <c r="AD450" s="82">
        <f>IF(PA[[#This Row],[Acknowledgement Time ]]="NA","",(PA[[#This Row],[Acknowledgement Time ]]-PA[[#This Row],[Fault Time]])*24)</f>
        <v>0</v>
      </c>
      <c r="AE450" s="82">
        <f>IF(PA[[#This Row],[Work Start time on Fault]]="NA","",(PA[[#This Row],[Work Start time on Fault]]-PA[[#This Row],[Fault Time]])*24)</f>
        <v>0</v>
      </c>
      <c r="AF450" s="111" t="str">
        <f>IF(PA[[#This Row],[Status]]="Open","",(PA[[#This Row],[Work Completion time on fault]]-PA[[#This Row],[Fault Time]])*24)</f>
        <v/>
      </c>
      <c r="AG450" s="82">
        <f>IFERROR((PA[[#This Row],[Work Completion time on fault]]-PA[[#This Row],[Fault Time]])*24,"")</f>
        <v>12.166666666666666</v>
      </c>
      <c r="AH450" s="110" t="s">
        <v>2689</v>
      </c>
      <c r="AI450" s="79" t="s">
        <v>399</v>
      </c>
      <c r="AJ450" s="68">
        <f>IFERROR(PA[[#This Row],[Breakdown Time]]*PA[[#This Row],[Plant Equivalent Weightage]],"")</f>
        <v>5.6859181535761922E-4</v>
      </c>
      <c r="AK450" s="117">
        <v>2.27</v>
      </c>
      <c r="AL450" s="116">
        <f>IF(PA[[#This Row],[Lost PoA(Wh/m2)]]&gt;0,_xlfn.XLOOKUP($B450,'Daily KPI'!$A:$A,'Daily KPI'!$AE:$AE)*PA[[#This Row],[Lost PoA(Wh/m2)]]*U450,0)</f>
        <v>29.861039961857813</v>
      </c>
      <c r="AM450" s="176" t="s">
        <v>2697</v>
      </c>
    </row>
    <row r="451" spans="1:39" ht="14" customHeight="1">
      <c r="A451" s="177">
        <f t="shared" si="7"/>
        <v>448</v>
      </c>
      <c r="B451" s="185">
        <v>45858</v>
      </c>
      <c r="C451" s="178" t="s">
        <v>477</v>
      </c>
      <c r="D451" s="6">
        <f>YEAR(PA[[#This Row],[Date]])</f>
        <v>2025</v>
      </c>
      <c r="E451" s="178" t="s">
        <v>361</v>
      </c>
      <c r="F451" s="178" t="s">
        <v>361</v>
      </c>
      <c r="G451" s="179">
        <v>45839</v>
      </c>
      <c r="H451" s="176">
        <f>DAY(EOMONTH(PA[[#This Row],[Month Year]],0))</f>
        <v>31</v>
      </c>
      <c r="I451" s="180">
        <f>VLOOKUP(PA[[#This Row],[Date]],Raw_Data[#All],9,0)</f>
        <v>0.29722222222222222</v>
      </c>
      <c r="J451" s="180">
        <f>VLOOKUP(PA[[#This Row],[Date]],Raw_Data[#All],10,0)</f>
        <v>0.8041666666666667</v>
      </c>
      <c r="K451" s="68">
        <f>IFERROR((PA[[#This Row],[Sunset Time (POA&lt;20 W/m2)]]-PA[[#This Row],[Sunrise Time (POA&gt;20 W/m2)]])*24,"")</f>
        <v>12.166666666666666</v>
      </c>
      <c r="L451" s="178" t="s">
        <v>428</v>
      </c>
      <c r="M451" s="178" t="s">
        <v>394</v>
      </c>
      <c r="N451" s="178" t="s">
        <v>402</v>
      </c>
      <c r="O451" s="178" t="s">
        <v>406</v>
      </c>
      <c r="P451" s="178" t="s">
        <v>429</v>
      </c>
      <c r="Q451" s="178"/>
      <c r="R451" s="6">
        <f>IF((PA[[#This Row],[String Type(If String BD)]]&amp;PA[[#This Row],[Equipment (If any BD other than PV  array and inv)]])="",1,0)</f>
        <v>0</v>
      </c>
      <c r="S451" s="6">
        <f>IF(PA[[#This Row],[String Type(If String BD)]]="",1,0)</f>
        <v>0</v>
      </c>
      <c r="T4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1" s="68">
        <f>IFERROR(VLOOKUP(PA[[#This Row],[Affected Equipment ]],'Basic Data '!$A$1:$B$1846,2,0),"")</f>
        <v>15.66</v>
      </c>
      <c r="V451" s="143">
        <f>IFERROR(VLOOKUP(PA[[#This Row],[Affected Equipment ]],'Basic Data '!$A$1:$C$1846,3,0),"")</f>
        <v>4.6733573865009801E-5</v>
      </c>
      <c r="W451" s="178" t="s">
        <v>451</v>
      </c>
      <c r="X451" s="110" t="s">
        <v>2690</v>
      </c>
      <c r="Y451" s="110" t="s">
        <v>2690</v>
      </c>
      <c r="Z451" s="109">
        <v>0.29722222222222222</v>
      </c>
      <c r="AA451" s="109">
        <v>0.29722222222222222</v>
      </c>
      <c r="AB451" s="109">
        <v>0.29722222222222222</v>
      </c>
      <c r="AC451" s="109">
        <v>0.8041666666666667</v>
      </c>
      <c r="AD451" s="82">
        <f>IF(PA[[#This Row],[Acknowledgement Time ]]="NA","",(PA[[#This Row],[Acknowledgement Time ]]-PA[[#This Row],[Fault Time]])*24)</f>
        <v>0</v>
      </c>
      <c r="AE451" s="82">
        <f>IF(PA[[#This Row],[Work Start time on Fault]]="NA","",(PA[[#This Row],[Work Start time on Fault]]-PA[[#This Row],[Fault Time]])*24)</f>
        <v>0</v>
      </c>
      <c r="AF451" s="111" t="str">
        <f>IF(PA[[#This Row],[Status]]="Open","",(PA[[#This Row],[Work Completion time on fault]]-PA[[#This Row],[Fault Time]])*24)</f>
        <v/>
      </c>
      <c r="AG451" s="82">
        <f>IFERROR((PA[[#This Row],[Work Completion time on fault]]-PA[[#This Row],[Fault Time]])*24,"")</f>
        <v>12.166666666666666</v>
      </c>
      <c r="AH451" s="110" t="s">
        <v>2690</v>
      </c>
      <c r="AI451" s="79" t="s">
        <v>399</v>
      </c>
      <c r="AJ451" s="68">
        <f>IFERROR(PA[[#This Row],[Breakdown Time]]*PA[[#This Row],[Plant Equivalent Weightage]],"")</f>
        <v>5.6859181535761922E-4</v>
      </c>
      <c r="AK451" s="117">
        <v>2.27</v>
      </c>
      <c r="AL451" s="116">
        <f>IF(PA[[#This Row],[Lost PoA(Wh/m2)]]&gt;0,_xlfn.XLOOKUP($B451,'Daily KPI'!$A:$A,'Daily KPI'!$AE:$AE)*PA[[#This Row],[Lost PoA(Wh/m2)]]*U451,0)</f>
        <v>29.861039961857813</v>
      </c>
      <c r="AM451" s="176" t="s">
        <v>2697</v>
      </c>
    </row>
    <row r="452" spans="1:39" ht="14" customHeight="1">
      <c r="A452" s="177">
        <f t="shared" si="7"/>
        <v>449</v>
      </c>
      <c r="B452" s="185">
        <v>45858</v>
      </c>
      <c r="C452" s="178" t="s">
        <v>477</v>
      </c>
      <c r="D452" s="6">
        <f>YEAR(PA[[#This Row],[Date]])</f>
        <v>2025</v>
      </c>
      <c r="E452" s="178" t="s">
        <v>361</v>
      </c>
      <c r="F452" s="178" t="s">
        <v>361</v>
      </c>
      <c r="G452" s="179">
        <v>45839</v>
      </c>
      <c r="H452" s="176">
        <f>DAY(EOMONTH(PA[[#This Row],[Month Year]],0))</f>
        <v>31</v>
      </c>
      <c r="I452" s="180">
        <f>VLOOKUP(PA[[#This Row],[Date]],Raw_Data[#All],9,0)</f>
        <v>0.29722222222222222</v>
      </c>
      <c r="J452" s="180">
        <f>VLOOKUP(PA[[#This Row],[Date]],Raw_Data[#All],10,0)</f>
        <v>0.8041666666666667</v>
      </c>
      <c r="K452" s="68">
        <f>IFERROR((PA[[#This Row],[Sunset Time (POA&lt;20 W/m2)]]-PA[[#This Row],[Sunrise Time (POA&gt;20 W/m2)]])*24,"")</f>
        <v>12.166666666666666</v>
      </c>
      <c r="L452" s="178" t="s">
        <v>428</v>
      </c>
      <c r="M452" s="178" t="s">
        <v>408</v>
      </c>
      <c r="N452" s="178" t="s">
        <v>402</v>
      </c>
      <c r="O452" s="178" t="s">
        <v>406</v>
      </c>
      <c r="P452" s="178" t="s">
        <v>429</v>
      </c>
      <c r="Q452" s="178"/>
      <c r="R452" s="6">
        <f>IF((PA[[#This Row],[String Type(If String BD)]]&amp;PA[[#This Row],[Equipment (If any BD other than PV  array and inv)]])="",1,0)</f>
        <v>0</v>
      </c>
      <c r="S452" s="6">
        <f>IF(PA[[#This Row],[String Type(If String BD)]]="",1,0)</f>
        <v>0</v>
      </c>
      <c r="T4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2" s="68">
        <f>IFERROR(VLOOKUP(PA[[#This Row],[Affected Equipment ]],'Basic Data '!$A$1:$B$1846,2,0),"")</f>
        <v>15.66</v>
      </c>
      <c r="V452" s="143">
        <f>IFERROR(VLOOKUP(PA[[#This Row],[Affected Equipment ]],'Basic Data '!$A$1:$C$1846,3,0),"")</f>
        <v>4.6733573865009801E-5</v>
      </c>
      <c r="W452" s="178" t="s">
        <v>451</v>
      </c>
      <c r="X452" s="110" t="s">
        <v>2691</v>
      </c>
      <c r="Y452" s="110" t="s">
        <v>2691</v>
      </c>
      <c r="Z452" s="109">
        <v>0.29722222222222222</v>
      </c>
      <c r="AA452" s="109">
        <v>0.29722222222222222</v>
      </c>
      <c r="AB452" s="109">
        <v>0.29722222222222222</v>
      </c>
      <c r="AC452" s="109">
        <v>0.8041666666666667</v>
      </c>
      <c r="AD452" s="82">
        <f>IF(PA[[#This Row],[Acknowledgement Time ]]="NA","",(PA[[#This Row],[Acknowledgement Time ]]-PA[[#This Row],[Fault Time]])*24)</f>
        <v>0</v>
      </c>
      <c r="AE452" s="82">
        <f>IF(PA[[#This Row],[Work Start time on Fault]]="NA","",(PA[[#This Row],[Work Start time on Fault]]-PA[[#This Row],[Fault Time]])*24)</f>
        <v>0</v>
      </c>
      <c r="AF452" s="111" t="str">
        <f>IF(PA[[#This Row],[Status]]="Open","",(PA[[#This Row],[Work Completion time on fault]]-PA[[#This Row],[Fault Time]])*24)</f>
        <v/>
      </c>
      <c r="AG452" s="82">
        <f>IFERROR((PA[[#This Row],[Work Completion time on fault]]-PA[[#This Row],[Fault Time]])*24,"")</f>
        <v>12.166666666666666</v>
      </c>
      <c r="AH452" s="110" t="s">
        <v>2691</v>
      </c>
      <c r="AI452" s="79" t="s">
        <v>399</v>
      </c>
      <c r="AJ452" s="68">
        <f>IFERROR(PA[[#This Row],[Breakdown Time]]*PA[[#This Row],[Plant Equivalent Weightage]],"")</f>
        <v>5.6859181535761922E-4</v>
      </c>
      <c r="AK452" s="117">
        <v>2.27</v>
      </c>
      <c r="AL452" s="116">
        <f>IF(PA[[#This Row],[Lost PoA(Wh/m2)]]&gt;0,_xlfn.XLOOKUP($B452,'Daily KPI'!$A:$A,'Daily KPI'!$AE:$AE)*PA[[#This Row],[Lost PoA(Wh/m2)]]*U452,0)</f>
        <v>29.861039961857813</v>
      </c>
      <c r="AM452" s="176" t="s">
        <v>2697</v>
      </c>
    </row>
    <row r="453" spans="1:39" ht="14" customHeight="1">
      <c r="A453" s="177">
        <f t="shared" si="7"/>
        <v>450</v>
      </c>
      <c r="B453" s="185">
        <v>45858</v>
      </c>
      <c r="C453" s="178" t="s">
        <v>477</v>
      </c>
      <c r="D453" s="6">
        <f>YEAR(PA[[#This Row],[Date]])</f>
        <v>2025</v>
      </c>
      <c r="E453" s="178" t="s">
        <v>361</v>
      </c>
      <c r="F453" s="178" t="s">
        <v>361</v>
      </c>
      <c r="G453" s="179">
        <v>45839</v>
      </c>
      <c r="H453" s="176">
        <f>DAY(EOMONTH(PA[[#This Row],[Month Year]],0))</f>
        <v>31</v>
      </c>
      <c r="I453" s="180">
        <f>VLOOKUP(PA[[#This Row],[Date]],Raw_Data[#All],9,0)</f>
        <v>0.29722222222222222</v>
      </c>
      <c r="J453" s="180">
        <f>VLOOKUP(PA[[#This Row],[Date]],Raw_Data[#All],10,0)</f>
        <v>0.8041666666666667</v>
      </c>
      <c r="K453" s="68">
        <f>IFERROR((PA[[#This Row],[Sunset Time (POA&lt;20 W/m2)]]-PA[[#This Row],[Sunrise Time (POA&gt;20 W/m2)]])*24,"")</f>
        <v>12.166666666666666</v>
      </c>
      <c r="L453" s="178" t="s">
        <v>439</v>
      </c>
      <c r="M453" s="178" t="s">
        <v>401</v>
      </c>
      <c r="N453" s="178" t="s">
        <v>402</v>
      </c>
      <c r="O453" s="178" t="s">
        <v>417</v>
      </c>
      <c r="P453" s="178" t="s">
        <v>429</v>
      </c>
      <c r="Q453" s="178"/>
      <c r="R453" s="6">
        <f>IF((PA[[#This Row],[String Type(If String BD)]]&amp;PA[[#This Row],[Equipment (If any BD other than PV  array and inv)]])="",1,0)</f>
        <v>0</v>
      </c>
      <c r="S453" s="6">
        <f>IF(PA[[#This Row],[String Type(If String BD)]]="",1,0)</f>
        <v>0</v>
      </c>
      <c r="T4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3" s="68">
        <f>IFERROR(VLOOKUP(PA[[#This Row],[Affected Equipment ]],'Basic Data '!$A$1:$B$1846,2,0),"")</f>
        <v>15.66</v>
      </c>
      <c r="V453" s="143">
        <f>IFERROR(VLOOKUP(PA[[#This Row],[Affected Equipment ]],'Basic Data '!$A$1:$C$1846,3,0),"")</f>
        <v>4.6733573865009801E-5</v>
      </c>
      <c r="W453" s="178" t="s">
        <v>451</v>
      </c>
      <c r="X453" s="110" t="s">
        <v>2692</v>
      </c>
      <c r="Y453" s="110" t="s">
        <v>2692</v>
      </c>
      <c r="Z453" s="109">
        <v>0.29722222222222222</v>
      </c>
      <c r="AA453" s="109">
        <v>0.29722222222222222</v>
      </c>
      <c r="AB453" s="109">
        <v>0.29722222222222222</v>
      </c>
      <c r="AC453" s="109">
        <v>0.8041666666666667</v>
      </c>
      <c r="AD453" s="82">
        <f>IF(PA[[#This Row],[Acknowledgement Time ]]="NA","",(PA[[#This Row],[Acknowledgement Time ]]-PA[[#This Row],[Fault Time]])*24)</f>
        <v>0</v>
      </c>
      <c r="AE453" s="82">
        <f>IF(PA[[#This Row],[Work Start time on Fault]]="NA","",(PA[[#This Row],[Work Start time on Fault]]-PA[[#This Row],[Fault Time]])*24)</f>
        <v>0</v>
      </c>
      <c r="AF453" s="111" t="str">
        <f>IF(PA[[#This Row],[Status]]="Open","",(PA[[#This Row],[Work Completion time on fault]]-PA[[#This Row],[Fault Time]])*24)</f>
        <v/>
      </c>
      <c r="AG453" s="82">
        <f>IFERROR((PA[[#This Row],[Work Completion time on fault]]-PA[[#This Row],[Fault Time]])*24,"")</f>
        <v>12.166666666666666</v>
      </c>
      <c r="AH453" s="110" t="s">
        <v>2692</v>
      </c>
      <c r="AI453" s="79" t="s">
        <v>399</v>
      </c>
      <c r="AJ453" s="68">
        <f>IFERROR(PA[[#This Row],[Breakdown Time]]*PA[[#This Row],[Plant Equivalent Weightage]],"")</f>
        <v>5.6859181535761922E-4</v>
      </c>
      <c r="AK453" s="117">
        <v>2.27</v>
      </c>
      <c r="AL453" s="116">
        <f>IF(PA[[#This Row],[Lost PoA(Wh/m2)]]&gt;0,_xlfn.XLOOKUP($B453,'Daily KPI'!$A:$A,'Daily KPI'!$AE:$AE)*PA[[#This Row],[Lost PoA(Wh/m2)]]*U453,0)</f>
        <v>29.861039961857813</v>
      </c>
      <c r="AM453" s="176" t="s">
        <v>2697</v>
      </c>
    </row>
    <row r="454" spans="1:39" ht="14" customHeight="1">
      <c r="A454" s="177">
        <f t="shared" ref="A454" si="8">A453+1</f>
        <v>451</v>
      </c>
      <c r="B454" s="185">
        <v>45858</v>
      </c>
      <c r="C454" s="178" t="s">
        <v>477</v>
      </c>
      <c r="D454" s="6">
        <f>YEAR(PA[[#This Row],[Date]])</f>
        <v>2025</v>
      </c>
      <c r="E454" s="178" t="s">
        <v>361</v>
      </c>
      <c r="F454" s="178" t="s">
        <v>361</v>
      </c>
      <c r="G454" s="179">
        <v>45839</v>
      </c>
      <c r="H454" s="176">
        <f>DAY(EOMONTH(PA[[#This Row],[Month Year]],0))</f>
        <v>31</v>
      </c>
      <c r="I454" s="180">
        <f>VLOOKUP(PA[[#This Row],[Date]],Raw_Data[#All],9,0)</f>
        <v>0.29722222222222222</v>
      </c>
      <c r="J454" s="180">
        <f>VLOOKUP(PA[[#This Row],[Date]],Raw_Data[#All],10,0)</f>
        <v>0.8041666666666667</v>
      </c>
      <c r="K454" s="68">
        <f>IFERROR((PA[[#This Row],[Sunset Time (POA&lt;20 W/m2)]]-PA[[#This Row],[Sunrise Time (POA&gt;20 W/m2)]])*24,"")</f>
        <v>12.166666666666666</v>
      </c>
      <c r="L454" s="178" t="s">
        <v>426</v>
      </c>
      <c r="M454" s="178" t="s">
        <v>401</v>
      </c>
      <c r="N454" s="178" t="s">
        <v>402</v>
      </c>
      <c r="O454" s="178"/>
      <c r="P454" s="178"/>
      <c r="Q454" s="178"/>
      <c r="R454" s="6">
        <f>IF((PA[[#This Row],[String Type(If String BD)]]&amp;PA[[#This Row],[Equipment (If any BD other than PV  array and inv)]])="",1,0)</f>
        <v>1</v>
      </c>
      <c r="S454" s="6">
        <f>IF(PA[[#This Row],[String Type(If String BD)]]="",1,0)</f>
        <v>1</v>
      </c>
      <c r="T4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54" s="68">
        <f>IFERROR(VLOOKUP(PA[[#This Row],[Affected Equipment ]],'Basic Data '!$A$1:$B$1846,2,0),"")</f>
        <v>2192.4</v>
      </c>
      <c r="V454" s="143">
        <f>IFERROR(VLOOKUP(PA[[#This Row],[Affected Equipment ]],'Basic Data '!$A$1:$C$1846,3,0),"")</f>
        <v>6.5427003411013731E-3</v>
      </c>
      <c r="W454" s="178" t="s">
        <v>427</v>
      </c>
      <c r="X454" s="110" t="s">
        <v>2677</v>
      </c>
      <c r="Y454" s="110" t="s">
        <v>2677</v>
      </c>
      <c r="Z454" s="109">
        <v>0.29722222222222222</v>
      </c>
      <c r="AA454" s="109">
        <v>0.29722222222222222</v>
      </c>
      <c r="AB454" s="109">
        <v>0.29722222222222222</v>
      </c>
      <c r="AC454" s="109">
        <v>0.33541666666666664</v>
      </c>
      <c r="AD454" s="82">
        <f>IF(PA[[#This Row],[Acknowledgement Time ]]="NA","",(PA[[#This Row],[Acknowledgement Time ]]-PA[[#This Row],[Fault Time]])*24)</f>
        <v>0</v>
      </c>
      <c r="AE454" s="82">
        <f>IF(PA[[#This Row],[Work Start time on Fault]]="NA","",(PA[[#This Row],[Work Start time on Fault]]-PA[[#This Row],[Fault Time]])*24)</f>
        <v>0</v>
      </c>
      <c r="AF454" s="111">
        <f>IF(PA[[#This Row],[Status]]="Open","",(PA[[#This Row],[Work Completion time on fault]]-PA[[#This Row],[Fault Time]])*24)</f>
        <v>0.91666666666666607</v>
      </c>
      <c r="AG454" s="82">
        <f>IFERROR((PA[[#This Row],[Work Completion time on fault]]-PA[[#This Row],[Fault Time]])*24,"")</f>
        <v>0.91666666666666607</v>
      </c>
      <c r="AH454" s="110" t="s">
        <v>2681</v>
      </c>
      <c r="AI454" s="79" t="s">
        <v>422</v>
      </c>
      <c r="AJ454" s="68">
        <f>IFERROR(PA[[#This Row],[Breakdown Time]]*PA[[#This Row],[Plant Equivalent Weightage]],"")</f>
        <v>5.9974753126762551E-3</v>
      </c>
      <c r="AK454" s="117">
        <v>2.4537E-2</v>
      </c>
      <c r="AL454" s="116">
        <f>IF(PA[[#This Row],[Lost PoA(Wh/m2)]]&gt;0,_xlfn.XLOOKUP($B454,'Daily KPI'!$A:$A,'Daily KPI'!$AE:$AE)*PA[[#This Row],[Lost PoA(Wh/m2)]]*U454,0)</f>
        <v>45.18856707320473</v>
      </c>
      <c r="AM454" s="176" t="s">
        <v>2699</v>
      </c>
    </row>
    <row r="457" spans="1:39" ht="14" customHeight="1">
      <c r="M457">
        <v>26.289642860000001</v>
      </c>
      <c r="N457">
        <v>1472.22</v>
      </c>
      <c r="O457">
        <f>N457/60000</f>
        <v>2.4537E-2</v>
      </c>
    </row>
  </sheetData>
  <phoneticPr fontId="5" type="noConversion"/>
  <dataValidations count="1">
    <dataValidation type="list" allowBlank="1" showInputMessage="1" showErrorMessage="1" sqref="M4:M454" xr:uid="{30C424D4-7F6D-4AC0-84EB-5EA2C7B37151}">
      <formula1>"INV1,INV2,INV3,INV4"</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5C8ABE80-B9A9-4B41-A598-A9CF492868BC}">
          <x14:formula1>
            <xm:f>'Basic Data '!$Q$2:$Q$3</xm:f>
          </x14:formula1>
          <xm:sqref>AI292:AI293 AI298:AI300 AI311 AI316 AI319 AI322 AI325 AI328 AI331 AI333 AI337:AI338 AI341:AI343 AI346 AI348 AI355 AI360 AI364 AI368 AI375:AI376 AI215 AI114:AI115 AI117 AI131 AI146 AI161 AI176 AI193 AI203 AI380:AI454</xm:sqref>
        </x14:dataValidation>
        <x14:dataValidation type="list" allowBlank="1" showInputMessage="1" showErrorMessage="1" xr:uid="{6EEFE4B3-7CD5-406D-BDDD-04A8C0D1EDBA}">
          <x14:formula1>
            <xm:f>'Basic Data '!$I$2:$I$11</xm:f>
          </x14:formula1>
          <xm:sqref>O101:O454 O4:O99</xm:sqref>
        </x14:dataValidation>
        <x14:dataValidation type="list" allowBlank="1" showInputMessage="1" showErrorMessage="1" xr:uid="{BE44DFE1-A779-4BD5-B7BC-C749668221EB}">
          <x14:formula1>
            <xm:f>'Basic Data '!$K$2:$K$11</xm:f>
          </x14:formula1>
          <xm:sqref>P101:P454 P4:P99</xm:sqref>
        </x14:dataValidation>
        <x14:dataValidation type="list" allowBlank="1" showInputMessage="1" showErrorMessage="1" xr:uid="{6D781839-ACF7-4B73-BCE5-939EE19B02D1}">
          <x14:formula1>
            <xm:f>'Basic Data '!$M$2:$M$19</xm:f>
          </x14:formula1>
          <xm:sqref>Q101 Q120:Q153 Q184:Q185 Q240:Q454 Q4:Q99</xm:sqref>
        </x14:dataValidation>
        <x14:dataValidation type="list" allowBlank="1" showInputMessage="1" showErrorMessage="1" xr:uid="{DD1468DF-793E-48B6-8BF8-C01BE957070D}">
          <x14:formula1>
            <xm:f>'Basic Data '!$G$2:$G$21</xm:f>
          </x14:formula1>
          <xm:sqref>L4:L454</xm:sqref>
        </x14:dataValidation>
        <x14:dataValidation type="list" allowBlank="1" showInputMessage="1" showErrorMessage="1" xr:uid="{D7831A70-6D4E-4EE7-881F-B63E491C1AD8}">
          <x14:formula1>
            <xm:f>'Basic Data '!$O$2:$O$3</xm:f>
          </x14:formula1>
          <xm:sqref>N4:N454</xm:sqref>
        </x14:dataValidation>
        <x14:dataValidation type="list" allowBlank="1" showInputMessage="1" showErrorMessage="1" xr:uid="{09303F70-555C-4B02-AC2C-C798264374F1}">
          <x14:formula1>
            <xm:f>'Basic Data '!$E$2:$E$20</xm:f>
          </x14:formula1>
          <xm:sqref>W4:W454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1FE1-0E5F-4896-8CFE-748AE677D252}">
  <dimension ref="B1:X34"/>
  <sheetViews>
    <sheetView topLeftCell="A4" workbookViewId="0">
      <pane xSplit="3" ySplit="1" topLeftCell="D5" activePane="bottomRight" state="frozen"/>
      <selection pane="topRight" activeCell="D4" sqref="D4"/>
      <selection pane="bottomLeft" activeCell="A5" sqref="A5"/>
      <selection pane="bottomRight" activeCell="B5" sqref="B5"/>
    </sheetView>
  </sheetViews>
  <sheetFormatPr defaultColWidth="8.81640625" defaultRowHeight="14.5"/>
  <cols>
    <col min="1" max="1" width="0.81640625" customWidth="1"/>
    <col min="3" max="3" width="10.1796875" bestFit="1" customWidth="1"/>
    <col min="4" max="4" width="12.1796875" customWidth="1"/>
    <col min="5" max="5" width="12.453125" customWidth="1"/>
    <col min="6" max="6" width="14.1796875" customWidth="1"/>
    <col min="7" max="7" width="13" customWidth="1"/>
    <col min="8" max="8" width="10.81640625" customWidth="1"/>
    <col min="10" max="10" width="11.81640625" customWidth="1"/>
    <col min="11" max="11" width="11.1796875" customWidth="1"/>
    <col min="12" max="12" width="18" customWidth="1"/>
    <col min="13" max="13" width="12.453125" customWidth="1"/>
    <col min="16" max="16" width="69.26953125" bestFit="1" customWidth="1"/>
    <col min="20" max="20" width="29.453125" bestFit="1" customWidth="1"/>
    <col min="22" max="22" width="9.453125" customWidth="1"/>
    <col min="23" max="23" width="8.81640625" bestFit="1" customWidth="1"/>
    <col min="24" max="24" width="19.453125" customWidth="1"/>
  </cols>
  <sheetData>
    <row r="1" spans="2:24" hidden="1"/>
    <row r="2" spans="2:24" hidden="1"/>
    <row r="3" spans="2:24" hidden="1">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c r="B4" s="2" t="s">
        <v>6</v>
      </c>
      <c r="C4" s="4" t="s">
        <v>55</v>
      </c>
      <c r="D4" s="3" t="s">
        <v>56</v>
      </c>
      <c r="E4" s="3" t="s">
        <v>57</v>
      </c>
      <c r="F4" s="3" t="s">
        <v>362</v>
      </c>
      <c r="G4" s="3" t="s">
        <v>102</v>
      </c>
      <c r="H4" s="3" t="s">
        <v>58</v>
      </c>
      <c r="I4" s="3" t="s">
        <v>36</v>
      </c>
      <c r="J4" s="3" t="s">
        <v>104</v>
      </c>
      <c r="K4" s="3" t="s">
        <v>105</v>
      </c>
      <c r="L4" s="3" t="s">
        <v>363</v>
      </c>
      <c r="M4" s="3" t="s">
        <v>372</v>
      </c>
      <c r="N4" s="3" t="s">
        <v>373</v>
      </c>
      <c r="O4" s="3" t="s">
        <v>374</v>
      </c>
      <c r="P4" s="3" t="s">
        <v>377</v>
      </c>
      <c r="Q4" s="3" t="s">
        <v>378</v>
      </c>
      <c r="R4" s="3" t="s">
        <v>381</v>
      </c>
      <c r="S4" s="3" t="s">
        <v>385</v>
      </c>
      <c r="T4" s="3" t="s">
        <v>386</v>
      </c>
      <c r="U4" s="3" t="s">
        <v>387</v>
      </c>
      <c r="V4" s="3" t="s">
        <v>388</v>
      </c>
      <c r="W4" s="3" t="s">
        <v>389</v>
      </c>
      <c r="X4" s="5" t="s">
        <v>390</v>
      </c>
    </row>
    <row r="5" spans="2:24">
      <c r="B5" s="89">
        <v>1</v>
      </c>
      <c r="C5" s="78">
        <v>45745</v>
      </c>
      <c r="D5" s="84" t="s">
        <v>477</v>
      </c>
      <c r="E5" s="6">
        <v>2025</v>
      </c>
      <c r="F5" s="84" t="s">
        <v>360</v>
      </c>
      <c r="G5" s="84" t="s">
        <v>360</v>
      </c>
      <c r="H5" s="90">
        <v>45717</v>
      </c>
      <c r="I5" s="77">
        <f>DAY(EOMONTH(GA[[#This Row],[Month Year]],0))</f>
        <v>31</v>
      </c>
      <c r="J5" s="80">
        <v>0.28402777777777777</v>
      </c>
      <c r="K5" s="80">
        <v>0.79236111111111107</v>
      </c>
      <c r="L5" s="68">
        <f>IFERROR((PA[[#This Row],[Sunset Time (POA&lt;20 W/m2)]]-PA[[#This Row],[Sunrise Time (POA&gt;20 W/m2)]])*24,"")</f>
        <v>12.349999999999998</v>
      </c>
      <c r="M5" s="91" t="s">
        <v>498</v>
      </c>
      <c r="N5" s="76">
        <v>335091.66500000004</v>
      </c>
      <c r="O5" s="72">
        <f>GA[[#This Row],[DC Capacity Affected (kW)]]/'Basic Data '!$S$2</f>
        <v>1.0000019845355441</v>
      </c>
      <c r="P5" s="253" t="s">
        <v>501</v>
      </c>
      <c r="Q5" s="83">
        <v>0.90972222222222221</v>
      </c>
      <c r="R5" s="83">
        <v>0.18680555555555556</v>
      </c>
      <c r="S5" s="87"/>
      <c r="T5" s="86" t="s">
        <v>499</v>
      </c>
      <c r="U5" s="92" t="s">
        <v>422</v>
      </c>
      <c r="V5" s="68">
        <f>GA[[#This Row],[Breakdown Time]]*GA[[#This Row],[Plant Equivalent Weightage]]</f>
        <v>0</v>
      </c>
      <c r="W5" s="79"/>
      <c r="X5" s="88"/>
    </row>
    <row r="6" spans="2:24">
      <c r="B6" s="89">
        <f>B5+1</f>
        <v>2</v>
      </c>
      <c r="C6" s="78">
        <v>45746</v>
      </c>
      <c r="D6" s="84" t="s">
        <v>477</v>
      </c>
      <c r="E6" s="6">
        <v>2025</v>
      </c>
      <c r="F6" s="84" t="s">
        <v>360</v>
      </c>
      <c r="G6" s="84" t="s">
        <v>360</v>
      </c>
      <c r="H6" s="90">
        <v>45717</v>
      </c>
      <c r="I6" s="77">
        <f>DAY(EOMONTH(GA[[#This Row],[Month Year]],0))</f>
        <v>31</v>
      </c>
      <c r="J6" s="80">
        <v>0.28194444444444444</v>
      </c>
      <c r="K6" s="80">
        <v>0.79374999999999996</v>
      </c>
      <c r="L6" s="68">
        <f>IFERROR((PA[[#This Row],[Sunset Time (POA&lt;20 W/m2)]]-PA[[#This Row],[Sunrise Time (POA&gt;20 W/m2)]])*24,"")</f>
        <v>12.466666666666665</v>
      </c>
      <c r="M6" s="91" t="s">
        <v>498</v>
      </c>
      <c r="N6" s="76">
        <v>335091.66500000004</v>
      </c>
      <c r="O6" s="72">
        <f>GA[[#This Row],[DC Capacity Affected (kW)]]/'Basic Data '!$S$2</f>
        <v>1.0000019845355441</v>
      </c>
      <c r="P6" s="253" t="s">
        <v>501</v>
      </c>
      <c r="Q6" s="83">
        <v>0.8125</v>
      </c>
      <c r="R6" s="83">
        <v>0.28611111111111109</v>
      </c>
      <c r="S6" s="87"/>
      <c r="T6" s="86" t="s">
        <v>499</v>
      </c>
      <c r="U6" s="92" t="s">
        <v>422</v>
      </c>
      <c r="V6" s="68">
        <f>GA[[#This Row],[Breakdown Time]]*GA[[#This Row],[Plant Equivalent Weightage]]</f>
        <v>0</v>
      </c>
      <c r="W6" s="79"/>
      <c r="X6" s="88"/>
    </row>
    <row r="7" spans="2:24">
      <c r="B7" s="89">
        <f t="shared" ref="B7:B33" si="1">B6+1</f>
        <v>3</v>
      </c>
      <c r="C7" s="78">
        <v>45747</v>
      </c>
      <c r="D7" s="84" t="s">
        <v>477</v>
      </c>
      <c r="E7" s="6">
        <v>2025</v>
      </c>
      <c r="F7" s="84" t="s">
        <v>360</v>
      </c>
      <c r="G7" s="84" t="s">
        <v>360</v>
      </c>
      <c r="H7" s="90">
        <v>45717</v>
      </c>
      <c r="I7" s="77">
        <f>DAY(EOMONTH(GA[[#This Row],[Month Year]],0))</f>
        <v>31</v>
      </c>
      <c r="J7" s="80">
        <v>0.28125</v>
      </c>
      <c r="K7" s="80">
        <v>0.79305555555555551</v>
      </c>
      <c r="L7" s="68">
        <f>IFERROR((PA[[#This Row],[Sunset Time (POA&lt;20 W/m2)]]-PA[[#This Row],[Sunrise Time (POA&gt;20 W/m2)]])*24,"")</f>
        <v>12.499999999999998</v>
      </c>
      <c r="M7" s="91" t="s">
        <v>498</v>
      </c>
      <c r="N7" s="76">
        <v>335091.66500000004</v>
      </c>
      <c r="O7" s="72">
        <f>GA[[#This Row],[DC Capacity Affected (kW)]]/'Basic Data '!$S$2</f>
        <v>1.0000019845355441</v>
      </c>
      <c r="P7" s="253" t="s">
        <v>501</v>
      </c>
      <c r="Q7" s="83">
        <v>0.28125</v>
      </c>
      <c r="R7" s="83">
        <v>0.30416666666666664</v>
      </c>
      <c r="S7" s="87">
        <f>(GA[[#This Row],[Work Completion time on fault]]-GA[[#This Row],[Fault Time]])*24</f>
        <v>0.54999999999999938</v>
      </c>
      <c r="T7" s="86" t="s">
        <v>499</v>
      </c>
      <c r="U7" s="92" t="s">
        <v>422</v>
      </c>
      <c r="V7" s="68">
        <f>GA[[#This Row],[Breakdown Time]]*GA[[#This Row],[Plant Equivalent Weightage]]</f>
        <v>0.55000109149454868</v>
      </c>
      <c r="W7" s="115">
        <v>2.5243897216666668E-2</v>
      </c>
      <c r="X7" s="210">
        <v>6940.6094880218134</v>
      </c>
    </row>
    <row r="8" spans="2:24">
      <c r="B8" s="89">
        <f t="shared" si="1"/>
        <v>4</v>
      </c>
      <c r="C8" s="78">
        <v>45761</v>
      </c>
      <c r="D8" s="84" t="s">
        <v>477</v>
      </c>
      <c r="E8" s="6">
        <v>2025</v>
      </c>
      <c r="F8" s="84" t="s">
        <v>361</v>
      </c>
      <c r="G8" s="84" t="s">
        <v>361</v>
      </c>
      <c r="H8" s="90">
        <v>45748</v>
      </c>
      <c r="I8" s="77">
        <f>DAY(EOMONTH(GA[[#This Row],[Month Year]],0))</f>
        <v>30</v>
      </c>
      <c r="J8" s="80">
        <v>0.27638888888888891</v>
      </c>
      <c r="K8" s="80">
        <v>0.79583333333333328</v>
      </c>
      <c r="L8" s="68">
        <f>IFERROR((PA[[#This Row],[Sunset Time (POA&lt;20 W/m2)]]-PA[[#This Row],[Sunrise Time (POA&gt;20 W/m2)]])*24,"")</f>
        <v>12.499999999999998</v>
      </c>
      <c r="M8" s="91" t="s">
        <v>498</v>
      </c>
      <c r="N8" s="76">
        <v>335091.66500000004</v>
      </c>
      <c r="O8" s="72">
        <f>GA[[#This Row],[DC Capacity Affected (kW)]]/'Basic Data '!$S$2</f>
        <v>1.0000019845355441</v>
      </c>
      <c r="P8" s="253" t="s">
        <v>502</v>
      </c>
      <c r="Q8" s="83">
        <v>0.44791666666666669</v>
      </c>
      <c r="R8" s="83">
        <v>0.67361111111111116</v>
      </c>
      <c r="S8" s="87">
        <f>(GA[[#This Row],[Work Completion time on fault]]-GA[[#This Row],[Fault Time]])*24</f>
        <v>5.4166666666666679</v>
      </c>
      <c r="T8" s="86" t="s">
        <v>499</v>
      </c>
      <c r="U8" s="92" t="s">
        <v>422</v>
      </c>
      <c r="V8" s="68">
        <f>GA[[#This Row],[Breakdown Time]]*GA[[#This Row],[Plant Equivalent Weightage]]</f>
        <v>5.4166774162341982</v>
      </c>
      <c r="W8" s="115">
        <v>4.8760000000000003</v>
      </c>
      <c r="X8" s="210">
        <v>1317626.8056077959</v>
      </c>
    </row>
    <row r="9" spans="2:24">
      <c r="B9" s="89">
        <f t="shared" si="1"/>
        <v>5</v>
      </c>
      <c r="C9" s="78">
        <v>45772</v>
      </c>
      <c r="D9" s="84" t="s">
        <v>477</v>
      </c>
      <c r="E9" s="6">
        <v>2025</v>
      </c>
      <c r="F9" s="84" t="s">
        <v>361</v>
      </c>
      <c r="G9" s="84" t="s">
        <v>361</v>
      </c>
      <c r="H9" s="90">
        <v>45748</v>
      </c>
      <c r="I9" s="77">
        <f>DAY(EOMONTH(GA[[#This Row],[Month Year]],0))</f>
        <v>30</v>
      </c>
      <c r="J9" s="80">
        <v>0.26944444444444443</v>
      </c>
      <c r="K9" s="80">
        <v>0.7993055555555556</v>
      </c>
      <c r="L9" s="68">
        <f>IFERROR((PA[[#This Row],[Sunset Time (POA&lt;20 W/m2)]]-PA[[#This Row],[Sunrise Time (POA&gt;20 W/m2)]])*24,"")</f>
        <v>12.55</v>
      </c>
      <c r="M9" s="91" t="s">
        <v>498</v>
      </c>
      <c r="N9" s="76">
        <v>335091.66500000004</v>
      </c>
      <c r="O9" s="72">
        <f>GA[[#This Row],[DC Capacity Affected (kW)]]/'Basic Data '!$S$2</f>
        <v>1.0000019845355441</v>
      </c>
      <c r="P9" s="253" t="s">
        <v>503</v>
      </c>
      <c r="Q9" s="83">
        <v>0.76736111111111116</v>
      </c>
      <c r="R9" s="83">
        <v>0.13125000000000001</v>
      </c>
      <c r="S9" s="87">
        <v>8.44</v>
      </c>
      <c r="T9" s="86" t="s">
        <v>499</v>
      </c>
      <c r="U9" s="92" t="s">
        <v>422</v>
      </c>
      <c r="V9" s="68">
        <f>GA[[#This Row],[Breakdown Time]]*GA[[#This Row],[Plant Equivalent Weightage]]</f>
        <v>8.4400167494799927</v>
      </c>
      <c r="W9" s="115"/>
      <c r="X9" s="210"/>
    </row>
    <row r="10" spans="2:24">
      <c r="B10" s="89">
        <f t="shared" si="1"/>
        <v>6</v>
      </c>
      <c r="C10" s="78">
        <v>45782</v>
      </c>
      <c r="D10" s="84" t="s">
        <v>477</v>
      </c>
      <c r="E10" s="6">
        <v>2025</v>
      </c>
      <c r="F10" s="84" t="s">
        <v>361</v>
      </c>
      <c r="G10" s="84" t="s">
        <v>361</v>
      </c>
      <c r="H10" s="90">
        <v>45778</v>
      </c>
      <c r="I10" s="77">
        <f>DAY(EOMONTH(GA[[#This Row],[Month Year]],0))</f>
        <v>31</v>
      </c>
      <c r="J10" s="80">
        <v>0.31111111111111112</v>
      </c>
      <c r="K10" s="80">
        <v>0.80069444444444449</v>
      </c>
      <c r="L10" s="68">
        <f>IFERROR((PA[[#This Row],[Sunset Time (POA&lt;20 W/m2)]]-PA[[#This Row],[Sunrise Time (POA&gt;20 W/m2)]])*24,"")</f>
        <v>12.766666666666669</v>
      </c>
      <c r="M10" s="91" t="s">
        <v>498</v>
      </c>
      <c r="N10" s="76">
        <v>335091.66500000004</v>
      </c>
      <c r="O10" s="72">
        <f>GA[[#This Row],[DC Capacity Affected (kW)]]/'Basic Data '!$S$2</f>
        <v>1.0000019845355441</v>
      </c>
      <c r="P10" s="253" t="s">
        <v>2530</v>
      </c>
      <c r="Q10" s="83">
        <v>0.49444444444444446</v>
      </c>
      <c r="R10" s="83">
        <v>0.59166666666666667</v>
      </c>
      <c r="S10" s="87">
        <f>(GA[[#This Row],[Work Completion time on fault]]-GA[[#This Row],[Fault Time]])*24</f>
        <v>2.333333333333333</v>
      </c>
      <c r="T10" s="86" t="s">
        <v>499</v>
      </c>
      <c r="U10" s="92" t="s">
        <v>422</v>
      </c>
      <c r="V10" s="68">
        <f>GA[[#This Row],[Breakdown Time]]*GA[[#This Row],[Plant Equivalent Weightage]]</f>
        <v>2.3333379639162692</v>
      </c>
      <c r="W10" s="115">
        <v>1.9244043333333332</v>
      </c>
      <c r="X10" s="210">
        <v>525936</v>
      </c>
    </row>
    <row r="11" spans="2:24">
      <c r="B11" s="89">
        <f t="shared" si="1"/>
        <v>7</v>
      </c>
      <c r="C11" s="254">
        <v>45789</v>
      </c>
      <c r="D11" s="84" t="s">
        <v>477</v>
      </c>
      <c r="E11" s="6">
        <v>2025</v>
      </c>
      <c r="F11" s="84" t="s">
        <v>361</v>
      </c>
      <c r="G11" s="84" t="s">
        <v>361</v>
      </c>
      <c r="H11" s="90">
        <v>45778</v>
      </c>
      <c r="I11" s="77">
        <f>DAY(EOMONTH(GA[[#This Row],[Month Year]],0))</f>
        <v>31</v>
      </c>
      <c r="J11" s="255">
        <v>0.26458333333333334</v>
      </c>
      <c r="K11" s="255">
        <v>0.80347222222222225</v>
      </c>
      <c r="L11" s="68">
        <f>IFERROR((PA[[#This Row],[Sunset Time (POA&lt;20 W/m2)]]-PA[[#This Row],[Sunrise Time (POA&gt;20 W/m2)]])*24,"")</f>
        <v>12.766666666666669</v>
      </c>
      <c r="M11" s="91" t="s">
        <v>498</v>
      </c>
      <c r="N11" s="68"/>
      <c r="O11" s="72">
        <f>GA[[#This Row],[DC Capacity Affected (kW)]]/'Basic Data '!$S$2</f>
        <v>0</v>
      </c>
      <c r="P11" s="253" t="s">
        <v>2575</v>
      </c>
      <c r="Q11" s="83">
        <v>0.53333333333333333</v>
      </c>
      <c r="R11" s="83">
        <v>0.62986111111111109</v>
      </c>
      <c r="S11" s="87"/>
      <c r="T11" s="86"/>
      <c r="U11" s="92" t="s">
        <v>422</v>
      </c>
      <c r="V11" s="68">
        <f>GA[[#This Row],[Breakdown Time]]*GA[[#This Row],[Plant Equivalent Weightage]]</f>
        <v>0</v>
      </c>
      <c r="W11" s="79">
        <v>2.125</v>
      </c>
      <c r="X11" s="88">
        <v>82821.875</v>
      </c>
    </row>
    <row r="12" spans="2:24">
      <c r="B12" s="89">
        <f t="shared" si="1"/>
        <v>8</v>
      </c>
      <c r="C12" s="254">
        <v>45790</v>
      </c>
      <c r="D12" s="84" t="s">
        <v>477</v>
      </c>
      <c r="E12" s="6">
        <v>2025</v>
      </c>
      <c r="F12" s="84" t="s">
        <v>361</v>
      </c>
      <c r="G12" s="84" t="s">
        <v>361</v>
      </c>
      <c r="H12" s="90">
        <v>45778</v>
      </c>
      <c r="I12" s="77">
        <f>DAY(EOMONTH(GA[[#This Row],[Month Year]],0))</f>
        <v>31</v>
      </c>
      <c r="J12" s="255">
        <v>0.26111111111111113</v>
      </c>
      <c r="K12" s="255">
        <v>0.8041666666666667</v>
      </c>
      <c r="L12" s="68">
        <f>IFERROR((PA[[#This Row],[Sunset Time (POA&lt;20 W/m2)]]-PA[[#This Row],[Sunrise Time (POA&gt;20 W/m2)]])*24,"")</f>
        <v>12.766666666666669</v>
      </c>
      <c r="M12" s="91" t="s">
        <v>498</v>
      </c>
      <c r="N12" s="68"/>
      <c r="O12" s="72">
        <f>GA[[#This Row],[DC Capacity Affected (kW)]]/'Basic Data '!$S$2</f>
        <v>0</v>
      </c>
      <c r="P12" s="253" t="s">
        <v>2574</v>
      </c>
      <c r="Q12" s="83">
        <v>0.50208333333333333</v>
      </c>
      <c r="R12" s="83">
        <v>0.57847222222222228</v>
      </c>
      <c r="S12" s="87"/>
      <c r="T12" s="86"/>
      <c r="U12" s="92" t="s">
        <v>422</v>
      </c>
      <c r="V12" s="68">
        <f>GA[[#This Row],[Breakdown Time]]*GA[[#This Row],[Plant Equivalent Weightage]]</f>
        <v>0</v>
      </c>
      <c r="W12" s="79">
        <v>1.79</v>
      </c>
      <c r="X12" s="88">
        <v>36077.449999999997</v>
      </c>
    </row>
    <row r="13" spans="2:24">
      <c r="B13" s="89">
        <f t="shared" si="1"/>
        <v>9</v>
      </c>
      <c r="C13" s="254">
        <v>45795</v>
      </c>
      <c r="D13" s="84" t="s">
        <v>477</v>
      </c>
      <c r="E13" s="6">
        <v>2025</v>
      </c>
      <c r="F13" s="84" t="s">
        <v>361</v>
      </c>
      <c r="G13" s="84" t="s">
        <v>361</v>
      </c>
      <c r="H13" s="90">
        <v>45778</v>
      </c>
      <c r="I13" s="77">
        <f>DAY(EOMONTH(GA[[#This Row],[Month Year]],0))</f>
        <v>31</v>
      </c>
      <c r="J13" s="255">
        <v>0.26319444444444445</v>
      </c>
      <c r="K13" s="255">
        <v>0.80694444444444446</v>
      </c>
      <c r="L13" s="68">
        <f>IFERROR((PA[[#This Row],[Sunset Time (POA&lt;20 W/m2)]]-PA[[#This Row],[Sunrise Time (POA&gt;20 W/m2)]])*24,"")</f>
        <v>12.766666666666669</v>
      </c>
      <c r="M13" s="91" t="s">
        <v>498</v>
      </c>
      <c r="N13" s="68"/>
      <c r="O13" s="72">
        <f>GA[[#This Row],[DC Capacity Affected (kW)]]/'Basic Data '!$S$2</f>
        <v>0</v>
      </c>
      <c r="P13" s="253" t="s">
        <v>2574</v>
      </c>
      <c r="Q13" s="83">
        <v>0.50347222222222221</v>
      </c>
      <c r="R13" s="83">
        <v>0.59375</v>
      </c>
      <c r="S13" s="87"/>
      <c r="T13" s="86"/>
      <c r="U13" s="92" t="s">
        <v>422</v>
      </c>
      <c r="V13" s="68">
        <f>GA[[#This Row],[Breakdown Time]]*GA[[#This Row],[Plant Equivalent Weightage]]</f>
        <v>0</v>
      </c>
      <c r="W13" s="79">
        <v>2.08</v>
      </c>
      <c r="X13" s="88">
        <v>41615.599999999999</v>
      </c>
    </row>
    <row r="14" spans="2:24">
      <c r="B14" s="89">
        <f t="shared" si="1"/>
        <v>10</v>
      </c>
      <c r="C14" s="254">
        <v>45796</v>
      </c>
      <c r="D14" s="84" t="s">
        <v>477</v>
      </c>
      <c r="E14" s="6">
        <v>2025</v>
      </c>
      <c r="F14" s="84" t="s">
        <v>361</v>
      </c>
      <c r="G14" s="84" t="s">
        <v>361</v>
      </c>
      <c r="H14" s="90">
        <v>45778</v>
      </c>
      <c r="I14" s="77">
        <f>DAY(EOMONTH(GA[[#This Row],[Month Year]],0))</f>
        <v>31</v>
      </c>
      <c r="J14" s="255">
        <v>0.26180555555555557</v>
      </c>
      <c r="K14" s="255">
        <v>0.80763888888888891</v>
      </c>
      <c r="L14" s="68">
        <f>IFERROR((PA[[#This Row],[Sunset Time (POA&lt;20 W/m2)]]-PA[[#This Row],[Sunrise Time (POA&gt;20 W/m2)]])*24,"")</f>
        <v>12.766666666666669</v>
      </c>
      <c r="M14" s="91" t="s">
        <v>498</v>
      </c>
      <c r="N14" s="68"/>
      <c r="O14" s="72">
        <f>GA[[#This Row],[DC Capacity Affected (kW)]]/'Basic Data '!$S$2</f>
        <v>0</v>
      </c>
      <c r="P14" s="253" t="s">
        <v>2574</v>
      </c>
      <c r="Q14" s="83">
        <v>0.42708333333333331</v>
      </c>
      <c r="R14" s="83">
        <v>0.62777777777777777</v>
      </c>
      <c r="S14" s="87"/>
      <c r="T14" s="86"/>
      <c r="U14" s="92" t="s">
        <v>422</v>
      </c>
      <c r="V14" s="68">
        <f>GA[[#This Row],[Breakdown Time]]*GA[[#This Row],[Plant Equivalent Weightage]]</f>
        <v>0</v>
      </c>
      <c r="W14" s="79">
        <v>4.4450000000000003</v>
      </c>
      <c r="X14" s="88">
        <v>87255.35</v>
      </c>
    </row>
    <row r="15" spans="2:24">
      <c r="B15" s="89">
        <f t="shared" si="1"/>
        <v>11</v>
      </c>
      <c r="C15" s="254">
        <v>45800</v>
      </c>
      <c r="D15" s="84" t="s">
        <v>477</v>
      </c>
      <c r="E15" s="6">
        <v>2025</v>
      </c>
      <c r="F15" s="84" t="s">
        <v>361</v>
      </c>
      <c r="G15" s="84" t="s">
        <v>361</v>
      </c>
      <c r="H15" s="90">
        <v>45778</v>
      </c>
      <c r="I15" s="77">
        <f>DAY(EOMONTH(GA[[#This Row],[Month Year]],0))</f>
        <v>31</v>
      </c>
      <c r="J15" s="255">
        <v>0.26319444444444445</v>
      </c>
      <c r="K15" s="255">
        <v>0.81041666666666667</v>
      </c>
      <c r="L15" s="68">
        <f>IFERROR((PA[[#This Row],[Sunset Time (POA&lt;20 W/m2)]]-PA[[#This Row],[Sunrise Time (POA&gt;20 W/m2)]])*24,"")</f>
        <v>12.766666666666669</v>
      </c>
      <c r="M15" s="91" t="s">
        <v>498</v>
      </c>
      <c r="N15" s="68"/>
      <c r="O15" s="72">
        <f>GA[[#This Row],[DC Capacity Affected (kW)]]/'Basic Data '!$S$2</f>
        <v>0</v>
      </c>
      <c r="P15" s="253" t="s">
        <v>2574</v>
      </c>
      <c r="Q15" s="83">
        <v>0.47291666666666665</v>
      </c>
      <c r="R15" s="83">
        <v>0.56527777777777777</v>
      </c>
      <c r="S15" s="87"/>
      <c r="T15" s="86"/>
      <c r="U15" s="92" t="s">
        <v>422</v>
      </c>
      <c r="V15" s="68">
        <f>GA[[#This Row],[Breakdown Time]]*GA[[#This Row],[Plant Equivalent Weightage]]</f>
        <v>0</v>
      </c>
      <c r="W15" s="79">
        <v>2.2069999999999999</v>
      </c>
      <c r="X15" s="88">
        <v>43891.712499999994</v>
      </c>
    </row>
    <row r="16" spans="2:24">
      <c r="B16" s="89">
        <f t="shared" si="1"/>
        <v>12</v>
      </c>
      <c r="C16" s="256">
        <v>45808</v>
      </c>
      <c r="D16" s="84" t="s">
        <v>477</v>
      </c>
      <c r="E16" s="6">
        <v>2025</v>
      </c>
      <c r="F16" s="84" t="s">
        <v>361</v>
      </c>
      <c r="G16" s="84" t="s">
        <v>361</v>
      </c>
      <c r="H16" s="90">
        <v>45778</v>
      </c>
      <c r="I16" s="85">
        <f>DAY(EOMONTH(GA[[#This Row],[Month Year]],0))</f>
        <v>31</v>
      </c>
      <c r="J16" s="257">
        <v>0.26319444444444445</v>
      </c>
      <c r="K16" s="257">
        <v>0.81041666666666667</v>
      </c>
      <c r="L16" s="74">
        <f>IFERROR((PA[[#This Row],[Sunset Time (POA&lt;20 W/m2)]]-PA[[#This Row],[Sunrise Time (POA&gt;20 W/m2)]])*24,"")</f>
        <v>12.766666666666669</v>
      </c>
      <c r="M16" s="91" t="s">
        <v>498</v>
      </c>
      <c r="N16" s="74"/>
      <c r="O16" s="75">
        <f>GA[[#This Row],[DC Capacity Affected (kW)]]/'Basic Data '!$S$2</f>
        <v>0</v>
      </c>
      <c r="P16" s="253" t="s">
        <v>2574</v>
      </c>
      <c r="Q16" s="93">
        <v>0.48958333333333331</v>
      </c>
      <c r="R16" s="93">
        <v>0.57638888888888884</v>
      </c>
      <c r="S16" s="94"/>
      <c r="T16" s="92"/>
      <c r="U16" s="92" t="s">
        <v>422</v>
      </c>
      <c r="V16" s="74">
        <f>GA[[#This Row],[Breakdown Time]]*GA[[#This Row],[Plant Equivalent Weightage]]</f>
        <v>0</v>
      </c>
      <c r="W16" s="84">
        <v>1.9119999999999999</v>
      </c>
      <c r="X16" s="95">
        <v>38345.160000000003</v>
      </c>
    </row>
    <row r="17" spans="2:24">
      <c r="B17" s="89">
        <f t="shared" si="1"/>
        <v>13</v>
      </c>
      <c r="C17" s="256">
        <v>45809</v>
      </c>
      <c r="D17" s="84" t="s">
        <v>477</v>
      </c>
      <c r="E17" s="6">
        <v>2025</v>
      </c>
      <c r="F17" s="84" t="s">
        <v>361</v>
      </c>
      <c r="G17" s="84" t="s">
        <v>361</v>
      </c>
      <c r="H17" s="90">
        <v>45809</v>
      </c>
      <c r="I17" s="77">
        <f>DAY(EOMONTH(GA[[#This Row],[Month Year]],0))</f>
        <v>30</v>
      </c>
      <c r="J17" s="257">
        <v>0.27152777777777776</v>
      </c>
      <c r="K17" s="257">
        <v>0.80902777777777779</v>
      </c>
      <c r="L17" s="68">
        <f>IFERROR((PA[[#This Row],[Sunset Time (POA&lt;20 W/m2)]]-PA[[#This Row],[Sunrise Time (POA&gt;20 W/m2)]])*24,"")</f>
        <v>12.766666666666669</v>
      </c>
      <c r="M17" s="91" t="s">
        <v>498</v>
      </c>
      <c r="N17" s="68"/>
      <c r="O17" s="72">
        <f>GA[[#This Row],[DC Capacity Affected (kW)]]/'Basic Data '!$S$2</f>
        <v>0</v>
      </c>
      <c r="P17" s="253" t="s">
        <v>2568</v>
      </c>
      <c r="Q17" s="83">
        <v>0.42083333333333334</v>
      </c>
      <c r="R17" s="83">
        <v>0.57291666666666663</v>
      </c>
      <c r="S17" s="87"/>
      <c r="T17" s="86"/>
      <c r="U17" s="92" t="s">
        <v>422</v>
      </c>
      <c r="V17" s="68">
        <f>GA[[#This Row],[Breakdown Time]]*GA[[#This Row],[Plant Equivalent Weightage]]</f>
        <v>0</v>
      </c>
      <c r="W17" s="79">
        <v>3.1</v>
      </c>
      <c r="X17" s="88">
        <v>196137</v>
      </c>
    </row>
    <row r="18" spans="2:24">
      <c r="B18" s="89">
        <f t="shared" si="1"/>
        <v>14</v>
      </c>
      <c r="C18" s="256">
        <v>45810</v>
      </c>
      <c r="D18" s="84" t="s">
        <v>477</v>
      </c>
      <c r="E18" s="6">
        <v>2025</v>
      </c>
      <c r="F18" s="84" t="s">
        <v>361</v>
      </c>
      <c r="G18" s="84" t="s">
        <v>361</v>
      </c>
      <c r="H18" s="90">
        <v>45809</v>
      </c>
      <c r="I18" s="77">
        <f>DAY(EOMONTH(GA[[#This Row],[Month Year]],0))</f>
        <v>30</v>
      </c>
      <c r="J18" s="257">
        <v>0.26250000000000001</v>
      </c>
      <c r="K18" s="257">
        <v>0.81041666666666667</v>
      </c>
      <c r="L18" s="68">
        <f>IFERROR((PA[[#This Row],[Sunset Time (POA&lt;20 W/m2)]]-PA[[#This Row],[Sunrise Time (POA&gt;20 W/m2)]])*24,"")</f>
        <v>12.766666666666669</v>
      </c>
      <c r="M18" s="91" t="s">
        <v>498</v>
      </c>
      <c r="N18" s="68"/>
      <c r="O18" s="72">
        <f>GA[[#This Row],[DC Capacity Affected (kW)]]/'Basic Data '!$S$2</f>
        <v>0</v>
      </c>
      <c r="P18" s="253" t="s">
        <v>2574</v>
      </c>
      <c r="Q18" s="83">
        <v>0.49305555555555558</v>
      </c>
      <c r="R18" s="83">
        <v>0.59027777777777779</v>
      </c>
      <c r="S18" s="87"/>
      <c r="T18" s="86"/>
      <c r="U18" s="92" t="s">
        <v>422</v>
      </c>
      <c r="V18" s="68">
        <f>GA[[#This Row],[Breakdown Time]]*GA[[#This Row],[Plant Equivalent Weightage]]</f>
        <v>0</v>
      </c>
      <c r="W18" s="79">
        <v>2.16</v>
      </c>
      <c r="X18" s="88">
        <v>43178.400000000001</v>
      </c>
    </row>
    <row r="19" spans="2:24">
      <c r="B19" s="89">
        <f t="shared" si="1"/>
        <v>15</v>
      </c>
      <c r="C19" s="256">
        <v>45811</v>
      </c>
      <c r="D19" s="84" t="s">
        <v>477</v>
      </c>
      <c r="E19" s="6">
        <v>2025</v>
      </c>
      <c r="F19" s="84" t="s">
        <v>361</v>
      </c>
      <c r="G19" s="84" t="s">
        <v>361</v>
      </c>
      <c r="H19" s="90">
        <v>45809</v>
      </c>
      <c r="I19" s="77">
        <f>DAY(EOMONTH(GA[[#This Row],[Month Year]],0))</f>
        <v>30</v>
      </c>
      <c r="J19" s="255">
        <v>0.26111111111111113</v>
      </c>
      <c r="K19" s="255">
        <v>0.80972222222222223</v>
      </c>
      <c r="L19" s="68">
        <f>IFERROR((PA[[#This Row],[Sunset Time (POA&lt;20 W/m2)]]-PA[[#This Row],[Sunrise Time (POA&gt;20 W/m2)]])*24,"")</f>
        <v>12.766666666666669</v>
      </c>
      <c r="M19" s="91" t="s">
        <v>498</v>
      </c>
      <c r="N19" s="68"/>
      <c r="O19" s="72">
        <f>GA[[#This Row],[DC Capacity Affected (kW)]]/'Basic Data '!$S$2</f>
        <v>0</v>
      </c>
      <c r="P19" s="253" t="s">
        <v>2574</v>
      </c>
      <c r="Q19" s="83">
        <v>0.51736111111111116</v>
      </c>
      <c r="R19" s="83">
        <v>0.58402777777777781</v>
      </c>
      <c r="S19" s="87"/>
      <c r="T19" s="86"/>
      <c r="U19" s="92" t="s">
        <v>422</v>
      </c>
      <c r="V19" s="68">
        <f>GA[[#This Row],[Breakdown Time]]*GA[[#This Row],[Plant Equivalent Weightage]]</f>
        <v>0</v>
      </c>
      <c r="W19" s="79">
        <v>1.46</v>
      </c>
      <c r="X19" s="88">
        <v>29889.85</v>
      </c>
    </row>
    <row r="20" spans="2:24">
      <c r="B20" s="89">
        <f t="shared" si="1"/>
        <v>16</v>
      </c>
      <c r="C20" s="256">
        <v>45812</v>
      </c>
      <c r="D20" s="84" t="s">
        <v>477</v>
      </c>
      <c r="E20" s="6">
        <v>2025</v>
      </c>
      <c r="F20" s="84" t="s">
        <v>361</v>
      </c>
      <c r="G20" s="84" t="s">
        <v>361</v>
      </c>
      <c r="H20" s="90">
        <v>45809</v>
      </c>
      <c r="I20" s="77">
        <f>DAY(EOMONTH(GA[[#This Row],[Month Year]],0))</f>
        <v>30</v>
      </c>
      <c r="J20" s="255">
        <v>0.26180555555555557</v>
      </c>
      <c r="K20" s="255">
        <v>0.80902777777777779</v>
      </c>
      <c r="L20" s="68">
        <f>IFERROR((PA[[#This Row],[Sunset Time (POA&lt;20 W/m2)]]-PA[[#This Row],[Sunrise Time (POA&gt;20 W/m2)]])*24,"")</f>
        <v>12.766666666666669</v>
      </c>
      <c r="M20" s="91" t="s">
        <v>498</v>
      </c>
      <c r="N20" s="68"/>
      <c r="O20" s="72">
        <f>GA[[#This Row],[DC Capacity Affected (kW)]]/'Basic Data '!$S$2</f>
        <v>0</v>
      </c>
      <c r="P20" s="253" t="s">
        <v>2575</v>
      </c>
      <c r="Q20" s="83">
        <v>0.43819444444444444</v>
      </c>
      <c r="R20" s="83">
        <v>0.54097222222222219</v>
      </c>
      <c r="S20" s="87"/>
      <c r="T20" s="86"/>
      <c r="U20" s="92" t="s">
        <v>422</v>
      </c>
      <c r="V20" s="68">
        <f>GA[[#This Row],[Breakdown Time]]*GA[[#This Row],[Plant Equivalent Weightage]]</f>
        <v>0</v>
      </c>
      <c r="W20" s="79">
        <v>2.2000000000000002</v>
      </c>
      <c r="X20" s="88">
        <v>84524.000000000015</v>
      </c>
    </row>
    <row r="21" spans="2:24">
      <c r="B21" s="89">
        <f t="shared" si="1"/>
        <v>17</v>
      </c>
      <c r="C21" s="256">
        <v>45812</v>
      </c>
      <c r="D21" s="84" t="s">
        <v>477</v>
      </c>
      <c r="E21" s="6">
        <v>2025</v>
      </c>
      <c r="F21" s="84" t="s">
        <v>361</v>
      </c>
      <c r="G21" s="84" t="s">
        <v>361</v>
      </c>
      <c r="H21" s="90">
        <v>45809</v>
      </c>
      <c r="I21" s="77">
        <f>DAY(EOMONTH(GA[[#This Row],[Month Year]],0))</f>
        <v>30</v>
      </c>
      <c r="J21" s="255">
        <v>0.26180555555555557</v>
      </c>
      <c r="K21" s="255">
        <v>0.80902777777777779</v>
      </c>
      <c r="L21" s="68">
        <f>IFERROR((PA[[#This Row],[Sunset Time (POA&lt;20 W/m2)]]-PA[[#This Row],[Sunrise Time (POA&gt;20 W/m2)]])*24,"")</f>
        <v>12.766666666666669</v>
      </c>
      <c r="M21" s="91" t="s">
        <v>498</v>
      </c>
      <c r="N21" s="68"/>
      <c r="O21" s="72">
        <f>GA[[#This Row],[DC Capacity Affected (kW)]]/'Basic Data '!$S$2</f>
        <v>0</v>
      </c>
      <c r="P21" s="253" t="s">
        <v>2574</v>
      </c>
      <c r="Q21" s="83">
        <v>0.54097222222222219</v>
      </c>
      <c r="R21" s="83">
        <v>0.61388888888888893</v>
      </c>
      <c r="S21" s="87"/>
      <c r="T21" s="86"/>
      <c r="U21" s="92" t="s">
        <v>422</v>
      </c>
      <c r="V21" s="68">
        <f>GA[[#This Row],[Breakdown Time]]*GA[[#This Row],[Plant Equivalent Weightage]]</f>
        <v>0</v>
      </c>
      <c r="W21" s="79">
        <v>1.55</v>
      </c>
      <c r="X21" s="88">
        <v>29775.5</v>
      </c>
    </row>
    <row r="22" spans="2:24">
      <c r="B22" s="89">
        <f t="shared" si="1"/>
        <v>18</v>
      </c>
      <c r="C22" s="256">
        <v>45816</v>
      </c>
      <c r="D22" s="84" t="s">
        <v>477</v>
      </c>
      <c r="E22" s="6">
        <v>2025</v>
      </c>
      <c r="F22" s="84" t="s">
        <v>361</v>
      </c>
      <c r="G22" s="84" t="s">
        <v>361</v>
      </c>
      <c r="H22" s="90">
        <v>45809</v>
      </c>
      <c r="I22" s="77">
        <f>DAY(EOMONTH(GA[[#This Row],[Month Year]],0))</f>
        <v>30</v>
      </c>
      <c r="J22" s="255">
        <v>0.26041666666666669</v>
      </c>
      <c r="K22" s="255">
        <v>0.8125</v>
      </c>
      <c r="L22" s="68">
        <f>IFERROR((PA[[#This Row],[Sunset Time (POA&lt;20 W/m2)]]-PA[[#This Row],[Sunrise Time (POA&gt;20 W/m2)]])*24,"")</f>
        <v>12.716666666666667</v>
      </c>
      <c r="M22" s="91" t="s">
        <v>498</v>
      </c>
      <c r="N22" s="68"/>
      <c r="O22" s="72">
        <f>GA[[#This Row],[DC Capacity Affected (kW)]]/'Basic Data '!$S$2</f>
        <v>0</v>
      </c>
      <c r="P22" s="253" t="s">
        <v>2568</v>
      </c>
      <c r="Q22" s="83">
        <v>0.64375000000000004</v>
      </c>
      <c r="R22" s="83">
        <v>0.70486111111111116</v>
      </c>
      <c r="S22" s="87"/>
      <c r="T22" s="86"/>
      <c r="U22" s="92" t="s">
        <v>422</v>
      </c>
      <c r="V22" s="68">
        <f>GA[[#This Row],[Breakdown Time]]*GA[[#This Row],[Plant Equivalent Weightage]]</f>
        <v>0</v>
      </c>
      <c r="W22" s="79">
        <v>0.88100000000000001</v>
      </c>
      <c r="X22" s="88">
        <v>29456.675499999998</v>
      </c>
    </row>
    <row r="23" spans="2:24">
      <c r="B23" s="89">
        <f t="shared" si="1"/>
        <v>19</v>
      </c>
      <c r="C23" s="256">
        <v>45820</v>
      </c>
      <c r="D23" s="84" t="s">
        <v>477</v>
      </c>
      <c r="E23" s="6">
        <v>2025</v>
      </c>
      <c r="F23" s="84" t="s">
        <v>361</v>
      </c>
      <c r="G23" s="84" t="s">
        <v>361</v>
      </c>
      <c r="H23" s="90">
        <v>45809</v>
      </c>
      <c r="I23" s="77">
        <f>DAY(EOMONTH(GA[[#This Row],[Month Year]],0))</f>
        <v>30</v>
      </c>
      <c r="J23" s="255">
        <v>0.26041666666666669</v>
      </c>
      <c r="K23" s="255">
        <v>0.81388888888888888</v>
      </c>
      <c r="L23" s="68">
        <f>IFERROR((PA[[#This Row],[Sunset Time (POA&lt;20 W/m2)]]-PA[[#This Row],[Sunrise Time (POA&gt;20 W/m2)]])*24,"")</f>
        <v>12.716666666666667</v>
      </c>
      <c r="M23" s="91" t="s">
        <v>498</v>
      </c>
      <c r="N23" s="68"/>
      <c r="O23" s="72">
        <f>GA[[#This Row],[DC Capacity Affected (kW)]]/'Basic Data '!$S$2</f>
        <v>0</v>
      </c>
      <c r="P23" s="253" t="s">
        <v>2599</v>
      </c>
      <c r="Q23" s="83">
        <v>0.5756944444444444</v>
      </c>
      <c r="R23" s="83">
        <v>0.61319444444444449</v>
      </c>
      <c r="S23" s="87"/>
      <c r="T23" s="86"/>
      <c r="U23" s="92" t="s">
        <v>422</v>
      </c>
      <c r="V23" s="68">
        <f>GA[[#This Row],[Breakdown Time]]*GA[[#This Row],[Plant Equivalent Weightage]]</f>
        <v>0</v>
      </c>
      <c r="W23" s="79">
        <v>0.84199999999999997</v>
      </c>
      <c r="X23" s="88">
        <v>33309.519999999997</v>
      </c>
    </row>
    <row r="24" spans="2:24">
      <c r="B24" s="89">
        <f t="shared" si="1"/>
        <v>20</v>
      </c>
      <c r="C24" s="256">
        <v>45820</v>
      </c>
      <c r="D24" s="84" t="s">
        <v>477</v>
      </c>
      <c r="E24" s="6">
        <v>2025</v>
      </c>
      <c r="F24" s="84" t="s">
        <v>361</v>
      </c>
      <c r="G24" s="84" t="s">
        <v>361</v>
      </c>
      <c r="H24" s="90">
        <v>45809</v>
      </c>
      <c r="I24" s="77">
        <f>DAY(EOMONTH(GA[[#This Row],[Month Year]],0))</f>
        <v>30</v>
      </c>
      <c r="J24" s="255">
        <v>0.26041666666666669</v>
      </c>
      <c r="K24" s="255">
        <v>0.81388888888888888</v>
      </c>
      <c r="L24" s="68">
        <f>IFERROR((PA[[#This Row],[Sunset Time (POA&lt;20 W/m2)]]-PA[[#This Row],[Sunrise Time (POA&gt;20 W/m2)]])*24,"")</f>
        <v>12.716666666666667</v>
      </c>
      <c r="M24" s="91" t="s">
        <v>498</v>
      </c>
      <c r="N24" s="68"/>
      <c r="O24" s="72">
        <f>GA[[#This Row],[DC Capacity Affected (kW)]]/'Basic Data '!$S$2</f>
        <v>0</v>
      </c>
      <c r="P24" s="253" t="s">
        <v>2598</v>
      </c>
      <c r="Q24" s="83">
        <v>0.61388888888888893</v>
      </c>
      <c r="R24" s="83">
        <v>0.68541666666666667</v>
      </c>
      <c r="S24" s="87"/>
      <c r="T24" s="86"/>
      <c r="U24" s="92" t="s">
        <v>422</v>
      </c>
      <c r="V24" s="68">
        <f>GA[[#This Row],[Breakdown Time]]*GA[[#This Row],[Plant Equivalent Weightage]]</f>
        <v>0</v>
      </c>
      <c r="W24" s="79">
        <v>1.24</v>
      </c>
      <c r="X24" s="88">
        <v>68676.160000000003</v>
      </c>
    </row>
    <row r="25" spans="2:24">
      <c r="B25" s="89">
        <f t="shared" si="1"/>
        <v>21</v>
      </c>
      <c r="C25" s="256">
        <v>45821</v>
      </c>
      <c r="D25" s="84" t="s">
        <v>477</v>
      </c>
      <c r="E25" s="6">
        <v>2025</v>
      </c>
      <c r="F25" s="84" t="s">
        <v>361</v>
      </c>
      <c r="G25" s="84" t="s">
        <v>361</v>
      </c>
      <c r="H25" s="90">
        <v>45809</v>
      </c>
      <c r="I25" s="77">
        <f>DAY(EOMONTH(GA[[#This Row],[Month Year]],0))</f>
        <v>30</v>
      </c>
      <c r="J25" s="255">
        <v>0.26250000000000001</v>
      </c>
      <c r="K25" s="255">
        <v>0.81180555555555556</v>
      </c>
      <c r="L25" s="68">
        <f>IFERROR((PA[[#This Row],[Sunset Time (POA&lt;20 W/m2)]]-PA[[#This Row],[Sunrise Time (POA&gt;20 W/m2)]])*24,"")</f>
        <v>12.716666666666667</v>
      </c>
      <c r="M25" s="91" t="s">
        <v>498</v>
      </c>
      <c r="N25" s="68"/>
      <c r="O25" s="72">
        <f>GA[[#This Row],[DC Capacity Affected (kW)]]/'Basic Data '!$S$2</f>
        <v>0</v>
      </c>
      <c r="P25" s="253" t="s">
        <v>2602</v>
      </c>
      <c r="Q25" s="83">
        <v>0.39791666666666664</v>
      </c>
      <c r="R25" s="83">
        <v>0.67152777777777772</v>
      </c>
      <c r="S25" s="87"/>
      <c r="T25" s="86"/>
      <c r="U25" s="92" t="s">
        <v>422</v>
      </c>
      <c r="V25" s="68">
        <f>GA[[#This Row],[Breakdown Time]]*GA[[#This Row],[Plant Equivalent Weightage]]</f>
        <v>0</v>
      </c>
      <c r="W25" s="79">
        <v>5.4870000000000001</v>
      </c>
      <c r="X25" s="88">
        <v>432597.82349999994</v>
      </c>
    </row>
    <row r="26" spans="2:24">
      <c r="B26" s="89">
        <f t="shared" si="1"/>
        <v>22</v>
      </c>
      <c r="C26" s="256">
        <v>45825</v>
      </c>
      <c r="D26" s="84" t="s">
        <v>477</v>
      </c>
      <c r="E26" s="6">
        <v>2025</v>
      </c>
      <c r="F26" s="84" t="s">
        <v>361</v>
      </c>
      <c r="G26" s="84" t="s">
        <v>361</v>
      </c>
      <c r="H26" s="90">
        <v>45809</v>
      </c>
      <c r="I26" s="77">
        <f>DAY(EOMONTH(GA[[#This Row],[Month Year]],0))</f>
        <v>30</v>
      </c>
      <c r="J26" s="255">
        <v>0.27152777777777776</v>
      </c>
      <c r="K26" s="255">
        <v>0.81874999999999998</v>
      </c>
      <c r="L26" s="68">
        <f>IFERROR((PA[[#This Row],[Sunset Time (POA&lt;20 W/m2)]]-PA[[#This Row],[Sunrise Time (POA&gt;20 W/m2)]])*24,"")</f>
        <v>12.716666666666667</v>
      </c>
      <c r="M26" s="91" t="s">
        <v>498</v>
      </c>
      <c r="N26" s="68"/>
      <c r="O26" s="72">
        <f>GA[[#This Row],[DC Capacity Affected (kW)]]/'Basic Data '!$S$2</f>
        <v>0</v>
      </c>
      <c r="P26" s="253" t="s">
        <v>2608</v>
      </c>
      <c r="Q26" s="83">
        <v>0.40138888888888891</v>
      </c>
      <c r="R26" s="83">
        <v>0.62708333333333333</v>
      </c>
      <c r="S26" s="87"/>
      <c r="T26" s="86"/>
      <c r="U26" s="92" t="s">
        <v>422</v>
      </c>
      <c r="V26" s="68">
        <f>GA[[#This Row],[Breakdown Time]]*GA[[#This Row],[Plant Equivalent Weightage]]</f>
        <v>0</v>
      </c>
      <c r="W26" s="79">
        <v>2.56</v>
      </c>
      <c r="X26" s="88">
        <v>244322.56</v>
      </c>
    </row>
    <row r="27" spans="2:24">
      <c r="B27" s="89">
        <f t="shared" si="1"/>
        <v>23</v>
      </c>
      <c r="C27" s="256">
        <v>45826</v>
      </c>
      <c r="D27" s="84" t="s">
        <v>477</v>
      </c>
      <c r="E27" s="6">
        <v>2025</v>
      </c>
      <c r="F27" s="84" t="s">
        <v>361</v>
      </c>
      <c r="G27" s="84" t="s">
        <v>361</v>
      </c>
      <c r="H27" s="90">
        <v>45809</v>
      </c>
      <c r="I27" s="77">
        <f>DAY(EOMONTH(GA[[#This Row],[Month Year]],0))</f>
        <v>30</v>
      </c>
      <c r="J27" s="255">
        <v>0.26527777777777778</v>
      </c>
      <c r="K27" s="255">
        <v>0.81666666666666665</v>
      </c>
      <c r="L27" s="68">
        <f>IFERROR((PA[[#This Row],[Sunset Time (POA&lt;20 W/m2)]]-PA[[#This Row],[Sunrise Time (POA&gt;20 W/m2)]])*24,"")</f>
        <v>12.716666666666667</v>
      </c>
      <c r="M27" s="91" t="s">
        <v>498</v>
      </c>
      <c r="N27" s="68"/>
      <c r="O27" s="72">
        <f>GA[[#This Row],[DC Capacity Affected (kW)]]/'Basic Data '!$S$2</f>
        <v>0</v>
      </c>
      <c r="P27" s="253" t="s">
        <v>2609</v>
      </c>
      <c r="Q27" s="83">
        <v>0.49722222222222223</v>
      </c>
      <c r="R27" s="83">
        <v>0.6479166666666667</v>
      </c>
      <c r="S27" s="87"/>
      <c r="T27" s="86"/>
      <c r="U27" s="92" t="s">
        <v>422</v>
      </c>
      <c r="V27" s="68">
        <f>GA[[#This Row],[Breakdown Time]]*GA[[#This Row],[Plant Equivalent Weightage]]</f>
        <v>0</v>
      </c>
      <c r="W27" s="79">
        <v>3.22</v>
      </c>
      <c r="X27" s="88">
        <v>133613.9</v>
      </c>
    </row>
    <row r="28" spans="2:24">
      <c r="B28" s="89">
        <f t="shared" si="1"/>
        <v>24</v>
      </c>
      <c r="C28" s="256">
        <v>45827</v>
      </c>
      <c r="D28" s="84" t="s">
        <v>477</v>
      </c>
      <c r="E28" s="6">
        <v>2025</v>
      </c>
      <c r="F28" s="84" t="s">
        <v>361</v>
      </c>
      <c r="G28" s="84" t="s">
        <v>361</v>
      </c>
      <c r="H28" s="90">
        <v>45809</v>
      </c>
      <c r="I28" s="77">
        <f>DAY(EOMONTH(GA[[#This Row],[Month Year]],0))</f>
        <v>30</v>
      </c>
      <c r="J28" s="255">
        <v>0.25833333333333336</v>
      </c>
      <c r="K28" s="255">
        <v>0.81111111111111112</v>
      </c>
      <c r="L28" s="68">
        <f>IFERROR((PA[[#This Row],[Sunset Time (POA&lt;20 W/m2)]]-PA[[#This Row],[Sunrise Time (POA&gt;20 W/m2)]])*24,"")</f>
        <v>12.716666666666667</v>
      </c>
      <c r="M28" s="91" t="s">
        <v>498</v>
      </c>
      <c r="N28" s="68"/>
      <c r="O28" s="72">
        <f>GA[[#This Row],[DC Capacity Affected (kW)]]/'Basic Data '!$S$2</f>
        <v>0</v>
      </c>
      <c r="P28" s="253" t="s">
        <v>2609</v>
      </c>
      <c r="Q28" s="83">
        <v>0.47083333333333333</v>
      </c>
      <c r="R28" s="83">
        <v>0.58333333333333337</v>
      </c>
      <c r="S28" s="87"/>
      <c r="T28" s="86"/>
      <c r="U28" s="92" t="s">
        <v>422</v>
      </c>
      <c r="V28" s="68">
        <f>GA[[#This Row],[Breakdown Time]]*GA[[#This Row],[Plant Equivalent Weightage]]</f>
        <v>0</v>
      </c>
      <c r="W28" s="79">
        <v>2.46</v>
      </c>
      <c r="X28" s="88">
        <v>102077.7</v>
      </c>
    </row>
    <row r="29" spans="2:24">
      <c r="B29" s="89">
        <f t="shared" si="1"/>
        <v>25</v>
      </c>
      <c r="C29" s="256">
        <v>45828</v>
      </c>
      <c r="D29" s="84" t="s">
        <v>477</v>
      </c>
      <c r="E29" s="6">
        <v>2025</v>
      </c>
      <c r="F29" s="84" t="s">
        <v>361</v>
      </c>
      <c r="G29" s="84" t="s">
        <v>361</v>
      </c>
      <c r="H29" s="90">
        <v>45809</v>
      </c>
      <c r="I29" s="77">
        <f>DAY(EOMONTH(GA[[#This Row],[Month Year]],0))</f>
        <v>30</v>
      </c>
      <c r="J29" s="255">
        <v>0.26250000000000001</v>
      </c>
      <c r="K29" s="255">
        <v>0.81597222222222221</v>
      </c>
      <c r="L29" s="68">
        <f>IFERROR((PA[[#This Row],[Sunset Time (POA&lt;20 W/m2)]]-PA[[#This Row],[Sunrise Time (POA&gt;20 W/m2)]])*24,"")</f>
        <v>12.716666666666667</v>
      </c>
      <c r="M29" s="91" t="s">
        <v>498</v>
      </c>
      <c r="N29" s="68"/>
      <c r="O29" s="72">
        <f>GA[[#This Row],[DC Capacity Affected (kW)]]/'Basic Data '!$S$2</f>
        <v>0</v>
      </c>
      <c r="P29" s="253" t="s">
        <v>2609</v>
      </c>
      <c r="Q29" s="83">
        <v>0.52222222222222225</v>
      </c>
      <c r="R29" s="83">
        <v>0.5625</v>
      </c>
      <c r="S29" s="87"/>
      <c r="T29" s="86"/>
      <c r="U29" s="92" t="s">
        <v>422</v>
      </c>
      <c r="V29" s="68">
        <f>GA[[#This Row],[Breakdown Time]]*GA[[#This Row],[Plant Equivalent Weightage]]</f>
        <v>0</v>
      </c>
      <c r="W29" s="79">
        <v>0.92500000000000004</v>
      </c>
      <c r="X29" s="88">
        <v>38382.874999999993</v>
      </c>
    </row>
    <row r="30" spans="2:24">
      <c r="B30" s="89">
        <f t="shared" si="1"/>
        <v>26</v>
      </c>
      <c r="C30" s="256">
        <v>45830</v>
      </c>
      <c r="D30" s="84" t="s">
        <v>477</v>
      </c>
      <c r="E30" s="6">
        <v>2025</v>
      </c>
      <c r="F30" s="84" t="s">
        <v>361</v>
      </c>
      <c r="G30" s="84" t="s">
        <v>361</v>
      </c>
      <c r="H30" s="90">
        <v>45809</v>
      </c>
      <c r="I30" s="77">
        <f>DAY(EOMONTH(GA[[#This Row],[Month Year]],0))</f>
        <v>30</v>
      </c>
      <c r="J30" s="255">
        <v>0.26041666666666669</v>
      </c>
      <c r="K30" s="255">
        <v>0.81388888888888888</v>
      </c>
      <c r="L30" s="68">
        <f>IFERROR((PA[[#This Row],[Sunset Time (POA&lt;20 W/m2)]]-PA[[#This Row],[Sunrise Time (POA&gt;20 W/m2)]])*24,"")</f>
        <v>12.716666666666667</v>
      </c>
      <c r="M30" s="91" t="s">
        <v>498</v>
      </c>
      <c r="N30" s="68"/>
      <c r="O30" s="72">
        <f>GA[[#This Row],[DC Capacity Affected (kW)]]/'Basic Data '!$S$2</f>
        <v>0</v>
      </c>
      <c r="P30" s="253" t="s">
        <v>2609</v>
      </c>
      <c r="Q30" s="83">
        <v>0.42638888888888887</v>
      </c>
      <c r="R30" s="83">
        <v>0.48125000000000001</v>
      </c>
      <c r="S30" s="87"/>
      <c r="T30" s="86"/>
      <c r="U30" s="92" t="s">
        <v>422</v>
      </c>
      <c r="V30" s="68">
        <f>GA[[#This Row],[Breakdown Time]]*GA[[#This Row],[Plant Equivalent Weightage]]</f>
        <v>0</v>
      </c>
      <c r="W30" s="79">
        <v>1.0720000000000001</v>
      </c>
      <c r="X30" s="88">
        <v>44482.64</v>
      </c>
    </row>
    <row r="31" spans="2:24">
      <c r="B31" s="89">
        <f t="shared" si="1"/>
        <v>27</v>
      </c>
      <c r="C31" s="256">
        <v>45830</v>
      </c>
      <c r="D31" s="84" t="s">
        <v>477</v>
      </c>
      <c r="E31" s="6">
        <v>2025</v>
      </c>
      <c r="F31" s="84" t="s">
        <v>361</v>
      </c>
      <c r="G31" s="84" t="s">
        <v>361</v>
      </c>
      <c r="H31" s="90">
        <v>45809</v>
      </c>
      <c r="I31" s="77">
        <f>DAY(EOMONTH(GA[[#This Row],[Month Year]],0))</f>
        <v>30</v>
      </c>
      <c r="J31" s="255">
        <v>0.26041666666666669</v>
      </c>
      <c r="K31" s="255">
        <v>0.81388888888888888</v>
      </c>
      <c r="L31" s="68">
        <f>IFERROR((PA[[#This Row],[Sunset Time (POA&lt;20 W/m2)]]-PA[[#This Row],[Sunrise Time (POA&gt;20 W/m2)]])*24,"")</f>
        <v>12.716666666666667</v>
      </c>
      <c r="M31" s="91" t="s">
        <v>498</v>
      </c>
      <c r="N31" s="68"/>
      <c r="O31" s="72">
        <f>GA[[#This Row],[DC Capacity Affected (kW)]]/'Basic Data '!$S$2</f>
        <v>0</v>
      </c>
      <c r="P31" s="253" t="s">
        <v>2628</v>
      </c>
      <c r="Q31" s="83">
        <v>0.48194444444444445</v>
      </c>
      <c r="R31" s="83">
        <v>0.58680555555555558</v>
      </c>
      <c r="S31" s="87"/>
      <c r="T31" s="86"/>
      <c r="U31" s="92" t="s">
        <v>422</v>
      </c>
      <c r="V31" s="68">
        <f>GA[[#This Row],[Breakdown Time]]*GA[[#This Row],[Plant Equivalent Weightage]]</f>
        <v>0</v>
      </c>
      <c r="W31" s="79">
        <v>2.31</v>
      </c>
      <c r="X31" s="88">
        <v>172536.21</v>
      </c>
    </row>
    <row r="32" spans="2:24">
      <c r="B32" s="89">
        <f t="shared" si="1"/>
        <v>28</v>
      </c>
      <c r="C32" s="256">
        <v>45844</v>
      </c>
      <c r="D32" s="84" t="s">
        <v>477</v>
      </c>
      <c r="E32" s="6">
        <v>2025</v>
      </c>
      <c r="F32" s="84" t="s">
        <v>361</v>
      </c>
      <c r="G32" s="84" t="s">
        <v>361</v>
      </c>
      <c r="H32" s="90">
        <v>45839</v>
      </c>
      <c r="I32" s="77">
        <f>DAY(EOMONTH(GA[[#This Row],[Month Year]],0))</f>
        <v>31</v>
      </c>
      <c r="J32" s="255">
        <v>0.27916666666666667</v>
      </c>
      <c r="K32" s="255">
        <v>0.81041666666666667</v>
      </c>
      <c r="L32" s="68">
        <f>IFERROR((PA[[#This Row],[Sunset Time (POA&lt;20 W/m2)]]-PA[[#This Row],[Sunrise Time (POA&gt;20 W/m2)]])*24,"")</f>
        <v>12.716666666666667</v>
      </c>
      <c r="M32" s="91" t="s">
        <v>498</v>
      </c>
      <c r="N32" s="68"/>
      <c r="O32" s="72">
        <f>GA[[#This Row],[DC Capacity Affected (kW)]]/'Basic Data '!$S$2</f>
        <v>0</v>
      </c>
      <c r="P32" s="253" t="s">
        <v>2609</v>
      </c>
      <c r="Q32" s="83">
        <v>0.47291666666666665</v>
      </c>
      <c r="R32" s="83">
        <v>0.62361111111111112</v>
      </c>
      <c r="S32" s="87"/>
      <c r="T32" s="86"/>
      <c r="U32" s="92" t="s">
        <v>422</v>
      </c>
      <c r="V32" s="68">
        <f>GA[[#This Row],[Breakdown Time]]*GA[[#This Row],[Plant Equivalent Weightage]]</f>
        <v>0</v>
      </c>
      <c r="W32" s="79">
        <v>3.09</v>
      </c>
      <c r="X32" s="88">
        <v>129780</v>
      </c>
    </row>
    <row r="33" spans="2:24">
      <c r="B33" s="89">
        <f t="shared" si="1"/>
        <v>29</v>
      </c>
      <c r="C33" s="256">
        <v>45852</v>
      </c>
      <c r="D33" s="84" t="s">
        <v>477</v>
      </c>
      <c r="E33" s="6">
        <v>2025</v>
      </c>
      <c r="F33" s="84" t="s">
        <v>361</v>
      </c>
      <c r="G33" s="84" t="s">
        <v>361</v>
      </c>
      <c r="H33" s="90">
        <v>45839</v>
      </c>
      <c r="I33" s="77">
        <f>DAY(EOMONTH(GA[[#This Row],[Month Year]],0))</f>
        <v>31</v>
      </c>
      <c r="J33" s="255">
        <v>0.26944444444444443</v>
      </c>
      <c r="K33" s="255">
        <v>0.80069444444444449</v>
      </c>
      <c r="L33" s="68">
        <f>IFERROR((PA[[#This Row],[Sunset Time (POA&lt;20 W/m2)]]-PA[[#This Row],[Sunrise Time (POA&gt;20 W/m2)]])*24,"")</f>
        <v>12.716666666666667</v>
      </c>
      <c r="M33" s="91" t="s">
        <v>498</v>
      </c>
      <c r="N33" s="68"/>
      <c r="O33" s="72">
        <f>GA[[#This Row],[DC Capacity Affected (kW)]]/'Basic Data '!$S$2</f>
        <v>0</v>
      </c>
      <c r="P33" s="253" t="s">
        <v>2676</v>
      </c>
      <c r="Q33" s="83">
        <v>0.56319444444444444</v>
      </c>
      <c r="R33" s="83">
        <v>0.57986111111111116</v>
      </c>
      <c r="S33" s="87"/>
      <c r="T33" s="86"/>
      <c r="U33" s="92" t="s">
        <v>422</v>
      </c>
      <c r="V33" s="68">
        <f>GA[[#This Row],[Breakdown Time]]*GA[[#This Row],[Plant Equivalent Weightage]]</f>
        <v>0</v>
      </c>
      <c r="W33" s="79">
        <v>0.30104999999999998</v>
      </c>
      <c r="X33" s="88">
        <v>10115.280000000001</v>
      </c>
    </row>
    <row r="34" spans="2:24">
      <c r="B34" s="89"/>
    </row>
  </sheetData>
  <phoneticPr fontId="5"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C56D307-1F54-46C5-822D-AFCF4943B9C4}">
          <x14:formula1>
            <xm:f>'Basic Data '!$Q$2:$Q$3</xm:f>
          </x14:formula1>
          <xm:sqref>U5:U33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7A30D-E925-4FE9-8F6E-E685F6D2F767}">
  <dimension ref="B1:FF36"/>
  <sheetViews>
    <sheetView showGridLines="0" topLeftCell="A2" zoomScale="70" zoomScaleNormal="70" workbookViewId="0">
      <selection activeCell="ES35" sqref="ES35"/>
    </sheetView>
  </sheetViews>
  <sheetFormatPr defaultColWidth="8.81640625" defaultRowHeight="14.5"/>
  <cols>
    <col min="1" max="1" width="1.1796875" customWidth="1"/>
    <col min="2" max="2" width="12.453125" bestFit="1" customWidth="1"/>
    <col min="12" max="12" width="9.81640625" customWidth="1"/>
    <col min="53" max="53" width="14.81640625" bestFit="1" customWidth="1"/>
    <col min="65" max="65" width="8.81640625" customWidth="1"/>
    <col min="108" max="108" width="8.81640625" customWidth="1"/>
    <col min="113" max="113" width="8.81640625" customWidth="1"/>
    <col min="125" max="125" width="8.81640625" customWidth="1"/>
    <col min="138" max="138" width="15.26953125" bestFit="1" customWidth="1"/>
  </cols>
  <sheetData>
    <row r="1" spans="2:162" hidden="1"/>
    <row r="2" spans="2:162">
      <c r="B2" s="102"/>
      <c r="C2" s="102">
        <v>2013.18</v>
      </c>
      <c r="D2" s="102">
        <v>2090.61</v>
      </c>
      <c r="E2" s="102">
        <v>2090.61</v>
      </c>
      <c r="F2" s="102">
        <v>2077.7049999999999</v>
      </c>
      <c r="G2" s="102">
        <v>2090.61</v>
      </c>
      <c r="H2" s="102">
        <v>2090.61</v>
      </c>
      <c r="I2" s="102">
        <v>2090.61</v>
      </c>
      <c r="J2" s="102">
        <v>2193.85</v>
      </c>
      <c r="K2" s="102">
        <v>2090.61</v>
      </c>
      <c r="L2" s="102">
        <v>2116.42</v>
      </c>
      <c r="M2" s="102">
        <v>2064.8000000000002</v>
      </c>
      <c r="N2" s="102">
        <v>2090.61</v>
      </c>
      <c r="O2" s="102">
        <v>2064.8000000000002</v>
      </c>
      <c r="P2" s="102">
        <v>2090.61</v>
      </c>
      <c r="Q2" s="102">
        <v>2090.61</v>
      </c>
      <c r="R2" s="102">
        <v>2090.61</v>
      </c>
      <c r="S2" s="102">
        <v>2090.61</v>
      </c>
      <c r="T2" s="102">
        <v>2090.61</v>
      </c>
      <c r="U2" s="102">
        <v>2090.61</v>
      </c>
      <c r="V2" s="102">
        <v>2090.61</v>
      </c>
      <c r="W2" s="102">
        <v>2111.4899999999998</v>
      </c>
      <c r="X2" s="102">
        <v>2114.1</v>
      </c>
      <c r="Y2" s="102">
        <v>2061.9</v>
      </c>
      <c r="Z2" s="102">
        <v>2088</v>
      </c>
      <c r="AA2" s="102">
        <v>2088</v>
      </c>
      <c r="AB2" s="102">
        <v>1853.1</v>
      </c>
      <c r="AC2" s="102">
        <v>2111.4899999999998</v>
      </c>
      <c r="AD2" s="102">
        <v>2114.1</v>
      </c>
      <c r="AE2" s="102">
        <v>2114.1</v>
      </c>
      <c r="AF2" s="102">
        <v>2088</v>
      </c>
      <c r="AG2" s="102">
        <v>2061.9</v>
      </c>
      <c r="AH2" s="102">
        <v>2114.1</v>
      </c>
      <c r="AI2" s="102">
        <v>2090.61</v>
      </c>
      <c r="AJ2" s="102">
        <v>2090.61</v>
      </c>
      <c r="AK2" s="102">
        <v>2090.61</v>
      </c>
      <c r="AL2" s="102">
        <v>2090.61</v>
      </c>
      <c r="AM2" s="102">
        <v>2090.61</v>
      </c>
      <c r="AN2" s="102">
        <v>2090.61</v>
      </c>
      <c r="AO2" s="102">
        <v>2090.61</v>
      </c>
      <c r="AP2" s="102">
        <v>2090.61</v>
      </c>
      <c r="AQ2" s="102">
        <v>2234.16</v>
      </c>
      <c r="AR2" s="102">
        <v>1985.92</v>
      </c>
      <c r="AS2" s="102">
        <v>2203.13</v>
      </c>
      <c r="AT2" s="102">
        <v>1954.89</v>
      </c>
      <c r="AU2" s="102">
        <v>2161.08</v>
      </c>
      <c r="AV2" s="102">
        <v>2442.96</v>
      </c>
      <c r="AW2" s="102">
        <v>1954.89</v>
      </c>
      <c r="AX2" s="102">
        <v>2234.16</v>
      </c>
      <c r="AY2" s="102">
        <v>1973.16</v>
      </c>
      <c r="AZ2" s="102">
        <v>2020.14</v>
      </c>
      <c r="BA2" s="102">
        <v>2145.42</v>
      </c>
      <c r="BB2" s="102">
        <v>2004.48</v>
      </c>
      <c r="BC2" s="102">
        <v>2223.7199999999998</v>
      </c>
      <c r="BD2" s="102">
        <v>1973.16</v>
      </c>
      <c r="BE2" s="102">
        <v>2223.7199999999998</v>
      </c>
      <c r="BF2" s="102">
        <v>1973.16</v>
      </c>
      <c r="BG2" s="102">
        <v>1973.16</v>
      </c>
      <c r="BH2" s="102">
        <v>2270.6999999999998</v>
      </c>
      <c r="BI2" s="102">
        <v>1973.16</v>
      </c>
      <c r="BJ2" s="102">
        <v>2239.38</v>
      </c>
      <c r="BK2" s="102">
        <v>2223.7199999999998</v>
      </c>
      <c r="BL2" s="102">
        <v>1973.16</v>
      </c>
      <c r="BM2" s="102">
        <v>2192.4</v>
      </c>
      <c r="BN2" s="102">
        <v>2088</v>
      </c>
      <c r="BO2" s="102">
        <v>2102.0650000000001</v>
      </c>
      <c r="BP2" s="102">
        <v>1991.43</v>
      </c>
      <c r="BQ2" s="102">
        <v>2102.0650000000001</v>
      </c>
      <c r="BR2" s="102">
        <v>2212.6999999999998</v>
      </c>
      <c r="BS2" s="102">
        <v>2275.92</v>
      </c>
      <c r="BT2" s="102">
        <v>2023.04</v>
      </c>
      <c r="BU2" s="102">
        <v>2244.31</v>
      </c>
      <c r="BV2" s="102">
        <v>1959.82</v>
      </c>
      <c r="BW2" s="102">
        <v>2161.08</v>
      </c>
      <c r="BX2" s="102">
        <v>2129.7600000000002</v>
      </c>
      <c r="BY2" s="102">
        <v>1973.16</v>
      </c>
      <c r="BZ2" s="102">
        <v>2239.38</v>
      </c>
      <c r="CA2" s="102">
        <v>1941.84</v>
      </c>
      <c r="CB2" s="102">
        <v>2255.04</v>
      </c>
      <c r="CC2" s="102">
        <v>1973.16</v>
      </c>
      <c r="CD2" s="102">
        <v>2223.7199999999998</v>
      </c>
      <c r="CE2" s="102">
        <v>2023.04</v>
      </c>
      <c r="CF2" s="102">
        <v>2196.895</v>
      </c>
      <c r="CG2" s="102">
        <v>2054.65</v>
      </c>
      <c r="CH2" s="102">
        <v>2275.92</v>
      </c>
      <c r="CI2" s="102">
        <v>2023.04</v>
      </c>
      <c r="CJ2" s="102">
        <v>2181.09</v>
      </c>
      <c r="CK2" s="102">
        <v>2023.04</v>
      </c>
      <c r="CL2" s="102">
        <v>1785.9649999999999</v>
      </c>
      <c r="CM2" s="102">
        <v>2192.4</v>
      </c>
      <c r="CN2" s="102">
        <v>2129.7600000000002</v>
      </c>
      <c r="CO2" s="102">
        <v>1941.84</v>
      </c>
      <c r="CP2" s="102">
        <v>2255.04</v>
      </c>
      <c r="CQ2" s="102">
        <v>2192.4</v>
      </c>
      <c r="CR2" s="102">
        <v>2004.48</v>
      </c>
      <c r="CS2" s="102">
        <v>2004.48</v>
      </c>
      <c r="CT2" s="102">
        <v>2208.06</v>
      </c>
      <c r="CU2" s="102">
        <v>1957.5</v>
      </c>
      <c r="CV2" s="102">
        <v>2035.8</v>
      </c>
      <c r="CW2" s="102">
        <v>2239.38</v>
      </c>
      <c r="CX2" s="102">
        <v>1941.84</v>
      </c>
      <c r="CY2" s="102">
        <v>2255.04</v>
      </c>
      <c r="CZ2" s="102">
        <v>1941.84</v>
      </c>
      <c r="DA2" s="102">
        <v>2192.4</v>
      </c>
      <c r="DB2" s="102">
        <v>2004.48</v>
      </c>
      <c r="DC2" s="102">
        <v>2223.7199999999998</v>
      </c>
      <c r="DD2" s="102">
        <v>1910.52</v>
      </c>
      <c r="DE2" s="102">
        <v>2223.7199999999998</v>
      </c>
      <c r="DF2" s="102">
        <v>2004.48</v>
      </c>
      <c r="DG2" s="102">
        <v>2192.4</v>
      </c>
      <c r="DH2" s="102">
        <v>2004.48</v>
      </c>
      <c r="DI2" s="102">
        <v>2192.4</v>
      </c>
      <c r="DJ2" s="102">
        <v>2004.48</v>
      </c>
      <c r="DK2" s="102">
        <v>1973.16</v>
      </c>
      <c r="DL2" s="102">
        <v>2192.4</v>
      </c>
      <c r="DM2" s="102">
        <v>2004.48</v>
      </c>
      <c r="DN2" s="102">
        <v>1941.84</v>
      </c>
      <c r="DO2" s="102">
        <v>2208.06</v>
      </c>
      <c r="DP2" s="102">
        <v>2223.7199999999998</v>
      </c>
      <c r="DQ2" s="102">
        <v>2192.4</v>
      </c>
      <c r="DR2" s="102">
        <v>2004.48</v>
      </c>
      <c r="DS2" s="102">
        <v>2223.7199999999998</v>
      </c>
      <c r="DT2" s="102">
        <v>1973.16</v>
      </c>
      <c r="DU2" s="102">
        <v>2129.7600000000002</v>
      </c>
      <c r="DV2" s="102">
        <v>1973.16</v>
      </c>
      <c r="DW2" s="102">
        <v>2098.44</v>
      </c>
      <c r="DX2" s="102">
        <v>1847.88</v>
      </c>
      <c r="DY2" s="102">
        <v>2161.08</v>
      </c>
      <c r="DZ2" s="102">
        <v>1973.16</v>
      </c>
      <c r="EA2" s="102">
        <v>2004.48</v>
      </c>
      <c r="EB2" s="102">
        <v>2004.48</v>
      </c>
      <c r="EC2" s="102">
        <v>1988.82</v>
      </c>
      <c r="ED2" s="102">
        <v>1722.6</v>
      </c>
      <c r="EE2" s="102">
        <v>1973.16</v>
      </c>
      <c r="EF2" s="102">
        <v>1753.92</v>
      </c>
      <c r="EG2" s="102">
        <v>2004.48</v>
      </c>
      <c r="EH2" s="102">
        <v>2004.48</v>
      </c>
      <c r="EI2" s="102">
        <v>2255.04</v>
      </c>
      <c r="EJ2" s="102">
        <v>1941.84</v>
      </c>
      <c r="EK2" s="102">
        <v>2255.04</v>
      </c>
      <c r="EL2" s="102">
        <v>1973.16</v>
      </c>
      <c r="EM2" s="102">
        <v>2223.7199999999998</v>
      </c>
      <c r="EN2" s="102">
        <v>1973.16</v>
      </c>
      <c r="EO2" s="102">
        <v>2004.48</v>
      </c>
      <c r="EP2" s="102">
        <v>2004.48</v>
      </c>
      <c r="EQ2" s="102">
        <v>2161.08</v>
      </c>
      <c r="ER2" s="102">
        <v>2255.04</v>
      </c>
      <c r="ES2" s="102">
        <v>2223.7199999999998</v>
      </c>
      <c r="ET2" s="102">
        <v>2223.7199999999998</v>
      </c>
      <c r="EU2" s="102">
        <v>2223.7199999999998</v>
      </c>
      <c r="EV2" s="102">
        <v>2255.04</v>
      </c>
      <c r="EW2" s="102">
        <v>2004.48</v>
      </c>
      <c r="EX2" s="102">
        <v>2223.7199999999998</v>
      </c>
      <c r="EY2" s="102">
        <v>2239.38</v>
      </c>
      <c r="EZ2" s="102">
        <v>2255.04</v>
      </c>
      <c r="FA2" s="102">
        <v>2255.04</v>
      </c>
      <c r="FB2" s="102">
        <v>2255.04</v>
      </c>
      <c r="FC2" s="102">
        <v>2255.04</v>
      </c>
      <c r="FD2" s="102">
        <v>2004.48</v>
      </c>
      <c r="FE2" s="102">
        <v>2255.04</v>
      </c>
      <c r="FF2" s="102">
        <v>2004.48</v>
      </c>
    </row>
    <row r="3" spans="2:162" ht="24">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row>
    <row r="4" spans="2:162">
      <c r="B4" s="104">
        <f>Dashboard!B3-31</f>
        <v>45827</v>
      </c>
      <c r="C4" s="81">
        <f>Inv_SY_B!C4/Inv_SY_B!$FG4-1</f>
        <v>7.8239522063392464E-3</v>
      </c>
      <c r="D4" s="81">
        <f>Inv_SY_B!D4/Inv_SY_B!$FG4-1</f>
        <v>2.8774695094218039E-3</v>
      </c>
      <c r="E4" s="81">
        <f>Inv_SY_B!E4/Inv_SY_B!$FG4-1</f>
        <v>1.0207299414453308E-2</v>
      </c>
      <c r="F4" s="81">
        <f>Inv_SY_B!F4/Inv_SY_B!$FG4-1</f>
        <v>9.8579735625008436E-3</v>
      </c>
      <c r="G4" s="81">
        <f>Inv_SY_B!G4/Inv_SY_B!$FG4-1</f>
        <v>2.297687729931952E-2</v>
      </c>
      <c r="H4" s="81">
        <f>Inv_SY_B!H4/Inv_SY_B!$FG4-1</f>
        <v>2.3244254742396331E-2</v>
      </c>
      <c r="I4" s="81">
        <f>Inv_SY_B!I4/Inv_SY_B!$FG4-1</f>
        <v>1.3508027849675086E-2</v>
      </c>
      <c r="J4" s="81">
        <f>Inv_SY_B!J4/Inv_SY_B!$FG4-1</f>
        <v>-1.704491597333524E-2</v>
      </c>
      <c r="K4" s="81">
        <f>Inv_SY_B!K4/Inv_SY_B!$FG4-1</f>
        <v>1.1129290597476249E-2</v>
      </c>
      <c r="L4" s="81">
        <f>Inv_SY_B!L4/Inv_SY_B!$FG4-1</f>
        <v>-3.9702264696582779E-3</v>
      </c>
      <c r="M4" s="81">
        <f>Inv_SY_B!M4/Inv_SY_B!$FG4-1</f>
        <v>-5.5734369502742021E-2</v>
      </c>
      <c r="N4" s="81">
        <f>Inv_SY_B!N4/Inv_SY_B!$FG4-1</f>
        <v>-9.0899760462145318E-3</v>
      </c>
      <c r="O4" s="81">
        <f>Inv_SY_B!O4/Inv_SY_B!$FG4-1</f>
        <v>-1.3820034619835053E-2</v>
      </c>
      <c r="P4" s="81">
        <f>Inv_SY_B!P4/Inv_SY_B!$FG4-1</f>
        <v>-4.830376780649015E-3</v>
      </c>
      <c r="Q4" s="81">
        <f>Inv_SY_B!Q4/Inv_SY_B!$FG4-1</f>
        <v>1.5785346071741424E-2</v>
      </c>
      <c r="R4" s="81">
        <f>Inv_SY_B!R4/Inv_SY_B!$FG4-1</f>
        <v>2.2082545851787483E-2</v>
      </c>
      <c r="S4" s="81">
        <f>Inv_SY_B!S4/Inv_SY_B!$FG4-1</f>
        <v>9.331407790581725E-3</v>
      </c>
      <c r="T4" s="81">
        <f>Inv_SY_B!T4/Inv_SY_B!$FG4-1</f>
        <v>8.6306944914844586E-3</v>
      </c>
      <c r="U4" s="81">
        <f>Inv_SY_B!U4/Inv_SY_B!$FG4-1</f>
        <v>6.7867121254387985E-3</v>
      </c>
      <c r="V4" s="81">
        <f>Inv_SY_B!V4/Inv_SY_B!$FG4-1</f>
        <v>1.3683206174449403E-2</v>
      </c>
      <c r="W4" s="81">
        <f>Inv_SY_B!W4/Inv_SY_B!$FG4-1</f>
        <v>-3.5616872814488998E-3</v>
      </c>
      <c r="X4" s="81">
        <f>Inv_SY_B!X4/Inv_SY_B!$FG4-1</f>
        <v>-4.892150189911515E-3</v>
      </c>
      <c r="Y4" s="81">
        <f>Inv_SY_B!Y4/Inv_SY_B!$FG4-1</f>
        <v>1.0166906864017333E-2</v>
      </c>
      <c r="Z4" s="81">
        <f>Inv_SY_B!Z4/Inv_SY_B!$FG4-1</f>
        <v>1.7585871092644645E-3</v>
      </c>
      <c r="AA4" s="81">
        <f>Inv_SY_B!AA4/Inv_SY_B!$FG4-1</f>
        <v>-1.1313127286278202E-2</v>
      </c>
      <c r="AB4" s="81">
        <f>Inv_SY_B!AB4/Inv_SY_B!$FG4-1</f>
        <v>1.4147435227997107E-2</v>
      </c>
      <c r="AC4" s="81">
        <f>Inv_SY_B!AC4/Inv_SY_B!$FG4-1</f>
        <v>-2.3088058746580375E-2</v>
      </c>
      <c r="AD4" s="81">
        <f>Inv_SY_B!AD4/Inv_SY_B!$FG4-1</f>
        <v>-2.6199673759963238E-2</v>
      </c>
      <c r="AE4" s="81">
        <f>Inv_SY_B!AE4/Inv_SY_B!$FG4-1</f>
        <v>-5.5212555071272318E-3</v>
      </c>
      <c r="AF4" s="81">
        <f>Inv_SY_B!AF4/Inv_SY_B!$FG4-1</f>
        <v>-7.5190067943515793E-3</v>
      </c>
      <c r="AG4" s="81">
        <f>Inv_SY_B!AG4/Inv_SY_B!$FG4-1</f>
        <v>1.0494097026245708E-2</v>
      </c>
      <c r="AH4" s="81">
        <f>Inv_SY_B!AH4/Inv_SY_B!$FG4-1</f>
        <v>-1.86515069258264E-3</v>
      </c>
      <c r="AI4" s="81">
        <f>Inv_SY_B!AI4/Inv_SY_B!$FG4-1</f>
        <v>8.5441779949116059E-2</v>
      </c>
      <c r="AJ4" s="81">
        <f>Inv_SY_B!AJ4/Inv_SY_B!$FG4-1</f>
        <v>8.340417943463585E-2</v>
      </c>
      <c r="AK4" s="81">
        <f>Inv_SY_B!AK4/Inv_SY_B!$FG4-1</f>
        <v>9.1259544313990304E-2</v>
      </c>
      <c r="AL4" s="81">
        <f>Inv_SY_B!AL4/Inv_SY_B!$FG4-1</f>
        <v>8.0020471792942027E-2</v>
      </c>
      <c r="AM4" s="81">
        <f>Inv_SY_B!AM4/Inv_SY_B!$FG4-1</f>
        <v>1.3120791552805544E-2</v>
      </c>
      <c r="AN4" s="81">
        <f>Inv_SY_B!AN4/Inv_SY_B!$FG4-1</f>
        <v>-2.8019961779987002E-3</v>
      </c>
      <c r="AO4" s="81">
        <f>Inv_SY_B!AO4/Inv_SY_B!$FG4-1</f>
        <v>1.0447017122039215E-2</v>
      </c>
      <c r="AP4" s="81">
        <f>Inv_SY_B!AP4/Inv_SY_B!$FG4-1</f>
        <v>8.2250183709542402E-3</v>
      </c>
      <c r="AQ4" s="81">
        <f>Inv_SY_B!AQ4/Inv_SY_B!$FG4-1</f>
        <v>1.7545896852463772E-2</v>
      </c>
      <c r="AR4" s="81">
        <f>Inv_SY_B!AR4/Inv_SY_B!$FG4-1</f>
        <v>-6.5503184890721711E-2</v>
      </c>
      <c r="AS4" s="81">
        <f>Inv_SY_B!AS4/Inv_SY_B!$FG4-1</f>
        <v>2.1667416803358597E-2</v>
      </c>
      <c r="AT4" s="81">
        <f>Inv_SY_B!AT4/Inv_SY_B!$FG4-1</f>
        <v>-7.3272834231397188E-2</v>
      </c>
      <c r="AU4" s="81">
        <f>Inv_SY_B!AU4/Inv_SY_B!$FG4-1</f>
        <v>-8.1083024406673698E-2</v>
      </c>
      <c r="AV4" s="81">
        <f>Inv_SY_B!AV4/Inv_SY_B!$FG4-1</f>
        <v>-3.9488734574464002E-2</v>
      </c>
      <c r="AW4" s="81">
        <f>Inv_SY_B!AW4/Inv_SY_B!$FG4-1</f>
        <v>-7.2279009432502317E-2</v>
      </c>
      <c r="AX4" s="81">
        <f>Inv_SY_B!AX4/Inv_SY_B!$FG4-1</f>
        <v>1.7813349692015423E-2</v>
      </c>
      <c r="AY4" s="81">
        <f>Inv_SY_B!AY4/Inv_SY_B!$FG4-1</f>
        <v>-5.4535076891366718E-2</v>
      </c>
      <c r="AZ4" s="81">
        <f>Inv_SY_B!AZ4/Inv_SY_B!$FG4-1</f>
        <v>-3.5662298052181352E-2</v>
      </c>
      <c r="BA4" s="81">
        <f>Inv_SY_B!BA4/Inv_SY_B!$FG4-1</f>
        <v>-2.9733324984782317E-2</v>
      </c>
      <c r="BB4" s="81">
        <f>Inv_SY_B!BB4/Inv_SY_B!$FG4-1</f>
        <v>-8.4283033112731998E-3</v>
      </c>
      <c r="BC4" s="81">
        <f>Inv_SY_B!BC4/Inv_SY_B!$FG4-1</f>
        <v>-2.2074468777263934E-2</v>
      </c>
      <c r="BD4" s="81">
        <f>Inv_SY_B!BD4/Inv_SY_B!$FG4-1</f>
        <v>-1.66775765514805E-2</v>
      </c>
      <c r="BE4" s="81">
        <f>Inv_SY_B!BE4/Inv_SY_B!$FG4-1</f>
        <v>-3.0083715283644175E-2</v>
      </c>
      <c r="BF4" s="81">
        <f>Inv_SY_B!BF4/Inv_SY_B!$FG4-1</f>
        <v>-3.9563174946654067E-2</v>
      </c>
      <c r="BG4" s="81">
        <f>Inv_SY_B!BG4/Inv_SY_B!$FG4-1</f>
        <v>3.0029261668260698E-3</v>
      </c>
      <c r="BH4" s="81">
        <f>Inv_SY_B!BH4/Inv_SY_B!$FG4-1</f>
        <v>-3.4676186074710347E-2</v>
      </c>
      <c r="BI4" s="81">
        <f>Inv_SY_B!BI4/Inv_SY_B!$FG4-1</f>
        <v>1.4139262527480545E-2</v>
      </c>
      <c r="BJ4" s="81">
        <f>Inv_SY_B!BJ4/Inv_SY_B!$FG4-1</f>
        <v>-2.346542303336685E-2</v>
      </c>
      <c r="BK4" s="81">
        <f>Inv_SY_B!BK4/Inv_SY_B!$FG4-1</f>
        <v>-2.1181663160210862E-2</v>
      </c>
      <c r="BL4" s="81">
        <f>Inv_SY_B!BL4/Inv_SY_B!$FG4-1</f>
        <v>1.0886280064236642E-2</v>
      </c>
      <c r="BM4" s="81">
        <f>Inv_SY_B!BM4/Inv_SY_B!$FG4-1</f>
        <v>-3.118269584555089E-2</v>
      </c>
      <c r="BN4" s="81">
        <f>Inv_SY_B!BN4/Inv_SY_B!$FG4-1</f>
        <v>-1.8679813788850863E-2</v>
      </c>
      <c r="BO4" s="81">
        <f>Inv_SY_B!BO4/Inv_SY_B!$FG4-1</f>
        <v>-1.6498001895189462E-2</v>
      </c>
      <c r="BP4" s="81">
        <f>Inv_SY_B!BP4/Inv_SY_B!$FG4-1</f>
        <v>-5.2891006245534555E-3</v>
      </c>
      <c r="BQ4" s="81">
        <f>Inv_SY_B!BQ4/Inv_SY_B!$FG4-1</f>
        <v>-2.0807746236850999E-2</v>
      </c>
      <c r="BR4" s="81">
        <f>Inv_SY_B!BR4/Inv_SY_B!$FG4-1</f>
        <v>-3.7370460528609151E-2</v>
      </c>
      <c r="BS4" s="81">
        <f>Inv_SY_B!BS4/Inv_SY_B!$FG4-1</f>
        <v>-4.4772946052454965E-2</v>
      </c>
      <c r="BT4" s="81">
        <f>Inv_SY_B!BT4/Inv_SY_B!$FG4-1</f>
        <v>-8.8644675232738557E-3</v>
      </c>
      <c r="BU4" s="81">
        <f>Inv_SY_B!BU4/Inv_SY_B!$FG4-1</f>
        <v>-4.1799055401599006E-2</v>
      </c>
      <c r="BV4" s="81">
        <f>Inv_SY_B!BV4/Inv_SY_B!$FG4-1</f>
        <v>-2.3557104251011873E-3</v>
      </c>
      <c r="BW4" s="81">
        <f>Inv_SY_B!BW4/Inv_SY_B!$FG4-1</f>
        <v>-2.4990816378205327E-2</v>
      </c>
      <c r="BX4" s="81">
        <f>Inv_SY_B!BX4/Inv_SY_B!$FG4-1</f>
        <v>-2.4047079703006347E-2</v>
      </c>
      <c r="BY4" s="81">
        <f>Inv_SY_B!BY4/Inv_SY_B!$FG4-1</f>
        <v>1.0856973915918999E-2</v>
      </c>
      <c r="BZ4" s="81">
        <f>Inv_SY_B!BZ4/Inv_SY_B!$FG4-1</f>
        <v>-3.8252138078325171E-2</v>
      </c>
      <c r="CA4" s="81">
        <f>Inv_SY_B!CA4/Inv_SY_B!$FG4-1</f>
        <v>1.4931946571488108E-2</v>
      </c>
      <c r="CB4" s="81">
        <f>Inv_SY_B!CB4/Inv_SY_B!$FG4-1</f>
        <v>-2.5698782841636514E-2</v>
      </c>
      <c r="CC4" s="81">
        <f>Inv_SY_B!CC4/Inv_SY_B!$FG4-1</f>
        <v>1.7118720939760523E-2</v>
      </c>
      <c r="CD4" s="81">
        <f>Inv_SY_B!CD4/Inv_SY_B!$FG4-1</f>
        <v>-2.509093824070574E-2</v>
      </c>
      <c r="CE4" s="81">
        <f>Inv_SY_B!CE4/Inv_SY_B!$FG4-1</f>
        <v>-4.0338430102654366E-3</v>
      </c>
      <c r="CF4" s="81">
        <f>Inv_SY_B!CF4/Inv_SY_B!$FG4-1</f>
        <v>-3.0742628825683238E-2</v>
      </c>
      <c r="CG4" s="81">
        <f>Inv_SY_B!CG4/Inv_SY_B!$FG4-1</f>
        <v>-1.2517448663880271E-2</v>
      </c>
      <c r="CH4" s="81">
        <f>Inv_SY_B!CH4/Inv_SY_B!$FG4-1</f>
        <v>-3.9591812798327464E-2</v>
      </c>
      <c r="CI4" s="81">
        <f>Inv_SY_B!CI4/Inv_SY_B!$FG4-1</f>
        <v>-5.0628517822672858E-3</v>
      </c>
      <c r="CJ4" s="81">
        <f>Inv_SY_B!CJ4/Inv_SY_B!$FG4-1</f>
        <v>-3.3016761578837928E-2</v>
      </c>
      <c r="CK4" s="81">
        <f>Inv_SY_B!CK4/Inv_SY_B!$FG4-1</f>
        <v>-1.1179737260277878E-2</v>
      </c>
      <c r="CL4" s="81">
        <f>Inv_SY_B!CL4/Inv_SY_B!$FG4-1</f>
        <v>1.4160826351642175E-2</v>
      </c>
      <c r="CM4" s="81">
        <f>Inv_SY_B!CM4/Inv_SY_B!$FG4-1</f>
        <v>-2.1731463013153429E-2</v>
      </c>
      <c r="CN4" s="81">
        <f>Inv_SY_B!CN4/Inv_SY_B!$FG4-1</f>
        <v>-2.285242318629821E-2</v>
      </c>
      <c r="CO4" s="81">
        <f>Inv_SY_B!CO4/Inv_SY_B!$FG4-1</f>
        <v>1.6023836936221114E-2</v>
      </c>
      <c r="CP4" s="81">
        <f>Inv_SY_B!CP4/Inv_SY_B!$FG4-1</f>
        <v>-2.1142897867776789E-2</v>
      </c>
      <c r="CQ4" s="81">
        <f>Inv_SY_B!CQ4/Inv_SY_B!$FG4-1</f>
        <v>-1.5278249153637513E-2</v>
      </c>
      <c r="CR4" s="81">
        <f>Inv_SY_B!CR4/Inv_SY_B!$FG4-1</f>
        <v>1.9977596762609684E-2</v>
      </c>
      <c r="CS4" s="81">
        <f>Inv_SY_B!CS4/Inv_SY_B!$FG4-1</f>
        <v>1.2352045388679844E-2</v>
      </c>
      <c r="CT4" s="81">
        <f>Inv_SY_B!CT4/Inv_SY_B!$FG4-1</f>
        <v>-1.4370631504893372E-2</v>
      </c>
      <c r="CU4" s="81">
        <f>Inv_SY_B!CU4/Inv_SY_B!$FG4-1</f>
        <v>2.4605777562189735E-2</v>
      </c>
      <c r="CV4" s="81">
        <f>Inv_SY_B!CV4/Inv_SY_B!$FG4-1</f>
        <v>1.4170372131078857E-2</v>
      </c>
      <c r="CW4" s="81">
        <f>Inv_SY_B!CW4/Inv_SY_B!$FG4-1</f>
        <v>-1.6260230554184241E-2</v>
      </c>
      <c r="CX4" s="81">
        <f>Inv_SY_B!CX4/Inv_SY_B!$FG4-1</f>
        <v>2.919600524531929E-2</v>
      </c>
      <c r="CY4" s="81">
        <f>Inv_SY_B!CY4/Inv_SY_B!$FG4-1</f>
        <v>-2.6613378887045736E-2</v>
      </c>
      <c r="CZ4" s="81">
        <f>Inv_SY_B!CZ4/Inv_SY_B!$FG4-1</f>
        <v>2.491778027077407E-2</v>
      </c>
      <c r="DA4" s="81">
        <f>Inv_SY_B!DA4/Inv_SY_B!$FG4-1</f>
        <v>-1.9260954709987232E-2</v>
      </c>
      <c r="DB4" s="81">
        <f>Inv_SY_B!DB4/Inv_SY_B!$FG4-1</f>
        <v>1.1505830356011382E-2</v>
      </c>
      <c r="DC4" s="81">
        <f>Inv_SY_B!DC4/Inv_SY_B!$FG4-1</f>
        <v>-3.0049043220846006E-2</v>
      </c>
      <c r="DD4" s="81">
        <f>Inv_SY_B!DD4/Inv_SY_B!$FG4-1</f>
        <v>1.8030734681117044E-2</v>
      </c>
      <c r="DE4" s="81">
        <f>Inv_SY_B!DE4/Inv_SY_B!$FG4-1</f>
        <v>-2.539431879018994E-2</v>
      </c>
      <c r="DF4" s="81">
        <f>Inv_SY_B!DF4/Inv_SY_B!$FG4-1</f>
        <v>2.5340277937460076E-3</v>
      </c>
      <c r="DG4" s="81">
        <f>Inv_SY_B!DG4/Inv_SY_B!$FG4-1</f>
        <v>-2.3674460646604611E-2</v>
      </c>
      <c r="DH4" s="81">
        <f>Inv_SY_B!DH4/Inv_SY_B!$FG4-1</f>
        <v>-2.8894412792633828E-3</v>
      </c>
      <c r="DI4" s="81">
        <f>Inv_SY_B!DI4/Inv_SY_B!$FG4-1</f>
        <v>-1.5190330708685029E-2</v>
      </c>
      <c r="DJ4" s="81">
        <f>Inv_SY_B!DJ4/Inv_SY_B!$FG4-1</f>
        <v>1.8775586773024155E-2</v>
      </c>
      <c r="DK4" s="81">
        <f>Inv_SY_B!DK4/Inv_SY_B!$FG4-1</f>
        <v>1.6791737705633469E-2</v>
      </c>
      <c r="DL4" s="81">
        <f>Inv_SY_B!DL4/Inv_SY_B!$FG4-1</f>
        <v>-1.6034347780229496E-2</v>
      </c>
      <c r="DM4" s="81">
        <f>Inv_SY_B!DM4/Inv_SY_B!$FG4-1</f>
        <v>7.9863451065054214E-3</v>
      </c>
      <c r="DN4" s="81">
        <f>Inv_SY_B!DN4/Inv_SY_B!$FG4-1</f>
        <v>2.6565542093916816E-2</v>
      </c>
      <c r="DO4" s="81">
        <f>Inv_SY_B!DO4/Inv_SY_B!$FG4-1</f>
        <v>-1.9171851548400731E-2</v>
      </c>
      <c r="DP4" s="81">
        <f>Inv_SY_B!DP4/Inv_SY_B!$FG4-1</f>
        <v>-2.2143812902860271E-2</v>
      </c>
      <c r="DQ4" s="81">
        <f>Inv_SY_B!DQ4/Inv_SY_B!$FG4-1</f>
        <v>-2.0905029630599814E-2</v>
      </c>
      <c r="DR4" s="81">
        <f>Inv_SY_B!DR4/Inv_SY_B!$FG4-1</f>
        <v>6.3804597604193436E-3</v>
      </c>
      <c r="DS4" s="81">
        <f>Inv_SY_B!DS4/Inv_SY_B!$FG4-1</f>
        <v>-2.6893885506211412E-2</v>
      </c>
      <c r="DT4" s="81">
        <f>Inv_SY_B!DT4/Inv_SY_B!$FG4-1</f>
        <v>1.2595805382758174E-2</v>
      </c>
      <c r="DU4" s="81">
        <f>Inv_SY_B!DU4/Inv_SY_B!$FG4-1</f>
        <v>-4.2356924675993612E-3</v>
      </c>
      <c r="DV4" s="81">
        <f>Inv_SY_B!DV4/Inv_SY_B!$FG4-1</f>
        <v>2.1788167238350642E-2</v>
      </c>
      <c r="DW4" s="81">
        <f>Inv_SY_B!DW4/Inv_SY_B!$FG4-1</f>
        <v>2.9198191790600347E-3</v>
      </c>
      <c r="DX4" s="81">
        <f>Inv_SY_B!DX4/Inv_SY_B!$FG4-1</f>
        <v>4.0575891881766912E-2</v>
      </c>
      <c r="DY4" s="81">
        <f>Inv_SY_B!DY4/Inv_SY_B!$FG4-1</f>
        <v>-1.3886334526591826E-2</v>
      </c>
      <c r="DZ4" s="81">
        <f>Inv_SY_B!DZ4/Inv_SY_B!$FG4-1</f>
        <v>2.0117716784252782E-2</v>
      </c>
      <c r="EA4" s="81">
        <f>Inv_SY_B!EA4/Inv_SY_B!$FG4-1</f>
        <v>5.6422539646839853E-2</v>
      </c>
      <c r="EB4" s="81">
        <f>Inv_SY_B!EB4/Inv_SY_B!$FG4-1</f>
        <v>6.4019242781019559E-2</v>
      </c>
      <c r="EC4" s="81">
        <f>Inv_SY_B!EC4/Inv_SY_B!$FG4-1</f>
        <v>7.2587788709195245E-3</v>
      </c>
      <c r="ED4" s="81">
        <f>Inv_SY_B!ED4/Inv_SY_B!$FG4-1</f>
        <v>4.5278377212486953E-2</v>
      </c>
      <c r="EE4" s="81">
        <f>Inv_SY_B!EE4/Inv_SY_B!$FG4-1</f>
        <v>3.8723419002455461E-3</v>
      </c>
      <c r="EF4" s="81">
        <f>Inv_SY_B!EF4/Inv_SY_B!$FG4-1</f>
        <v>5.0812243878306296E-2</v>
      </c>
      <c r="EG4" s="81">
        <f>Inv_SY_B!EG4/Inv_SY_B!$FG4-1</f>
        <v>1.0169195247592633E-2</v>
      </c>
      <c r="EH4" s="81">
        <f>Inv_SY_B!EH4/Inv_SY_B!$FG4-1</f>
        <v>1.3102099622180896E-2</v>
      </c>
      <c r="EI4" s="81">
        <f>Inv_SY_B!EI4/Inv_SY_B!$FG4-1</f>
        <v>8.8507238456829729E-3</v>
      </c>
      <c r="EJ4" s="81">
        <f>Inv_SY_B!EJ4/Inv_SY_B!$FG4-1</f>
        <v>5.6820831473066491E-2</v>
      </c>
      <c r="EK4" s="81">
        <f>Inv_SY_B!EK4/Inv_SY_B!$FG4-1</f>
        <v>1.5928158664361813E-2</v>
      </c>
      <c r="EL4" s="81">
        <f>Inv_SY_B!EL4/Inv_SY_B!$FG4-1</f>
        <v>6.0120609237655609E-2</v>
      </c>
      <c r="EM4" s="81">
        <f>Inv_SY_B!EM4/Inv_SY_B!$FG4-1</f>
        <v>4.2589629179556887E-3</v>
      </c>
      <c r="EN4" s="81">
        <f>Inv_SY_B!EN4/Inv_SY_B!$FG4-1</f>
        <v>4.3992458946918722E-2</v>
      </c>
      <c r="EO4" s="81">
        <f>Inv_SY_B!EO4/Inv_SY_B!$FG4-1</f>
        <v>4.3296590560566894E-2</v>
      </c>
      <c r="EP4" s="81">
        <f>Inv_SY_B!EP4/Inv_SY_B!$FG4-1</f>
        <v>2.5131815597951856E-2</v>
      </c>
      <c r="EQ4" s="81">
        <f>Inv_SY_B!EQ4/Inv_SY_B!$FG4-1</f>
        <v>2.2691561114747349E-2</v>
      </c>
      <c r="ER4" s="81">
        <f>Inv_SY_B!ER4/Inv_SY_B!$FG4-1</f>
        <v>8.8849143520532969E-3</v>
      </c>
      <c r="ES4" s="81">
        <f>Inv_SY_B!ES4/Inv_SY_B!$FG4-1</f>
        <v>1.6290168708924968E-2</v>
      </c>
      <c r="ET4" s="81">
        <f>Inv_SY_B!ET4/Inv_SY_B!$FG4-1</f>
        <v>1.2554253942420601E-2</v>
      </c>
      <c r="EU4" s="81">
        <f>Inv_SY_B!EU4/Inv_SY_B!$FG4-1</f>
        <v>1.4097160736939784E-2</v>
      </c>
      <c r="EV4" s="81">
        <f>Inv_SY_B!EV4/Inv_SY_B!$FG4-1</f>
        <v>6.0556499499002658E-3</v>
      </c>
      <c r="EW4" s="81">
        <f>Inv_SY_B!EW4/Inv_SY_B!$FG4-1</f>
        <v>5.2114535844165699E-2</v>
      </c>
      <c r="EX4" s="81">
        <f>Inv_SY_B!EX4/Inv_SY_B!$FG4-1</f>
        <v>2.0676184652895113E-2</v>
      </c>
      <c r="EY4" s="81">
        <f>Inv_SY_B!EY4/Inv_SY_B!$FG4-1</f>
        <v>1.1343701903709924E-2</v>
      </c>
      <c r="EZ4" s="81">
        <f>Inv_SY_B!EZ4/Inv_SY_B!$FG4-1</f>
        <v>5.0897681449357801E-3</v>
      </c>
      <c r="FA4" s="81">
        <f>Inv_SY_B!FA4/Inv_SY_B!$FG4-1</f>
        <v>5.7222925127886626E-3</v>
      </c>
      <c r="FB4" s="81">
        <f>Inv_SY_B!FB4/Inv_SY_B!$FG4-1</f>
        <v>5.3205540629359671E-3</v>
      </c>
      <c r="FC4" s="81">
        <f>Inv_SY_B!FC4/Inv_SY_B!$FG4-1</f>
        <v>7.4403654579027201E-3</v>
      </c>
      <c r="FD4" s="81">
        <f>Inv_SY_B!FD4/Inv_SY_B!$FG4-1</f>
        <v>4.254653632706562E-2</v>
      </c>
      <c r="FE4" s="81">
        <f>Inv_SY_B!FE4/Inv_SY_B!$FG4-1</f>
        <v>1.1226964038427711E-2</v>
      </c>
      <c r="FF4" s="81">
        <f>Inv_SY_B!FF4/Inv_SY_B!$FG4-1</f>
        <v>4.9547042506411065E-2</v>
      </c>
    </row>
    <row r="5" spans="2:162">
      <c r="B5" s="104">
        <f>B4+1</f>
        <v>45828</v>
      </c>
      <c r="C5" s="81">
        <f>Inv_SY_B!C5/Inv_SY_B!$FG5-1</f>
        <v>2.1524137342691319E-2</v>
      </c>
      <c r="D5" s="81">
        <f>Inv_SY_B!D5/Inv_SY_B!$FG5-1</f>
        <v>3.7472254289820262E-2</v>
      </c>
      <c r="E5" s="81">
        <f>Inv_SY_B!E5/Inv_SY_B!$FG5-1</f>
        <v>3.4056919352422499E-2</v>
      </c>
      <c r="F5" s="81">
        <f>Inv_SY_B!F5/Inv_SY_B!$FG5-1</f>
        <v>3.1657311822774314E-2</v>
      </c>
      <c r="G5" s="81">
        <f>Inv_SY_B!G5/Inv_SY_B!$FG5-1</f>
        <v>4.3458271438162166E-2</v>
      </c>
      <c r="H5" s="81">
        <f>Inv_SY_B!H5/Inv_SY_B!$FG5-1</f>
        <v>4.9086229278551663E-2</v>
      </c>
      <c r="I5" s="81">
        <f>Inv_SY_B!I5/Inv_SY_B!$FG5-1</f>
        <v>5.565064992435631E-2</v>
      </c>
      <c r="J5" s="81">
        <f>Inv_SY_B!J5/Inv_SY_B!$FG5-1</f>
        <v>3.2736042345799188E-2</v>
      </c>
      <c r="K5" s="81">
        <f>Inv_SY_B!K5/Inv_SY_B!$FG5-1</f>
        <v>3.9317636876962325E-2</v>
      </c>
      <c r="L5" s="81">
        <f>Inv_SY_B!L5/Inv_SY_B!$FG5-1</f>
        <v>3.3209019684152574E-2</v>
      </c>
      <c r="M5" s="81">
        <f>Inv_SY_B!M5/Inv_SY_B!$FG5-1</f>
        <v>-4.2535007566107952E-3</v>
      </c>
      <c r="N5" s="81">
        <f>Inv_SY_B!N5/Inv_SY_B!$FG5-1</f>
        <v>4.1585345827331199E-2</v>
      </c>
      <c r="O5" s="81">
        <f>Inv_SY_B!O5/Inv_SY_B!$FG5-1</f>
        <v>2.209375262359714E-2</v>
      </c>
      <c r="P5" s="81">
        <f>Inv_SY_B!P5/Inv_SY_B!$FG5-1</f>
        <v>3.2936836389082291E-2</v>
      </c>
      <c r="Q5" s="81">
        <f>Inv_SY_B!Q5/Inv_SY_B!$FG5-1</f>
        <v>4.2283102427444819E-2</v>
      </c>
      <c r="R5" s="81">
        <f>Inv_SY_B!R5/Inv_SY_B!$FG5-1</f>
        <v>4.1062028377246262E-2</v>
      </c>
      <c r="S5" s="81">
        <f>Inv_SY_B!S5/Inv_SY_B!$FG5-1</f>
        <v>3.3864118186601511E-2</v>
      </c>
      <c r="T5" s="81">
        <f>Inv_SY_B!T5/Inv_SY_B!$FG5-1</f>
        <v>3.1137358841421436E-2</v>
      </c>
      <c r="U5" s="81">
        <f>Inv_SY_B!U5/Inv_SY_B!$FG5-1</f>
        <v>3.5121916268385123E-2</v>
      </c>
      <c r="V5" s="81">
        <f>Inv_SY_B!V5/Inv_SY_B!$FG5-1</f>
        <v>3.9813411303358803E-2</v>
      </c>
      <c r="W5" s="81">
        <f>Inv_SY_B!W5/Inv_SY_B!$FG5-1</f>
        <v>2.6776618411065378E-2</v>
      </c>
      <c r="X5" s="81">
        <f>Inv_SY_B!X5/Inv_SY_B!$FG5-1</f>
        <v>2.2730819966837235E-2</v>
      </c>
      <c r="Y5" s="81">
        <f>Inv_SY_B!Y5/Inv_SY_B!$FG5-1</f>
        <v>2.7743000763837067E-2</v>
      </c>
      <c r="Z5" s="81">
        <f>Inv_SY_B!Z5/Inv_SY_B!$FG5-1</f>
        <v>2.3408453582838495E-2</v>
      </c>
      <c r="AA5" s="81">
        <f>Inv_SY_B!AA5/Inv_SY_B!$FG5-1</f>
        <v>1.0106929008960597E-2</v>
      </c>
      <c r="AB5" s="81">
        <f>Inv_SY_B!AB5/Inv_SY_B!$FG5-1</f>
        <v>1.1287192185961192E-2</v>
      </c>
      <c r="AC5" s="81">
        <f>Inv_SY_B!AC5/Inv_SY_B!$FG5-1</f>
        <v>-3.2665560125813009E-3</v>
      </c>
      <c r="AD5" s="81">
        <f>Inv_SY_B!AD5/Inv_SY_B!$FG5-1</f>
        <v>-5.4776227719325332E-3</v>
      </c>
      <c r="AE5" s="81">
        <f>Inv_SY_B!AE5/Inv_SY_B!$FG5-1</f>
        <v>2.7052422394791886E-2</v>
      </c>
      <c r="AF5" s="81">
        <f>Inv_SY_B!AF5/Inv_SY_B!$FG5-1</f>
        <v>3.591942451929131E-2</v>
      </c>
      <c r="AG5" s="81">
        <f>Inv_SY_B!AG5/Inv_SY_B!$FG5-1</f>
        <v>3.1596862475862908E-2</v>
      </c>
      <c r="AH5" s="81">
        <f>Inv_SY_B!AH5/Inv_SY_B!$FG5-1</f>
        <v>2.5454518976052221E-2</v>
      </c>
      <c r="AI5" s="81">
        <f>Inv_SY_B!AI5/Inv_SY_B!$FG5-1</f>
        <v>7.3810683543099831E-2</v>
      </c>
      <c r="AJ5" s="81">
        <f>Inv_SY_B!AJ5/Inv_SY_B!$FG5-1</f>
        <v>6.9532333863456364E-2</v>
      </c>
      <c r="AK5" s="81">
        <f>Inv_SY_B!AK5/Inv_SY_B!$FG5-1</f>
        <v>7.782278399375242E-2</v>
      </c>
      <c r="AL5" s="81">
        <f>Inv_SY_B!AL5/Inv_SY_B!$FG5-1</f>
        <v>7.1010476134749423E-2</v>
      </c>
      <c r="AM5" s="81">
        <f>Inv_SY_B!AM5/Inv_SY_B!$FG5-1</f>
        <v>4.945346959440089E-2</v>
      </c>
      <c r="AN5" s="81">
        <f>Inv_SY_B!AN5/Inv_SY_B!$FG5-1</f>
        <v>3.2404337931100979E-2</v>
      </c>
      <c r="AO5" s="81">
        <f>Inv_SY_B!AO5/Inv_SY_B!$FG5-1</f>
        <v>3.7637512431952125E-2</v>
      </c>
      <c r="AP5" s="81">
        <f>Inv_SY_B!AP5/Inv_SY_B!$FG5-1</f>
        <v>3.3047008483837237E-2</v>
      </c>
      <c r="AQ5" s="81">
        <f>Inv_SY_B!AQ5/Inv_SY_B!$FG5-1</f>
        <v>3.0056509671170462E-2</v>
      </c>
      <c r="AR5" s="81">
        <f>Inv_SY_B!AR5/Inv_SY_B!$FG5-1</f>
        <v>-8.2812600831197458E-2</v>
      </c>
      <c r="AS5" s="81">
        <f>Inv_SY_B!AS5/Inv_SY_B!$FG5-1</f>
        <v>3.3003380266638072E-2</v>
      </c>
      <c r="AT5" s="81">
        <f>Inv_SY_B!AT5/Inv_SY_B!$FG5-1</f>
        <v>-8.4246065807166315E-2</v>
      </c>
      <c r="AU5" s="81">
        <f>Inv_SY_B!AU5/Inv_SY_B!$FG5-1</f>
        <v>-7.3929183468244175E-2</v>
      </c>
      <c r="AV5" s="81">
        <f>Inv_SY_B!AV5/Inv_SY_B!$FG5-1</f>
        <v>-1.3222181550890943E-2</v>
      </c>
      <c r="AW5" s="81">
        <f>Inv_SY_B!AW5/Inv_SY_B!$FG5-1</f>
        <v>-7.2170912726956082E-2</v>
      </c>
      <c r="AX5" s="81">
        <f>Inv_SY_B!AX5/Inv_SY_B!$FG5-1</f>
        <v>3.6757572887767154E-2</v>
      </c>
      <c r="AY5" s="81">
        <f>Inv_SY_B!AY5/Inv_SY_B!$FG5-1</f>
        <v>-4.8115234819575692E-3</v>
      </c>
      <c r="AZ5" s="81">
        <f>Inv_SY_B!AZ5/Inv_SY_B!$FG5-1</f>
        <v>5.7227123554719483E-3</v>
      </c>
      <c r="BA5" s="81">
        <f>Inv_SY_B!BA5/Inv_SY_B!$FG5-1</f>
        <v>-1</v>
      </c>
      <c r="BB5" s="81">
        <f>Inv_SY_B!BB5/Inv_SY_B!$FG5-1</f>
        <v>-1</v>
      </c>
      <c r="BC5" s="81">
        <f>Inv_SY_B!BC5/Inv_SY_B!$FG5-1</f>
        <v>1.1915561055974244E-2</v>
      </c>
      <c r="BD5" s="81">
        <f>Inv_SY_B!BD5/Inv_SY_B!$FG5-1</f>
        <v>2.2906125101103791E-2</v>
      </c>
      <c r="BE5" s="81">
        <f>Inv_SY_B!BE5/Inv_SY_B!$FG5-1</f>
        <v>6.443227764924675E-3</v>
      </c>
      <c r="BF5" s="81">
        <f>Inv_SY_B!BF5/Inv_SY_B!$FG5-1</f>
        <v>4.3181011577044792E-3</v>
      </c>
      <c r="BG5" s="81">
        <f>Inv_SY_B!BG5/Inv_SY_B!$FG5-1</f>
        <v>1.3391126364286299E-2</v>
      </c>
      <c r="BH5" s="81">
        <f>Inv_SY_B!BH5/Inv_SY_B!$FG5-1</f>
        <v>2.9290540776898411E-3</v>
      </c>
      <c r="BI5" s="81">
        <f>Inv_SY_B!BI5/Inv_SY_B!$FG5-1</f>
        <v>1.5278260677813904E-2</v>
      </c>
      <c r="BJ5" s="81">
        <f>Inv_SY_B!BJ5/Inv_SY_B!$FG5-1</f>
        <v>1.0732941317495692E-2</v>
      </c>
      <c r="BK5" s="81">
        <f>Inv_SY_B!BK5/Inv_SY_B!$FG5-1</f>
        <v>4.1558960265524192E-3</v>
      </c>
      <c r="BL5" s="81">
        <f>Inv_SY_B!BL5/Inv_SY_B!$FG5-1</f>
        <v>1.0404784950611479E-2</v>
      </c>
      <c r="BM5" s="81">
        <f>Inv_SY_B!BM5/Inv_SY_B!$FG5-1</f>
        <v>1.6918663700618009E-3</v>
      </c>
      <c r="BN5" s="81">
        <f>Inv_SY_B!BN5/Inv_SY_B!$FG5-1</f>
        <v>-4.1846534977452166E-4</v>
      </c>
      <c r="BO5" s="81">
        <f>Inv_SY_B!BO5/Inv_SY_B!$FG5-1</f>
        <v>3.0560723618613395E-3</v>
      </c>
      <c r="BP5" s="81">
        <f>Inv_SY_B!BP5/Inv_SY_B!$FG5-1</f>
        <v>-5.40935776006779E-3</v>
      </c>
      <c r="BQ5" s="81">
        <f>Inv_SY_B!BQ5/Inv_SY_B!$FG5-1</f>
        <v>-3.1255989867621237E-3</v>
      </c>
      <c r="BR5" s="81">
        <f>Inv_SY_B!BR5/Inv_SY_B!$FG5-1</f>
        <v>-2.134235441375032E-2</v>
      </c>
      <c r="BS5" s="81">
        <f>Inv_SY_B!BS5/Inv_SY_B!$FG5-1</f>
        <v>-1.3989617325788961E-2</v>
      </c>
      <c r="BT5" s="81">
        <f>Inv_SY_B!BT5/Inv_SY_B!$FG5-1</f>
        <v>-4.2136119507715231E-3</v>
      </c>
      <c r="BU5" s="81">
        <f>Inv_SY_B!BU5/Inv_SY_B!$FG5-1</f>
        <v>-1.6123158761332967E-2</v>
      </c>
      <c r="BV5" s="81">
        <f>Inv_SY_B!BV5/Inv_SY_B!$FG5-1</f>
        <v>-8.4359247754165478E-3</v>
      </c>
      <c r="BW5" s="81">
        <f>Inv_SY_B!BW5/Inv_SY_B!$FG5-1</f>
        <v>-1.8827348187555604E-3</v>
      </c>
      <c r="BX5" s="81">
        <f>Inv_SY_B!BX5/Inv_SY_B!$FG5-1</f>
        <v>-1.25469568474188E-2</v>
      </c>
      <c r="BY5" s="81">
        <f>Inv_SY_B!BY5/Inv_SY_B!$FG5-1</f>
        <v>1.4431968485664859E-2</v>
      </c>
      <c r="BZ5" s="81">
        <f>Inv_SY_B!BZ5/Inv_SY_B!$FG5-1</f>
        <v>-1.6014211120914057E-2</v>
      </c>
      <c r="CA5" s="81">
        <f>Inv_SY_B!CA5/Inv_SY_B!$FG5-1</f>
        <v>1.0530771719297949E-2</v>
      </c>
      <c r="CB5" s="81">
        <f>Inv_SY_B!CB5/Inv_SY_B!$FG5-1</f>
        <v>-1.0931885520704121E-5</v>
      </c>
      <c r="CC5" s="81">
        <f>Inv_SY_B!CC5/Inv_SY_B!$FG5-1</f>
        <v>1.3566221300592929E-2</v>
      </c>
      <c r="CD5" s="81">
        <f>Inv_SY_B!CD5/Inv_SY_B!$FG5-1</f>
        <v>-5.9601522654194605E-3</v>
      </c>
      <c r="CE5" s="81">
        <f>Inv_SY_B!CE5/Inv_SY_B!$FG5-1</f>
        <v>-4.3464391300911398E-3</v>
      </c>
      <c r="CF5" s="81">
        <f>Inv_SY_B!CF5/Inv_SY_B!$FG5-1</f>
        <v>-1.4158292131406736E-2</v>
      </c>
      <c r="CG5" s="81">
        <f>Inv_SY_B!CG5/Inv_SY_B!$FG5-1</f>
        <v>-5.2125891104032318E-3</v>
      </c>
      <c r="CH5" s="81">
        <f>Inv_SY_B!CH5/Inv_SY_B!$FG5-1</f>
        <v>-1.9069172355332453E-2</v>
      </c>
      <c r="CI5" s="81">
        <f>Inv_SY_B!CI5/Inv_SY_B!$FG5-1</f>
        <v>-3.0466303038904075E-3</v>
      </c>
      <c r="CJ5" s="81">
        <f>Inv_SY_B!CJ5/Inv_SY_B!$FG5-1</f>
        <v>-1.8079889457320419E-2</v>
      </c>
      <c r="CK5" s="81">
        <f>Inv_SY_B!CK5/Inv_SY_B!$FG5-1</f>
        <v>-4.2420749177686234E-3</v>
      </c>
      <c r="CL5" s="81">
        <f>Inv_SY_B!CL5/Inv_SY_B!$FG5-1</f>
        <v>6.2060169705859813E-3</v>
      </c>
      <c r="CM5" s="81">
        <f>Inv_SY_B!CM5/Inv_SY_B!$FG5-1</f>
        <v>4.4058378828153444E-3</v>
      </c>
      <c r="CN5" s="81">
        <f>Inv_SY_B!CN5/Inv_SY_B!$FG5-1</f>
        <v>-9.4647709833145521E-3</v>
      </c>
      <c r="CO5" s="81">
        <f>Inv_SY_B!CO5/Inv_SY_B!$FG5-1</f>
        <v>1.5878227556341606E-2</v>
      </c>
      <c r="CP5" s="81">
        <f>Inv_SY_B!CP5/Inv_SY_B!$FG5-1</f>
        <v>6.5770150930182236E-3</v>
      </c>
      <c r="CQ5" s="81">
        <f>Inv_SY_B!CQ5/Inv_SY_B!$FG5-1</f>
        <v>7.9515103430256584E-3</v>
      </c>
      <c r="CR5" s="81">
        <f>Inv_SY_B!CR5/Inv_SY_B!$FG5-1</f>
        <v>2.8294258911805592E-2</v>
      </c>
      <c r="CS5" s="81">
        <f>Inv_SY_B!CS5/Inv_SY_B!$FG5-1</f>
        <v>1.9973145649668789E-2</v>
      </c>
      <c r="CT5" s="81">
        <f>Inv_SY_B!CT5/Inv_SY_B!$FG5-1</f>
        <v>7.4788781958035067E-3</v>
      </c>
      <c r="CU5" s="81">
        <f>Inv_SY_B!CU5/Inv_SY_B!$FG5-1</f>
        <v>2.5302718151272163E-2</v>
      </c>
      <c r="CV5" s="81">
        <f>Inv_SY_B!CV5/Inv_SY_B!$FG5-1</f>
        <v>1.1116688037799971E-2</v>
      </c>
      <c r="CW5" s="81">
        <f>Inv_SY_B!CW5/Inv_SY_B!$FG5-1</f>
        <v>3.0221593319526008E-3</v>
      </c>
      <c r="CX5" s="81">
        <f>Inv_SY_B!CX5/Inv_SY_B!$FG5-1</f>
        <v>1.8734816718828595E-2</v>
      </c>
      <c r="CY5" s="81">
        <f>Inv_SY_B!CY5/Inv_SY_B!$FG5-1</f>
        <v>9.9343212412739135E-4</v>
      </c>
      <c r="CZ5" s="81">
        <f>Inv_SY_B!CZ5/Inv_SY_B!$FG5-1</f>
        <v>1.92290362971137E-2</v>
      </c>
      <c r="DA5" s="81">
        <f>Inv_SY_B!DA5/Inv_SY_B!$FG5-1</f>
        <v>-3.2172539746488926E-4</v>
      </c>
      <c r="DB5" s="81">
        <f>Inv_SY_B!DB5/Inv_SY_B!$FG5-1</f>
        <v>1.015825371216561E-2</v>
      </c>
      <c r="DC5" s="81">
        <f>Inv_SY_B!DC5/Inv_SY_B!$FG5-1</f>
        <v>-6.900979282334796E-3</v>
      </c>
      <c r="DD5" s="81">
        <f>Inv_SY_B!DD5/Inv_SY_B!$FG5-1</f>
        <v>1.0208799816985747E-2</v>
      </c>
      <c r="DE5" s="81">
        <f>Inv_SY_B!DE5/Inv_SY_B!$FG5-1</f>
        <v>-4.2597584825538881E-3</v>
      </c>
      <c r="DF5" s="81">
        <f>Inv_SY_B!DF5/Inv_SY_B!$FG5-1</f>
        <v>-8.7272727515508297E-4</v>
      </c>
      <c r="DG5" s="81">
        <f>Inv_SY_B!DG5/Inv_SY_B!$FG5-1</f>
        <v>-4.8917032350693779E-3</v>
      </c>
      <c r="DH5" s="81">
        <f>Inv_SY_B!DH5/Inv_SY_B!$FG5-1</f>
        <v>-2.3282039332044313E-3</v>
      </c>
      <c r="DI5" s="81">
        <f>Inv_SY_B!DI5/Inv_SY_B!$FG5-1</f>
        <v>-1.2036622071232017E-4</v>
      </c>
      <c r="DJ5" s="81">
        <f>Inv_SY_B!DJ5/Inv_SY_B!$FG5-1</f>
        <v>9.2485808008848647E-3</v>
      </c>
      <c r="DK5" s="81">
        <f>Inv_SY_B!DK5/Inv_SY_B!$FG5-1</f>
        <v>-4.463511747398341E-3</v>
      </c>
      <c r="DL5" s="81">
        <f>Inv_SY_B!DL5/Inv_SY_B!$FG5-1</f>
        <v>-1.0459722209621769E-2</v>
      </c>
      <c r="DM5" s="81">
        <f>Inv_SY_B!DM5/Inv_SY_B!$FG5-1</f>
        <v>3.7139392985661157E-3</v>
      </c>
      <c r="DN5" s="81">
        <f>Inv_SY_B!DN5/Inv_SY_B!$FG5-1</f>
        <v>1.5522389459976305E-2</v>
      </c>
      <c r="DO5" s="81">
        <f>Inv_SY_B!DO5/Inv_SY_B!$FG5-1</f>
        <v>-6.9422387923486761E-3</v>
      </c>
      <c r="DP5" s="81">
        <f>Inv_SY_B!DP5/Inv_SY_B!$FG5-1</f>
        <v>-1.1933109106754491E-2</v>
      </c>
      <c r="DQ5" s="81">
        <f>Inv_SY_B!DQ5/Inv_SY_B!$FG5-1</f>
        <v>-1.5878910488313469E-2</v>
      </c>
      <c r="DR5" s="81">
        <f>Inv_SY_B!DR5/Inv_SY_B!$FG5-1</f>
        <v>-1.3196401346927455E-2</v>
      </c>
      <c r="DS5" s="81">
        <f>Inv_SY_B!DS5/Inv_SY_B!$FG5-1</f>
        <v>-1.6179777843657095E-2</v>
      </c>
      <c r="DT5" s="81">
        <f>Inv_SY_B!DT5/Inv_SY_B!$FG5-1</f>
        <v>-6.2619603670932555E-4</v>
      </c>
      <c r="DU5" s="81">
        <f>Inv_SY_B!DU5/Inv_SY_B!$FG5-1</f>
        <v>6.2075132789003451E-3</v>
      </c>
      <c r="DV5" s="81">
        <f>Inv_SY_B!DV5/Inv_SY_B!$FG5-1</f>
        <v>9.5584927584622115E-3</v>
      </c>
      <c r="DW5" s="81">
        <f>Inv_SY_B!DW5/Inv_SY_B!$FG5-1</f>
        <v>7.0663662396364124E-3</v>
      </c>
      <c r="DX5" s="81">
        <f>Inv_SY_B!DX5/Inv_SY_B!$FG5-1</f>
        <v>1.032152417581389E-2</v>
      </c>
      <c r="DY5" s="81">
        <f>Inv_SY_B!DY5/Inv_SY_B!$FG5-1</f>
        <v>-1.3242336012622924E-2</v>
      </c>
      <c r="DZ5" s="81">
        <f>Inv_SY_B!DZ5/Inv_SY_B!$FG5-1</f>
        <v>1.3582132414329262E-3</v>
      </c>
      <c r="EA5" s="81">
        <f>Inv_SY_B!EA5/Inv_SY_B!$FG5-1</f>
        <v>7.7165001082013518E-3</v>
      </c>
      <c r="EB5" s="81">
        <f>Inv_SY_B!EB5/Inv_SY_B!$FG5-1</f>
        <v>1.4764071294545156E-2</v>
      </c>
      <c r="EC5" s="81">
        <f>Inv_SY_B!EC5/Inv_SY_B!$FG5-1</f>
        <v>3.7806662381834055E-3</v>
      </c>
      <c r="ED5" s="81">
        <f>Inv_SY_B!ED5/Inv_SY_B!$FG5-1</f>
        <v>1.7123301461199114E-2</v>
      </c>
      <c r="EE5" s="81">
        <f>Inv_SY_B!EE5/Inv_SY_B!$FG5-1</f>
        <v>1.0288054993073503E-2</v>
      </c>
      <c r="EF5" s="81">
        <f>Inv_SY_B!EF5/Inv_SY_B!$FG5-1</f>
        <v>1.8811773767447137E-2</v>
      </c>
      <c r="EG5" s="81">
        <f>Inv_SY_B!EG5/Inv_SY_B!$FG5-1</f>
        <v>-1.7345226647894618E-3</v>
      </c>
      <c r="EH5" s="81">
        <f>Inv_SY_B!EH5/Inv_SY_B!$FG5-1</f>
        <v>2.4212462141142144E-3</v>
      </c>
      <c r="EI5" s="81">
        <f>Inv_SY_B!EI5/Inv_SY_B!$FG5-1</f>
        <v>1.9514585386789296E-2</v>
      </c>
      <c r="EJ5" s="81">
        <f>Inv_SY_B!EJ5/Inv_SY_B!$FG5-1</f>
        <v>4.2328859386153717E-2</v>
      </c>
      <c r="EK5" s="81">
        <f>Inv_SY_B!EK5/Inv_SY_B!$FG5-1</f>
        <v>2.8477257438987547E-2</v>
      </c>
      <c r="EL5" s="81">
        <f>Inv_SY_B!EL5/Inv_SY_B!$FG5-1</f>
        <v>4.0793483896281568E-2</v>
      </c>
      <c r="EM5" s="81">
        <f>Inv_SY_B!EM5/Inv_SY_B!$FG5-1</f>
        <v>-5.0015024690525101E-2</v>
      </c>
      <c r="EN5" s="81">
        <f>Inv_SY_B!EN5/Inv_SY_B!$FG5-1</f>
        <v>1.5346353153044223E-2</v>
      </c>
      <c r="EO5" s="81">
        <f>Inv_SY_B!EO5/Inv_SY_B!$FG5-1</f>
        <v>3.6912212808150047E-2</v>
      </c>
      <c r="EP5" s="81">
        <f>Inv_SY_B!EP5/Inv_SY_B!$FG5-1</f>
        <v>1.8201677348753664E-2</v>
      </c>
      <c r="EQ5" s="81">
        <f>Inv_SY_B!EQ5/Inv_SY_B!$FG5-1</f>
        <v>3.8404326178415937E-2</v>
      </c>
      <c r="ER5" s="81">
        <f>Inv_SY_B!ER5/Inv_SY_B!$FG5-1</f>
        <v>3.2137227982619976E-2</v>
      </c>
      <c r="ES5" s="81">
        <f>Inv_SY_B!ES5/Inv_SY_B!$FG5-1</f>
        <v>3.1880082983730684E-2</v>
      </c>
      <c r="ET5" s="81">
        <f>Inv_SY_B!ET5/Inv_SY_B!$FG5-1</f>
        <v>2.8177194999724042E-2</v>
      </c>
      <c r="EU5" s="81">
        <f>Inv_SY_B!EU5/Inv_SY_B!$FG5-1</f>
        <v>2.5665445807775411E-2</v>
      </c>
      <c r="EV5" s="81">
        <f>Inv_SY_B!EV5/Inv_SY_B!$FG5-1</f>
        <v>1.5429036872967039E-2</v>
      </c>
      <c r="EW5" s="81">
        <f>Inv_SY_B!EW5/Inv_SY_B!$FG5-1</f>
        <v>4.4553465262908709E-2</v>
      </c>
      <c r="EX5" s="81">
        <f>Inv_SY_B!EX5/Inv_SY_B!$FG5-1</f>
        <v>3.644611501995354E-2</v>
      </c>
      <c r="EY5" s="81">
        <f>Inv_SY_B!EY5/Inv_SY_B!$FG5-1</f>
        <v>3.6543656333826391E-2</v>
      </c>
      <c r="EZ5" s="81">
        <f>Inv_SY_B!EZ5/Inv_SY_B!$FG5-1</f>
        <v>3.1583976621373244E-2</v>
      </c>
      <c r="FA5" s="81">
        <f>Inv_SY_B!FA5/Inv_SY_B!$FG5-1</f>
        <v>3.3311823180344202E-2</v>
      </c>
      <c r="FB5" s="81">
        <f>Inv_SY_B!FB5/Inv_SY_B!$FG5-1</f>
        <v>2.9728456671345604E-2</v>
      </c>
      <c r="FC5" s="81">
        <f>Inv_SY_B!FC5/Inv_SY_B!$FG5-1</f>
        <v>3.2971360804192162E-2</v>
      </c>
      <c r="FD5" s="81">
        <f>Inv_SY_B!FD5/Inv_SY_B!$FG5-1</f>
        <v>4.7837863247848889E-2</v>
      </c>
      <c r="FE5" s="81">
        <f>Inv_SY_B!FE5/Inv_SY_B!$FG5-1</f>
        <v>3.0843470953243024E-2</v>
      </c>
      <c r="FF5" s="81">
        <f>Inv_SY_B!FF5/Inv_SY_B!$FG5-1</f>
        <v>5.1045657198154792E-2</v>
      </c>
    </row>
    <row r="6" spans="2:162">
      <c r="B6" s="104">
        <f t="shared" ref="B6:B34" si="0">B5+1</f>
        <v>45829</v>
      </c>
      <c r="C6" s="81">
        <f>Inv_SY_B!C6/Inv_SY_B!$FG6-1</f>
        <v>2.3283207141771012E-2</v>
      </c>
      <c r="D6" s="81">
        <f>Inv_SY_B!D6/Inv_SY_B!$FG6-1</f>
        <v>4.8015530101759518E-2</v>
      </c>
      <c r="E6" s="81">
        <f>Inv_SY_B!E6/Inv_SY_B!$FG6-1</f>
        <v>4.8115222423291026E-2</v>
      </c>
      <c r="F6" s="81">
        <f>Inv_SY_B!F6/Inv_SY_B!$FG6-1</f>
        <v>4.5948307645651054E-2</v>
      </c>
      <c r="G6" s="81">
        <f>Inv_SY_B!G6/Inv_SY_B!$FG6-1</f>
        <v>6.1797993553514008E-2</v>
      </c>
      <c r="H6" s="81">
        <f>Inv_SY_B!H6/Inv_SY_B!$FG6-1</f>
        <v>5.9480147077902279E-2</v>
      </c>
      <c r="I6" s="81">
        <f>Inv_SY_B!I6/Inv_SY_B!$FG6-1</f>
        <v>6.8751532980348529E-2</v>
      </c>
      <c r="J6" s="81">
        <f>Inv_SY_B!J6/Inv_SY_B!$FG6-1</f>
        <v>5.353643222564175E-2</v>
      </c>
      <c r="K6" s="81">
        <f>Inv_SY_B!K6/Inv_SY_B!$FG6-1</f>
        <v>5.1330299792687883E-2</v>
      </c>
      <c r="L6" s="81">
        <f>Inv_SY_B!L6/Inv_SY_B!$FG6-1</f>
        <v>4.441779226648368E-2</v>
      </c>
      <c r="M6" s="81">
        <f>Inv_SY_B!M6/Inv_SY_B!$FG6-1</f>
        <v>1.5797563711125617E-2</v>
      </c>
      <c r="N6" s="81">
        <f>Inv_SY_B!N6/Inv_SY_B!$FG6-1</f>
        <v>5.0482915059668398E-2</v>
      </c>
      <c r="O6" s="81">
        <f>Inv_SY_B!O6/Inv_SY_B!$FG6-1</f>
        <v>5.4134707834851969E-2</v>
      </c>
      <c r="P6" s="81">
        <f>Inv_SY_B!P6/Inv_SY_B!$FG6-1</f>
        <v>4.1261375317988236E-2</v>
      </c>
      <c r="Q6" s="81">
        <f>Inv_SY_B!Q6/Inv_SY_B!$FG6-1</f>
        <v>6.6209378781290518E-2</v>
      </c>
      <c r="R6" s="81">
        <f>Inv_SY_B!R6/Inv_SY_B!$FG6-1</f>
        <v>6.2819839849213688E-2</v>
      </c>
      <c r="S6" s="81">
        <f>Inv_SY_B!S6/Inv_SY_B!$FG6-1</f>
        <v>6.2670301366916314E-2</v>
      </c>
      <c r="T6" s="81">
        <f>Inv_SY_B!T6/Inv_SY_B!$FG6-1</f>
        <v>2.3291834361903518E-2</v>
      </c>
      <c r="U6" s="81">
        <f>Inv_SY_B!U6/Inv_SY_B!$FG6-1</f>
        <v>5.3897377072128716E-2</v>
      </c>
      <c r="V6" s="81">
        <f>Inv_SY_B!V6/Inv_SY_B!$FG6-1</f>
        <v>5.3922300152511315E-2</v>
      </c>
      <c r="W6" s="81">
        <f>Inv_SY_B!W6/Inv_SY_B!$FG6-1</f>
        <v>5.5493162783815775E-2</v>
      </c>
      <c r="X6" s="81">
        <f>Inv_SY_B!X6/Inv_SY_B!$FG6-1</f>
        <v>4.4454852684386648E-2</v>
      </c>
      <c r="Y6" s="81">
        <f>Inv_SY_B!Y6/Inv_SY_B!$FG6-1</f>
        <v>4.8077837802716905E-2</v>
      </c>
      <c r="Z6" s="81">
        <f>Inv_SY_B!Z6/Inv_SY_B!$FG6-1</f>
        <v>4.5008466992009E-2</v>
      </c>
      <c r="AA6" s="81">
        <f>Inv_SY_B!AA6/Inv_SY_B!$FG6-1</f>
        <v>1.666045690286877E-2</v>
      </c>
      <c r="AB6" s="81">
        <f>Inv_SY_B!AB6/Inv_SY_B!$FG6-1</f>
        <v>8.4052680315793715E-4</v>
      </c>
      <c r="AC6" s="81">
        <f>Inv_SY_B!AC6/Inv_SY_B!$FG6-1</f>
        <v>9.9154415189592893E-3</v>
      </c>
      <c r="AD6" s="81">
        <f>Inv_SY_B!AD6/Inv_SY_B!$FG6-1</f>
        <v>3.8379855074581748E-3</v>
      </c>
      <c r="AE6" s="81">
        <f>Inv_SY_B!AE6/Inv_SY_B!$FG6-1</f>
        <v>4.6401899108523104E-2</v>
      </c>
      <c r="AF6" s="81">
        <f>Inv_SY_B!AF6/Inv_SY_B!$FG6-1</f>
        <v>6.2301751315753773E-2</v>
      </c>
      <c r="AG6" s="81">
        <f>Inv_SY_B!AG6/Inv_SY_B!$FG6-1</f>
        <v>4.9391883554753768E-2</v>
      </c>
      <c r="AH6" s="81">
        <f>Inv_SY_B!AH6/Inv_SY_B!$FG6-1</f>
        <v>4.1571252284082982E-2</v>
      </c>
      <c r="AI6" s="81">
        <f>Inv_SY_B!AI6/Inv_SY_B!$FG6-1</f>
        <v>5.8881993148712564E-2</v>
      </c>
      <c r="AJ6" s="81">
        <f>Inv_SY_B!AJ6/Inv_SY_B!$FG6-1</f>
        <v>5.8109377656841987E-2</v>
      </c>
      <c r="AK6" s="81">
        <f>Inv_SY_B!AK6/Inv_SY_B!$FG6-1</f>
        <v>7.0147225481791864E-2</v>
      </c>
      <c r="AL6" s="81">
        <f>Inv_SY_B!AL6/Inv_SY_B!$FG6-1</f>
        <v>5.9554916319051188E-2</v>
      </c>
      <c r="AM6" s="81">
        <f>Inv_SY_B!AM6/Inv_SY_B!$FG6-1</f>
        <v>6.1449070428152952E-2</v>
      </c>
      <c r="AN6" s="81">
        <f>Inv_SY_B!AN6/Inv_SY_B!$FG6-1</f>
        <v>3.8744144199313491E-2</v>
      </c>
      <c r="AO6" s="81">
        <f>Inv_SY_B!AO6/Inv_SY_B!$FG6-1</f>
        <v>5.5990915824293719E-2</v>
      </c>
      <c r="AP6" s="81">
        <f>Inv_SY_B!AP6/Inv_SY_B!$FG6-1</f>
        <v>3.9292451967737785E-2</v>
      </c>
      <c r="AQ6" s="81">
        <f>Inv_SY_B!AQ6/Inv_SY_B!$FG6-1</f>
        <v>9.0966470284229883E-2</v>
      </c>
      <c r="AR6" s="81">
        <f>Inv_SY_B!AR6/Inv_SY_B!$FG6-1</f>
        <v>-4.8433893685403184E-2</v>
      </c>
      <c r="AS6" s="81">
        <f>Inv_SY_B!AS6/Inv_SY_B!$FG6-1</f>
        <v>9.5760560696714458E-2</v>
      </c>
      <c r="AT6" s="81">
        <f>Inv_SY_B!AT6/Inv_SY_B!$FG6-1</f>
        <v>-4.869937833530491E-2</v>
      </c>
      <c r="AU6" s="81">
        <f>Inv_SY_B!AU6/Inv_SY_B!$FG6-1</f>
        <v>-3.0184622941384021E-2</v>
      </c>
      <c r="AV6" s="81">
        <f>Inv_SY_B!AV6/Inv_SY_B!$FG6-1</f>
        <v>5.053060441540147E-2</v>
      </c>
      <c r="AW6" s="81">
        <f>Inv_SY_B!AW6/Inv_SY_B!$FG6-1</f>
        <v>-4.4610921207430487E-2</v>
      </c>
      <c r="AX6" s="81">
        <f>Inv_SY_B!AX6/Inv_SY_B!$FG6-1</f>
        <v>9.6913507414619238E-2</v>
      </c>
      <c r="AY6" s="81">
        <f>Inv_SY_B!AY6/Inv_SY_B!$FG6-1</f>
        <v>-4.3327985756951071E-2</v>
      </c>
      <c r="AZ6" s="81">
        <f>Inv_SY_B!AZ6/Inv_SY_B!$FG6-1</f>
        <v>-3.2134552941311623E-2</v>
      </c>
      <c r="BA6" s="81">
        <f>Inv_SY_B!BA6/Inv_SY_B!$FG6-1</f>
        <v>-1</v>
      </c>
      <c r="BB6" s="81">
        <f>Inv_SY_B!BB6/Inv_SY_B!$FG6-1</f>
        <v>-1</v>
      </c>
      <c r="BC6" s="81">
        <f>Inv_SY_B!BC6/Inv_SY_B!$FG6-1</f>
        <v>1.0072421909222529E-2</v>
      </c>
      <c r="BD6" s="81">
        <f>Inv_SY_B!BD6/Inv_SY_B!$FG6-1</f>
        <v>3.481905650935424E-2</v>
      </c>
      <c r="BE6" s="81">
        <f>Inv_SY_B!BE6/Inv_SY_B!$FG6-1</f>
        <v>3.8631523581893479E-3</v>
      </c>
      <c r="BF6" s="81">
        <f>Inv_SY_B!BF6/Inv_SY_B!$FG6-1</f>
        <v>-1.454045893298006E-3</v>
      </c>
      <c r="BG6" s="81">
        <f>Inv_SY_B!BG6/Inv_SY_B!$FG6-1</f>
        <v>6.5158946072441104E-4</v>
      </c>
      <c r="BH6" s="81">
        <f>Inv_SY_B!BH6/Inv_SY_B!$FG6-1</f>
        <v>1.180600054404457E-2</v>
      </c>
      <c r="BI6" s="81">
        <f>Inv_SY_B!BI6/Inv_SY_B!$FG6-1</f>
        <v>1.705008624267168E-2</v>
      </c>
      <c r="BJ6" s="81">
        <f>Inv_SY_B!BJ6/Inv_SY_B!$FG6-1</f>
        <v>1.9860583836113443E-2</v>
      </c>
      <c r="BK6" s="81">
        <f>Inv_SY_B!BK6/Inv_SY_B!$FG6-1</f>
        <v>-2.8417107778389017E-4</v>
      </c>
      <c r="BL6" s="81">
        <f>Inv_SY_B!BL6/Inv_SY_B!$FG6-1</f>
        <v>1.2138459187209349E-2</v>
      </c>
      <c r="BM6" s="81">
        <f>Inv_SY_B!BM6/Inv_SY_B!$FG6-1</f>
        <v>-6.013435640344067E-3</v>
      </c>
      <c r="BN6" s="81">
        <f>Inv_SY_B!BN6/Inv_SY_B!$FG6-1</f>
        <v>-1.2860402195241094E-2</v>
      </c>
      <c r="BO6" s="81">
        <f>Inv_SY_B!BO6/Inv_SY_B!$FG6-1</f>
        <v>6.3707922051770005E-4</v>
      </c>
      <c r="BP6" s="81">
        <f>Inv_SY_B!BP6/Inv_SY_B!$FG6-1</f>
        <v>-1.4598826004470489E-2</v>
      </c>
      <c r="BQ6" s="81">
        <f>Inv_SY_B!BQ6/Inv_SY_B!$FG6-1</f>
        <v>-3.8742029122609267E-3</v>
      </c>
      <c r="BR6" s="81">
        <f>Inv_SY_B!BR6/Inv_SY_B!$FG6-1</f>
        <v>-9.9520401592788632E-3</v>
      </c>
      <c r="BS6" s="81">
        <f>Inv_SY_B!BS6/Inv_SY_B!$FG6-1</f>
        <v>-7.273834902957077E-3</v>
      </c>
      <c r="BT6" s="81">
        <f>Inv_SY_B!BT6/Inv_SY_B!$FG6-1</f>
        <v>-5.8370444171476077E-3</v>
      </c>
      <c r="BU6" s="81">
        <f>Inv_SY_B!BU6/Inv_SY_B!$FG6-1</f>
        <v>-9.8505520215295128E-3</v>
      </c>
      <c r="BV6" s="81">
        <f>Inv_SY_B!BV6/Inv_SY_B!$FG6-1</f>
        <v>-3.1167179959358804E-2</v>
      </c>
      <c r="BW6" s="81">
        <f>Inv_SY_B!BW6/Inv_SY_B!$FG6-1</f>
        <v>1.0007561614759908E-2</v>
      </c>
      <c r="BX6" s="81">
        <f>Inv_SY_B!BX6/Inv_SY_B!$FG6-1</f>
        <v>-2.4729810313550371E-2</v>
      </c>
      <c r="BY6" s="81">
        <f>Inv_SY_B!BY6/Inv_SY_B!$FG6-1</f>
        <v>2.1831720909222252E-3</v>
      </c>
      <c r="BZ6" s="81">
        <f>Inv_SY_B!BZ6/Inv_SY_B!$FG6-1</f>
        <v>-1.4022722727762615E-2</v>
      </c>
      <c r="CA6" s="81">
        <f>Inv_SY_B!CA6/Inv_SY_B!$FG6-1</f>
        <v>-7.2776301795413056E-3</v>
      </c>
      <c r="CB6" s="81">
        <f>Inv_SY_B!CB6/Inv_SY_B!$FG6-1</f>
        <v>1.3765765731794666E-2</v>
      </c>
      <c r="CC6" s="81">
        <f>Inv_SY_B!CC6/Inv_SY_B!$FG6-1</f>
        <v>-3.2488689865110998E-2</v>
      </c>
      <c r="CD6" s="81">
        <f>Inv_SY_B!CD6/Inv_SY_B!$FG6-1</f>
        <v>-2.7745544337448358E-2</v>
      </c>
      <c r="CE6" s="81">
        <f>Inv_SY_B!CE6/Inv_SY_B!$FG6-1</f>
        <v>-1.2301679180134584E-2</v>
      </c>
      <c r="CF6" s="81">
        <f>Inv_SY_B!CF6/Inv_SY_B!$FG6-1</f>
        <v>-6.6070950896849334E-3</v>
      </c>
      <c r="CG6" s="81">
        <f>Inv_SY_B!CG6/Inv_SY_B!$FG6-1</f>
        <v>-7.1842560747729101E-3</v>
      </c>
      <c r="CH6" s="81">
        <f>Inv_SY_B!CH6/Inv_SY_B!$FG6-1</f>
        <v>-1.5795844317632146E-2</v>
      </c>
      <c r="CI6" s="81">
        <f>Inv_SY_B!CI6/Inv_SY_B!$FG6-1</f>
        <v>-9.6231054137972949E-3</v>
      </c>
      <c r="CJ6" s="81">
        <f>Inv_SY_B!CJ6/Inv_SY_B!$FG6-1</f>
        <v>-1.6936552432170404E-2</v>
      </c>
      <c r="CK6" s="81">
        <f>Inv_SY_B!CK6/Inv_SY_B!$FG6-1</f>
        <v>4.1303406556647548E-3</v>
      </c>
      <c r="CL6" s="81">
        <f>Inv_SY_B!CL6/Inv_SY_B!$FG6-1</f>
        <v>-1.7844129680136378E-2</v>
      </c>
      <c r="CM6" s="81">
        <f>Inv_SY_B!CM6/Inv_SY_B!$FG6-1</f>
        <v>2.1341158266933169E-2</v>
      </c>
      <c r="CN6" s="81">
        <f>Inv_SY_B!CN6/Inv_SY_B!$FG6-1</f>
        <v>2.1082239551140081E-3</v>
      </c>
      <c r="CO6" s="81">
        <f>Inv_SY_B!CO6/Inv_SY_B!$FG6-1</f>
        <v>1.2417432107893367E-2</v>
      </c>
      <c r="CP6" s="81">
        <f>Inv_SY_B!CP6/Inv_SY_B!$FG6-1</f>
        <v>1.847934330921408E-2</v>
      </c>
      <c r="CQ6" s="81">
        <f>Inv_SY_B!CQ6/Inv_SY_B!$FG6-1</f>
        <v>1.9107160154610225E-2</v>
      </c>
      <c r="CR6" s="81">
        <f>Inv_SY_B!CR6/Inv_SY_B!$FG6-1</f>
        <v>2.652881678241803E-2</v>
      </c>
      <c r="CS6" s="81">
        <f>Inv_SY_B!CS6/Inv_SY_B!$FG6-1</f>
        <v>1.4831519485512645E-2</v>
      </c>
      <c r="CT6" s="81">
        <f>Inv_SY_B!CT6/Inv_SY_B!$FG6-1</f>
        <v>2.2687051953888204E-2</v>
      </c>
      <c r="CU6" s="81">
        <f>Inv_SY_B!CU6/Inv_SY_B!$FG6-1</f>
        <v>3.0376967653159781E-2</v>
      </c>
      <c r="CV6" s="81">
        <f>Inv_SY_B!CV6/Inv_SY_B!$FG6-1</f>
        <v>1.4703149145946615E-2</v>
      </c>
      <c r="CW6" s="81">
        <f>Inv_SY_B!CW6/Inv_SY_B!$FG6-1</f>
        <v>1.717879532070965E-2</v>
      </c>
      <c r="CX6" s="81">
        <f>Inv_SY_B!CX6/Inv_SY_B!$FG6-1</f>
        <v>1.6576471146792837E-2</v>
      </c>
      <c r="CY6" s="81">
        <f>Inv_SY_B!CY6/Inv_SY_B!$FG6-1</f>
        <v>1.852555485409102E-2</v>
      </c>
      <c r="CZ6" s="81">
        <f>Inv_SY_B!CZ6/Inv_SY_B!$FG6-1</f>
        <v>1.7005791305647167E-2</v>
      </c>
      <c r="DA6" s="81">
        <f>Inv_SY_B!DA6/Inv_SY_B!$FG6-1</f>
        <v>1.2048676757163035E-2</v>
      </c>
      <c r="DB6" s="81">
        <f>Inv_SY_B!DB6/Inv_SY_B!$FG6-1</f>
        <v>5.4476876539952812E-3</v>
      </c>
      <c r="DC6" s="81">
        <f>Inv_SY_B!DC6/Inv_SY_B!$FG6-1</f>
        <v>2.1624006394729944E-2</v>
      </c>
      <c r="DD6" s="81">
        <f>Inv_SY_B!DD6/Inv_SY_B!$FG6-1</f>
        <v>6.6238093494219719E-3</v>
      </c>
      <c r="DE6" s="81">
        <f>Inv_SY_B!DE6/Inv_SY_B!$FG6-1</f>
        <v>2.1202244689376482E-2</v>
      </c>
      <c r="DF6" s="81">
        <f>Inv_SY_B!DF6/Inv_SY_B!$FG6-1</f>
        <v>1.9125044709304984E-3</v>
      </c>
      <c r="DG6" s="81">
        <f>Inv_SY_B!DG6/Inv_SY_B!$FG6-1</f>
        <v>1.7847565474257587E-2</v>
      </c>
      <c r="DH6" s="81">
        <f>Inv_SY_B!DH6/Inv_SY_B!$FG6-1</f>
        <v>8.0730810473006454E-3</v>
      </c>
      <c r="DI6" s="81">
        <f>Inv_SY_B!DI6/Inv_SY_B!$FG6-1</f>
        <v>3.4602551316681884E-2</v>
      </c>
      <c r="DJ6" s="81">
        <f>Inv_SY_B!DJ6/Inv_SY_B!$FG6-1</f>
        <v>-1.410210545261803E-4</v>
      </c>
      <c r="DK6" s="81">
        <f>Inv_SY_B!DK6/Inv_SY_B!$FG6-1</f>
        <v>3.4821810079375126E-3</v>
      </c>
      <c r="DL6" s="81">
        <f>Inv_SY_B!DL6/Inv_SY_B!$FG6-1</f>
        <v>2.9463227463142339E-3</v>
      </c>
      <c r="DM6" s="81">
        <f>Inv_SY_B!DM6/Inv_SY_B!$FG6-1</f>
        <v>6.1280477127434452E-4</v>
      </c>
      <c r="DN6" s="81">
        <f>Inv_SY_B!DN6/Inv_SY_B!$FG6-1</f>
        <v>2.7577285336746193E-3</v>
      </c>
      <c r="DO6" s="81">
        <f>Inv_SY_B!DO6/Inv_SY_B!$FG6-1</f>
        <v>8.9533741062877148E-3</v>
      </c>
      <c r="DP6" s="81">
        <f>Inv_SY_B!DP6/Inv_SY_B!$FG6-1</f>
        <v>-5.8139356590816149E-3</v>
      </c>
      <c r="DQ6" s="81">
        <f>Inv_SY_B!DQ6/Inv_SY_B!$FG6-1</f>
        <v>4.4198108629529553E-3</v>
      </c>
      <c r="DR6" s="81">
        <f>Inv_SY_B!DR6/Inv_SY_B!$FG6-1</f>
        <v>-1.4775639672654495E-2</v>
      </c>
      <c r="DS6" s="81">
        <f>Inv_SY_B!DS6/Inv_SY_B!$FG6-1</f>
        <v>-6.1419725410228887E-3</v>
      </c>
      <c r="DT6" s="81">
        <f>Inv_SY_B!DT6/Inv_SY_B!$FG6-1</f>
        <v>-4.629729953751327E-3</v>
      </c>
      <c r="DU6" s="81">
        <f>Inv_SY_B!DU6/Inv_SY_B!$FG6-1</f>
        <v>2.3074673698272985E-2</v>
      </c>
      <c r="DV6" s="81">
        <f>Inv_SY_B!DV6/Inv_SY_B!$FG6-1</f>
        <v>-8.168213961450066E-3</v>
      </c>
      <c r="DW6" s="81">
        <f>Inv_SY_B!DW6/Inv_SY_B!$FG6-1</f>
        <v>2.6649475470953199E-2</v>
      </c>
      <c r="DX6" s="81">
        <f>Inv_SY_B!DX6/Inv_SY_B!$FG6-1</f>
        <v>-1.1558552483878382E-2</v>
      </c>
      <c r="DY6" s="81">
        <f>Inv_SY_B!DY6/Inv_SY_B!$FG6-1</f>
        <v>-1.0317481340558432E-2</v>
      </c>
      <c r="DZ6" s="81">
        <f>Inv_SY_B!DZ6/Inv_SY_B!$FG6-1</f>
        <v>-4.2864441918105678E-3</v>
      </c>
      <c r="EA6" s="81">
        <f>Inv_SY_B!EA6/Inv_SY_B!$FG6-1</f>
        <v>-4.6379820153364948E-3</v>
      </c>
      <c r="EB6" s="81">
        <f>Inv_SY_B!EB6/Inv_SY_B!$FG6-1</f>
        <v>1.4909501467492037E-2</v>
      </c>
      <c r="EC6" s="81">
        <f>Inv_SY_B!EC6/Inv_SY_B!$FG6-1</f>
        <v>3.6972889403796838E-3</v>
      </c>
      <c r="ED6" s="81">
        <f>Inv_SY_B!ED6/Inv_SY_B!$FG6-1</f>
        <v>-1.1691334130852105E-2</v>
      </c>
      <c r="EE6" s="81">
        <f>Inv_SY_B!EE6/Inv_SY_B!$FG6-1</f>
        <v>1.3645675816786884E-3</v>
      </c>
      <c r="EF6" s="81">
        <f>Inv_SY_B!EF6/Inv_SY_B!$FG6-1</f>
        <v>-1.3743306768356112E-2</v>
      </c>
      <c r="EG6" s="81">
        <f>Inv_SY_B!EG6/Inv_SY_B!$FG6-1</f>
        <v>-2.91243243568583E-2</v>
      </c>
      <c r="EH6" s="81">
        <f>Inv_SY_B!EH6/Inv_SY_B!$FG6-1</f>
        <v>-2.6862846879456614E-2</v>
      </c>
      <c r="EI6" s="81">
        <f>Inv_SY_B!EI6/Inv_SY_B!$FG6-1</f>
        <v>1.3810717048488019E-3</v>
      </c>
      <c r="EJ6" s="81">
        <f>Inv_SY_B!EJ6/Inv_SY_B!$FG6-1</f>
        <v>-3.6284088292808381E-3</v>
      </c>
      <c r="EK6" s="81">
        <f>Inv_SY_B!EK6/Inv_SY_B!$FG6-1</f>
        <v>8.4283322985398978E-3</v>
      </c>
      <c r="EL6" s="81">
        <f>Inv_SY_B!EL6/Inv_SY_B!$FG6-1</f>
        <v>-4.4712903713171048E-3</v>
      </c>
      <c r="EM6" s="81">
        <f>Inv_SY_B!EM6/Inv_SY_B!$FG6-1</f>
        <v>2.3131545098098449E-4</v>
      </c>
      <c r="EN6" s="81">
        <f>Inv_SY_B!EN6/Inv_SY_B!$FG6-1</f>
        <v>1.4701939699681699E-3</v>
      </c>
      <c r="EO6" s="81">
        <f>Inv_SY_B!EO6/Inv_SY_B!$FG6-1</f>
        <v>-6.015663696971929E-3</v>
      </c>
      <c r="EP6" s="81">
        <f>Inv_SY_B!EP6/Inv_SY_B!$FG6-1</f>
        <v>-8.7450330662497411E-3</v>
      </c>
      <c r="EQ6" s="81">
        <f>Inv_SY_B!EQ6/Inv_SY_B!$FG6-1</f>
        <v>-8.5574242400384692E-3</v>
      </c>
      <c r="ER6" s="81">
        <f>Inv_SY_B!ER6/Inv_SY_B!$FG6-1</f>
        <v>-6.7059486485672171E-3</v>
      </c>
      <c r="ES6" s="81">
        <f>Inv_SY_B!ES6/Inv_SY_B!$FG6-1</f>
        <v>-1.195291159255607E-2</v>
      </c>
      <c r="ET6" s="81">
        <f>Inv_SY_B!ET6/Inv_SY_B!$FG6-1</f>
        <v>-1.0640764064790531E-2</v>
      </c>
      <c r="EU6" s="81">
        <f>Inv_SY_B!EU6/Inv_SY_B!$FG6-1</f>
        <v>-5.1578618951987343E-3</v>
      </c>
      <c r="EV6" s="81">
        <f>Inv_SY_B!EV6/Inv_SY_B!$FG6-1</f>
        <v>-1.5578565264886435E-2</v>
      </c>
      <c r="EW6" s="81">
        <f>Inv_SY_B!EW6/Inv_SY_B!$FG6-1</f>
        <v>-8.5370811143048453E-3</v>
      </c>
      <c r="EX6" s="81">
        <f>Inv_SY_B!EX6/Inv_SY_B!$FG6-1</f>
        <v>-3.3103348949004019E-4</v>
      </c>
      <c r="EY6" s="81">
        <f>Inv_SY_B!EY6/Inv_SY_B!$FG6-1</f>
        <v>-6.4375662148604684E-3</v>
      </c>
      <c r="EZ6" s="81">
        <f>Inv_SY_B!EZ6/Inv_SY_B!$FG6-1</f>
        <v>-6.1283043376089141E-3</v>
      </c>
      <c r="FA6" s="81">
        <f>Inv_SY_B!FA6/Inv_SY_B!$FG6-1</f>
        <v>-3.0552366033107514E-3</v>
      </c>
      <c r="FB6" s="81">
        <f>Inv_SY_B!FB6/Inv_SY_B!$FG6-1</f>
        <v>-1.8836479178691135E-2</v>
      </c>
      <c r="FC6" s="81">
        <f>Inv_SY_B!FC6/Inv_SY_B!$FG6-1</f>
        <v>-1.3799420787134919E-2</v>
      </c>
      <c r="FD6" s="81">
        <f>Inv_SY_B!FD6/Inv_SY_B!$FG6-1</f>
        <v>-1.8180852885753551E-2</v>
      </c>
      <c r="FE6" s="81">
        <f>Inv_SY_B!FE6/Inv_SY_B!$FG6-1</f>
        <v>-5.5981317997089164E-4</v>
      </c>
      <c r="FF6" s="81">
        <f>Inv_SY_B!FF6/Inv_SY_B!$FG6-1</f>
        <v>-1.0772564597713474E-2</v>
      </c>
    </row>
    <row r="7" spans="2:162">
      <c r="B7" s="104">
        <f t="shared" si="0"/>
        <v>45830</v>
      </c>
      <c r="C7" s="81">
        <f>Inv_SY_B!C7/Inv_SY_B!$FG7-1</f>
        <v>1.3597238232668563E-2</v>
      </c>
      <c r="D7" s="81">
        <f>Inv_SY_B!D7/Inv_SY_B!$FG7-1</f>
        <v>1.4012223260414958E-2</v>
      </c>
      <c r="E7" s="81">
        <f>Inv_SY_B!E7/Inv_SY_B!$FG7-1</f>
        <v>7.8878712673051687E-3</v>
      </c>
      <c r="F7" s="81">
        <f>Inv_SY_B!F7/Inv_SY_B!$FG7-1</f>
        <v>9.289607237223052E-3</v>
      </c>
      <c r="G7" s="81">
        <f>Inv_SY_B!G7/Inv_SY_B!$FG7-1</f>
        <v>1.6728824536355491E-2</v>
      </c>
      <c r="H7" s="81">
        <f>Inv_SY_B!H7/Inv_SY_B!$FG7-1</f>
        <v>1.5298529164923691E-2</v>
      </c>
      <c r="I7" s="81">
        <f>Inv_SY_B!I7/Inv_SY_B!$FG7-1</f>
        <v>2.2142828492646593E-2</v>
      </c>
      <c r="J7" s="81">
        <f>Inv_SY_B!J7/Inv_SY_B!$FG7-1</f>
        <v>-8.4861591794763713E-3</v>
      </c>
      <c r="K7" s="81">
        <f>Inv_SY_B!K7/Inv_SY_B!$FG7-1</f>
        <v>1.7938336058505477E-2</v>
      </c>
      <c r="L7" s="81">
        <f>Inv_SY_B!L7/Inv_SY_B!$FG7-1</f>
        <v>1.11948293576285E-2</v>
      </c>
      <c r="M7" s="81">
        <f>Inv_SY_B!M7/Inv_SY_B!$FG7-1</f>
        <v>-1.8152127242739402E-2</v>
      </c>
      <c r="N7" s="81">
        <f>Inv_SY_B!N7/Inv_SY_B!$FG7-1</f>
        <v>1.7314381701840631E-2</v>
      </c>
      <c r="O7" s="81">
        <f>Inv_SY_B!O7/Inv_SY_B!$FG7-1</f>
        <v>-1.8626178467024079E-2</v>
      </c>
      <c r="P7" s="81">
        <f>Inv_SY_B!P7/Inv_SY_B!$FG7-1</f>
        <v>6.399980109104586E-3</v>
      </c>
      <c r="Q7" s="81">
        <f>Inv_SY_B!Q7/Inv_SY_B!$FG7-1</f>
        <v>1.8307143587594776E-3</v>
      </c>
      <c r="R7" s="81">
        <f>Inv_SY_B!R7/Inv_SY_B!$FG7-1</f>
        <v>1.4146613429542709E-2</v>
      </c>
      <c r="S7" s="81">
        <f>Inv_SY_B!S7/Inv_SY_B!$FG7-1</f>
        <v>4.3169324876235482E-3</v>
      </c>
      <c r="T7" s="81">
        <f>Inv_SY_B!T7/Inv_SY_B!$FG7-1</f>
        <v>-2.7715924253766455E-2</v>
      </c>
      <c r="U7" s="81">
        <f>Inv_SY_B!U7/Inv_SY_B!$FG7-1</f>
        <v>6.5919660650013423E-3</v>
      </c>
      <c r="V7" s="81">
        <f>Inv_SY_B!V7/Inv_SY_B!$FG7-1</f>
        <v>1.1881179149960008E-2</v>
      </c>
      <c r="W7" s="81">
        <f>Inv_SY_B!W7/Inv_SY_B!$FG7-1</f>
        <v>5.3250248749563411E-3</v>
      </c>
      <c r="X7" s="81">
        <f>Inv_SY_B!X7/Inv_SY_B!$FG7-1</f>
        <v>-1.785360569934491E-2</v>
      </c>
      <c r="Y7" s="81">
        <f>Inv_SY_B!Y7/Inv_SY_B!$FG7-1</f>
        <v>2.0617536526075897E-2</v>
      </c>
      <c r="Z7" s="81">
        <f>Inv_SY_B!Z7/Inv_SY_B!$FG7-1</f>
        <v>8.5518306975300717E-3</v>
      </c>
      <c r="AA7" s="81">
        <f>Inv_SY_B!AA7/Inv_SY_B!$FG7-1</f>
        <v>-2.7510544769634437E-3</v>
      </c>
      <c r="AB7" s="81">
        <f>Inv_SY_B!AB7/Inv_SY_B!$FG7-1</f>
        <v>1.6750673078941958E-2</v>
      </c>
      <c r="AC7" s="81">
        <f>Inv_SY_B!AC7/Inv_SY_B!$FG7-1</f>
        <v>-2.7265469195440262E-2</v>
      </c>
      <c r="AD7" s="81">
        <f>Inv_SY_B!AD7/Inv_SY_B!$FG7-1</f>
        <v>-2.3871938781253821E-2</v>
      </c>
      <c r="AE7" s="81">
        <f>Inv_SY_B!AE7/Inv_SY_B!$FG7-1</f>
        <v>1.3756881939072096E-2</v>
      </c>
      <c r="AF7" s="81">
        <f>Inv_SY_B!AF7/Inv_SY_B!$FG7-1</f>
        <v>2.4871812862742537E-2</v>
      </c>
      <c r="AG7" s="81">
        <f>Inv_SY_B!AG7/Inv_SY_B!$FG7-1</f>
        <v>2.4890305484658981E-2</v>
      </c>
      <c r="AH7" s="81">
        <f>Inv_SY_B!AH7/Inv_SY_B!$FG7-1</f>
        <v>1.3424639576506081E-2</v>
      </c>
      <c r="AI7" s="81">
        <f>Inv_SY_B!AI7/Inv_SY_B!$FG7-1</f>
        <v>0.17179588111424438</v>
      </c>
      <c r="AJ7" s="81">
        <f>Inv_SY_B!AJ7/Inv_SY_B!$FG7-1</f>
        <v>0.16595950805498005</v>
      </c>
      <c r="AK7" s="81">
        <f>Inv_SY_B!AK7/Inv_SY_B!$FG7-1</f>
        <v>0.18169275714072741</v>
      </c>
      <c r="AL7" s="81">
        <f>Inv_SY_B!AL7/Inv_SY_B!$FG7-1</f>
        <v>0.17790103451176442</v>
      </c>
      <c r="AM7" s="81">
        <f>Inv_SY_B!AM7/Inv_SY_B!$FG7-1</f>
        <v>3.373878022881649E-2</v>
      </c>
      <c r="AN7" s="81">
        <f>Inv_SY_B!AN7/Inv_SY_B!$FG7-1</f>
        <v>1.9378230727731705E-2</v>
      </c>
      <c r="AO7" s="81">
        <f>Inv_SY_B!AO7/Inv_SY_B!$FG7-1</f>
        <v>2.3381137908181193E-2</v>
      </c>
      <c r="AP7" s="81">
        <f>Inv_SY_B!AP7/Inv_SY_B!$FG7-1</f>
        <v>-2.0570012481517796E-3</v>
      </c>
      <c r="AQ7" s="81">
        <f>Inv_SY_B!AQ7/Inv_SY_B!$FG7-1</f>
        <v>4.5242481632468134E-3</v>
      </c>
      <c r="AR7" s="81">
        <f>Inv_SY_B!AR7/Inv_SY_B!$FG7-1</f>
        <v>-9.115316698642173E-2</v>
      </c>
      <c r="AS7" s="81">
        <f>Inv_SY_B!AS7/Inv_SY_B!$FG7-1</f>
        <v>1.269695014490857E-2</v>
      </c>
      <c r="AT7" s="81">
        <f>Inv_SY_B!AT7/Inv_SY_B!$FG7-1</f>
        <v>-0.10631510538697242</v>
      </c>
      <c r="AU7" s="81">
        <f>Inv_SY_B!AU7/Inv_SY_B!$FG7-1</f>
        <v>-8.4966949883001686E-2</v>
      </c>
      <c r="AV7" s="81">
        <f>Inv_SY_B!AV7/Inv_SY_B!$FG7-1</f>
        <v>-5.8914380494527907E-2</v>
      </c>
      <c r="AW7" s="81">
        <f>Inv_SY_B!AW7/Inv_SY_B!$FG7-1</f>
        <v>-7.2833598588519899E-2</v>
      </c>
      <c r="AX7" s="81">
        <f>Inv_SY_B!AX7/Inv_SY_B!$FG7-1</f>
        <v>5.1530245970750066E-3</v>
      </c>
      <c r="AY7" s="81">
        <f>Inv_SY_B!AY7/Inv_SY_B!$FG7-1</f>
        <v>-3.8339803109165405E-2</v>
      </c>
      <c r="AZ7" s="81">
        <f>Inv_SY_B!AZ7/Inv_SY_B!$FG7-1</f>
        <v>-3.098241093933285E-2</v>
      </c>
      <c r="BA7" s="81">
        <f>Inv_SY_B!BA7/Inv_SY_B!$FG7-1</f>
        <v>-1.0480735402461971E-2</v>
      </c>
      <c r="BB7" s="81">
        <f>Inv_SY_B!BB7/Inv_SY_B!$FG7-1</f>
        <v>2.0669673756451346E-2</v>
      </c>
      <c r="BC7" s="81">
        <f>Inv_SY_B!BC7/Inv_SY_B!$FG7-1</f>
        <v>-6.2758667859004857E-2</v>
      </c>
      <c r="BD7" s="81">
        <f>Inv_SY_B!BD7/Inv_SY_B!$FG7-1</f>
        <v>-1.0828962303224499E-2</v>
      </c>
      <c r="BE7" s="81">
        <f>Inv_SY_B!BE7/Inv_SY_B!$FG7-1</f>
        <v>-2.5179850616988686E-2</v>
      </c>
      <c r="BF7" s="81">
        <f>Inv_SY_B!BF7/Inv_SY_B!$FG7-1</f>
        <v>-4.2506120860529739E-2</v>
      </c>
      <c r="BG7" s="81">
        <f>Inv_SY_B!BG7/Inv_SY_B!$FG7-1</f>
        <v>-1.1980926502227485E-3</v>
      </c>
      <c r="BH7" s="81">
        <f>Inv_SY_B!BH7/Inv_SY_B!$FG7-1</f>
        <v>-3.4669922160573075E-2</v>
      </c>
      <c r="BI7" s="81">
        <f>Inv_SY_B!BI7/Inv_SY_B!$FG7-1</f>
        <v>1.544114730359003E-2</v>
      </c>
      <c r="BJ7" s="81">
        <f>Inv_SY_B!BJ7/Inv_SY_B!$FG7-1</f>
        <v>-2.0972503707907264E-2</v>
      </c>
      <c r="BK7" s="81">
        <f>Inv_SY_B!BK7/Inv_SY_B!$FG7-1</f>
        <v>-4.2299691228925407E-2</v>
      </c>
      <c r="BL7" s="81">
        <f>Inv_SY_B!BL7/Inv_SY_B!$FG7-1</f>
        <v>1.04981946033742E-2</v>
      </c>
      <c r="BM7" s="81">
        <f>Inv_SY_B!BM7/Inv_SY_B!$FG7-1</f>
        <v>-2.0929220712812557E-2</v>
      </c>
      <c r="BN7" s="81">
        <f>Inv_SY_B!BN7/Inv_SY_B!$FG7-1</f>
        <v>-6.8070217759738094E-3</v>
      </c>
      <c r="BO7" s="81">
        <f>Inv_SY_B!BO7/Inv_SY_B!$FG7-1</f>
        <v>-5.0225254200102487E-3</v>
      </c>
      <c r="BP7" s="81">
        <f>Inv_SY_B!BP7/Inv_SY_B!$FG7-1</f>
        <v>7.5863929277797393E-3</v>
      </c>
      <c r="BQ7" s="81">
        <f>Inv_SY_B!BQ7/Inv_SY_B!$FG7-1</f>
        <v>-2.4632037435931564E-2</v>
      </c>
      <c r="BR7" s="81">
        <f>Inv_SY_B!BR7/Inv_SY_B!$FG7-1</f>
        <v>-4.262715389104843E-2</v>
      </c>
      <c r="BS7" s="81">
        <f>Inv_SY_B!BS7/Inv_SY_B!$FG7-1</f>
        <v>-3.954718338992802E-2</v>
      </c>
      <c r="BT7" s="81">
        <f>Inv_SY_B!BT7/Inv_SY_B!$FG7-1</f>
        <v>2.2587679082908263E-3</v>
      </c>
      <c r="BU7" s="81">
        <f>Inv_SY_B!BU7/Inv_SY_B!$FG7-1</f>
        <v>-4.2850445823338634E-2</v>
      </c>
      <c r="BV7" s="81">
        <f>Inv_SY_B!BV7/Inv_SY_B!$FG7-1</f>
        <v>-2.8314094879508755E-2</v>
      </c>
      <c r="BW7" s="81">
        <f>Inv_SY_B!BW7/Inv_SY_B!$FG7-1</f>
        <v>-1.719613727255298E-2</v>
      </c>
      <c r="BX7" s="81">
        <f>Inv_SY_B!BX7/Inv_SY_B!$FG7-1</f>
        <v>-3.594922785578869E-2</v>
      </c>
      <c r="BY7" s="81">
        <f>Inv_SY_B!BY7/Inv_SY_B!$FG7-1</f>
        <v>1.517670950481298E-2</v>
      </c>
      <c r="BZ7" s="81">
        <f>Inv_SY_B!BZ7/Inv_SY_B!$FG7-1</f>
        <v>-3.2937740870290999E-2</v>
      </c>
      <c r="CA7" s="81">
        <f>Inv_SY_B!CA7/Inv_SY_B!$FG7-1</f>
        <v>-4.5796812258981356E-3</v>
      </c>
      <c r="CB7" s="81">
        <f>Inv_SY_B!CB7/Inv_SY_B!$FG7-1</f>
        <v>-2.5592479587398853E-2</v>
      </c>
      <c r="CC7" s="81">
        <f>Inv_SY_B!CC7/Inv_SY_B!$FG7-1</f>
        <v>1.7078627519093503E-2</v>
      </c>
      <c r="CD7" s="81">
        <f>Inv_SY_B!CD7/Inv_SY_B!$FG7-1</f>
        <v>-2.0721652798171175E-2</v>
      </c>
      <c r="CE7" s="81">
        <f>Inv_SY_B!CE7/Inv_SY_B!$FG7-1</f>
        <v>5.5819399501502165E-3</v>
      </c>
      <c r="CF7" s="81">
        <f>Inv_SY_B!CF7/Inv_SY_B!$FG7-1</f>
        <v>-2.4946016294331019E-2</v>
      </c>
      <c r="CG7" s="81">
        <f>Inv_SY_B!CG7/Inv_SY_B!$FG7-1</f>
        <v>5.9833150348846953E-3</v>
      </c>
      <c r="CH7" s="81">
        <f>Inv_SY_B!CH7/Inv_SY_B!$FG7-1</f>
        <v>-7.2254134096959577E-2</v>
      </c>
      <c r="CI7" s="81">
        <f>Inv_SY_B!CI7/Inv_SY_B!$FG7-1</f>
        <v>1.0839495717868575E-2</v>
      </c>
      <c r="CJ7" s="81">
        <f>Inv_SY_B!CJ7/Inv_SY_B!$FG7-1</f>
        <v>-5.4561220147077982E-2</v>
      </c>
      <c r="CK7" s="81">
        <f>Inv_SY_B!CK7/Inv_SY_B!$FG7-1</f>
        <v>5.8696175298935671E-3</v>
      </c>
      <c r="CL7" s="81">
        <f>Inv_SY_B!CL7/Inv_SY_B!$FG7-1</f>
        <v>3.6587385293285202E-2</v>
      </c>
      <c r="CM7" s="81">
        <f>Inv_SY_B!CM7/Inv_SY_B!$FG7-1</f>
        <v>-1.0594788122917032E-2</v>
      </c>
      <c r="CN7" s="81">
        <f>Inv_SY_B!CN7/Inv_SY_B!$FG7-1</f>
        <v>-6.7949605406268931E-3</v>
      </c>
      <c r="CO7" s="81">
        <f>Inv_SY_B!CO7/Inv_SY_B!$FG7-1</f>
        <v>3.475429303908073E-2</v>
      </c>
      <c r="CP7" s="81">
        <f>Inv_SY_B!CP7/Inv_SY_B!$FG7-1</f>
        <v>-1.2599430051337679E-2</v>
      </c>
      <c r="CQ7" s="81">
        <f>Inv_SY_B!CQ7/Inv_SY_B!$FG7-1</f>
        <v>-9.587890350650774E-3</v>
      </c>
      <c r="CR7" s="81">
        <f>Inv_SY_B!CR7/Inv_SY_B!$FG7-1</f>
        <v>2.5975910596092833E-2</v>
      </c>
      <c r="CS7" s="81">
        <f>Inv_SY_B!CS7/Inv_SY_B!$FG7-1</f>
        <v>1.4342236619369508E-2</v>
      </c>
      <c r="CT7" s="81">
        <f>Inv_SY_B!CT7/Inv_SY_B!$FG7-1</f>
        <v>-1.0986186360763095E-2</v>
      </c>
      <c r="CU7" s="81">
        <f>Inv_SY_B!CU7/Inv_SY_B!$FG7-1</f>
        <v>2.7552723949481717E-2</v>
      </c>
      <c r="CV7" s="81">
        <f>Inv_SY_B!CV7/Inv_SY_B!$FG7-1</f>
        <v>1.6273891661632067E-2</v>
      </c>
      <c r="CW7" s="81">
        <f>Inv_SY_B!CW7/Inv_SY_B!$FG7-1</f>
        <v>-1.7407318905432678E-2</v>
      </c>
      <c r="CX7" s="81">
        <f>Inv_SY_B!CX7/Inv_SY_B!$FG7-1</f>
        <v>2.5080987754787509E-2</v>
      </c>
      <c r="CY7" s="81">
        <f>Inv_SY_B!CY7/Inv_SY_B!$FG7-1</f>
        <v>-2.7870712930708086E-2</v>
      </c>
      <c r="CZ7" s="81">
        <f>Inv_SY_B!CZ7/Inv_SY_B!$FG7-1</f>
        <v>2.8687807780661823E-2</v>
      </c>
      <c r="DA7" s="81">
        <f>Inv_SY_B!DA7/Inv_SY_B!$FG7-1</f>
        <v>-1.7075548329866574E-2</v>
      </c>
      <c r="DB7" s="81">
        <f>Inv_SY_B!DB7/Inv_SY_B!$FG7-1</f>
        <v>1.299064799040428E-2</v>
      </c>
      <c r="DC7" s="81">
        <f>Inv_SY_B!DC7/Inv_SY_B!$FG7-1</f>
        <v>-2.8022628578380337E-2</v>
      </c>
      <c r="DD7" s="81">
        <f>Inv_SY_B!DD7/Inv_SY_B!$FG7-1</f>
        <v>4.5118297059667523E-3</v>
      </c>
      <c r="DE7" s="81">
        <f>Inv_SY_B!DE7/Inv_SY_B!$FG7-1</f>
        <v>-2.1831689906905205E-2</v>
      </c>
      <c r="DF7" s="81">
        <f>Inv_SY_B!DF7/Inv_SY_B!$FG7-1</f>
        <v>5.7821753025897316E-3</v>
      </c>
      <c r="DG7" s="81">
        <f>Inv_SY_B!DG7/Inv_SY_B!$FG7-1</f>
        <v>-1.7551536367665155E-2</v>
      </c>
      <c r="DH7" s="81">
        <f>Inv_SY_B!DH7/Inv_SY_B!$FG7-1</f>
        <v>-3.7290039382769091E-3</v>
      </c>
      <c r="DI7" s="81">
        <f>Inv_SY_B!DI7/Inv_SY_B!$FG7-1</f>
        <v>-1.1208080402388076E-2</v>
      </c>
      <c r="DJ7" s="81">
        <f>Inv_SY_B!DJ7/Inv_SY_B!$FG7-1</f>
        <v>-1.8266090525369982E-2</v>
      </c>
      <c r="DK7" s="81">
        <f>Inv_SY_B!DK7/Inv_SY_B!$FG7-1</f>
        <v>1.3747780667334508E-2</v>
      </c>
      <c r="DL7" s="81">
        <f>Inv_SY_B!DL7/Inv_SY_B!$FG7-1</f>
        <v>-1.752407551933044E-2</v>
      </c>
      <c r="DM7" s="81">
        <f>Inv_SY_B!DM7/Inv_SY_B!$FG7-1</f>
        <v>-5.5711691807185382E-3</v>
      </c>
      <c r="DN7" s="81">
        <f>Inv_SY_B!DN7/Inv_SY_B!$FG7-1</f>
        <v>1.2152243192126377E-2</v>
      </c>
      <c r="DO7" s="81">
        <f>Inv_SY_B!DO7/Inv_SY_B!$FG7-1</f>
        <v>-1.513063212359167E-2</v>
      </c>
      <c r="DP7" s="81">
        <f>Inv_SY_B!DP7/Inv_SY_B!$FG7-1</f>
        <v>-2.0198220665597622E-2</v>
      </c>
      <c r="DQ7" s="81">
        <f>Inv_SY_B!DQ7/Inv_SY_B!$FG7-1</f>
        <v>-1.5308900420345051E-2</v>
      </c>
      <c r="DR7" s="81">
        <f>Inv_SY_B!DR7/Inv_SY_B!$FG7-1</f>
        <v>1.1979459460585762E-2</v>
      </c>
      <c r="DS7" s="81">
        <f>Inv_SY_B!DS7/Inv_SY_B!$FG7-1</f>
        <v>-2.1154838011335775E-2</v>
      </c>
      <c r="DT7" s="81">
        <f>Inv_SY_B!DT7/Inv_SY_B!$FG7-1</f>
        <v>2.0719732594561169E-2</v>
      </c>
      <c r="DU7" s="81">
        <f>Inv_SY_B!DU7/Inv_SY_B!$FG7-1</f>
        <v>6.1708674573246469E-3</v>
      </c>
      <c r="DV7" s="81">
        <f>Inv_SY_B!DV7/Inv_SY_B!$FG7-1</f>
        <v>-1.0565293137668963E-2</v>
      </c>
      <c r="DW7" s="81">
        <f>Inv_SY_B!DW7/Inv_SY_B!$FG7-1</f>
        <v>1.3346289885035389E-2</v>
      </c>
      <c r="DX7" s="81">
        <f>Inv_SY_B!DX7/Inv_SY_B!$FG7-1</f>
        <v>6.7426262303917905E-3</v>
      </c>
      <c r="DY7" s="81">
        <f>Inv_SY_B!DY7/Inv_SY_B!$FG7-1</f>
        <v>-9.7671155008920429E-3</v>
      </c>
      <c r="DZ7" s="81">
        <f>Inv_SY_B!DZ7/Inv_SY_B!$FG7-1</f>
        <v>2.0892634232223095E-2</v>
      </c>
      <c r="EA7" s="81">
        <f>Inv_SY_B!EA7/Inv_SY_B!$FG7-1</f>
        <v>-1.6514031191526168E-2</v>
      </c>
      <c r="EB7" s="81">
        <f>Inv_SY_B!EB7/Inv_SY_B!$FG7-1</f>
        <v>2.5465310447372769E-2</v>
      </c>
      <c r="EC7" s="81">
        <f>Inv_SY_B!EC7/Inv_SY_B!$FG7-1</f>
        <v>2.0290882075951089E-2</v>
      </c>
      <c r="ED7" s="81">
        <f>Inv_SY_B!ED7/Inv_SY_B!$FG7-1</f>
        <v>5.5332051552941186E-2</v>
      </c>
      <c r="EE7" s="81">
        <f>Inv_SY_B!EE7/Inv_SY_B!$FG7-1</f>
        <v>2.2784381561935296E-2</v>
      </c>
      <c r="EF7" s="81">
        <f>Inv_SY_B!EF7/Inv_SY_B!$FG7-1</f>
        <v>5.0285912634740804E-2</v>
      </c>
      <c r="EG7" s="81">
        <f>Inv_SY_B!EG7/Inv_SY_B!$FG7-1</f>
        <v>8.0632679447312228E-4</v>
      </c>
      <c r="EH7" s="81">
        <f>Inv_SY_B!EH7/Inv_SY_B!$FG7-1</f>
        <v>3.8599159191723409E-3</v>
      </c>
      <c r="EI7" s="81">
        <f>Inv_SY_B!EI7/Inv_SY_B!$FG7-1</f>
        <v>-9.8584305601686628E-3</v>
      </c>
      <c r="EJ7" s="81">
        <f>Inv_SY_B!EJ7/Inv_SY_B!$FG7-1</f>
        <v>4.1027472854856528E-2</v>
      </c>
      <c r="EK7" s="81">
        <f>Inv_SY_B!EK7/Inv_SY_B!$FG7-1</f>
        <v>-7.7136874518189957E-3</v>
      </c>
      <c r="EL7" s="81">
        <f>Inv_SY_B!EL7/Inv_SY_B!$FG7-1</f>
        <v>3.1927826988877639E-2</v>
      </c>
      <c r="EM7" s="81">
        <f>Inv_SY_B!EM7/Inv_SY_B!$FG7-1</f>
        <v>-7.2568124223095776E-3</v>
      </c>
      <c r="EN7" s="81">
        <f>Inv_SY_B!EN7/Inv_SY_B!$FG7-1</f>
        <v>3.4694253191467572E-2</v>
      </c>
      <c r="EO7" s="81">
        <f>Inv_SY_B!EO7/Inv_SY_B!$FG7-1</f>
        <v>2.9009476185548166E-2</v>
      </c>
      <c r="EP7" s="81">
        <f>Inv_SY_B!EP7/Inv_SY_B!$FG7-1</f>
        <v>1.5763907621688666E-2</v>
      </c>
      <c r="EQ7" s="81">
        <f>Inv_SY_B!EQ7/Inv_SY_B!$FG7-1</f>
        <v>1.1368451439483174E-2</v>
      </c>
      <c r="ER7" s="81">
        <f>Inv_SY_B!ER7/Inv_SY_B!$FG7-1</f>
        <v>-6.9127460420617126E-3</v>
      </c>
      <c r="ES7" s="81">
        <f>Inv_SY_B!ES7/Inv_SY_B!$FG7-1</f>
        <v>-1.1308899103785297E-2</v>
      </c>
      <c r="ET7" s="81">
        <f>Inv_SY_B!ET7/Inv_SY_B!$FG7-1</f>
        <v>-3.4754664990613859E-3</v>
      </c>
      <c r="EU7" s="81">
        <f>Inv_SY_B!EU7/Inv_SY_B!$FG7-1</f>
        <v>-4.4230591528586771E-3</v>
      </c>
      <c r="EV7" s="81">
        <f>Inv_SY_B!EV7/Inv_SY_B!$FG7-1</f>
        <v>-1.5046751025595939E-2</v>
      </c>
      <c r="EW7" s="81">
        <f>Inv_SY_B!EW7/Inv_SY_B!$FG7-1</f>
        <v>3.1522429858661383E-2</v>
      </c>
      <c r="EX7" s="81">
        <f>Inv_SY_B!EX7/Inv_SY_B!$FG7-1</f>
        <v>9.8311509545201403E-5</v>
      </c>
      <c r="EY7" s="81">
        <f>Inv_SY_B!EY7/Inv_SY_B!$FG7-1</f>
        <v>1.5733122091488028E-3</v>
      </c>
      <c r="EZ7" s="81">
        <f>Inv_SY_B!EZ7/Inv_SY_B!$FG7-1</f>
        <v>-7.0640349750159537E-3</v>
      </c>
      <c r="FA7" s="81">
        <f>Inv_SY_B!FA7/Inv_SY_B!$FG7-1</f>
        <v>-6.1200695197183297E-4</v>
      </c>
      <c r="FB7" s="81">
        <f>Inv_SY_B!FB7/Inv_SY_B!$FG7-1</f>
        <v>-1.9905795578122776E-2</v>
      </c>
      <c r="FC7" s="81">
        <f>Inv_SY_B!FC7/Inv_SY_B!$FG7-1</f>
        <v>-7.8204796397867149E-3</v>
      </c>
      <c r="FD7" s="81">
        <f>Inv_SY_B!FD7/Inv_SY_B!$FG7-1</f>
        <v>3.1672606372990852E-2</v>
      </c>
      <c r="FE7" s="81">
        <f>Inv_SY_B!FE7/Inv_SY_B!$FG7-1</f>
        <v>-8.0785607607083421E-3</v>
      </c>
      <c r="FF7" s="81">
        <f>Inv_SY_B!FF7/Inv_SY_B!$FG7-1</f>
        <v>3.1111947386160743E-2</v>
      </c>
    </row>
    <row r="8" spans="2:162">
      <c r="B8" s="104">
        <f t="shared" si="0"/>
        <v>45831</v>
      </c>
      <c r="C8" s="81">
        <f>Inv_SY_B!C8/Inv_SY_B!$FG8-1</f>
        <v>-2.2317035908364646E-3</v>
      </c>
      <c r="D8" s="81">
        <f>Inv_SY_B!D8/Inv_SY_B!$FG8-1</f>
        <v>1.4217198800186681E-2</v>
      </c>
      <c r="E8" s="81">
        <f>Inv_SY_B!E8/Inv_SY_B!$FG8-1</f>
        <v>7.7569645871631288E-3</v>
      </c>
      <c r="F8" s="81">
        <f>Inv_SY_B!F8/Inv_SY_B!$FG8-1</f>
        <v>5.9630456690784595E-3</v>
      </c>
      <c r="G8" s="81">
        <f>Inv_SY_B!G8/Inv_SY_B!$FG8-1</f>
        <v>1.844157859951423E-2</v>
      </c>
      <c r="H8" s="81">
        <f>Inv_SY_B!H8/Inv_SY_B!$FG8-1</f>
        <v>2.0657646690964926E-2</v>
      </c>
      <c r="I8" s="81">
        <f>Inv_SY_B!I8/Inv_SY_B!$FG8-1</f>
        <v>2.6385786980919868E-2</v>
      </c>
      <c r="J8" s="81">
        <f>Inv_SY_B!J8/Inv_SY_B!$FG8-1</f>
        <v>1.1534406284013698E-2</v>
      </c>
      <c r="K8" s="81">
        <f>Inv_SY_B!K8/Inv_SY_B!$FG8-1</f>
        <v>2.0439997146268984E-2</v>
      </c>
      <c r="L8" s="81">
        <f>Inv_SY_B!L8/Inv_SY_B!$FG8-1</f>
        <v>1.6497693087240251E-2</v>
      </c>
      <c r="M8" s="81">
        <f>Inv_SY_B!M8/Inv_SY_B!$FG8-1</f>
        <v>1.5506077052868328E-2</v>
      </c>
      <c r="N8" s="81">
        <f>Inv_SY_B!N8/Inv_SY_B!$FG8-1</f>
        <v>1.9510040000749518E-2</v>
      </c>
      <c r="O8" s="81">
        <f>Inv_SY_B!O8/Inv_SY_B!$FG8-1</f>
        <v>1.7107479162937089E-2</v>
      </c>
      <c r="P8" s="81">
        <f>Inv_SY_B!P8/Inv_SY_B!$FG8-1</f>
        <v>5.5310033345901122E-3</v>
      </c>
      <c r="Q8" s="81">
        <f>Inv_SY_B!Q8/Inv_SY_B!$FG8-1</f>
        <v>1.1377861558015567E-2</v>
      </c>
      <c r="R8" s="81">
        <f>Inv_SY_B!R8/Inv_SY_B!$FG8-1</f>
        <v>1.798649318787704E-2</v>
      </c>
      <c r="S8" s="81">
        <f>Inv_SY_B!S8/Inv_SY_B!$FG8-1</f>
        <v>1.1615297424956594E-2</v>
      </c>
      <c r="T8" s="81">
        <f>Inv_SY_B!T8/Inv_SY_B!$FG8-1</f>
        <v>-1.2359188732323778E-3</v>
      </c>
      <c r="U8" s="81">
        <f>Inv_SY_B!U8/Inv_SY_B!$FG8-1</f>
        <v>1.2861835726397652E-2</v>
      </c>
      <c r="V8" s="81">
        <f>Inv_SY_B!V8/Inv_SY_B!$FG8-1</f>
        <v>1.7303865070421365E-2</v>
      </c>
      <c r="W8" s="81">
        <f>Inv_SY_B!W8/Inv_SY_B!$FG8-1</f>
        <v>6.2546715617211035E-3</v>
      </c>
      <c r="X8" s="81">
        <f>Inv_SY_B!X8/Inv_SY_B!$FG8-1</f>
        <v>-7.246014255179678E-3</v>
      </c>
      <c r="Y8" s="81">
        <f>Inv_SY_B!Y8/Inv_SY_B!$FG8-1</f>
        <v>3.8637802716432468E-3</v>
      </c>
      <c r="Z8" s="81">
        <f>Inv_SY_B!Z8/Inv_SY_B!$FG8-1</f>
        <v>1.0129945131451823E-3</v>
      </c>
      <c r="AA8" s="81">
        <f>Inv_SY_B!AA8/Inv_SY_B!$FG8-1</f>
        <v>-1.0734961189560077E-2</v>
      </c>
      <c r="AB8" s="81">
        <f>Inv_SY_B!AB8/Inv_SY_B!$FG8-1</f>
        <v>-2.7885475339781918E-2</v>
      </c>
      <c r="AC8" s="81">
        <f>Inv_SY_B!AC8/Inv_SY_B!$FG8-1</f>
        <v>-2.7225766754978786E-2</v>
      </c>
      <c r="AD8" s="81">
        <f>Inv_SY_B!AD8/Inv_SY_B!$FG8-1</f>
        <v>-2.8759352660233772E-2</v>
      </c>
      <c r="AE8" s="81">
        <f>Inv_SY_B!AE8/Inv_SY_B!$FG8-1</f>
        <v>3.9949251842958944E-3</v>
      </c>
      <c r="AF8" s="81">
        <f>Inv_SY_B!AF8/Inv_SY_B!$FG8-1</f>
        <v>1.507884366815504E-2</v>
      </c>
      <c r="AG8" s="81">
        <f>Inv_SY_B!AG8/Inv_SY_B!$FG8-1</f>
        <v>8.7588663031246128E-3</v>
      </c>
      <c r="AH8" s="81">
        <f>Inv_SY_B!AH8/Inv_SY_B!$FG8-1</f>
        <v>7.1255610595197805E-3</v>
      </c>
      <c r="AI8" s="81">
        <f>Inv_SY_B!AI8/Inv_SY_B!$FG8-1</f>
        <v>2.2517560982003859E-2</v>
      </c>
      <c r="AJ8" s="81">
        <f>Inv_SY_B!AJ8/Inv_SY_B!$FG8-1</f>
        <v>2.2042689248121583E-2</v>
      </c>
      <c r="AK8" s="81">
        <f>Inv_SY_B!AK8/Inv_SY_B!$FG8-1</f>
        <v>2.943288060666438E-2</v>
      </c>
      <c r="AL8" s="81">
        <f>Inv_SY_B!AL8/Inv_SY_B!$FG8-1</f>
        <v>2.1736001253322756E-2</v>
      </c>
      <c r="AM8" s="81">
        <f>Inv_SY_B!AM8/Inv_SY_B!$FG8-1</f>
        <v>3.0788243680453409E-2</v>
      </c>
      <c r="AN8" s="81">
        <f>Inv_SY_B!AN8/Inv_SY_B!$FG8-1</f>
        <v>1.016100273994236E-2</v>
      </c>
      <c r="AO8" s="81">
        <f>Inv_SY_B!AO8/Inv_SY_B!$FG8-1</f>
        <v>1.6769634369803832E-2</v>
      </c>
      <c r="AP8" s="81">
        <f>Inv_SY_B!AP8/Inv_SY_B!$FG8-1</f>
        <v>2.276153325271979E-3</v>
      </c>
      <c r="AQ8" s="81">
        <f>Inv_SY_B!AQ8/Inv_SY_B!$FG8-1</f>
        <v>2.5379481444774976E-2</v>
      </c>
      <c r="AR8" s="81">
        <f>Inv_SY_B!AR8/Inv_SY_B!$FG8-1</f>
        <v>-9.1600893347398848E-2</v>
      </c>
      <c r="AS8" s="81">
        <f>Inv_SY_B!AS8/Inv_SY_B!$FG8-1</f>
        <v>3.0161307405641713E-2</v>
      </c>
      <c r="AT8" s="81">
        <f>Inv_SY_B!AT8/Inv_SY_B!$FG8-1</f>
        <v>-0.11310330765579801</v>
      </c>
      <c r="AU8" s="81">
        <f>Inv_SY_B!AU8/Inv_SY_B!$FG8-1</f>
        <v>-9.2756628201017599E-2</v>
      </c>
      <c r="AV8" s="81">
        <f>Inv_SY_B!AV8/Inv_SY_B!$FG8-1</f>
        <v>-1.452700033517762E-2</v>
      </c>
      <c r="AW8" s="81">
        <f>Inv_SY_B!AW8/Inv_SY_B!$FG8-1</f>
        <v>-9.540620707621883E-2</v>
      </c>
      <c r="AX8" s="81">
        <f>Inv_SY_B!AX8/Inv_SY_B!$FG8-1</f>
        <v>3.1433888018012057E-2</v>
      </c>
      <c r="AY8" s="81">
        <f>Inv_SY_B!AY8/Inv_SY_B!$FG8-1</f>
        <v>-3.4897101879345693E-2</v>
      </c>
      <c r="AZ8" s="81">
        <f>Inv_SY_B!AZ8/Inv_SY_B!$FG8-1</f>
        <v>-2.080499276389236E-2</v>
      </c>
      <c r="BA8" s="81">
        <f>Inv_SY_B!BA8/Inv_SY_B!$FG8-1</f>
        <v>-9.9485442437255989E-3</v>
      </c>
      <c r="BB8" s="81">
        <f>Inv_SY_B!BB8/Inv_SY_B!$FG8-1</f>
        <v>5.0987625845166917E-4</v>
      </c>
      <c r="BC8" s="81">
        <f>Inv_SY_B!BC8/Inv_SY_B!$FG8-1</f>
        <v>-1.5474267833040289E-2</v>
      </c>
      <c r="BD8" s="81">
        <f>Inv_SY_B!BD8/Inv_SY_B!$FG8-1</f>
        <v>6.5366048124282372E-4</v>
      </c>
      <c r="BE8" s="81">
        <f>Inv_SY_B!BE8/Inv_SY_B!$FG8-1</f>
        <v>-1.3893103807151475E-2</v>
      </c>
      <c r="BF8" s="81">
        <f>Inv_SY_B!BF8/Inv_SY_B!$FG8-1</f>
        <v>-2.9008670412379423E-2</v>
      </c>
      <c r="BG8" s="81">
        <f>Inv_SY_B!BG8/Inv_SY_B!$FG8-1</f>
        <v>-2.141773201177366E-2</v>
      </c>
      <c r="BH8" s="81">
        <f>Inv_SY_B!BH8/Inv_SY_B!$FG8-1</f>
        <v>-8.5610825330334483E-3</v>
      </c>
      <c r="BI8" s="81">
        <f>Inv_SY_B!BI8/Inv_SY_B!$FG8-1</f>
        <v>-2.3011002055414287E-2</v>
      </c>
      <c r="BJ8" s="81">
        <f>Inv_SY_B!BJ8/Inv_SY_B!$FG8-1</f>
        <v>-8.5302187691014275E-3</v>
      </c>
      <c r="BK8" s="81">
        <f>Inv_SY_B!BK8/Inv_SY_B!$FG8-1</f>
        <v>-1.7436771418114061E-2</v>
      </c>
      <c r="BL8" s="81">
        <f>Inv_SY_B!BL8/Inv_SY_B!$FG8-1</f>
        <v>-1.9761569729568107E-2</v>
      </c>
      <c r="BM8" s="81">
        <f>Inv_SY_B!BM8/Inv_SY_B!$FG8-1</f>
        <v>-1.0815148793730245E-2</v>
      </c>
      <c r="BN8" s="81">
        <f>Inv_SY_B!BN8/Inv_SY_B!$FG8-1</f>
        <v>-1.4667455636418469E-2</v>
      </c>
      <c r="BO8" s="81">
        <f>Inv_SY_B!BO8/Inv_SY_B!$FG8-1</f>
        <v>-8.0757605778767338E-3</v>
      </c>
      <c r="BP8" s="81">
        <f>Inv_SY_B!BP8/Inv_SY_B!$FG8-1</f>
        <v>-1.7215876550230935E-2</v>
      </c>
      <c r="BQ8" s="81">
        <f>Inv_SY_B!BQ8/Inv_SY_B!$FG8-1</f>
        <v>-1.8023241617581509E-2</v>
      </c>
      <c r="BR8" s="81">
        <f>Inv_SY_B!BR8/Inv_SY_B!$FG8-1</f>
        <v>-2.3591764757463607E-2</v>
      </c>
      <c r="BS8" s="81">
        <f>Inv_SY_B!BS8/Inv_SY_B!$FG8-1</f>
        <v>-1.7471376004243977E-2</v>
      </c>
      <c r="BT8" s="81">
        <f>Inv_SY_B!BT8/Inv_SY_B!$FG8-1</f>
        <v>-1.3627556993953238E-2</v>
      </c>
      <c r="BU8" s="81">
        <f>Inv_SY_B!BU8/Inv_SY_B!$FG8-1</f>
        <v>-1.8350569882941148E-2</v>
      </c>
      <c r="BV8" s="81">
        <f>Inv_SY_B!BV8/Inv_SY_B!$FG8-1</f>
        <v>-3.2444248438662782E-2</v>
      </c>
      <c r="BW8" s="81">
        <f>Inv_SY_B!BW8/Inv_SY_B!$FG8-1</f>
        <v>-1.1495342026033861E-2</v>
      </c>
      <c r="BX8" s="81">
        <f>Inv_SY_B!BX8/Inv_SY_B!$FG8-1</f>
        <v>-2.7966694647616919E-2</v>
      </c>
      <c r="BY8" s="81">
        <f>Inv_SY_B!BY8/Inv_SY_B!$FG8-1</f>
        <v>-3.9860998895726585E-3</v>
      </c>
      <c r="BZ8" s="81">
        <f>Inv_SY_B!BZ8/Inv_SY_B!$FG8-1</f>
        <v>-1.5136571262805432E-2</v>
      </c>
      <c r="CA8" s="81">
        <f>Inv_SY_B!CA8/Inv_SY_B!$FG8-1</f>
        <v>-1.1566812483673528E-2</v>
      </c>
      <c r="CB8" s="81">
        <f>Inv_SY_B!CB8/Inv_SY_B!$FG8-1</f>
        <v>-8.074213321118684E-4</v>
      </c>
      <c r="CC8" s="81">
        <f>Inv_SY_B!CC8/Inv_SY_B!$FG8-1</f>
        <v>-1.0464000461743672E-2</v>
      </c>
      <c r="CD8" s="81">
        <f>Inv_SY_B!CD8/Inv_SY_B!$FG8-1</f>
        <v>-8.1916123490934911E-3</v>
      </c>
      <c r="CE8" s="81">
        <f>Inv_SY_B!CE8/Inv_SY_B!$FG8-1</f>
        <v>-1.2635868281561047E-2</v>
      </c>
      <c r="CF8" s="81">
        <f>Inv_SY_B!CF8/Inv_SY_B!$FG8-1</f>
        <v>-1.3824750790531803E-2</v>
      </c>
      <c r="CG8" s="81">
        <f>Inv_SY_B!CG8/Inv_SY_B!$FG8-1</f>
        <v>-1.5796846561171529E-2</v>
      </c>
      <c r="CH8" s="81">
        <f>Inv_SY_B!CH8/Inv_SY_B!$FG8-1</f>
        <v>-1.5290595109579641E-2</v>
      </c>
      <c r="CI8" s="81">
        <f>Inv_SY_B!CI8/Inv_SY_B!$FG8-1</f>
        <v>-1.4711258061103294E-2</v>
      </c>
      <c r="CJ8" s="81">
        <f>Inv_SY_B!CJ8/Inv_SY_B!$FG8-1</f>
        <v>-2.2602984372088852E-2</v>
      </c>
      <c r="CK8" s="81">
        <f>Inv_SY_B!CK8/Inv_SY_B!$FG8-1</f>
        <v>-1.0908080731104719E-2</v>
      </c>
      <c r="CL8" s="81">
        <f>Inv_SY_B!CL8/Inv_SY_B!$FG8-1</f>
        <v>-2.0051955505907992E-2</v>
      </c>
      <c r="CM8" s="81">
        <f>Inv_SY_B!CM8/Inv_SY_B!$FG8-1</f>
        <v>5.807269858937314E-3</v>
      </c>
      <c r="CN8" s="81">
        <f>Inv_SY_B!CN8/Inv_SY_B!$FG8-1</f>
        <v>-1.1729398467572483E-2</v>
      </c>
      <c r="CO8" s="81">
        <f>Inv_SY_B!CO8/Inv_SY_B!$FG8-1</f>
        <v>-1.0115675097110977E-3</v>
      </c>
      <c r="CP8" s="81">
        <f>Inv_SY_B!CP8/Inv_SY_B!$FG8-1</f>
        <v>7.630620675327604E-3</v>
      </c>
      <c r="CQ8" s="81">
        <f>Inv_SY_B!CQ8/Inv_SY_B!$FG8-1</f>
        <v>-1.1717901386376628E-4</v>
      </c>
      <c r="CR8" s="81">
        <f>Inv_SY_B!CR8/Inv_SY_B!$FG8-1</f>
        <v>6.3087371923686852E-3</v>
      </c>
      <c r="CS8" s="81">
        <f>Inv_SY_B!CS8/Inv_SY_B!$FG8-1</f>
        <v>-4.7421170073199681E-3</v>
      </c>
      <c r="CT8" s="81">
        <f>Inv_SY_B!CT8/Inv_SY_B!$FG8-1</f>
        <v>7.5724676568673654E-3</v>
      </c>
      <c r="CU8" s="81">
        <f>Inv_SY_B!CU8/Inv_SY_B!$FG8-1</f>
        <v>1.3216604484252326E-2</v>
      </c>
      <c r="CV8" s="81">
        <f>Inv_SY_B!CV8/Inv_SY_B!$FG8-1</f>
        <v>6.1272945959418568E-3</v>
      </c>
      <c r="CW8" s="81">
        <f>Inv_SY_B!CW8/Inv_SY_B!$FG8-1</f>
        <v>8.1933706036738663E-3</v>
      </c>
      <c r="CX8" s="81">
        <f>Inv_SY_B!CX8/Inv_SY_B!$FG8-1</f>
        <v>7.6264785789703637E-3</v>
      </c>
      <c r="CY8" s="81">
        <f>Inv_SY_B!CY8/Inv_SY_B!$FG8-1</f>
        <v>-1.1036568801914282E-4</v>
      </c>
      <c r="CZ8" s="81">
        <f>Inv_SY_B!CZ8/Inv_SY_B!$FG8-1</f>
        <v>5.8690462674628741E-3</v>
      </c>
      <c r="DA8" s="81">
        <f>Inv_SY_B!DA8/Inv_SY_B!$FG8-1</f>
        <v>-4.8812660851446088E-3</v>
      </c>
      <c r="DB8" s="81">
        <f>Inv_SY_B!DB8/Inv_SY_B!$FG8-1</f>
        <v>-2.0490516981522822E-3</v>
      </c>
      <c r="DC8" s="81">
        <f>Inv_SY_B!DC8/Inv_SY_B!$FG8-1</f>
        <v>-6.908079198666206E-3</v>
      </c>
      <c r="DD8" s="81">
        <f>Inv_SY_B!DD8/Inv_SY_B!$FG8-1</f>
        <v>-7.7043027804590825E-3</v>
      </c>
      <c r="DE8" s="81">
        <f>Inv_SY_B!DE8/Inv_SY_B!$FG8-1</f>
        <v>-3.0946836068168615E-3</v>
      </c>
      <c r="DF8" s="81">
        <f>Inv_SY_B!DF8/Inv_SY_B!$FG8-1</f>
        <v>-1.0221111946661421E-2</v>
      </c>
      <c r="DG8" s="81">
        <f>Inv_SY_B!DG8/Inv_SY_B!$FG8-1</f>
        <v>-8.3906529970584343E-3</v>
      </c>
      <c r="DH8" s="81">
        <f>Inv_SY_B!DH8/Inv_SY_B!$FG8-1</f>
        <v>-1.8640810384519368E-2</v>
      </c>
      <c r="DI8" s="81">
        <f>Inv_SY_B!DI8/Inv_SY_B!$FG8-1</f>
        <v>3.1846635107863897E-3</v>
      </c>
      <c r="DJ8" s="81">
        <f>Inv_SY_B!DJ8/Inv_SY_B!$FG8-1</f>
        <v>-2.038733440262841E-3</v>
      </c>
      <c r="DK8" s="81">
        <f>Inv_SY_B!DK8/Inv_SY_B!$FG8-1</f>
        <v>-7.5973740979045079E-3</v>
      </c>
      <c r="DL8" s="81">
        <f>Inv_SY_B!DL8/Inv_SY_B!$FG8-1</f>
        <v>-6.9189746146430808E-3</v>
      </c>
      <c r="DM8" s="81">
        <f>Inv_SY_B!DM8/Inv_SY_B!$FG8-1</f>
        <v>-8.3535072686562462E-3</v>
      </c>
      <c r="DN8" s="81">
        <f>Inv_SY_B!DN8/Inv_SY_B!$FG8-1</f>
        <v>4.5828496900401916E-4</v>
      </c>
      <c r="DO8" s="81">
        <f>Inv_SY_B!DO8/Inv_SY_B!$FG8-1</f>
        <v>7.4397630801614767E-4</v>
      </c>
      <c r="DP8" s="81">
        <f>Inv_SY_B!DP8/Inv_SY_B!$FG8-1</f>
        <v>-6.0337885019983162E-3</v>
      </c>
      <c r="DQ8" s="81">
        <f>Inv_SY_B!DQ8/Inv_SY_B!$FG8-1</f>
        <v>-7.5133062690799779E-3</v>
      </c>
      <c r="DR8" s="81">
        <f>Inv_SY_B!DR8/Inv_SY_B!$FG8-1</f>
        <v>-1.3192770218846572E-2</v>
      </c>
      <c r="DS8" s="81">
        <f>Inv_SY_B!DS8/Inv_SY_B!$FG8-1</f>
        <v>-1.2088716624666596E-2</v>
      </c>
      <c r="DT8" s="81">
        <f>Inv_SY_B!DT8/Inv_SY_B!$FG8-1</f>
        <v>-1.1155815085955978E-2</v>
      </c>
      <c r="DU8" s="81">
        <f>Inv_SY_B!DU8/Inv_SY_B!$FG8-1</f>
        <v>7.3630203661398941E-3</v>
      </c>
      <c r="DV8" s="81">
        <f>Inv_SY_B!DV8/Inv_SY_B!$FG8-1</f>
        <v>3.5346457139606713E-4</v>
      </c>
      <c r="DW8" s="81">
        <f>Inv_SY_B!DW8/Inv_SY_B!$FG8-1</f>
        <v>7.9884571744748278E-3</v>
      </c>
      <c r="DX8" s="81">
        <f>Inv_SY_B!DX8/Inv_SY_B!$FG8-1</f>
        <v>-9.167425441840682E-3</v>
      </c>
      <c r="DY8" s="81">
        <f>Inv_SY_B!DY8/Inv_SY_B!$FG8-1</f>
        <v>-1.3428594750611755E-2</v>
      </c>
      <c r="DZ8" s="81">
        <f>Inv_SY_B!DZ8/Inv_SY_B!$FG8-1</f>
        <v>-9.4786887242288564E-3</v>
      </c>
      <c r="EA8" s="81">
        <f>Inv_SY_B!EA8/Inv_SY_B!$FG8-1</f>
        <v>-4.6492526863142203E-3</v>
      </c>
      <c r="EB8" s="81">
        <f>Inv_SY_B!EB8/Inv_SY_B!$FG8-1</f>
        <v>6.2365093871417088E-3</v>
      </c>
      <c r="EC8" s="81">
        <f>Inv_SY_B!EC8/Inv_SY_B!$FG8-1</f>
        <v>-8.3864931954524824E-3</v>
      </c>
      <c r="ED8" s="81">
        <f>Inv_SY_B!ED8/Inv_SY_B!$FG8-1</f>
        <v>-1.2701058329238069E-2</v>
      </c>
      <c r="EE8" s="81">
        <f>Inv_SY_B!EE8/Inv_SY_B!$FG8-1</f>
        <v>1.1605816329771645E-3</v>
      </c>
      <c r="EF8" s="81">
        <f>Inv_SY_B!EF8/Inv_SY_B!$FG8-1</f>
        <v>-3.5039260605763678E-3</v>
      </c>
      <c r="EG8" s="81">
        <f>Inv_SY_B!EG8/Inv_SY_B!$FG8-1</f>
        <v>-9.2718322208245052E-3</v>
      </c>
      <c r="EH8" s="81">
        <f>Inv_SY_B!EH8/Inv_SY_B!$FG8-1</f>
        <v>-6.1350818224068515E-3</v>
      </c>
      <c r="EI8" s="81">
        <f>Inv_SY_B!EI8/Inv_SY_B!$FG8-1</f>
        <v>2.7203209418670493E-2</v>
      </c>
      <c r="EJ8" s="81">
        <f>Inv_SY_B!EJ8/Inv_SY_B!$FG8-1</f>
        <v>3.312522375320448E-2</v>
      </c>
      <c r="EK8" s="81">
        <f>Inv_SY_B!EK8/Inv_SY_B!$FG8-1</f>
        <v>3.2366924255831764E-2</v>
      </c>
      <c r="EL8" s="81">
        <f>Inv_SY_B!EL8/Inv_SY_B!$FG8-1</f>
        <v>2.969269386185891E-2</v>
      </c>
      <c r="EM8" s="81">
        <f>Inv_SY_B!EM8/Inv_SY_B!$FG8-1</f>
        <v>3.6880863353595972E-2</v>
      </c>
      <c r="EN8" s="81">
        <f>Inv_SY_B!EN8/Inv_SY_B!$FG8-1</f>
        <v>3.3696833050482544E-2</v>
      </c>
      <c r="EO8" s="81">
        <f>Inv_SY_B!EO8/Inv_SY_B!$FG8-1</f>
        <v>3.4168033494104355E-2</v>
      </c>
      <c r="EP8" s="81">
        <f>Inv_SY_B!EP8/Inv_SY_B!$FG8-1</f>
        <v>1.2489373668198134E-2</v>
      </c>
      <c r="EQ8" s="81">
        <f>Inv_SY_B!EQ8/Inv_SY_B!$FG8-1</f>
        <v>2.8069344921513473E-2</v>
      </c>
      <c r="ER8" s="81">
        <f>Inv_SY_B!ER8/Inv_SY_B!$FG8-1</f>
        <v>2.7790203645275069E-2</v>
      </c>
      <c r="ES8" s="81">
        <f>Inv_SY_B!ES8/Inv_SY_B!$FG8-1</f>
        <v>2.5180249562018586E-2</v>
      </c>
      <c r="ET8" s="81">
        <f>Inv_SY_B!ET8/Inv_SY_B!$FG8-1</f>
        <v>2.5143045702585853E-2</v>
      </c>
      <c r="EU8" s="81">
        <f>Inv_SY_B!EU8/Inv_SY_B!$FG8-1</f>
        <v>2.6380074028722555E-2</v>
      </c>
      <c r="EV8" s="81">
        <f>Inv_SY_B!EV8/Inv_SY_B!$FG8-1</f>
        <v>1.692163866830132E-2</v>
      </c>
      <c r="EW8" s="81">
        <f>Inv_SY_B!EW8/Inv_SY_B!$FG8-1</f>
        <v>2.9762137375274333E-2</v>
      </c>
      <c r="EX8" s="81">
        <f>Inv_SY_B!EX8/Inv_SY_B!$FG8-1</f>
        <v>3.408127293128671E-2</v>
      </c>
      <c r="EY8" s="81">
        <f>Inv_SY_B!EY8/Inv_SY_B!$FG8-1</f>
        <v>3.509761472760653E-2</v>
      </c>
      <c r="EZ8" s="81">
        <f>Inv_SY_B!EZ8/Inv_SY_B!$FG8-1</f>
        <v>3.1743242890064582E-2</v>
      </c>
      <c r="FA8" s="81">
        <f>Inv_SY_B!FA8/Inv_SY_B!$FG8-1</f>
        <v>3.6044809956900403E-2</v>
      </c>
      <c r="FB8" s="81">
        <f>Inv_SY_B!FB8/Inv_SY_B!$FG8-1</f>
        <v>2.8248792884809637E-2</v>
      </c>
      <c r="FC8" s="81">
        <f>Inv_SY_B!FC8/Inv_SY_B!$FG8-1</f>
        <v>2.923934564220465E-2</v>
      </c>
      <c r="FD8" s="81">
        <f>Inv_SY_B!FD8/Inv_SY_B!$FG8-1</f>
        <v>2.5490378609008157E-2</v>
      </c>
      <c r="FE8" s="81">
        <f>Inv_SY_B!FE8/Inv_SY_B!$FG8-1</f>
        <v>3.1614837902994797E-2</v>
      </c>
      <c r="FF8" s="81">
        <f>Inv_SY_B!FF8/Inv_SY_B!$FG8-1</f>
        <v>3.1722606374285256E-2</v>
      </c>
    </row>
    <row r="9" spans="2:162">
      <c r="B9" s="104">
        <f t="shared" si="0"/>
        <v>45832</v>
      </c>
      <c r="C9" s="81">
        <f>Inv_SY_B!C9/Inv_SY_B!$FG9-1</f>
        <v>4.4743635394817183E-4</v>
      </c>
      <c r="D9" s="81">
        <f>Inv_SY_B!D9/Inv_SY_B!$FG9-1</f>
        <v>1.8428907476560674E-2</v>
      </c>
      <c r="E9" s="81">
        <f>Inv_SY_B!E9/Inv_SY_B!$FG9-1</f>
        <v>1.8739940545457134E-2</v>
      </c>
      <c r="F9" s="81">
        <f>Inv_SY_B!F9/Inv_SY_B!$FG9-1</f>
        <v>1.7493765994174737E-2</v>
      </c>
      <c r="G9" s="81">
        <f>Inv_SY_B!G9/Inv_SY_B!$FG9-1</f>
        <v>2.7573279702118425E-2</v>
      </c>
      <c r="H9" s="81">
        <f>Inv_SY_B!H9/Inv_SY_B!$FG9-1</f>
        <v>2.6515767267870194E-2</v>
      </c>
      <c r="I9" s="81">
        <f>Inv_SY_B!I9/Inv_SY_B!$FG9-1</f>
        <v>3.0736930345751645E-2</v>
      </c>
      <c r="J9" s="81">
        <f>Inv_SY_B!J9/Inv_SY_B!$FG9-1</f>
        <v>1.247254579549395E-2</v>
      </c>
      <c r="K9" s="81">
        <f>Inv_SY_B!K9/Inv_SY_B!$FG9-1</f>
        <v>2.0490612390388963E-2</v>
      </c>
      <c r="L9" s="81">
        <f>Inv_SY_B!L9/Inv_SY_B!$FG9-1</f>
        <v>1.6973120990676493E-2</v>
      </c>
      <c r="M9" s="81">
        <f>Inv_SY_B!M9/Inv_SY_B!$FG9-1</f>
        <v>1.5184927910944168E-2</v>
      </c>
      <c r="N9" s="81">
        <f>Inv_SY_B!N9/Inv_SY_B!$FG9-1</f>
        <v>1.7815727997878783E-2</v>
      </c>
      <c r="O9" s="81">
        <f>Inv_SY_B!O9/Inv_SY_B!$FG9-1</f>
        <v>1.6599026917921034E-2</v>
      </c>
      <c r="P9" s="81">
        <f>Inv_SY_B!P9/Inv_SY_B!$FG9-1</f>
        <v>9.026822136774193E-3</v>
      </c>
      <c r="Q9" s="81">
        <f>Inv_SY_B!Q9/Inv_SY_B!$FG9-1</f>
        <v>1.7513581588093574E-2</v>
      </c>
      <c r="R9" s="81">
        <f>Inv_SY_B!R9/Inv_SY_B!$FG9-1</f>
        <v>2.0206239298826478E-2</v>
      </c>
      <c r="S9" s="81">
        <f>Inv_SY_B!S9/Inv_SY_B!$FG9-1</f>
        <v>1.0279841071471729E-2</v>
      </c>
      <c r="T9" s="81">
        <f>Inv_SY_B!T9/Inv_SY_B!$FG9-1</f>
        <v>9.3200818874481506E-3</v>
      </c>
      <c r="U9" s="81">
        <f>Inv_SY_B!U9/Inv_SY_B!$FG9-1</f>
        <v>1.1515086687946319E-2</v>
      </c>
      <c r="V9" s="81">
        <f>Inv_SY_B!V9/Inv_SY_B!$FG9-1</f>
        <v>1.9770793002371168E-2</v>
      </c>
      <c r="W9" s="81">
        <f>Inv_SY_B!W9/Inv_SY_B!$FG9-1</f>
        <v>2.5067275811976319E-3</v>
      </c>
      <c r="X9" s="81">
        <f>Inv_SY_B!X9/Inv_SY_B!$FG9-1</f>
        <v>-1.5079172770794402E-3</v>
      </c>
      <c r="Y9" s="81">
        <f>Inv_SY_B!Y9/Inv_SY_B!$FG9-1</f>
        <v>2.7040541705478649E-3</v>
      </c>
      <c r="Z9" s="81">
        <f>Inv_SY_B!Z9/Inv_SY_B!$FG9-1</f>
        <v>-1.1811165595513318E-3</v>
      </c>
      <c r="AA9" s="81">
        <f>Inv_SY_B!AA9/Inv_SY_B!$FG9-1</f>
        <v>-1.5791250688180214E-2</v>
      </c>
      <c r="AB9" s="81">
        <f>Inv_SY_B!AB9/Inv_SY_B!$FG9-1</f>
        <v>-3.2354006146500858E-2</v>
      </c>
      <c r="AC9" s="81">
        <f>Inv_SY_B!AC9/Inv_SY_B!$FG9-1</f>
        <v>-2.8843329646672244E-2</v>
      </c>
      <c r="AD9" s="81">
        <f>Inv_SY_B!AD9/Inv_SY_B!$FG9-1</f>
        <v>-3.1465931288595206E-2</v>
      </c>
      <c r="AE9" s="81">
        <f>Inv_SY_B!AE9/Inv_SY_B!$FG9-1</f>
        <v>4.9424148685506264E-3</v>
      </c>
      <c r="AF9" s="81">
        <f>Inv_SY_B!AF9/Inv_SY_B!$FG9-1</f>
        <v>1.2218921197887589E-2</v>
      </c>
      <c r="AG9" s="81">
        <f>Inv_SY_B!AG9/Inv_SY_B!$FG9-1</f>
        <v>8.4436773161016276E-3</v>
      </c>
      <c r="AH9" s="81">
        <f>Inv_SY_B!AH9/Inv_SY_B!$FG9-1</f>
        <v>4.3536243320965173E-3</v>
      </c>
      <c r="AI9" s="81">
        <f>Inv_SY_B!AI9/Inv_SY_B!$FG9-1</f>
        <v>1.2421525917301945E-2</v>
      </c>
      <c r="AJ9" s="81">
        <f>Inv_SY_B!AJ9/Inv_SY_B!$FG9-1</f>
        <v>1.3203551919098944E-2</v>
      </c>
      <c r="AK9" s="81">
        <f>Inv_SY_B!AK9/Inv_SY_B!$FG9-1</f>
        <v>2.0668345572615543E-2</v>
      </c>
      <c r="AL9" s="81">
        <f>Inv_SY_B!AL9/Inv_SY_B!$FG9-1</f>
        <v>1.3239098555544171E-2</v>
      </c>
      <c r="AM9" s="81">
        <f>Inv_SY_B!AM9/Inv_SY_B!$FG9-1</f>
        <v>2.6311374108309638E-2</v>
      </c>
      <c r="AN9" s="81">
        <f>Inv_SY_B!AN9/Inv_SY_B!$FG9-1</f>
        <v>7.5871833607390471E-3</v>
      </c>
      <c r="AO9" s="81">
        <f>Inv_SY_B!AO9/Inv_SY_B!$FG9-1</f>
        <v>1.2625919076862502E-2</v>
      </c>
      <c r="AP9" s="81">
        <f>Inv_SY_B!AP9/Inv_SY_B!$FG9-1</f>
        <v>7.1517370642835143E-3</v>
      </c>
      <c r="AQ9" s="81">
        <f>Inv_SY_B!AQ9/Inv_SY_B!$FG9-1</f>
        <v>2.8914542331262671E-2</v>
      </c>
      <c r="AR9" s="81">
        <f>Inv_SY_B!AR9/Inv_SY_B!$FG9-1</f>
        <v>-8.5139431337318605E-2</v>
      </c>
      <c r="AS9" s="81">
        <f>Inv_SY_B!AS9/Inv_SY_B!$FG9-1</f>
        <v>3.1237776698051833E-2</v>
      </c>
      <c r="AT9" s="81">
        <f>Inv_SY_B!AT9/Inv_SY_B!$FG9-1</f>
        <v>-9.9966059231905047E-2</v>
      </c>
      <c r="AU9" s="81">
        <f>Inv_SY_B!AU9/Inv_SY_B!$FG9-1</f>
        <v>-8.9606726435264461E-2</v>
      </c>
      <c r="AV9" s="81">
        <f>Inv_SY_B!AV9/Inv_SY_B!$FG9-1</f>
        <v>-1.4865046332680043E-2</v>
      </c>
      <c r="AW9" s="81">
        <f>Inv_SY_B!AW9/Inv_SY_B!$FG9-1</f>
        <v>-8.9977569165310523E-2</v>
      </c>
      <c r="AX9" s="81">
        <f>Inv_SY_B!AX9/Inv_SY_B!$FG9-1</f>
        <v>3.5783286164431161E-2</v>
      </c>
      <c r="AY9" s="81">
        <f>Inv_SY_B!AY9/Inv_SY_B!$FG9-1</f>
        <v>-3.0270501933266303E-2</v>
      </c>
      <c r="AZ9" s="81">
        <f>Inv_SY_B!AZ9/Inv_SY_B!$FG9-1</f>
        <v>-1.8466929357066064E-2</v>
      </c>
      <c r="BA9" s="81">
        <f>Inv_SY_B!BA9/Inv_SY_B!$FG9-1</f>
        <v>-1.0265174235110752E-2</v>
      </c>
      <c r="BB9" s="81">
        <f>Inv_SY_B!BB9/Inv_SY_B!$FG9-1</f>
        <v>-3.0607699302412916E-3</v>
      </c>
      <c r="BC9" s="81">
        <f>Inv_SY_B!BC9/Inv_SY_B!$FG9-1</f>
        <v>-1.0693581871808577E-2</v>
      </c>
      <c r="BD9" s="81">
        <f>Inv_SY_B!BD9/Inv_SY_B!$FG9-1</f>
        <v>-2.2844940448333295E-3</v>
      </c>
      <c r="BE9" s="81">
        <f>Inv_SY_B!BE9/Inv_SY_B!$FG9-1</f>
        <v>-2.107848790183342E-2</v>
      </c>
      <c r="BF9" s="81">
        <f>Inv_SY_B!BF9/Inv_SY_B!$FG9-1</f>
        <v>-2.4709362158963688E-2</v>
      </c>
      <c r="BG9" s="81">
        <f>Inv_SY_B!BG9/Inv_SY_B!$FG9-1</f>
        <v>-2.7111517694372256E-2</v>
      </c>
      <c r="BH9" s="81">
        <f>Inv_SY_B!BH9/Inv_SY_B!$FG9-1</f>
        <v>-2.0618690047489174E-2</v>
      </c>
      <c r="BI9" s="81">
        <f>Inv_SY_B!BI9/Inv_SY_B!$FG9-1</f>
        <v>-1.9155312950711378E-2</v>
      </c>
      <c r="BJ9" s="81">
        <f>Inv_SY_B!BJ9/Inv_SY_B!$FG9-1</f>
        <v>-6.6481452900994942E-3</v>
      </c>
      <c r="BK9" s="81">
        <f>Inv_SY_B!BK9/Inv_SY_B!$FG9-1</f>
        <v>-1.1545762414899796E-2</v>
      </c>
      <c r="BL9" s="81">
        <f>Inv_SY_B!BL9/Inv_SY_B!$FG9-1</f>
        <v>-2.092545081083963E-2</v>
      </c>
      <c r="BM9" s="81">
        <f>Inv_SY_B!BM9/Inv_SY_B!$FG9-1</f>
        <v>-1.6364521132934962E-2</v>
      </c>
      <c r="BN9" s="81">
        <f>Inv_SY_B!BN9/Inv_SY_B!$FG9-1</f>
        <v>-1.9483824173795794E-2</v>
      </c>
      <c r="BO9" s="81">
        <f>Inv_SY_B!BO9/Inv_SY_B!$FG9-1</f>
        <v>-2.3472571114169893E-2</v>
      </c>
      <c r="BP9" s="81">
        <f>Inv_SY_B!BP9/Inv_SY_B!$FG9-1</f>
        <v>-3.025296819014045E-2</v>
      </c>
      <c r="BQ9" s="81">
        <f>Inv_SY_B!BQ9/Inv_SY_B!$FG9-1</f>
        <v>-2.8731319226534602E-2</v>
      </c>
      <c r="BR9" s="81">
        <f>Inv_SY_B!BR9/Inv_SY_B!$FG9-1</f>
        <v>-2.9049495582912921E-2</v>
      </c>
      <c r="BS9" s="81">
        <f>Inv_SY_B!BS9/Inv_SY_B!$FG9-1</f>
        <v>-3.2063807601076633E-2</v>
      </c>
      <c r="BT9" s="81">
        <f>Inv_SY_B!BT9/Inv_SY_B!$FG9-1</f>
        <v>-2.2033320252114352E-2</v>
      </c>
      <c r="BU9" s="81">
        <f>Inv_SY_B!BU9/Inv_SY_B!$FG9-1</f>
        <v>-3.2368998637437141E-2</v>
      </c>
      <c r="BV9" s="81">
        <f>Inv_SY_B!BV9/Inv_SY_B!$FG9-1</f>
        <v>-3.0471453089576994E-2</v>
      </c>
      <c r="BW9" s="81">
        <f>Inv_SY_B!BW9/Inv_SY_B!$FG9-1</f>
        <v>-2.5569811130717657E-2</v>
      </c>
      <c r="BX9" s="81">
        <f>Inv_SY_B!BX9/Inv_SY_B!$FG9-1</f>
        <v>-2.5607232829507609E-2</v>
      </c>
      <c r="BY9" s="81">
        <f>Inv_SY_B!BY9/Inv_SY_B!$FG9-1</f>
        <v>-1.2244242794679283E-2</v>
      </c>
      <c r="BZ9" s="81">
        <f>Inv_SY_B!BZ9/Inv_SY_B!$FG9-1</f>
        <v>-2.1710174178530606E-2</v>
      </c>
      <c r="CA9" s="81">
        <f>Inv_SY_B!CA9/Inv_SY_B!$FG9-1</f>
        <v>-1.0042049151086418E-2</v>
      </c>
      <c r="CB9" s="81">
        <f>Inv_SY_B!CB9/Inv_SY_B!$FG9-1</f>
        <v>-4.8423830856726413E-3</v>
      </c>
      <c r="CC9" s="81">
        <f>Inv_SY_B!CC9/Inv_SY_B!$FG9-1</f>
        <v>-5.182522607998008E-3</v>
      </c>
      <c r="CD9" s="81">
        <f>Inv_SY_B!CD9/Inv_SY_B!$FG9-1</f>
        <v>-1.1562471837313404E-2</v>
      </c>
      <c r="CE9" s="81">
        <f>Inv_SY_B!CE9/Inv_SY_B!$FG9-1</f>
        <v>-1.653241838935493E-2</v>
      </c>
      <c r="CF9" s="81">
        <f>Inv_SY_B!CF9/Inv_SY_B!$FG9-1</f>
        <v>-1.8319163513296099E-2</v>
      </c>
      <c r="CG9" s="81">
        <f>Inv_SY_B!CG9/Inv_SY_B!$FG9-1</f>
        <v>-1.9826460431996429E-2</v>
      </c>
      <c r="CH9" s="81">
        <f>Inv_SY_B!CH9/Inv_SY_B!$FG9-1</f>
        <v>-1.9425213191974988E-2</v>
      </c>
      <c r="CI9" s="81">
        <f>Inv_SY_B!CI9/Inv_SY_B!$FG9-1</f>
        <v>-2.0086423432573719E-2</v>
      </c>
      <c r="CJ9" s="81">
        <f>Inv_SY_B!CJ9/Inv_SY_B!$FG9-1</f>
        <v>-2.9943886246524998E-2</v>
      </c>
      <c r="CK9" s="81">
        <f>Inv_SY_B!CK9/Inv_SY_B!$FG9-1</f>
        <v>-2.5330187979544672E-2</v>
      </c>
      <c r="CL9" s="81">
        <f>Inv_SY_B!CL9/Inv_SY_B!$FG9-1</f>
        <v>-3.0485043479906104E-2</v>
      </c>
      <c r="CM9" s="81">
        <f>Inv_SY_B!CM9/Inv_SY_B!$FG9-1</f>
        <v>-7.1701614498759225E-3</v>
      </c>
      <c r="CN9" s="81">
        <f>Inv_SY_B!CN9/Inv_SY_B!$FG9-1</f>
        <v>-2.5659572637950157E-2</v>
      </c>
      <c r="CO9" s="81">
        <f>Inv_SY_B!CO9/Inv_SY_B!$FG9-1</f>
        <v>-1.2213869804629018E-2</v>
      </c>
      <c r="CP9" s="81">
        <f>Inv_SY_B!CP9/Inv_SY_B!$FG9-1</f>
        <v>-5.4190902342516889E-3</v>
      </c>
      <c r="CQ9" s="81">
        <f>Inv_SY_B!CQ9/Inv_SY_B!$FG9-1</f>
        <v>-1.2390185011870725E-2</v>
      </c>
      <c r="CR9" s="81">
        <f>Inv_SY_B!CR9/Inv_SY_B!$FG9-1</f>
        <v>-6.0637664396275825E-3</v>
      </c>
      <c r="CS9" s="81">
        <f>Inv_SY_B!CS9/Inv_SY_B!$FG9-1</f>
        <v>-1.7325003349826007E-2</v>
      </c>
      <c r="CT9" s="81">
        <f>Inv_SY_B!CT9/Inv_SY_B!$FG9-1</f>
        <v>-6.5632141122987653E-3</v>
      </c>
      <c r="CU9" s="81">
        <f>Inv_SY_B!CU9/Inv_SY_B!$FG9-1</f>
        <v>5.053845674554136E-3</v>
      </c>
      <c r="CV9" s="81">
        <f>Inv_SY_B!CV9/Inv_SY_B!$FG9-1</f>
        <v>5.0461799056868983E-3</v>
      </c>
      <c r="CW9" s="81">
        <f>Inv_SY_B!CW9/Inv_SY_B!$FG9-1</f>
        <v>8.2228280650760155E-3</v>
      </c>
      <c r="CX9" s="81">
        <f>Inv_SY_B!CX9/Inv_SY_B!$FG9-1</f>
        <v>1.1207350282913753E-2</v>
      </c>
      <c r="CY9" s="81">
        <f>Inv_SY_B!CY9/Inv_SY_B!$FG9-1</f>
        <v>4.3025445560795905E-3</v>
      </c>
      <c r="CZ9" s="81">
        <f>Inv_SY_B!CZ9/Inv_SY_B!$FG9-1</f>
        <v>1.0901190543207262E-2</v>
      </c>
      <c r="DA9" s="81">
        <f>Inv_SY_B!DA9/Inv_SY_B!$FG9-1</f>
        <v>1.0496808474211861E-3</v>
      </c>
      <c r="DB9" s="81">
        <f>Inv_SY_B!DB9/Inv_SY_B!$FG9-1</f>
        <v>4.2798882038139752E-3</v>
      </c>
      <c r="DC9" s="81">
        <f>Inv_SY_B!DC9/Inv_SY_B!$FG9-1</f>
        <v>-5.2630195874029395E-3</v>
      </c>
      <c r="DD9" s="81">
        <f>Inv_SY_B!DD9/Inv_SY_B!$FG9-1</f>
        <v>-2.7304463919187727E-3</v>
      </c>
      <c r="DE9" s="81">
        <f>Inv_SY_B!DE9/Inv_SY_B!$FG9-1</f>
        <v>-8.1831322539693829E-4</v>
      </c>
      <c r="DF9" s="81">
        <f>Inv_SY_B!DF9/Inv_SY_B!$FG9-1</f>
        <v>-7.1852558767747654E-3</v>
      </c>
      <c r="DG9" s="81">
        <f>Inv_SY_B!DG9/Inv_SY_B!$FG9-1</f>
        <v>-6.6108732110906621E-3</v>
      </c>
      <c r="DH9" s="81">
        <f>Inv_SY_B!DH9/Inv_SY_B!$FG9-1</f>
        <v>-1.7658669628646595E-2</v>
      </c>
      <c r="DI9" s="81">
        <f>Inv_SY_B!DI9/Inv_SY_B!$FG9-1</f>
        <v>2.0326722974073341E-3</v>
      </c>
      <c r="DJ9" s="81">
        <f>Inv_SY_B!DJ9/Inv_SY_B!$FG9-1</f>
        <v>6.0872472140927059E-3</v>
      </c>
      <c r="DK9" s="81">
        <f>Inv_SY_B!DK9/Inv_SY_B!$FG9-1</f>
        <v>-3.9722744816111932E-3</v>
      </c>
      <c r="DL9" s="81">
        <f>Inv_SY_B!DL9/Inv_SY_B!$FG9-1</f>
        <v>-2.7636480533866914E-3</v>
      </c>
      <c r="DM9" s="81">
        <f>Inv_SY_B!DM9/Inv_SY_B!$FG9-1</f>
        <v>-1.0132641339691051E-2</v>
      </c>
      <c r="DN9" s="81">
        <f>Inv_SY_B!DN9/Inv_SY_B!$FG9-1</f>
        <v>4.5101059768355434E-3</v>
      </c>
      <c r="DO9" s="81">
        <f>Inv_SY_B!DO9/Inv_SY_B!$FG9-1</f>
        <v>2.7258026711349803E-3</v>
      </c>
      <c r="DP9" s="81">
        <f>Inv_SY_B!DP9/Inv_SY_B!$FG9-1</f>
        <v>-8.6844149263765047E-4</v>
      </c>
      <c r="DQ9" s="81">
        <f>Inv_SY_B!DQ9/Inv_SY_B!$FG9-1</f>
        <v>-1.1974955864893833E-2</v>
      </c>
      <c r="DR9" s="81">
        <f>Inv_SY_B!DR9/Inv_SY_B!$FG9-1</f>
        <v>-1.5610329416997359E-2</v>
      </c>
      <c r="DS9" s="81">
        <f>Inv_SY_B!DS9/Inv_SY_B!$FG9-1</f>
        <v>-7.2347314322023237E-3</v>
      </c>
      <c r="DT9" s="81">
        <f>Inv_SY_B!DT9/Inv_SY_B!$FG9-1</f>
        <v>-5.1166132195891167E-3</v>
      </c>
      <c r="DU9" s="81">
        <f>Inv_SY_B!DU9/Inv_SY_B!$FG9-1</f>
        <v>9.4517155255344765E-3</v>
      </c>
      <c r="DV9" s="81">
        <f>Inv_SY_B!DV9/Inv_SY_B!$FG9-1</f>
        <v>6.6529204248799712E-3</v>
      </c>
      <c r="DW9" s="81">
        <f>Inv_SY_B!DW9/Inv_SY_B!$FG9-1</f>
        <v>1.0786380640817272E-2</v>
      </c>
      <c r="DX9" s="81">
        <f>Inv_SY_B!DX9/Inv_SY_B!$FG9-1</f>
        <v>-1.3085506863780294E-3</v>
      </c>
      <c r="DY9" s="81">
        <f>Inv_SY_B!DY9/Inv_SY_B!$FG9-1</f>
        <v>-6.0806915407272122E-3</v>
      </c>
      <c r="DZ9" s="81">
        <f>Inv_SY_B!DZ9/Inv_SY_B!$FG9-1</f>
        <v>-2.3672501602409746E-3</v>
      </c>
      <c r="EA9" s="81">
        <f>Inv_SY_B!EA9/Inv_SY_B!$FG9-1</f>
        <v>7.5785526070659692E-4</v>
      </c>
      <c r="EB9" s="81">
        <f>Inv_SY_B!EB9/Inv_SY_B!$FG9-1</f>
        <v>7.4497178526105046E-3</v>
      </c>
      <c r="EC9" s="81">
        <f>Inv_SY_B!EC9/Inv_SY_B!$FG9-1</f>
        <v>-5.5331991065070696E-3</v>
      </c>
      <c r="ED9" s="81">
        <f>Inv_SY_B!ED9/Inv_SY_B!$FG9-1</f>
        <v>-8.3033749474694662E-3</v>
      </c>
      <c r="EE9" s="81">
        <f>Inv_SY_B!EE9/Inv_SY_B!$FG9-1</f>
        <v>2.0486788631637332E-3</v>
      </c>
      <c r="EF9" s="81">
        <f>Inv_SY_B!EF9/Inv_SY_B!$FG9-1</f>
        <v>-4.1809352948537493E-3</v>
      </c>
      <c r="EG9" s="81">
        <f>Inv_SY_B!EG9/Inv_SY_B!$FG9-1</f>
        <v>-8.3160138216672452E-3</v>
      </c>
      <c r="EH9" s="81">
        <f>Inv_SY_B!EH9/Inv_SY_B!$FG9-1</f>
        <v>-4.3398239990540821E-3</v>
      </c>
      <c r="EI9" s="81">
        <f>Inv_SY_B!EI9/Inv_SY_B!$FG9-1</f>
        <v>3.2544717489346953E-2</v>
      </c>
      <c r="EJ9" s="81">
        <f>Inv_SY_B!EJ9/Inv_SY_B!$FG9-1</f>
        <v>3.7192658190497996E-2</v>
      </c>
      <c r="EK9" s="81">
        <f>Inv_SY_B!EK9/Inv_SY_B!$FG9-1</f>
        <v>3.5798993542042634E-2</v>
      </c>
      <c r="EL9" s="81">
        <f>Inv_SY_B!EL9/Inv_SY_B!$FG9-1</f>
        <v>3.5643635697935716E-2</v>
      </c>
      <c r="EM9" s="81">
        <f>Inv_SY_B!EM9/Inv_SY_B!$FG9-1</f>
        <v>4.1398042502451604E-2</v>
      </c>
      <c r="EN9" s="81">
        <f>Inv_SY_B!EN9/Inv_SY_B!$FG9-1</f>
        <v>3.8176439338225343E-2</v>
      </c>
      <c r="EO9" s="81">
        <f>Inv_SY_B!EO9/Inv_SY_B!$FG9-1</f>
        <v>3.9741198836257485E-2</v>
      </c>
      <c r="EP9" s="81">
        <f>Inv_SY_B!EP9/Inv_SY_B!$FG9-1</f>
        <v>1.6681151566649621E-2</v>
      </c>
      <c r="EQ9" s="81">
        <f>Inv_SY_B!EQ9/Inv_SY_B!$FG9-1</f>
        <v>3.6104182666632179E-2</v>
      </c>
      <c r="ER9" s="81">
        <f>Inv_SY_B!ER9/Inv_SY_B!$FG9-1</f>
        <v>3.5296434455423631E-2</v>
      </c>
      <c r="ES9" s="81">
        <f>Inv_SY_B!ES9/Inv_SY_B!$FG9-1</f>
        <v>3.2951429472399374E-2</v>
      </c>
      <c r="ET9" s="81">
        <f>Inv_SY_B!ET9/Inv_SY_B!$FG9-1</f>
        <v>3.0587046200881263E-2</v>
      </c>
      <c r="EU9" s="81">
        <f>Inv_SY_B!EU9/Inv_SY_B!$FG9-1</f>
        <v>3.3878802416351439E-2</v>
      </c>
      <c r="EV9" s="81">
        <f>Inv_SY_B!EV9/Inv_SY_B!$FG9-1</f>
        <v>2.4042406384582771E-2</v>
      </c>
      <c r="EW9" s="81">
        <f>Inv_SY_B!EW9/Inv_SY_B!$FG9-1</f>
        <v>3.2762012504258031E-2</v>
      </c>
      <c r="EX9" s="81">
        <f>Inv_SY_B!EX9/Inv_SY_B!$FG9-1</f>
        <v>4.008635284298756E-2</v>
      </c>
      <c r="EY9" s="81">
        <f>Inv_SY_B!EY9/Inv_SY_B!$FG9-1</f>
        <v>4.1001456630622268E-2</v>
      </c>
      <c r="EZ9" s="81">
        <f>Inv_SY_B!EZ9/Inv_SY_B!$FG9-1</f>
        <v>3.5683652112326936E-2</v>
      </c>
      <c r="FA9" s="81">
        <f>Inv_SY_B!FA9/Inv_SY_B!$FG9-1</f>
        <v>4.2134533502860227E-2</v>
      </c>
      <c r="FB9" s="81">
        <f>Inv_SY_B!FB9/Inv_SY_B!$FG9-1</f>
        <v>3.5972005686616404E-2</v>
      </c>
      <c r="FC9" s="81">
        <f>Inv_SY_B!FC9/Inv_SY_B!$FG9-1</f>
        <v>3.7216045392836739E-2</v>
      </c>
      <c r="FD9" s="81">
        <f>Inv_SY_B!FD9/Inv_SY_B!$FG9-1</f>
        <v>3.6098675292465021E-2</v>
      </c>
      <c r="FE9" s="81">
        <f>Inv_SY_B!FE9/Inv_SY_B!$FG9-1</f>
        <v>1.812703877487265E-2</v>
      </c>
      <c r="FF9" s="81">
        <f>Inv_SY_B!FF9/Inv_SY_B!$FG9-1</f>
        <v>3.8916301646950702E-2</v>
      </c>
    </row>
    <row r="10" spans="2:162">
      <c r="B10" s="104">
        <f t="shared" si="0"/>
        <v>45833</v>
      </c>
      <c r="C10" s="81">
        <f>Inv_SY_B!C10/Inv_SY_B!$FG10-1</f>
        <v>-5.2060370714992477E-3</v>
      </c>
      <c r="D10" s="81">
        <f>Inv_SY_B!D10/Inv_SY_B!$FG10-1</f>
        <v>7.2080260630202897E-3</v>
      </c>
      <c r="E10" s="81">
        <f>Inv_SY_B!E10/Inv_SY_B!$FG10-1</f>
        <v>6.3346858960320329E-3</v>
      </c>
      <c r="F10" s="81">
        <f>Inv_SY_B!F10/Inv_SY_B!$FG10-1</f>
        <v>3.9886012859546849E-3</v>
      </c>
      <c r="G10" s="81">
        <f>Inv_SY_B!G10/Inv_SY_B!$FG10-1</f>
        <v>1.7450787369329479E-2</v>
      </c>
      <c r="H10" s="81">
        <f>Inv_SY_B!H10/Inv_SY_B!$FG10-1</f>
        <v>2.1219440046442051E-2</v>
      </c>
      <c r="I10" s="81">
        <f>Inv_SY_B!I10/Inv_SY_B!$FG10-1</f>
        <v>2.6070275104388196E-2</v>
      </c>
      <c r="J10" s="81">
        <f>Inv_SY_B!J10/Inv_SY_B!$FG10-1</f>
        <v>1.0133492261774846E-2</v>
      </c>
      <c r="K10" s="81">
        <f>Inv_SY_B!K10/Inv_SY_B!$FG10-1</f>
        <v>1.5979399044512066E-2</v>
      </c>
      <c r="L10" s="81">
        <f>Inv_SY_B!L10/Inv_SY_B!$FG10-1</f>
        <v>1.018148075404568E-2</v>
      </c>
      <c r="M10" s="81">
        <f>Inv_SY_B!M10/Inv_SY_B!$FG10-1</f>
        <v>1.0510046675259899E-2</v>
      </c>
      <c r="N10" s="81">
        <f>Inv_SY_B!N10/Inv_SY_B!$FG10-1</f>
        <v>1.4716852933539748E-2</v>
      </c>
      <c r="O10" s="81">
        <f>Inv_SY_B!O10/Inv_SY_B!$FG10-1</f>
        <v>2.0050858885707568E-2</v>
      </c>
      <c r="P10" s="81">
        <f>Inv_SY_B!P10/Inv_SY_B!$FG10-1</f>
        <v>1.1982918497750017E-2</v>
      </c>
      <c r="Q10" s="81">
        <f>Inv_SY_B!Q10/Inv_SY_B!$FG10-1</f>
        <v>2.4598886779570783E-2</v>
      </c>
      <c r="R10" s="81">
        <f>Inv_SY_B!R10/Inv_SY_B!$FG10-1</f>
        <v>2.5367805839636937E-2</v>
      </c>
      <c r="S10" s="81">
        <f>Inv_SY_B!S10/Inv_SY_B!$FG10-1</f>
        <v>2.1494732055601595E-2</v>
      </c>
      <c r="T10" s="81">
        <f>Inv_SY_B!T10/Inv_SY_B!$FG10-1</f>
        <v>6.2682361007175835E-3</v>
      </c>
      <c r="U10" s="81">
        <f>Inv_SY_B!U10/Inv_SY_B!$FG10-1</f>
        <v>2.364960398936633E-2</v>
      </c>
      <c r="V10" s="81">
        <f>Inv_SY_B!V10/Inv_SY_B!$FG10-1</f>
        <v>2.7978333512699738E-2</v>
      </c>
      <c r="W10" s="81">
        <f>Inv_SY_B!W10/Inv_SY_B!$FG10-1</f>
        <v>1.830165687447316E-2</v>
      </c>
      <c r="X10" s="81">
        <f>Inv_SY_B!X10/Inv_SY_B!$FG10-1</f>
        <v>-1.0216375978784109E-2</v>
      </c>
      <c r="Y10" s="81">
        <f>Inv_SY_B!Y10/Inv_SY_B!$FG10-1</f>
        <v>1.8508564771088087E-2</v>
      </c>
      <c r="Z10" s="81">
        <f>Inv_SY_B!Z10/Inv_SY_B!$FG10-1</f>
        <v>1.5481500221049771E-2</v>
      </c>
      <c r="AA10" s="81">
        <f>Inv_SY_B!AA10/Inv_SY_B!$FG10-1</f>
        <v>4.4370458663429702E-3</v>
      </c>
      <c r="AB10" s="81">
        <f>Inv_SY_B!AB10/Inv_SY_B!$FG10-1</f>
        <v>-1.1629635217063172E-2</v>
      </c>
      <c r="AC10" s="81">
        <f>Inv_SY_B!AC10/Inv_SY_B!$FG10-1</f>
        <v>-1.3852170525497032E-2</v>
      </c>
      <c r="AD10" s="81">
        <f>Inv_SY_B!AD10/Inv_SY_B!$FG10-1</f>
        <v>-1.3361138911001214E-2</v>
      </c>
      <c r="AE10" s="81">
        <f>Inv_SY_B!AE10/Inv_SY_B!$FG10-1</f>
        <v>2.1447162440225709E-2</v>
      </c>
      <c r="AF10" s="81">
        <f>Inv_SY_B!AF10/Inv_SY_B!$FG10-1</f>
        <v>2.1564504340681578E-2</v>
      </c>
      <c r="AG10" s="81">
        <f>Inv_SY_B!AG10/Inv_SY_B!$FG10-1</f>
        <v>1.7449814054063539E-2</v>
      </c>
      <c r="AH10" s="81">
        <f>Inv_SY_B!AH10/Inv_SY_B!$FG10-1</f>
        <v>1.8809316517978125E-2</v>
      </c>
      <c r="AI10" s="81">
        <f>Inv_SY_B!AI10/Inv_SY_B!$FG10-1</f>
        <v>2.1921909311193755E-2</v>
      </c>
      <c r="AJ10" s="81">
        <f>Inv_SY_B!AJ10/Inv_SY_B!$FG10-1</f>
        <v>2.2880684929300399E-2</v>
      </c>
      <c r="AK10" s="81">
        <f>Inv_SY_B!AK10/Inv_SY_B!$FG10-1</f>
        <v>3.9046970846486895E-2</v>
      </c>
      <c r="AL10" s="81">
        <f>Inv_SY_B!AL10/Inv_SY_B!$FG10-1</f>
        <v>2.8481453391508094E-2</v>
      </c>
      <c r="AM10" s="81">
        <f>Inv_SY_B!AM10/Inv_SY_B!$FG10-1</f>
        <v>3.8353994409637382E-2</v>
      </c>
      <c r="AN10" s="81">
        <f>Inv_SY_B!AN10/Inv_SY_B!$FG10-1</f>
        <v>1.4033369324592426E-2</v>
      </c>
      <c r="AO10" s="81">
        <f>Inv_SY_B!AO10/Inv_SY_B!$FG10-1</f>
        <v>2.0175228977217019E-2</v>
      </c>
      <c r="AP10" s="81">
        <f>Inv_SY_B!AP10/Inv_SY_B!$FG10-1</f>
        <v>1.1895731731221826E-3</v>
      </c>
      <c r="AQ10" s="81">
        <f>Inv_SY_B!AQ10/Inv_SY_B!$FG10-1</f>
        <v>2.2660653155463617E-2</v>
      </c>
      <c r="AR10" s="81">
        <f>Inv_SY_B!AR10/Inv_SY_B!$FG10-1</f>
        <v>-9.626928661926093E-2</v>
      </c>
      <c r="AS10" s="81">
        <f>Inv_SY_B!AS10/Inv_SY_B!$FG10-1</f>
        <v>2.7362705442306012E-2</v>
      </c>
      <c r="AT10" s="81">
        <f>Inv_SY_B!AT10/Inv_SY_B!$FG10-1</f>
        <v>-0.11038692952396534</v>
      </c>
      <c r="AU10" s="81">
        <f>Inv_SY_B!AU10/Inv_SY_B!$FG10-1</f>
        <v>-8.9932227117456409E-2</v>
      </c>
      <c r="AV10" s="81">
        <f>Inv_SY_B!AV10/Inv_SY_B!$FG10-1</f>
        <v>-1.902622533900955E-2</v>
      </c>
      <c r="AW10" s="81">
        <f>Inv_SY_B!AW10/Inv_SY_B!$FG10-1</f>
        <v>-9.0373641784447956E-2</v>
      </c>
      <c r="AX10" s="81">
        <f>Inv_SY_B!AX10/Inv_SY_B!$FG10-1</f>
        <v>2.898527192470679E-2</v>
      </c>
      <c r="AY10" s="81">
        <f>Inv_SY_B!AY10/Inv_SY_B!$FG10-1</f>
        <v>-3.2510918615184847E-2</v>
      </c>
      <c r="AZ10" s="81">
        <f>Inv_SY_B!AZ10/Inv_SY_B!$FG10-1</f>
        <v>-1.3341075736849284E-2</v>
      </c>
      <c r="BA10" s="81">
        <f>Inv_SY_B!BA10/Inv_SY_B!$FG10-1</f>
        <v>-9.0172452998438235E-4</v>
      </c>
      <c r="BB10" s="81">
        <f>Inv_SY_B!BB10/Inv_SY_B!$FG10-1</f>
        <v>9.2697867043551874E-3</v>
      </c>
      <c r="BC10" s="81">
        <f>Inv_SY_B!BC10/Inv_SY_B!$FG10-1</f>
        <v>-2.3113804379537251E-2</v>
      </c>
      <c r="BD10" s="81">
        <f>Inv_SY_B!BD10/Inv_SY_B!$FG10-1</f>
        <v>7.9631466886669333E-3</v>
      </c>
      <c r="BE10" s="81">
        <f>Inv_SY_B!BE10/Inv_SY_B!$FG10-1</f>
        <v>-9.7090623201370185E-3</v>
      </c>
      <c r="BF10" s="81">
        <f>Inv_SY_B!BF10/Inv_SY_B!$FG10-1</f>
        <v>-1.6384845757114186E-2</v>
      </c>
      <c r="BG10" s="81">
        <f>Inv_SY_B!BG10/Inv_SY_B!$FG10-1</f>
        <v>-1.6359727361507703E-2</v>
      </c>
      <c r="BH10" s="81">
        <f>Inv_SY_B!BH10/Inv_SY_B!$FG10-1</f>
        <v>-1.3058471672168448E-2</v>
      </c>
      <c r="BI10" s="81">
        <f>Inv_SY_B!BI10/Inv_SY_B!$FG10-1</f>
        <v>-1.4398441311031185E-2</v>
      </c>
      <c r="BJ10" s="81">
        <f>Inv_SY_B!BJ10/Inv_SY_B!$FG10-1</f>
        <v>-3.9792061304234627E-3</v>
      </c>
      <c r="BK10" s="81">
        <f>Inv_SY_B!BK10/Inv_SY_B!$FG10-1</f>
        <v>-2.0052668210180258E-2</v>
      </c>
      <c r="BL10" s="81">
        <f>Inv_SY_B!BL10/Inv_SY_B!$FG10-1</f>
        <v>-1.7757772289796137E-2</v>
      </c>
      <c r="BM10" s="81">
        <f>Inv_SY_B!BM10/Inv_SY_B!$FG10-1</f>
        <v>-1.8400470641721456E-2</v>
      </c>
      <c r="BN10" s="81">
        <f>Inv_SY_B!BN10/Inv_SY_B!$FG10-1</f>
        <v>-2.0227634899976921E-2</v>
      </c>
      <c r="BO10" s="81">
        <f>Inv_SY_B!BO10/Inv_SY_B!$FG10-1</f>
        <v>-1.7247821890117421E-2</v>
      </c>
      <c r="BP10" s="81">
        <f>Inv_SY_B!BP10/Inv_SY_B!$FG10-1</f>
        <v>-2.7147861791308348E-2</v>
      </c>
      <c r="BQ10" s="81">
        <f>Inv_SY_B!BQ10/Inv_SY_B!$FG10-1</f>
        <v>-2.6141335880294547E-2</v>
      </c>
      <c r="BR10" s="81">
        <f>Inv_SY_B!BR10/Inv_SY_B!$FG10-1</f>
        <v>-3.1989151767253921E-2</v>
      </c>
      <c r="BS10" s="81">
        <f>Inv_SY_B!BS10/Inv_SY_B!$FG10-1</f>
        <v>-2.9537167873919468E-2</v>
      </c>
      <c r="BT10" s="81">
        <f>Inv_SY_B!BT10/Inv_SY_B!$FG10-1</f>
        <v>-2.5259847145417069E-2</v>
      </c>
      <c r="BU10" s="81">
        <f>Inv_SY_B!BU10/Inv_SY_B!$FG10-1</f>
        <v>-3.3720808644866485E-2</v>
      </c>
      <c r="BV10" s="81">
        <f>Inv_SY_B!BV10/Inv_SY_B!$FG10-1</f>
        <v>-4.1025607021429766E-2</v>
      </c>
      <c r="BW10" s="81">
        <f>Inv_SY_B!BW10/Inv_SY_B!$FG10-1</f>
        <v>-2.1374672384219862E-2</v>
      </c>
      <c r="BX10" s="81">
        <f>Inv_SY_B!BX10/Inv_SY_B!$FG10-1</f>
        <v>-3.7612465576803644E-2</v>
      </c>
      <c r="BY10" s="81">
        <f>Inv_SY_B!BY10/Inv_SY_B!$FG10-1</f>
        <v>-1.2225939839733968E-2</v>
      </c>
      <c r="BZ10" s="81">
        <f>Inv_SY_B!BZ10/Inv_SY_B!$FG10-1</f>
        <v>-2.912985531189749E-2</v>
      </c>
      <c r="CA10" s="81">
        <f>Inv_SY_B!CA10/Inv_SY_B!$FG10-1</f>
        <v>-1.5783832780929208E-2</v>
      </c>
      <c r="CB10" s="81">
        <f>Inv_SY_B!CB10/Inv_SY_B!$FG10-1</f>
        <v>-1.0209335464756886E-2</v>
      </c>
      <c r="CC10" s="81">
        <f>Inv_SY_B!CC10/Inv_SY_B!$FG10-1</f>
        <v>-2.991774580275075E-2</v>
      </c>
      <c r="CD10" s="81">
        <f>Inv_SY_B!CD10/Inv_SY_B!$FG10-1</f>
        <v>-1.4965648919995078E-2</v>
      </c>
      <c r="CE10" s="81">
        <f>Inv_SY_B!CE10/Inv_SY_B!$FG10-1</f>
        <v>-2.1335890932925095E-2</v>
      </c>
      <c r="CF10" s="81">
        <f>Inv_SY_B!CF10/Inv_SY_B!$FG10-1</f>
        <v>-2.4006477126303882E-2</v>
      </c>
      <c r="CG10" s="81">
        <f>Inv_SY_B!CG10/Inv_SY_B!$FG10-1</f>
        <v>-2.1507790399310722E-2</v>
      </c>
      <c r="CH10" s="81">
        <f>Inv_SY_B!CH10/Inv_SY_B!$FG10-1</f>
        <v>-4.453410206360997E-2</v>
      </c>
      <c r="CI10" s="81">
        <f>Inv_SY_B!CI10/Inv_SY_B!$FG10-1</f>
        <v>-2.0403951332458203E-2</v>
      </c>
      <c r="CJ10" s="81">
        <f>Inv_SY_B!CJ10/Inv_SY_B!$FG10-1</f>
        <v>-3.1863325196200054E-2</v>
      </c>
      <c r="CK10" s="81">
        <f>Inv_SY_B!CK10/Inv_SY_B!$FG10-1</f>
        <v>-2.0551099690426677E-2</v>
      </c>
      <c r="CL10" s="81">
        <f>Inv_SY_B!CL10/Inv_SY_B!$FG10-1</f>
        <v>-4.2560240196169441E-2</v>
      </c>
      <c r="CM10" s="81">
        <f>Inv_SY_B!CM10/Inv_SY_B!$FG10-1</f>
        <v>5.0029215856350895E-4</v>
      </c>
      <c r="CN10" s="81">
        <f>Inv_SY_B!CN10/Inv_SY_B!$FG10-1</f>
        <v>-1.7894884821379131E-2</v>
      </c>
      <c r="CO10" s="81">
        <f>Inv_SY_B!CO10/Inv_SY_B!$FG10-1</f>
        <v>-7.7050440099102335E-4</v>
      </c>
      <c r="CP10" s="81">
        <f>Inv_SY_B!CP10/Inv_SY_B!$FG10-1</f>
        <v>2.4987923546131441E-3</v>
      </c>
      <c r="CQ10" s="81">
        <f>Inv_SY_B!CQ10/Inv_SY_B!$FG10-1</f>
        <v>-3.3287416845978468E-3</v>
      </c>
      <c r="CR10" s="81">
        <f>Inv_SY_B!CR10/Inv_SY_B!$FG10-1</f>
        <v>8.8387444958937245E-4</v>
      </c>
      <c r="CS10" s="81">
        <f>Inv_SY_B!CS10/Inv_SY_B!$FG10-1</f>
        <v>-2.4976813637126893E-2</v>
      </c>
      <c r="CT10" s="81">
        <f>Inv_SY_B!CT10/Inv_SY_B!$FG10-1</f>
        <v>1.655428653038804E-3</v>
      </c>
      <c r="CU10" s="81">
        <f>Inv_SY_B!CU10/Inv_SY_B!$FG10-1</f>
        <v>7.2238221286493598E-3</v>
      </c>
      <c r="CV10" s="81">
        <f>Inv_SY_B!CV10/Inv_SY_B!$FG10-1</f>
        <v>-2.1923562996115642E-3</v>
      </c>
      <c r="CW10" s="81">
        <f>Inv_SY_B!CW10/Inv_SY_B!$FG10-1</f>
        <v>-1.7545643364561547E-3</v>
      </c>
      <c r="CX10" s="81">
        <f>Inv_SY_B!CX10/Inv_SY_B!$FG10-1</f>
        <v>-3.0700271276662416E-3</v>
      </c>
      <c r="CY10" s="81">
        <f>Inv_SY_B!CY10/Inv_SY_B!$FG10-1</f>
        <v>-3.18642272247327E-3</v>
      </c>
      <c r="CZ10" s="81">
        <f>Inv_SY_B!CZ10/Inv_SY_B!$FG10-1</f>
        <v>-1.2663803752188674E-4</v>
      </c>
      <c r="DA10" s="81">
        <f>Inv_SY_B!DA10/Inv_SY_B!$FG10-1</f>
        <v>-8.8776725258691291E-3</v>
      </c>
      <c r="DB10" s="81">
        <f>Inv_SY_B!DB10/Inv_SY_B!$FG10-1</f>
        <v>-1.1383121162754306E-2</v>
      </c>
      <c r="DC10" s="81">
        <f>Inv_SY_B!DC10/Inv_SY_B!$FG10-1</f>
        <v>-1.1734945440965205E-2</v>
      </c>
      <c r="DD10" s="81">
        <f>Inv_SY_B!DD10/Inv_SY_B!$FG10-1</f>
        <v>-1.8949383411006049E-2</v>
      </c>
      <c r="DE10" s="81">
        <f>Inv_SY_B!DE10/Inv_SY_B!$FG10-1</f>
        <v>-7.3351199847174753E-3</v>
      </c>
      <c r="DF10" s="81">
        <f>Inv_SY_B!DF10/Inv_SY_B!$FG10-1</f>
        <v>-1.4095919223918285E-2</v>
      </c>
      <c r="DG10" s="81">
        <f>Inv_SY_B!DG10/Inv_SY_B!$FG10-1</f>
        <v>-6.9043170227742756E-3</v>
      </c>
      <c r="DH10" s="81">
        <f>Inv_SY_B!DH10/Inv_SY_B!$FG10-1</f>
        <v>-1.1907859473855309E-2</v>
      </c>
      <c r="DI10" s="81">
        <f>Inv_SY_B!DI10/Inv_SY_B!$FG10-1</f>
        <v>4.4288989858256578E-3</v>
      </c>
      <c r="DJ10" s="81">
        <f>Inv_SY_B!DJ10/Inv_SY_B!$FG10-1</f>
        <v>-2.2432327864429391E-2</v>
      </c>
      <c r="DK10" s="81">
        <f>Inv_SY_B!DK10/Inv_SY_B!$FG10-1</f>
        <v>-2.4069173130193633E-2</v>
      </c>
      <c r="DL10" s="81">
        <f>Inv_SY_B!DL10/Inv_SY_B!$FG10-1</f>
        <v>-1.8490991536358914E-2</v>
      </c>
      <c r="DM10" s="81">
        <f>Inv_SY_B!DM10/Inv_SY_B!$FG10-1</f>
        <v>-2.1224439676611806E-2</v>
      </c>
      <c r="DN10" s="81">
        <f>Inv_SY_B!DN10/Inv_SY_B!$FG10-1</f>
        <v>-1.0060576216759265E-2</v>
      </c>
      <c r="DO10" s="81">
        <f>Inv_SY_B!DO10/Inv_SY_B!$FG10-1</f>
        <v>-5.5618472158506238E-3</v>
      </c>
      <c r="DP10" s="81">
        <f>Inv_SY_B!DP10/Inv_SY_B!$FG10-1</f>
        <v>-1.3189654466053136E-2</v>
      </c>
      <c r="DQ10" s="81">
        <f>Inv_SY_B!DQ10/Inv_SY_B!$FG10-1</f>
        <v>-1.4281769935720723E-2</v>
      </c>
      <c r="DR10" s="81">
        <f>Inv_SY_B!DR10/Inv_SY_B!$FG10-1</f>
        <v>-1.6640404996615898E-2</v>
      </c>
      <c r="DS10" s="81">
        <f>Inv_SY_B!DS10/Inv_SY_B!$FG10-1</f>
        <v>-1.3591261252120401E-2</v>
      </c>
      <c r="DT10" s="81">
        <f>Inv_SY_B!DT10/Inv_SY_B!$FG10-1</f>
        <v>-8.9772455099701443E-3</v>
      </c>
      <c r="DU10" s="81">
        <f>Inv_SY_B!DU10/Inv_SY_B!$FG10-1</f>
        <v>8.0473386299921845E-3</v>
      </c>
      <c r="DV10" s="81">
        <f>Inv_SY_B!DV10/Inv_SY_B!$FG10-1</f>
        <v>-1.8542286709986699E-2</v>
      </c>
      <c r="DW10" s="81">
        <f>Inv_SY_B!DW10/Inv_SY_B!$FG10-1</f>
        <v>1.36921588351131E-2</v>
      </c>
      <c r="DX10" s="81">
        <f>Inv_SY_B!DX10/Inv_SY_B!$FG10-1</f>
        <v>-2.1295758442911317E-2</v>
      </c>
      <c r="DY10" s="81">
        <f>Inv_SY_B!DY10/Inv_SY_B!$FG10-1</f>
        <v>-9.3904930724451052E-3</v>
      </c>
      <c r="DZ10" s="81">
        <f>Inv_SY_B!DZ10/Inv_SY_B!$FG10-1</f>
        <v>-7.6294899675914962E-3</v>
      </c>
      <c r="EA10" s="81">
        <f>Inv_SY_B!EA10/Inv_SY_B!$FG10-1</f>
        <v>-3.3927067094397856E-2</v>
      </c>
      <c r="EB10" s="81">
        <f>Inv_SY_B!EB10/Inv_SY_B!$FG10-1</f>
        <v>-2.2500650971857272E-4</v>
      </c>
      <c r="EC10" s="81">
        <f>Inv_SY_B!EC10/Inv_SY_B!$FG10-1</f>
        <v>-1.1242406164754359E-2</v>
      </c>
      <c r="ED10" s="81">
        <f>Inv_SY_B!ED10/Inv_SY_B!$FG10-1</f>
        <v>-1.8378251876673968E-2</v>
      </c>
      <c r="EE10" s="81">
        <f>Inv_SY_B!EE10/Inv_SY_B!$FG10-1</f>
        <v>-7.8507632655939741E-3</v>
      </c>
      <c r="EF10" s="81">
        <f>Inv_SY_B!EF10/Inv_SY_B!$FG10-1</f>
        <v>-9.8598242326847219E-3</v>
      </c>
      <c r="EG10" s="81">
        <f>Inv_SY_B!EG10/Inv_SY_B!$FG10-1</f>
        <v>-1.6194872468322297E-2</v>
      </c>
      <c r="EH10" s="81">
        <f>Inv_SY_B!EH10/Inv_SY_B!$FG10-1</f>
        <v>-8.3733014160612962E-3</v>
      </c>
      <c r="EI10" s="81">
        <f>Inv_SY_B!EI10/Inv_SY_B!$FG10-1</f>
        <v>4.1045606654363853E-2</v>
      </c>
      <c r="EJ10" s="81">
        <f>Inv_SY_B!EJ10/Inv_SY_B!$FG10-1</f>
        <v>5.4254519423098557E-2</v>
      </c>
      <c r="EK10" s="81">
        <f>Inv_SY_B!EK10/Inv_SY_B!$FG10-1</f>
        <v>4.4865085514202097E-2</v>
      </c>
      <c r="EL10" s="81">
        <f>Inv_SY_B!EL10/Inv_SY_B!$FG10-1</f>
        <v>4.6632757428926697E-2</v>
      </c>
      <c r="EM10" s="81">
        <f>Inv_SY_B!EM10/Inv_SY_B!$FG10-1</f>
        <v>4.3195938297788228E-2</v>
      </c>
      <c r="EN10" s="81">
        <f>Inv_SY_B!EN10/Inv_SY_B!$FG10-1</f>
        <v>4.0758957154678921E-2</v>
      </c>
      <c r="EO10" s="81">
        <f>Inv_SY_B!EO10/Inv_SY_B!$FG10-1</f>
        <v>3.7140321529817166E-2</v>
      </c>
      <c r="EP10" s="81">
        <f>Inv_SY_B!EP10/Inv_SY_B!$FG10-1</f>
        <v>1.492309945225534E-2</v>
      </c>
      <c r="EQ10" s="81">
        <f>Inv_SY_B!EQ10/Inv_SY_B!$FG10-1</f>
        <v>5.3542519052913073E-2</v>
      </c>
      <c r="ER10" s="81">
        <f>Inv_SY_B!ER10/Inv_SY_B!$FG10-1</f>
        <v>4.8332538672672953E-2</v>
      </c>
      <c r="ES10" s="81">
        <f>Inv_SY_B!ES10/Inv_SY_B!$FG10-1</f>
        <v>2.5819751353945319E-2</v>
      </c>
      <c r="ET10" s="81">
        <f>Inv_SY_B!ET10/Inv_SY_B!$FG10-1</f>
        <v>4.1223602748435839E-2</v>
      </c>
      <c r="EU10" s="81">
        <f>Inv_SY_B!EU10/Inv_SY_B!$FG10-1</f>
        <v>4.268723636876981E-2</v>
      </c>
      <c r="EV10" s="81">
        <f>Inv_SY_B!EV10/Inv_SY_B!$FG10-1</f>
        <v>3.1144883803400525E-2</v>
      </c>
      <c r="EW10" s="81">
        <f>Inv_SY_B!EW10/Inv_SY_B!$FG10-1</f>
        <v>4.5367822218967735E-2</v>
      </c>
      <c r="EX10" s="81">
        <f>Inv_SY_B!EX10/Inv_SY_B!$FG10-1</f>
        <v>4.6828248562885255E-2</v>
      </c>
      <c r="EY10" s="81">
        <f>Inv_SY_B!EY10/Inv_SY_B!$FG10-1</f>
        <v>3.6113554257930502E-2</v>
      </c>
      <c r="EZ10" s="81">
        <f>Inv_SY_B!EZ10/Inv_SY_B!$FG10-1</f>
        <v>4.8165326464523428E-2</v>
      </c>
      <c r="FA10" s="81">
        <f>Inv_SY_B!FA10/Inv_SY_B!$FG10-1</f>
        <v>5.4000152464691142E-2</v>
      </c>
      <c r="FB10" s="81">
        <f>Inv_SY_B!FB10/Inv_SY_B!$FG10-1</f>
        <v>2.9965597703819125E-2</v>
      </c>
      <c r="FC10" s="81">
        <f>Inv_SY_B!FC10/Inv_SY_B!$FG10-1</f>
        <v>4.7742895622882253E-2</v>
      </c>
      <c r="FD10" s="81">
        <f>Inv_SY_B!FD10/Inv_SY_B!$FG10-1</f>
        <v>5.4149763387772332E-2</v>
      </c>
      <c r="FE10" s="81">
        <f>Inv_SY_B!FE10/Inv_SY_B!$FG10-1</f>
        <v>3.426911190303783E-2</v>
      </c>
      <c r="FF10" s="81">
        <f>Inv_SY_B!FF10/Inv_SY_B!$FG10-1</f>
        <v>5.4961622661551246E-2</v>
      </c>
    </row>
    <row r="11" spans="2:162">
      <c r="B11" s="104">
        <f t="shared" si="0"/>
        <v>45834</v>
      </c>
      <c r="C11" s="81">
        <f>Inv_SY_B!C11/Inv_SY_B!$FG11-1</f>
        <v>2.0202061479788869E-2</v>
      </c>
      <c r="D11" s="81">
        <f>Inv_SY_B!D11/Inv_SY_B!$FG11-1</f>
        <v>2.3866833991242453E-2</v>
      </c>
      <c r="E11" s="81">
        <f>Inv_SY_B!E11/Inv_SY_B!$FG11-1</f>
        <v>4.3750153190302843E-3</v>
      </c>
      <c r="F11" s="81">
        <f>Inv_SY_B!F11/Inv_SY_B!$FG11-1</f>
        <v>6.8227316059825682E-3</v>
      </c>
      <c r="G11" s="81">
        <f>Inv_SY_B!G11/Inv_SY_B!$FG11-1</f>
        <v>9.3910626228241867E-3</v>
      </c>
      <c r="H11" s="81">
        <f>Inv_SY_B!H11/Inv_SY_B!$FG11-1</f>
        <v>1.2585930926278133E-2</v>
      </c>
      <c r="I11" s="81">
        <f>Inv_SY_B!I11/Inv_SY_B!$FG11-1</f>
        <v>2.7686106523384435E-2</v>
      </c>
      <c r="J11" s="81">
        <f>Inv_SY_B!J11/Inv_SY_B!$FG11-1</f>
        <v>9.1349344568605328E-3</v>
      </c>
      <c r="K11" s="81">
        <f>Inv_SY_B!K11/Inv_SY_B!$FG11-1</f>
        <v>3.7374778805193909E-2</v>
      </c>
      <c r="L11" s="81">
        <f>Inv_SY_B!L11/Inv_SY_B!$FG11-1</f>
        <v>3.5599922476291068E-2</v>
      </c>
      <c r="M11" s="81">
        <f>Inv_SY_B!M11/Inv_SY_B!$FG11-1</f>
        <v>1.6059793290043478E-2</v>
      </c>
      <c r="N11" s="81">
        <f>Inv_SY_B!N11/Inv_SY_B!$FG11-1</f>
        <v>3.2608493192875176E-2</v>
      </c>
      <c r="O11" s="81">
        <f>Inv_SY_B!O11/Inv_SY_B!$FG11-1</f>
        <v>9.2264840143505555E-3</v>
      </c>
      <c r="P11" s="81">
        <f>Inv_SY_B!P11/Inv_SY_B!$FG11-1</f>
        <v>2.0723999373512436E-2</v>
      </c>
      <c r="Q11" s="81">
        <f>Inv_SY_B!Q11/Inv_SY_B!$FG11-1</f>
        <v>8.256728274040892E-3</v>
      </c>
      <c r="R11" s="81">
        <f>Inv_SY_B!R11/Inv_SY_B!$FG11-1</f>
        <v>1.4375889715183776E-2</v>
      </c>
      <c r="S11" s="81">
        <f>Inv_SY_B!S11/Inv_SY_B!$FG11-1</f>
        <v>-4.6411745330221521E-4</v>
      </c>
      <c r="T11" s="81">
        <f>Inv_SY_B!T11/Inv_SY_B!$FG11-1</f>
        <v>-2.9305141566201565E-3</v>
      </c>
      <c r="U11" s="81">
        <f>Inv_SY_B!U11/Inv_SY_B!$FG11-1</f>
        <v>1.2658778086291456E-2</v>
      </c>
      <c r="V11" s="81">
        <f>Inv_SY_B!V11/Inv_SY_B!$FG11-1</f>
        <v>2.236826384239099E-2</v>
      </c>
      <c r="W11" s="81">
        <f>Inv_SY_B!W11/Inv_SY_B!$FG11-1</f>
        <v>-1.0027079075861645E-3</v>
      </c>
      <c r="X11" s="81">
        <f>Inv_SY_B!X11/Inv_SY_B!$FG11-1</f>
        <v>1.4120775728709845E-4</v>
      </c>
      <c r="Y11" s="81">
        <f>Inv_SY_B!Y11/Inv_SY_B!$FG11-1</f>
        <v>-1.329378368010059E-3</v>
      </c>
      <c r="Z11" s="81">
        <f>Inv_SY_B!Z11/Inv_SY_B!$FG11-1</f>
        <v>-1.7779550094120244E-3</v>
      </c>
      <c r="AA11" s="81">
        <f>Inv_SY_B!AA11/Inv_SY_B!$FG11-1</f>
        <v>1.9835731399979739E-3</v>
      </c>
      <c r="AB11" s="81">
        <f>Inv_SY_B!AB11/Inv_SY_B!$FG11-1</f>
        <v>-5.8447376768181458E-3</v>
      </c>
      <c r="AC11" s="81">
        <f>Inv_SY_B!AC11/Inv_SY_B!$FG11-1</f>
        <v>-1.2347221992551671E-2</v>
      </c>
      <c r="AD11" s="81">
        <f>Inv_SY_B!AD11/Inv_SY_B!$FG11-1</f>
        <v>-1.9236946219221229E-2</v>
      </c>
      <c r="AE11" s="81">
        <f>Inv_SY_B!AE11/Inv_SY_B!$FG11-1</f>
        <v>1.1852487218395158E-2</v>
      </c>
      <c r="AF11" s="81">
        <f>Inv_SY_B!AF11/Inv_SY_B!$FG11-1</f>
        <v>1.0631961959970404E-2</v>
      </c>
      <c r="AG11" s="81">
        <f>Inv_SY_B!AG11/Inv_SY_B!$FG11-1</f>
        <v>1.3791123299240926E-2</v>
      </c>
      <c r="AH11" s="81">
        <f>Inv_SY_B!AH11/Inv_SY_B!$FG11-1</f>
        <v>1.3025673385852476E-2</v>
      </c>
      <c r="AI11" s="81">
        <f>Inv_SY_B!AI11/Inv_SY_B!$FG11-1</f>
        <v>4.1370965868797738E-2</v>
      </c>
      <c r="AJ11" s="81">
        <f>Inv_SY_B!AJ11/Inv_SY_B!$FG11-1</f>
        <v>4.145421976595598E-2</v>
      </c>
      <c r="AK11" s="81">
        <f>Inv_SY_B!AK11/Inv_SY_B!$FG11-1</f>
        <v>4.5075764292346499E-2</v>
      </c>
      <c r="AL11" s="81">
        <f>Inv_SY_B!AL11/Inv_SY_B!$FG11-1</f>
        <v>3.3930148810265015E-2</v>
      </c>
      <c r="AM11" s="81">
        <f>Inv_SY_B!AM11/Inv_SY_B!$FG11-1</f>
        <v>4.0840222274412641E-2</v>
      </c>
      <c r="AN11" s="81">
        <f>Inv_SY_B!AN11/Inv_SY_B!$FG11-1</f>
        <v>1.9319089858964134E-2</v>
      </c>
      <c r="AO11" s="81">
        <f>Inv_SY_B!AO11/Inv_SY_B!$FG11-1</f>
        <v>2.2992668071079025E-2</v>
      </c>
      <c r="AP11" s="81">
        <f>Inv_SY_B!AP11/Inv_SY_B!$FG11-1</f>
        <v>2.5833707311609722E-2</v>
      </c>
      <c r="AQ11" s="81">
        <f>Inv_SY_B!AQ11/Inv_SY_B!$FG11-1</f>
        <v>-7.1443187376207806E-3</v>
      </c>
      <c r="AR11" s="81">
        <f>Inv_SY_B!AR11/Inv_SY_B!$FG11-1</f>
        <v>-0.10624219100986321</v>
      </c>
      <c r="AS11" s="81">
        <f>Inv_SY_B!AS11/Inv_SY_B!$FG11-1</f>
        <v>-8.5049507109372979E-2</v>
      </c>
      <c r="AT11" s="81">
        <f>Inv_SY_B!AT11/Inv_SY_B!$FG11-1</f>
        <v>-9.419867384576619E-2</v>
      </c>
      <c r="AU11" s="81">
        <f>Inv_SY_B!AU11/Inv_SY_B!$FG11-1</f>
        <v>-0.10895712546722225</v>
      </c>
      <c r="AV11" s="81">
        <f>Inv_SY_B!AV11/Inv_SY_B!$FG11-1</f>
        <v>-4.325361864931665E-2</v>
      </c>
      <c r="AW11" s="81">
        <f>Inv_SY_B!AW11/Inv_SY_B!$FG11-1</f>
        <v>-0.11254702398495708</v>
      </c>
      <c r="AX11" s="81">
        <f>Inv_SY_B!AX11/Inv_SY_B!$FG11-1</f>
        <v>-2.3434453131792043E-3</v>
      </c>
      <c r="AY11" s="81">
        <f>Inv_SY_B!AY11/Inv_SY_B!$FG11-1</f>
        <v>-2.5126613428811062E-2</v>
      </c>
      <c r="AZ11" s="81">
        <f>Inv_SY_B!AZ11/Inv_SY_B!$FG11-1</f>
        <v>-4.0782913061735426E-3</v>
      </c>
      <c r="BA11" s="81">
        <f>Inv_SY_B!BA11/Inv_SY_B!$FG11-1</f>
        <v>9.838134531333198E-3</v>
      </c>
      <c r="BB11" s="81">
        <f>Inv_SY_B!BB11/Inv_SY_B!$FG11-1</f>
        <v>2.8776212239302268E-2</v>
      </c>
      <c r="BC11" s="81">
        <f>Inv_SY_B!BC11/Inv_SY_B!$FG11-1</f>
        <v>9.5108886806882786E-4</v>
      </c>
      <c r="BD11" s="81">
        <f>Inv_SY_B!BD11/Inv_SY_B!$FG11-1</f>
        <v>3.8360297903099472E-3</v>
      </c>
      <c r="BE11" s="81">
        <f>Inv_SY_B!BE11/Inv_SY_B!$FG11-1</f>
        <v>7.9660725027996815E-3</v>
      </c>
      <c r="BF11" s="81">
        <f>Inv_SY_B!BF11/Inv_SY_B!$FG11-1</f>
        <v>-3.9266610560144688E-3</v>
      </c>
      <c r="BG11" s="81">
        <f>Inv_SY_B!BG11/Inv_SY_B!$FG11-1</f>
        <v>1.1652545716171803E-2</v>
      </c>
      <c r="BH11" s="81">
        <f>Inv_SY_B!BH11/Inv_SY_B!$FG11-1</f>
        <v>7.5632051061162997E-3</v>
      </c>
      <c r="BI11" s="81">
        <f>Inv_SY_B!BI11/Inv_SY_B!$FG11-1</f>
        <v>7.6059355333071288E-3</v>
      </c>
      <c r="BJ11" s="81">
        <f>Inv_SY_B!BJ11/Inv_SY_B!$FG11-1</f>
        <v>1.8244231886577644E-2</v>
      </c>
      <c r="BK11" s="81">
        <f>Inv_SY_B!BK11/Inv_SY_B!$FG11-1</f>
        <v>1.4433163412921113E-2</v>
      </c>
      <c r="BL11" s="81">
        <f>Inv_SY_B!BL11/Inv_SY_B!$FG11-1</f>
        <v>8.3557161666445445E-3</v>
      </c>
      <c r="BM11" s="81">
        <f>Inv_SY_B!BM11/Inv_SY_B!$FG11-1</f>
        <v>1.8436508423940179E-3</v>
      </c>
      <c r="BN11" s="81">
        <f>Inv_SY_B!BN11/Inv_SY_B!$FG11-1</f>
        <v>-1.1079571881489336E-4</v>
      </c>
      <c r="BO11" s="81">
        <f>Inv_SY_B!BO11/Inv_SY_B!$FG11-1</f>
        <v>1.1528803268078924E-2</v>
      </c>
      <c r="BP11" s="81">
        <f>Inv_SY_B!BP11/Inv_SY_B!$FG11-1</f>
        <v>6.6976408346108851E-3</v>
      </c>
      <c r="BQ11" s="81">
        <f>Inv_SY_B!BQ11/Inv_SY_B!$FG11-1</f>
        <v>4.9875864336190734E-3</v>
      </c>
      <c r="BR11" s="81">
        <f>Inv_SY_B!BR11/Inv_SY_B!$FG11-1</f>
        <v>1.4820324117337247E-3</v>
      </c>
      <c r="BS11" s="81">
        <f>Inv_SY_B!BS11/Inv_SY_B!$FG11-1</f>
        <v>-5.6698287798966351E-3</v>
      </c>
      <c r="BT11" s="81">
        <f>Inv_SY_B!BT11/Inv_SY_B!$FG11-1</f>
        <v>1.0089179250565961E-2</v>
      </c>
      <c r="BU11" s="81">
        <f>Inv_SY_B!BU11/Inv_SY_B!$FG11-1</f>
        <v>-4.3155568751249707E-3</v>
      </c>
      <c r="BV11" s="81">
        <f>Inv_SY_B!BV11/Inv_SY_B!$FG11-1</f>
        <v>7.8772925390935278E-4</v>
      </c>
      <c r="BW11" s="81">
        <f>Inv_SY_B!BW11/Inv_SY_B!$FG11-1</f>
        <v>4.5742138419866407E-3</v>
      </c>
      <c r="BX11" s="81">
        <f>Inv_SY_B!BX11/Inv_SY_B!$FG11-1</f>
        <v>2.8698644393374551E-3</v>
      </c>
      <c r="BY11" s="81">
        <f>Inv_SY_B!BY11/Inv_SY_B!$FG11-1</f>
        <v>1.7606686039733033E-2</v>
      </c>
      <c r="BZ11" s="81">
        <f>Inv_SY_B!BZ11/Inv_SY_B!$FG11-1</f>
        <v>6.8418957752158782E-4</v>
      </c>
      <c r="CA11" s="81">
        <f>Inv_SY_B!CA11/Inv_SY_B!$FG11-1</f>
        <v>1.7975529738391005E-2</v>
      </c>
      <c r="CB11" s="81">
        <f>Inv_SY_B!CB11/Inv_SY_B!$FG11-1</f>
        <v>9.5865141548250321E-3</v>
      </c>
      <c r="CC11" s="81">
        <f>Inv_SY_B!CC11/Inv_SY_B!$FG11-1</f>
        <v>1.8654173689248266E-2</v>
      </c>
      <c r="CD11" s="81">
        <f>Inv_SY_B!CD11/Inv_SY_B!$FG11-1</f>
        <v>9.0520741533646198E-3</v>
      </c>
      <c r="CE11" s="81">
        <f>Inv_SY_B!CE11/Inv_SY_B!$FG11-1</f>
        <v>1.1519504416022563E-2</v>
      </c>
      <c r="CF11" s="81">
        <f>Inv_SY_B!CF11/Inv_SY_B!$FG11-1</f>
        <v>7.1310113163833844E-3</v>
      </c>
      <c r="CG11" s="81">
        <f>Inv_SY_B!CG11/Inv_SY_B!$FG11-1</f>
        <v>-3.9739966234408897E-5</v>
      </c>
      <c r="CH11" s="81">
        <f>Inv_SY_B!CH11/Inv_SY_B!$FG11-1</f>
        <v>3.2016318372907193E-3</v>
      </c>
      <c r="CI11" s="81">
        <f>Inv_SY_B!CI11/Inv_SY_B!$FG11-1</f>
        <v>7.4543697352515981E-3</v>
      </c>
      <c r="CJ11" s="81">
        <f>Inv_SY_B!CJ11/Inv_SY_B!$FG11-1</f>
        <v>-5.4699904799755394E-3</v>
      </c>
      <c r="CK11" s="81">
        <f>Inv_SY_B!CK11/Inv_SY_B!$FG11-1</f>
        <v>1.4595241237981282E-2</v>
      </c>
      <c r="CL11" s="81">
        <f>Inv_SY_B!CL11/Inv_SY_B!$FG11-1</f>
        <v>4.0313538841658669E-3</v>
      </c>
      <c r="CM11" s="81">
        <f>Inv_SY_B!CM11/Inv_SY_B!$FG11-1</f>
        <v>2.2097651509707994E-2</v>
      </c>
      <c r="CN11" s="81">
        <f>Inv_SY_B!CN11/Inv_SY_B!$FG11-1</f>
        <v>9.4486057576248506E-3</v>
      </c>
      <c r="CO11" s="81">
        <f>Inv_SY_B!CO11/Inv_SY_B!$FG11-1</f>
        <v>2.5190923442319324E-2</v>
      </c>
      <c r="CP11" s="81">
        <f>Inv_SY_B!CP11/Inv_SY_B!$FG11-1</f>
        <v>2.051759908680717E-2</v>
      </c>
      <c r="CQ11" s="81">
        <f>Inv_SY_B!CQ11/Inv_SY_B!$FG11-1</f>
        <v>1.8207613164981318E-2</v>
      </c>
      <c r="CR11" s="81">
        <f>Inv_SY_B!CR11/Inv_SY_B!$FG11-1</f>
        <v>3.2683616826639117E-2</v>
      </c>
      <c r="CS11" s="81">
        <f>Inv_SY_B!CS11/Inv_SY_B!$FG11-1</f>
        <v>1.8790622738329876E-2</v>
      </c>
      <c r="CT11" s="81">
        <f>Inv_SY_B!CT11/Inv_SY_B!$FG11-1</f>
        <v>1.8159402927136803E-2</v>
      </c>
      <c r="CU11" s="81">
        <f>Inv_SY_B!CU11/Inv_SY_B!$FG11-1</f>
        <v>2.7603643538248956E-2</v>
      </c>
      <c r="CV11" s="81">
        <f>Inv_SY_B!CV11/Inv_SY_B!$FG11-1</f>
        <v>1.9211420155427872E-2</v>
      </c>
      <c r="CW11" s="81">
        <f>Inv_SY_B!CW11/Inv_SY_B!$FG11-1</f>
        <v>1.0467577722226284E-2</v>
      </c>
      <c r="CX11" s="81">
        <f>Inv_SY_B!CX11/Inv_SY_B!$FG11-1</f>
        <v>1.7314492116446978E-2</v>
      </c>
      <c r="CY11" s="81">
        <f>Inv_SY_B!CY11/Inv_SY_B!$FG11-1</f>
        <v>1.0956517738533345E-2</v>
      </c>
      <c r="CZ11" s="81">
        <f>Inv_SY_B!CZ11/Inv_SY_B!$FG11-1</f>
        <v>1.9376033174712148E-2</v>
      </c>
      <c r="DA11" s="81">
        <f>Inv_SY_B!DA11/Inv_SY_B!$FG11-1</f>
        <v>8.2344281230164462E-3</v>
      </c>
      <c r="DB11" s="81">
        <f>Inv_SY_B!DB11/Inv_SY_B!$FG11-1</f>
        <v>1.0248602154346198E-2</v>
      </c>
      <c r="DC11" s="81">
        <f>Inv_SY_B!DC11/Inv_SY_B!$FG11-1</f>
        <v>4.0916882359189888E-3</v>
      </c>
      <c r="DD11" s="81">
        <f>Inv_SY_B!DD11/Inv_SY_B!$FG11-1</f>
        <v>6.2057906958357112E-3</v>
      </c>
      <c r="DE11" s="81">
        <f>Inv_SY_B!DE11/Inv_SY_B!$FG11-1</f>
        <v>6.8311518589658782E-3</v>
      </c>
      <c r="DF11" s="81">
        <f>Inv_SY_B!DF11/Inv_SY_B!$FG11-1</f>
        <v>1.2290098985765496E-3</v>
      </c>
      <c r="DG11" s="81">
        <f>Inv_SY_B!DG11/Inv_SY_B!$FG11-1</f>
        <v>7.8077147331612196E-3</v>
      </c>
      <c r="DH11" s="81">
        <f>Inv_SY_B!DH11/Inv_SY_B!$FG11-1</f>
        <v>2.8570951433002367E-3</v>
      </c>
      <c r="DI11" s="81">
        <f>Inv_SY_B!DI11/Inv_SY_B!$FG11-1</f>
        <v>1.3503842309368075E-2</v>
      </c>
      <c r="DJ11" s="81">
        <f>Inv_SY_B!DJ11/Inv_SY_B!$FG11-1</f>
        <v>1.7618401362128777E-2</v>
      </c>
      <c r="DK11" s="81">
        <f>Inv_SY_B!DK11/Inv_SY_B!$FG11-1</f>
        <v>-2.1365920978052344E-2</v>
      </c>
      <c r="DL11" s="81">
        <f>Inv_SY_B!DL11/Inv_SY_B!$FG11-1</f>
        <v>-6.7898526267694548E-3</v>
      </c>
      <c r="DM11" s="81">
        <f>Inv_SY_B!DM11/Inv_SY_B!$FG11-1</f>
        <v>-4.7623438020069075E-3</v>
      </c>
      <c r="DN11" s="81">
        <f>Inv_SY_B!DN11/Inv_SY_B!$FG11-1</f>
        <v>5.9984243509694224E-3</v>
      </c>
      <c r="DO11" s="81">
        <f>Inv_SY_B!DO11/Inv_SY_B!$FG11-1</f>
        <v>1.4089845227922559E-3</v>
      </c>
      <c r="DP11" s="81">
        <f>Inv_SY_B!DP11/Inv_SY_B!$FG11-1</f>
        <v>-4.3615138009115428E-3</v>
      </c>
      <c r="DQ11" s="81">
        <f>Inv_SY_B!DQ11/Inv_SY_B!$FG11-1</f>
        <v>-6.8196233283873697E-3</v>
      </c>
      <c r="DR11" s="81">
        <f>Inv_SY_B!DR11/Inv_SY_B!$FG11-1</f>
        <v>-9.7442846508615233E-3</v>
      </c>
      <c r="DS11" s="81">
        <f>Inv_SY_B!DS11/Inv_SY_B!$FG11-1</f>
        <v>-1.1180821462567381E-2</v>
      </c>
      <c r="DT11" s="81">
        <f>Inv_SY_B!DT11/Inv_SY_B!$FG11-1</f>
        <v>-4.8426282172494561E-3</v>
      </c>
      <c r="DU11" s="81">
        <f>Inv_SY_B!DU11/Inv_SY_B!$FG11-1</f>
        <v>1.1236307202811657E-2</v>
      </c>
      <c r="DV11" s="81">
        <f>Inv_SY_B!DV11/Inv_SY_B!$FG11-1</f>
        <v>1.1696650459309232E-2</v>
      </c>
      <c r="DW11" s="81">
        <f>Inv_SY_B!DW11/Inv_SY_B!$FG11-1</f>
        <v>1.3058466688647963E-2</v>
      </c>
      <c r="DX11" s="81">
        <f>Inv_SY_B!DX11/Inv_SY_B!$FG11-1</f>
        <v>-3.1423529923982896E-3</v>
      </c>
      <c r="DY11" s="81">
        <f>Inv_SY_B!DY11/Inv_SY_B!$FG11-1</f>
        <v>-9.0469607967686994E-3</v>
      </c>
      <c r="DZ11" s="81">
        <f>Inv_SY_B!DZ11/Inv_SY_B!$FG11-1</f>
        <v>-6.0334562819615023E-3</v>
      </c>
      <c r="EA11" s="81">
        <f>Inv_SY_B!EA11/Inv_SY_B!$FG11-1</f>
        <v>-5.9020034733135995E-3</v>
      </c>
      <c r="EB11" s="81">
        <f>Inv_SY_B!EB11/Inv_SY_B!$FG11-1</f>
        <v>2.3903773731461797E-3</v>
      </c>
      <c r="EC11" s="81">
        <f>Inv_SY_B!EC11/Inv_SY_B!$FG11-1</f>
        <v>-1.5664959795151479E-2</v>
      </c>
      <c r="ED11" s="81">
        <f>Inv_SY_B!ED11/Inv_SY_B!$FG11-1</f>
        <v>-1.6161308639065286E-2</v>
      </c>
      <c r="EE11" s="81">
        <f>Inv_SY_B!EE11/Inv_SY_B!$FG11-1</f>
        <v>-6.79426310108322E-3</v>
      </c>
      <c r="EF11" s="81">
        <f>Inv_SY_B!EF11/Inv_SY_B!$FG11-1</f>
        <v>-6.01829527650799E-3</v>
      </c>
      <c r="EG11" s="81">
        <f>Inv_SY_B!EG11/Inv_SY_B!$FG11-1</f>
        <v>-4.3662727249272892E-2</v>
      </c>
      <c r="EH11" s="81">
        <f>Inv_SY_B!EH11/Inv_SY_B!$FG11-1</f>
        <v>-3.8691640302049746E-2</v>
      </c>
      <c r="EI11" s="81">
        <f>Inv_SY_B!EI11/Inv_SY_B!$FG11-1</f>
        <v>-1.0828468824940485E-2</v>
      </c>
      <c r="EJ11" s="81">
        <f>Inv_SY_B!EJ11/Inv_SY_B!$FG11-1</f>
        <v>6.3569532306677612E-3</v>
      </c>
      <c r="EK11" s="81">
        <f>Inv_SY_B!EK11/Inv_SY_B!$FG11-1</f>
        <v>-1.4784112975084085E-2</v>
      </c>
      <c r="EL11" s="81">
        <f>Inv_SY_B!EL11/Inv_SY_B!$FG11-1</f>
        <v>-2.5573493095032429E-4</v>
      </c>
      <c r="EM11" s="81">
        <f>Inv_SY_B!EM11/Inv_SY_B!$FG11-1</f>
        <v>-7.1596802158808703E-3</v>
      </c>
      <c r="EN11" s="81">
        <f>Inv_SY_B!EN11/Inv_SY_B!$FG11-1</f>
        <v>-1.711191454487615E-3</v>
      </c>
      <c r="EO11" s="81">
        <f>Inv_SY_B!EO11/Inv_SY_B!$FG11-1</f>
        <v>-1.5170272141908914E-3</v>
      </c>
      <c r="EP11" s="81">
        <f>Inv_SY_B!EP11/Inv_SY_B!$FG11-1</f>
        <v>-2.0001221692621085E-2</v>
      </c>
      <c r="EQ11" s="81">
        <f>Inv_SY_B!EQ11/Inv_SY_B!$FG11-1</f>
        <v>-1.4976651751851477E-2</v>
      </c>
      <c r="ER11" s="81">
        <f>Inv_SY_B!ER11/Inv_SY_B!$FG11-1</f>
        <v>-2.0601804249563593E-2</v>
      </c>
      <c r="ES11" s="81">
        <f>Inv_SY_B!ES11/Inv_SY_B!$FG11-1</f>
        <v>-1.3391959958312549E-2</v>
      </c>
      <c r="ET11" s="81">
        <f>Inv_SY_B!ET11/Inv_SY_B!$FG11-1</f>
        <v>-1.7080452050772132E-2</v>
      </c>
      <c r="EU11" s="81">
        <f>Inv_SY_B!EU11/Inv_SY_B!$FG11-1</f>
        <v>-1.1190605261221287E-2</v>
      </c>
      <c r="EV11" s="81">
        <f>Inv_SY_B!EV11/Inv_SY_B!$FG11-1</f>
        <v>-2.0678987550054262E-2</v>
      </c>
      <c r="EW11" s="81">
        <f>Inv_SY_B!EW11/Inv_SY_B!$FG11-1</f>
        <v>-5.087960850951645E-3</v>
      </c>
      <c r="EX11" s="81">
        <f>Inv_SY_B!EX11/Inv_SY_B!$FG11-1</f>
        <v>-1.3656122521963465E-2</v>
      </c>
      <c r="EY11" s="81">
        <f>Inv_SY_B!EY11/Inv_SY_B!$FG11-1</f>
        <v>-2.0310747642643734E-2</v>
      </c>
      <c r="EZ11" s="81">
        <f>Inv_SY_B!EZ11/Inv_SY_B!$FG11-1</f>
        <v>-2.8252598910694982E-2</v>
      </c>
      <c r="FA11" s="81">
        <f>Inv_SY_B!FA11/Inv_SY_B!$FG11-1</f>
        <v>-3.2092468110102801E-2</v>
      </c>
      <c r="FB11" s="81">
        <f>Inv_SY_B!FB11/Inv_SY_B!$FG11-1</f>
        <v>-3.7437411669077325E-2</v>
      </c>
      <c r="FC11" s="81">
        <f>Inv_SY_B!FC11/Inv_SY_B!$FG11-1</f>
        <v>-3.4620221201170143E-2</v>
      </c>
      <c r="FD11" s="81">
        <f>Inv_SY_B!FD11/Inv_SY_B!$FG11-1</f>
        <v>-2.5981721491573073E-2</v>
      </c>
      <c r="FE11" s="81">
        <f>Inv_SY_B!FE11/Inv_SY_B!$FG11-1</f>
        <v>-2.8474500899605681E-2</v>
      </c>
      <c r="FF11" s="81">
        <f>Inv_SY_B!FF11/Inv_SY_B!$FG11-1</f>
        <v>-1.2794231009310653E-2</v>
      </c>
    </row>
    <row r="12" spans="2:162">
      <c r="B12" s="104">
        <f t="shared" si="0"/>
        <v>45835</v>
      </c>
      <c r="C12" s="81">
        <f>Inv_SY_B!C12/Inv_SY_B!$FG12-1</f>
        <v>4.9013274343239877E-2</v>
      </c>
      <c r="D12" s="81">
        <f>Inv_SY_B!D12/Inv_SY_B!$FG12-1</f>
        <v>6.1730911869081639E-2</v>
      </c>
      <c r="E12" s="81">
        <f>Inv_SY_B!E12/Inv_SY_B!$FG12-1</f>
        <v>5.4198980430629096E-2</v>
      </c>
      <c r="F12" s="81">
        <f>Inv_SY_B!F12/Inv_SY_B!$FG12-1</f>
        <v>5.7565105997896548E-2</v>
      </c>
      <c r="G12" s="81">
        <f>Inv_SY_B!G12/Inv_SY_B!$FG12-1</f>
        <v>5.9763109961738392E-2</v>
      </c>
      <c r="H12" s="81">
        <f>Inv_SY_B!H12/Inv_SY_B!$FG12-1</f>
        <v>6.2205898536371595E-2</v>
      </c>
      <c r="I12" s="81">
        <f>Inv_SY_B!I12/Inv_SY_B!$FG12-1</f>
        <v>7.1759916072715146E-2</v>
      </c>
      <c r="J12" s="81">
        <f>Inv_SY_B!J12/Inv_SY_B!$FG12-1</f>
        <v>5.0551402144611401E-2</v>
      </c>
      <c r="K12" s="81">
        <f>Inv_SY_B!K12/Inv_SY_B!$FG12-1</f>
        <v>6.1798767107265951E-2</v>
      </c>
      <c r="L12" s="81">
        <f>Inv_SY_B!L12/Inv_SY_B!$FG12-1</f>
        <v>6.3395020210405439E-2</v>
      </c>
      <c r="M12" s="81">
        <f>Inv_SY_B!M12/Inv_SY_B!$FG12-1</f>
        <v>4.4779547627163518E-2</v>
      </c>
      <c r="N12" s="81">
        <f>Inv_SY_B!N12/Inv_SY_B!$FG12-1</f>
        <v>5.7632455482752531E-2</v>
      </c>
      <c r="O12" s="81">
        <f>Inv_SY_B!O12/Inv_SY_B!$FG12-1</f>
        <v>4.8031219498564814E-2</v>
      </c>
      <c r="P12" s="81">
        <f>Inv_SY_B!P12/Inv_SY_B!$FG12-1</f>
        <v>4.4848528608838478E-2</v>
      </c>
      <c r="Q12" s="81">
        <f>Inv_SY_B!Q12/Inv_SY_B!$FG12-1</f>
        <v>5.8311007864595199E-2</v>
      </c>
      <c r="R12" s="81">
        <f>Inv_SY_B!R12/Inv_SY_B!$FG12-1</f>
        <v>5.9043844436985182E-2</v>
      </c>
      <c r="S12" s="81">
        <f>Inv_SY_B!S12/Inv_SY_B!$FG12-1</f>
        <v>5.2068325951643457E-2</v>
      </c>
      <c r="T12" s="81">
        <f>Inv_SY_B!T12/Inv_SY_B!$FG12-1</f>
        <v>3.5755926692147888E-2</v>
      </c>
      <c r="U12" s="81">
        <f>Inv_SY_B!U12/Inv_SY_B!$FG12-1</f>
        <v>4.8241290518051372E-2</v>
      </c>
      <c r="V12" s="81">
        <f>Inv_SY_B!V12/Inv_SY_B!$FG12-1</f>
        <v>5.6329634909614734E-2</v>
      </c>
      <c r="W12" s="81">
        <f>Inv_SY_B!W12/Inv_SY_B!$FG12-1</f>
        <v>4.1973731146947246E-2</v>
      </c>
      <c r="X12" s="81">
        <f>Inv_SY_B!X12/Inv_SY_B!$FG12-1</f>
        <v>1.8194991050062059E-2</v>
      </c>
      <c r="Y12" s="81">
        <f>Inv_SY_B!Y12/Inv_SY_B!$FG12-1</f>
        <v>3.8013994412048113E-2</v>
      </c>
      <c r="Z12" s="81">
        <f>Inv_SY_B!Z12/Inv_SY_B!$FG12-1</f>
        <v>3.5447236249838365E-2</v>
      </c>
      <c r="AA12" s="81">
        <f>Inv_SY_B!AA12/Inv_SY_B!$FG12-1</f>
        <v>1.7592589209271647E-2</v>
      </c>
      <c r="AB12" s="81">
        <f>Inv_SY_B!AB12/Inv_SY_B!$FG12-1</f>
        <v>1.0182529840355281E-2</v>
      </c>
      <c r="AC12" s="81">
        <f>Inv_SY_B!AC12/Inv_SY_B!$FG12-1</f>
        <v>7.2260450155412492E-3</v>
      </c>
      <c r="AD12" s="81">
        <f>Inv_SY_B!AD12/Inv_SY_B!$FG12-1</f>
        <v>3.1643018451581462E-3</v>
      </c>
      <c r="AE12" s="81">
        <f>Inv_SY_B!AE12/Inv_SY_B!$FG12-1</f>
        <v>3.9573462392394454E-2</v>
      </c>
      <c r="AF12" s="81">
        <f>Inv_SY_B!AF12/Inv_SY_B!$FG12-1</f>
        <v>4.7024222002168825E-2</v>
      </c>
      <c r="AG12" s="81">
        <f>Inv_SY_B!AG12/Inv_SY_B!$FG12-1</f>
        <v>3.7725034168631266E-2</v>
      </c>
      <c r="AH12" s="81">
        <f>Inv_SY_B!AH12/Inv_SY_B!$FG12-1</f>
        <v>3.1118699714635767E-2</v>
      </c>
      <c r="AI12" s="81">
        <f>Inv_SY_B!AI12/Inv_SY_B!$FG12-1</f>
        <v>3.766944440894382E-2</v>
      </c>
      <c r="AJ12" s="81">
        <f>Inv_SY_B!AJ12/Inv_SY_B!$FG12-1</f>
        <v>3.5484505739410865E-2</v>
      </c>
      <c r="AK12" s="81">
        <f>Inv_SY_B!AK12/Inv_SY_B!$FG12-1</f>
        <v>5.7849592244942016E-2</v>
      </c>
      <c r="AL12" s="81">
        <f>Inv_SY_B!AL12/Inv_SY_B!$FG12-1</f>
        <v>4.5934212419786569E-2</v>
      </c>
      <c r="AM12" s="81">
        <f>Inv_SY_B!AM12/Inv_SY_B!$FG12-1</f>
        <v>5.1498341950895865E-2</v>
      </c>
      <c r="AN12" s="81">
        <f>Inv_SY_B!AN12/Inv_SY_B!$FG12-1</f>
        <v>2.9933947255938564E-2</v>
      </c>
      <c r="AO12" s="81">
        <f>Inv_SY_B!AO12/Inv_SY_B!$FG12-1</f>
        <v>2.1682750292732811E-2</v>
      </c>
      <c r="AP12" s="81">
        <f>Inv_SY_B!AP12/Inv_SY_B!$FG12-1</f>
        <v>1.7815001716230183E-2</v>
      </c>
      <c r="AQ12" s="81">
        <f>Inv_SY_B!AQ12/Inv_SY_B!$FG12-1</f>
        <v>3.8771727386803123E-2</v>
      </c>
      <c r="AR12" s="81">
        <f>Inv_SY_B!AR12/Inv_SY_B!$FG12-1</f>
        <v>-7.0572150936277112E-2</v>
      </c>
      <c r="AS12" s="81">
        <f>Inv_SY_B!AS12/Inv_SY_B!$FG12-1</f>
        <v>3.8000303227683441E-2</v>
      </c>
      <c r="AT12" s="81">
        <f>Inv_SY_B!AT12/Inv_SY_B!$FG12-1</f>
        <v>1.771644430769781E-2</v>
      </c>
      <c r="AU12" s="81">
        <f>Inv_SY_B!AU12/Inv_SY_B!$FG12-1</f>
        <v>-7.4068547729847278E-2</v>
      </c>
      <c r="AV12" s="81">
        <f>Inv_SY_B!AV12/Inv_SY_B!$FG12-1</f>
        <v>-1.4276872201329227E-2</v>
      </c>
      <c r="AW12" s="81">
        <f>Inv_SY_B!AW12/Inv_SY_B!$FG12-1</f>
        <v>-7.738704558367393E-2</v>
      </c>
      <c r="AX12" s="81">
        <f>Inv_SY_B!AX12/Inv_SY_B!$FG12-1</f>
        <v>4.2276672395406667E-2</v>
      </c>
      <c r="AY12" s="81">
        <f>Inv_SY_B!AY12/Inv_SY_B!$FG12-1</f>
        <v>-1.1520726780211987E-4</v>
      </c>
      <c r="AZ12" s="81">
        <f>Inv_SY_B!AZ12/Inv_SY_B!$FG12-1</f>
        <v>1.8229770613603646E-2</v>
      </c>
      <c r="BA12" s="81">
        <f>Inv_SY_B!BA12/Inv_SY_B!$FG12-1</f>
        <v>2.6777589034209903E-2</v>
      </c>
      <c r="BB12" s="81">
        <f>Inv_SY_B!BB12/Inv_SY_B!$FG12-1</f>
        <v>3.7444673932458539E-2</v>
      </c>
      <c r="BC12" s="81">
        <f>Inv_SY_B!BC12/Inv_SY_B!$FG12-1</f>
        <v>8.7790732590373732E-3</v>
      </c>
      <c r="BD12" s="81">
        <f>Inv_SY_B!BD12/Inv_SY_B!$FG12-1</f>
        <v>4.0006859744081247E-2</v>
      </c>
      <c r="BE12" s="81">
        <f>Inv_SY_B!BE12/Inv_SY_B!$FG12-1</f>
        <v>1.6421532279123907E-2</v>
      </c>
      <c r="BF12" s="81">
        <f>Inv_SY_B!BF12/Inv_SY_B!$FG12-1</f>
        <v>7.394301568080186E-3</v>
      </c>
      <c r="BG12" s="81">
        <f>Inv_SY_B!BG12/Inv_SY_B!$FG12-1</f>
        <v>1.8755766125627682E-2</v>
      </c>
      <c r="BH12" s="81">
        <f>Inv_SY_B!BH12/Inv_SY_B!$FG12-1</f>
        <v>1.1897735637577567E-2</v>
      </c>
      <c r="BI12" s="81">
        <f>Inv_SY_B!BI12/Inv_SY_B!$FG12-1</f>
        <v>2.6060220956072078E-2</v>
      </c>
      <c r="BJ12" s="81">
        <f>Inv_SY_B!BJ12/Inv_SY_B!$FG12-1</f>
        <v>2.3401512156230098E-2</v>
      </c>
      <c r="BK12" s="81">
        <f>Inv_SY_B!BK12/Inv_SY_B!$FG12-1</f>
        <v>5.4873296410367089E-3</v>
      </c>
      <c r="BL12" s="81">
        <f>Inv_SY_B!BL12/Inv_SY_B!$FG12-1</f>
        <v>2.5556961272871881E-2</v>
      </c>
      <c r="BM12" s="81">
        <f>Inv_SY_B!BM12/Inv_SY_B!$FG12-1</f>
        <v>9.3563131282623502E-3</v>
      </c>
      <c r="BN12" s="81">
        <f>Inv_SY_B!BN12/Inv_SY_B!$FG12-1</f>
        <v>8.8962618835772833E-3</v>
      </c>
      <c r="BO12" s="81">
        <f>Inv_SY_B!BO12/Inv_SY_B!$FG12-1</f>
        <v>7.8819618662802071E-3</v>
      </c>
      <c r="BP12" s="81">
        <f>Inv_SY_B!BP12/Inv_SY_B!$FG12-1</f>
        <v>5.7628507675144824E-4</v>
      </c>
      <c r="BQ12" s="81">
        <f>Inv_SY_B!BQ12/Inv_SY_B!$FG12-1</f>
        <v>2.7800605139294277E-3</v>
      </c>
      <c r="BR12" s="81">
        <f>Inv_SY_B!BR12/Inv_SY_B!$FG12-1</f>
        <v>-1.1213051197842661E-2</v>
      </c>
      <c r="BS12" s="81">
        <f>Inv_SY_B!BS12/Inv_SY_B!$FG12-1</f>
        <v>-1.786820949850676E-2</v>
      </c>
      <c r="BT12" s="81">
        <f>Inv_SY_B!BT12/Inv_SY_B!$FG12-1</f>
        <v>1.1403745427600587E-3</v>
      </c>
      <c r="BU12" s="81">
        <f>Inv_SY_B!BU12/Inv_SY_B!$FG12-1</f>
        <v>-0.17045532497599081</v>
      </c>
      <c r="BV12" s="81">
        <f>Inv_SY_B!BV12/Inv_SY_B!$FG12-1</f>
        <v>-4.4420581712420248E-2</v>
      </c>
      <c r="BW12" s="81">
        <f>Inv_SY_B!BW12/Inv_SY_B!$FG12-1</f>
        <v>7.9153649993091157E-3</v>
      </c>
      <c r="BX12" s="81">
        <f>Inv_SY_B!BX12/Inv_SY_B!$FG12-1</f>
        <v>-1.153877517381996E-2</v>
      </c>
      <c r="BY12" s="81">
        <f>Inv_SY_B!BY12/Inv_SY_B!$FG12-1</f>
        <v>2.0466849048507374E-2</v>
      </c>
      <c r="BZ12" s="81">
        <f>Inv_SY_B!BZ12/Inv_SY_B!$FG12-1</f>
        <v>-6.637179052445541E-3</v>
      </c>
      <c r="CA12" s="81">
        <f>Inv_SY_B!CA12/Inv_SY_B!$FG12-1</f>
        <v>1.3241941716375161E-2</v>
      </c>
      <c r="CB12" s="81">
        <f>Inv_SY_B!CB12/Inv_SY_B!$FG12-1</f>
        <v>1.3300790630942805E-2</v>
      </c>
      <c r="CC12" s="81">
        <f>Inv_SY_B!CC12/Inv_SY_B!$FG12-1</f>
        <v>1.6656454304279311E-2</v>
      </c>
      <c r="CD12" s="81">
        <f>Inv_SY_B!CD12/Inv_SY_B!$FG12-1</f>
        <v>1.1075638573921465E-2</v>
      </c>
      <c r="CE12" s="81">
        <f>Inv_SY_B!CE12/Inv_SY_B!$FG12-1</f>
        <v>-5.5071549102597706E-3</v>
      </c>
      <c r="CF12" s="81">
        <f>Inv_SY_B!CF12/Inv_SY_B!$FG12-1</f>
        <v>-1.1558215288076434E-2</v>
      </c>
      <c r="CG12" s="81">
        <f>Inv_SY_B!CG12/Inv_SY_B!$FG12-1</f>
        <v>-1.0989155181026611E-2</v>
      </c>
      <c r="CH12" s="81">
        <f>Inv_SY_B!CH12/Inv_SY_B!$FG12-1</f>
        <v>-5.2105307925520594E-2</v>
      </c>
      <c r="CI12" s="81">
        <f>Inv_SY_B!CI12/Inv_SY_B!$FG12-1</f>
        <v>-1.0668106046781367E-2</v>
      </c>
      <c r="CJ12" s="81">
        <f>Inv_SY_B!CJ12/Inv_SY_B!$FG12-1</f>
        <v>-2.8843629614531685E-2</v>
      </c>
      <c r="CK12" s="81">
        <f>Inv_SY_B!CK12/Inv_SY_B!$FG12-1</f>
        <v>3.7348744347613927E-3</v>
      </c>
      <c r="CL12" s="81">
        <f>Inv_SY_B!CL12/Inv_SY_B!$FG12-1</f>
        <v>-2.034464120964008E-2</v>
      </c>
      <c r="CM12" s="81">
        <f>Inv_SY_B!CM12/Inv_SY_B!$FG12-1</f>
        <v>1.379506353408555E-2</v>
      </c>
      <c r="CN12" s="81">
        <f>Inv_SY_B!CN12/Inv_SY_B!$FG12-1</f>
        <v>-3.4792193649272329E-3</v>
      </c>
      <c r="CO12" s="81">
        <f>Inv_SY_B!CO12/Inv_SY_B!$FG12-1</f>
        <v>1.5506610290774825E-2</v>
      </c>
      <c r="CP12" s="81">
        <f>Inv_SY_B!CP12/Inv_SY_B!$FG12-1</f>
        <v>5.7267323987841845E-3</v>
      </c>
      <c r="CQ12" s="81">
        <f>Inv_SY_B!CQ12/Inv_SY_B!$FG12-1</f>
        <v>4.3352193747363543E-3</v>
      </c>
      <c r="CR12" s="81">
        <f>Inv_SY_B!CR12/Inv_SY_B!$FG12-1</f>
        <v>2.1068289303831422E-2</v>
      </c>
      <c r="CS12" s="81">
        <f>Inv_SY_B!CS12/Inv_SY_B!$FG12-1</f>
        <v>8.555995430273633E-3</v>
      </c>
      <c r="CT12" s="81">
        <f>Inv_SY_B!CT12/Inv_SY_B!$FG12-1</f>
        <v>6.0011160026565147E-3</v>
      </c>
      <c r="CU12" s="81">
        <f>Inv_SY_B!CU12/Inv_SY_B!$FG12-1</f>
        <v>1.7252888923111609E-2</v>
      </c>
      <c r="CV12" s="81">
        <f>Inv_SY_B!CV12/Inv_SY_B!$FG12-1</f>
        <v>-2.2636764405141729E-3</v>
      </c>
      <c r="CW12" s="81">
        <f>Inv_SY_B!CW12/Inv_SY_B!$FG12-1</f>
        <v>-9.1077265881542857E-3</v>
      </c>
      <c r="CX12" s="81">
        <f>Inv_SY_B!CX12/Inv_SY_B!$FG12-1</f>
        <v>-2.0263077045771238E-3</v>
      </c>
      <c r="CY12" s="81">
        <f>Inv_SY_B!CY12/Inv_SY_B!$FG12-1</f>
        <v>-1.0352414479453009E-2</v>
      </c>
      <c r="CZ12" s="81">
        <f>Inv_SY_B!CZ12/Inv_SY_B!$FG12-1</f>
        <v>3.379675343989641E-3</v>
      </c>
      <c r="DA12" s="81">
        <f>Inv_SY_B!DA12/Inv_SY_B!$FG12-1</f>
        <v>-1.2035099177352238E-2</v>
      </c>
      <c r="DB12" s="81">
        <f>Inv_SY_B!DB12/Inv_SY_B!$FG12-1</f>
        <v>-9.2358070573531625E-3</v>
      </c>
      <c r="DC12" s="81">
        <f>Inv_SY_B!DC12/Inv_SY_B!$FG12-1</f>
        <v>-1.2642777650353931E-2</v>
      </c>
      <c r="DD12" s="81">
        <f>Inv_SY_B!DD12/Inv_SY_B!$FG12-1</f>
        <v>-1.1253125559999688E-2</v>
      </c>
      <c r="DE12" s="81">
        <f>Inv_SY_B!DE12/Inv_SY_B!$FG12-1</f>
        <v>-1.0907594967997092E-2</v>
      </c>
      <c r="DF12" s="81">
        <f>Inv_SY_B!DF12/Inv_SY_B!$FG12-1</f>
        <v>-1.9497586535101363E-2</v>
      </c>
      <c r="DG12" s="81">
        <f>Inv_SY_B!DG12/Inv_SY_B!$FG12-1</f>
        <v>-3.2184179007867519E-2</v>
      </c>
      <c r="DH12" s="81">
        <f>Inv_SY_B!DH12/Inv_SY_B!$FG12-1</f>
        <v>-2.9263969762199582E-2</v>
      </c>
      <c r="DI12" s="81">
        <f>Inv_SY_B!DI12/Inv_SY_B!$FG12-1</f>
        <v>-2.0834984132761525E-3</v>
      </c>
      <c r="DJ12" s="81">
        <f>Inv_SY_B!DJ12/Inv_SY_B!$FG12-1</f>
        <v>-0.13234885243315164</v>
      </c>
      <c r="DK12" s="81">
        <f>Inv_SY_B!DK12/Inv_SY_B!$FG12-1</f>
        <v>-3.1996661783864733E-2</v>
      </c>
      <c r="DL12" s="81">
        <f>Inv_SY_B!DL12/Inv_SY_B!$FG12-1</f>
        <v>-2.9259521306071345E-2</v>
      </c>
      <c r="DM12" s="81">
        <f>Inv_SY_B!DM12/Inv_SY_B!$FG12-1</f>
        <v>-4.2299968243587505E-2</v>
      </c>
      <c r="DN12" s="81">
        <f>Inv_SY_B!DN12/Inv_SY_B!$FG12-1</f>
        <v>-1.6520186580734508E-2</v>
      </c>
      <c r="DO12" s="81">
        <f>Inv_SY_B!DO12/Inv_SY_B!$FG12-1</f>
        <v>-5.0406799127069801E-2</v>
      </c>
      <c r="DP12" s="81">
        <f>Inv_SY_B!DP12/Inv_SY_B!$FG12-1</f>
        <v>-4.4335378995754571E-2</v>
      </c>
      <c r="DQ12" s="81">
        <f>Inv_SY_B!DQ12/Inv_SY_B!$FG12-1</f>
        <v>-5.3239126268142756E-2</v>
      </c>
      <c r="DR12" s="81">
        <f>Inv_SY_B!DR12/Inv_SY_B!$FG12-1</f>
        <v>-4.63056007845567E-2</v>
      </c>
      <c r="DS12" s="81">
        <f>Inv_SY_B!DS12/Inv_SY_B!$FG12-1</f>
        <v>-5.1403696687120193E-2</v>
      </c>
      <c r="DT12" s="81">
        <f>Inv_SY_B!DT12/Inv_SY_B!$FG12-1</f>
        <v>-4.3590919198795874E-2</v>
      </c>
      <c r="DU12" s="81">
        <f>Inv_SY_B!DU12/Inv_SY_B!$FG12-1</f>
        <v>-1.6894050273282502E-2</v>
      </c>
      <c r="DV12" s="81">
        <f>Inv_SY_B!DV12/Inv_SY_B!$FG12-1</f>
        <v>-6.7287260853465924E-2</v>
      </c>
      <c r="DW12" s="81">
        <f>Inv_SY_B!DW12/Inv_SY_B!$FG12-1</f>
        <v>-2.1365726852584199E-2</v>
      </c>
      <c r="DX12" s="81">
        <f>Inv_SY_B!DX12/Inv_SY_B!$FG12-1</f>
        <v>-6.6142802029104275E-2</v>
      </c>
      <c r="DY12" s="81">
        <f>Inv_SY_B!DY12/Inv_SY_B!$FG12-1</f>
        <v>-5.3552335089612324E-2</v>
      </c>
      <c r="DZ12" s="81">
        <f>Inv_SY_B!DZ12/Inv_SY_B!$FG12-1</f>
        <v>-5.1801241459000114E-2</v>
      </c>
      <c r="EA12" s="81">
        <f>Inv_SY_B!EA12/Inv_SY_B!$FG12-1</f>
        <v>-0.11699156866300431</v>
      </c>
      <c r="EB12" s="81">
        <f>Inv_SY_B!EB12/Inv_SY_B!$FG12-1</f>
        <v>-3.2420351587769125E-2</v>
      </c>
      <c r="EC12" s="81">
        <f>Inv_SY_B!EC12/Inv_SY_B!$FG12-1</f>
        <v>-4.87536049792755E-2</v>
      </c>
      <c r="ED12" s="81">
        <f>Inv_SY_B!ED12/Inv_SY_B!$FG12-1</f>
        <v>-5.3566179703822048E-2</v>
      </c>
      <c r="EE12" s="81">
        <f>Inv_SY_B!EE12/Inv_SY_B!$FG12-1</f>
        <v>-4.0226268745402249E-2</v>
      </c>
      <c r="EF12" s="81">
        <f>Inv_SY_B!EF12/Inv_SY_B!$FG12-1</f>
        <v>-4.1009915966384924E-2</v>
      </c>
      <c r="EG12" s="81">
        <f>Inv_SY_B!EG12/Inv_SY_B!$FG12-1</f>
        <v>-4.1224250670747531E-2</v>
      </c>
      <c r="EH12" s="81">
        <f>Inv_SY_B!EH12/Inv_SY_B!$FG12-1</f>
        <v>-3.5689966842058607E-2</v>
      </c>
      <c r="EI12" s="81">
        <f>Inv_SY_B!EI12/Inv_SY_B!$FG12-1</f>
        <v>-7.2070414594536114E-3</v>
      </c>
      <c r="EJ12" s="81">
        <f>Inv_SY_B!EJ12/Inv_SY_B!$FG12-1</f>
        <v>4.1102135937960416E-3</v>
      </c>
      <c r="EK12" s="81">
        <f>Inv_SY_B!EK12/Inv_SY_B!$FG12-1</f>
        <v>-6.1627776168137194E-3</v>
      </c>
      <c r="EL12" s="81">
        <f>Inv_SY_B!EL12/Inv_SY_B!$FG12-1</f>
        <v>-2.1505008530365299E-2</v>
      </c>
      <c r="EM12" s="81">
        <f>Inv_SY_B!EM12/Inv_SY_B!$FG12-1</f>
        <v>-4.0689338081200122E-3</v>
      </c>
      <c r="EN12" s="81">
        <f>Inv_SY_B!EN12/Inv_SY_B!$FG12-1</f>
        <v>-2.3236251764029436E-3</v>
      </c>
      <c r="EO12" s="81">
        <f>Inv_SY_B!EO12/Inv_SY_B!$FG12-1</f>
        <v>-1.4161461206672388E-2</v>
      </c>
      <c r="EP12" s="81">
        <f>Inv_SY_B!EP12/Inv_SY_B!$FG12-1</f>
        <v>-2.1875488538220966E-2</v>
      </c>
      <c r="EQ12" s="81">
        <f>Inv_SY_B!EQ12/Inv_SY_B!$FG12-1</f>
        <v>-4.3860521265600694E-3</v>
      </c>
      <c r="ER12" s="81">
        <f>Inv_SY_B!ER12/Inv_SY_B!$FG12-1</f>
        <v>-9.245243176413287E-3</v>
      </c>
      <c r="ES12" s="81">
        <f>Inv_SY_B!ES12/Inv_SY_B!$FG12-1</f>
        <v>-2.0578686682897973E-2</v>
      </c>
      <c r="ET12" s="81">
        <f>Inv_SY_B!ET12/Inv_SY_B!$FG12-1</f>
        <v>-1.4811756003299981E-2</v>
      </c>
      <c r="EU12" s="81">
        <f>Inv_SY_B!EU12/Inv_SY_B!$FG12-1</f>
        <v>-1.1941049359694977E-2</v>
      </c>
      <c r="EV12" s="81">
        <f>Inv_SY_B!EV12/Inv_SY_B!$FG12-1</f>
        <v>-3.3376544985848966E-2</v>
      </c>
      <c r="EW12" s="81">
        <f>Inv_SY_B!EW12/Inv_SY_B!$FG12-1</f>
        <v>-5.2160203377938918E-3</v>
      </c>
      <c r="EX12" s="81">
        <f>Inv_SY_B!EX12/Inv_SY_B!$FG12-1</f>
        <v>-5.1406642883992104E-3</v>
      </c>
      <c r="EY12" s="81">
        <f>Inv_SY_B!EY12/Inv_SY_B!$FG12-1</f>
        <v>-2.6376220389030647E-2</v>
      </c>
      <c r="EZ12" s="81">
        <f>Inv_SY_B!EZ12/Inv_SY_B!$FG12-1</f>
        <v>-1.4982403564892111E-2</v>
      </c>
      <c r="FA12" s="81">
        <f>Inv_SY_B!FA12/Inv_SY_B!$FG12-1</f>
        <v>-1.1925100989452764E-2</v>
      </c>
      <c r="FB12" s="81">
        <f>Inv_SY_B!FB12/Inv_SY_B!$FG12-1</f>
        <v>-3.4735346130488676E-2</v>
      </c>
      <c r="FC12" s="81">
        <f>Inv_SY_B!FC12/Inv_SY_B!$FG12-1</f>
        <v>-1.8593291791851541E-2</v>
      </c>
      <c r="FD12" s="81">
        <f>Inv_SY_B!FD12/Inv_SY_B!$FG12-1</f>
        <v>-9.6038157006931302E-3</v>
      </c>
      <c r="FE12" s="81">
        <f>Inv_SY_B!FE12/Inv_SY_B!$FG12-1</f>
        <v>-1.1157629972572858E-2</v>
      </c>
      <c r="FF12" s="81">
        <f>Inv_SY_B!FF12/Inv_SY_B!$FG12-1</f>
        <v>-8.5422523064433431E-3</v>
      </c>
    </row>
    <row r="13" spans="2:162">
      <c r="B13" s="104">
        <f t="shared" si="0"/>
        <v>45836</v>
      </c>
      <c r="C13" s="81">
        <f>Inv_SY_B!C13/Inv_SY_B!$FG13-1</f>
        <v>-2.9736397702914696E-2</v>
      </c>
      <c r="D13" s="81">
        <f>Inv_SY_B!D13/Inv_SY_B!$FG13-1</f>
        <v>-2.6469980297925133E-2</v>
      </c>
      <c r="E13" s="81">
        <f>Inv_SY_B!E13/Inv_SY_B!$FG13-1</f>
        <v>-2.9594031277170529E-2</v>
      </c>
      <c r="F13" s="81">
        <f>Inv_SY_B!F13/Inv_SY_B!$FG13-1</f>
        <v>-2.2090193713319661E-2</v>
      </c>
      <c r="G13" s="81">
        <f>Inv_SY_B!G13/Inv_SY_B!$FG13-1</f>
        <v>-2.2616984090189085E-2</v>
      </c>
      <c r="H13" s="81">
        <f>Inv_SY_B!H13/Inv_SY_B!$FG13-1</f>
        <v>-2.7303060559057291E-2</v>
      </c>
      <c r="I13" s="81">
        <f>Inv_SY_B!I13/Inv_SY_B!$FG13-1</f>
        <v>-1.953080039554056E-2</v>
      </c>
      <c r="J13" s="81">
        <f>Inv_SY_B!J13/Inv_SY_B!$FG13-1</f>
        <v>-2.9179273136467843E-2</v>
      </c>
      <c r="K13" s="81">
        <f>Inv_SY_B!K13/Inv_SY_B!$FG13-1</f>
        <v>-1.4428183796106331E-2</v>
      </c>
      <c r="L13" s="81">
        <f>Inv_SY_B!L13/Inv_SY_B!$FG13-1</f>
        <v>-9.2875844630366799E-3</v>
      </c>
      <c r="M13" s="81">
        <f>Inv_SY_B!M13/Inv_SY_B!$FG13-1</f>
        <v>-2.2317465571977557E-2</v>
      </c>
      <c r="N13" s="81">
        <f>Inv_SY_B!N13/Inv_SY_B!$FG13-1</f>
        <v>-1.0205981563550348E-2</v>
      </c>
      <c r="O13" s="81">
        <f>Inv_SY_B!O13/Inv_SY_B!$FG13-1</f>
        <v>-2.2819604873097088E-2</v>
      </c>
      <c r="P13" s="81">
        <f>Inv_SY_B!P13/Inv_SY_B!$FG13-1</f>
        <v>-2.5201426263928517E-2</v>
      </c>
      <c r="Q13" s="81">
        <f>Inv_SY_B!Q13/Inv_SY_B!$FG13-1</f>
        <v>-3.6627879391047391E-2</v>
      </c>
      <c r="R13" s="81">
        <f>Inv_SY_B!R13/Inv_SY_B!$FG13-1</f>
        <v>-2.5949305134717493E-2</v>
      </c>
      <c r="S13" s="81">
        <f>Inv_SY_B!S13/Inv_SY_B!$FG13-1</f>
        <v>-2.4841687060257911E-2</v>
      </c>
      <c r="T13" s="81">
        <f>Inv_SY_B!T13/Inv_SY_B!$FG13-1</f>
        <v>-5.7701023269230323E-2</v>
      </c>
      <c r="U13" s="81">
        <f>Inv_SY_B!U13/Inv_SY_B!$FG13-1</f>
        <v>-2.3828737197290284E-2</v>
      </c>
      <c r="V13" s="81">
        <f>Inv_SY_B!V13/Inv_SY_B!$FG13-1</f>
        <v>-1.6122744781818299E-2</v>
      </c>
      <c r="W13" s="81">
        <f>Inv_SY_B!W13/Inv_SY_B!$FG13-1</f>
        <v>-3.0426187089759971E-2</v>
      </c>
      <c r="X13" s="81">
        <f>Inv_SY_B!X13/Inv_SY_B!$FG13-1</f>
        <v>-5.6066418817463437E-2</v>
      </c>
      <c r="Y13" s="81">
        <f>Inv_SY_B!Y13/Inv_SY_B!$FG13-1</f>
        <v>-3.1391876479952341E-2</v>
      </c>
      <c r="Z13" s="81">
        <f>Inv_SY_B!Z13/Inv_SY_B!$FG13-1</f>
        <v>-3.6741197240203527E-2</v>
      </c>
      <c r="AA13" s="81">
        <f>Inv_SY_B!AA13/Inv_SY_B!$FG13-1</f>
        <v>-3.9480528441470764E-2</v>
      </c>
      <c r="AB13" s="81">
        <f>Inv_SY_B!AB13/Inv_SY_B!$FG13-1</f>
        <v>-4.8353750737500145E-2</v>
      </c>
      <c r="AC13" s="81">
        <f>Inv_SY_B!AC13/Inv_SY_B!$FG13-1</f>
        <v>-5.9867427471727352E-2</v>
      </c>
      <c r="AD13" s="81">
        <f>Inv_SY_B!AD13/Inv_SY_B!$FG13-1</f>
        <v>-6.0054475006928509E-2</v>
      </c>
      <c r="AE13" s="81">
        <f>Inv_SY_B!AE13/Inv_SY_B!$FG13-1</f>
        <v>-3.7034216392152652E-2</v>
      </c>
      <c r="AF13" s="81">
        <f>Inv_SY_B!AF13/Inv_SY_B!$FG13-1</f>
        <v>-1.0106177601584609E-2</v>
      </c>
      <c r="AG13" s="81">
        <f>Inv_SY_B!AG13/Inv_SY_B!$FG13-1</f>
        <v>-9.8525336017825094E-3</v>
      </c>
      <c r="AH13" s="81">
        <f>Inv_SY_B!AH13/Inv_SY_B!$FG13-1</f>
        <v>-2.2860702141330624E-2</v>
      </c>
      <c r="AI13" s="81">
        <f>Inv_SY_B!AI13/Inv_SY_B!$FG13-1</f>
        <v>1.5534305141202243E-2</v>
      </c>
      <c r="AJ13" s="81">
        <f>Inv_SY_B!AJ13/Inv_SY_B!$FG13-1</f>
        <v>-3.0206643112858922E-3</v>
      </c>
      <c r="AK13" s="81">
        <f>Inv_SY_B!AK13/Inv_SY_B!$FG13-1</f>
        <v>-5.4063032408913081E-3</v>
      </c>
      <c r="AL13" s="81">
        <f>Inv_SY_B!AL13/Inv_SY_B!$FG13-1</f>
        <v>-1.4352449226912478E-2</v>
      </c>
      <c r="AM13" s="81">
        <f>Inv_SY_B!AM13/Inv_SY_B!$FG13-1</f>
        <v>1.3178713140726828E-4</v>
      </c>
      <c r="AN13" s="81">
        <f>Inv_SY_B!AN13/Inv_SY_B!$FG13-1</f>
        <v>-1.5668337366655072E-2</v>
      </c>
      <c r="AO13" s="81">
        <f>Inv_SY_B!AO13/Inv_SY_B!$FG13-1</f>
        <v>9.6270087440835095E-3</v>
      </c>
      <c r="AP13" s="81">
        <f>Inv_SY_B!AP13/Inv_SY_B!$FG13-1</f>
        <v>-9.2782330909257915E-3</v>
      </c>
      <c r="AQ13" s="81">
        <f>Inv_SY_B!AQ13/Inv_SY_B!$FG13-1</f>
        <v>2.8194851303835478E-2</v>
      </c>
      <c r="AR13" s="81">
        <f>Inv_SY_B!AR13/Inv_SY_B!$FG13-1</f>
        <v>-8.237253829172142E-2</v>
      </c>
      <c r="AS13" s="81">
        <f>Inv_SY_B!AS13/Inv_SY_B!$FG13-1</f>
        <v>1.8987443110530577E-2</v>
      </c>
      <c r="AT13" s="81">
        <f>Inv_SY_B!AT13/Inv_SY_B!$FG13-1</f>
        <v>3.9911720451406563E-3</v>
      </c>
      <c r="AU13" s="81">
        <f>Inv_SY_B!AU13/Inv_SY_B!$FG13-1</f>
        <v>-8.2945168250070034E-2</v>
      </c>
      <c r="AV13" s="81">
        <f>Inv_SY_B!AV13/Inv_SY_B!$FG13-1</f>
        <v>-1.5516140011256008E-2</v>
      </c>
      <c r="AW13" s="81">
        <f>Inv_SY_B!AW13/Inv_SY_B!$FG13-1</f>
        <v>-7.3488053053221813E-2</v>
      </c>
      <c r="AX13" s="81">
        <f>Inv_SY_B!AX13/Inv_SY_B!$FG13-1</f>
        <v>3.3625145991856842E-2</v>
      </c>
      <c r="AY13" s="81">
        <f>Inv_SY_B!AY13/Inv_SY_B!$FG13-1</f>
        <v>-5.6536461247841174E-2</v>
      </c>
      <c r="AZ13" s="81">
        <f>Inv_SY_B!AZ13/Inv_SY_B!$FG13-1</f>
        <v>-4.4212190034115917E-2</v>
      </c>
      <c r="BA13" s="81">
        <f>Inv_SY_B!BA13/Inv_SY_B!$FG13-1</f>
        <v>-3.3564671740428986E-2</v>
      </c>
      <c r="BB13" s="81">
        <f>Inv_SY_B!BB13/Inv_SY_B!$FG13-1</f>
        <v>-1.588855189768501E-2</v>
      </c>
      <c r="BC13" s="81">
        <f>Inv_SY_B!BC13/Inv_SY_B!$FG13-1</f>
        <v>-6.051846924519888E-2</v>
      </c>
      <c r="BD13" s="81">
        <f>Inv_SY_B!BD13/Inv_SY_B!$FG13-1</f>
        <v>-2.9986564338681299E-2</v>
      </c>
      <c r="BE13" s="81">
        <f>Inv_SY_B!BE13/Inv_SY_B!$FG13-1</f>
        <v>-4.2032867591343059E-2</v>
      </c>
      <c r="BF13" s="81">
        <f>Inv_SY_B!BF13/Inv_SY_B!$FG13-1</f>
        <v>-6.5536040993949163E-2</v>
      </c>
      <c r="BG13" s="81">
        <f>Inv_SY_B!BG13/Inv_SY_B!$FG13-1</f>
        <v>-4.4661942239440866E-2</v>
      </c>
      <c r="BH13" s="81">
        <f>Inv_SY_B!BH13/Inv_SY_B!$FG13-1</f>
        <v>-3.8012904749015419E-2</v>
      </c>
      <c r="BI13" s="81">
        <f>Inv_SY_B!BI13/Inv_SY_B!$FG13-1</f>
        <v>-3.8312748155106546E-2</v>
      </c>
      <c r="BJ13" s="81">
        <f>Inv_SY_B!BJ13/Inv_SY_B!$FG13-1</f>
        <v>-3.2557186201319088E-2</v>
      </c>
      <c r="BK13" s="81">
        <f>Inv_SY_B!BK13/Inv_SY_B!$FG13-1</f>
        <v>-4.0804647548862372E-2</v>
      </c>
      <c r="BL13" s="81">
        <f>Inv_SY_B!BL13/Inv_SY_B!$FG13-1</f>
        <v>-3.8473233313636168E-2</v>
      </c>
      <c r="BM13" s="81">
        <f>Inv_SY_B!BM13/Inv_SY_B!$FG13-1</f>
        <v>-3.3005704568974892E-2</v>
      </c>
      <c r="BN13" s="81">
        <f>Inv_SY_B!BN13/Inv_SY_B!$FG13-1</f>
        <v>-2.9158273499671594E-2</v>
      </c>
      <c r="BO13" s="81">
        <f>Inv_SY_B!BO13/Inv_SY_B!$FG13-1</f>
        <v>-3.2453034772933265E-2</v>
      </c>
      <c r="BP13" s="81">
        <f>Inv_SY_B!BP13/Inv_SY_B!$FG13-1</f>
        <v>-3.2983426210671962E-2</v>
      </c>
      <c r="BQ13" s="81">
        <f>Inv_SY_B!BQ13/Inv_SY_B!$FG13-1</f>
        <v>-4.5766173701264901E-2</v>
      </c>
      <c r="BR13" s="81">
        <f>Inv_SY_B!BR13/Inv_SY_B!$FG13-1</f>
        <v>-5.0714349206062992E-2</v>
      </c>
      <c r="BS13" s="81">
        <f>Inv_SY_B!BS13/Inv_SY_B!$FG13-1</f>
        <v>-4.7243872722587676E-2</v>
      </c>
      <c r="BT13" s="81">
        <f>Inv_SY_B!BT13/Inv_SY_B!$FG13-1</f>
        <v>-2.5836700716927785E-2</v>
      </c>
      <c r="BU13" s="81">
        <f>Inv_SY_B!BU13/Inv_SY_B!$FG13-1</f>
        <v>-4.3899040245969578E-2</v>
      </c>
      <c r="BV13" s="81">
        <f>Inv_SY_B!BV13/Inv_SY_B!$FG13-1</f>
        <v>-3.9472014763773156E-2</v>
      </c>
      <c r="BW13" s="81">
        <f>Inv_SY_B!BW13/Inv_SY_B!$FG13-1</f>
        <v>-3.1556235760807683E-2</v>
      </c>
      <c r="BX13" s="81">
        <f>Inv_SY_B!BX13/Inv_SY_B!$FG13-1</f>
        <v>-4.1763769082462043E-2</v>
      </c>
      <c r="BY13" s="81">
        <f>Inv_SY_B!BY13/Inv_SY_B!$FG13-1</f>
        <v>-1.2926002140176807E-2</v>
      </c>
      <c r="BZ13" s="81">
        <f>Inv_SY_B!BZ13/Inv_SY_B!$FG13-1</f>
        <v>-3.5890460364605192E-2</v>
      </c>
      <c r="CA13" s="81">
        <f>Inv_SY_B!CA13/Inv_SY_B!$FG13-1</f>
        <v>-1.8755399032619913E-2</v>
      </c>
      <c r="CB13" s="81">
        <f>Inv_SY_B!CB13/Inv_SY_B!$FG13-1</f>
        <v>-1.607176200542082E-2</v>
      </c>
      <c r="CC13" s="81">
        <f>Inv_SY_B!CC13/Inv_SY_B!$FG13-1</f>
        <v>-1.7921102699416269E-2</v>
      </c>
      <c r="CD13" s="81">
        <f>Inv_SY_B!CD13/Inv_SY_B!$FG13-1</f>
        <v>-1.8331780829562327E-2</v>
      </c>
      <c r="CE13" s="81">
        <f>Inv_SY_B!CE13/Inv_SY_B!$FG13-1</f>
        <v>-2.1199551537296246E-2</v>
      </c>
      <c r="CF13" s="81">
        <f>Inv_SY_B!CF13/Inv_SY_B!$FG13-1</f>
        <v>-2.9635626125692482E-2</v>
      </c>
      <c r="CG13" s="81">
        <f>Inv_SY_B!CG13/Inv_SY_B!$FG13-1</f>
        <v>-2.8108918865739962E-2</v>
      </c>
      <c r="CH13" s="81">
        <f>Inv_SY_B!CH13/Inv_SY_B!$FG13-1</f>
        <v>-4.6334291453053789E-2</v>
      </c>
      <c r="CI13" s="81">
        <f>Inv_SY_B!CI13/Inv_SY_B!$FG13-1</f>
        <v>-2.9495548381869408E-2</v>
      </c>
      <c r="CJ13" s="81">
        <f>Inv_SY_B!CJ13/Inv_SY_B!$FG13-1</f>
        <v>-5.240978016399378E-2</v>
      </c>
      <c r="CK13" s="81">
        <f>Inv_SY_B!CK13/Inv_SY_B!$FG13-1</f>
        <v>-2.9104227775993197E-2</v>
      </c>
      <c r="CL13" s="81">
        <f>Inv_SY_B!CL13/Inv_SY_B!$FG13-1</f>
        <v>-4.3919954900811797E-2</v>
      </c>
      <c r="CM13" s="81">
        <f>Inv_SY_B!CM13/Inv_SY_B!$FG13-1</f>
        <v>-5.3454183719625625E-4</v>
      </c>
      <c r="CN13" s="81">
        <f>Inv_SY_B!CN13/Inv_SY_B!$FG13-1</f>
        <v>-2.9878279543074093E-2</v>
      </c>
      <c r="CO13" s="81">
        <f>Inv_SY_B!CO13/Inv_SY_B!$FG13-1</f>
        <v>-6.5422623263999835E-4</v>
      </c>
      <c r="CP13" s="81">
        <f>Inv_SY_B!CP13/Inv_SY_B!$FG13-1</f>
        <v>-2.8806342484533065E-3</v>
      </c>
      <c r="CQ13" s="81">
        <f>Inv_SY_B!CQ13/Inv_SY_B!$FG13-1</f>
        <v>2.6888698769345076E-4</v>
      </c>
      <c r="CR13" s="81">
        <f>Inv_SY_B!CR13/Inv_SY_B!$FG13-1</f>
        <v>1.9419436769167797E-2</v>
      </c>
      <c r="CS13" s="81">
        <f>Inv_SY_B!CS13/Inv_SY_B!$FG13-1</f>
        <v>1.1964869810701773E-2</v>
      </c>
      <c r="CT13" s="81">
        <f>Inv_SY_B!CT13/Inv_SY_B!$FG13-1</f>
        <v>1.2526474498193219E-2</v>
      </c>
      <c r="CU13" s="81">
        <f>Inv_SY_B!CU13/Inv_SY_B!$FG13-1</f>
        <v>4.7444422127184138E-2</v>
      </c>
      <c r="CV13" s="81">
        <f>Inv_SY_B!CV13/Inv_SY_B!$FG13-1</f>
        <v>3.7713392194718809E-2</v>
      </c>
      <c r="CW13" s="81">
        <f>Inv_SY_B!CW13/Inv_SY_B!$FG13-1</f>
        <v>2.5674396018316559E-2</v>
      </c>
      <c r="CX13" s="81">
        <f>Inv_SY_B!CX13/Inv_SY_B!$FG13-1</f>
        <v>4.4904468821363563E-2</v>
      </c>
      <c r="CY13" s="81">
        <f>Inv_SY_B!CY13/Inv_SY_B!$FG13-1</f>
        <v>2.2123705724667042E-2</v>
      </c>
      <c r="CZ13" s="81">
        <f>Inv_SY_B!CZ13/Inv_SY_B!$FG13-1</f>
        <v>4.3365461449293097E-2</v>
      </c>
      <c r="DA13" s="81">
        <f>Inv_SY_B!DA13/Inv_SY_B!$FG13-1</f>
        <v>2.4128014899867711E-2</v>
      </c>
      <c r="DB13" s="81">
        <f>Inv_SY_B!DB13/Inv_SY_B!$FG13-1</f>
        <v>3.41310987136898E-2</v>
      </c>
      <c r="DC13" s="81">
        <f>Inv_SY_B!DC13/Inv_SY_B!$FG13-1</f>
        <v>1.6227483119365393E-2</v>
      </c>
      <c r="DD13" s="81">
        <f>Inv_SY_B!DD13/Inv_SY_B!$FG13-1</f>
        <v>2.7952330186808316E-2</v>
      </c>
      <c r="DE13" s="81">
        <f>Inv_SY_B!DE13/Inv_SY_B!$FG13-1</f>
        <v>2.100686111075678E-2</v>
      </c>
      <c r="DF13" s="81">
        <f>Inv_SY_B!DF13/Inv_SY_B!$FG13-1</f>
        <v>2.4583328847681107E-2</v>
      </c>
      <c r="DG13" s="81">
        <f>Inv_SY_B!DG13/Inv_SY_B!$FG13-1</f>
        <v>1.9451878593206295E-2</v>
      </c>
      <c r="DH13" s="81">
        <f>Inv_SY_B!DH13/Inv_SY_B!$FG13-1</f>
        <v>2.5985379851789947E-2</v>
      </c>
      <c r="DI13" s="81">
        <f>Inv_SY_B!DI13/Inv_SY_B!$FG13-1</f>
        <v>3.5150336194141207E-2</v>
      </c>
      <c r="DJ13" s="81">
        <f>Inv_SY_B!DJ13/Inv_SY_B!$FG13-1</f>
        <v>3.6500762382606133E-2</v>
      </c>
      <c r="DK13" s="81">
        <f>Inv_SY_B!DK13/Inv_SY_B!$FG13-1</f>
        <v>1.2295358719580207E-2</v>
      </c>
      <c r="DL13" s="81">
        <f>Inv_SY_B!DL13/Inv_SY_B!$FG13-1</f>
        <v>2.6077909576004643E-2</v>
      </c>
      <c r="DM13" s="81">
        <f>Inv_SY_B!DM13/Inv_SY_B!$FG13-1</f>
        <v>2.8996827431037708E-2</v>
      </c>
      <c r="DN13" s="81">
        <f>Inv_SY_B!DN13/Inv_SY_B!$FG13-1</f>
        <v>4.5485418624065632E-2</v>
      </c>
      <c r="DO13" s="81">
        <f>Inv_SY_B!DO13/Inv_SY_B!$FG13-1</f>
        <v>3.0488861231084963E-2</v>
      </c>
      <c r="DP13" s="81">
        <f>Inv_SY_B!DP13/Inv_SY_B!$FG13-1</f>
        <v>2.0882259077461773E-2</v>
      </c>
      <c r="DQ13" s="81">
        <f>Inv_SY_B!DQ13/Inv_SY_B!$FG13-1</f>
        <v>2.5012689336263216E-2</v>
      </c>
      <c r="DR13" s="81">
        <f>Inv_SY_B!DR13/Inv_SY_B!$FG13-1</f>
        <v>3.0290268850321045E-2</v>
      </c>
      <c r="DS13" s="81">
        <f>Inv_SY_B!DS13/Inv_SY_B!$FG13-1</f>
        <v>1.7811708971260387E-2</v>
      </c>
      <c r="DT13" s="81">
        <f>Inv_SY_B!DT13/Inv_SY_B!$FG13-1</f>
        <v>3.8369066654904138E-2</v>
      </c>
      <c r="DU13" s="81">
        <f>Inv_SY_B!DU13/Inv_SY_B!$FG13-1</f>
        <v>4.3497659005016232E-2</v>
      </c>
      <c r="DV13" s="81">
        <f>Inv_SY_B!DV13/Inv_SY_B!$FG13-1</f>
        <v>3.7265731190011975E-2</v>
      </c>
      <c r="DW13" s="81">
        <f>Inv_SY_B!DW13/Inv_SY_B!$FG13-1</f>
        <v>4.193522053674914E-2</v>
      </c>
      <c r="DX13" s="81">
        <f>Inv_SY_B!DX13/Inv_SY_B!$FG13-1</f>
        <v>3.5626028484482486E-2</v>
      </c>
      <c r="DY13" s="81">
        <f>Inv_SY_B!DY13/Inv_SY_B!$FG13-1</f>
        <v>2.7495324962563128E-2</v>
      </c>
      <c r="DZ13" s="81">
        <f>Inv_SY_B!DZ13/Inv_SY_B!$FG13-1</f>
        <v>4.0194585333180433E-2</v>
      </c>
      <c r="EA13" s="81">
        <f>Inv_SY_B!EA13/Inv_SY_B!$FG13-1</f>
        <v>3.9156760411516389E-2</v>
      </c>
      <c r="EB13" s="81">
        <f>Inv_SY_B!EB13/Inv_SY_B!$FG13-1</f>
        <v>5.7650010627683823E-2</v>
      </c>
      <c r="EC13" s="81">
        <f>Inv_SY_B!EC13/Inv_SY_B!$FG13-1</f>
        <v>4.9956300445937574E-2</v>
      </c>
      <c r="ED13" s="81">
        <f>Inv_SY_B!ED13/Inv_SY_B!$FG13-1</f>
        <v>4.293924628303647E-2</v>
      </c>
      <c r="EE13" s="81">
        <f>Inv_SY_B!EE13/Inv_SY_B!$FG13-1</f>
        <v>5.7005405689175115E-2</v>
      </c>
      <c r="EF13" s="81">
        <f>Inv_SY_B!EF13/Inv_SY_B!$FG13-1</f>
        <v>5.532407289551533E-2</v>
      </c>
      <c r="EG13" s="81">
        <f>Inv_SY_B!EG13/Inv_SY_B!$FG13-1</f>
        <v>2.5570688709729339E-2</v>
      </c>
      <c r="EH13" s="81">
        <f>Inv_SY_B!EH13/Inv_SY_B!$FG13-1</f>
        <v>2.7189958883488963E-2</v>
      </c>
      <c r="EI13" s="81">
        <f>Inv_SY_B!EI13/Inv_SY_B!$FG13-1</f>
        <v>4.4187907441909813E-2</v>
      </c>
      <c r="EJ13" s="81">
        <f>Inv_SY_B!EJ13/Inv_SY_B!$FG13-1</f>
        <v>6.3637551933054315E-2</v>
      </c>
      <c r="EK13" s="81">
        <f>Inv_SY_B!EK13/Inv_SY_B!$FG13-1</f>
        <v>4.9769781862023965E-2</v>
      </c>
      <c r="EL13" s="81">
        <f>Inv_SY_B!EL13/Inv_SY_B!$FG13-1</f>
        <v>6.4829057167501869E-2</v>
      </c>
      <c r="EM13" s="81">
        <f>Inv_SY_B!EM13/Inv_SY_B!$FG13-1</f>
        <v>5.1391956944297768E-2</v>
      </c>
      <c r="EN13" s="81">
        <f>Inv_SY_B!EN13/Inv_SY_B!$FG13-1</f>
        <v>5.544067539350972E-2</v>
      </c>
      <c r="EO13" s="81">
        <f>Inv_SY_B!EO13/Inv_SY_B!$FG13-1</f>
        <v>5.3493225608459705E-2</v>
      </c>
      <c r="EP13" s="81">
        <f>Inv_SY_B!EP13/Inv_SY_B!$FG13-1</f>
        <v>4.0440328232179246E-2</v>
      </c>
      <c r="EQ13" s="81">
        <f>Inv_SY_B!EQ13/Inv_SY_B!$FG13-1</f>
        <v>6.8212328525855348E-2</v>
      </c>
      <c r="ER13" s="81">
        <f>Inv_SY_B!ER13/Inv_SY_B!$FG13-1</f>
        <v>5.2920556888471859E-2</v>
      </c>
      <c r="ES13" s="81">
        <f>Inv_SY_B!ES13/Inv_SY_B!$FG13-1</f>
        <v>4.5856066607899759E-2</v>
      </c>
      <c r="ET13" s="81">
        <f>Inv_SY_B!ET13/Inv_SY_B!$FG13-1</f>
        <v>5.5325821138329401E-2</v>
      </c>
      <c r="EU13" s="81">
        <f>Inv_SY_B!EU13/Inv_SY_B!$FG13-1</f>
        <v>5.36169932531394E-2</v>
      </c>
      <c r="EV13" s="81">
        <f>Inv_SY_B!EV13/Inv_SY_B!$FG13-1</f>
        <v>3.9606557682004828E-2</v>
      </c>
      <c r="EW13" s="81">
        <f>Inv_SY_B!EW13/Inv_SY_B!$FG13-1</f>
        <v>5.8597876095250356E-2</v>
      </c>
      <c r="EX13" s="81">
        <f>Inv_SY_B!EX13/Inv_SY_B!$FG13-1</f>
        <v>5.7283853090110082E-2</v>
      </c>
      <c r="EY13" s="81">
        <f>Inv_SY_B!EY13/Inv_SY_B!$FG13-1</f>
        <v>4.2015685058227836E-2</v>
      </c>
      <c r="EZ13" s="81">
        <f>Inv_SY_B!EZ13/Inv_SY_B!$FG13-1</f>
        <v>4.5004124927869871E-2</v>
      </c>
      <c r="FA13" s="81">
        <f>Inv_SY_B!FA13/Inv_SY_B!$FG13-1</f>
        <v>5.1481205622907922E-2</v>
      </c>
      <c r="FB13" s="81">
        <f>Inv_SY_B!FB13/Inv_SY_B!$FG13-1</f>
        <v>4.3564773662305933E-2</v>
      </c>
      <c r="FC13" s="81">
        <f>Inv_SY_B!FC13/Inv_SY_B!$FG13-1</f>
        <v>4.963813388041749E-2</v>
      </c>
      <c r="FD13" s="81">
        <f>Inv_SY_B!FD13/Inv_SY_B!$FG13-1</f>
        <v>6.7020055718523652E-2</v>
      </c>
      <c r="FE13" s="81">
        <f>Inv_SY_B!FE13/Inv_SY_B!$FG13-1</f>
        <v>4.3863175753947159E-2</v>
      </c>
      <c r="FF13" s="81">
        <f>Inv_SY_B!FF13/Inv_SY_B!$FG13-1</f>
        <v>7.7446575861755296E-2</v>
      </c>
    </row>
    <row r="14" spans="2:162">
      <c r="B14" s="104">
        <f t="shared" si="0"/>
        <v>45837</v>
      </c>
      <c r="C14" s="81">
        <f>Inv_SY_B!C14/Inv_SY_B!$FG14-1</f>
        <v>5.0984491971806101E-4</v>
      </c>
      <c r="D14" s="81">
        <f>Inv_SY_B!D14/Inv_SY_B!$FG14-1</f>
        <v>2.2217454022948058E-2</v>
      </c>
      <c r="E14" s="81">
        <f>Inv_SY_B!E14/Inv_SY_B!$FG14-1</f>
        <v>3.3572619278255056E-2</v>
      </c>
      <c r="F14" s="81">
        <f>Inv_SY_B!F14/Inv_SY_B!$FG14-1</f>
        <v>2.6875981609488342E-2</v>
      </c>
      <c r="G14" s="81">
        <f>Inv_SY_B!G14/Inv_SY_B!$FG14-1</f>
        <v>5.3131177614523351E-2</v>
      </c>
      <c r="H14" s="81">
        <f>Inv_SY_B!H14/Inv_SY_B!$FG14-1</f>
        <v>5.0572421807476564E-2</v>
      </c>
      <c r="I14" s="81">
        <f>Inv_SY_B!I14/Inv_SY_B!$FG14-1</f>
        <v>4.6300507606011898E-2</v>
      </c>
      <c r="J14" s="81">
        <f>Inv_SY_B!J14/Inv_SY_B!$FG14-1</f>
        <v>2.7055511518857767E-2</v>
      </c>
      <c r="K14" s="81">
        <f>Inv_SY_B!K14/Inv_SY_B!$FG14-1</f>
        <v>1.7945539821483614E-2</v>
      </c>
      <c r="L14" s="81">
        <f>Inv_SY_B!L14/Inv_SY_B!$FG14-1</f>
        <v>1.9883289102974322E-2</v>
      </c>
      <c r="M14" s="81">
        <f>Inv_SY_B!M14/Inv_SY_B!$FG14-1</f>
        <v>1.2297737080379845E-2</v>
      </c>
      <c r="N14" s="81">
        <f>Inv_SY_B!N14/Inv_SY_B!$FG14-1</f>
        <v>1.2048321502238002E-2</v>
      </c>
      <c r="O14" s="81">
        <f>Inv_SY_B!O14/Inv_SY_B!$FG14-1</f>
        <v>2.8456980095602047E-2</v>
      </c>
      <c r="P14" s="81">
        <f>Inv_SY_B!P14/Inv_SY_B!$FG14-1</f>
        <v>1.2740173930752885E-2</v>
      </c>
      <c r="Q14" s="81">
        <f>Inv_SY_B!Q14/Inv_SY_B!$FG14-1</f>
        <v>4.5608655177496793E-2</v>
      </c>
      <c r="R14" s="81">
        <f>Inv_SY_B!R14/Inv_SY_B!$FG14-1</f>
        <v>4.7288868218176017E-2</v>
      </c>
      <c r="S14" s="81">
        <f>Inv_SY_B!S14/Inv_SY_B!$FG14-1</f>
        <v>4.2907136170915461E-2</v>
      </c>
      <c r="T14" s="81">
        <f>Inv_SY_B!T14/Inv_SY_B!$FG14-1</f>
        <v>2.0405459567313988E-2</v>
      </c>
      <c r="U14" s="81">
        <f>Inv_SY_B!U14/Inv_SY_B!$FG14-1</f>
        <v>3.2913712203479051E-2</v>
      </c>
      <c r="V14" s="81">
        <f>Inv_SY_B!V14/Inv_SY_B!$FG14-1</f>
        <v>3.4209562783871883E-2</v>
      </c>
      <c r="W14" s="81">
        <f>Inv_SY_B!W14/Inv_SY_B!$FG14-1</f>
        <v>3.3768390968251349E-2</v>
      </c>
      <c r="X14" s="81">
        <f>Inv_SY_B!X14/Inv_SY_B!$FG14-1</f>
        <v>5.6576549958826661E-3</v>
      </c>
      <c r="Y14" s="81">
        <f>Inv_SY_B!Y14/Inv_SY_B!$FG14-1</f>
        <v>4.3487989169217256E-2</v>
      </c>
      <c r="Z14" s="81">
        <f>Inv_SY_B!Z14/Inv_SY_B!$FG14-1</f>
        <v>3.3072316627269949E-2</v>
      </c>
      <c r="AA14" s="81">
        <f>Inv_SY_B!AA14/Inv_SY_B!$FG14-1</f>
        <v>2.0759688339637705E-3</v>
      </c>
      <c r="AB14" s="81">
        <f>Inv_SY_B!AB14/Inv_SY_B!$FG14-1</f>
        <v>-1.7874690447234887E-2</v>
      </c>
      <c r="AC14" s="81">
        <f>Inv_SY_B!AC14/Inv_SY_B!$FG14-1</f>
        <v>-1.9444993258923016E-2</v>
      </c>
      <c r="AD14" s="81">
        <f>Inv_SY_B!AD14/Inv_SY_B!$FG14-1</f>
        <v>-1.143561472209409E-2</v>
      </c>
      <c r="AE14" s="81">
        <f>Inv_SY_B!AE14/Inv_SY_B!$FG14-1</f>
        <v>3.3523811346790167E-2</v>
      </c>
      <c r="AF14" s="81">
        <f>Inv_SY_B!AF14/Inv_SY_B!$FG14-1</f>
        <v>5.5470174184901966E-2</v>
      </c>
      <c r="AG14" s="81">
        <f>Inv_SY_B!AG14/Inv_SY_B!$FG14-1</f>
        <v>5.2206455748948555E-2</v>
      </c>
      <c r="AH14" s="81">
        <f>Inv_SY_B!AH14/Inv_SY_B!$FG14-1</f>
        <v>3.0005247567486126E-2</v>
      </c>
      <c r="AI14" s="81">
        <f>Inv_SY_B!AI14/Inv_SY_B!$FG14-1</f>
        <v>3.0289065688954286E-2</v>
      </c>
      <c r="AJ14" s="81">
        <f>Inv_SY_B!AJ14/Inv_SY_B!$FG14-1</f>
        <v>2.3425450326704178E-2</v>
      </c>
      <c r="AK14" s="81">
        <f>Inv_SY_B!AK14/Inv_SY_B!$FG14-1</f>
        <v>3.2364622974498936E-2</v>
      </c>
      <c r="AL14" s="81">
        <f>Inv_SY_B!AL14/Inv_SY_B!$FG14-1</f>
        <v>2.6192860040763488E-2</v>
      </c>
      <c r="AM14" s="81">
        <f>Inv_SY_B!AM14/Inv_SY_B!$FG14-1</f>
        <v>4.5356074132166135E-2</v>
      </c>
      <c r="AN14" s="81">
        <f>Inv_SY_B!AN14/Inv_SY_B!$FG14-1</f>
        <v>3.7086790343727083E-2</v>
      </c>
      <c r="AO14" s="81">
        <f>Inv_SY_B!AO14/Inv_SY_B!$FG14-1</f>
        <v>4.6981378249947081E-2</v>
      </c>
      <c r="AP14" s="81">
        <f>Inv_SY_B!AP14/Inv_SY_B!$FG14-1</f>
        <v>3.1332335224016239E-2</v>
      </c>
      <c r="AQ14" s="81">
        <f>Inv_SY_B!AQ14/Inv_SY_B!$FG14-1</f>
        <v>6.2680249840489033E-2</v>
      </c>
      <c r="AR14" s="81">
        <f>Inv_SY_B!AR14/Inv_SY_B!$FG14-1</f>
        <v>5.5941859009293271E-2</v>
      </c>
      <c r="AS14" s="81">
        <f>Inv_SY_B!AS14/Inv_SY_B!$FG14-1</f>
        <v>6.156810672148727E-2</v>
      </c>
      <c r="AT14" s="81">
        <f>Inv_SY_B!AT14/Inv_SY_B!$FG14-1</f>
        <v>4.5881805496842842E-2</v>
      </c>
      <c r="AU14" s="81">
        <f>Inv_SY_B!AU14/Inv_SY_B!$FG14-1</f>
        <v>-3.8516837765687817E-2</v>
      </c>
      <c r="AV14" s="81">
        <f>Inv_SY_B!AV14/Inv_SY_B!$FG14-1</f>
        <v>2.3381417594303233E-2</v>
      </c>
      <c r="AW14" s="81">
        <f>Inv_SY_B!AW14/Inv_SY_B!$FG14-1</f>
        <v>-3.9202624955454346E-2</v>
      </c>
      <c r="AX14" s="81">
        <f>Inv_SY_B!AX14/Inv_SY_B!$FG14-1</f>
        <v>6.7006521309785017E-2</v>
      </c>
      <c r="AY14" s="81">
        <f>Inv_SY_B!AY14/Inv_SY_B!$FG14-1</f>
        <v>-3.034343627045788E-2</v>
      </c>
      <c r="AZ14" s="81">
        <f>Inv_SY_B!AZ14/Inv_SY_B!$FG14-1</f>
        <v>-2.0455116864026568E-2</v>
      </c>
      <c r="BA14" s="81">
        <f>Inv_SY_B!BA14/Inv_SY_B!$FG14-1</f>
        <v>-7.0330502383926241E-3</v>
      </c>
      <c r="BB14" s="81">
        <f>Inv_SY_B!BB14/Inv_SY_B!$FG14-1</f>
        <v>-6.6832765536317673E-4</v>
      </c>
      <c r="BC14" s="81">
        <f>Inv_SY_B!BC14/Inv_SY_B!$FG14-1</f>
        <v>-1.2675310402465167E-2</v>
      </c>
      <c r="BD14" s="81">
        <f>Inv_SY_B!BD14/Inv_SY_B!$FG14-1</f>
        <v>1.8948836017050663E-2</v>
      </c>
      <c r="BE14" s="81">
        <f>Inv_SY_B!BE14/Inv_SY_B!$FG14-1</f>
        <v>-2.4362558636538356E-2</v>
      </c>
      <c r="BF14" s="81">
        <f>Inv_SY_B!BF14/Inv_SY_B!$FG14-1</f>
        <v>-2.1786007836420151E-2</v>
      </c>
      <c r="BG14" s="81">
        <f>Inv_SY_B!BG14/Inv_SY_B!$FG14-1</f>
        <v>-3.2429867078104246E-2</v>
      </c>
      <c r="BH14" s="81">
        <f>Inv_SY_B!BH14/Inv_SY_B!$FG14-1</f>
        <v>-2.8764394576935581E-2</v>
      </c>
      <c r="BI14" s="81">
        <f>Inv_SY_B!BI14/Inv_SY_B!$FG14-1</f>
        <v>-2.0992207702919763E-2</v>
      </c>
      <c r="BJ14" s="81">
        <f>Inv_SY_B!BJ14/Inv_SY_B!$FG14-1</f>
        <v>-2.2624179372462971E-2</v>
      </c>
      <c r="BK14" s="81">
        <f>Inv_SY_B!BK14/Inv_SY_B!$FG14-1</f>
        <v>-3.1362518267900152E-2</v>
      </c>
      <c r="BL14" s="81">
        <f>Inv_SY_B!BL14/Inv_SY_B!$FG14-1</f>
        <v>-2.3749812252175984E-2</v>
      </c>
      <c r="BM14" s="81">
        <f>Inv_SY_B!BM14/Inv_SY_B!$FG14-1</f>
        <v>-3.0269161741408812E-2</v>
      </c>
      <c r="BN14" s="81">
        <f>Inv_SY_B!BN14/Inv_SY_B!$FG14-1</f>
        <v>-2.5610729904434248E-2</v>
      </c>
      <c r="BO14" s="81">
        <f>Inv_SY_B!BO14/Inv_SY_B!$FG14-1</f>
        <v>-3.6357197960987353E-2</v>
      </c>
      <c r="BP14" s="81">
        <f>Inv_SY_B!BP14/Inv_SY_B!$FG14-1</f>
        <v>-4.2932206085519731E-2</v>
      </c>
      <c r="BQ14" s="81">
        <f>Inv_SY_B!BQ14/Inv_SY_B!$FG14-1</f>
        <v>-3.9732077546503208E-2</v>
      </c>
      <c r="BR14" s="81">
        <f>Inv_SY_B!BR14/Inv_SY_B!$FG14-1</f>
        <v>-4.8690799164688436E-2</v>
      </c>
      <c r="BS14" s="81">
        <f>Inv_SY_B!BS14/Inv_SY_B!$FG14-1</f>
        <v>-4.1770147925084378E-2</v>
      </c>
      <c r="BT14" s="81">
        <f>Inv_SY_B!BT14/Inv_SY_B!$FG14-1</f>
        <v>-3.2261299653343567E-2</v>
      </c>
      <c r="BU14" s="81">
        <f>Inv_SY_B!BU14/Inv_SY_B!$FG14-1</f>
        <v>-3.8223619129275077E-2</v>
      </c>
      <c r="BV14" s="81">
        <f>Inv_SY_B!BV14/Inv_SY_B!$FG14-1</f>
        <v>-5.8937781269818079E-2</v>
      </c>
      <c r="BW14" s="81">
        <f>Inv_SY_B!BW14/Inv_SY_B!$FG14-1</f>
        <v>-2.5638298361581935E-2</v>
      </c>
      <c r="BX14" s="81">
        <f>Inv_SY_B!BX14/Inv_SY_B!$FG14-1</f>
        <v>-2.4148326833661193E-2</v>
      </c>
      <c r="BY14" s="81">
        <f>Inv_SY_B!BY14/Inv_SY_B!$FG14-1</f>
        <v>-1.1334774049406859E-2</v>
      </c>
      <c r="BZ14" s="81">
        <f>Inv_SY_B!BZ14/Inv_SY_B!$FG14-1</f>
        <v>-2.2880895460653083E-2</v>
      </c>
      <c r="CA14" s="81">
        <f>Inv_SY_B!CA14/Inv_SY_B!$FG14-1</f>
        <v>-1.1290671894168103E-2</v>
      </c>
      <c r="CB14" s="81">
        <f>Inv_SY_B!CB14/Inv_SY_B!$FG14-1</f>
        <v>-1.0526109424203067E-2</v>
      </c>
      <c r="CC14" s="81">
        <f>Inv_SY_B!CC14/Inv_SY_B!$FG14-1</f>
        <v>-1.530948433514645E-4</v>
      </c>
      <c r="CD14" s="81">
        <f>Inv_SY_B!CD14/Inv_SY_B!$FG14-1</f>
        <v>-8.3080789510403541E-3</v>
      </c>
      <c r="CE14" s="81">
        <f>Inv_SY_B!CE14/Inv_SY_B!$FG14-1</f>
        <v>-3.2352088282970093E-2</v>
      </c>
      <c r="CF14" s="81">
        <f>Inv_SY_B!CF14/Inv_SY_B!$FG14-1</f>
        <v>-3.0898254183702067E-2</v>
      </c>
      <c r="CG14" s="81">
        <f>Inv_SY_B!CG14/Inv_SY_B!$FG14-1</f>
        <v>-3.3483803469968487E-2</v>
      </c>
      <c r="CH14" s="81">
        <f>Inv_SY_B!CH14/Inv_SY_B!$FG14-1</f>
        <v>-6.6470959677898067E-2</v>
      </c>
      <c r="CI14" s="81">
        <f>Inv_SY_B!CI14/Inv_SY_B!$FG14-1</f>
        <v>-3.5291370167129132E-2</v>
      </c>
      <c r="CJ14" s="81">
        <f>Inv_SY_B!CJ14/Inv_SY_B!$FG14-1</f>
        <v>-5.166144823843144E-2</v>
      </c>
      <c r="CK14" s="81">
        <f>Inv_SY_B!CK14/Inv_SY_B!$FG14-1</f>
        <v>-3.3520991889411822E-2</v>
      </c>
      <c r="CL14" s="81">
        <f>Inv_SY_B!CL14/Inv_SY_B!$FG14-1</f>
        <v>-5.9371949446667682E-2</v>
      </c>
      <c r="CM14" s="81">
        <f>Inv_SY_B!CM14/Inv_SY_B!$FG14-1</f>
        <v>-1.1231218435531876E-2</v>
      </c>
      <c r="CN14" s="81">
        <f>Inv_SY_B!CN14/Inv_SY_B!$FG14-1</f>
        <v>-2.9430484468033091E-2</v>
      </c>
      <c r="CO14" s="81">
        <f>Inv_SY_B!CO14/Inv_SY_B!$FG14-1</f>
        <v>-6.1476099183711552E-3</v>
      </c>
      <c r="CP14" s="81">
        <f>Inv_SY_B!CP14/Inv_SY_B!$FG14-1</f>
        <v>-5.3846895499307657E-3</v>
      </c>
      <c r="CQ14" s="81">
        <f>Inv_SY_B!CQ14/Inv_SY_B!$FG14-1</f>
        <v>2.0411384720597781E-4</v>
      </c>
      <c r="CR14" s="81">
        <f>Inv_SY_B!CR14/Inv_SY_B!$FG14-1</f>
        <v>2.1689213025630982E-2</v>
      </c>
      <c r="CS14" s="81">
        <f>Inv_SY_B!CS14/Inv_SY_B!$FG14-1</f>
        <v>1.1976510926510642E-2</v>
      </c>
      <c r="CT14" s="81">
        <f>Inv_SY_B!CT14/Inv_SY_B!$FG14-1</f>
        <v>1.5533570965016175E-3</v>
      </c>
      <c r="CU14" s="81">
        <f>Inv_SY_B!CU14/Inv_SY_B!$FG14-1</f>
        <v>1.667727548395459E-2</v>
      </c>
      <c r="CV14" s="81">
        <f>Inv_SY_B!CV14/Inv_SY_B!$FG14-1</f>
        <v>-2.2728970551196825E-3</v>
      </c>
      <c r="CW14" s="81">
        <f>Inv_SY_B!CW14/Inv_SY_B!$FG14-1</f>
        <v>-3.1658658930491246E-3</v>
      </c>
      <c r="CX14" s="81">
        <f>Inv_SY_B!CX14/Inv_SY_B!$FG14-1</f>
        <v>5.9119836800498593E-3</v>
      </c>
      <c r="CY14" s="81">
        <f>Inv_SY_B!CY14/Inv_SY_B!$FG14-1</f>
        <v>-1.7398810053971259E-3</v>
      </c>
      <c r="CZ14" s="81">
        <f>Inv_SY_B!CZ14/Inv_SY_B!$FG14-1</f>
        <v>1.1480678371085462E-2</v>
      </c>
      <c r="DA14" s="81">
        <f>Inv_SY_B!DA14/Inv_SY_B!$FG14-1</f>
        <v>2.9477558417823069E-3</v>
      </c>
      <c r="DB14" s="81">
        <f>Inv_SY_B!DB14/Inv_SY_B!$FG14-1</f>
        <v>8.34570129747636E-3</v>
      </c>
      <c r="DC14" s="81">
        <f>Inv_SY_B!DC14/Inv_SY_B!$FG14-1</f>
        <v>1.0632680052280463E-4</v>
      </c>
      <c r="DD14" s="81">
        <f>Inv_SY_B!DD14/Inv_SY_B!$FG14-1</f>
        <v>5.1580168028741991E-3</v>
      </c>
      <c r="DE14" s="81">
        <f>Inv_SY_B!DE14/Inv_SY_B!$FG14-1</f>
        <v>3.9883103129005892E-3</v>
      </c>
      <c r="DF14" s="81">
        <f>Inv_SY_B!DF14/Inv_SY_B!$FG14-1</f>
        <v>-1.2066495877436356E-3</v>
      </c>
      <c r="DG14" s="81">
        <f>Inv_SY_B!DG14/Inv_SY_B!$FG14-1</f>
        <v>-6.4411134959019289E-4</v>
      </c>
      <c r="DH14" s="81">
        <f>Inv_SY_B!DH14/Inv_SY_B!$FG14-1</f>
        <v>7.5192595347051139E-4</v>
      </c>
      <c r="DI14" s="81">
        <f>Inv_SY_B!DI14/Inv_SY_B!$FG14-1</f>
        <v>2.436282408189161E-2</v>
      </c>
      <c r="DJ14" s="81">
        <f>Inv_SY_B!DJ14/Inv_SY_B!$FG14-1</f>
        <v>-3.2797617103151877E-3</v>
      </c>
      <c r="DK14" s="81">
        <f>Inv_SY_B!DK14/Inv_SY_B!$FG14-1</f>
        <v>-2.5815987352697856E-2</v>
      </c>
      <c r="DL14" s="81">
        <f>Inv_SY_B!DL14/Inv_SY_B!$FG14-1</f>
        <v>-1.0634319222971422E-2</v>
      </c>
      <c r="DM14" s="81">
        <f>Inv_SY_B!DM14/Inv_SY_B!$FG14-1</f>
        <v>-1.2351058953833483E-2</v>
      </c>
      <c r="DN14" s="81">
        <f>Inv_SY_B!DN14/Inv_SY_B!$FG14-1</f>
        <v>1.6438333966870555E-3</v>
      </c>
      <c r="DO14" s="81">
        <f>Inv_SY_B!DO14/Inv_SY_B!$FG14-1</f>
        <v>-1.2888974728123892E-2</v>
      </c>
      <c r="DP14" s="81">
        <f>Inv_SY_B!DP14/Inv_SY_B!$FG14-1</f>
        <v>-7.5956936788220686E-3</v>
      </c>
      <c r="DQ14" s="81">
        <f>Inv_SY_B!DQ14/Inv_SY_B!$FG14-1</f>
        <v>-2.0781605836499795E-2</v>
      </c>
      <c r="DR14" s="81">
        <f>Inv_SY_B!DR14/Inv_SY_B!$FG14-1</f>
        <v>-1.7505205114923261E-2</v>
      </c>
      <c r="DS14" s="81">
        <f>Inv_SY_B!DS14/Inv_SY_B!$FG14-1</f>
        <v>-1.4657599855594339E-2</v>
      </c>
      <c r="DT14" s="81">
        <f>Inv_SY_B!DT14/Inv_SY_B!$FG14-1</f>
        <v>2.7092288660028885E-3</v>
      </c>
      <c r="DU14" s="81">
        <f>Inv_SY_B!DU14/Inv_SY_B!$FG14-1</f>
        <v>9.5496828909229503E-3</v>
      </c>
      <c r="DV14" s="81">
        <f>Inv_SY_B!DV14/Inv_SY_B!$FG14-1</f>
        <v>-7.3438105034372425E-3</v>
      </c>
      <c r="DW14" s="81">
        <f>Inv_SY_B!DW14/Inv_SY_B!$FG14-1</f>
        <v>-7.6573942472590972E-2</v>
      </c>
      <c r="DX14" s="81">
        <f>Inv_SY_B!DX14/Inv_SY_B!$FG14-1</f>
        <v>-7.3782612337325304E-4</v>
      </c>
      <c r="DY14" s="81">
        <f>Inv_SY_B!DY14/Inv_SY_B!$FG14-1</f>
        <v>-5.7826350055458775E-3</v>
      </c>
      <c r="DZ14" s="81">
        <f>Inv_SY_B!DZ14/Inv_SY_B!$FG14-1</f>
        <v>7.8986450219868942E-3</v>
      </c>
      <c r="EA14" s="81">
        <f>Inv_SY_B!EA14/Inv_SY_B!$FG14-1</f>
        <v>-7.9528542297034877E-3</v>
      </c>
      <c r="EB14" s="81">
        <f>Inv_SY_B!EB14/Inv_SY_B!$FG14-1</f>
        <v>2.1116530118843402E-2</v>
      </c>
      <c r="EC14" s="81">
        <f>Inv_SY_B!EC14/Inv_SY_B!$FG14-1</f>
        <v>1.626234354011169E-2</v>
      </c>
      <c r="ED14" s="81">
        <f>Inv_SY_B!ED14/Inv_SY_B!$FG14-1</f>
        <v>1.1787004946446356E-2</v>
      </c>
      <c r="EE14" s="81">
        <f>Inv_SY_B!EE14/Inv_SY_B!$FG14-1</f>
        <v>1.6578699847915379E-2</v>
      </c>
      <c r="EF14" s="81">
        <f>Inv_SY_B!EF14/Inv_SY_B!$FG14-1</f>
        <v>1.4061076707218012E-2</v>
      </c>
      <c r="EG14" s="81">
        <f>Inv_SY_B!EG14/Inv_SY_B!$FG14-1</f>
        <v>-2.1090200111414492E-2</v>
      </c>
      <c r="EH14" s="81">
        <f>Inv_SY_B!EH14/Inv_SY_B!$FG14-1</f>
        <v>-1.357660037435926E-2</v>
      </c>
      <c r="EI14" s="81">
        <f>Inv_SY_B!EI14/Inv_SY_B!$FG14-1</f>
        <v>2.7596282649566817E-4</v>
      </c>
      <c r="EJ14" s="81">
        <f>Inv_SY_B!EJ14/Inv_SY_B!$FG14-1</f>
        <v>2.281906097979669E-2</v>
      </c>
      <c r="EK14" s="81">
        <f>Inv_SY_B!EK14/Inv_SY_B!$FG14-1</f>
        <v>1.3449709191661885E-3</v>
      </c>
      <c r="EL14" s="81">
        <f>Inv_SY_B!EL14/Inv_SY_B!$FG14-1</f>
        <v>1.1889608567956733E-2</v>
      </c>
      <c r="EM14" s="81">
        <f>Inv_SY_B!EM14/Inv_SY_B!$FG14-1</f>
        <v>1.3228670003267551E-2</v>
      </c>
      <c r="EN14" s="81">
        <f>Inv_SY_B!EN14/Inv_SY_B!$FG14-1</f>
        <v>1.5496601860232717E-2</v>
      </c>
      <c r="EO14" s="81">
        <f>Inv_SY_B!EO14/Inv_SY_B!$FG14-1</f>
        <v>-6.7502201254491245E-3</v>
      </c>
      <c r="EP14" s="81">
        <f>Inv_SY_B!EP14/Inv_SY_B!$FG14-1</f>
        <v>-4.7572836098277449E-3</v>
      </c>
      <c r="EQ14" s="81">
        <f>Inv_SY_B!EQ14/Inv_SY_B!$FG14-1</f>
        <v>5.2553715364129783E-3</v>
      </c>
      <c r="ER14" s="81">
        <f>Inv_SY_B!ER14/Inv_SY_B!$FG14-1</f>
        <v>-2.4932771849933699E-3</v>
      </c>
      <c r="ES14" s="81">
        <f>Inv_SY_B!ES14/Inv_SY_B!$FG14-1</f>
        <v>-1.3243153735392754E-2</v>
      </c>
      <c r="ET14" s="81">
        <f>Inv_SY_B!ET14/Inv_SY_B!$FG14-1</f>
        <v>-6.0573544677999802E-3</v>
      </c>
      <c r="EU14" s="81">
        <f>Inv_SY_B!EU14/Inv_SY_B!$FG14-1</f>
        <v>-3.0735958638714589E-3</v>
      </c>
      <c r="EV14" s="81">
        <f>Inv_SY_B!EV14/Inv_SY_B!$FG14-1</f>
        <v>-2.1491078146166021E-2</v>
      </c>
      <c r="EW14" s="81">
        <f>Inv_SY_B!EW14/Inv_SY_B!$FG14-1</f>
        <v>-1.5981868582867875E-2</v>
      </c>
      <c r="EX14" s="81">
        <f>Inv_SY_B!EX14/Inv_SY_B!$FG14-1</f>
        <v>-4.7184095663965753E-4</v>
      </c>
      <c r="EY14" s="81">
        <f>Inv_SY_B!EY14/Inv_SY_B!$FG14-1</f>
        <v>-1.7477972641033901E-2</v>
      </c>
      <c r="EZ14" s="81">
        <f>Inv_SY_B!EZ14/Inv_SY_B!$FG14-1</f>
        <v>-9.6505408911586876E-3</v>
      </c>
      <c r="FA14" s="81">
        <f>Inv_SY_B!FA14/Inv_SY_B!$FG14-1</f>
        <v>-1.1004617808541228E-2</v>
      </c>
      <c r="FB14" s="81">
        <f>Inv_SY_B!FB14/Inv_SY_B!$FG14-1</f>
        <v>-2.8953772735951455E-2</v>
      </c>
      <c r="FC14" s="81">
        <f>Inv_SY_B!FC14/Inv_SY_B!$FG14-1</f>
        <v>-1.9444691225910971E-2</v>
      </c>
      <c r="FD14" s="81">
        <f>Inv_SY_B!FD14/Inv_SY_B!$FG14-1</f>
        <v>-1.6436669738995047E-4</v>
      </c>
      <c r="FE14" s="81">
        <f>Inv_SY_B!FE14/Inv_SY_B!$FG14-1</f>
        <v>-2.1053293879643831E-2</v>
      </c>
      <c r="FF14" s="81">
        <f>Inv_SY_B!FF14/Inv_SY_B!$FG14-1</f>
        <v>-1.2524642202865754E-3</v>
      </c>
    </row>
    <row r="15" spans="2:162">
      <c r="B15" s="104">
        <f t="shared" si="0"/>
        <v>45838</v>
      </c>
      <c r="C15" s="81">
        <f>Inv_SY_B!C15/Inv_SY_B!$FG15-1</f>
        <v>-2.776769969407844E-2</v>
      </c>
      <c r="D15" s="81">
        <f>Inv_SY_B!D15/Inv_SY_B!$FG15-1</f>
        <v>-1.2277150709304685E-2</v>
      </c>
      <c r="E15" s="81">
        <f>Inv_SY_B!E15/Inv_SY_B!$FG15-1</f>
        <v>-1.5809992584511545E-2</v>
      </c>
      <c r="F15" s="81">
        <f>Inv_SY_B!F15/Inv_SY_B!$FG15-1</f>
        <v>-1.9573716996480472E-2</v>
      </c>
      <c r="G15" s="81">
        <f>Inv_SY_B!G15/Inv_SY_B!$FG15-1</f>
        <v>-1.3284308453256344E-3</v>
      </c>
      <c r="H15" s="81">
        <f>Inv_SY_B!H15/Inv_SY_B!$FG15-1</f>
        <v>5.1089632421503772E-3</v>
      </c>
      <c r="I15" s="81">
        <f>Inv_SY_B!I15/Inv_SY_B!$FG15-1</f>
        <v>1.0124980715111809E-2</v>
      </c>
      <c r="J15" s="81">
        <f>Inv_SY_B!J15/Inv_SY_B!$FG15-1</f>
        <v>-6.6398716930682333E-3</v>
      </c>
      <c r="K15" s="81">
        <f>Inv_SY_B!K15/Inv_SY_B!$FG15-1</f>
        <v>-6.406247301526613E-3</v>
      </c>
      <c r="L15" s="81">
        <f>Inv_SY_B!L15/Inv_SY_B!$FG15-1</f>
        <v>-1.0027768205528642E-2</v>
      </c>
      <c r="M15" s="81">
        <f>Inv_SY_B!M15/Inv_SY_B!$FG15-1</f>
        <v>-3.1945484677986524E-3</v>
      </c>
      <c r="N15" s="81">
        <f>Inv_SY_B!N15/Inv_SY_B!$FG15-1</f>
        <v>-9.6403940910746444E-3</v>
      </c>
      <c r="O15" s="81">
        <f>Inv_SY_B!O15/Inv_SY_B!$FG15-1</f>
        <v>7.2421199970977845E-3</v>
      </c>
      <c r="P15" s="81">
        <f>Inv_SY_B!P15/Inv_SY_B!$FG15-1</f>
        <v>-4.5419779737937427E-3</v>
      </c>
      <c r="Q15" s="81">
        <f>Inv_SY_B!Q15/Inv_SY_B!$FG15-1</f>
        <v>1.2627839536322405E-2</v>
      </c>
      <c r="R15" s="81">
        <f>Inv_SY_B!R15/Inv_SY_B!$FG15-1</f>
        <v>1.0794469700209364E-2</v>
      </c>
      <c r="S15" s="81">
        <f>Inv_SY_B!S15/Inv_SY_B!$FG15-1</f>
        <v>1.269993835010208E-2</v>
      </c>
      <c r="T15" s="81">
        <f>Inv_SY_B!T15/Inv_SY_B!$FG15-1</f>
        <v>1.2051049026084559E-2</v>
      </c>
      <c r="U15" s="81">
        <f>Inv_SY_B!U15/Inv_SY_B!$FG15-1</f>
        <v>1.5419093612651924E-2</v>
      </c>
      <c r="V15" s="81">
        <f>Inv_SY_B!V15/Inv_SY_B!$FG15-1</f>
        <v>1.7468759890104435E-2</v>
      </c>
      <c r="W15" s="81">
        <f>Inv_SY_B!W15/Inv_SY_B!$FG15-1</f>
        <v>5.5920240213189754E-3</v>
      </c>
      <c r="X15" s="81">
        <f>Inv_SY_B!X15/Inv_SY_B!$FG15-1</f>
        <v>4.3301816107679247E-3</v>
      </c>
      <c r="Y15" s="81">
        <f>Inv_SY_B!Y15/Inv_SY_B!$FG15-1</f>
        <v>1.1449252091827011E-2</v>
      </c>
      <c r="Z15" s="81">
        <f>Inv_SY_B!Z15/Inv_SY_B!$FG15-1</f>
        <v>4.3646846125446892E-3</v>
      </c>
      <c r="AA15" s="81">
        <f>Inv_SY_B!AA15/Inv_SY_B!$FG15-1</f>
        <v>-9.0727704300173073E-3</v>
      </c>
      <c r="AB15" s="81">
        <f>Inv_SY_B!AB15/Inv_SY_B!$FG15-1</f>
        <v>-2.5004883416392287E-2</v>
      </c>
      <c r="AC15" s="81">
        <f>Inv_SY_B!AC15/Inv_SY_B!$FG15-1</f>
        <v>-2.6929328059202562E-2</v>
      </c>
      <c r="AD15" s="81">
        <f>Inv_SY_B!AD15/Inv_SY_B!$FG15-1</f>
        <v>-2.5706527537552759E-2</v>
      </c>
      <c r="AE15" s="81">
        <f>Inv_SY_B!AE15/Inv_SY_B!$FG15-1</f>
        <v>1.202014953446473E-2</v>
      </c>
      <c r="AF15" s="81">
        <f>Inv_SY_B!AF15/Inv_SY_B!$FG15-1</f>
        <v>2.2628485748674709E-2</v>
      </c>
      <c r="AG15" s="81">
        <f>Inv_SY_B!AG15/Inv_SY_B!$FG15-1</f>
        <v>1.887439992808515E-2</v>
      </c>
      <c r="AH15" s="81">
        <f>Inv_SY_B!AH15/Inv_SY_B!$FG15-1</f>
        <v>1.2223857294032969E-2</v>
      </c>
      <c r="AI15" s="81">
        <f>Inv_SY_B!AI15/Inv_SY_B!$FG15-1</f>
        <v>2.1969785836067457E-2</v>
      </c>
      <c r="AJ15" s="81">
        <f>Inv_SY_B!AJ15/Inv_SY_B!$FG15-1</f>
        <v>1.8385444808160845E-2</v>
      </c>
      <c r="AK15" s="81">
        <f>Inv_SY_B!AK15/Inv_SY_B!$FG15-1</f>
        <v>2.7130000936588239E-2</v>
      </c>
      <c r="AL15" s="81">
        <f>Inv_SY_B!AL15/Inv_SY_B!$FG15-1</f>
        <v>1.5429393443192163E-2</v>
      </c>
      <c r="AM15" s="81">
        <f>Inv_SY_B!AM15/Inv_SY_B!$FG15-1</f>
        <v>3.2712509089247277E-2</v>
      </c>
      <c r="AN15" s="81">
        <f>Inv_SY_B!AN15/Inv_SY_B!$FG15-1</f>
        <v>1.6459376497188094E-2</v>
      </c>
      <c r="AO15" s="81">
        <f>Inv_SY_B!AO15/Inv_SY_B!$FG15-1</f>
        <v>1.9848020744835493E-2</v>
      </c>
      <c r="AP15" s="81">
        <f>Inv_SY_B!AP15/Inv_SY_B!$FG15-1</f>
        <v>1.344152614897931E-2</v>
      </c>
      <c r="AQ15" s="81">
        <f>Inv_SY_B!AQ15/Inv_SY_B!$FG15-1</f>
        <v>6.14568814937686E-2</v>
      </c>
      <c r="AR15" s="81">
        <f>Inv_SY_B!AR15/Inv_SY_B!$FG15-1</f>
        <v>6.4671514756412529E-2</v>
      </c>
      <c r="AS15" s="81">
        <f>Inv_SY_B!AS15/Inv_SY_B!$FG15-1</f>
        <v>4.8297559991733907E-2</v>
      </c>
      <c r="AT15" s="81">
        <f>Inv_SY_B!AT15/Inv_SY_B!$FG15-1</f>
        <v>5.2082459984441609E-2</v>
      </c>
      <c r="AU15" s="81">
        <f>Inv_SY_B!AU15/Inv_SY_B!$FG15-1</f>
        <v>-4.8217582431822281E-2</v>
      </c>
      <c r="AV15" s="81">
        <f>Inv_SY_B!AV15/Inv_SY_B!$FG15-1</f>
        <v>2.0746284812118709E-2</v>
      </c>
      <c r="AW15" s="81">
        <f>Inv_SY_B!AW15/Inv_SY_B!$FG15-1</f>
        <v>6.6037293235267303E-2</v>
      </c>
      <c r="AX15" s="81">
        <f>Inv_SY_B!AX15/Inv_SY_B!$FG15-1</f>
        <v>5.9297960004513595E-2</v>
      </c>
      <c r="AY15" s="81">
        <f>Inv_SY_B!AY15/Inv_SY_B!$FG15-1</f>
        <v>-3.8960457475406662E-2</v>
      </c>
      <c r="AZ15" s="81">
        <f>Inv_SY_B!AZ15/Inv_SY_B!$FG15-1</f>
        <v>-2.5622648327357056E-2</v>
      </c>
      <c r="BA15" s="81">
        <f>Inv_SY_B!BA15/Inv_SY_B!$FG15-1</f>
        <v>-1.4828012755331188E-2</v>
      </c>
      <c r="BB15" s="81">
        <f>Inv_SY_B!BB15/Inv_SY_B!$FG15-1</f>
        <v>-1.0495923765299953E-2</v>
      </c>
      <c r="BC15" s="81">
        <f>Inv_SY_B!BC15/Inv_SY_B!$FG15-1</f>
        <v>-1.0745268518538853E-2</v>
      </c>
      <c r="BD15" s="81">
        <f>Inv_SY_B!BD15/Inv_SY_B!$FG15-1</f>
        <v>-2.2026220933961671E-3</v>
      </c>
      <c r="BE15" s="81">
        <f>Inv_SY_B!BE15/Inv_SY_B!$FG15-1</f>
        <v>-2.879492366562475E-2</v>
      </c>
      <c r="BF15" s="81">
        <f>Inv_SY_B!BF15/Inv_SY_B!$FG15-1</f>
        <v>-2.1965702066761517E-2</v>
      </c>
      <c r="BG15" s="81">
        <f>Inv_SY_B!BG15/Inv_SY_B!$FG15-1</f>
        <v>-3.686971276188622E-2</v>
      </c>
      <c r="BH15" s="81">
        <f>Inv_SY_B!BH15/Inv_SY_B!$FG15-1</f>
        <v>-3.1537840849355292E-2</v>
      </c>
      <c r="BI15" s="81">
        <f>Inv_SY_B!BI15/Inv_SY_B!$FG15-1</f>
        <v>-3.4763520033494366E-2</v>
      </c>
      <c r="BJ15" s="81">
        <f>Inv_SY_B!BJ15/Inv_SY_B!$FG15-1</f>
        <v>-2.4503100334569816E-2</v>
      </c>
      <c r="BK15" s="81">
        <f>Inv_SY_B!BK15/Inv_SY_B!$FG15-1</f>
        <v>-3.1544978419794645E-2</v>
      </c>
      <c r="BL15" s="81">
        <f>Inv_SY_B!BL15/Inv_SY_B!$FG15-1</f>
        <v>-4.0045371228010995E-2</v>
      </c>
      <c r="BM15" s="81">
        <f>Inv_SY_B!BM15/Inv_SY_B!$FG15-1</f>
        <v>-3.3895943236047943E-2</v>
      </c>
      <c r="BN15" s="81">
        <f>Inv_SY_B!BN15/Inv_SY_B!$FG15-1</f>
        <v>-3.1987601669136612E-2</v>
      </c>
      <c r="BO15" s="81">
        <f>Inv_SY_B!BO15/Inv_SY_B!$FG15-1</f>
        <v>-3.5371012699494386E-2</v>
      </c>
      <c r="BP15" s="81">
        <f>Inv_SY_B!BP15/Inv_SY_B!$FG15-1</f>
        <v>-3.8061122823580651E-2</v>
      </c>
      <c r="BQ15" s="81">
        <f>Inv_SY_B!BQ15/Inv_SY_B!$FG15-1</f>
        <v>-3.3639826958544061E-2</v>
      </c>
      <c r="BR15" s="81">
        <f>Inv_SY_B!BR15/Inv_SY_B!$FG15-1</f>
        <v>-3.6647890229727365E-2</v>
      </c>
      <c r="BS15" s="81">
        <f>Inv_SY_B!BS15/Inv_SY_B!$FG15-1</f>
        <v>-3.6713905642050237E-2</v>
      </c>
      <c r="BT15" s="81">
        <f>Inv_SY_B!BT15/Inv_SY_B!$FG15-1</f>
        <v>-2.5012948754162045E-2</v>
      </c>
      <c r="BU15" s="81">
        <f>Inv_SY_B!BU15/Inv_SY_B!$FG15-1</f>
        <v>-3.0720299576179277E-2</v>
      </c>
      <c r="BV15" s="81">
        <f>Inv_SY_B!BV15/Inv_SY_B!$FG15-1</f>
        <v>-2.7709962305407343E-2</v>
      </c>
      <c r="BW15" s="81">
        <f>Inv_SY_B!BW15/Inv_SY_B!$FG15-1</f>
        <v>-3.2409177091777708E-2</v>
      </c>
      <c r="BX15" s="81">
        <f>Inv_SY_B!BX15/Inv_SY_B!$FG15-1</f>
        <v>-2.8138738272749486E-2</v>
      </c>
      <c r="BY15" s="81">
        <f>Inv_SY_B!BY15/Inv_SY_B!$FG15-1</f>
        <v>-1.9103486016694537E-2</v>
      </c>
      <c r="BZ15" s="81">
        <f>Inv_SY_B!BZ15/Inv_SY_B!$FG15-1</f>
        <v>-2.515366752714443E-2</v>
      </c>
      <c r="CA15" s="81">
        <f>Inv_SY_B!CA15/Inv_SY_B!$FG15-1</f>
        <v>-1.0945025448944823E-2</v>
      </c>
      <c r="CB15" s="81">
        <f>Inv_SY_B!CB15/Inv_SY_B!$FG15-1</f>
        <v>-1.8192257556483349E-2</v>
      </c>
      <c r="CC15" s="81">
        <f>Inv_SY_B!CC15/Inv_SY_B!$FG15-1</f>
        <v>-1.1519009611345443E-2</v>
      </c>
      <c r="CD15" s="81">
        <f>Inv_SY_B!CD15/Inv_SY_B!$FG15-1</f>
        <v>-1.9344031271013473E-2</v>
      </c>
      <c r="CE15" s="81">
        <f>Inv_SY_B!CE15/Inv_SY_B!$FG15-1</f>
        <v>-2.5151318768312558E-2</v>
      </c>
      <c r="CF15" s="81">
        <f>Inv_SY_B!CF15/Inv_SY_B!$FG15-1</f>
        <v>-2.2154209919286294E-2</v>
      </c>
      <c r="CG15" s="81">
        <f>Inv_SY_B!CG15/Inv_SY_B!$FG15-1</f>
        <v>-2.8212161732218188E-2</v>
      </c>
      <c r="CH15" s="81">
        <f>Inv_SY_B!CH15/Inv_SY_B!$FG15-1</f>
        <v>-3.2980459739902379E-2</v>
      </c>
      <c r="CI15" s="81">
        <f>Inv_SY_B!CI15/Inv_SY_B!$FG15-1</f>
        <v>-3.0409379306029827E-2</v>
      </c>
      <c r="CJ15" s="81">
        <f>Inv_SY_B!CJ15/Inv_SY_B!$FG15-1</f>
        <v>-3.4345751681828407E-2</v>
      </c>
      <c r="CK15" s="81">
        <f>Inv_SY_B!CK15/Inv_SY_B!$FG15-1</f>
        <v>-2.8610569122073826E-2</v>
      </c>
      <c r="CL15" s="81">
        <f>Inv_SY_B!CL15/Inv_SY_B!$FG15-1</f>
        <v>-2.9685032533519951E-2</v>
      </c>
      <c r="CM15" s="81">
        <f>Inv_SY_B!CM15/Inv_SY_B!$FG15-1</f>
        <v>4.0116819809754567E-4</v>
      </c>
      <c r="CN15" s="81">
        <f>Inv_SY_B!CN15/Inv_SY_B!$FG15-1</f>
        <v>-2.3629457315544555E-2</v>
      </c>
      <c r="CO15" s="81">
        <f>Inv_SY_B!CO15/Inv_SY_B!$FG15-1</f>
        <v>-3.7261317192490706E-3</v>
      </c>
      <c r="CP15" s="81">
        <f>Inv_SY_B!CP15/Inv_SY_B!$FG15-1</f>
        <v>-4.4103607036694026E-4</v>
      </c>
      <c r="CQ15" s="81">
        <f>Inv_SY_B!CQ15/Inv_SY_B!$FG15-1</f>
        <v>-2.6042487832451666E-3</v>
      </c>
      <c r="CR15" s="81">
        <f>Inv_SY_B!CR15/Inv_SY_B!$FG15-1</f>
        <v>1.1622680683275988E-2</v>
      </c>
      <c r="CS15" s="81">
        <f>Inv_SY_B!CS15/Inv_SY_B!$FG15-1</f>
        <v>2.0350801264146234E-4</v>
      </c>
      <c r="CT15" s="81">
        <f>Inv_SY_B!CT15/Inv_SY_B!$FG15-1</f>
        <v>-1.3400455478491669E-3</v>
      </c>
      <c r="CU15" s="81">
        <f>Inv_SY_B!CU15/Inv_SY_B!$FG15-1</f>
        <v>1.1206133327230416E-2</v>
      </c>
      <c r="CV15" s="81">
        <f>Inv_SY_B!CV15/Inv_SY_B!$FG15-1</f>
        <v>2.0670667511042407E-3</v>
      </c>
      <c r="CW15" s="81">
        <f>Inv_SY_B!CW15/Inv_SY_B!$FG15-1</f>
        <v>-6.0510183695094977E-4</v>
      </c>
      <c r="CX15" s="81">
        <f>Inv_SY_B!CX15/Inv_SY_B!$FG15-1</f>
        <v>4.6681886392447858E-3</v>
      </c>
      <c r="CY15" s="81">
        <f>Inv_SY_B!CY15/Inv_SY_B!$FG15-1</f>
        <v>-3.8374326298840078E-4</v>
      </c>
      <c r="CZ15" s="81">
        <f>Inv_SY_B!CZ15/Inv_SY_B!$FG15-1</f>
        <v>9.2146501279932735E-3</v>
      </c>
      <c r="DA15" s="81">
        <f>Inv_SY_B!DA15/Inv_SY_B!$FG15-1</f>
        <v>-2.1720973218757322E-3</v>
      </c>
      <c r="DB15" s="81">
        <f>Inv_SY_B!DB15/Inv_SY_B!$FG15-1</f>
        <v>6.2837071956887147E-3</v>
      </c>
      <c r="DC15" s="81">
        <f>Inv_SY_B!DC15/Inv_SY_B!$FG15-1</f>
        <v>-9.8451079951400455E-4</v>
      </c>
      <c r="DD15" s="81">
        <f>Inv_SY_B!DD15/Inv_SY_B!$FG15-1</f>
        <v>5.1274828853320464E-4</v>
      </c>
      <c r="DE15" s="81">
        <f>Inv_SY_B!DE15/Inv_SY_B!$FG15-1</f>
        <v>5.9196759600741444E-3</v>
      </c>
      <c r="DF15" s="81">
        <f>Inv_SY_B!DF15/Inv_SY_B!$FG15-1</f>
        <v>3.1629590506065952E-5</v>
      </c>
      <c r="DG15" s="81">
        <f>Inv_SY_B!DG15/Inv_SY_B!$FG15-1</f>
        <v>1.0762981646844194E-2</v>
      </c>
      <c r="DH15" s="81">
        <f>Inv_SY_B!DH15/Inv_SY_B!$FG15-1</f>
        <v>6.9282512786972283E-3</v>
      </c>
      <c r="DI15" s="81">
        <f>Inv_SY_B!DI15/Inv_SY_B!$FG15-1</f>
        <v>2.3108763168241842E-2</v>
      </c>
      <c r="DJ15" s="81">
        <f>Inv_SY_B!DJ15/Inv_SY_B!$FG15-1</f>
        <v>2.3589715824467783E-2</v>
      </c>
      <c r="DK15" s="81">
        <f>Inv_SY_B!DK15/Inv_SY_B!$FG15-1</f>
        <v>-2.4882389424539353E-2</v>
      </c>
      <c r="DL15" s="81">
        <f>Inv_SY_B!DL15/Inv_SY_B!$FG15-1</f>
        <v>-7.6918500784592947E-3</v>
      </c>
      <c r="DM15" s="81">
        <f>Inv_SY_B!DM15/Inv_SY_B!$FG15-1</f>
        <v>-4.082710139365342E-3</v>
      </c>
      <c r="DN15" s="81">
        <f>Inv_SY_B!DN15/Inv_SY_B!$FG15-1</f>
        <v>8.9817825883256042E-3</v>
      </c>
      <c r="DO15" s="81">
        <f>Inv_SY_B!DO15/Inv_SY_B!$FG15-1</f>
        <v>8.4021696983052063E-3</v>
      </c>
      <c r="DP15" s="81">
        <f>Inv_SY_B!DP15/Inv_SY_B!$FG15-1</f>
        <v>5.2608265700171408E-4</v>
      </c>
      <c r="DQ15" s="81">
        <f>Inv_SY_B!DQ15/Inv_SY_B!$FG15-1</f>
        <v>5.1057261525522257E-3</v>
      </c>
      <c r="DR15" s="81">
        <f>Inv_SY_B!DR15/Inv_SY_B!$FG15-1</f>
        <v>2.4701547045549166E-3</v>
      </c>
      <c r="DS15" s="81">
        <f>Inv_SY_B!DS15/Inv_SY_B!$FG15-1</f>
        <v>1.4847285044059522E-3</v>
      </c>
      <c r="DT15" s="81">
        <f>Inv_SY_B!DT15/Inv_SY_B!$FG15-1</f>
        <v>7.4912895226375564E-3</v>
      </c>
      <c r="DU15" s="81">
        <f>Inv_SY_B!DU15/Inv_SY_B!$FG15-1</f>
        <v>2.0806170054220141E-2</v>
      </c>
      <c r="DV15" s="81">
        <f>Inv_SY_B!DV15/Inv_SY_B!$FG15-1</f>
        <v>1.8797070178668607E-2</v>
      </c>
      <c r="DW15" s="81">
        <f>Inv_SY_B!DW15/Inv_SY_B!$FG15-1</f>
        <v>1.5273012807120789E-2</v>
      </c>
      <c r="DX15" s="81">
        <f>Inv_SY_B!DX15/Inv_SY_B!$FG15-1</f>
        <v>4.0613046315072232E-3</v>
      </c>
      <c r="DY15" s="81">
        <f>Inv_SY_B!DY15/Inv_SY_B!$FG15-1</f>
        <v>2.4248497943726299E-3</v>
      </c>
      <c r="DZ15" s="81">
        <f>Inv_SY_B!DZ15/Inv_SY_B!$FG15-1</f>
        <v>4.0318952485429715E-3</v>
      </c>
      <c r="EA15" s="81">
        <f>Inv_SY_B!EA15/Inv_SY_B!$FG15-1</f>
        <v>9.8179572508521051E-3</v>
      </c>
      <c r="EB15" s="81">
        <f>Inv_SY_B!EB15/Inv_SY_B!$FG15-1</f>
        <v>1.4942082710770022E-2</v>
      </c>
      <c r="EC15" s="81">
        <f>Inv_SY_B!EC15/Inv_SY_B!$FG15-1</f>
        <v>7.4186799654798463E-3</v>
      </c>
      <c r="ED15" s="81">
        <f>Inv_SY_B!ED15/Inv_SY_B!$FG15-1</f>
        <v>5.3700171289270404E-3</v>
      </c>
      <c r="EE15" s="81">
        <f>Inv_SY_B!EE15/Inv_SY_B!$FG15-1</f>
        <v>6.4763883633605079E-3</v>
      </c>
      <c r="EF15" s="81">
        <f>Inv_SY_B!EF15/Inv_SY_B!$FG15-1</f>
        <v>-2.8718880405707026E-3</v>
      </c>
      <c r="EG15" s="81">
        <f>Inv_SY_B!EG15/Inv_SY_B!$FG15-1</f>
        <v>-2.6684722650197612E-2</v>
      </c>
      <c r="EH15" s="81">
        <f>Inv_SY_B!EH15/Inv_SY_B!$FG15-1</f>
        <v>-1.2289904796340512E-2</v>
      </c>
      <c r="EI15" s="81">
        <f>Inv_SY_B!EI15/Inv_SY_B!$FG15-1</f>
        <v>9.0886675569294972E-3</v>
      </c>
      <c r="EJ15" s="81">
        <f>Inv_SY_B!EJ15/Inv_SY_B!$FG15-1</f>
        <v>1.915033182047754E-2</v>
      </c>
      <c r="EK15" s="81">
        <f>Inv_SY_B!EK15/Inv_SY_B!$FG15-1</f>
        <v>1.815047992396801E-2</v>
      </c>
      <c r="EL15" s="81">
        <f>Inv_SY_B!EL15/Inv_SY_B!$FG15-1</f>
        <v>2.4853738387256907E-2</v>
      </c>
      <c r="EM15" s="81">
        <f>Inv_SY_B!EM15/Inv_SY_B!$FG15-1</f>
        <v>2.4269513140185772E-2</v>
      </c>
      <c r="EN15" s="81">
        <f>Inv_SY_B!EN15/Inv_SY_B!$FG15-1</f>
        <v>1.7203784487760831E-2</v>
      </c>
      <c r="EO15" s="81">
        <f>Inv_SY_B!EO15/Inv_SY_B!$FG15-1</f>
        <v>1.7391350226202418E-2</v>
      </c>
      <c r="EP15" s="81">
        <f>Inv_SY_B!EP15/Inv_SY_B!$FG15-1</f>
        <v>5.6874965968001234E-4</v>
      </c>
      <c r="EQ15" s="81">
        <f>Inv_SY_B!EQ15/Inv_SY_B!$FG15-1</f>
        <v>2.1784836705067256E-2</v>
      </c>
      <c r="ER15" s="81">
        <f>Inv_SY_B!ER15/Inv_SY_B!$FG15-1</f>
        <v>1.7825820682156435E-2</v>
      </c>
      <c r="ES15" s="81">
        <f>Inv_SY_B!ES15/Inv_SY_B!$FG15-1</f>
        <v>2.2652403478402805E-2</v>
      </c>
      <c r="ET15" s="81">
        <f>Inv_SY_B!ET15/Inv_SY_B!$FG15-1</f>
        <v>1.8934019585440831E-2</v>
      </c>
      <c r="EU15" s="81">
        <f>Inv_SY_B!EU15/Inv_SY_B!$FG15-1</f>
        <v>1.8130306400243157E-2</v>
      </c>
      <c r="EV15" s="81">
        <f>Inv_SY_B!EV15/Inv_SY_B!$FG15-1</f>
        <v>5.9089167474208892E-3</v>
      </c>
      <c r="EW15" s="81">
        <f>Inv_SY_B!EW15/Inv_SY_B!$FG15-1</f>
        <v>2.9712884613048995E-2</v>
      </c>
      <c r="EX15" s="81">
        <f>Inv_SY_B!EX15/Inv_SY_B!$FG15-1</f>
        <v>2.7281016761829147E-2</v>
      </c>
      <c r="EY15" s="81">
        <f>Inv_SY_B!EY15/Inv_SY_B!$FG15-1</f>
        <v>1.7347178673660757E-2</v>
      </c>
      <c r="EZ15" s="81">
        <f>Inv_SY_B!EZ15/Inv_SY_B!$FG15-1</f>
        <v>1.2583528807020183E-2</v>
      </c>
      <c r="FA15" s="81">
        <f>Inv_SY_B!FA15/Inv_SY_B!$FG15-1</f>
        <v>1.8484687967009528E-2</v>
      </c>
      <c r="FB15" s="81">
        <f>Inv_SY_B!FB15/Inv_SY_B!$FG15-1</f>
        <v>1.4330959432065749E-2</v>
      </c>
      <c r="FC15" s="81">
        <f>Inv_SY_B!FC15/Inv_SY_B!$FG15-1</f>
        <v>1.4827497096012943E-2</v>
      </c>
      <c r="FD15" s="81">
        <f>Inv_SY_B!FD15/Inv_SY_B!$FG15-1</f>
        <v>1.8057379111978022E-2</v>
      </c>
      <c r="FE15" s="81">
        <f>Inv_SY_B!FE15/Inv_SY_B!$FG15-1</f>
        <v>1.9439568089985038E-2</v>
      </c>
      <c r="FF15" s="81">
        <f>Inv_SY_B!FF15/Inv_SY_B!$FG15-1</f>
        <v>2.629680097310394E-2</v>
      </c>
    </row>
    <row r="16" spans="2:162">
      <c r="B16" s="104">
        <f t="shared" si="0"/>
        <v>45839</v>
      </c>
      <c r="C16" s="81">
        <f>Inv_SY_B!C16/Inv_SY_B!$FG16-1</f>
        <v>1.0979966776420103E-2</v>
      </c>
      <c r="D16" s="81">
        <f>Inv_SY_B!D16/Inv_SY_B!$FG16-1</f>
        <v>2.7746190930665549E-2</v>
      </c>
      <c r="E16" s="81">
        <f>Inv_SY_B!E16/Inv_SY_B!$FG16-1</f>
        <v>2.4273182347336553E-2</v>
      </c>
      <c r="F16" s="81">
        <f>Inv_SY_B!F16/Inv_SY_B!$FG16-1</f>
        <v>2.3820237845834535E-2</v>
      </c>
      <c r="G16" s="81">
        <f>Inv_SY_B!G16/Inv_SY_B!$FG16-1</f>
        <v>3.2531832679346895E-2</v>
      </c>
      <c r="H16" s="81">
        <f>Inv_SY_B!H16/Inv_SY_B!$FG16-1</f>
        <v>3.4063238038925192E-2</v>
      </c>
      <c r="I16" s="81">
        <f>Inv_SY_B!I16/Inv_SY_B!$FG16-1</f>
        <v>4.0562595309039162E-2</v>
      </c>
      <c r="J16" s="81">
        <f>Inv_SY_B!J16/Inv_SY_B!$FG16-1</f>
        <v>1.7254991804838804E-2</v>
      </c>
      <c r="K16" s="81">
        <f>Inv_SY_B!K16/Inv_SY_B!$FG16-1</f>
        <v>3.1684090426723266E-2</v>
      </c>
      <c r="L16" s="81">
        <f>Inv_SY_B!L16/Inv_SY_B!$FG16-1</f>
        <v>2.5270552330360241E-2</v>
      </c>
      <c r="M16" s="81">
        <f>Inv_SY_B!M16/Inv_SY_B!$FG16-1</f>
        <v>2.6272596300655371E-2</v>
      </c>
      <c r="N16" s="81">
        <f>Inv_SY_B!N16/Inv_SY_B!$FG16-1</f>
        <v>2.6779947072836263E-2</v>
      </c>
      <c r="O16" s="81">
        <f>Inv_SY_B!O16/Inv_SY_B!$FG16-1</f>
        <v>2.3054787511922914E-2</v>
      </c>
      <c r="P16" s="81">
        <f>Inv_SY_B!P16/Inv_SY_B!$FG16-1</f>
        <v>2.0882213336842259E-2</v>
      </c>
      <c r="Q16" s="81">
        <f>Inv_SY_B!Q16/Inv_SY_B!$FG16-1</f>
        <v>1.4145852856317198E-2</v>
      </c>
      <c r="R16" s="81">
        <f>Inv_SY_B!R16/Inv_SY_B!$FG16-1</f>
        <v>2.123771815245834E-2</v>
      </c>
      <c r="S16" s="81">
        <f>Inv_SY_B!S16/Inv_SY_B!$FG16-1</f>
        <v>7.7832282075938064E-3</v>
      </c>
      <c r="T16" s="81">
        <f>Inv_SY_B!T16/Inv_SY_B!$FG16-1</f>
        <v>5.0394602716832271E-3</v>
      </c>
      <c r="U16" s="81">
        <f>Inv_SY_B!U16/Inv_SY_B!$FG16-1</f>
        <v>1.1456777968962717E-2</v>
      </c>
      <c r="V16" s="81">
        <f>Inv_SY_B!V16/Inv_SY_B!$FG16-1</f>
        <v>1.8539527757011509E-2</v>
      </c>
      <c r="W16" s="81">
        <f>Inv_SY_B!W16/Inv_SY_B!$FG16-1</f>
        <v>5.4317111610568958E-4</v>
      </c>
      <c r="X16" s="81">
        <f>Inv_SY_B!X16/Inv_SY_B!$FG16-1</f>
        <v>-7.6418116410947867E-4</v>
      </c>
      <c r="Y16" s="81">
        <f>Inv_SY_B!Y16/Inv_SY_B!$FG16-1</f>
        <v>-3.1073143200210929E-4</v>
      </c>
      <c r="Z16" s="81">
        <f>Inv_SY_B!Z16/Inv_SY_B!$FG16-1</f>
        <v>-3.7803407385156307E-3</v>
      </c>
      <c r="AA16" s="81">
        <f>Inv_SY_B!AA16/Inv_SY_B!$FG16-1</f>
        <v>-1.0132664863094054E-2</v>
      </c>
      <c r="AB16" s="81">
        <f>Inv_SY_B!AB16/Inv_SY_B!$FG16-1</f>
        <v>-2.3765943302391124E-2</v>
      </c>
      <c r="AC16" s="81">
        <f>Inv_SY_B!AC16/Inv_SY_B!$FG16-1</f>
        <v>-2.5025693872500754E-2</v>
      </c>
      <c r="AD16" s="81">
        <f>Inv_SY_B!AD16/Inv_SY_B!$FG16-1</f>
        <v>-2.6328522326738435E-2</v>
      </c>
      <c r="AE16" s="81">
        <f>Inv_SY_B!AE16/Inv_SY_B!$FG16-1</f>
        <v>5.7440890472508777E-3</v>
      </c>
      <c r="AF16" s="81">
        <f>Inv_SY_B!AF16/Inv_SY_B!$FG16-1</f>
        <v>9.5175561717011359E-3</v>
      </c>
      <c r="AG16" s="81">
        <f>Inv_SY_B!AG16/Inv_SY_B!$FG16-1</f>
        <v>5.3086677644824665E-3</v>
      </c>
      <c r="AH16" s="81">
        <f>Inv_SY_B!AH16/Inv_SY_B!$FG16-1</f>
        <v>5.0860506463792365E-3</v>
      </c>
      <c r="AI16" s="81">
        <f>Inv_SY_B!AI16/Inv_SY_B!$FG16-1</f>
        <v>1.9797467873807539E-2</v>
      </c>
      <c r="AJ16" s="81">
        <f>Inv_SY_B!AJ16/Inv_SY_B!$FG16-1</f>
        <v>1.830252454660064E-2</v>
      </c>
      <c r="AK16" s="81">
        <f>Inv_SY_B!AK16/Inv_SY_B!$FG16-1</f>
        <v>2.7408917131234611E-2</v>
      </c>
      <c r="AL16" s="81">
        <f>Inv_SY_B!AL16/Inv_SY_B!$FG16-1</f>
        <v>1.5394677465020656E-2</v>
      </c>
      <c r="AM16" s="81">
        <f>Inv_SY_B!AM16/Inv_SY_B!$FG16-1</f>
        <v>2.7026065791339926E-2</v>
      </c>
      <c r="AN16" s="81">
        <f>Inv_SY_B!AN16/Inv_SY_B!$FG16-1</f>
        <v>5.3676185630211481E-3</v>
      </c>
      <c r="AO16" s="81">
        <f>Inv_SY_B!AO16/Inv_SY_B!$FG16-1</f>
        <v>1.122889026664442E-2</v>
      </c>
      <c r="AP16" s="81">
        <f>Inv_SY_B!AP16/Inv_SY_B!$FG16-1</f>
        <v>8.3119276769720862E-3</v>
      </c>
      <c r="AQ16" s="81">
        <f>Inv_SY_B!AQ16/Inv_SY_B!$FG16-1</f>
        <v>5.8614213968621875E-3</v>
      </c>
      <c r="AR16" s="81">
        <f>Inv_SY_B!AR16/Inv_SY_B!$FG16-1</f>
        <v>6.2726996873316843E-3</v>
      </c>
      <c r="AS16" s="81">
        <f>Inv_SY_B!AS16/Inv_SY_B!$FG16-1</f>
        <v>1.1862927429251657E-2</v>
      </c>
      <c r="AT16" s="81">
        <f>Inv_SY_B!AT16/Inv_SY_B!$FG16-1</f>
        <v>1.2637551523379864E-2</v>
      </c>
      <c r="AU16" s="81">
        <f>Inv_SY_B!AU16/Inv_SY_B!$FG16-1</f>
        <v>-9.9773944859907315E-2</v>
      </c>
      <c r="AV16" s="81">
        <f>Inv_SY_B!AV16/Inv_SY_B!$FG16-1</f>
        <v>-3.1081792335142189E-2</v>
      </c>
      <c r="AW16" s="81">
        <f>Inv_SY_B!AW16/Inv_SY_B!$FG16-1</f>
        <v>1.1973923464496661E-2</v>
      </c>
      <c r="AX16" s="81">
        <f>Inv_SY_B!AX16/Inv_SY_B!$FG16-1</f>
        <v>9.5633612803984747E-3</v>
      </c>
      <c r="AY16" s="81">
        <f>Inv_SY_B!AY16/Inv_SY_B!$FG16-1</f>
        <v>-2.7716401162284687E-2</v>
      </c>
      <c r="AZ16" s="81">
        <f>Inv_SY_B!AZ16/Inv_SY_B!$FG16-1</f>
        <v>-4.6950402975843852E-3</v>
      </c>
      <c r="BA16" s="81">
        <f>Inv_SY_B!BA16/Inv_SY_B!$FG16-1</f>
        <v>3.3463710824310766E-3</v>
      </c>
      <c r="BB16" s="81">
        <f>Inv_SY_B!BB16/Inv_SY_B!$FG16-1</f>
        <v>1.1469952726752997E-2</v>
      </c>
      <c r="BC16" s="81">
        <f>Inv_SY_B!BC16/Inv_SY_B!$FG16-1</f>
        <v>-9.3411834326573295E-4</v>
      </c>
      <c r="BD16" s="81">
        <f>Inv_SY_B!BD16/Inv_SY_B!$FG16-1</f>
        <v>6.4543240282561865E-3</v>
      </c>
      <c r="BE16" s="81">
        <f>Inv_SY_B!BE16/Inv_SY_B!$FG16-1</f>
        <v>-4.9191039321829777E-3</v>
      </c>
      <c r="BF16" s="81">
        <f>Inv_SY_B!BF16/Inv_SY_B!$FG16-1</f>
        <v>-1.0423672152535923E-2</v>
      </c>
      <c r="BG16" s="81">
        <f>Inv_SY_B!BG16/Inv_SY_B!$FG16-1</f>
        <v>-8.6928356341028357E-3</v>
      </c>
      <c r="BH16" s="81">
        <f>Inv_SY_B!BH16/Inv_SY_B!$FG16-1</f>
        <v>-1.7504633525095015E-3</v>
      </c>
      <c r="BI16" s="81">
        <f>Inv_SY_B!BI16/Inv_SY_B!$FG16-1</f>
        <v>-4.2114782269928597E-3</v>
      </c>
      <c r="BJ16" s="81">
        <f>Inv_SY_B!BJ16/Inv_SY_B!$FG16-1</f>
        <v>6.2195779673670515E-3</v>
      </c>
      <c r="BK16" s="81">
        <f>Inv_SY_B!BK16/Inv_SY_B!$FG16-1</f>
        <v>8.3984298341355235E-4</v>
      </c>
      <c r="BL16" s="81">
        <f>Inv_SY_B!BL16/Inv_SY_B!$FG16-1</f>
        <v>-5.3704499702108555E-3</v>
      </c>
      <c r="BM16" s="81">
        <f>Inv_SY_B!BM16/Inv_SY_B!$FG16-1</f>
        <v>-4.5852466141806936E-3</v>
      </c>
      <c r="BN16" s="81">
        <f>Inv_SY_B!BN16/Inv_SY_B!$FG16-1</f>
        <v>-9.4755278846896385E-3</v>
      </c>
      <c r="BO16" s="81">
        <f>Inv_SY_B!BO16/Inv_SY_B!$FG16-1</f>
        <v>-8.6601165541478897E-3</v>
      </c>
      <c r="BP16" s="81">
        <f>Inv_SY_B!BP16/Inv_SY_B!$FG16-1</f>
        <v>-1.8591234057526607E-2</v>
      </c>
      <c r="BQ16" s="81">
        <f>Inv_SY_B!BQ16/Inv_SY_B!$FG16-1</f>
        <v>-1.3147704390394144E-2</v>
      </c>
      <c r="BR16" s="81">
        <f>Inv_SY_B!BR16/Inv_SY_B!$FG16-1</f>
        <v>-2.2106108269963398E-2</v>
      </c>
      <c r="BS16" s="81">
        <f>Inv_SY_B!BS16/Inv_SY_B!$FG16-1</f>
        <v>-1.5437640496221983E-2</v>
      </c>
      <c r="BT16" s="81">
        <f>Inv_SY_B!BT16/Inv_SY_B!$FG16-1</f>
        <v>-1.5368408762516328E-2</v>
      </c>
      <c r="BU16" s="81">
        <f>Inv_SY_B!BU16/Inv_SY_B!$FG16-1</f>
        <v>-1.6009762650617376E-2</v>
      </c>
      <c r="BV16" s="81">
        <f>Inv_SY_B!BV16/Inv_SY_B!$FG16-1</f>
        <v>-2.6818835858293921E-2</v>
      </c>
      <c r="BW16" s="81">
        <f>Inv_SY_B!BW16/Inv_SY_B!$FG16-1</f>
        <v>-8.7390265369122755E-3</v>
      </c>
      <c r="BX16" s="81">
        <f>Inv_SY_B!BX16/Inv_SY_B!$FG16-1</f>
        <v>-2.1175501025795351E-2</v>
      </c>
      <c r="BY16" s="81">
        <f>Inv_SY_B!BY16/Inv_SY_B!$FG16-1</f>
        <v>-5.2208484441507164E-4</v>
      </c>
      <c r="BZ16" s="81">
        <f>Inv_SY_B!BZ16/Inv_SY_B!$FG16-1</f>
        <v>-1.9996187087773287E-2</v>
      </c>
      <c r="CA16" s="81">
        <f>Inv_SY_B!CA16/Inv_SY_B!$FG16-1</f>
        <v>-1.0496563297371919E-2</v>
      </c>
      <c r="CB16" s="81">
        <f>Inv_SY_B!CB16/Inv_SY_B!$FG16-1</f>
        <v>4.0992159908959103E-4</v>
      </c>
      <c r="CC16" s="81">
        <f>Inv_SY_B!CC16/Inv_SY_B!$FG16-1</f>
        <v>-4.2887430098739188E-3</v>
      </c>
      <c r="CD16" s="81">
        <f>Inv_SY_B!CD16/Inv_SY_B!$FG16-1</f>
        <v>-1.4483069345584298E-2</v>
      </c>
      <c r="CE16" s="81">
        <f>Inv_SY_B!CE16/Inv_SY_B!$FG16-1</f>
        <v>-1.9277695546317086E-2</v>
      </c>
      <c r="CF16" s="81">
        <f>Inv_SY_B!CF16/Inv_SY_B!$FG16-1</f>
        <v>-2.0922608267261555E-2</v>
      </c>
      <c r="CG16" s="81">
        <f>Inv_SY_B!CG16/Inv_SY_B!$FG16-1</f>
        <v>-2.3717978688814756E-2</v>
      </c>
      <c r="CH16" s="81">
        <f>Inv_SY_B!CH16/Inv_SY_B!$FG16-1</f>
        <v>-1.9829287014874963E-2</v>
      </c>
      <c r="CI16" s="81">
        <f>Inv_SY_B!CI16/Inv_SY_B!$FG16-1</f>
        <v>-1.9532034686468025E-2</v>
      </c>
      <c r="CJ16" s="81">
        <f>Inv_SY_B!CJ16/Inv_SY_B!$FG16-1</f>
        <v>-2.7068555294567864E-2</v>
      </c>
      <c r="CK16" s="81">
        <f>Inv_SY_B!CK16/Inv_SY_B!$FG16-1</f>
        <v>-1.7676300960181912E-2</v>
      </c>
      <c r="CL16" s="81">
        <f>Inv_SY_B!CL16/Inv_SY_B!$FG16-1</f>
        <v>-2.4575468963468627E-2</v>
      </c>
      <c r="CM16" s="81">
        <f>Inv_SY_B!CM16/Inv_SY_B!$FG16-1</f>
        <v>4.2151131652157225E-4</v>
      </c>
      <c r="CN16" s="81">
        <f>Inv_SY_B!CN16/Inv_SY_B!$FG16-1</f>
        <v>-1.7542635921869665E-2</v>
      </c>
      <c r="CO16" s="81">
        <f>Inv_SY_B!CO16/Inv_SY_B!$FG16-1</f>
        <v>-2.2038400782566914E-3</v>
      </c>
      <c r="CP16" s="81">
        <f>Inv_SY_B!CP16/Inv_SY_B!$FG16-1</f>
        <v>5.2691520849779128E-3</v>
      </c>
      <c r="CQ16" s="81">
        <f>Inv_SY_B!CQ16/Inv_SY_B!$FG16-1</f>
        <v>1.0212791936370369E-3</v>
      </c>
      <c r="CR16" s="81">
        <f>Inv_SY_B!CR16/Inv_SY_B!$FG16-1</f>
        <v>7.6290479339942152E-3</v>
      </c>
      <c r="CS16" s="81">
        <f>Inv_SY_B!CS16/Inv_SY_B!$FG16-1</f>
        <v>-3.6179579319307598E-3</v>
      </c>
      <c r="CT16" s="81">
        <f>Inv_SY_B!CT16/Inv_SY_B!$FG16-1</f>
        <v>4.2958675476933994E-3</v>
      </c>
      <c r="CU16" s="81">
        <f>Inv_SY_B!CU16/Inv_SY_B!$FG16-1</f>
        <v>9.1579562140740034E-3</v>
      </c>
      <c r="CV16" s="81">
        <f>Inv_SY_B!CV16/Inv_SY_B!$FG16-1</f>
        <v>3.9218288602216322E-3</v>
      </c>
      <c r="CW16" s="81">
        <f>Inv_SY_B!CW16/Inv_SY_B!$FG16-1</f>
        <v>2.3934450047247147E-3</v>
      </c>
      <c r="CX16" s="81">
        <f>Inv_SY_B!CX16/Inv_SY_B!$FG16-1</f>
        <v>1.6530122591540408E-3</v>
      </c>
      <c r="CY16" s="81">
        <f>Inv_SY_B!CY16/Inv_SY_B!$FG16-1</f>
        <v>-1.5942445340378697E-2</v>
      </c>
      <c r="CZ16" s="81">
        <f>Inv_SY_B!CZ16/Inv_SY_B!$FG16-1</f>
        <v>-1.0367112098974562E-4</v>
      </c>
      <c r="DA16" s="81">
        <f>Inv_SY_B!DA16/Inv_SY_B!$FG16-1</f>
        <v>-8.2881613337624227E-3</v>
      </c>
      <c r="DB16" s="81">
        <f>Inv_SY_B!DB16/Inv_SY_B!$FG16-1</f>
        <v>-5.8141188406615196E-3</v>
      </c>
      <c r="DC16" s="81">
        <f>Inv_SY_B!DC16/Inv_SY_B!$FG16-1</f>
        <v>-1.2014949238900008E-2</v>
      </c>
      <c r="DD16" s="81">
        <f>Inv_SY_B!DD16/Inv_SY_B!$FG16-1</f>
        <v>-1.2139984922811098E-2</v>
      </c>
      <c r="DE16" s="81">
        <f>Inv_SY_B!DE16/Inv_SY_B!$FG16-1</f>
        <v>-1.0121009851479124E-2</v>
      </c>
      <c r="DF16" s="81">
        <f>Inv_SY_B!DF16/Inv_SY_B!$FG16-1</f>
        <v>-1.703260313634325E-2</v>
      </c>
      <c r="DG16" s="81">
        <f>Inv_SY_B!DG16/Inv_SY_B!$FG16-1</f>
        <v>-1.5155068912329761E-2</v>
      </c>
      <c r="DH16" s="81">
        <f>Inv_SY_B!DH16/Inv_SY_B!$FG16-1</f>
        <v>-2.2404165532156739E-2</v>
      </c>
      <c r="DI16" s="81">
        <f>Inv_SY_B!DI16/Inv_SY_B!$FG16-1</f>
        <v>-8.2186230291695361E-3</v>
      </c>
      <c r="DJ16" s="81">
        <f>Inv_SY_B!DJ16/Inv_SY_B!$FG16-1</f>
        <v>-3.9792311550119752E-3</v>
      </c>
      <c r="DK16" s="81">
        <f>Inv_SY_B!DK16/Inv_SY_B!$FG16-1</f>
        <v>-2.6082134052091477E-2</v>
      </c>
      <c r="DL16" s="81">
        <f>Inv_SY_B!DL16/Inv_SY_B!$FG16-1</f>
        <v>-1.2025845205640984E-2</v>
      </c>
      <c r="DM16" s="81">
        <f>Inv_SY_B!DM16/Inv_SY_B!$FG16-1</f>
        <v>-1.6138927268721126E-2</v>
      </c>
      <c r="DN16" s="81">
        <f>Inv_SY_B!DN16/Inv_SY_B!$FG16-1</f>
        <v>-4.5395420026940192E-3</v>
      </c>
      <c r="DO16" s="81">
        <f>Inv_SY_B!DO16/Inv_SY_B!$FG16-1</f>
        <v>-6.0867931434126499E-3</v>
      </c>
      <c r="DP16" s="81">
        <f>Inv_SY_B!DP16/Inv_SY_B!$FG16-1</f>
        <v>-1.246058203594036E-2</v>
      </c>
      <c r="DQ16" s="81">
        <f>Inv_SY_B!DQ16/Inv_SY_B!$FG16-1</f>
        <v>-1.4503147306769715E-2</v>
      </c>
      <c r="DR16" s="81">
        <f>Inv_SY_B!DR16/Inv_SY_B!$FG16-1</f>
        <v>-1.8211494706398046E-2</v>
      </c>
      <c r="DS16" s="81">
        <f>Inv_SY_B!DS16/Inv_SY_B!$FG16-1</f>
        <v>-1.8905117870060106E-2</v>
      </c>
      <c r="DT16" s="81">
        <f>Inv_SY_B!DT16/Inv_SY_B!$FG16-1</f>
        <v>-1.8379907787834271E-2</v>
      </c>
      <c r="DU16" s="81">
        <f>Inv_SY_B!DU16/Inv_SY_B!$FG16-1</f>
        <v>-1.0515758565128319E-3</v>
      </c>
      <c r="DV16" s="81">
        <f>Inv_SY_B!DV16/Inv_SY_B!$FG16-1</f>
        <v>-5.8436967653582306E-3</v>
      </c>
      <c r="DW16" s="81">
        <f>Inv_SY_B!DW16/Inv_SY_B!$FG16-1</f>
        <v>-8.5187015711915004E-3</v>
      </c>
      <c r="DX16" s="81">
        <f>Inv_SY_B!DX16/Inv_SY_B!$FG16-1</f>
        <v>-1.5160814662073863E-2</v>
      </c>
      <c r="DY16" s="81">
        <f>Inv_SY_B!DY16/Inv_SY_B!$FG16-1</f>
        <v>-2.0696591522375796E-2</v>
      </c>
      <c r="DZ16" s="81">
        <f>Inv_SY_B!DZ16/Inv_SY_B!$FG16-1</f>
        <v>-1.6303416747901811E-2</v>
      </c>
      <c r="EA16" s="81">
        <f>Inv_SY_B!EA16/Inv_SY_B!$FG16-1</f>
        <v>-6.2134208240672839E-3</v>
      </c>
      <c r="EB16" s="81">
        <f>Inv_SY_B!EB16/Inv_SY_B!$FG16-1</f>
        <v>1.7440972738018701E-3</v>
      </c>
      <c r="EC16" s="81">
        <f>Inv_SY_B!EC16/Inv_SY_B!$FG16-1</f>
        <v>-1.4639486187428496E-2</v>
      </c>
      <c r="ED16" s="81">
        <f>Inv_SY_B!ED16/Inv_SY_B!$FG16-1</f>
        <v>-1.564420766850172E-2</v>
      </c>
      <c r="EE16" s="81">
        <f>Inv_SY_B!EE16/Inv_SY_B!$FG16-1</f>
        <v>-3.8251543125867871E-3</v>
      </c>
      <c r="EF16" s="81">
        <f>Inv_SY_B!EF16/Inv_SY_B!$FG16-1</f>
        <v>-1.1491269489081746E-2</v>
      </c>
      <c r="EG16" s="81">
        <f>Inv_SY_B!EG16/Inv_SY_B!$FG16-1</f>
        <v>-3.8490331149354629E-2</v>
      </c>
      <c r="EH16" s="81">
        <f>Inv_SY_B!EH16/Inv_SY_B!$FG16-1</f>
        <v>-2.5132729085428629E-2</v>
      </c>
      <c r="EI16" s="81">
        <f>Inv_SY_B!EI16/Inv_SY_B!$FG16-1</f>
        <v>1.8249635609020931E-2</v>
      </c>
      <c r="EJ16" s="81">
        <f>Inv_SY_B!EJ16/Inv_SY_B!$FG16-1</f>
        <v>2.4352501970175577E-2</v>
      </c>
      <c r="EK16" s="81">
        <f>Inv_SY_B!EK16/Inv_SY_B!$FG16-1</f>
        <v>2.5830035167006882E-2</v>
      </c>
      <c r="EL16" s="81">
        <f>Inv_SY_B!EL16/Inv_SY_B!$FG16-1</f>
        <v>3.2479635543720686E-2</v>
      </c>
      <c r="EM16" s="81">
        <f>Inv_SY_B!EM16/Inv_SY_B!$FG16-1</f>
        <v>2.6832232856931704E-2</v>
      </c>
      <c r="EN16" s="81">
        <f>Inv_SY_B!EN16/Inv_SY_B!$FG16-1</f>
        <v>1.7847617285591921E-2</v>
      </c>
      <c r="EO16" s="81">
        <f>Inv_SY_B!EO16/Inv_SY_B!$FG16-1</f>
        <v>1.7468989667918322E-2</v>
      </c>
      <c r="EP16" s="81">
        <f>Inv_SY_B!EP16/Inv_SY_B!$FG16-1</f>
        <v>-7.1451254520136231E-3</v>
      </c>
      <c r="EQ16" s="81">
        <f>Inv_SY_B!EQ16/Inv_SY_B!$FG16-1</f>
        <v>1.9338323694441328E-2</v>
      </c>
      <c r="ER16" s="81">
        <f>Inv_SY_B!ER16/Inv_SY_B!$FG16-1</f>
        <v>1.917922752806045E-2</v>
      </c>
      <c r="ES16" s="81">
        <f>Inv_SY_B!ES16/Inv_SY_B!$FG16-1</f>
        <v>1.9247905445766822E-2</v>
      </c>
      <c r="ET16" s="81">
        <f>Inv_SY_B!ET16/Inv_SY_B!$FG16-1</f>
        <v>1.7114009936862518E-2</v>
      </c>
      <c r="EU16" s="81">
        <f>Inv_SY_B!EU16/Inv_SY_B!$FG16-1</f>
        <v>2.0019192979105371E-2</v>
      </c>
      <c r="EV16" s="81">
        <f>Inv_SY_B!EV16/Inv_SY_B!$FG16-1</f>
        <v>1.050021933848222E-2</v>
      </c>
      <c r="EW16" s="81">
        <f>Inv_SY_B!EW16/Inv_SY_B!$FG16-1</f>
        <v>2.709977322005841E-2</v>
      </c>
      <c r="EX16" s="81">
        <f>Inv_SY_B!EX16/Inv_SY_B!$FG16-1</f>
        <v>2.686651230285797E-2</v>
      </c>
      <c r="EY16" s="81">
        <f>Inv_SY_B!EY16/Inv_SY_B!$FG16-1</f>
        <v>1.8681455580566997E-2</v>
      </c>
      <c r="EZ16" s="81">
        <f>Inv_SY_B!EZ16/Inv_SY_B!$FG16-1</f>
        <v>1.3703086041354728E-2</v>
      </c>
      <c r="FA16" s="81">
        <f>Inv_SY_B!FA16/Inv_SY_B!$FG16-1</f>
        <v>1.8917251623603804E-2</v>
      </c>
      <c r="FB16" s="81">
        <f>Inv_SY_B!FB16/Inv_SY_B!$FG16-1</f>
        <v>1.3669282698844265E-2</v>
      </c>
      <c r="FC16" s="81">
        <f>Inv_SY_B!FC16/Inv_SY_B!$FG16-1</f>
        <v>1.4700284645415396E-2</v>
      </c>
      <c r="FD16" s="81">
        <f>Inv_SY_B!FD16/Inv_SY_B!$FG16-1</f>
        <v>1.4474224792376145E-2</v>
      </c>
      <c r="FE16" s="81">
        <f>Inv_SY_B!FE16/Inv_SY_B!$FG16-1</f>
        <v>8.0663786777241953E-3</v>
      </c>
      <c r="FF16" s="81">
        <f>Inv_SY_B!FF16/Inv_SY_B!$FG16-1</f>
        <v>1.954155710559502E-2</v>
      </c>
    </row>
    <row r="17" spans="2:162">
      <c r="B17" s="104">
        <f t="shared" si="0"/>
        <v>45840</v>
      </c>
      <c r="C17" s="81">
        <f>Inv_SY_B!C17/Inv_SY_B!$FG17-1</f>
        <v>3.5992437599685623E-4</v>
      </c>
      <c r="D17" s="81">
        <f>Inv_SY_B!D17/Inv_SY_B!$FG17-1</f>
        <v>1.54828038792445E-2</v>
      </c>
      <c r="E17" s="81">
        <f>Inv_SY_B!E17/Inv_SY_B!$FG17-1</f>
        <v>1.3431919837076478E-2</v>
      </c>
      <c r="F17" s="81">
        <f>Inv_SY_B!F17/Inv_SY_B!$FG17-1</f>
        <v>1.1534572239059182E-2</v>
      </c>
      <c r="G17" s="81">
        <f>Inv_SY_B!G17/Inv_SY_B!$FG17-1</f>
        <v>2.4090302056222423E-2</v>
      </c>
      <c r="H17" s="81">
        <f>Inv_SY_B!H17/Inv_SY_B!$FG17-1</f>
        <v>2.6653907108932451E-2</v>
      </c>
      <c r="I17" s="81">
        <f>Inv_SY_B!I17/Inv_SY_B!$FG17-1</f>
        <v>2.8999994157170139E-2</v>
      </c>
      <c r="J17" s="81">
        <f>Inv_SY_B!J17/Inv_SY_B!$FG17-1</f>
        <v>8.9000510262502441E-3</v>
      </c>
      <c r="K17" s="81">
        <f>Inv_SY_B!K17/Inv_SY_B!$FG17-1</f>
        <v>2.1029512993289812E-2</v>
      </c>
      <c r="L17" s="81">
        <f>Inv_SY_B!L17/Inv_SY_B!$FG17-1</f>
        <v>1.3627269194751435E-2</v>
      </c>
      <c r="M17" s="81">
        <f>Inv_SY_B!M17/Inv_SY_B!$FG17-1</f>
        <v>1.7837447670314033E-2</v>
      </c>
      <c r="N17" s="81">
        <f>Inv_SY_B!N17/Inv_SY_B!$FG17-1</f>
        <v>1.4193232852729887E-2</v>
      </c>
      <c r="O17" s="81">
        <f>Inv_SY_B!O17/Inv_SY_B!$FG17-1</f>
        <v>2.1815928354733227E-2</v>
      </c>
      <c r="P17" s="81">
        <f>Inv_SY_B!P17/Inv_SY_B!$FG17-1</f>
        <v>1.0945999785963778E-2</v>
      </c>
      <c r="Q17" s="81">
        <f>Inv_SY_B!Q17/Inv_SY_B!$FG17-1</f>
        <v>2.3686340047916588E-2</v>
      </c>
      <c r="R17" s="81">
        <f>Inv_SY_B!R17/Inv_SY_B!$FG17-1</f>
        <v>2.6980184115640959E-2</v>
      </c>
      <c r="S17" s="81">
        <f>Inv_SY_B!S17/Inv_SY_B!$FG17-1</f>
        <v>1.9367053959108205E-2</v>
      </c>
      <c r="T17" s="81">
        <f>Inv_SY_B!T17/Inv_SY_B!$FG17-1</f>
        <v>1.4317528855285255E-2</v>
      </c>
      <c r="U17" s="81">
        <f>Inv_SY_B!U17/Inv_SY_B!$FG17-1</f>
        <v>1.742492891917613E-2</v>
      </c>
      <c r="V17" s="81">
        <f>Inv_SY_B!V17/Inv_SY_B!$FG17-1</f>
        <v>2.2536602024276986E-2</v>
      </c>
      <c r="W17" s="81">
        <f>Inv_SY_B!W17/Inv_SY_B!$FG17-1</f>
        <v>1.3363376506866143E-2</v>
      </c>
      <c r="X17" s="81">
        <f>Inv_SY_B!X17/Inv_SY_B!$FG17-1</f>
        <v>4.6759569903793707E-3</v>
      </c>
      <c r="Y17" s="81">
        <f>Inv_SY_B!Y17/Inv_SY_B!$FG17-1</f>
        <v>1.2797872554419554E-2</v>
      </c>
      <c r="Z17" s="81">
        <f>Inv_SY_B!Z17/Inv_SY_B!$FG17-1</f>
        <v>9.7517676776592843E-3</v>
      </c>
      <c r="AA17" s="81">
        <f>Inv_SY_B!AA17/Inv_SY_B!$FG17-1</f>
        <v>-8.0136657551141965E-3</v>
      </c>
      <c r="AB17" s="81">
        <f>Inv_SY_B!AB17/Inv_SY_B!$FG17-1</f>
        <v>-2.351246283380104E-2</v>
      </c>
      <c r="AC17" s="81">
        <f>Inv_SY_B!AC17/Inv_SY_B!$FG17-1</f>
        <v>-2.2972116939853571E-2</v>
      </c>
      <c r="AD17" s="81">
        <f>Inv_SY_B!AD17/Inv_SY_B!$FG17-1</f>
        <v>-2.3640571358500839E-2</v>
      </c>
      <c r="AE17" s="81">
        <f>Inv_SY_B!AE17/Inv_SY_B!$FG17-1</f>
        <v>1.3341459968549962E-2</v>
      </c>
      <c r="AF17" s="81">
        <f>Inv_SY_B!AF17/Inv_SY_B!$FG17-1</f>
        <v>2.0236795815741004E-2</v>
      </c>
      <c r="AG17" s="81">
        <f>Inv_SY_B!AG17/Inv_SY_B!$FG17-1</f>
        <v>1.5664980124762362E-2</v>
      </c>
      <c r="AH17" s="81">
        <f>Inv_SY_B!AH17/Inv_SY_B!$FG17-1</f>
        <v>1.1682108334432062E-2</v>
      </c>
      <c r="AI17" s="81">
        <f>Inv_SY_B!AI17/Inv_SY_B!$FG17-1</f>
        <v>1.9739941966774976E-2</v>
      </c>
      <c r="AJ17" s="81">
        <f>Inv_SY_B!AJ17/Inv_SY_B!$FG17-1</f>
        <v>2.0128366974761391E-2</v>
      </c>
      <c r="AK17" s="81">
        <f>Inv_SY_B!AK17/Inv_SY_B!$FG17-1</f>
        <v>3.1315007204768985E-2</v>
      </c>
      <c r="AL17" s="81">
        <f>Inv_SY_B!AL17/Inv_SY_B!$FG17-1</f>
        <v>1.7922112929398937E-2</v>
      </c>
      <c r="AM17" s="81">
        <f>Inv_SY_B!AM17/Inv_SY_B!$FG17-1</f>
        <v>2.7197702120113521E-2</v>
      </c>
      <c r="AN17" s="81">
        <f>Inv_SY_B!AN17/Inv_SY_B!$FG17-1</f>
        <v>7.3258787115306756E-3</v>
      </c>
      <c r="AO17" s="81">
        <f>Inv_SY_B!AO17/Inv_SY_B!$FG17-1</f>
        <v>1.5467266878925079E-2</v>
      </c>
      <c r="AP17" s="81">
        <f>Inv_SY_B!AP17/Inv_SY_B!$FG17-1</f>
        <v>8.1648767287811896E-3</v>
      </c>
      <c r="AQ17" s="81">
        <f>Inv_SY_B!AQ17/Inv_SY_B!$FG17-1</f>
        <v>3.1230824252103551E-2</v>
      </c>
      <c r="AR17" s="81">
        <f>Inv_SY_B!AR17/Inv_SY_B!$FG17-1</f>
        <v>2.7287677183779779E-2</v>
      </c>
      <c r="AS17" s="81">
        <f>Inv_SY_B!AS17/Inv_SY_B!$FG17-1</f>
        <v>3.7159751856862488E-2</v>
      </c>
      <c r="AT17" s="81">
        <f>Inv_SY_B!AT17/Inv_SY_B!$FG17-1</f>
        <v>3.1609894237921043E-2</v>
      </c>
      <c r="AU17" s="81">
        <f>Inv_SY_B!AU17/Inv_SY_B!$FG17-1</f>
        <v>-3.7490073248569789E-2</v>
      </c>
      <c r="AV17" s="81">
        <f>Inv_SY_B!AV17/Inv_SY_B!$FG17-1</f>
        <v>-1.6234334724751776E-3</v>
      </c>
      <c r="AW17" s="81">
        <f>Inv_SY_B!AW17/Inv_SY_B!$FG17-1</f>
        <v>3.7012139195875315E-2</v>
      </c>
      <c r="AX17" s="81">
        <f>Inv_SY_B!AX17/Inv_SY_B!$FG17-1</f>
        <v>3.6857305698396514E-2</v>
      </c>
      <c r="AY17" s="81">
        <f>Inv_SY_B!AY17/Inv_SY_B!$FG17-1</f>
        <v>-3.1039337002732426E-2</v>
      </c>
      <c r="AZ17" s="81">
        <f>Inv_SY_B!AZ17/Inv_SY_B!$FG17-1</f>
        <v>-1.0731717574165134E-2</v>
      </c>
      <c r="BA17" s="81">
        <f>Inv_SY_B!BA17/Inv_SY_B!$FG17-1</f>
        <v>-1.2853052501945461E-3</v>
      </c>
      <c r="BB17" s="81">
        <f>Inv_SY_B!BB17/Inv_SY_B!$FG17-1</f>
        <v>3.8591248238448728E-3</v>
      </c>
      <c r="BC17" s="81">
        <f>Inv_SY_B!BC17/Inv_SY_B!$FG17-1</f>
        <v>-3.0743923544208629E-3</v>
      </c>
      <c r="BD17" s="81">
        <f>Inv_SY_B!BD17/Inv_SY_B!$FG17-1</f>
        <v>7.8692455814015627E-3</v>
      </c>
      <c r="BE17" s="81">
        <f>Inv_SY_B!BE17/Inv_SY_B!$FG17-1</f>
        <v>-8.9317867671077078E-3</v>
      </c>
      <c r="BF17" s="81">
        <f>Inv_SY_B!BF17/Inv_SY_B!$FG17-1</f>
        <v>-1.4000349228249664E-2</v>
      </c>
      <c r="BG17" s="81">
        <f>Inv_SY_B!BG17/Inv_SY_B!$FG17-1</f>
        <v>-1.9830208346823031E-2</v>
      </c>
      <c r="BH17" s="81">
        <f>Inv_SY_B!BH17/Inv_SY_B!$FG17-1</f>
        <v>-1.2346138342007484E-2</v>
      </c>
      <c r="BI17" s="81">
        <f>Inv_SY_B!BI17/Inv_SY_B!$FG17-1</f>
        <v>-1.3179632352938175E-2</v>
      </c>
      <c r="BJ17" s="81">
        <f>Inv_SY_B!BJ17/Inv_SY_B!$FG17-1</f>
        <v>-4.8718720942464433E-3</v>
      </c>
      <c r="BK17" s="81">
        <f>Inv_SY_B!BK17/Inv_SY_B!$FG17-1</f>
        <v>-1.237903135911278E-2</v>
      </c>
      <c r="BL17" s="81">
        <f>Inv_SY_B!BL17/Inv_SY_B!$FG17-1</f>
        <v>-1.4727043599040091E-2</v>
      </c>
      <c r="BM17" s="81">
        <f>Inv_SY_B!BM17/Inv_SY_B!$FG17-1</f>
        <v>-2.6775450950337842E-2</v>
      </c>
      <c r="BN17" s="81">
        <f>Inv_SY_B!BN17/Inv_SY_B!$FG17-1</f>
        <v>-3.0819379776520162E-2</v>
      </c>
      <c r="BO17" s="81">
        <f>Inv_SY_B!BO17/Inv_SY_B!$FG17-1</f>
        <v>-1.9194071410069458E-2</v>
      </c>
      <c r="BP17" s="81">
        <f>Inv_SY_B!BP17/Inv_SY_B!$FG17-1</f>
        <v>-2.5022176316615186E-2</v>
      </c>
      <c r="BQ17" s="81">
        <f>Inv_SY_B!BQ17/Inv_SY_B!$FG17-1</f>
        <v>-2.3737057293916841E-2</v>
      </c>
      <c r="BR17" s="81">
        <f>Inv_SY_B!BR17/Inv_SY_B!$FG17-1</f>
        <v>-2.8114703215324721E-2</v>
      </c>
      <c r="BS17" s="81">
        <f>Inv_SY_B!BS17/Inv_SY_B!$FG17-1</f>
        <v>-2.5701357418313253E-2</v>
      </c>
      <c r="BT17" s="81">
        <f>Inv_SY_B!BT17/Inv_SY_B!$FG17-1</f>
        <v>-2.2064825138754851E-2</v>
      </c>
      <c r="BU17" s="81">
        <f>Inv_SY_B!BU17/Inv_SY_B!$FG17-1</f>
        <v>-2.9284118361012634E-2</v>
      </c>
      <c r="BV17" s="81">
        <f>Inv_SY_B!BV17/Inv_SY_B!$FG17-1</f>
        <v>-3.3428286973555932E-2</v>
      </c>
      <c r="BW17" s="81">
        <f>Inv_SY_B!BW17/Inv_SY_B!$FG17-1</f>
        <v>-1.6593671041146285E-2</v>
      </c>
      <c r="BX17" s="81">
        <f>Inv_SY_B!BX17/Inv_SY_B!$FG17-1</f>
        <v>-2.920303707262506E-2</v>
      </c>
      <c r="BY17" s="81">
        <f>Inv_SY_B!BY17/Inv_SY_B!$FG17-1</f>
        <v>-1.2504697660489561E-2</v>
      </c>
      <c r="BZ17" s="81">
        <f>Inv_SY_B!BZ17/Inv_SY_B!$FG17-1</f>
        <v>-2.3651423114201875E-2</v>
      </c>
      <c r="CA17" s="81">
        <f>Inv_SY_B!CA17/Inv_SY_B!$FG17-1</f>
        <v>-1.7653796201267391E-2</v>
      </c>
      <c r="CB17" s="81">
        <f>Inv_SY_B!CB17/Inv_SY_B!$FG17-1</f>
        <v>-7.6587488778167012E-3</v>
      </c>
      <c r="CC17" s="81">
        <f>Inv_SY_B!CC17/Inv_SY_B!$FG17-1</f>
        <v>-1.3541792431813193E-2</v>
      </c>
      <c r="CD17" s="81">
        <f>Inv_SY_B!CD17/Inv_SY_B!$FG17-1</f>
        <v>-1.493525086589631E-2</v>
      </c>
      <c r="CE17" s="81">
        <f>Inv_SY_B!CE17/Inv_SY_B!$FG17-1</f>
        <v>-2.2466223631096294E-2</v>
      </c>
      <c r="CF17" s="81">
        <f>Inv_SY_B!CF17/Inv_SY_B!$FG17-1</f>
        <v>-2.0634136200273878E-2</v>
      </c>
      <c r="CG17" s="81">
        <f>Inv_SY_B!CG17/Inv_SY_B!$FG17-1</f>
        <v>-2.2217974101986782E-2</v>
      </c>
      <c r="CH17" s="81">
        <f>Inv_SY_B!CH17/Inv_SY_B!$FG17-1</f>
        <v>-3.0378233913470609E-2</v>
      </c>
      <c r="CI17" s="81">
        <f>Inv_SY_B!CI17/Inv_SY_B!$FG17-1</f>
        <v>-2.2578615208951769E-2</v>
      </c>
      <c r="CJ17" s="81">
        <f>Inv_SY_B!CJ17/Inv_SY_B!$FG17-1</f>
        <v>-2.7998541982062863E-2</v>
      </c>
      <c r="CK17" s="81">
        <f>Inv_SY_B!CK17/Inv_SY_B!$FG17-1</f>
        <v>-1.9881217340417701E-2</v>
      </c>
      <c r="CL17" s="81">
        <f>Inv_SY_B!CL17/Inv_SY_B!$FG17-1</f>
        <v>-2.596315046118991E-2</v>
      </c>
      <c r="CM17" s="81">
        <f>Inv_SY_B!CM17/Inv_SY_B!$FG17-1</f>
        <v>-3.8112095853151118E-3</v>
      </c>
      <c r="CN17" s="81">
        <f>Inv_SY_B!CN17/Inv_SY_B!$FG17-1</f>
        <v>-1.6788402604133723E-2</v>
      </c>
      <c r="CO17" s="81">
        <f>Inv_SY_B!CO17/Inv_SY_B!$FG17-1</f>
        <v>-9.3904927007212313E-3</v>
      </c>
      <c r="CP17" s="81">
        <f>Inv_SY_B!CP17/Inv_SY_B!$FG17-1</f>
        <v>-2.372446362875591E-3</v>
      </c>
      <c r="CQ17" s="81">
        <f>Inv_SY_B!CQ17/Inv_SY_B!$FG17-1</f>
        <v>-6.1372650009978713E-3</v>
      </c>
      <c r="CR17" s="81">
        <f>Inv_SY_B!CR17/Inv_SY_B!$FG17-1</f>
        <v>1.4122293477532022E-3</v>
      </c>
      <c r="CS17" s="81">
        <f>Inv_SY_B!CS17/Inv_SY_B!$FG17-1</f>
        <v>-9.4286519337388741E-3</v>
      </c>
      <c r="CT17" s="81">
        <f>Inv_SY_B!CT17/Inv_SY_B!$FG17-1</f>
        <v>-1.1968271126399088E-3</v>
      </c>
      <c r="CU17" s="81">
        <f>Inv_SY_B!CU17/Inv_SY_B!$FG17-1</f>
        <v>5.6168708243919951E-3</v>
      </c>
      <c r="CV17" s="81">
        <f>Inv_SY_B!CV17/Inv_SY_B!$FG17-1</f>
        <v>8.9218615232522502E-4</v>
      </c>
      <c r="CW17" s="81">
        <f>Inv_SY_B!CW17/Inv_SY_B!$FG17-1</f>
        <v>1.775529810697174E-3</v>
      </c>
      <c r="CX17" s="81">
        <f>Inv_SY_B!CX17/Inv_SY_B!$FG17-1</f>
        <v>2.3019144792013613E-3</v>
      </c>
      <c r="CY17" s="81">
        <f>Inv_SY_B!CY17/Inv_SY_B!$FG17-1</f>
        <v>-1.8605860352899239E-2</v>
      </c>
      <c r="CZ17" s="81">
        <f>Inv_SY_B!CZ17/Inv_SY_B!$FG17-1</f>
        <v>-7.2573315966284468E-4</v>
      </c>
      <c r="DA17" s="81">
        <f>Inv_SY_B!DA17/Inv_SY_B!$FG17-1</f>
        <v>-8.0040355893803428E-3</v>
      </c>
      <c r="DB17" s="81">
        <f>Inv_SY_B!DB17/Inv_SY_B!$FG17-1</f>
        <v>-7.3058485736857692E-3</v>
      </c>
      <c r="DC17" s="81">
        <f>Inv_SY_B!DC17/Inv_SY_B!$FG17-1</f>
        <v>-9.0194285787688067E-3</v>
      </c>
      <c r="DD17" s="81">
        <f>Inv_SY_B!DD17/Inv_SY_B!$FG17-1</f>
        <v>-1.1920707786655549E-2</v>
      </c>
      <c r="DE17" s="81">
        <f>Inv_SY_B!DE17/Inv_SY_B!$FG17-1</f>
        <v>-6.2441045428324182E-3</v>
      </c>
      <c r="DF17" s="81">
        <f>Inv_SY_B!DF17/Inv_SY_B!$FG17-1</f>
        <v>-1.4533102761347227E-2</v>
      </c>
      <c r="DG17" s="81">
        <f>Inv_SY_B!DG17/Inv_SY_B!$FG17-1</f>
        <v>-9.7819123402209662E-3</v>
      </c>
      <c r="DH17" s="81">
        <f>Inv_SY_B!DH17/Inv_SY_B!$FG17-1</f>
        <v>-1.7498545623100492E-2</v>
      </c>
      <c r="DI17" s="81">
        <f>Inv_SY_B!DI17/Inv_SY_B!$FG17-1</f>
        <v>4.0856708172665179E-5</v>
      </c>
      <c r="DJ17" s="81">
        <f>Inv_SY_B!DJ17/Inv_SY_B!$FG17-1</f>
        <v>-1.0174063800627575E-2</v>
      </c>
      <c r="DK17" s="81">
        <f>Inv_SY_B!DK17/Inv_SY_B!$FG17-1</f>
        <v>-1.9924012239842082E-2</v>
      </c>
      <c r="DL17" s="81">
        <f>Inv_SY_B!DL17/Inv_SY_B!$FG17-1</f>
        <v>-9.2337336753784971E-3</v>
      </c>
      <c r="DM17" s="81">
        <f>Inv_SY_B!DM17/Inv_SY_B!$FG17-1</f>
        <v>-1.2572345459313516E-2</v>
      </c>
      <c r="DN17" s="81">
        <f>Inv_SY_B!DN17/Inv_SY_B!$FG17-1</f>
        <v>-2.8835593774168E-3</v>
      </c>
      <c r="DO17" s="81">
        <f>Inv_SY_B!DO17/Inv_SY_B!$FG17-1</f>
        <v>-5.7898341908557693E-4</v>
      </c>
      <c r="DP17" s="81">
        <f>Inv_SY_B!DP17/Inv_SY_B!$FG17-1</f>
        <v>-8.7857170810058394E-3</v>
      </c>
      <c r="DQ17" s="81">
        <f>Inv_SY_B!DQ17/Inv_SY_B!$FG17-1</f>
        <v>-8.0781137873321418E-3</v>
      </c>
      <c r="DR17" s="81">
        <f>Inv_SY_B!DR17/Inv_SY_B!$FG17-1</f>
        <v>-1.5910494254511298E-2</v>
      </c>
      <c r="DS17" s="81">
        <f>Inv_SY_B!DS17/Inv_SY_B!$FG17-1</f>
        <v>-1.2788026480198278E-2</v>
      </c>
      <c r="DT17" s="81">
        <f>Inv_SY_B!DT17/Inv_SY_B!$FG17-1</f>
        <v>-1.1977919363944212E-2</v>
      </c>
      <c r="DU17" s="81">
        <f>Inv_SY_B!DU17/Inv_SY_B!$FG17-1</f>
        <v>4.1212581529936898E-3</v>
      </c>
      <c r="DV17" s="81">
        <f>Inv_SY_B!DV17/Inv_SY_B!$FG17-1</f>
        <v>-5.9199689536729716E-3</v>
      </c>
      <c r="DW17" s="81">
        <f>Inv_SY_B!DW17/Inv_SY_B!$FG17-1</f>
        <v>5.1305817298263889E-3</v>
      </c>
      <c r="DX17" s="81">
        <f>Inv_SY_B!DX17/Inv_SY_B!$FG17-1</f>
        <v>-1.1156502359161657E-2</v>
      </c>
      <c r="DY17" s="81">
        <f>Inv_SY_B!DY17/Inv_SY_B!$FG17-1</f>
        <v>-1.4534511857503873E-2</v>
      </c>
      <c r="DZ17" s="81">
        <f>Inv_SY_B!DZ17/Inv_SY_B!$FG17-1</f>
        <v>-1.0776206374950248E-2</v>
      </c>
      <c r="EA17" s="81">
        <f>Inv_SY_B!EA17/Inv_SY_B!$FG17-1</f>
        <v>-1.0514360522468236E-2</v>
      </c>
      <c r="EB17" s="81">
        <f>Inv_SY_B!EB17/Inv_SY_B!$FG17-1</f>
        <v>-7.8594386024311014E-5</v>
      </c>
      <c r="EC17" s="81">
        <f>Inv_SY_B!EC17/Inv_SY_B!$FG17-1</f>
        <v>-1.0431933944924476E-2</v>
      </c>
      <c r="ED17" s="81">
        <f>Inv_SY_B!ED17/Inv_SY_B!$FG17-1</f>
        <v>-1.5137092613964565E-2</v>
      </c>
      <c r="EE17" s="81">
        <f>Inv_SY_B!EE17/Inv_SY_B!$FG17-1</f>
        <v>-8.4550895057974307E-3</v>
      </c>
      <c r="EF17" s="81">
        <f>Inv_SY_B!EF17/Inv_SY_B!$FG17-1</f>
        <v>-1.4130302559985042E-2</v>
      </c>
      <c r="EG17" s="81">
        <f>Inv_SY_B!EG17/Inv_SY_B!$FG17-1</f>
        <v>-2.0950126658911938E-2</v>
      </c>
      <c r="EH17" s="81">
        <f>Inv_SY_B!EH17/Inv_SY_B!$FG17-1</f>
        <v>-1.728788574767548E-2</v>
      </c>
      <c r="EI17" s="81">
        <f>Inv_SY_B!EI17/Inv_SY_B!$FG17-1</f>
        <v>1.6424896367364772E-2</v>
      </c>
      <c r="EJ17" s="81">
        <f>Inv_SY_B!EJ17/Inv_SY_B!$FG17-1</f>
        <v>1.9882343586638651E-2</v>
      </c>
      <c r="EK17" s="81">
        <f>Inv_SY_B!EK17/Inv_SY_B!$FG17-1</f>
        <v>2.2892334594091235E-2</v>
      </c>
      <c r="EL17" s="81">
        <f>Inv_SY_B!EL17/Inv_SY_B!$FG17-1</f>
        <v>2.418870305824572E-2</v>
      </c>
      <c r="EM17" s="81">
        <f>Inv_SY_B!EM17/Inv_SY_B!$FG17-1</f>
        <v>2.5540659152944567E-2</v>
      </c>
      <c r="EN17" s="81">
        <f>Inv_SY_B!EN17/Inv_SY_B!$FG17-1</f>
        <v>1.1249711149351027E-2</v>
      </c>
      <c r="EO17" s="81">
        <f>Inv_SY_B!EO17/Inv_SY_B!$FG17-1</f>
        <v>1.7082083158220795E-2</v>
      </c>
      <c r="EP17" s="81">
        <f>Inv_SY_B!EP17/Inv_SY_B!$FG17-1</f>
        <v>-9.6984770513064422E-4</v>
      </c>
      <c r="EQ17" s="81">
        <f>Inv_SY_B!EQ17/Inv_SY_B!$FG17-1</f>
        <v>1.805130646466413E-2</v>
      </c>
      <c r="ER17" s="81">
        <f>Inv_SY_B!ER17/Inv_SY_B!$FG17-1</f>
        <v>1.679940281256509E-2</v>
      </c>
      <c r="ES17" s="81">
        <f>Inv_SY_B!ES17/Inv_SY_B!$FG17-1</f>
        <v>1.5929273807438582E-2</v>
      </c>
      <c r="ET17" s="81">
        <f>Inv_SY_B!ET17/Inv_SY_B!$FG17-1</f>
        <v>1.4629253601131431E-2</v>
      </c>
      <c r="EU17" s="81">
        <f>Inv_SY_B!EU17/Inv_SY_B!$FG17-1</f>
        <v>1.5797811089946823E-2</v>
      </c>
      <c r="EV17" s="81">
        <f>Inv_SY_B!EV17/Inv_SY_B!$FG17-1</f>
        <v>6.2267977826826471E-3</v>
      </c>
      <c r="EW17" s="81">
        <f>Inv_SY_B!EW17/Inv_SY_B!$FG17-1</f>
        <v>2.0404027347616926E-2</v>
      </c>
      <c r="EX17" s="81">
        <f>Inv_SY_B!EX17/Inv_SY_B!$FG17-1</f>
        <v>2.3188937206703786E-2</v>
      </c>
      <c r="EY17" s="81">
        <f>Inv_SY_B!EY17/Inv_SY_B!$FG17-1</f>
        <v>2.039972122859246E-2</v>
      </c>
      <c r="EZ17" s="81">
        <f>Inv_SY_B!EZ17/Inv_SY_B!$FG17-1</f>
        <v>1.5963965357887577E-2</v>
      </c>
      <c r="FA17" s="81">
        <f>Inv_SY_B!FA17/Inv_SY_B!$FG17-1</f>
        <v>1.930571517659696E-2</v>
      </c>
      <c r="FB17" s="81">
        <f>Inv_SY_B!FB17/Inv_SY_B!$FG17-1</f>
        <v>1.1700353520224027E-2</v>
      </c>
      <c r="FC17" s="81">
        <f>Inv_SY_B!FC17/Inv_SY_B!$FG17-1</f>
        <v>1.3774543062871292E-2</v>
      </c>
      <c r="FD17" s="81">
        <f>Inv_SY_B!FD17/Inv_SY_B!$FG17-1</f>
        <v>1.4473141624109953E-2</v>
      </c>
      <c r="FE17" s="81">
        <f>Inv_SY_B!FE17/Inv_SY_B!$FG17-1</f>
        <v>1.2190092717793588E-2</v>
      </c>
      <c r="FF17" s="81">
        <f>Inv_SY_B!FF17/Inv_SY_B!$FG17-1</f>
        <v>1.9496569422708721E-2</v>
      </c>
    </row>
    <row r="18" spans="2:162">
      <c r="B18" s="104">
        <f t="shared" si="0"/>
        <v>45841</v>
      </c>
      <c r="C18" s="81">
        <f>Inv_SY_B!C18/Inv_SY_B!$FG18-1</f>
        <v>2.7606353122631155E-2</v>
      </c>
      <c r="D18" s="81">
        <f>Inv_SY_B!D18/Inv_SY_B!$FG18-1</f>
        <v>5.2238096747713181E-2</v>
      </c>
      <c r="E18" s="81">
        <f>Inv_SY_B!E18/Inv_SY_B!$FG18-1</f>
        <v>4.816205864662737E-2</v>
      </c>
      <c r="F18" s="81">
        <f>Inv_SY_B!F18/Inv_SY_B!$FG18-1</f>
        <v>4.1855647279993358E-2</v>
      </c>
      <c r="G18" s="81">
        <f>Inv_SY_B!G18/Inv_SY_B!$FG18-1</f>
        <v>6.0212953902011757E-2</v>
      </c>
      <c r="H18" s="81">
        <f>Inv_SY_B!H18/Inv_SY_B!$FG18-1</f>
        <v>5.7709734850801331E-2</v>
      </c>
      <c r="I18" s="81">
        <f>Inv_SY_B!I18/Inv_SY_B!$FG18-1</f>
        <v>5.6225525324862469E-2</v>
      </c>
      <c r="J18" s="81">
        <f>Inv_SY_B!J18/Inv_SY_B!$FG18-1</f>
        <v>8.0407086731000277E-3</v>
      </c>
      <c r="K18" s="81">
        <f>Inv_SY_B!K18/Inv_SY_B!$FG18-1</f>
        <v>4.8206363408595632E-2</v>
      </c>
      <c r="L18" s="81">
        <f>Inv_SY_B!L18/Inv_SY_B!$FG18-1</f>
        <v>4.2578848185655715E-2</v>
      </c>
      <c r="M18" s="81">
        <f>Inv_SY_B!M18/Inv_SY_B!$FG18-1</f>
        <v>4.8146760298224844E-2</v>
      </c>
      <c r="N18" s="81">
        <f>Inv_SY_B!N18/Inv_SY_B!$FG18-1</f>
        <v>4.5813906262306192E-2</v>
      </c>
      <c r="O18" s="81">
        <f>Inv_SY_B!O18/Inv_SY_B!$FG18-1</f>
        <v>5.1469193880676833E-2</v>
      </c>
      <c r="P18" s="81">
        <f>Inv_SY_B!P18/Inv_SY_B!$FG18-1</f>
        <v>4.5149334832781163E-2</v>
      </c>
      <c r="Q18" s="81">
        <f>Inv_SY_B!Q18/Inv_SY_B!$FG18-1</f>
        <v>-1.0076550960735564E-2</v>
      </c>
      <c r="R18" s="81">
        <f>Inv_SY_B!R18/Inv_SY_B!$FG18-1</f>
        <v>3.1392706241616386E-2</v>
      </c>
      <c r="S18" s="81">
        <f>Inv_SY_B!S18/Inv_SY_B!$FG18-1</f>
        <v>3.9234649110009956E-2</v>
      </c>
      <c r="T18" s="81">
        <f>Inv_SY_B!T18/Inv_SY_B!$FG18-1</f>
        <v>-3.4111884328551723E-2</v>
      </c>
      <c r="U18" s="81">
        <f>Inv_SY_B!U18/Inv_SY_B!$FG18-1</f>
        <v>4.1006839588742849E-2</v>
      </c>
      <c r="V18" s="81">
        <f>Inv_SY_B!V18/Inv_SY_B!$FG18-1</f>
        <v>4.743103007415006E-2</v>
      </c>
      <c r="W18" s="81">
        <f>Inv_SY_B!W18/Inv_SY_B!$FG18-1</f>
        <v>3.1195114670316437E-2</v>
      </c>
      <c r="X18" s="81">
        <f>Inv_SY_B!X18/Inv_SY_B!$FG18-1</f>
        <v>-4.2478100213570347E-2</v>
      </c>
      <c r="Y18" s="81">
        <f>Inv_SY_B!Y18/Inv_SY_B!$FG18-1</f>
        <v>2.3405342806407825E-2</v>
      </c>
      <c r="Z18" s="81">
        <f>Inv_SY_B!Z18/Inv_SY_B!$FG18-1</f>
        <v>2.593920540045902E-2</v>
      </c>
      <c r="AA18" s="81">
        <f>Inv_SY_B!AA18/Inv_SY_B!$FG18-1</f>
        <v>-4.2264514340248027E-2</v>
      </c>
      <c r="AB18" s="81">
        <f>Inv_SY_B!AB18/Inv_SY_B!$FG18-1</f>
        <v>-6.2463999137839288E-2</v>
      </c>
      <c r="AC18" s="81">
        <f>Inv_SY_B!AC18/Inv_SY_B!$FG18-1</f>
        <v>-0.13062893203898041</v>
      </c>
      <c r="AD18" s="81">
        <f>Inv_SY_B!AD18/Inv_SY_B!$FG18-1</f>
        <v>-8.1317869793102293E-2</v>
      </c>
      <c r="AE18" s="81">
        <f>Inv_SY_B!AE18/Inv_SY_B!$FG18-1</f>
        <v>-2.6377011301581543E-2</v>
      </c>
      <c r="AF18" s="81">
        <f>Inv_SY_B!AF18/Inv_SY_B!$FG18-1</f>
        <v>-2.4919698458221173E-2</v>
      </c>
      <c r="AG18" s="81">
        <f>Inv_SY_B!AG18/Inv_SY_B!$FG18-1</f>
        <v>-2.8681326273744312E-2</v>
      </c>
      <c r="AH18" s="81">
        <f>Inv_SY_B!AH18/Inv_SY_B!$FG18-1</f>
        <v>-2.5895073946392788E-2</v>
      </c>
      <c r="AI18" s="81">
        <f>Inv_SY_B!AI18/Inv_SY_B!$FG18-1</f>
        <v>4.4772744356050609E-2</v>
      </c>
      <c r="AJ18" s="81">
        <f>Inv_SY_B!AJ18/Inv_SY_B!$FG18-1</f>
        <v>4.6855068168561775E-2</v>
      </c>
      <c r="AK18" s="81">
        <f>Inv_SY_B!AK18/Inv_SY_B!$FG18-1</f>
        <v>5.5095753894670141E-2</v>
      </c>
      <c r="AL18" s="81">
        <f>Inv_SY_B!AL18/Inv_SY_B!$FG18-1</f>
        <v>3.9699849110677254E-2</v>
      </c>
      <c r="AM18" s="81">
        <f>Inv_SY_B!AM18/Inv_SY_B!$FG18-1</f>
        <v>4.7120896740371787E-2</v>
      </c>
      <c r="AN18" s="81">
        <f>Inv_SY_B!AN18/Inv_SY_B!$FG18-1</f>
        <v>2.5503062002369958E-3</v>
      </c>
      <c r="AO18" s="81">
        <f>Inv_SY_B!AO18/Inv_SY_B!$FG18-1</f>
        <v>3.1702839575394659E-2</v>
      </c>
      <c r="AP18" s="81">
        <f>Inv_SY_B!AP18/Inv_SY_B!$FG18-1</f>
        <v>1.2607487167046738E-2</v>
      </c>
      <c r="AQ18" s="81">
        <f>Inv_SY_B!AQ18/Inv_SY_B!$FG18-1</f>
        <v>4.5178862714443824E-2</v>
      </c>
      <c r="AR18" s="81">
        <f>Inv_SY_B!AR18/Inv_SY_B!$FG18-1</f>
        <v>-1.6548756874415482E-2</v>
      </c>
      <c r="AS18" s="81">
        <f>Inv_SY_B!AS18/Inv_SY_B!$FG18-1</f>
        <v>5.523303042382266E-2</v>
      </c>
      <c r="AT18" s="81">
        <f>Inv_SY_B!AT18/Inv_SY_B!$FG18-1</f>
        <v>-1.2662779339894015E-2</v>
      </c>
      <c r="AU18" s="81">
        <f>Inv_SY_B!AU18/Inv_SY_B!$FG18-1</f>
        <v>5.3690035864366603E-3</v>
      </c>
      <c r="AV18" s="81">
        <f>Inv_SY_B!AV18/Inv_SY_B!$FG18-1</f>
        <v>-2.4152685046864075E-2</v>
      </c>
      <c r="AW18" s="81">
        <f>Inv_SY_B!AW18/Inv_SY_B!$FG18-1</f>
        <v>4.7653349121680844E-2</v>
      </c>
      <c r="AX18" s="81">
        <f>Inv_SY_B!AX18/Inv_SY_B!$FG18-1</f>
        <v>4.8412592759136563E-2</v>
      </c>
      <c r="AY18" s="81">
        <f>Inv_SY_B!AY18/Inv_SY_B!$FG18-1</f>
        <v>-5.0023372609760086E-2</v>
      </c>
      <c r="AZ18" s="81">
        <f>Inv_SY_B!AZ18/Inv_SY_B!$FG18-1</f>
        <v>-1.3417605673710642E-2</v>
      </c>
      <c r="BA18" s="81">
        <f>Inv_SY_B!BA18/Inv_SY_B!$FG18-1</f>
        <v>2.3931396255242765E-2</v>
      </c>
      <c r="BB18" s="81">
        <f>Inv_SY_B!BB18/Inv_SY_B!$FG18-1</f>
        <v>3.1257801702732513E-2</v>
      </c>
      <c r="BC18" s="81">
        <f>Inv_SY_B!BC18/Inv_SY_B!$FG18-1</f>
        <v>-5.6253579128929476E-2</v>
      </c>
      <c r="BD18" s="81">
        <f>Inv_SY_B!BD18/Inv_SY_B!$FG18-1</f>
        <v>2.7060890445500529E-2</v>
      </c>
      <c r="BE18" s="81">
        <f>Inv_SY_B!BE18/Inv_SY_B!$FG18-1</f>
        <v>1.0307461610427282E-2</v>
      </c>
      <c r="BF18" s="81">
        <f>Inv_SY_B!BF18/Inv_SY_B!$FG18-1</f>
        <v>-5.5455624488760846E-2</v>
      </c>
      <c r="BG18" s="81">
        <f>Inv_SY_B!BG18/Inv_SY_B!$FG18-1</f>
        <v>-2.708114055429256E-2</v>
      </c>
      <c r="BH18" s="81">
        <f>Inv_SY_B!BH18/Inv_SY_B!$FG18-1</f>
        <v>4.1701417482076231E-3</v>
      </c>
      <c r="BI18" s="81">
        <f>Inv_SY_B!BI18/Inv_SY_B!$FG18-1</f>
        <v>2.860164010700661E-4</v>
      </c>
      <c r="BJ18" s="81">
        <f>Inv_SY_B!BJ18/Inv_SY_B!$FG18-1</f>
        <v>1.8172242582821907E-2</v>
      </c>
      <c r="BK18" s="81">
        <f>Inv_SY_B!BK18/Inv_SY_B!$FG18-1</f>
        <v>-4.8964353766359103E-2</v>
      </c>
      <c r="BL18" s="81">
        <f>Inv_SY_B!BL18/Inv_SY_B!$FG18-1</f>
        <v>1.1622497369715434E-2</v>
      </c>
      <c r="BM18" s="81">
        <f>Inv_SY_B!BM18/Inv_SY_B!$FG18-1</f>
        <v>-8.0015849033368003E-3</v>
      </c>
      <c r="BN18" s="81">
        <f>Inv_SY_B!BN18/Inv_SY_B!$FG18-1</f>
        <v>-6.2662583600308075E-3</v>
      </c>
      <c r="BO18" s="81">
        <f>Inv_SY_B!BO18/Inv_SY_B!$FG18-1</f>
        <v>3.4100927175639839E-3</v>
      </c>
      <c r="BP18" s="81">
        <f>Inv_SY_B!BP18/Inv_SY_B!$FG18-1</f>
        <v>-8.1467388878175839E-3</v>
      </c>
      <c r="BQ18" s="81">
        <f>Inv_SY_B!BQ18/Inv_SY_B!$FG18-1</f>
        <v>-4.7615240470866294E-2</v>
      </c>
      <c r="BR18" s="81">
        <f>Inv_SY_B!BR18/Inv_SY_B!$FG18-1</f>
        <v>-4.2093003958050934E-2</v>
      </c>
      <c r="BS18" s="81">
        <f>Inv_SY_B!BS18/Inv_SY_B!$FG18-1</f>
        <v>-1.5519377815345736E-2</v>
      </c>
      <c r="BT18" s="81">
        <f>Inv_SY_B!BT18/Inv_SY_B!$FG18-1</f>
        <v>-8.1692677939537717E-3</v>
      </c>
      <c r="BU18" s="81">
        <f>Inv_SY_B!BU18/Inv_SY_B!$FG18-1</f>
        <v>-8.3922563536553696E-4</v>
      </c>
      <c r="BV18" s="81">
        <f>Inv_SY_B!BV18/Inv_SY_B!$FG18-1</f>
        <v>-6.7932876293532618E-2</v>
      </c>
      <c r="BW18" s="81">
        <f>Inv_SY_B!BW18/Inv_SY_B!$FG18-1</f>
        <v>1.5204372263940114E-2</v>
      </c>
      <c r="BX18" s="81">
        <f>Inv_SY_B!BX18/Inv_SY_B!$FG18-1</f>
        <v>-3.4775478447150787E-2</v>
      </c>
      <c r="BY18" s="81">
        <f>Inv_SY_B!BY18/Inv_SY_B!$FG18-1</f>
        <v>2.0611880829323859E-2</v>
      </c>
      <c r="BZ18" s="81">
        <f>Inv_SY_B!BZ18/Inv_SY_B!$FG18-1</f>
        <v>3.3871395014710703E-3</v>
      </c>
      <c r="CA18" s="81">
        <f>Inv_SY_B!CA18/Inv_SY_B!$FG18-1</f>
        <v>1.0657701086325133E-4</v>
      </c>
      <c r="CB18" s="81">
        <f>Inv_SY_B!CB18/Inv_SY_B!$FG18-1</f>
        <v>2.1946792537588466E-2</v>
      </c>
      <c r="CC18" s="81">
        <f>Inv_SY_B!CC18/Inv_SY_B!$FG18-1</f>
        <v>-2.0650093379533163E-2</v>
      </c>
      <c r="CD18" s="81">
        <f>Inv_SY_B!CD18/Inv_SY_B!$FG18-1</f>
        <v>-3.0630603403448697E-3</v>
      </c>
      <c r="CE18" s="81">
        <f>Inv_SY_B!CE18/Inv_SY_B!$FG18-1</f>
        <v>-5.99450161291748E-3</v>
      </c>
      <c r="CF18" s="81">
        <f>Inv_SY_B!CF18/Inv_SY_B!$FG18-1</f>
        <v>-5.7715487450571423E-4</v>
      </c>
      <c r="CG18" s="81">
        <f>Inv_SY_B!CG18/Inv_SY_B!$FG18-1</f>
        <v>-6.4555168244118111E-3</v>
      </c>
      <c r="CH18" s="81">
        <f>Inv_SY_B!CH18/Inv_SY_B!$FG18-1</f>
        <v>-7.0431170226005535E-2</v>
      </c>
      <c r="CI18" s="81">
        <f>Inv_SY_B!CI18/Inv_SY_B!$FG18-1</f>
        <v>-1.1191048171814599E-2</v>
      </c>
      <c r="CJ18" s="81">
        <f>Inv_SY_B!CJ18/Inv_SY_B!$FG18-1</f>
        <v>-7.1377826646532805E-2</v>
      </c>
      <c r="CK18" s="81">
        <f>Inv_SY_B!CK18/Inv_SY_B!$FG18-1</f>
        <v>-8.833143786059483E-3</v>
      </c>
      <c r="CL18" s="81">
        <f>Inv_SY_B!CL18/Inv_SY_B!$FG18-1</f>
        <v>-8.0017383785496499E-2</v>
      </c>
      <c r="CM18" s="81">
        <f>Inv_SY_B!CM18/Inv_SY_B!$FG18-1</f>
        <v>-1.9450726552415754E-2</v>
      </c>
      <c r="CN18" s="81">
        <f>Inv_SY_B!CN18/Inv_SY_B!$FG18-1</f>
        <v>-1.6553027580671342E-2</v>
      </c>
      <c r="CO18" s="81">
        <f>Inv_SY_B!CO18/Inv_SY_B!$FG18-1</f>
        <v>-5.9750554863412519E-3</v>
      </c>
      <c r="CP18" s="81">
        <f>Inv_SY_B!CP18/Inv_SY_B!$FG18-1</f>
        <v>-3.9459146042572502E-2</v>
      </c>
      <c r="CQ18" s="81">
        <f>Inv_SY_B!CQ18/Inv_SY_B!$FG18-1</f>
        <v>1.5252838858412776E-3</v>
      </c>
      <c r="CR18" s="81">
        <f>Inv_SY_B!CR18/Inv_SY_B!$FG18-1</f>
        <v>1.1619196763843265E-2</v>
      </c>
      <c r="CS18" s="81">
        <f>Inv_SY_B!CS18/Inv_SY_B!$FG18-1</f>
        <v>-1.4534804166536408E-2</v>
      </c>
      <c r="CT18" s="81">
        <f>Inv_SY_B!CT18/Inv_SY_B!$FG18-1</f>
        <v>5.5804691225174174E-3</v>
      </c>
      <c r="CU18" s="81">
        <f>Inv_SY_B!CU18/Inv_SY_B!$FG18-1</f>
        <v>8.9270905903380271E-3</v>
      </c>
      <c r="CV18" s="81">
        <f>Inv_SY_B!CV18/Inv_SY_B!$FG18-1</f>
        <v>-3.1934653830949511E-3</v>
      </c>
      <c r="CW18" s="81">
        <f>Inv_SY_B!CW18/Inv_SY_B!$FG18-1</f>
        <v>-2.3952771426863695E-2</v>
      </c>
      <c r="CX18" s="81">
        <f>Inv_SY_B!CX18/Inv_SY_B!$FG18-1</f>
        <v>5.6396701063592403E-3</v>
      </c>
      <c r="CY18" s="81">
        <f>Inv_SY_B!CY18/Inv_SY_B!$FG18-1</f>
        <v>-3.3831979764658127E-2</v>
      </c>
      <c r="CZ18" s="81">
        <f>Inv_SY_B!CZ18/Inv_SY_B!$FG18-1</f>
        <v>4.6618389989654396E-3</v>
      </c>
      <c r="DA18" s="81">
        <f>Inv_SY_B!DA18/Inv_SY_B!$FG18-1</f>
        <v>-1.284191832475301E-3</v>
      </c>
      <c r="DB18" s="81">
        <f>Inv_SY_B!DB18/Inv_SY_B!$FG18-1</f>
        <v>-8.0887208983598802E-3</v>
      </c>
      <c r="DC18" s="81">
        <f>Inv_SY_B!DC18/Inv_SY_B!$FG18-1</f>
        <v>6.912765227287343E-3</v>
      </c>
      <c r="DD18" s="81">
        <f>Inv_SY_B!DD18/Inv_SY_B!$FG18-1</f>
        <v>-5.2904564183500202E-3</v>
      </c>
      <c r="DE18" s="81">
        <f>Inv_SY_B!DE18/Inv_SY_B!$FG18-1</f>
        <v>9.7659762977790887E-3</v>
      </c>
      <c r="DF18" s="81">
        <f>Inv_SY_B!DF18/Inv_SY_B!$FG18-1</f>
        <v>-1.0188231203595022E-3</v>
      </c>
      <c r="DG18" s="81">
        <f>Inv_SY_B!DG18/Inv_SY_B!$FG18-1</f>
        <v>-1.5078083893081073E-2</v>
      </c>
      <c r="DH18" s="81">
        <f>Inv_SY_B!DH18/Inv_SY_B!$FG18-1</f>
        <v>-2.1697118908954871E-2</v>
      </c>
      <c r="DI18" s="81">
        <f>Inv_SY_B!DI18/Inv_SY_B!$FG18-1</f>
        <v>2.3747603101396564E-2</v>
      </c>
      <c r="DJ18" s="81">
        <f>Inv_SY_B!DJ18/Inv_SY_B!$FG18-1</f>
        <v>-4.1127785677902984E-2</v>
      </c>
      <c r="DK18" s="81">
        <f>Inv_SY_B!DK18/Inv_SY_B!$FG18-1</f>
        <v>-1.1538345508223857E-2</v>
      </c>
      <c r="DL18" s="81">
        <f>Inv_SY_B!DL18/Inv_SY_B!$FG18-1</f>
        <v>-1.5078083893081073E-2</v>
      </c>
      <c r="DM18" s="81">
        <f>Inv_SY_B!DM18/Inv_SY_B!$FG18-1</f>
        <v>-3.0407417805379811E-2</v>
      </c>
      <c r="DN18" s="81">
        <f>Inv_SY_B!DN18/Inv_SY_B!$FG18-1</f>
        <v>-2.4553846526820466E-2</v>
      </c>
      <c r="DO18" s="81">
        <f>Inv_SY_B!DO18/Inv_SY_B!$FG18-1</f>
        <v>-9.4246442280843112E-4</v>
      </c>
      <c r="DP18" s="81">
        <f>Inv_SY_B!DP18/Inv_SY_B!$FG18-1</f>
        <v>-1.510069536767511E-2</v>
      </c>
      <c r="DQ18" s="81">
        <f>Inv_SY_B!DQ18/Inv_SY_B!$FG18-1</f>
        <v>-1.6049782261822299E-2</v>
      </c>
      <c r="DR18" s="81">
        <f>Inv_SY_B!DR18/Inv_SY_B!$FG18-1</f>
        <v>-4.4824464254635155E-2</v>
      </c>
      <c r="DS18" s="81">
        <f>Inv_SY_B!DS18/Inv_SY_B!$FG18-1</f>
        <v>-1.7079199394658406E-2</v>
      </c>
      <c r="DT18" s="81">
        <f>Inv_SY_B!DT18/Inv_SY_B!$FG18-1</f>
        <v>-7.9522958556471623E-3</v>
      </c>
      <c r="DU18" s="81">
        <f>Inv_SY_B!DU18/Inv_SY_B!$FG18-1</f>
        <v>2.0305032346157548E-2</v>
      </c>
      <c r="DV18" s="81">
        <f>Inv_SY_B!DV18/Inv_SY_B!$FG18-1</f>
        <v>-5.1913432199896192E-2</v>
      </c>
      <c r="DW18" s="81">
        <f>Inv_SY_B!DW18/Inv_SY_B!$FG18-1</f>
        <v>2.9089106593677361E-2</v>
      </c>
      <c r="DX18" s="81">
        <f>Inv_SY_B!DX18/Inv_SY_B!$FG18-1</f>
        <v>-5.7259245136578985E-2</v>
      </c>
      <c r="DY18" s="81">
        <f>Inv_SY_B!DY18/Inv_SY_B!$FG18-1</f>
        <v>-7.2114294245338995E-3</v>
      </c>
      <c r="DZ18" s="81">
        <f>Inv_SY_B!DZ18/Inv_SY_B!$FG18-1</f>
        <v>-5.980733948056649E-3</v>
      </c>
      <c r="EA18" s="81">
        <f>Inv_SY_B!EA18/Inv_SY_B!$FG18-1</f>
        <v>-7.6176919433544099E-2</v>
      </c>
      <c r="EB18" s="81">
        <f>Inv_SY_B!EB18/Inv_SY_B!$FG18-1</f>
        <v>-4.3227295983140346E-3</v>
      </c>
      <c r="EC18" s="81">
        <f>Inv_SY_B!EC18/Inv_SY_B!$FG18-1</f>
        <v>-1.2946069225069801E-2</v>
      </c>
      <c r="ED18" s="81">
        <f>Inv_SY_B!ED18/Inv_SY_B!$FG18-1</f>
        <v>-2.568995184893641E-2</v>
      </c>
      <c r="EE18" s="81">
        <f>Inv_SY_B!EE18/Inv_SY_B!$FG18-1</f>
        <v>-1.3397562076611358E-2</v>
      </c>
      <c r="EF18" s="81">
        <f>Inv_SY_B!EF18/Inv_SY_B!$FG18-1</f>
        <v>-2.4129665436679382E-2</v>
      </c>
      <c r="EG18" s="81">
        <f>Inv_SY_B!EG18/Inv_SY_B!$FG18-1</f>
        <v>-2.4700670252549628E-2</v>
      </c>
      <c r="EH18" s="81">
        <f>Inv_SY_B!EH18/Inv_SY_B!$FG18-1</f>
        <v>-1.3240966664680331E-2</v>
      </c>
      <c r="EI18" s="81">
        <f>Inv_SY_B!EI18/Inv_SY_B!$FG18-1</f>
        <v>5.1269050134574723E-3</v>
      </c>
      <c r="EJ18" s="81">
        <f>Inv_SY_B!EJ18/Inv_SY_B!$FG18-1</f>
        <v>1.515563624904348E-2</v>
      </c>
      <c r="EK18" s="81">
        <f>Inv_SY_B!EK18/Inv_SY_B!$FG18-1</f>
        <v>2.3938891548382912E-2</v>
      </c>
      <c r="EL18" s="81">
        <f>Inv_SY_B!EL18/Inv_SY_B!$FG18-1</f>
        <v>-8.4686573076351301E-3</v>
      </c>
      <c r="EM18" s="81">
        <f>Inv_SY_B!EM18/Inv_SY_B!$FG18-1</f>
        <v>-1.6260416260093224E-3</v>
      </c>
      <c r="EN18" s="81">
        <f>Inv_SY_B!EN18/Inv_SY_B!$FG18-1</f>
        <v>9.9795291133899511E-3</v>
      </c>
      <c r="EO18" s="81">
        <f>Inv_SY_B!EO18/Inv_SY_B!$FG18-1</f>
        <v>-2.604071623661508E-2</v>
      </c>
      <c r="EP18" s="81">
        <f>Inv_SY_B!EP18/Inv_SY_B!$FG18-1</f>
        <v>2.44681304532679E-3</v>
      </c>
      <c r="EQ18" s="81">
        <f>Inv_SY_B!EQ18/Inv_SY_B!$FG18-1</f>
        <v>3.4469960904416341E-2</v>
      </c>
      <c r="ER18" s="81">
        <f>Inv_SY_B!ER18/Inv_SY_B!$FG18-1</f>
        <v>3.4289591563232857E-2</v>
      </c>
      <c r="ES18" s="81">
        <f>Inv_SY_B!ES18/Inv_SY_B!$FG18-1</f>
        <v>-2.5284784517094927E-2</v>
      </c>
      <c r="ET18" s="81">
        <f>Inv_SY_B!ET18/Inv_SY_B!$FG18-1</f>
        <v>1.6742806287667777E-2</v>
      </c>
      <c r="EU18" s="81">
        <f>Inv_SY_B!EU18/Inv_SY_B!$FG18-1</f>
        <v>1.4160337873500017E-2</v>
      </c>
      <c r="EV18" s="81">
        <f>Inv_SY_B!EV18/Inv_SY_B!$FG18-1</f>
        <v>-2.5822509515071812E-2</v>
      </c>
      <c r="EW18" s="81">
        <f>Inv_SY_B!EW18/Inv_SY_B!$FG18-1</f>
        <v>1.7880446103183179E-2</v>
      </c>
      <c r="EX18" s="81">
        <f>Inv_SY_B!EX18/Inv_SY_B!$FG18-1</f>
        <v>3.0113328238439596E-2</v>
      </c>
      <c r="EY18" s="81">
        <f>Inv_SY_B!EY18/Inv_SY_B!$FG18-1</f>
        <v>1.4161794262183669E-2</v>
      </c>
      <c r="EZ18" s="81">
        <f>Inv_SY_B!EZ18/Inv_SY_B!$FG18-1</f>
        <v>4.6545516397640263E-3</v>
      </c>
      <c r="FA18" s="81">
        <f>Inv_SY_B!FA18/Inv_SY_B!$FG18-1</f>
        <v>5.716792453256403E-2</v>
      </c>
      <c r="FB18" s="81">
        <f>Inv_SY_B!FB18/Inv_SY_B!$FG18-1</f>
        <v>9.254862757475113E-3</v>
      </c>
      <c r="FC18" s="81">
        <f>Inv_SY_B!FC18/Inv_SY_B!$FG18-1</f>
        <v>4.7638708645876715E-2</v>
      </c>
      <c r="FD18" s="81">
        <f>Inv_SY_B!FD18/Inv_SY_B!$FG18-1</f>
        <v>4.4288593685712918E-2</v>
      </c>
      <c r="FE18" s="81">
        <f>Inv_SY_B!FE18/Inv_SY_B!$FG18-1</f>
        <v>2.5992601868789933E-2</v>
      </c>
      <c r="FF18" s="81">
        <f>Inv_SY_B!FF18/Inv_SY_B!$FG18-1</f>
        <v>3.5393460860451365E-2</v>
      </c>
    </row>
    <row r="19" spans="2:162">
      <c r="B19" s="104">
        <f t="shared" si="0"/>
        <v>45842</v>
      </c>
      <c r="C19" s="81">
        <f>Inv_SY_B!C19/Inv_SY_B!$FG19-1</f>
        <v>-1.8586032462194924E-2</v>
      </c>
      <c r="D19" s="81">
        <f>Inv_SY_B!D19/Inv_SY_B!$FG19-1</f>
        <v>-4.1456318246846369E-4</v>
      </c>
      <c r="E19" s="81">
        <f>Inv_SY_B!E19/Inv_SY_B!$FG19-1</f>
        <v>-3.4498227848178686E-3</v>
      </c>
      <c r="F19" s="81">
        <f>Inv_SY_B!F19/Inv_SY_B!$FG19-1</f>
        <v>-1.4436275243877583E-3</v>
      </c>
      <c r="G19" s="81">
        <f>Inv_SY_B!G19/Inv_SY_B!$FG19-1</f>
        <v>7.0762284399337183E-3</v>
      </c>
      <c r="H19" s="81">
        <f>Inv_SY_B!H19/Inv_SY_B!$FG19-1</f>
        <v>1.0833078060955126E-2</v>
      </c>
      <c r="I19" s="81">
        <f>Inv_SY_B!I19/Inv_SY_B!$FG19-1</f>
        <v>3.6057240644171706E-3</v>
      </c>
      <c r="J19" s="81">
        <f>Inv_SY_B!J19/Inv_SY_B!$FG19-1</f>
        <v>-5.2790635884537584E-3</v>
      </c>
      <c r="K19" s="81">
        <f>Inv_SY_B!K19/Inv_SY_B!$FG19-1</f>
        <v>3.090302622508645E-3</v>
      </c>
      <c r="L19" s="81">
        <f>Inv_SY_B!L19/Inv_SY_B!$FG19-1</f>
        <v>-2.9688964596182865E-2</v>
      </c>
      <c r="M19" s="81">
        <f>Inv_SY_B!M19/Inv_SY_B!$FG19-1</f>
        <v>1.0317221369012586E-2</v>
      </c>
      <c r="N19" s="81">
        <f>Inv_SY_B!N19/Inv_SY_B!$FG19-1</f>
        <v>6.3088231819812268E-3</v>
      </c>
      <c r="O19" s="81">
        <f>Inv_SY_B!O19/Inv_SY_B!$FG19-1</f>
        <v>1.4025268774118249E-2</v>
      </c>
      <c r="P19" s="81">
        <f>Inv_SY_B!P19/Inv_SY_B!$FG19-1</f>
        <v>2.3993505544349869E-2</v>
      </c>
      <c r="Q19" s="81">
        <f>Inv_SY_B!Q19/Inv_SY_B!$FG19-1</f>
        <v>2.6570612753891831E-2</v>
      </c>
      <c r="R19" s="81">
        <f>Inv_SY_B!R19/Inv_SY_B!$FG19-1</f>
        <v>2.7830531834112548E-2</v>
      </c>
      <c r="S19" s="81">
        <f>Inv_SY_B!S19/Inv_SY_B!$FG19-1</f>
        <v>-8.7738409251573501E-2</v>
      </c>
      <c r="T19" s="81">
        <f>Inv_SY_B!T19/Inv_SY_B!$FG19-1</f>
        <v>-8.3718122004687867E-2</v>
      </c>
      <c r="U19" s="81">
        <f>Inv_SY_B!U19/Inv_SY_B!$FG19-1</f>
        <v>-7.326079363885718E-2</v>
      </c>
      <c r="V19" s="81">
        <f>Inv_SY_B!V19/Inv_SY_B!$FG19-1</f>
        <v>-6.9824650692801082E-2</v>
      </c>
      <c r="W19" s="81">
        <f>Inv_SY_B!W19/Inv_SY_B!$FG19-1</f>
        <v>-8.3309649981050837E-2</v>
      </c>
      <c r="X19" s="81">
        <f>Inv_SY_B!X19/Inv_SY_B!$FG19-1</f>
        <v>-9.0263210729603305E-2</v>
      </c>
      <c r="Y19" s="81">
        <f>Inv_SY_B!Y19/Inv_SY_B!$FG19-1</f>
        <v>-7.5303138416237592E-2</v>
      </c>
      <c r="Z19" s="81">
        <f>Inv_SY_B!Z19/Inv_SY_B!$FG19-1</f>
        <v>-8.3662241730027564E-2</v>
      </c>
      <c r="AA19" s="81">
        <f>Inv_SY_B!AA19/Inv_SY_B!$FG19-1</f>
        <v>-1.9633043945671558E-3</v>
      </c>
      <c r="AB19" s="81">
        <f>Inv_SY_B!AB19/Inv_SY_B!$FG19-1</f>
        <v>-1.8677211241214242E-2</v>
      </c>
      <c r="AC19" s="81">
        <f>Inv_SY_B!AC19/Inv_SY_B!$FG19-1</f>
        <v>-1.6355066747571034E-2</v>
      </c>
      <c r="AD19" s="81">
        <f>Inv_SY_B!AD19/Inv_SY_B!$FG19-1</f>
        <v>-2.0389752979767306E-2</v>
      </c>
      <c r="AE19" s="81">
        <f>Inv_SY_B!AE19/Inv_SY_B!$FG19-1</f>
        <v>1.4439373715117609E-2</v>
      </c>
      <c r="AF19" s="81">
        <f>Inv_SY_B!AF19/Inv_SY_B!$FG19-1</f>
        <v>5.1019442726407904E-2</v>
      </c>
      <c r="AG19" s="81">
        <f>Inv_SY_B!AG19/Inv_SY_B!$FG19-1</f>
        <v>5.2930845628873513E-2</v>
      </c>
      <c r="AH19" s="81">
        <f>Inv_SY_B!AH19/Inv_SY_B!$FG19-1</f>
        <v>2.6173674611345676E-2</v>
      </c>
      <c r="AI19" s="81">
        <f>Inv_SY_B!AI19/Inv_SY_B!$FG19-1</f>
        <v>4.1323119802292752E-2</v>
      </c>
      <c r="AJ19" s="81">
        <f>Inv_SY_B!AJ19/Inv_SY_B!$FG19-1</f>
        <v>3.7932792095517254E-2</v>
      </c>
      <c r="AK19" s="81">
        <f>Inv_SY_B!AK19/Inv_SY_B!$FG19-1</f>
        <v>3.9891393574769118E-2</v>
      </c>
      <c r="AL19" s="81">
        <f>Inv_SY_B!AL19/Inv_SY_B!$FG19-1</f>
        <v>3.5687845370760529E-2</v>
      </c>
      <c r="AM19" s="81">
        <f>Inv_SY_B!AM19/Inv_SY_B!$FG19-1</f>
        <v>5.5697651126627168E-2</v>
      </c>
      <c r="AN19" s="81">
        <f>Inv_SY_B!AN19/Inv_SY_B!$FG19-1</f>
        <v>3.5825291088602995E-2</v>
      </c>
      <c r="AO19" s="81">
        <f>Inv_SY_B!AO19/Inv_SY_B!$FG19-1</f>
        <v>5.475843872137176E-2</v>
      </c>
      <c r="AP19" s="81">
        <f>Inv_SY_B!AP19/Inv_SY_B!$FG19-1</f>
        <v>4.5709928963423963E-2</v>
      </c>
      <c r="AQ19" s="81">
        <f>Inv_SY_B!AQ19/Inv_SY_B!$FG19-1</f>
        <v>0.16025292447182848</v>
      </c>
      <c r="AR19" s="81">
        <f>Inv_SY_B!AR19/Inv_SY_B!$FG19-1</f>
        <v>0.1644997862328279</v>
      </c>
      <c r="AS19" s="81">
        <f>Inv_SY_B!AS19/Inv_SY_B!$FG19-1</f>
        <v>0.16887764439718578</v>
      </c>
      <c r="AT19" s="81">
        <f>Inv_SY_B!AT19/Inv_SY_B!$FG19-1</f>
        <v>0.1518311949498774</v>
      </c>
      <c r="AU19" s="81">
        <f>Inv_SY_B!AU19/Inv_SY_B!$FG19-1</f>
        <v>0.12120908562893851</v>
      </c>
      <c r="AV19" s="81">
        <f>Inv_SY_B!AV19/Inv_SY_B!$FG19-1</f>
        <v>8.1650222054582944E-2</v>
      </c>
      <c r="AW19" s="81">
        <f>Inv_SY_B!AW19/Inv_SY_B!$FG19-1</f>
        <v>0.15596678536192865</v>
      </c>
      <c r="AX19" s="81">
        <f>Inv_SY_B!AX19/Inv_SY_B!$FG19-1</f>
        <v>0.1531898443341253</v>
      </c>
      <c r="AY19" s="81">
        <f>Inv_SY_B!AY19/Inv_SY_B!$FG19-1</f>
        <v>-1.3919773941846181E-2</v>
      </c>
      <c r="AZ19" s="81">
        <f>Inv_SY_B!AZ19/Inv_SY_B!$FG19-1</f>
        <v>8.641707606724669E-4</v>
      </c>
      <c r="BA19" s="81">
        <f>Inv_SY_B!BA19/Inv_SY_B!$FG19-1</f>
        <v>1.2465413169234107E-2</v>
      </c>
      <c r="BB19" s="81">
        <f>Inv_SY_B!BB19/Inv_SY_B!$FG19-1</f>
        <v>1.604022160901275E-2</v>
      </c>
      <c r="BC19" s="81">
        <f>Inv_SY_B!BC19/Inv_SY_B!$FG19-1</f>
        <v>3.4988083959901495E-3</v>
      </c>
      <c r="BD19" s="81">
        <f>Inv_SY_B!BD19/Inv_SY_B!$FG19-1</f>
        <v>2.7185275400558373E-2</v>
      </c>
      <c r="BE19" s="81">
        <f>Inv_SY_B!BE19/Inv_SY_B!$FG19-1</f>
        <v>-9.6814616030085343E-3</v>
      </c>
      <c r="BF19" s="81">
        <f>Inv_SY_B!BF19/Inv_SY_B!$FG19-1</f>
        <v>-1.3324336616783228E-2</v>
      </c>
      <c r="BG19" s="81">
        <f>Inv_SY_B!BG19/Inv_SY_B!$FG19-1</f>
        <v>-1.2782359755330486E-2</v>
      </c>
      <c r="BH19" s="81">
        <f>Inv_SY_B!BH19/Inv_SY_B!$FG19-1</f>
        <v>-2.546437295910986E-2</v>
      </c>
      <c r="BI19" s="81">
        <f>Inv_SY_B!BI19/Inv_SY_B!$FG19-1</f>
        <v>-2.0666388941514846E-3</v>
      </c>
      <c r="BJ19" s="81">
        <f>Inv_SY_B!BJ19/Inv_SY_B!$FG19-1</f>
        <v>-1.8274344951452193E-3</v>
      </c>
      <c r="BK19" s="81">
        <f>Inv_SY_B!BK19/Inv_SY_B!$FG19-1</f>
        <v>-3.0700977156967402E-2</v>
      </c>
      <c r="BL19" s="81">
        <f>Inv_SY_B!BL19/Inv_SY_B!$FG19-1</f>
        <v>-1.8789473941382195E-2</v>
      </c>
      <c r="BM19" s="81">
        <f>Inv_SY_B!BM19/Inv_SY_B!$FG19-1</f>
        <v>-3.6316898222017224E-2</v>
      </c>
      <c r="BN19" s="81">
        <f>Inv_SY_B!BN19/Inv_SY_B!$FG19-1</f>
        <v>-3.2743757483895686E-2</v>
      </c>
      <c r="BO19" s="81">
        <f>Inv_SY_B!BO19/Inv_SY_B!$FG19-1</f>
        <v>-4.2792604758512764E-2</v>
      </c>
      <c r="BP19" s="81">
        <f>Inv_SY_B!BP19/Inv_SY_B!$FG19-1</f>
        <v>-7.5058726538154374E-2</v>
      </c>
      <c r="BQ19" s="81">
        <f>Inv_SY_B!BQ19/Inv_SY_B!$FG19-1</f>
        <v>-6.2488323931328527E-2</v>
      </c>
      <c r="BR19" s="81">
        <f>Inv_SY_B!BR19/Inv_SY_B!$FG19-1</f>
        <v>-9.837975665761467E-2</v>
      </c>
      <c r="BS19" s="81">
        <f>Inv_SY_B!BS19/Inv_SY_B!$FG19-1</f>
        <v>-7.7123630554674749E-2</v>
      </c>
      <c r="BT19" s="81">
        <f>Inv_SY_B!BT19/Inv_SY_B!$FG19-1</f>
        <v>-9.8684120449777035E-2</v>
      </c>
      <c r="BU19" s="81">
        <f>Inv_SY_B!BU19/Inv_SY_B!$FG19-1</f>
        <v>-0.10401548809558758</v>
      </c>
      <c r="BV19" s="81">
        <f>Inv_SY_B!BV19/Inv_SY_B!$FG19-1</f>
        <v>-0.12179329591533805</v>
      </c>
      <c r="BW19" s="81">
        <f>Inv_SY_B!BW19/Inv_SY_B!$FG19-1</f>
        <v>-5.5547103258139496E-2</v>
      </c>
      <c r="BX19" s="81">
        <f>Inv_SY_B!BX19/Inv_SY_B!$FG19-1</f>
        <v>-0.11037690647076781</v>
      </c>
      <c r="BY19" s="81">
        <f>Inv_SY_B!BY19/Inv_SY_B!$FG19-1</f>
        <v>-5.4625854126049478E-2</v>
      </c>
      <c r="BZ19" s="81">
        <f>Inv_SY_B!BZ19/Inv_SY_B!$FG19-1</f>
        <v>-0.10044973525481582</v>
      </c>
      <c r="CA19" s="81">
        <f>Inv_SY_B!CA19/Inv_SY_B!$FG19-1</f>
        <v>-8.0502834375406396E-2</v>
      </c>
      <c r="CB19" s="81">
        <f>Inv_SY_B!CB19/Inv_SY_B!$FG19-1</f>
        <v>-5.4612201593808418E-2</v>
      </c>
      <c r="CC19" s="81">
        <f>Inv_SY_B!CC19/Inv_SY_B!$FG19-1</f>
        <v>-6.3569779691948658E-2</v>
      </c>
      <c r="CD19" s="81">
        <f>Inv_SY_B!CD19/Inv_SY_B!$FG19-1</f>
        <v>-9.2284281180066929E-2</v>
      </c>
      <c r="CE19" s="81">
        <f>Inv_SY_B!CE19/Inv_SY_B!$FG19-1</f>
        <v>-0.10203381307351911</v>
      </c>
      <c r="CF19" s="81">
        <f>Inv_SY_B!CF19/Inv_SY_B!$FG19-1</f>
        <v>-0.1091784194015506</v>
      </c>
      <c r="CG19" s="81">
        <f>Inv_SY_B!CG19/Inv_SY_B!$FG19-1</f>
        <v>-9.1013424495305029E-2</v>
      </c>
      <c r="CH19" s="81">
        <f>Inv_SY_B!CH19/Inv_SY_B!$FG19-1</f>
        <v>-0.11091503580148565</v>
      </c>
      <c r="CI19" s="81">
        <f>Inv_SY_B!CI19/Inv_SY_B!$FG19-1</f>
        <v>-8.2196057464360983E-2</v>
      </c>
      <c r="CJ19" s="81">
        <f>Inv_SY_B!CJ19/Inv_SY_B!$FG19-1</f>
        <v>-8.9287072161325809E-2</v>
      </c>
      <c r="CK19" s="81">
        <f>Inv_SY_B!CK19/Inv_SY_B!$FG19-1</f>
        <v>-6.5447594345650617E-2</v>
      </c>
      <c r="CL19" s="81">
        <f>Inv_SY_B!CL19/Inv_SY_B!$FG19-1</f>
        <v>-7.60039601676189E-2</v>
      </c>
      <c r="CM19" s="81">
        <f>Inv_SY_B!CM19/Inv_SY_B!$FG19-1</f>
        <v>-1.8579528334475515E-2</v>
      </c>
      <c r="CN19" s="81">
        <f>Inv_SY_B!CN19/Inv_SY_B!$FG19-1</f>
        <v>-5.2406648395106337E-2</v>
      </c>
      <c r="CO19" s="81">
        <f>Inv_SY_B!CO19/Inv_SY_B!$FG19-1</f>
        <v>-2.6109384310094019E-2</v>
      </c>
      <c r="CP19" s="81">
        <f>Inv_SY_B!CP19/Inv_SY_B!$FG19-1</f>
        <v>-2.0866175790044794E-2</v>
      </c>
      <c r="CQ19" s="81">
        <f>Inv_SY_B!CQ19/Inv_SY_B!$FG19-1</f>
        <v>-1.0879500150536847E-2</v>
      </c>
      <c r="CR19" s="81">
        <f>Inv_SY_B!CR19/Inv_SY_B!$FG19-1</f>
        <v>1.5024814523586505E-2</v>
      </c>
      <c r="CS19" s="81">
        <f>Inv_SY_B!CS19/Inv_SY_B!$FG19-1</f>
        <v>1.0783996696217768E-2</v>
      </c>
      <c r="CT19" s="81">
        <f>Inv_SY_B!CT19/Inv_SY_B!$FG19-1</f>
        <v>-3.5887817089574892E-4</v>
      </c>
      <c r="CU19" s="81">
        <f>Inv_SY_B!CU19/Inv_SY_B!$FG19-1</f>
        <v>2.3862153253331853E-2</v>
      </c>
      <c r="CV19" s="81">
        <f>Inv_SY_B!CV19/Inv_SY_B!$FG19-1</f>
        <v>7.1838501991288162E-3</v>
      </c>
      <c r="CW19" s="81">
        <f>Inv_SY_B!CW19/Inv_SY_B!$FG19-1</f>
        <v>-1.4228588812195131E-3</v>
      </c>
      <c r="CX19" s="81">
        <f>Inv_SY_B!CX19/Inv_SY_B!$FG19-1</f>
        <v>1.0921567978759539E-2</v>
      </c>
      <c r="CY19" s="81">
        <f>Inv_SY_B!CY19/Inv_SY_B!$FG19-1</f>
        <v>1.1924172756846874E-2</v>
      </c>
      <c r="CZ19" s="81">
        <f>Inv_SY_B!CZ19/Inv_SY_B!$FG19-1</f>
        <v>1.8714961867056568E-2</v>
      </c>
      <c r="DA19" s="81">
        <f>Inv_SY_B!DA19/Inv_SY_B!$FG19-1</f>
        <v>3.7832734885445252E-2</v>
      </c>
      <c r="DB19" s="81">
        <f>Inv_SY_B!DB19/Inv_SY_B!$FG19-1</f>
        <v>2.1822069013087697E-2</v>
      </c>
      <c r="DC19" s="81">
        <f>Inv_SY_B!DC19/Inv_SY_B!$FG19-1</f>
        <v>3.9055386448844542E-2</v>
      </c>
      <c r="DD19" s="81">
        <f>Inv_SY_B!DD19/Inv_SY_B!$FG19-1</f>
        <v>2.1064381450211167E-2</v>
      </c>
      <c r="DE19" s="81">
        <f>Inv_SY_B!DE19/Inv_SY_B!$FG19-1</f>
        <v>3.4220467143656341E-2</v>
      </c>
      <c r="DF19" s="81">
        <f>Inv_SY_B!DF19/Inv_SY_B!$FG19-1</f>
        <v>1.7067574660150298E-2</v>
      </c>
      <c r="DG19" s="81">
        <f>Inv_SY_B!DG19/Inv_SY_B!$FG19-1</f>
        <v>4.0432177024136706E-2</v>
      </c>
      <c r="DH19" s="81">
        <f>Inv_SY_B!DH19/Inv_SY_B!$FG19-1</f>
        <v>3.6969553534506261E-2</v>
      </c>
      <c r="DI19" s="81">
        <f>Inv_SY_B!DI19/Inv_SY_B!$FG19-1</f>
        <v>5.6498476965376687E-2</v>
      </c>
      <c r="DJ19" s="81">
        <f>Inv_SY_B!DJ19/Inv_SY_B!$FG19-1</f>
        <v>1.2074160992994853E-2</v>
      </c>
      <c r="DK19" s="81">
        <f>Inv_SY_B!DK19/Inv_SY_B!$FG19-1</f>
        <v>-9.0759845544602369E-3</v>
      </c>
      <c r="DL19" s="81">
        <f>Inv_SY_B!DL19/Inv_SY_B!$FG19-1</f>
        <v>-2.536210635181757E-2</v>
      </c>
      <c r="DM19" s="81">
        <f>Inv_SY_B!DM19/Inv_SY_B!$FG19-1</f>
        <v>-2.2521355705766077E-2</v>
      </c>
      <c r="DN19" s="81">
        <f>Inv_SY_B!DN19/Inv_SY_B!$FG19-1</f>
        <v>-8.3892782697736479E-3</v>
      </c>
      <c r="DO19" s="81">
        <f>Inv_SY_B!DO19/Inv_SY_B!$FG19-1</f>
        <v>-5.0545746500505473E-3</v>
      </c>
      <c r="DP19" s="81">
        <f>Inv_SY_B!DP19/Inv_SY_B!$FG19-1</f>
        <v>-2.4821542990747236E-2</v>
      </c>
      <c r="DQ19" s="81">
        <f>Inv_SY_B!DQ19/Inv_SY_B!$FG19-1</f>
        <v>-1.6384201150118738E-2</v>
      </c>
      <c r="DR19" s="81">
        <f>Inv_SY_B!DR19/Inv_SY_B!$FG19-1</f>
        <v>-2.9043852983916429E-2</v>
      </c>
      <c r="DS19" s="81">
        <f>Inv_SY_B!DS19/Inv_SY_B!$FG19-1</f>
        <v>-1.9049790768963515E-2</v>
      </c>
      <c r="DT19" s="81">
        <f>Inv_SY_B!DT19/Inv_SY_B!$FG19-1</f>
        <v>-6.2655510322806585E-3</v>
      </c>
      <c r="DU19" s="81">
        <f>Inv_SY_B!DU19/Inv_SY_B!$FG19-1</f>
        <v>2.3923856274340238E-2</v>
      </c>
      <c r="DV19" s="81">
        <f>Inv_SY_B!DV19/Inv_SY_B!$FG19-1</f>
        <v>4.8749152763969406E-3</v>
      </c>
      <c r="DW19" s="81">
        <f>Inv_SY_B!DW19/Inv_SY_B!$FG19-1</f>
        <v>3.4276718905674963E-2</v>
      </c>
      <c r="DX19" s="81">
        <f>Inv_SY_B!DX19/Inv_SY_B!$FG19-1</f>
        <v>-6.4714445881868254E-3</v>
      </c>
      <c r="DY19" s="81">
        <f>Inv_SY_B!DY19/Inv_SY_B!$FG19-1</f>
        <v>-8.588723958164235E-3</v>
      </c>
      <c r="DZ19" s="81">
        <f>Inv_SY_B!DZ19/Inv_SY_B!$FG19-1</f>
        <v>-6.0349749322098356E-3</v>
      </c>
      <c r="EA19" s="81">
        <f>Inv_SY_B!EA19/Inv_SY_B!$FG19-1</f>
        <v>-2.3715952276855856E-2</v>
      </c>
      <c r="EB19" s="81">
        <f>Inv_SY_B!EB19/Inv_SY_B!$FG19-1</f>
        <v>-1.2008905880175669E-2</v>
      </c>
      <c r="EC19" s="81">
        <f>Inv_SY_B!EC19/Inv_SY_B!$FG19-1</f>
        <v>3.3372232995754203E-4</v>
      </c>
      <c r="ED19" s="81">
        <f>Inv_SY_B!ED19/Inv_SY_B!$FG19-1</f>
        <v>-1.3629864827456206E-2</v>
      </c>
      <c r="EE19" s="81">
        <f>Inv_SY_B!EE19/Inv_SY_B!$FG19-1</f>
        <v>-2.102242143680344E-2</v>
      </c>
      <c r="EF19" s="81">
        <f>Inv_SY_B!EF19/Inv_SY_B!$FG19-1</f>
        <v>-2.3884902363338623E-2</v>
      </c>
      <c r="EG19" s="81">
        <f>Inv_SY_B!EG19/Inv_SY_B!$FG19-1</f>
        <v>-3.2555966902920397E-2</v>
      </c>
      <c r="EH19" s="81">
        <f>Inv_SY_B!EH19/Inv_SY_B!$FG19-1</f>
        <v>-2.5077792367897977E-2</v>
      </c>
      <c r="EI19" s="81">
        <f>Inv_SY_B!EI19/Inv_SY_B!$FG19-1</f>
        <v>2.6864593872609976E-2</v>
      </c>
      <c r="EJ19" s="81">
        <f>Inv_SY_B!EJ19/Inv_SY_B!$FG19-1</f>
        <v>2.2044418116803577E-2</v>
      </c>
      <c r="EK19" s="81">
        <f>Inv_SY_B!EK19/Inv_SY_B!$FG19-1</f>
        <v>6.4220955980111682E-2</v>
      </c>
      <c r="EL19" s="81">
        <f>Inv_SY_B!EL19/Inv_SY_B!$FG19-1</f>
        <v>4.3623835672483402E-2</v>
      </c>
      <c r="EM19" s="81">
        <f>Inv_SY_B!EM19/Inv_SY_B!$FG19-1</f>
        <v>1.9597259089211505E-2</v>
      </c>
      <c r="EN19" s="81">
        <f>Inv_SY_B!EN19/Inv_SY_B!$FG19-1</f>
        <v>2.3126833934622226E-2</v>
      </c>
      <c r="EO19" s="81">
        <f>Inv_SY_B!EO19/Inv_SY_B!$FG19-1</f>
        <v>1.5837140191927723E-2</v>
      </c>
      <c r="EP19" s="81">
        <f>Inv_SY_B!EP19/Inv_SY_B!$FG19-1</f>
        <v>-1.1961122017332126E-2</v>
      </c>
      <c r="EQ19" s="81">
        <f>Inv_SY_B!EQ19/Inv_SY_B!$FG19-1</f>
        <v>0.10103992276056095</v>
      </c>
      <c r="ER19" s="81">
        <f>Inv_SY_B!ER19/Inv_SY_B!$FG19-1</f>
        <v>9.2063020063644974E-2</v>
      </c>
      <c r="ES19" s="81">
        <f>Inv_SY_B!ES19/Inv_SY_B!$FG19-1</f>
        <v>6.3337664919222103E-2</v>
      </c>
      <c r="ET19" s="81">
        <f>Inv_SY_B!ET19/Inv_SY_B!$FG19-1</f>
        <v>7.0089322835376056E-2</v>
      </c>
      <c r="EU19" s="81">
        <f>Inv_SY_B!EU19/Inv_SY_B!$FG19-1</f>
        <v>7.3255172001801983E-2</v>
      </c>
      <c r="EV19" s="81">
        <f>Inv_SY_B!EV19/Inv_SY_B!$FG19-1</f>
        <v>3.1632361520781638E-2</v>
      </c>
      <c r="EW19" s="81">
        <f>Inv_SY_B!EW19/Inv_SY_B!$FG19-1</f>
        <v>9.052331781646239E-2</v>
      </c>
      <c r="EX19" s="81">
        <f>Inv_SY_B!EX19/Inv_SY_B!$FG19-1</f>
        <v>9.2217962417028065E-2</v>
      </c>
      <c r="EY19" s="81">
        <f>Inv_SY_B!EY19/Inv_SY_B!$FG19-1</f>
        <v>4.4631428619166691E-2</v>
      </c>
      <c r="EZ19" s="81">
        <f>Inv_SY_B!EZ19/Inv_SY_B!$FG19-1</f>
        <v>5.0034458033658691E-2</v>
      </c>
      <c r="FA19" s="81">
        <f>Inv_SY_B!FA19/Inv_SY_B!$FG19-1</f>
        <v>-0.17530362050053505</v>
      </c>
      <c r="FB19" s="81">
        <f>Inv_SY_B!FB19/Inv_SY_B!$FG19-1</f>
        <v>-2.9201805197204833E-2</v>
      </c>
      <c r="FC19" s="81">
        <f>Inv_SY_B!FC19/Inv_SY_B!$FG19-1</f>
        <v>8.6976693329849253E-2</v>
      </c>
      <c r="FD19" s="81">
        <f>Inv_SY_B!FD19/Inv_SY_B!$FG19-1</f>
        <v>0.10514517984660166</v>
      </c>
      <c r="FE19" s="81">
        <f>Inv_SY_B!FE19/Inv_SY_B!$FG19-1</f>
        <v>3.7058484612576548E-2</v>
      </c>
      <c r="FF19" s="81">
        <f>Inv_SY_B!FF19/Inv_SY_B!$FG19-1</f>
        <v>7.9975030093739408E-2</v>
      </c>
    </row>
    <row r="20" spans="2:162">
      <c r="B20" s="104">
        <f t="shared" si="0"/>
        <v>45843</v>
      </c>
      <c r="C20" s="81">
        <f>Inv_SY_B!C20/Inv_SY_B!$FG20-1</f>
        <v>-1.6975784048105291E-2</v>
      </c>
      <c r="D20" s="81">
        <f>Inv_SY_B!D20/Inv_SY_B!$FG20-1</f>
        <v>-6.2339480817570347E-3</v>
      </c>
      <c r="E20" s="81">
        <f>Inv_SY_B!E20/Inv_SY_B!$FG20-1</f>
        <v>-1.7927110963835258E-2</v>
      </c>
      <c r="F20" s="81">
        <f>Inv_SY_B!F20/Inv_SY_B!$FG20-1</f>
        <v>-2.1476856015098744E-2</v>
      </c>
      <c r="G20" s="81">
        <f>Inv_SY_B!G20/Inv_SY_B!$FG20-1</f>
        <v>-8.1303795714713356E-3</v>
      </c>
      <c r="H20" s="81">
        <f>Inv_SY_B!H20/Inv_SY_B!$FG20-1</f>
        <v>-9.0291622680185313E-3</v>
      </c>
      <c r="I20" s="81">
        <f>Inv_SY_B!I20/Inv_SY_B!$FG20-1</f>
        <v>9.4732566365474113E-4</v>
      </c>
      <c r="J20" s="81">
        <f>Inv_SY_B!J20/Inv_SY_B!$FG20-1</f>
        <v>-2.6199929859417992E-2</v>
      </c>
      <c r="K20" s="81">
        <f>Inv_SY_B!K20/Inv_SY_B!$FG20-1</f>
        <v>3.0235136926783923E-3</v>
      </c>
      <c r="L20" s="81">
        <f>Inv_SY_B!L20/Inv_SY_B!$FG20-1</f>
        <v>-5.5328975784502132E-3</v>
      </c>
      <c r="M20" s="81">
        <f>Inv_SY_B!M20/Inv_SY_B!$FG20-1</f>
        <v>-2.376694851220218E-2</v>
      </c>
      <c r="N20" s="81">
        <f>Inv_SY_B!N20/Inv_SY_B!$FG20-1</f>
        <v>-3.9150887246653943E-3</v>
      </c>
      <c r="O20" s="81">
        <f>Inv_SY_B!O20/Inv_SY_B!$FG20-1</f>
        <v>-2.4350534827396575E-2</v>
      </c>
      <c r="P20" s="81">
        <f>Inv_SY_B!P20/Inv_SY_B!$FG20-1</f>
        <v>-1.2282755629519193E-2</v>
      </c>
      <c r="Q20" s="81">
        <f>Inv_SY_B!Q20/Inv_SY_B!$FG20-1</f>
        <v>1.2613525064836484E-2</v>
      </c>
      <c r="R20" s="81">
        <f>Inv_SY_B!R20/Inv_SY_B!$FG20-1</f>
        <v>3.4369537330902755E-3</v>
      </c>
      <c r="S20" s="81">
        <f>Inv_SY_B!S20/Inv_SY_B!$FG20-1</f>
        <v>1.3602186031038466E-2</v>
      </c>
      <c r="T20" s="81">
        <f>Inv_SY_B!T20/Inv_SY_B!$FG20-1</f>
        <v>1.1058630999809971E-2</v>
      </c>
      <c r="U20" s="81">
        <f>Inv_SY_B!U20/Inv_SY_B!$FG20-1</f>
        <v>1.4087528687174E-2</v>
      </c>
      <c r="V20" s="81">
        <f>Inv_SY_B!V20/Inv_SY_B!$FG20-1</f>
        <v>1.7700635127293474E-2</v>
      </c>
      <c r="W20" s="81">
        <f>Inv_SY_B!W20/Inv_SY_B!$FG20-1</f>
        <v>4.5756080884900019E-3</v>
      </c>
      <c r="X20" s="81">
        <f>Inv_SY_B!X20/Inv_SY_B!$FG20-1</f>
        <v>3.5309264572516152E-3</v>
      </c>
      <c r="Y20" s="81">
        <f>Inv_SY_B!Y20/Inv_SY_B!$FG20-1</f>
        <v>1.3809235984132862E-2</v>
      </c>
      <c r="Z20" s="81">
        <f>Inv_SY_B!Z20/Inv_SY_B!$FG20-1</f>
        <v>4.4392761962797067E-3</v>
      </c>
      <c r="AA20" s="81">
        <f>Inv_SY_B!AA20/Inv_SY_B!$FG20-1</f>
        <v>4.2322977760487213E-3</v>
      </c>
      <c r="AB20" s="81">
        <f>Inv_SY_B!AB20/Inv_SY_B!$FG20-1</f>
        <v>-9.7077558628226868E-3</v>
      </c>
      <c r="AC20" s="81">
        <f>Inv_SY_B!AC20/Inv_SY_B!$FG20-1</f>
        <v>-2.0715203769274826E-2</v>
      </c>
      <c r="AD20" s="81">
        <f>Inv_SY_B!AD20/Inv_SY_B!$FG20-1</f>
        <v>-1.9666654940630135E-2</v>
      </c>
      <c r="AE20" s="81">
        <f>Inv_SY_B!AE20/Inv_SY_B!$FG20-1</f>
        <v>1.6480687413847006E-2</v>
      </c>
      <c r="AF20" s="81">
        <f>Inv_SY_B!AF20/Inv_SY_B!$FG20-1</f>
        <v>3.2084393889755258E-2</v>
      </c>
      <c r="AG20" s="81">
        <f>Inv_SY_B!AG20/Inv_SY_B!$FG20-1</f>
        <v>3.2381476839652201E-2</v>
      </c>
      <c r="AH20" s="81">
        <f>Inv_SY_B!AH20/Inv_SY_B!$FG20-1</f>
        <v>2.519977835305065E-2</v>
      </c>
      <c r="AI20" s="81">
        <f>Inv_SY_B!AI20/Inv_SY_B!$FG20-1</f>
        <v>4.9184992987339582E-2</v>
      </c>
      <c r="AJ20" s="81">
        <f>Inv_SY_B!AJ20/Inv_SY_B!$FG20-1</f>
        <v>4.0898216525175224E-2</v>
      </c>
      <c r="AK20" s="81">
        <f>Inv_SY_B!AK20/Inv_SY_B!$FG20-1</f>
        <v>4.3405820248541671E-2</v>
      </c>
      <c r="AL20" s="81">
        <f>Inv_SY_B!AL20/Inv_SY_B!$FG20-1</f>
        <v>3.6242522157060808E-2</v>
      </c>
      <c r="AM20" s="81">
        <f>Inv_SY_B!AM20/Inv_SY_B!$FG20-1</f>
        <v>5.0029848722094039E-2</v>
      </c>
      <c r="AN20" s="81">
        <f>Inv_SY_B!AN20/Inv_SY_B!$FG20-1</f>
        <v>3.5478556864995792E-2</v>
      </c>
      <c r="AO20" s="81">
        <f>Inv_SY_B!AO20/Inv_SY_B!$FG20-1</f>
        <v>3.7330049219882921E-2</v>
      </c>
      <c r="AP20" s="81">
        <f>Inv_SY_B!AP20/Inv_SY_B!$FG20-1</f>
        <v>3.280018442928534E-2</v>
      </c>
      <c r="AQ20" s="81">
        <f>Inv_SY_B!AQ20/Inv_SY_B!$FG20-1</f>
        <v>3.8617880926420378E-2</v>
      </c>
      <c r="AR20" s="81">
        <f>Inv_SY_B!AR20/Inv_SY_B!$FG20-1</f>
        <v>3.45131526718927E-2</v>
      </c>
      <c r="AS20" s="81">
        <f>Inv_SY_B!AS20/Inv_SY_B!$FG20-1</f>
        <v>4.1331577196157543E-2</v>
      </c>
      <c r="AT20" s="81">
        <f>Inv_SY_B!AT20/Inv_SY_B!$FG20-1</f>
        <v>3.2529653041143414E-2</v>
      </c>
      <c r="AU20" s="81">
        <f>Inv_SY_B!AU20/Inv_SY_B!$FG20-1</f>
        <v>1.9788447861144309E-3</v>
      </c>
      <c r="AV20" s="81">
        <f>Inv_SY_B!AV20/Inv_SY_B!$FG20-1</f>
        <v>-1.3664374761221065E-2</v>
      </c>
      <c r="AW20" s="81">
        <f>Inv_SY_B!AW20/Inv_SY_B!$FG20-1</f>
        <v>4.681322623660944E-2</v>
      </c>
      <c r="AX20" s="81">
        <f>Inv_SY_B!AX20/Inv_SY_B!$FG20-1</f>
        <v>3.9282297635004682E-2</v>
      </c>
      <c r="AY20" s="81">
        <f>Inv_SY_B!AY20/Inv_SY_B!$FG20-1</f>
        <v>-5.5150405811675074E-2</v>
      </c>
      <c r="AZ20" s="81">
        <f>Inv_SY_B!AZ20/Inv_SY_B!$FG20-1</f>
        <v>-3.3474525252707443E-2</v>
      </c>
      <c r="BA20" s="81">
        <f>Inv_SY_B!BA20/Inv_SY_B!$FG20-1</f>
        <v>-1.6689382223367688E-2</v>
      </c>
      <c r="BB20" s="81">
        <f>Inv_SY_B!BB20/Inv_SY_B!$FG20-1</f>
        <v>8.7010818563280079E-3</v>
      </c>
      <c r="BC20" s="81">
        <f>Inv_SY_B!BC20/Inv_SY_B!$FG20-1</f>
        <v>-2.001485024934635E-2</v>
      </c>
      <c r="BD20" s="81">
        <f>Inv_SY_B!BD20/Inv_SY_B!$FG20-1</f>
        <v>-1.3740747043376911E-2</v>
      </c>
      <c r="BE20" s="81">
        <f>Inv_SY_B!BE20/Inv_SY_B!$FG20-1</f>
        <v>-1.2604355269037137E-2</v>
      </c>
      <c r="BF20" s="81">
        <f>Inv_SY_B!BF20/Inv_SY_B!$FG20-1</f>
        <v>-1.3986279529618062E-2</v>
      </c>
      <c r="BG20" s="81">
        <f>Inv_SY_B!BG20/Inv_SY_B!$FG20-1</f>
        <v>-1.452179452332214E-2</v>
      </c>
      <c r="BH20" s="81">
        <f>Inv_SY_B!BH20/Inv_SY_B!$FG20-1</f>
        <v>-1.875315564426161E-2</v>
      </c>
      <c r="BI20" s="81">
        <f>Inv_SY_B!BI20/Inv_SY_B!$FG20-1</f>
        <v>-3.1748569871749011E-2</v>
      </c>
      <c r="BJ20" s="81">
        <f>Inv_SY_B!BJ20/Inv_SY_B!$FG20-1</f>
        <v>-2.3933422422506179E-2</v>
      </c>
      <c r="BK20" s="81">
        <f>Inv_SY_B!BK20/Inv_SY_B!$FG20-1</f>
        <v>-3.1912201369386661E-2</v>
      </c>
      <c r="BL20" s="81">
        <f>Inv_SY_B!BL20/Inv_SY_B!$FG20-1</f>
        <v>-3.1919980571733619E-2</v>
      </c>
      <c r="BM20" s="81">
        <f>Inv_SY_B!BM20/Inv_SY_B!$FG20-1</f>
        <v>-2.2487630664261515E-2</v>
      </c>
      <c r="BN20" s="81">
        <f>Inv_SY_B!BN20/Inv_SY_B!$FG20-1</f>
        <v>-2.6949451184854145E-2</v>
      </c>
      <c r="BO20" s="81">
        <f>Inv_SY_B!BO20/Inv_SY_B!$FG20-1</f>
        <v>-2.6907994791127265E-2</v>
      </c>
      <c r="BP20" s="81">
        <f>Inv_SY_B!BP20/Inv_SY_B!$FG20-1</f>
        <v>-3.2281236048000261E-2</v>
      </c>
      <c r="BQ20" s="81">
        <f>Inv_SY_B!BQ20/Inv_SY_B!$FG20-1</f>
        <v>-1.8550171283440386E-2</v>
      </c>
      <c r="BR20" s="81">
        <f>Inv_SY_B!BR20/Inv_SY_B!$FG20-1</f>
        <v>-2.8840126931433563E-2</v>
      </c>
      <c r="BS20" s="81">
        <f>Inv_SY_B!BS20/Inv_SY_B!$FG20-1</f>
        <v>-2.9575270403129461E-2</v>
      </c>
      <c r="BT20" s="81">
        <f>Inv_SY_B!BT20/Inv_SY_B!$FG20-1</f>
        <v>-1.5098099662183895E-2</v>
      </c>
      <c r="BU20" s="81">
        <f>Inv_SY_B!BU20/Inv_SY_B!$FG20-1</f>
        <v>-2.8737626035014618E-2</v>
      </c>
      <c r="BV20" s="81">
        <f>Inv_SY_B!BV20/Inv_SY_B!$FG20-1</f>
        <v>-2.0987305121182964E-2</v>
      </c>
      <c r="BW20" s="81">
        <f>Inv_SY_B!BW20/Inv_SY_B!$FG20-1</f>
        <v>-1.7719804781001214E-2</v>
      </c>
      <c r="BX20" s="81">
        <f>Inv_SY_B!BX20/Inv_SY_B!$FG20-1</f>
        <v>-1.9463996331449462E-2</v>
      </c>
      <c r="BY20" s="81">
        <f>Inv_SY_B!BY20/Inv_SY_B!$FG20-1</f>
        <v>-6.5226285240526094E-3</v>
      </c>
      <c r="BZ20" s="81">
        <f>Inv_SY_B!BZ20/Inv_SY_B!$FG20-1</f>
        <v>-2.7606277808374435E-2</v>
      </c>
      <c r="CA20" s="81">
        <f>Inv_SY_B!CA20/Inv_SY_B!$FG20-1</f>
        <v>-8.0324557470330404E-3</v>
      </c>
      <c r="CB20" s="81">
        <f>Inv_SY_B!CB20/Inv_SY_B!$FG20-1</f>
        <v>-2.3160179591283359E-2</v>
      </c>
      <c r="CC20" s="81">
        <f>Inv_SY_B!CC20/Inv_SY_B!$FG20-1</f>
        <v>-1.1779223323572729E-2</v>
      </c>
      <c r="CD20" s="81">
        <f>Inv_SY_B!CD20/Inv_SY_B!$FG20-1</f>
        <v>-3.8739658546228073E-2</v>
      </c>
      <c r="CE20" s="81">
        <f>Inv_SY_B!CE20/Inv_SY_B!$FG20-1</f>
        <v>-0.11894747864819988</v>
      </c>
      <c r="CF20" s="81">
        <f>Inv_SY_B!CF20/Inv_SY_B!$FG20-1</f>
        <v>-0.1257470023553231</v>
      </c>
      <c r="CG20" s="81">
        <f>Inv_SY_B!CG20/Inv_SY_B!$FG20-1</f>
        <v>-0.1079566044543856</v>
      </c>
      <c r="CH20" s="81">
        <f>Inv_SY_B!CH20/Inv_SY_B!$FG20-1</f>
        <v>-0.12636448057381267</v>
      </c>
      <c r="CI20" s="81">
        <f>Inv_SY_B!CI20/Inv_SY_B!$FG20-1</f>
        <v>-0.11129414815142169</v>
      </c>
      <c r="CJ20" s="81">
        <f>Inv_SY_B!CJ20/Inv_SY_B!$FG20-1</f>
        <v>-0.1209363269331637</v>
      </c>
      <c r="CK20" s="81">
        <f>Inv_SY_B!CK20/Inv_SY_B!$FG20-1</f>
        <v>-0.11900320678288512</v>
      </c>
      <c r="CL20" s="81">
        <f>Inv_SY_B!CL20/Inv_SY_B!$FG20-1</f>
        <v>-0.11556721384151525</v>
      </c>
      <c r="CM20" s="81">
        <f>Inv_SY_B!CM20/Inv_SY_B!$FG20-1</f>
        <v>1.2523004807541538E-2</v>
      </c>
      <c r="CN20" s="81">
        <f>Inv_SY_B!CN20/Inv_SY_B!$FG20-1</f>
        <v>-1.3588138365809521E-2</v>
      </c>
      <c r="CO20" s="81">
        <f>Inv_SY_B!CO20/Inv_SY_B!$FG20-1</f>
        <v>1.4029760154178117E-2</v>
      </c>
      <c r="CP20" s="81">
        <f>Inv_SY_B!CP20/Inv_SY_B!$FG20-1</f>
        <v>6.2200905268670059E-3</v>
      </c>
      <c r="CQ20" s="81">
        <f>Inv_SY_B!CQ20/Inv_SY_B!$FG20-1</f>
        <v>1.1871644147601002E-2</v>
      </c>
      <c r="CR20" s="81">
        <f>Inv_SY_B!CR20/Inv_SY_B!$FG20-1</f>
        <v>3.7132492570137954E-2</v>
      </c>
      <c r="CS20" s="81">
        <f>Inv_SY_B!CS20/Inv_SY_B!$FG20-1</f>
        <v>3.1161240138652291E-2</v>
      </c>
      <c r="CT20" s="81">
        <f>Inv_SY_B!CT20/Inv_SY_B!$FG20-1</f>
        <v>1.9970252666436039E-2</v>
      </c>
      <c r="CU20" s="81">
        <f>Inv_SY_B!CU20/Inv_SY_B!$FG20-1</f>
        <v>5.3106202135835723E-2</v>
      </c>
      <c r="CV20" s="81">
        <f>Inv_SY_B!CV20/Inv_SY_B!$FG20-1</f>
        <v>3.8242521068269753E-2</v>
      </c>
      <c r="CW20" s="81">
        <f>Inv_SY_B!CW20/Inv_SY_B!$FG20-1</f>
        <v>1.3667740601143175E-2</v>
      </c>
      <c r="CX20" s="81">
        <f>Inv_SY_B!CX20/Inv_SY_B!$FG20-1</f>
        <v>3.0924772857474192E-2</v>
      </c>
      <c r="CY20" s="81">
        <f>Inv_SY_B!CY20/Inv_SY_B!$FG20-1</f>
        <v>-2.3373505994347399E-3</v>
      </c>
      <c r="CZ20" s="81">
        <f>Inv_SY_B!CZ20/Inv_SY_B!$FG20-1</f>
        <v>2.8031526123060813E-2</v>
      </c>
      <c r="DA20" s="81">
        <f>Inv_SY_B!DA20/Inv_SY_B!$FG20-1</f>
        <v>7.4406775530055924E-3</v>
      </c>
      <c r="DB20" s="81">
        <f>Inv_SY_B!DB20/Inv_SY_B!$FG20-1</f>
        <v>1.4522349925327971E-2</v>
      </c>
      <c r="DC20" s="81">
        <f>Inv_SY_B!DC20/Inv_SY_B!$FG20-1</f>
        <v>-2.7687610192310697E-3</v>
      </c>
      <c r="DD20" s="81">
        <f>Inv_SY_B!DD20/Inv_SY_B!$FG20-1</f>
        <v>7.7670603858446263E-3</v>
      </c>
      <c r="DE20" s="81">
        <f>Inv_SY_B!DE20/Inv_SY_B!$FG20-1</f>
        <v>-3.5630444036656161E-3</v>
      </c>
      <c r="DF20" s="81">
        <f>Inv_SY_B!DF20/Inv_SY_B!$FG20-1</f>
        <v>-1.469732724774464E-3</v>
      </c>
      <c r="DG20" s="81">
        <f>Inv_SY_B!DG20/Inv_SY_B!$FG20-1</f>
        <v>-1.0214624545382023E-2</v>
      </c>
      <c r="DH20" s="81">
        <f>Inv_SY_B!DH20/Inv_SY_B!$FG20-1</f>
        <v>-9.4564000271701865E-3</v>
      </c>
      <c r="DI20" s="81">
        <f>Inv_SY_B!DI20/Inv_SY_B!$FG20-1</f>
        <v>-4.1723973709338891E-3</v>
      </c>
      <c r="DJ20" s="81">
        <f>Inv_SY_B!DJ20/Inv_SY_B!$FG20-1</f>
        <v>7.7730536134441586E-3</v>
      </c>
      <c r="DK20" s="81">
        <f>Inv_SY_B!DK20/Inv_SY_B!$FG20-1</f>
        <v>1.1547281225463335E-2</v>
      </c>
      <c r="DL20" s="81">
        <f>Inv_SY_B!DL20/Inv_SY_B!$FG20-1</f>
        <v>-6.4264480757281195E-3</v>
      </c>
      <c r="DM20" s="81">
        <f>Inv_SY_B!DM20/Inv_SY_B!$FG20-1</f>
        <v>-7.3855895765384538E-4</v>
      </c>
      <c r="DN20" s="81">
        <f>Inv_SY_B!DN20/Inv_SY_B!$FG20-1</f>
        <v>1.4049112975144329E-2</v>
      </c>
      <c r="DO20" s="81">
        <f>Inv_SY_B!DO20/Inv_SY_B!$FG20-1</f>
        <v>-6.7333461694234487E-3</v>
      </c>
      <c r="DP20" s="81">
        <f>Inv_SY_B!DP20/Inv_SY_B!$FG20-1</f>
        <v>-1.6820817065130944E-2</v>
      </c>
      <c r="DQ20" s="81">
        <f>Inv_SY_B!DQ20/Inv_SY_B!$FG20-1</f>
        <v>-1.0171771870385982E-2</v>
      </c>
      <c r="DR20" s="81">
        <f>Inv_SY_B!DR20/Inv_SY_B!$FG20-1</f>
        <v>-8.6971041920832493E-3</v>
      </c>
      <c r="DS20" s="81">
        <f>Inv_SY_B!DS20/Inv_SY_B!$FG20-1</f>
        <v>-1.5984284564503182E-2</v>
      </c>
      <c r="DT20" s="81">
        <f>Inv_SY_B!DT20/Inv_SY_B!$FG20-1</f>
        <v>-2.1326100411200866E-3</v>
      </c>
      <c r="DU20" s="81">
        <f>Inv_SY_B!DU20/Inv_SY_B!$FG20-1</f>
        <v>9.5888569431035187E-3</v>
      </c>
      <c r="DV20" s="81">
        <f>Inv_SY_B!DV20/Inv_SY_B!$FG20-1</f>
        <v>1.0456553591063455E-2</v>
      </c>
      <c r="DW20" s="81">
        <f>Inv_SY_B!DW20/Inv_SY_B!$FG20-1</f>
        <v>1.0760288803224771E-2</v>
      </c>
      <c r="DX20" s="81">
        <f>Inv_SY_B!DX20/Inv_SY_B!$FG20-1</f>
        <v>8.6473798282344916E-3</v>
      </c>
      <c r="DY20" s="81">
        <f>Inv_SY_B!DY20/Inv_SY_B!$FG20-1</f>
        <v>-7.0513518667578712E-3</v>
      </c>
      <c r="DZ20" s="81">
        <f>Inv_SY_B!DZ20/Inv_SY_B!$FG20-1</f>
        <v>1.0289650919244053E-3</v>
      </c>
      <c r="EA20" s="81">
        <f>Inv_SY_B!EA20/Inv_SY_B!$FG20-1</f>
        <v>-1.5072288153960001E-3</v>
      </c>
      <c r="EB20" s="81">
        <f>Inv_SY_B!EB20/Inv_SY_B!$FG20-1</f>
        <v>1.0154055367914028E-2</v>
      </c>
      <c r="EC20" s="81">
        <f>Inv_SY_B!EC20/Inv_SY_B!$FG20-1</f>
        <v>1.2152973707788561E-3</v>
      </c>
      <c r="ED20" s="81">
        <f>Inv_SY_B!ED20/Inv_SY_B!$FG20-1</f>
        <v>-9.2414792531982926E-3</v>
      </c>
      <c r="EE20" s="81">
        <f>Inv_SY_B!EE20/Inv_SY_B!$FG20-1</f>
        <v>-5.141820107512185E-3</v>
      </c>
      <c r="EF20" s="81">
        <f>Inv_SY_B!EF20/Inv_SY_B!$FG20-1</f>
        <v>-7.5534734281254012E-3</v>
      </c>
      <c r="EG20" s="81">
        <f>Inv_SY_B!EG20/Inv_SY_B!$FG20-1</f>
        <v>-4.3859023268100206E-4</v>
      </c>
      <c r="EH20" s="81">
        <f>Inv_SY_B!EH20/Inv_SY_B!$FG20-1</f>
        <v>7.8199237267211341E-3</v>
      </c>
      <c r="EI20" s="81">
        <f>Inv_SY_B!EI20/Inv_SY_B!$FG20-1</f>
        <v>3.7191861380289071E-2</v>
      </c>
      <c r="EJ20" s="81">
        <f>Inv_SY_B!EJ20/Inv_SY_B!$FG20-1</f>
        <v>6.0457177651551675E-2</v>
      </c>
      <c r="EK20" s="81">
        <f>Inv_SY_B!EK20/Inv_SY_B!$FG20-1</f>
        <v>3.4050522232659031E-2</v>
      </c>
      <c r="EL20" s="81">
        <f>Inv_SY_B!EL20/Inv_SY_B!$FG20-1</f>
        <v>6.2270199069665466E-2</v>
      </c>
      <c r="EM20" s="81">
        <f>Inv_SY_B!EM20/Inv_SY_B!$FG20-1</f>
        <v>4.0046493331084676E-2</v>
      </c>
      <c r="EN20" s="81">
        <f>Inv_SY_B!EN20/Inv_SY_B!$FG20-1</f>
        <v>4.3976868254669288E-2</v>
      </c>
      <c r="EO20" s="81">
        <f>Inv_SY_B!EO20/Inv_SY_B!$FG20-1</f>
        <v>5.0331116468932846E-2</v>
      </c>
      <c r="EP20" s="81">
        <f>Inv_SY_B!EP20/Inv_SY_B!$FG20-1</f>
        <v>1.9012506777261517E-2</v>
      </c>
      <c r="EQ20" s="81">
        <f>Inv_SY_B!EQ20/Inv_SY_B!$FG20-1</f>
        <v>4.9655779271541967E-2</v>
      </c>
      <c r="ER20" s="81">
        <f>Inv_SY_B!ER20/Inv_SY_B!$FG20-1</f>
        <v>3.5583695715852404E-2</v>
      </c>
      <c r="ES20" s="81">
        <f>Inv_SY_B!ES20/Inv_SY_B!$FG20-1</f>
        <v>3.4038669008393807E-2</v>
      </c>
      <c r="ET20" s="81">
        <f>Inv_SY_B!ET20/Inv_SY_B!$FG20-1</f>
        <v>3.0751687768553193E-2</v>
      </c>
      <c r="EU20" s="81">
        <f>Inv_SY_B!EU20/Inv_SY_B!$FG20-1</f>
        <v>3.7013006788404024E-2</v>
      </c>
      <c r="EV20" s="81">
        <f>Inv_SY_B!EV20/Inv_SY_B!$FG20-1</f>
        <v>2.7484540141591962E-2</v>
      </c>
      <c r="EW20" s="81">
        <f>Inv_SY_B!EW20/Inv_SY_B!$FG20-1</f>
        <v>6.0248832438339894E-2</v>
      </c>
      <c r="EX20" s="81">
        <f>Inv_SY_B!EX20/Inv_SY_B!$FG20-1</f>
        <v>3.8026985577043648E-2</v>
      </c>
      <c r="EY20" s="81">
        <f>Inv_SY_B!EY20/Inv_SY_B!$FG20-1</f>
        <v>2.3728230146378371E-2</v>
      </c>
      <c r="EZ20" s="81">
        <f>Inv_SY_B!EZ20/Inv_SY_B!$FG20-1</f>
        <v>1.5194154882297806E-2</v>
      </c>
      <c r="FA20" s="81">
        <f>Inv_SY_B!FA20/Inv_SY_B!$FG20-1</f>
        <v>1.4577552503187263E-2</v>
      </c>
      <c r="FB20" s="81">
        <f>Inv_SY_B!FB20/Inv_SY_B!$FG20-1</f>
        <v>1.1261231599323462E-2</v>
      </c>
      <c r="FC20" s="81">
        <f>Inv_SY_B!FC20/Inv_SY_B!$FG20-1</f>
        <v>1.7627234540408709E-2</v>
      </c>
      <c r="FD20" s="81">
        <f>Inv_SY_B!FD20/Inv_SY_B!$FG20-1</f>
        <v>4.2166342736084772E-2</v>
      </c>
      <c r="FE20" s="81">
        <f>Inv_SY_B!FE20/Inv_SY_B!$FG20-1</f>
        <v>2.126018909841032E-2</v>
      </c>
      <c r="FF20" s="81">
        <f>Inv_SY_B!FF20/Inv_SY_B!$FG20-1</f>
        <v>5.2524637770295035E-2</v>
      </c>
    </row>
    <row r="21" spans="2:162">
      <c r="B21" s="104">
        <f t="shared" si="0"/>
        <v>45844</v>
      </c>
      <c r="C21" s="81">
        <f>Inv_SY_B!C21/Inv_SY_B!$FG21-1</f>
        <v>2.7864765498471167E-2</v>
      </c>
      <c r="D21" s="81">
        <f>Inv_SY_B!D21/Inv_SY_B!$FG21-1</f>
        <v>2.5957280837644037E-2</v>
      </c>
      <c r="E21" s="81">
        <f>Inv_SY_B!E21/Inv_SY_B!$FG21-1</f>
        <v>1.7240988305188054E-2</v>
      </c>
      <c r="F21" s="81">
        <f>Inv_SY_B!F21/Inv_SY_B!$FG21-1</f>
        <v>2.0737544919208428E-2</v>
      </c>
      <c r="G21" s="81">
        <f>Inv_SY_B!G21/Inv_SY_B!$FG21-1</f>
        <v>2.3005877986464363E-2</v>
      </c>
      <c r="H21" s="81">
        <f>Inv_SY_B!H21/Inv_SY_B!$FG21-1</f>
        <v>2.2757629148514757E-2</v>
      </c>
      <c r="I21" s="81">
        <f>Inv_SY_B!I21/Inv_SY_B!$FG21-1</f>
        <v>3.1198089638804216E-2</v>
      </c>
      <c r="J21" s="81">
        <f>Inv_SY_B!J21/Inv_SY_B!$FG21-1</f>
        <v>-2.8632734693180284E-3</v>
      </c>
      <c r="K21" s="81">
        <f>Inv_SY_B!K21/Inv_SY_B!$FG21-1</f>
        <v>2.7520329076586414E-2</v>
      </c>
      <c r="L21" s="81">
        <f>Inv_SY_B!L21/Inv_SY_B!$FG21-1</f>
        <v>2.2618703985813671E-2</v>
      </c>
      <c r="M21" s="81">
        <f>Inv_SY_B!M21/Inv_SY_B!$FG21-1</f>
        <v>-9.09880080488501E-3</v>
      </c>
      <c r="N21" s="81">
        <f>Inv_SY_B!N21/Inv_SY_B!$FG21-1</f>
        <v>2.3631097282041269E-2</v>
      </c>
      <c r="O21" s="81">
        <f>Inv_SY_B!O21/Inv_SY_B!$FG21-1</f>
        <v>-1.206698066093348E-2</v>
      </c>
      <c r="P21" s="81">
        <f>Inv_SY_B!P21/Inv_SY_B!$FG21-1</f>
        <v>1.4041336616058553E-2</v>
      </c>
      <c r="Q21" s="81">
        <f>Inv_SY_B!Q21/Inv_SY_B!$FG21-1</f>
        <v>1.6937573058805055E-2</v>
      </c>
      <c r="R21" s="81">
        <f>Inv_SY_B!R21/Inv_SY_B!$FG21-1</f>
        <v>1.8776453339913957E-2</v>
      </c>
      <c r="S21" s="81">
        <f>Inv_SY_B!S21/Inv_SY_B!$FG21-1</f>
        <v>1.1834680278728138E-2</v>
      </c>
      <c r="T21" s="81">
        <f>Inv_SY_B!T21/Inv_SY_B!$FG21-1</f>
        <v>8.0190036954272959E-3</v>
      </c>
      <c r="U21" s="81">
        <f>Inv_SY_B!U21/Inv_SY_B!$FG21-1</f>
        <v>1.0676185701629537E-2</v>
      </c>
      <c r="V21" s="81">
        <f>Inv_SY_B!V21/Inv_SY_B!$FG21-1</f>
        <v>1.8647731720236482E-2</v>
      </c>
      <c r="W21" s="81">
        <f>Inv_SY_B!W21/Inv_SY_B!$FG21-1</f>
        <v>2.4388316977661528E-3</v>
      </c>
      <c r="X21" s="81">
        <f>Inv_SY_B!X21/Inv_SY_B!$FG21-1</f>
        <v>-1.926478144933963E-3</v>
      </c>
      <c r="Y21" s="81">
        <f>Inv_SY_B!Y21/Inv_SY_B!$FG21-1</f>
        <v>9.0592512873610698E-3</v>
      </c>
      <c r="Z21" s="81">
        <f>Inv_SY_B!Z21/Inv_SY_B!$FG21-1</f>
        <v>3.2859901908937061E-3</v>
      </c>
      <c r="AA21" s="81">
        <f>Inv_SY_B!AA21/Inv_SY_B!$FG21-1</f>
        <v>-6.9233467068032795E-3</v>
      </c>
      <c r="AB21" s="81">
        <f>Inv_SY_B!AB21/Inv_SY_B!$FG21-1</f>
        <v>2.3010850733139909E-2</v>
      </c>
      <c r="AC21" s="81">
        <f>Inv_SY_B!AC21/Inv_SY_B!$FG21-1</f>
        <v>-1.5522334844241481E-2</v>
      </c>
      <c r="AD21" s="81">
        <f>Inv_SY_B!AD21/Inv_SY_B!$FG21-1</f>
        <v>-2.0247344545636925E-2</v>
      </c>
      <c r="AE21" s="81">
        <f>Inv_SY_B!AE21/Inv_SY_B!$FG21-1</f>
        <v>2.7384427142806977E-4</v>
      </c>
      <c r="AF21" s="81">
        <f>Inv_SY_B!AF21/Inv_SY_B!$FG21-1</f>
        <v>8.2111436987997166E-3</v>
      </c>
      <c r="AG21" s="81">
        <f>Inv_SY_B!AG21/Inv_SY_B!$FG21-1</f>
        <v>7.3439251395701621E-3</v>
      </c>
      <c r="AH21" s="81">
        <f>Inv_SY_B!AH21/Inv_SY_B!$FG21-1</f>
        <v>-3.744926422919459E-3</v>
      </c>
      <c r="AI21" s="81">
        <f>Inv_SY_B!AI21/Inv_SY_B!$FG21-1</f>
        <v>6.984215874630606E-2</v>
      </c>
      <c r="AJ21" s="81">
        <f>Inv_SY_B!AJ21/Inv_SY_B!$FG21-1</f>
        <v>7.0007657971606019E-2</v>
      </c>
      <c r="AK21" s="81">
        <f>Inv_SY_B!AK21/Inv_SY_B!$FG21-1</f>
        <v>8.6005916417252859E-2</v>
      </c>
      <c r="AL21" s="81">
        <f>Inv_SY_B!AL21/Inv_SY_B!$FG21-1</f>
        <v>7.098226452059353E-2</v>
      </c>
      <c r="AM21" s="81">
        <f>Inv_SY_B!AM21/Inv_SY_B!$FG21-1</f>
        <v>1.2358761158844267E-2</v>
      </c>
      <c r="AN21" s="81">
        <f>Inv_SY_B!AN21/Inv_SY_B!$FG21-1</f>
        <v>-1.8190058085049143E-3</v>
      </c>
      <c r="AO21" s="81">
        <f>Inv_SY_B!AO21/Inv_SY_B!$FG21-1</f>
        <v>1.8863379579294737E-3</v>
      </c>
      <c r="AP21" s="81">
        <f>Inv_SY_B!AP21/Inv_SY_B!$FG21-1</f>
        <v>-4.2922997865962875E-3</v>
      </c>
      <c r="AQ21" s="81">
        <f>Inv_SY_B!AQ21/Inv_SY_B!$FG21-1</f>
        <v>-7.0195353979000119E-3</v>
      </c>
      <c r="AR21" s="81">
        <f>Inv_SY_B!AR21/Inv_SY_B!$FG21-1</f>
        <v>-1.0639133077717466E-2</v>
      </c>
      <c r="AS21" s="81">
        <f>Inv_SY_B!AS21/Inv_SY_B!$FG21-1</f>
        <v>-7.4663385928830373E-4</v>
      </c>
      <c r="AT21" s="81">
        <f>Inv_SY_B!AT21/Inv_SY_B!$FG21-1</f>
        <v>-1.5620715069782798E-2</v>
      </c>
      <c r="AU21" s="81">
        <f>Inv_SY_B!AU21/Inv_SY_B!$FG21-1</f>
        <v>-4.0679069541307067E-2</v>
      </c>
      <c r="AV21" s="81">
        <f>Inv_SY_B!AV21/Inv_SY_B!$FG21-1</f>
        <v>-5.7764904984007104E-2</v>
      </c>
      <c r="AW21" s="81">
        <f>Inv_SY_B!AW21/Inv_SY_B!$FG21-1</f>
        <v>-2.3495523646698269E-3</v>
      </c>
      <c r="AX21" s="81">
        <f>Inv_SY_B!AX21/Inv_SY_B!$FG21-1</f>
        <v>-4.3696143909386365E-3</v>
      </c>
      <c r="AY21" s="81">
        <f>Inv_SY_B!AY21/Inv_SY_B!$FG21-1</f>
        <v>-3.9765633417674695E-2</v>
      </c>
      <c r="AZ21" s="81">
        <f>Inv_SY_B!AZ21/Inv_SY_B!$FG21-1</f>
        <v>-1.9445589272922947E-2</v>
      </c>
      <c r="BA21" s="81">
        <f>Inv_SY_B!BA21/Inv_SY_B!$FG21-1</f>
        <v>-3.057632613911565E-3</v>
      </c>
      <c r="BB21" s="81">
        <f>Inv_SY_B!BB21/Inv_SY_B!$FG21-1</f>
        <v>2.823127898214417E-2</v>
      </c>
      <c r="BC21" s="81">
        <f>Inv_SY_B!BC21/Inv_SY_B!$FG21-1</f>
        <v>-1.9317246669368737E-2</v>
      </c>
      <c r="BD21" s="81">
        <f>Inv_SY_B!BD21/Inv_SY_B!$FG21-1</f>
        <v>-4.2531735148542138E-3</v>
      </c>
      <c r="BE21" s="81">
        <f>Inv_SY_B!BE21/Inv_SY_B!$FG21-1</f>
        <v>-1.5816413584902156E-2</v>
      </c>
      <c r="BF21" s="81">
        <f>Inv_SY_B!BF21/Inv_SY_B!$FG21-1</f>
        <v>-2.2065723058000919E-2</v>
      </c>
      <c r="BG21" s="81">
        <f>Inv_SY_B!BG21/Inv_SY_B!$FG21-1</f>
        <v>1.4431113561357956E-2</v>
      </c>
      <c r="BH21" s="81">
        <f>Inv_SY_B!BH21/Inv_SY_B!$FG21-1</f>
        <v>-2.3871372851776207E-2</v>
      </c>
      <c r="BI21" s="81">
        <f>Inv_SY_B!BI21/Inv_SY_B!$FG21-1</f>
        <v>1.894151473657546E-2</v>
      </c>
      <c r="BJ21" s="81">
        <f>Inv_SY_B!BJ21/Inv_SY_B!$FG21-1</f>
        <v>-1.7318258308829049E-2</v>
      </c>
      <c r="BK21" s="81">
        <f>Inv_SY_B!BK21/Inv_SY_B!$FG21-1</f>
        <v>-1.7579796175596463E-2</v>
      </c>
      <c r="BL21" s="81">
        <f>Inv_SY_B!BL21/Inv_SY_B!$FG21-1</f>
        <v>1.866874749487768E-2</v>
      </c>
      <c r="BM21" s="81">
        <f>Inv_SY_B!BM21/Inv_SY_B!$FG21-1</f>
        <v>-1.1251870581931445E-2</v>
      </c>
      <c r="BN21" s="81">
        <f>Inv_SY_B!BN21/Inv_SY_B!$FG21-1</f>
        <v>5.5690520039044511E-3</v>
      </c>
      <c r="BO21" s="81">
        <f>Inv_SY_B!BO21/Inv_SY_B!$FG21-1</f>
        <v>-1.2415489452276551E-3</v>
      </c>
      <c r="BP21" s="81">
        <f>Inv_SY_B!BP21/Inv_SY_B!$FG21-1</f>
        <v>1.4187928874379141E-2</v>
      </c>
      <c r="BQ21" s="81">
        <f>Inv_SY_B!BQ21/Inv_SY_B!$FG21-1</f>
        <v>-3.8293851105468679E-3</v>
      </c>
      <c r="BR21" s="81">
        <f>Inv_SY_B!BR21/Inv_SY_B!$FG21-1</f>
        <v>-2.1556520057853801E-2</v>
      </c>
      <c r="BS21" s="81">
        <f>Inv_SY_B!BS21/Inv_SY_B!$FG21-1</f>
        <v>-3.2353227252373995E-2</v>
      </c>
      <c r="BT21" s="81">
        <f>Inv_SY_B!BT21/Inv_SY_B!$FG21-1</f>
        <v>1.1443806188585537E-2</v>
      </c>
      <c r="BU21" s="81">
        <f>Inv_SY_B!BU21/Inv_SY_B!$FG21-1</f>
        <v>-3.0489777381159433E-2</v>
      </c>
      <c r="BV21" s="81">
        <f>Inv_SY_B!BV21/Inv_SY_B!$FG21-1</f>
        <v>4.6821121641875685E-3</v>
      </c>
      <c r="BW21" s="81">
        <f>Inv_SY_B!BW21/Inv_SY_B!$FG21-1</f>
        <v>-8.0493120913639471E-3</v>
      </c>
      <c r="BX21" s="81">
        <f>Inv_SY_B!BX21/Inv_SY_B!$FG21-1</f>
        <v>-1.374184583114435E-2</v>
      </c>
      <c r="BY21" s="81">
        <f>Inv_SY_B!BY21/Inv_SY_B!$FG21-1</f>
        <v>2.9491761977958664E-2</v>
      </c>
      <c r="BZ21" s="81">
        <f>Inv_SY_B!BZ21/Inv_SY_B!$FG21-1</f>
        <v>-2.752279079237685E-2</v>
      </c>
      <c r="CA21" s="81">
        <f>Inv_SY_B!CA21/Inv_SY_B!$FG21-1</f>
        <v>2.5833601309059873E-2</v>
      </c>
      <c r="CB21" s="81">
        <f>Inv_SY_B!CB21/Inv_SY_B!$FG21-1</f>
        <v>-1.3392362802718938E-2</v>
      </c>
      <c r="CC21" s="81">
        <f>Inv_SY_B!CC21/Inv_SY_B!$FG21-1</f>
        <v>2.4104608954427009E-2</v>
      </c>
      <c r="CD21" s="81">
        <f>Inv_SY_B!CD21/Inv_SY_B!$FG21-1</f>
        <v>-2.0294022320096583E-2</v>
      </c>
      <c r="CE21" s="81">
        <f>Inv_SY_B!CE21/Inv_SY_B!$FG21-1</f>
        <v>1.2698003729396667E-2</v>
      </c>
      <c r="CF21" s="81">
        <f>Inv_SY_B!CF21/Inv_SY_B!$FG21-1</f>
        <v>-1.8504380814435395E-2</v>
      </c>
      <c r="CG21" s="81">
        <f>Inv_SY_B!CG21/Inv_SY_B!$FG21-1</f>
        <v>4.939081670105594E-3</v>
      </c>
      <c r="CH21" s="81">
        <f>Inv_SY_B!CH21/Inv_SY_B!$FG21-1</f>
        <v>-3.2207124552088628E-2</v>
      </c>
      <c r="CI21" s="81">
        <f>Inv_SY_B!CI21/Inv_SY_B!$FG21-1</f>
        <v>1.4683816502347735E-2</v>
      </c>
      <c r="CJ21" s="81">
        <f>Inv_SY_B!CJ21/Inv_SY_B!$FG21-1</f>
        <v>-1.5457684520168935E-2</v>
      </c>
      <c r="CK21" s="81">
        <f>Inv_SY_B!CK21/Inv_SY_B!$FG21-1</f>
        <v>1.5253906293625663E-2</v>
      </c>
      <c r="CL21" s="81">
        <f>Inv_SY_B!CL21/Inv_SY_B!$FG21-1</f>
        <v>3.3353836746496501E-2</v>
      </c>
      <c r="CM21" s="81">
        <f>Inv_SY_B!CM21/Inv_SY_B!$FG21-1</f>
        <v>-9.7226156827640464E-2</v>
      </c>
      <c r="CN21" s="81">
        <f>Inv_SY_B!CN21/Inv_SY_B!$FG21-1</f>
        <v>-9.5529899869342794E-2</v>
      </c>
      <c r="CO21" s="81">
        <f>Inv_SY_B!CO21/Inv_SY_B!$FG21-1</f>
        <v>-7.0135373184256222E-2</v>
      </c>
      <c r="CP21" s="81">
        <f>Inv_SY_B!CP21/Inv_SY_B!$FG21-1</f>
        <v>-0.11021620962913825</v>
      </c>
      <c r="CQ21" s="81">
        <f>Inv_SY_B!CQ21/Inv_SY_B!$FG21-1</f>
        <v>-0.10902723670595194</v>
      </c>
      <c r="CR21" s="81">
        <f>Inv_SY_B!CR21/Inv_SY_B!$FG21-1</f>
        <v>-7.930507506314155E-2</v>
      </c>
      <c r="CS21" s="81">
        <f>Inv_SY_B!CS21/Inv_SY_B!$FG21-1</f>
        <v>-9.3353653507616707E-2</v>
      </c>
      <c r="CT21" s="81">
        <f>Inv_SY_B!CT21/Inv_SY_B!$FG21-1</f>
        <v>-0.10943526831081996</v>
      </c>
      <c r="CU21" s="81">
        <f>Inv_SY_B!CU21/Inv_SY_B!$FG21-1</f>
        <v>3.1502056549271407E-2</v>
      </c>
      <c r="CV21" s="81">
        <f>Inv_SY_B!CV21/Inv_SY_B!$FG21-1</f>
        <v>1.4272398995996527E-2</v>
      </c>
      <c r="CW21" s="81">
        <f>Inv_SY_B!CW21/Inv_SY_B!$FG21-1</f>
        <v>-1.8939206263424713E-2</v>
      </c>
      <c r="CX21" s="81">
        <f>Inv_SY_B!CX21/Inv_SY_B!$FG21-1</f>
        <v>2.9555554316742727E-2</v>
      </c>
      <c r="CY21" s="81">
        <f>Inv_SY_B!CY21/Inv_SY_B!$FG21-1</f>
        <v>-3.9126247261646596E-2</v>
      </c>
      <c r="CZ21" s="81">
        <f>Inv_SY_B!CZ21/Inv_SY_B!$FG21-1</f>
        <v>2.8031137393383254E-2</v>
      </c>
      <c r="DA21" s="81">
        <f>Inv_SY_B!DA21/Inv_SY_B!$FG21-1</f>
        <v>-1.8634121144738502E-2</v>
      </c>
      <c r="DB21" s="81">
        <f>Inv_SY_B!DB21/Inv_SY_B!$FG21-1</f>
        <v>1.3214163730234318E-2</v>
      </c>
      <c r="DC21" s="81">
        <f>Inv_SY_B!DC21/Inv_SY_B!$FG21-1</f>
        <v>-2.675975848597556E-2</v>
      </c>
      <c r="DD21" s="81">
        <f>Inv_SY_B!DD21/Inv_SY_B!$FG21-1</f>
        <v>2.05664601020763E-2</v>
      </c>
      <c r="DE21" s="81">
        <f>Inv_SY_B!DE21/Inv_SY_B!$FG21-1</f>
        <v>-2.4080108470704742E-2</v>
      </c>
      <c r="DF21" s="81">
        <f>Inv_SY_B!DF21/Inv_SY_B!$FG21-1</f>
        <v>5.5713534775061468E-3</v>
      </c>
      <c r="DG21" s="81">
        <f>Inv_SY_B!DG21/Inv_SY_B!$FG21-1</f>
        <v>-2.0650650395861669E-2</v>
      </c>
      <c r="DH21" s="81">
        <f>Inv_SY_B!DH21/Inv_SY_B!$FG21-1</f>
        <v>3.5383851292269952E-3</v>
      </c>
      <c r="DI21" s="81">
        <f>Inv_SY_B!DI21/Inv_SY_B!$FG21-1</f>
        <v>-1.131324321131344E-2</v>
      </c>
      <c r="DJ21" s="81">
        <f>Inv_SY_B!DJ21/Inv_SY_B!$FG21-1</f>
        <v>-6.7139366744484175E-4</v>
      </c>
      <c r="DK21" s="81">
        <f>Inv_SY_B!DK21/Inv_SY_B!$FG21-1</f>
        <v>1.7621802597151071E-2</v>
      </c>
      <c r="DL21" s="81">
        <f>Inv_SY_B!DL21/Inv_SY_B!$FG21-1</f>
        <v>-1.6231821080357145E-2</v>
      </c>
      <c r="DM21" s="81">
        <f>Inv_SY_B!DM21/Inv_SY_B!$FG21-1</f>
        <v>5.9932903045074593E-3</v>
      </c>
      <c r="DN21" s="81">
        <f>Inv_SY_B!DN21/Inv_SY_B!$FG21-1</f>
        <v>2.5556434595721766E-2</v>
      </c>
      <c r="DO21" s="81">
        <f>Inv_SY_B!DO21/Inv_SY_B!$FG21-1</f>
        <v>-2.1189262063244563E-2</v>
      </c>
      <c r="DP21" s="81">
        <f>Inv_SY_B!DP21/Inv_SY_B!$FG21-1</f>
        <v>-3.3994813527206569E-2</v>
      </c>
      <c r="DQ21" s="81">
        <f>Inv_SY_B!DQ21/Inv_SY_B!$FG21-1</f>
        <v>-2.3324743533220449E-2</v>
      </c>
      <c r="DR21" s="81">
        <f>Inv_SY_B!DR21/Inv_SY_B!$FG21-1</f>
        <v>1.1218378473105695E-3</v>
      </c>
      <c r="DS21" s="81">
        <f>Inv_SY_B!DS21/Inv_SY_B!$FG21-1</f>
        <v>-2.5592814124486662E-2</v>
      </c>
      <c r="DT21" s="81">
        <f>Inv_SY_B!DT21/Inv_SY_B!$FG21-1</f>
        <v>1.7256202850371105E-2</v>
      </c>
      <c r="DU21" s="81">
        <f>Inv_SY_B!DU21/Inv_SY_B!$FG21-1</f>
        <v>7.4389978034417048E-4</v>
      </c>
      <c r="DV21" s="81">
        <f>Inv_SY_B!DV21/Inv_SY_B!$FG21-1</f>
        <v>8.2548838743432551E-3</v>
      </c>
      <c r="DW21" s="81">
        <f>Inv_SY_B!DW21/Inv_SY_B!$FG21-1</f>
        <v>1.1796496066920792E-2</v>
      </c>
      <c r="DX21" s="81">
        <f>Inv_SY_B!DX21/Inv_SY_B!$FG21-1</f>
        <v>3.1975561988164314E-2</v>
      </c>
      <c r="DY21" s="81">
        <f>Inv_SY_B!DY21/Inv_SY_B!$FG21-1</f>
        <v>-1.0619846858233362E-2</v>
      </c>
      <c r="DZ21" s="81">
        <f>Inv_SY_B!DZ21/Inv_SY_B!$FG21-1</f>
        <v>2.339346578857171E-2</v>
      </c>
      <c r="EA21" s="81">
        <f>Inv_SY_B!EA21/Inv_SY_B!$FG21-1</f>
        <v>1.3519852074932448E-3</v>
      </c>
      <c r="EB21" s="81">
        <f>Inv_SY_B!EB21/Inv_SY_B!$FG21-1</f>
        <v>2.5651710653431747E-2</v>
      </c>
      <c r="EC21" s="81">
        <f>Inv_SY_B!EC21/Inv_SY_B!$FG21-1</f>
        <v>2.2583985276300345E-2</v>
      </c>
      <c r="ED21" s="81">
        <f>Inv_SY_B!ED21/Inv_SY_B!$FG21-1</f>
        <v>4.6358696323672399E-2</v>
      </c>
      <c r="EE21" s="81">
        <f>Inv_SY_B!EE21/Inv_SY_B!$FG21-1</f>
        <v>2.7475232726835497E-2</v>
      </c>
      <c r="EF21" s="81">
        <f>Inv_SY_B!EF21/Inv_SY_B!$FG21-1</f>
        <v>5.4074909635973611E-2</v>
      </c>
      <c r="EG21" s="81">
        <f>Inv_SY_B!EG21/Inv_SY_B!$FG21-1</f>
        <v>1.4748479464784525E-2</v>
      </c>
      <c r="EH21" s="81">
        <f>Inv_SY_B!EH21/Inv_SY_B!$FG21-1</f>
        <v>1.8123974080794802E-2</v>
      </c>
      <c r="EI21" s="81">
        <f>Inv_SY_B!EI21/Inv_SY_B!$FG21-1</f>
        <v>2.8372880783007481E-3</v>
      </c>
      <c r="EJ21" s="81">
        <f>Inv_SY_B!EJ21/Inv_SY_B!$FG21-1</f>
        <v>5.5807201594336941E-2</v>
      </c>
      <c r="EK21" s="81">
        <f>Inv_SY_B!EK21/Inv_SY_B!$FG21-1</f>
        <v>7.4231873293453265E-3</v>
      </c>
      <c r="EL21" s="81">
        <f>Inv_SY_B!EL21/Inv_SY_B!$FG21-1</f>
        <v>5.616450154112318E-2</v>
      </c>
      <c r="EM21" s="81">
        <f>Inv_SY_B!EM21/Inv_SY_B!$FG21-1</f>
        <v>1.7411246604454922E-2</v>
      </c>
      <c r="EN21" s="81">
        <f>Inv_SY_B!EN21/Inv_SY_B!$FG21-1</f>
        <v>4.7026798944246329E-2</v>
      </c>
      <c r="EO21" s="81">
        <f>Inv_SY_B!EO21/Inv_SY_B!$FG21-1</f>
        <v>4.4216931041488827E-2</v>
      </c>
      <c r="EP21" s="81">
        <f>Inv_SY_B!EP21/Inv_SY_B!$FG21-1</f>
        <v>2.9017615796101071E-2</v>
      </c>
      <c r="EQ21" s="81">
        <f>Inv_SY_B!EQ21/Inv_SY_B!$FG21-1</f>
        <v>1.7344725138437544E-2</v>
      </c>
      <c r="ER21" s="81">
        <f>Inv_SY_B!ER21/Inv_SY_B!$FG21-1</f>
        <v>6.8924604993059191E-4</v>
      </c>
      <c r="ES21" s="81">
        <f>Inv_SY_B!ES21/Inv_SY_B!$FG21-1</f>
        <v>-4.8817127161361329E-3</v>
      </c>
      <c r="ET21" s="81">
        <f>Inv_SY_B!ET21/Inv_SY_B!$FG21-1</f>
        <v>7.0297638033576249E-3</v>
      </c>
      <c r="EU21" s="81">
        <f>Inv_SY_B!EU21/Inv_SY_B!$FG21-1</f>
        <v>1.1567880764703276E-2</v>
      </c>
      <c r="EV21" s="81">
        <f>Inv_SY_B!EV21/Inv_SY_B!$FG21-1</f>
        <v>-1.8423749120772825E-3</v>
      </c>
      <c r="EW21" s="81">
        <f>Inv_SY_B!EW21/Inv_SY_B!$FG21-1</f>
        <v>4.5386846789083224E-2</v>
      </c>
      <c r="EX21" s="81">
        <f>Inv_SY_B!EX21/Inv_SY_B!$FG21-1</f>
        <v>1.3357195452319726E-2</v>
      </c>
      <c r="EY21" s="81">
        <f>Inv_SY_B!EY21/Inv_SY_B!$FG21-1</f>
        <v>-6.355671343981073E-3</v>
      </c>
      <c r="EZ21" s="81">
        <f>Inv_SY_B!EZ21/Inv_SY_B!$FG21-1</f>
        <v>-6.8203770730623781E-3</v>
      </c>
      <c r="FA21" s="81">
        <f>Inv_SY_B!FA21/Inv_SY_B!$FG21-1</f>
        <v>-6.0702671583933165E-3</v>
      </c>
      <c r="FB21" s="81">
        <f>Inv_SY_B!FB21/Inv_SY_B!$FG21-1</f>
        <v>-1.7594683120125798E-2</v>
      </c>
      <c r="FC21" s="81">
        <f>Inv_SY_B!FC21/Inv_SY_B!$FG21-1</f>
        <v>-3.9904169404475498E-3</v>
      </c>
      <c r="FD21" s="81">
        <f>Inv_SY_B!FD21/Inv_SY_B!$FG21-1</f>
        <v>3.697687866908006E-2</v>
      </c>
      <c r="FE21" s="81">
        <f>Inv_SY_B!FE21/Inv_SY_B!$FG21-1</f>
        <v>-1.9787585329261725E-3</v>
      </c>
      <c r="FF21" s="81">
        <f>Inv_SY_B!FF21/Inv_SY_B!$FG21-1</f>
        <v>3.7619373382922872E-2</v>
      </c>
    </row>
    <row r="22" spans="2:162">
      <c r="B22" s="104">
        <f t="shared" si="0"/>
        <v>45845</v>
      </c>
      <c r="C22" s="81">
        <f>Inv_SY_B!C22/Inv_SY_B!$FG22-1</f>
        <v>2.3123820735090783E-2</v>
      </c>
      <c r="D22" s="81">
        <f>Inv_SY_B!D22/Inv_SY_B!$FG22-1</f>
        <v>4.4120646213076764E-2</v>
      </c>
      <c r="E22" s="81">
        <f>Inv_SY_B!E22/Inv_SY_B!$FG22-1</f>
        <v>4.4711738446771898E-2</v>
      </c>
      <c r="F22" s="81">
        <f>Inv_SY_B!F22/Inv_SY_B!$FG22-1</f>
        <v>3.7135573174471359E-2</v>
      </c>
      <c r="G22" s="81">
        <f>Inv_SY_B!G22/Inv_SY_B!$FG22-1</f>
        <v>5.729981379398974E-2</v>
      </c>
      <c r="H22" s="81">
        <f>Inv_SY_B!H22/Inv_SY_B!$FG22-1</f>
        <v>5.397218344133381E-2</v>
      </c>
      <c r="I22" s="81">
        <f>Inv_SY_B!I22/Inv_SY_B!$FG22-1</f>
        <v>5.3085545090790776E-2</v>
      </c>
      <c r="J22" s="81">
        <f>Inv_SY_B!J22/Inv_SY_B!$FG22-1</f>
        <v>2.6289106273402307E-2</v>
      </c>
      <c r="K22" s="81">
        <f>Inv_SY_B!K22/Inv_SY_B!$FG22-1</f>
        <v>3.9534208325698872E-2</v>
      </c>
      <c r="L22" s="81">
        <f>Inv_SY_B!L22/Inv_SY_B!$FG22-1</f>
        <v>2.7278655732351442E-2</v>
      </c>
      <c r="M22" s="81">
        <f>Inv_SY_B!M22/Inv_SY_B!$FG22-1</f>
        <v>2.522009635735456E-2</v>
      </c>
      <c r="N22" s="81">
        <f>Inv_SY_B!N22/Inv_SY_B!$FG22-1</f>
        <v>3.5932924161147239E-2</v>
      </c>
      <c r="O22" s="81">
        <f>Inv_SY_B!O22/Inv_SY_B!$FG22-1</f>
        <v>1.9804443648968606E-2</v>
      </c>
      <c r="P22" s="81">
        <f>Inv_SY_B!P22/Inv_SY_B!$FG22-1</f>
        <v>3.4104916697681897E-2</v>
      </c>
      <c r="Q22" s="81">
        <f>Inv_SY_B!Q22/Inv_SY_B!$FG22-1</f>
        <v>4.0880585080227627E-2</v>
      </c>
      <c r="R22" s="81">
        <f>Inv_SY_B!R22/Inv_SY_B!$FG22-1</f>
        <v>4.0771123555469302E-2</v>
      </c>
      <c r="S22" s="81">
        <f>Inv_SY_B!S22/Inv_SY_B!$FG22-1</f>
        <v>3.8122154656315521E-2</v>
      </c>
      <c r="T22" s="81">
        <f>Inv_SY_B!T22/Inv_SY_B!$FG22-1</f>
        <v>2.2042256669304594E-2</v>
      </c>
      <c r="U22" s="81">
        <f>Inv_SY_B!U22/Inv_SY_B!$FG22-1</f>
        <v>3.5812516483912926E-2</v>
      </c>
      <c r="V22" s="81">
        <f>Inv_SY_B!V22/Inv_SY_B!$FG22-1</f>
        <v>4.4525653854682545E-2</v>
      </c>
      <c r="W22" s="81">
        <f>Inv_SY_B!W22/Inv_SY_B!$FG22-1</f>
        <v>3.7025293350250621E-2</v>
      </c>
      <c r="X22" s="81">
        <f>Inv_SY_B!X22/Inv_SY_B!$FG22-1</f>
        <v>2.3838033794924662E-2</v>
      </c>
      <c r="Y22" s="81">
        <f>Inv_SY_B!Y22/Inv_SY_B!$FG22-1</f>
        <v>4.4419573166891491E-2</v>
      </c>
      <c r="Z22" s="81">
        <f>Inv_SY_B!Z22/Inv_SY_B!$FG22-1</f>
        <v>4.0176035976120072E-2</v>
      </c>
      <c r="AA22" s="81">
        <f>Inv_SY_B!AA22/Inv_SY_B!$FG22-1</f>
        <v>2.2475902182325536E-2</v>
      </c>
      <c r="AB22" s="81">
        <f>Inv_SY_B!AB22/Inv_SY_B!$FG22-1</f>
        <v>1.8196472459521384E-2</v>
      </c>
      <c r="AC22" s="81">
        <f>Inv_SY_B!AC22/Inv_SY_B!$FG22-1</f>
        <v>-4.9390891114953206E-3</v>
      </c>
      <c r="AD22" s="81">
        <f>Inv_SY_B!AD22/Inv_SY_B!$FG22-1</f>
        <v>7.8193606947163374E-5</v>
      </c>
      <c r="AE22" s="81">
        <f>Inv_SY_B!AE22/Inv_SY_B!$FG22-1</f>
        <v>3.625376805260605E-2</v>
      </c>
      <c r="AF22" s="81">
        <f>Inv_SY_B!AF22/Inv_SY_B!$FG22-1</f>
        <v>3.6833286250357089E-2</v>
      </c>
      <c r="AG22" s="81">
        <f>Inv_SY_B!AG22/Inv_SY_B!$FG22-1</f>
        <v>2.9847154358252803E-2</v>
      </c>
      <c r="AH22" s="81">
        <f>Inv_SY_B!AH22/Inv_SY_B!$FG22-1</f>
        <v>2.6035413092491577E-2</v>
      </c>
      <c r="AI22" s="81">
        <f>Inv_SY_B!AI22/Inv_SY_B!$FG22-1</f>
        <v>2.4132971792190316E-2</v>
      </c>
      <c r="AJ22" s="81">
        <f>Inv_SY_B!AJ22/Inv_SY_B!$FG22-1</f>
        <v>2.3049302697082164E-2</v>
      </c>
      <c r="AK22" s="81">
        <f>Inv_SY_B!AK22/Inv_SY_B!$FG22-1</f>
        <v>4.8882222540067577E-2</v>
      </c>
      <c r="AL22" s="81">
        <f>Inv_SY_B!AL22/Inv_SY_B!$FG22-1</f>
        <v>3.1860955440134342E-2</v>
      </c>
      <c r="AM22" s="81">
        <f>Inv_SY_B!AM22/Inv_SY_B!$FG22-1</f>
        <v>3.6425501022560258E-2</v>
      </c>
      <c r="AN22" s="81">
        <f>Inv_SY_B!AN22/Inv_SY_B!$FG22-1</f>
        <v>1.9809241564233027E-2</v>
      </c>
      <c r="AO22" s="81">
        <f>Inv_SY_B!AO22/Inv_SY_B!$FG22-1</f>
        <v>2.7394925229990985E-2</v>
      </c>
      <c r="AP22" s="81">
        <f>Inv_SY_B!AP22/Inv_SY_B!$FG22-1</f>
        <v>1.9524641599861114E-2</v>
      </c>
      <c r="AQ22" s="81">
        <f>Inv_SY_B!AQ22/Inv_SY_B!$FG22-1</f>
        <v>3.4485525672320883E-2</v>
      </c>
      <c r="AR22" s="81">
        <f>Inv_SY_B!AR22/Inv_SY_B!$FG22-1</f>
        <v>3.6099202882579728E-2</v>
      </c>
      <c r="AS22" s="81">
        <f>Inv_SY_B!AS22/Inv_SY_B!$FG22-1</f>
        <v>4.5711097529247402E-2</v>
      </c>
      <c r="AT22" s="81">
        <f>Inv_SY_B!AT22/Inv_SY_B!$FG22-1</f>
        <v>3.4282124616064058E-2</v>
      </c>
      <c r="AU22" s="81">
        <f>Inv_SY_B!AU22/Inv_SY_B!$FG22-1</f>
        <v>9.4728250968731942E-3</v>
      </c>
      <c r="AV22" s="81">
        <f>Inv_SY_B!AV22/Inv_SY_B!$FG22-1</f>
        <v>-1.2247197470064863E-2</v>
      </c>
      <c r="AW22" s="81">
        <f>Inv_SY_B!AW22/Inv_SY_B!$FG22-1</f>
        <v>4.3566571636067364E-2</v>
      </c>
      <c r="AX22" s="81">
        <f>Inv_SY_B!AX22/Inv_SY_B!$FG22-1</f>
        <v>4.3222665295657325E-2</v>
      </c>
      <c r="AY22" s="81">
        <f>Inv_SY_B!AY22/Inv_SY_B!$FG22-1</f>
        <v>-2.5444530489404982E-2</v>
      </c>
      <c r="AZ22" s="81">
        <f>Inv_SY_B!AZ22/Inv_SY_B!$FG22-1</f>
        <v>9.6217130015907593E-4</v>
      </c>
      <c r="BA22" s="81">
        <f>Inv_SY_B!BA22/Inv_SY_B!$FG22-1</f>
        <v>5.6702082696811207E-3</v>
      </c>
      <c r="BB22" s="81">
        <f>Inv_SY_B!BB22/Inv_SY_B!$FG22-1</f>
        <v>2.7062136539680592E-2</v>
      </c>
      <c r="BC22" s="81">
        <f>Inv_SY_B!BC22/Inv_SY_B!$FG22-1</f>
        <v>-5.4026768397004155E-3</v>
      </c>
      <c r="BD22" s="81">
        <f>Inv_SY_B!BD22/Inv_SY_B!$FG22-1</f>
        <v>1.2873593396190763E-2</v>
      </c>
      <c r="BE22" s="81">
        <f>Inv_SY_B!BE22/Inv_SY_B!$FG22-1</f>
        <v>-5.6702408907119972E-3</v>
      </c>
      <c r="BF22" s="81">
        <f>Inv_SY_B!BF22/Inv_SY_B!$FG22-1</f>
        <v>-1.2469083307972695E-2</v>
      </c>
      <c r="BG22" s="81">
        <f>Inv_SY_B!BG22/Inv_SY_B!$FG22-1</f>
        <v>6.2172476613739924E-3</v>
      </c>
      <c r="BH22" s="81">
        <f>Inv_SY_B!BH22/Inv_SY_B!$FG22-1</f>
        <v>-9.3524473814131648E-3</v>
      </c>
      <c r="BI22" s="81">
        <f>Inv_SY_B!BI22/Inv_SY_B!$FG22-1</f>
        <v>1.9566210917001614E-2</v>
      </c>
      <c r="BJ22" s="81">
        <f>Inv_SY_B!BJ22/Inv_SY_B!$FG22-1</f>
        <v>1.0481042717593869E-3</v>
      </c>
      <c r="BK22" s="81">
        <f>Inv_SY_B!BK22/Inv_SY_B!$FG22-1</f>
        <v>-5.8657684664512599E-3</v>
      </c>
      <c r="BL22" s="81">
        <f>Inv_SY_B!BL22/Inv_SY_B!$FG22-1</f>
        <v>1.598251878321455E-2</v>
      </c>
      <c r="BM22" s="81">
        <f>Inv_SY_B!BM22/Inv_SY_B!$FG22-1</f>
        <v>-5.4314914298095873E-3</v>
      </c>
      <c r="BN22" s="81">
        <f>Inv_SY_B!BN22/Inv_SY_B!$FG22-1</f>
        <v>6.4526231689963076E-3</v>
      </c>
      <c r="BO22" s="81">
        <f>Inv_SY_B!BO22/Inv_SY_B!$FG22-1</f>
        <v>-7.0421091507757438E-3</v>
      </c>
      <c r="BP22" s="81">
        <f>Inv_SY_B!BP22/Inv_SY_B!$FG22-1</f>
        <v>-1.104652764491787E-2</v>
      </c>
      <c r="BQ22" s="81">
        <f>Inv_SY_B!BQ22/Inv_SY_B!$FG22-1</f>
        <v>-9.252069153433129E-3</v>
      </c>
      <c r="BR22" s="81">
        <f>Inv_SY_B!BR22/Inv_SY_B!$FG22-1</f>
        <v>-3.1010377327381211E-2</v>
      </c>
      <c r="BS22" s="81">
        <f>Inv_SY_B!BS22/Inv_SY_B!$FG22-1</f>
        <v>-2.2953919167713943E-2</v>
      </c>
      <c r="BT22" s="81">
        <f>Inv_SY_B!BT22/Inv_SY_B!$FG22-1</f>
        <v>-5.9341523714260269E-3</v>
      </c>
      <c r="BU22" s="81">
        <f>Inv_SY_B!BU22/Inv_SY_B!$FG22-1</f>
        <v>-2.5947517352237326E-2</v>
      </c>
      <c r="BV22" s="81">
        <f>Inv_SY_B!BV22/Inv_SY_B!$FG22-1</f>
        <v>-1.0602258843599666E-2</v>
      </c>
      <c r="BW22" s="81">
        <f>Inv_SY_B!BW22/Inv_SY_B!$FG22-1</f>
        <v>-6.0859047759790341E-3</v>
      </c>
      <c r="BX22" s="81">
        <f>Inv_SY_B!BX22/Inv_SY_B!$FG22-1</f>
        <v>-1.4366980571386301E-2</v>
      </c>
      <c r="BY22" s="81">
        <f>Inv_SY_B!BY22/Inv_SY_B!$FG22-1</f>
        <v>1.2758355633723184E-2</v>
      </c>
      <c r="BZ22" s="81">
        <f>Inv_SY_B!BZ22/Inv_SY_B!$FG22-1</f>
        <v>-1.9368109798094224E-2</v>
      </c>
      <c r="CA22" s="81">
        <f>Inv_SY_B!CA22/Inv_SY_B!$FG22-1</f>
        <v>1.1404229558115819E-2</v>
      </c>
      <c r="CB22" s="81">
        <f>Inv_SY_B!CB22/Inv_SY_B!$FG22-1</f>
        <v>8.7650258820604066E-4</v>
      </c>
      <c r="CC22" s="81">
        <f>Inv_SY_B!CC22/Inv_SY_B!$FG22-1</f>
        <v>1.6098495874922847E-2</v>
      </c>
      <c r="CD22" s="81">
        <f>Inv_SY_B!CD22/Inv_SY_B!$FG22-1</f>
        <v>-3.5606012577359403E-3</v>
      </c>
      <c r="CE22" s="81">
        <f>Inv_SY_B!CE22/Inv_SY_B!$FG22-1</f>
        <v>-8.648973926414949E-3</v>
      </c>
      <c r="CF22" s="81">
        <f>Inv_SY_B!CF22/Inv_SY_B!$FG22-1</f>
        <v>-2.0322143675838955E-2</v>
      </c>
      <c r="CG22" s="81">
        <f>Inv_SY_B!CG22/Inv_SY_B!$FG22-1</f>
        <v>-1.9322921367135093E-2</v>
      </c>
      <c r="CH22" s="81">
        <f>Inv_SY_B!CH22/Inv_SY_B!$FG22-1</f>
        <v>-3.6700873132801126E-2</v>
      </c>
      <c r="CI22" s="81">
        <f>Inv_SY_B!CI22/Inv_SY_B!$FG22-1</f>
        <v>-1.6929179669130323E-2</v>
      </c>
      <c r="CJ22" s="81">
        <f>Inv_SY_B!CJ22/Inv_SY_B!$FG22-1</f>
        <v>-3.6125558291196458E-2</v>
      </c>
      <c r="CK22" s="81">
        <f>Inv_SY_B!CK22/Inv_SY_B!$FG22-1</f>
        <v>-9.7009672789729606E-3</v>
      </c>
      <c r="CL22" s="81">
        <f>Inv_SY_B!CL22/Inv_SY_B!$FG22-1</f>
        <v>-1.8781805130715257E-2</v>
      </c>
      <c r="CM22" s="81">
        <f>Inv_SY_B!CM22/Inv_SY_B!$FG22-1</f>
        <v>-5.4419293680633141E-3</v>
      </c>
      <c r="CN22" s="81">
        <f>Inv_SY_B!CN22/Inv_SY_B!$FG22-1</f>
        <v>-1.8793894383711596E-2</v>
      </c>
      <c r="CO22" s="81">
        <f>Inv_SY_B!CO22/Inv_SY_B!$FG22-1</f>
        <v>-2.7492780062814415E-3</v>
      </c>
      <c r="CP22" s="81">
        <f>Inv_SY_B!CP22/Inv_SY_B!$FG22-1</f>
        <v>-1.2031747718929675E-2</v>
      </c>
      <c r="CQ22" s="81">
        <f>Inv_SY_B!CQ22/Inv_SY_B!$FG22-1</f>
        <v>-5.6924398861532E-3</v>
      </c>
      <c r="CR22" s="81">
        <f>Inv_SY_B!CR22/Inv_SY_B!$FG22-1</f>
        <v>2.0988561218280521E-2</v>
      </c>
      <c r="CS22" s="81">
        <f>Inv_SY_B!CS22/Inv_SY_B!$FG22-1</f>
        <v>7.9280909782777353E-3</v>
      </c>
      <c r="CT22" s="81">
        <f>Inv_SY_B!CT22/Inv_SY_B!$FG22-1</f>
        <v>-3.8831232275725602E-3</v>
      </c>
      <c r="CU22" s="81">
        <f>Inv_SY_B!CU22/Inv_SY_B!$FG22-1</f>
        <v>-7.9233560129234881E-2</v>
      </c>
      <c r="CV22" s="81">
        <f>Inv_SY_B!CV22/Inv_SY_B!$FG22-1</f>
        <v>-8.9805360926496158E-2</v>
      </c>
      <c r="CW22" s="81">
        <f>Inv_SY_B!CW22/Inv_SY_B!$FG22-1</f>
        <v>-0.10560591769511496</v>
      </c>
      <c r="CX22" s="81">
        <f>Inv_SY_B!CX22/Inv_SY_B!$FG22-1</f>
        <v>-9.1971764076268503E-2</v>
      </c>
      <c r="CY22" s="81">
        <f>Inv_SY_B!CY22/Inv_SY_B!$FG22-1</f>
        <v>-0.12629817732455095</v>
      </c>
      <c r="CZ22" s="81">
        <f>Inv_SY_B!CZ22/Inv_SY_B!$FG22-1</f>
        <v>-9.355092312175517E-2</v>
      </c>
      <c r="DA22" s="81">
        <f>Inv_SY_B!DA22/Inv_SY_B!$FG22-1</f>
        <v>-0.11713830662142788</v>
      </c>
      <c r="DB22" s="81">
        <f>Inv_SY_B!DB22/Inv_SY_B!$FG22-1</f>
        <v>-0.10515229165042017</v>
      </c>
      <c r="DC22" s="81">
        <f>Inv_SY_B!DC22/Inv_SY_B!$FG22-1</f>
        <v>-2.1096337524033948E-2</v>
      </c>
      <c r="DD22" s="81">
        <f>Inv_SY_B!DD22/Inv_SY_B!$FG22-1</f>
        <v>-2.0081899100636846E-3</v>
      </c>
      <c r="DE22" s="81">
        <f>Inv_SY_B!DE22/Inv_SY_B!$FG22-1</f>
        <v>-1.7298986184676957E-2</v>
      </c>
      <c r="DF22" s="81">
        <f>Inv_SY_B!DF22/Inv_SY_B!$FG22-1</f>
        <v>-1.3580585535853396E-2</v>
      </c>
      <c r="DG22" s="81">
        <f>Inv_SY_B!DG22/Inv_SY_B!$FG22-1</f>
        <v>-1.610950226339436E-2</v>
      </c>
      <c r="DH22" s="81">
        <f>Inv_SY_B!DH22/Inv_SY_B!$FG22-1</f>
        <v>-1.0246969006062256E-2</v>
      </c>
      <c r="DI22" s="81">
        <f>Inv_SY_B!DI22/Inv_SY_B!$FG22-1</f>
        <v>-3.6674798649259932E-3</v>
      </c>
      <c r="DJ22" s="81">
        <f>Inv_SY_B!DJ22/Inv_SY_B!$FG22-1</f>
        <v>-1.58184932759875E-3</v>
      </c>
      <c r="DK22" s="81">
        <f>Inv_SY_B!DK22/Inv_SY_B!$FG22-1</f>
        <v>-5.4102140432729096E-3</v>
      </c>
      <c r="DL22" s="81">
        <f>Inv_SY_B!DL22/Inv_SY_B!$FG22-1</f>
        <v>-2.6766637220471901E-2</v>
      </c>
      <c r="DM22" s="81">
        <f>Inv_SY_B!DM22/Inv_SY_B!$FG22-1</f>
        <v>-1.4927731941727695E-2</v>
      </c>
      <c r="DN22" s="81">
        <f>Inv_SY_B!DN22/Inv_SY_B!$FG22-1</f>
        <v>-4.1752350548179828E-3</v>
      </c>
      <c r="DO22" s="81">
        <f>Inv_SY_B!DO22/Inv_SY_B!$FG22-1</f>
        <v>-2.4237843101691192E-2</v>
      </c>
      <c r="DP22" s="81">
        <f>Inv_SY_B!DP22/Inv_SY_B!$FG22-1</f>
        <v>-3.4875886151130575E-2</v>
      </c>
      <c r="DQ22" s="81">
        <f>Inv_SY_B!DQ22/Inv_SY_B!$FG22-1</f>
        <v>-3.025290859722396E-2</v>
      </c>
      <c r="DR22" s="81">
        <f>Inv_SY_B!DR22/Inv_SY_B!$FG22-1</f>
        <v>-1.3055426767461742E-2</v>
      </c>
      <c r="DS22" s="81">
        <f>Inv_SY_B!DS22/Inv_SY_B!$FG22-1</f>
        <v>-2.6848964620783011E-2</v>
      </c>
      <c r="DT22" s="81">
        <f>Inv_SY_B!DT22/Inv_SY_B!$FG22-1</f>
        <v>2.3784059258287193E-3</v>
      </c>
      <c r="DU22" s="81">
        <f>Inv_SY_B!DU22/Inv_SY_B!$FG22-1</f>
        <v>-5.3627238366085184E-3</v>
      </c>
      <c r="DV22" s="81">
        <f>Inv_SY_B!DV22/Inv_SY_B!$FG22-1</f>
        <v>1.1644975553323444E-2</v>
      </c>
      <c r="DW22" s="81">
        <f>Inv_SY_B!DW22/Inv_SY_B!$FG22-1</f>
        <v>-5.359516392895447E-3</v>
      </c>
      <c r="DX22" s="81">
        <f>Inv_SY_B!DX22/Inv_SY_B!$FG22-1</f>
        <v>6.5958440658320239E-3</v>
      </c>
      <c r="DY22" s="81">
        <f>Inv_SY_B!DY22/Inv_SY_B!$FG22-1</f>
        <v>-1.0639266246092793E-2</v>
      </c>
      <c r="DZ22" s="81">
        <f>Inv_SY_B!DZ22/Inv_SY_B!$FG22-1</f>
        <v>9.7429512493067971E-3</v>
      </c>
      <c r="EA22" s="81">
        <f>Inv_SY_B!EA22/Inv_SY_B!$FG22-1</f>
        <v>-1.1959443250817992E-2</v>
      </c>
      <c r="EB22" s="81">
        <f>Inv_SY_B!EB22/Inv_SY_B!$FG22-1</f>
        <v>5.2452146614938577E-3</v>
      </c>
      <c r="EC22" s="81">
        <f>Inv_SY_B!EC22/Inv_SY_B!$FG22-1</f>
        <v>1.0329959710331682E-2</v>
      </c>
      <c r="ED22" s="81">
        <f>Inv_SY_B!ED22/Inv_SY_B!$FG22-1</f>
        <v>1.8219267530681371E-3</v>
      </c>
      <c r="EE22" s="81">
        <f>Inv_SY_B!EE22/Inv_SY_B!$FG22-1</f>
        <v>6.2404430797158295E-3</v>
      </c>
      <c r="EF22" s="81">
        <f>Inv_SY_B!EF22/Inv_SY_B!$FG22-1</f>
        <v>2.9371770237185402E-4</v>
      </c>
      <c r="EG22" s="81">
        <f>Inv_SY_B!EG22/Inv_SY_B!$FG22-1</f>
        <v>-1.6594540206623321E-2</v>
      </c>
      <c r="EH22" s="81">
        <f>Inv_SY_B!EH22/Inv_SY_B!$FG22-1</f>
        <v>-1.4379740183406153E-2</v>
      </c>
      <c r="EI22" s="81">
        <f>Inv_SY_B!EI22/Inv_SY_B!$FG22-1</f>
        <v>-1.7917585123127022E-2</v>
      </c>
      <c r="EJ22" s="81">
        <f>Inv_SY_B!EJ22/Inv_SY_B!$FG22-1</f>
        <v>2.6835005009515633E-3</v>
      </c>
      <c r="EK22" s="81">
        <f>Inv_SY_B!EK22/Inv_SY_B!$FG22-1</f>
        <v>-1.7298557396133729E-2</v>
      </c>
      <c r="EL22" s="81">
        <f>Inv_SY_B!EL22/Inv_SY_B!$FG22-1</f>
        <v>1.7173365030913601E-3</v>
      </c>
      <c r="EM22" s="81">
        <f>Inv_SY_B!EM22/Inv_SY_B!$FG22-1</f>
        <v>-4.1163112098370203E-3</v>
      </c>
      <c r="EN22" s="81">
        <f>Inv_SY_B!EN22/Inv_SY_B!$FG22-1</f>
        <v>2.2276357066079999E-3</v>
      </c>
      <c r="EO22" s="81">
        <f>Inv_SY_B!EO22/Inv_SY_B!$FG22-1</f>
        <v>8.407583766809168E-3</v>
      </c>
      <c r="EP22" s="81">
        <f>Inv_SY_B!EP22/Inv_SY_B!$FG22-1</f>
        <v>4.8453626107303194E-4</v>
      </c>
      <c r="EQ22" s="81">
        <f>Inv_SY_B!EQ22/Inv_SY_B!$FG22-1</f>
        <v>1.0962727705143616E-2</v>
      </c>
      <c r="ER22" s="81">
        <f>Inv_SY_B!ER22/Inv_SY_B!$FG22-1</f>
        <v>-2.5839638856407499E-3</v>
      </c>
      <c r="ES22" s="81">
        <f>Inv_SY_B!ES22/Inv_SY_B!$FG22-1</f>
        <v>-4.126602134875923E-3</v>
      </c>
      <c r="ET22" s="81">
        <f>Inv_SY_B!ET22/Inv_SY_B!$FG22-1</f>
        <v>-1.1422867987461283E-2</v>
      </c>
      <c r="EU22" s="81">
        <f>Inv_SY_B!EU22/Inv_SY_B!$FG22-1</f>
        <v>-9.4984650051854747E-3</v>
      </c>
      <c r="EV22" s="81">
        <f>Inv_SY_B!EV22/Inv_SY_B!$FG22-1</f>
        <v>-2.3174246804806731E-2</v>
      </c>
      <c r="EW22" s="81">
        <f>Inv_SY_B!EW22/Inv_SY_B!$FG22-1</f>
        <v>-3.5569029565502008E-3</v>
      </c>
      <c r="EX22" s="81">
        <f>Inv_SY_B!EX22/Inv_SY_B!$FG22-1</f>
        <v>-4.4456208110820183E-3</v>
      </c>
      <c r="EY22" s="81">
        <f>Inv_SY_B!EY22/Inv_SY_B!$FG22-1</f>
        <v>-1.0038198835897516E-2</v>
      </c>
      <c r="EZ22" s="81">
        <f>Inv_SY_B!EZ22/Inv_SY_B!$FG22-1</f>
        <v>-3.0101796976689243E-3</v>
      </c>
      <c r="FA22" s="81">
        <f>Inv_SY_B!FA22/Inv_SY_B!$FG22-1</f>
        <v>-3.0744651466067086E-2</v>
      </c>
      <c r="FB22" s="81">
        <f>Inv_SY_B!FB22/Inv_SY_B!$FG22-1</f>
        <v>-1.8445280890399873E-2</v>
      </c>
      <c r="FC22" s="81">
        <f>Inv_SY_B!FC22/Inv_SY_B!$FG22-1</f>
        <v>-4.5628230129139968E-3</v>
      </c>
      <c r="FD22" s="81">
        <f>Inv_SY_B!FD22/Inv_SY_B!$FG22-1</f>
        <v>9.3665693438722553E-3</v>
      </c>
      <c r="FE22" s="81">
        <f>Inv_SY_B!FE22/Inv_SY_B!$FG22-1</f>
        <v>-1.0144220551376981E-2</v>
      </c>
      <c r="FF22" s="81">
        <f>Inv_SY_B!FF22/Inv_SY_B!$FG22-1</f>
        <v>1.6844373545972013E-2</v>
      </c>
    </row>
    <row r="23" spans="2:162">
      <c r="B23" s="104">
        <f t="shared" si="0"/>
        <v>45846</v>
      </c>
      <c r="C23" s="81">
        <f>Inv_SY_B!C23/Inv_SY_B!$FG23-1</f>
        <v>5.6923744537539678E-2</v>
      </c>
      <c r="D23" s="81">
        <f>Inv_SY_B!D23/Inv_SY_B!$FG23-1</f>
        <v>6.3351968475790388E-2</v>
      </c>
      <c r="E23" s="81">
        <f>Inv_SY_B!E23/Inv_SY_B!$FG23-1</f>
        <v>6.0971605684496888E-2</v>
      </c>
      <c r="F23" s="81">
        <f>Inv_SY_B!F23/Inv_SY_B!$FG23-1</f>
        <v>6.2457269007772931E-2</v>
      </c>
      <c r="G23" s="81">
        <f>Inv_SY_B!G23/Inv_SY_B!$FG23-1</f>
        <v>7.5473330456698795E-2</v>
      </c>
      <c r="H23" s="81">
        <f>Inv_SY_B!H23/Inv_SY_B!$FG23-1</f>
        <v>7.9228757190535903E-2</v>
      </c>
      <c r="I23" s="81">
        <f>Inv_SY_B!I23/Inv_SY_B!$FG23-1</f>
        <v>8.0511379859631083E-2</v>
      </c>
      <c r="J23" s="81">
        <f>Inv_SY_B!J23/Inv_SY_B!$FG23-1</f>
        <v>5.2611515988540969E-2</v>
      </c>
      <c r="K23" s="81">
        <f>Inv_SY_B!K23/Inv_SY_B!$FG23-1</f>
        <v>6.612520667923949E-2</v>
      </c>
      <c r="L23" s="81">
        <f>Inv_SY_B!L23/Inv_SY_B!$FG23-1</f>
        <v>7.2162636434756289E-2</v>
      </c>
      <c r="M23" s="81">
        <f>Inv_SY_B!M23/Inv_SY_B!$FG23-1</f>
        <v>5.4330229110523431E-2</v>
      </c>
      <c r="N23" s="81">
        <f>Inv_SY_B!N23/Inv_SY_B!$FG23-1</f>
        <v>5.6834858697685453E-2</v>
      </c>
      <c r="O23" s="81">
        <f>Inv_SY_B!O23/Inv_SY_B!$FG23-1</f>
        <v>5.6253495174129364E-2</v>
      </c>
      <c r="P23" s="81">
        <f>Inv_SY_B!P23/Inv_SY_B!$FG23-1</f>
        <v>5.2212795025270431E-2</v>
      </c>
      <c r="Q23" s="81">
        <f>Inv_SY_B!Q23/Inv_SY_B!$FG23-1</f>
        <v>5.7551278566909891E-2</v>
      </c>
      <c r="R23" s="81">
        <f>Inv_SY_B!R23/Inv_SY_B!$FG23-1</f>
        <v>6.5674555471179064E-2</v>
      </c>
      <c r="S23" s="81">
        <f>Inv_SY_B!S23/Inv_SY_B!$FG23-1</f>
        <v>3.7052426179749132E-2</v>
      </c>
      <c r="T23" s="81">
        <f>Inv_SY_B!T23/Inv_SY_B!$FG23-1</f>
        <v>2.6768334508626035E-2</v>
      </c>
      <c r="U23" s="81">
        <f>Inv_SY_B!U23/Inv_SY_B!$FG23-1</f>
        <v>3.134417754431662E-2</v>
      </c>
      <c r="V23" s="81">
        <f>Inv_SY_B!V23/Inv_SY_B!$FG23-1</f>
        <v>4.3661977231302718E-2</v>
      </c>
      <c r="W23" s="81">
        <f>Inv_SY_B!W23/Inv_SY_B!$FG23-1</f>
        <v>1.8582711164523369E-2</v>
      </c>
      <c r="X23" s="81">
        <f>Inv_SY_B!X23/Inv_SY_B!$FG23-1</f>
        <v>1.7690858237318308E-2</v>
      </c>
      <c r="Y23" s="81">
        <f>Inv_SY_B!Y23/Inv_SY_B!$FG23-1</f>
        <v>4.2532677389961471E-3</v>
      </c>
      <c r="Z23" s="81">
        <f>Inv_SY_B!Z23/Inv_SY_B!$FG23-1</f>
        <v>6.729016358146378E-3</v>
      </c>
      <c r="AA23" s="81">
        <f>Inv_SY_B!AA23/Inv_SY_B!$FG23-1</f>
        <v>-1.0255161036713534E-2</v>
      </c>
      <c r="AB23" s="81">
        <f>Inv_SY_B!AB23/Inv_SY_B!$FG23-1</f>
        <v>-1.4087306907256458E-2</v>
      </c>
      <c r="AC23" s="81">
        <f>Inv_SY_B!AC23/Inv_SY_B!$FG23-1</f>
        <v>-9.7678218947339079E-3</v>
      </c>
      <c r="AD23" s="81">
        <f>Inv_SY_B!AD23/Inv_SY_B!$FG23-1</f>
        <v>-1.649803318490517E-2</v>
      </c>
      <c r="AE23" s="81">
        <f>Inv_SY_B!AE23/Inv_SY_B!$FG23-1</f>
        <v>5.9669937322375244E-3</v>
      </c>
      <c r="AF23" s="81">
        <f>Inv_SY_B!AF23/Inv_SY_B!$FG23-1</f>
        <v>4.7853230323042784E-3</v>
      </c>
      <c r="AG23" s="81">
        <f>Inv_SY_B!AG23/Inv_SY_B!$FG23-1</f>
        <v>-1.3938701938309705E-3</v>
      </c>
      <c r="AH23" s="81">
        <f>Inv_SY_B!AH23/Inv_SY_B!$FG23-1</f>
        <v>-3.9771633533558504E-4</v>
      </c>
      <c r="AI23" s="81">
        <f>Inv_SY_B!AI23/Inv_SY_B!$FG23-1</f>
        <v>-4.7310294188820379E-3</v>
      </c>
      <c r="AJ23" s="81">
        <f>Inv_SY_B!AJ23/Inv_SY_B!$FG23-1</f>
        <v>3.0701998405002762E-4</v>
      </c>
      <c r="AK23" s="81">
        <f>Inv_SY_B!AK23/Inv_SY_B!$FG23-1</f>
        <v>2.3694662166470204E-2</v>
      </c>
      <c r="AL23" s="81">
        <f>Inv_SY_B!AL23/Inv_SY_B!$FG23-1</f>
        <v>4.6170943585772672E-3</v>
      </c>
      <c r="AM23" s="81">
        <f>Inv_SY_B!AM23/Inv_SY_B!$FG23-1</f>
        <v>1.0556446177630407E-2</v>
      </c>
      <c r="AN23" s="81">
        <f>Inv_SY_B!AN23/Inv_SY_B!$FG23-1</f>
        <v>-7.6891501692277764E-3</v>
      </c>
      <c r="AO23" s="81">
        <f>Inv_SY_B!AO23/Inv_SY_B!$FG23-1</f>
        <v>-4.0723853455630898E-3</v>
      </c>
      <c r="AP23" s="81">
        <f>Inv_SY_B!AP23/Inv_SY_B!$FG23-1</f>
        <v>-1.1675680086685736E-2</v>
      </c>
      <c r="AQ23" s="81">
        <f>Inv_SY_B!AQ23/Inv_SY_B!$FG23-1</f>
        <v>-3.7884778963903187E-2</v>
      </c>
      <c r="AR23" s="81">
        <f>Inv_SY_B!AR23/Inv_SY_B!$FG23-1</f>
        <v>-4.203500037123642E-2</v>
      </c>
      <c r="AS23" s="81">
        <f>Inv_SY_B!AS23/Inv_SY_B!$FG23-1</f>
        <v>-3.464096500221725E-2</v>
      </c>
      <c r="AT23" s="81">
        <f>Inv_SY_B!AT23/Inv_SY_B!$FG23-1</f>
        <v>-4.2106238463855528E-2</v>
      </c>
      <c r="AU23" s="81">
        <f>Inv_SY_B!AU23/Inv_SY_B!$FG23-1</f>
        <v>-6.3377755409235514E-2</v>
      </c>
      <c r="AV23" s="81">
        <f>Inv_SY_B!AV23/Inv_SY_B!$FG23-1</f>
        <v>-6.3000586164459138E-2</v>
      </c>
      <c r="AW23" s="81">
        <f>Inv_SY_B!AW23/Inv_SY_B!$FG23-1</f>
        <v>-2.0436723107729704E-2</v>
      </c>
      <c r="AX23" s="81">
        <f>Inv_SY_B!AX23/Inv_SY_B!$FG23-1</f>
        <v>-2.4920335830364571E-2</v>
      </c>
      <c r="AY23" s="81">
        <f>Inv_SY_B!AY23/Inv_SY_B!$FG23-1</f>
        <v>-9.6445563917946231E-4</v>
      </c>
      <c r="AZ23" s="81">
        <f>Inv_SY_B!AZ23/Inv_SY_B!$FG23-1</f>
        <v>2.3188822672286502E-2</v>
      </c>
      <c r="BA23" s="81">
        <f>Inv_SY_B!BA23/Inv_SY_B!$FG23-1</f>
        <v>3.0218266450100284E-2</v>
      </c>
      <c r="BB23" s="81">
        <f>Inv_SY_B!BB23/Inv_SY_B!$FG23-1</f>
        <v>3.564820351520992E-2</v>
      </c>
      <c r="BC23" s="81">
        <f>Inv_SY_B!BC23/Inv_SY_B!$FG23-1</f>
        <v>2.3806673973601589E-2</v>
      </c>
      <c r="BD23" s="81">
        <f>Inv_SY_B!BD23/Inv_SY_B!$FG23-1</f>
        <v>3.7591993832435611E-2</v>
      </c>
      <c r="BE23" s="81">
        <f>Inv_SY_B!BE23/Inv_SY_B!$FG23-1</f>
        <v>1.4322858450125597E-2</v>
      </c>
      <c r="BF23" s="81">
        <f>Inv_SY_B!BF23/Inv_SY_B!$FG23-1</f>
        <v>4.7720373964648122E-3</v>
      </c>
      <c r="BG23" s="81">
        <f>Inv_SY_B!BG23/Inv_SY_B!$FG23-1</f>
        <v>2.1161331077446333E-2</v>
      </c>
      <c r="BH23" s="81">
        <f>Inv_SY_B!BH23/Inv_SY_B!$FG23-1</f>
        <v>2.228561648752736E-2</v>
      </c>
      <c r="BI23" s="81">
        <f>Inv_SY_B!BI23/Inv_SY_B!$FG23-1</f>
        <v>2.4393474174085217E-2</v>
      </c>
      <c r="BJ23" s="81">
        <f>Inv_SY_B!BJ23/Inv_SY_B!$FG23-1</f>
        <v>3.270995007640165E-2</v>
      </c>
      <c r="BK23" s="81">
        <f>Inv_SY_B!BK23/Inv_SY_B!$FG23-1</f>
        <v>2.329609054908488E-2</v>
      </c>
      <c r="BL23" s="81">
        <f>Inv_SY_B!BL23/Inv_SY_B!$FG23-1</f>
        <v>2.0867499886842777E-2</v>
      </c>
      <c r="BM23" s="81">
        <f>Inv_SY_B!BM23/Inv_SY_B!$FG23-1</f>
        <v>1.0367932009276881E-2</v>
      </c>
      <c r="BN23" s="81">
        <f>Inv_SY_B!BN23/Inv_SY_B!$FG23-1</f>
        <v>1.3682347839284903E-2</v>
      </c>
      <c r="BO23" s="81">
        <f>Inv_SY_B!BO23/Inv_SY_B!$FG23-1</f>
        <v>1.4702956504774933E-2</v>
      </c>
      <c r="BP23" s="81">
        <f>Inv_SY_B!BP23/Inv_SY_B!$FG23-1</f>
        <v>3.5319089244010282E-3</v>
      </c>
      <c r="BQ23" s="81">
        <f>Inv_SY_B!BQ23/Inv_SY_B!$FG23-1</f>
        <v>1.009458813104569E-2</v>
      </c>
      <c r="BR23" s="81">
        <f>Inv_SY_B!BR23/Inv_SY_B!$FG23-1</f>
        <v>-5.3913569990571286E-4</v>
      </c>
      <c r="BS23" s="81">
        <f>Inv_SY_B!BS23/Inv_SY_B!$FG23-1</f>
        <v>8.0692891317228899E-3</v>
      </c>
      <c r="BT23" s="81">
        <f>Inv_SY_B!BT23/Inv_SY_B!$FG23-1</f>
        <v>1.3525096765549804E-2</v>
      </c>
      <c r="BU23" s="81">
        <f>Inv_SY_B!BU23/Inv_SY_B!$FG23-1</f>
        <v>1.8419247924228443E-4</v>
      </c>
      <c r="BV23" s="81">
        <f>Inv_SY_B!BV23/Inv_SY_B!$FG23-1</f>
        <v>1.5859186021398575E-3</v>
      </c>
      <c r="BW23" s="81">
        <f>Inv_SY_B!BW23/Inv_SY_B!$FG23-1</f>
        <v>1.5062204660897249E-2</v>
      </c>
      <c r="BX23" s="81">
        <f>Inv_SY_B!BX23/Inv_SY_B!$FG23-1</f>
        <v>7.1679807121969308E-3</v>
      </c>
      <c r="BY23" s="81">
        <f>Inv_SY_B!BY23/Inv_SY_B!$FG23-1</f>
        <v>2.3536466534824774E-2</v>
      </c>
      <c r="BZ23" s="81">
        <f>Inv_SY_B!BZ23/Inv_SY_B!$FG23-1</f>
        <v>8.1682048687132802E-3</v>
      </c>
      <c r="CA23" s="81">
        <f>Inv_SY_B!CA23/Inv_SY_B!$FG23-1</f>
        <v>2.1931848083988736E-2</v>
      </c>
      <c r="CB23" s="81">
        <f>Inv_SY_B!CB23/Inv_SY_B!$FG23-1</f>
        <v>2.500256174627391E-2</v>
      </c>
      <c r="CC23" s="81">
        <f>Inv_SY_B!CC23/Inv_SY_B!$FG23-1</f>
        <v>2.964570670612332E-2</v>
      </c>
      <c r="CD23" s="81">
        <f>Inv_SY_B!CD23/Inv_SY_B!$FG23-1</f>
        <v>2.3719766156662825E-2</v>
      </c>
      <c r="CE23" s="81">
        <f>Inv_SY_B!CE23/Inv_SY_B!$FG23-1</f>
        <v>6.9933127966210762E-3</v>
      </c>
      <c r="CF23" s="81">
        <f>Inv_SY_B!CF23/Inv_SY_B!$FG23-1</f>
        <v>8.9002579233898871E-3</v>
      </c>
      <c r="CG23" s="81">
        <f>Inv_SY_B!CG23/Inv_SY_B!$FG23-1</f>
        <v>2.7176626744764842E-3</v>
      </c>
      <c r="CH23" s="81">
        <f>Inv_SY_B!CH23/Inv_SY_B!$FG23-1</f>
        <v>8.9804252376746163E-4</v>
      </c>
      <c r="CI23" s="81">
        <f>Inv_SY_B!CI23/Inv_SY_B!$FG23-1</f>
        <v>3.4468048646798533E-3</v>
      </c>
      <c r="CJ23" s="81">
        <f>Inv_SY_B!CJ23/Inv_SY_B!$FG23-1</f>
        <v>-8.1504300957051523E-3</v>
      </c>
      <c r="CK23" s="81">
        <f>Inv_SY_B!CK23/Inv_SY_B!$FG23-1</f>
        <v>4.0182330695270885E-4</v>
      </c>
      <c r="CL23" s="81">
        <f>Inv_SY_B!CL23/Inv_SY_B!$FG23-1</f>
        <v>-6.6759755746526039E-3</v>
      </c>
      <c r="CM23" s="81">
        <f>Inv_SY_B!CM23/Inv_SY_B!$FG23-1</f>
        <v>1.2274161858317312E-2</v>
      </c>
      <c r="CN23" s="81">
        <f>Inv_SY_B!CN23/Inv_SY_B!$FG23-1</f>
        <v>-5.7287239533183598E-3</v>
      </c>
      <c r="CO23" s="81">
        <f>Inv_SY_B!CO23/Inv_SY_B!$FG23-1</f>
        <v>4.3477904241484566E-4</v>
      </c>
      <c r="CP23" s="81">
        <f>Inv_SY_B!CP23/Inv_SY_B!$FG23-1</f>
        <v>-4.7570285270395196E-3</v>
      </c>
      <c r="CQ23" s="81">
        <f>Inv_SY_B!CQ23/Inv_SY_B!$FG23-1</f>
        <v>-1.9305345351796621E-2</v>
      </c>
      <c r="CR23" s="81">
        <f>Inv_SY_B!CR23/Inv_SY_B!$FG23-1</f>
        <v>-1.6270390530726653E-2</v>
      </c>
      <c r="CS23" s="81">
        <f>Inv_SY_B!CS23/Inv_SY_B!$FG23-1</f>
        <v>-2.9117470673012735E-2</v>
      </c>
      <c r="CT23" s="81">
        <f>Inv_SY_B!CT23/Inv_SY_B!$FG23-1</f>
        <v>-2.1775012138137706E-2</v>
      </c>
      <c r="CU23" s="81">
        <f>Inv_SY_B!CU23/Inv_SY_B!$FG23-1</f>
        <v>-2.5722177807791513E-2</v>
      </c>
      <c r="CV23" s="81">
        <f>Inv_SY_B!CV23/Inv_SY_B!$FG23-1</f>
        <v>-2.753629157857751E-2</v>
      </c>
      <c r="CW23" s="81">
        <f>Inv_SY_B!CW23/Inv_SY_B!$FG23-1</f>
        <v>-3.5445692991096234E-2</v>
      </c>
      <c r="CX23" s="81">
        <f>Inv_SY_B!CX23/Inv_SY_B!$FG23-1</f>
        <v>-3.121368371323574E-2</v>
      </c>
      <c r="CY23" s="81">
        <f>Inv_SY_B!CY23/Inv_SY_B!$FG23-1</f>
        <v>-5.5813258635970642E-2</v>
      </c>
      <c r="CZ23" s="81">
        <f>Inv_SY_B!CZ23/Inv_SY_B!$FG23-1</f>
        <v>-3.809324342387832E-2</v>
      </c>
      <c r="DA23" s="81">
        <f>Inv_SY_B!DA23/Inv_SY_B!$FG23-1</f>
        <v>-5.344118392016084E-2</v>
      </c>
      <c r="DB23" s="81">
        <f>Inv_SY_B!DB23/Inv_SY_B!$FG23-1</f>
        <v>-5.1943333514935741E-2</v>
      </c>
      <c r="DC23" s="81">
        <f>Inv_SY_B!DC23/Inv_SY_B!$FG23-1</f>
        <v>-6.478498191866322E-2</v>
      </c>
      <c r="DD23" s="81">
        <f>Inv_SY_B!DD23/Inv_SY_B!$FG23-1</f>
        <v>-6.2988590218940987E-2</v>
      </c>
      <c r="DE23" s="81">
        <f>Inv_SY_B!DE23/Inv_SY_B!$FG23-1</f>
        <v>-6.2416743907073413E-2</v>
      </c>
      <c r="DF23" s="81">
        <f>Inv_SY_B!DF23/Inv_SY_B!$FG23-1</f>
        <v>-6.8610793024111771E-2</v>
      </c>
      <c r="DG23" s="81">
        <f>Inv_SY_B!DG23/Inv_SY_B!$FG23-1</f>
        <v>-6.8613892024950385E-2</v>
      </c>
      <c r="DH23" s="81">
        <f>Inv_SY_B!DH23/Inv_SY_B!$FG23-1</f>
        <v>-7.7420563740820292E-2</v>
      </c>
      <c r="DI23" s="81">
        <f>Inv_SY_B!DI23/Inv_SY_B!$FG23-1</f>
        <v>-6.0669431209007474E-2</v>
      </c>
      <c r="DJ23" s="81">
        <f>Inv_SY_B!DJ23/Inv_SY_B!$FG23-1</f>
        <v>-6.230776965223972E-2</v>
      </c>
      <c r="DK23" s="81">
        <f>Inv_SY_B!DK23/Inv_SY_B!$FG23-1</f>
        <v>-3.9705830459507041E-2</v>
      </c>
      <c r="DL23" s="81">
        <f>Inv_SY_B!DL23/Inv_SY_B!$FG23-1</f>
        <v>-4.8295465194716503E-2</v>
      </c>
      <c r="DM23" s="81">
        <f>Inv_SY_B!DM23/Inv_SY_B!$FG23-1</f>
        <v>-6.7984106187902738E-2</v>
      </c>
      <c r="DN23" s="81">
        <f>Inv_SY_B!DN23/Inv_SY_B!$FG23-1</f>
        <v>-5.1193019871087375E-2</v>
      </c>
      <c r="DO23" s="81">
        <f>Inv_SY_B!DO23/Inv_SY_B!$FG23-1</f>
        <v>-5.4301187178828814E-2</v>
      </c>
      <c r="DP23" s="81">
        <f>Inv_SY_B!DP23/Inv_SY_B!$FG23-1</f>
        <v>-5.6680827989094795E-2</v>
      </c>
      <c r="DQ23" s="81">
        <f>Inv_SY_B!DQ23/Inv_SY_B!$FG23-1</f>
        <v>-6.5870243282689755E-2</v>
      </c>
      <c r="DR23" s="81">
        <f>Inv_SY_B!DR23/Inv_SY_B!$FG23-1</f>
        <v>-7.9794742716458367E-2</v>
      </c>
      <c r="DS23" s="81">
        <f>Inv_SY_B!DS23/Inv_SY_B!$FG23-1</f>
        <v>-6.3720361161159422E-2</v>
      </c>
      <c r="DT23" s="81">
        <f>Inv_SY_B!DT23/Inv_SY_B!$FG23-1</f>
        <v>-5.9017855058490221E-2</v>
      </c>
      <c r="DU23" s="81">
        <f>Inv_SY_B!DU23/Inv_SY_B!$FG23-1</f>
        <v>-5.293724182304127E-2</v>
      </c>
      <c r="DV23" s="81">
        <f>Inv_SY_B!DV23/Inv_SY_B!$FG23-1</f>
        <v>-5.6654962567386891E-2</v>
      </c>
      <c r="DW23" s="81">
        <f>Inv_SY_B!DW23/Inv_SY_B!$FG23-1</f>
        <v>-5.3318662891989388E-2</v>
      </c>
      <c r="DX23" s="81">
        <f>Inv_SY_B!DX23/Inv_SY_B!$FG23-1</f>
        <v>-6.4470125208989981E-2</v>
      </c>
      <c r="DY23" s="81">
        <f>Inv_SY_B!DY23/Inv_SY_B!$FG23-1</f>
        <v>-6.3566383181147934E-2</v>
      </c>
      <c r="DZ23" s="81">
        <f>Inv_SY_B!DZ23/Inv_SY_B!$FG23-1</f>
        <v>-5.7744586565875E-2</v>
      </c>
      <c r="EA23" s="81">
        <f>Inv_SY_B!EA23/Inv_SY_B!$FG23-1</f>
        <v>-4.8882209353452999E-2</v>
      </c>
      <c r="EB23" s="81">
        <f>Inv_SY_B!EB23/Inv_SY_B!$FG23-1</f>
        <v>-3.1744734717120249E-2</v>
      </c>
      <c r="EC23" s="81">
        <f>Inv_SY_B!EC23/Inv_SY_B!$FG23-1</f>
        <v>-5.2227828841246215E-2</v>
      </c>
      <c r="ED23" s="81">
        <f>Inv_SY_B!ED23/Inv_SY_B!$FG23-1</f>
        <v>-5.3830844146790624E-2</v>
      </c>
      <c r="EE23" s="81">
        <f>Inv_SY_B!EE23/Inv_SY_B!$FG23-1</f>
        <v>-3.5388930147456921E-2</v>
      </c>
      <c r="EF23" s="81">
        <f>Inv_SY_B!EF23/Inv_SY_B!$FG23-1</f>
        <v>-3.1968551444337634E-2</v>
      </c>
      <c r="EG23" s="81">
        <f>Inv_SY_B!EG23/Inv_SY_B!$FG23-1</f>
        <v>-2.7972562029938586E-2</v>
      </c>
      <c r="EH23" s="81">
        <f>Inv_SY_B!EH23/Inv_SY_B!$FG23-1</f>
        <v>-2.4345009381881999E-2</v>
      </c>
      <c r="EI23" s="81">
        <f>Inv_SY_B!EI23/Inv_SY_B!$FG23-1</f>
        <v>2.3331396849716191E-2</v>
      </c>
      <c r="EJ23" s="81">
        <f>Inv_SY_B!EJ23/Inv_SY_B!$FG23-1</f>
        <v>2.5838144194552548E-2</v>
      </c>
      <c r="EK23" s="81">
        <f>Inv_SY_B!EK23/Inv_SY_B!$FG23-1</f>
        <v>3.2715630499616344E-2</v>
      </c>
      <c r="EL23" s="81">
        <f>Inv_SY_B!EL23/Inv_SY_B!$FG23-1</f>
        <v>3.1714768006622762E-2</v>
      </c>
      <c r="EM23" s="81">
        <f>Inv_SY_B!EM23/Inv_SY_B!$FG23-1</f>
        <v>2.4577980848935921E-2</v>
      </c>
      <c r="EN23" s="81">
        <f>Inv_SY_B!EN23/Inv_SY_B!$FG23-1</f>
        <v>5.9188380648884653E-3</v>
      </c>
      <c r="EO23" s="81">
        <f>Inv_SY_B!EO23/Inv_SY_B!$FG23-1</f>
        <v>8.2909127806982674E-3</v>
      </c>
      <c r="EP23" s="81">
        <f>Inv_SY_B!EP23/Inv_SY_B!$FG23-1</f>
        <v>-1.0642260674772142E-2</v>
      </c>
      <c r="EQ23" s="81">
        <f>Inv_SY_B!EQ23/Inv_SY_B!$FG23-1</f>
        <v>4.0705363675632933E-2</v>
      </c>
      <c r="ER23" s="81">
        <f>Inv_SY_B!ER23/Inv_SY_B!$FG23-1</f>
        <v>3.6304349989018769E-2</v>
      </c>
      <c r="ES23" s="81">
        <f>Inv_SY_B!ES23/Inv_SY_B!$FG23-1</f>
        <v>4.0905786956363821E-2</v>
      </c>
      <c r="ET23" s="81">
        <f>Inv_SY_B!ET23/Inv_SY_B!$FG23-1</f>
        <v>3.4203021574938042E-2</v>
      </c>
      <c r="EU23" s="81">
        <f>Inv_SY_B!EU23/Inv_SY_B!$FG23-1</f>
        <v>3.3725028581773175E-2</v>
      </c>
      <c r="EV23" s="81">
        <f>Inv_SY_B!EV23/Inv_SY_B!$FG23-1</f>
        <v>1.9142772012831433E-2</v>
      </c>
      <c r="EW23" s="81">
        <f>Inv_SY_B!EW23/Inv_SY_B!$FG23-1</f>
        <v>3.5756668544553838E-2</v>
      </c>
      <c r="EX23" s="81">
        <f>Inv_SY_B!EX23/Inv_SY_B!$FG23-1</f>
        <v>3.8504958513422283E-2</v>
      </c>
      <c r="EY23" s="81">
        <f>Inv_SY_B!EY23/Inv_SY_B!$FG23-1</f>
        <v>4.5482197620897447E-2</v>
      </c>
      <c r="EZ23" s="81">
        <f>Inv_SY_B!EZ23/Inv_SY_B!$FG23-1</f>
        <v>4.1114305364366999E-2</v>
      </c>
      <c r="FA23" s="81">
        <f>Inv_SY_B!FA23/Inv_SY_B!$FG23-1</f>
        <v>3.5458054945249007E-2</v>
      </c>
      <c r="FB23" s="81">
        <f>Inv_SY_B!FB23/Inv_SY_B!$FG23-1</f>
        <v>2.7423608327183935E-2</v>
      </c>
      <c r="FC23" s="81">
        <f>Inv_SY_B!FC23/Inv_SY_B!$FG23-1</f>
        <v>3.1815772478392734E-2</v>
      </c>
      <c r="FD23" s="81">
        <f>Inv_SY_B!FD23/Inv_SY_B!$FG23-1</f>
        <v>3.6588233769523804E-2</v>
      </c>
      <c r="FE23" s="81">
        <f>Inv_SY_B!FE23/Inv_SY_B!$FG23-1</f>
        <v>4.2324828654822122E-2</v>
      </c>
      <c r="FF23" s="81">
        <f>Inv_SY_B!FF23/Inv_SY_B!$FG23-1</f>
        <v>4.8049371870193536E-2</v>
      </c>
    </row>
    <row r="24" spans="2:162">
      <c r="B24" s="104">
        <f t="shared" si="0"/>
        <v>45847</v>
      </c>
      <c r="C24" s="81">
        <f>Inv_SY_B!C24/Inv_SY_B!$FG24-1</f>
        <v>-1.2290620902870586E-3</v>
      </c>
      <c r="D24" s="81">
        <f>Inv_SY_B!D24/Inv_SY_B!$FG24-1</f>
        <v>2.9059219720412921E-2</v>
      </c>
      <c r="E24" s="81">
        <f>Inv_SY_B!E24/Inv_SY_B!$FG24-1</f>
        <v>3.2879290039487641E-2</v>
      </c>
      <c r="F24" s="81">
        <f>Inv_SY_B!F24/Inv_SY_B!$FG24-1</f>
        <v>2.5197216109351217E-2</v>
      </c>
      <c r="G24" s="81">
        <f>Inv_SY_B!G24/Inv_SY_B!$FG24-1</f>
        <v>4.5609330465656628E-2</v>
      </c>
      <c r="H24" s="81">
        <f>Inv_SY_B!H24/Inv_SY_B!$FG24-1</f>
        <v>5.2011387371585505E-2</v>
      </c>
      <c r="I24" s="81">
        <f>Inv_SY_B!I24/Inv_SY_B!$FG24-1</f>
        <v>5.2085460757273605E-2</v>
      </c>
      <c r="J24" s="81">
        <f>Inv_SY_B!J24/Inv_SY_B!$FG24-1</f>
        <v>3.1939989711724293E-2</v>
      </c>
      <c r="K24" s="81">
        <f>Inv_SY_B!K24/Inv_SY_B!$FG24-1</f>
        <v>2.8868745300071108E-2</v>
      </c>
      <c r="L24" s="81">
        <f>Inv_SY_B!L24/Inv_SY_B!$FG24-1</f>
        <v>-1.8873245335689903E-3</v>
      </c>
      <c r="M24" s="81">
        <f>Inv_SY_B!M24/Inv_SY_B!$FG24-1</f>
        <v>3.3521042114292188E-2</v>
      </c>
      <c r="N24" s="81">
        <f>Inv_SY_B!N24/Inv_SY_B!$FG24-1</f>
        <v>3.0635924644352164E-2</v>
      </c>
      <c r="O24" s="81">
        <f>Inv_SY_B!O24/Inv_SY_B!$FG24-1</f>
        <v>3.531135085407322E-2</v>
      </c>
      <c r="P24" s="81">
        <f>Inv_SY_B!P24/Inv_SY_B!$FG24-1</f>
        <v>3.5545931924271024E-2</v>
      </c>
      <c r="Q24" s="81">
        <f>Inv_SY_B!Q24/Inv_SY_B!$FG24-1</f>
        <v>4.4149026576370209E-2</v>
      </c>
      <c r="R24" s="81">
        <f>Inv_SY_B!R24/Inv_SY_B!$FG24-1</f>
        <v>4.7789204387344686E-2</v>
      </c>
      <c r="S24" s="81">
        <f>Inv_SY_B!S24/Inv_SY_B!$FG24-1</f>
        <v>2.5990465170463661E-2</v>
      </c>
      <c r="T24" s="81">
        <f>Inv_SY_B!T24/Inv_SY_B!$FG24-1</f>
        <v>1.5376807192535313E-2</v>
      </c>
      <c r="U24" s="81">
        <f>Inv_SY_B!U24/Inv_SY_B!$FG24-1</f>
        <v>1.8614872338343913E-2</v>
      </c>
      <c r="V24" s="81">
        <f>Inv_SY_B!V24/Inv_SY_B!$FG24-1</f>
        <v>3.3747006843266369E-2</v>
      </c>
      <c r="W24" s="81">
        <f>Inv_SY_B!W24/Inv_SY_B!$FG24-1</f>
        <v>6.1741798487482402E-3</v>
      </c>
      <c r="X24" s="81">
        <f>Inv_SY_B!X24/Inv_SY_B!$FG24-1</f>
        <v>3.1844454850225024E-3</v>
      </c>
      <c r="Y24" s="81">
        <f>Inv_SY_B!Y24/Inv_SY_B!$FG24-1</f>
        <v>1.2165759410005972E-2</v>
      </c>
      <c r="Z24" s="81">
        <f>Inv_SY_B!Z24/Inv_SY_B!$FG24-1</f>
        <v>6.6230261101214438E-3</v>
      </c>
      <c r="AA24" s="81">
        <f>Inv_SY_B!AA24/Inv_SY_B!$FG24-1</f>
        <v>-9.2484930578744518E-3</v>
      </c>
      <c r="AB24" s="81">
        <f>Inv_SY_B!AB24/Inv_SY_B!$FG24-1</f>
        <v>-1.6985929535248911E-2</v>
      </c>
      <c r="AC24" s="81">
        <f>Inv_SY_B!AC24/Inv_SY_B!$FG24-1</f>
        <v>-1.6509110437739283E-2</v>
      </c>
      <c r="AD24" s="81">
        <f>Inv_SY_B!AD24/Inv_SY_B!$FG24-1</f>
        <v>-2.6712160862842005E-2</v>
      </c>
      <c r="AE24" s="81">
        <f>Inv_SY_B!AE24/Inv_SY_B!$FG24-1</f>
        <v>1.1953558582505686E-2</v>
      </c>
      <c r="AF24" s="81">
        <f>Inv_SY_B!AF24/Inv_SY_B!$FG24-1</f>
        <v>1.727114143978481E-2</v>
      </c>
      <c r="AG24" s="81">
        <f>Inv_SY_B!AG24/Inv_SY_B!$FG24-1</f>
        <v>9.2152141961689971E-3</v>
      </c>
      <c r="AH24" s="81">
        <f>Inv_SY_B!AH24/Inv_SY_B!$FG24-1</f>
        <v>1.1901236905313306E-2</v>
      </c>
      <c r="AI24" s="81">
        <f>Inv_SY_B!AI24/Inv_SY_B!$FG24-1</f>
        <v>1.7228641834746261E-2</v>
      </c>
      <c r="AJ24" s="81">
        <f>Inv_SY_B!AJ24/Inv_SY_B!$FG24-1</f>
        <v>1.6403252679932256E-2</v>
      </c>
      <c r="AK24" s="81">
        <f>Inv_SY_B!AK24/Inv_SY_B!$FG24-1</f>
        <v>2.8604197494040973E-2</v>
      </c>
      <c r="AL24" s="81">
        <f>Inv_SY_B!AL24/Inv_SY_B!$FG24-1</f>
        <v>1.7821228920253729E-2</v>
      </c>
      <c r="AM24" s="81">
        <f>Inv_SY_B!AM24/Inv_SY_B!$FG24-1</f>
        <v>2.7979864671809906E-2</v>
      </c>
      <c r="AN24" s="81">
        <f>Inv_SY_B!AN24/Inv_SY_B!$FG24-1</f>
        <v>6.9853507852601915E-3</v>
      </c>
      <c r="AO24" s="81">
        <f>Inv_SY_B!AO24/Inv_SY_B!$FG24-1</f>
        <v>6.2551988406172043E-3</v>
      </c>
      <c r="AP24" s="81">
        <f>Inv_SY_B!AP24/Inv_SY_B!$FG24-1</f>
        <v>2.5197838194719324E-3</v>
      </c>
      <c r="AQ24" s="81">
        <f>Inv_SY_B!AQ24/Inv_SY_B!$FG24-1</f>
        <v>1.8163212588759192E-2</v>
      </c>
      <c r="AR24" s="81">
        <f>Inv_SY_B!AR24/Inv_SY_B!$FG24-1</f>
        <v>2.2631109903779256E-2</v>
      </c>
      <c r="AS24" s="81">
        <f>Inv_SY_B!AS24/Inv_SY_B!$FG24-1</f>
        <v>2.6518826720689948E-2</v>
      </c>
      <c r="AT24" s="81">
        <f>Inv_SY_B!AT24/Inv_SY_B!$FG24-1</f>
        <v>2.8663928031434693E-2</v>
      </c>
      <c r="AU24" s="81">
        <f>Inv_SY_B!AU24/Inv_SY_B!$FG24-1</f>
        <v>-7.1779218450138682E-3</v>
      </c>
      <c r="AV24" s="81">
        <f>Inv_SY_B!AV24/Inv_SY_B!$FG24-1</f>
        <v>-2.0800817526175575E-2</v>
      </c>
      <c r="AW24" s="81">
        <f>Inv_SY_B!AW24/Inv_SY_B!$FG24-1</f>
        <v>2.6879699879143626E-2</v>
      </c>
      <c r="AX24" s="81">
        <f>Inv_SY_B!AX24/Inv_SY_B!$FG24-1</f>
        <v>2.1381362476833532E-2</v>
      </c>
      <c r="AY24" s="81">
        <f>Inv_SY_B!AY24/Inv_SY_B!$FG24-1</f>
        <v>-9.5475017275270524E-3</v>
      </c>
      <c r="AZ24" s="81">
        <f>Inv_SY_B!AZ24/Inv_SY_B!$FG24-1</f>
        <v>5.5577780156303991E-3</v>
      </c>
      <c r="BA24" s="81">
        <f>Inv_SY_B!BA24/Inv_SY_B!$FG24-1</f>
        <v>1.6061001197152924E-2</v>
      </c>
      <c r="BB24" s="81">
        <f>Inv_SY_B!BB24/Inv_SY_B!$FG24-1</f>
        <v>2.3876769535877695E-2</v>
      </c>
      <c r="BC24" s="81">
        <f>Inv_SY_B!BC24/Inv_SY_B!$FG24-1</f>
        <v>1.1572199879024581E-2</v>
      </c>
      <c r="BD24" s="81">
        <f>Inv_SY_B!BD24/Inv_SY_B!$FG24-1</f>
        <v>2.1960396625442247E-2</v>
      </c>
      <c r="BE24" s="81">
        <f>Inv_SY_B!BE24/Inv_SY_B!$FG24-1</f>
        <v>2.0514969425444729E-3</v>
      </c>
      <c r="BF24" s="81">
        <f>Inv_SY_B!BF24/Inv_SY_B!$FG24-1</f>
        <v>-5.9672353715789495E-4</v>
      </c>
      <c r="BG24" s="81">
        <f>Inv_SY_B!BG24/Inv_SY_B!$FG24-1</f>
        <v>5.316180104356194E-3</v>
      </c>
      <c r="BH24" s="81">
        <f>Inv_SY_B!BH24/Inv_SY_B!$FG24-1</f>
        <v>2.330965671288654E-3</v>
      </c>
      <c r="BI24" s="81">
        <f>Inv_SY_B!BI24/Inv_SY_B!$FG24-1</f>
        <v>1.0596932238154277E-2</v>
      </c>
      <c r="BJ24" s="81">
        <f>Inv_SY_B!BJ24/Inv_SY_B!$FG24-1</f>
        <v>1.1656511483916887E-2</v>
      </c>
      <c r="BK24" s="81">
        <f>Inv_SY_B!BK24/Inv_SY_B!$FG24-1</f>
        <v>4.9763523901151796E-3</v>
      </c>
      <c r="BL24" s="81">
        <f>Inv_SY_B!BL24/Inv_SY_B!$FG24-1</f>
        <v>4.3183309750396415E-3</v>
      </c>
      <c r="BM24" s="81">
        <f>Inv_SY_B!BM24/Inv_SY_B!$FG24-1</f>
        <v>-9.2535383624610112E-3</v>
      </c>
      <c r="BN24" s="81">
        <f>Inv_SY_B!BN24/Inv_SY_B!$FG24-1</f>
        <v>-1.6908779011453268E-2</v>
      </c>
      <c r="BO24" s="81">
        <f>Inv_SY_B!BO24/Inv_SY_B!$FG24-1</f>
        <v>3.928355176274767E-4</v>
      </c>
      <c r="BP24" s="81">
        <f>Inv_SY_B!BP24/Inv_SY_B!$FG24-1</f>
        <v>-9.2280804035383968E-3</v>
      </c>
      <c r="BQ24" s="81">
        <f>Inv_SY_B!BQ24/Inv_SY_B!$FG24-1</f>
        <v>-5.679655078375645E-3</v>
      </c>
      <c r="BR24" s="81">
        <f>Inv_SY_B!BR24/Inv_SY_B!$FG24-1</f>
        <v>-1.833295740692753E-2</v>
      </c>
      <c r="BS24" s="81">
        <f>Inv_SY_B!BS24/Inv_SY_B!$FG24-1</f>
        <v>-1.3045036874526517E-2</v>
      </c>
      <c r="BT24" s="81">
        <f>Inv_SY_B!BT24/Inv_SY_B!$FG24-1</f>
        <v>-1.0153940082346824E-2</v>
      </c>
      <c r="BU24" s="81">
        <f>Inv_SY_B!BU24/Inv_SY_B!$FG24-1</f>
        <v>-1.7600143703006887E-2</v>
      </c>
      <c r="BV24" s="81">
        <f>Inv_SY_B!BV24/Inv_SY_B!$FG24-1</f>
        <v>-2.2145433829389938E-2</v>
      </c>
      <c r="BW24" s="81">
        <f>Inv_SY_B!BW24/Inv_SY_B!$FG24-1</f>
        <v>-4.7529804306513102E-3</v>
      </c>
      <c r="BX24" s="81">
        <f>Inv_SY_B!BX24/Inv_SY_B!$FG24-1</f>
        <v>-1.8484961842516801E-2</v>
      </c>
      <c r="BY24" s="81">
        <f>Inv_SY_B!BY24/Inv_SY_B!$FG24-1</f>
        <v>1.6050782863363811E-3</v>
      </c>
      <c r="BZ24" s="81">
        <f>Inv_SY_B!BZ24/Inv_SY_B!$FG24-1</f>
        <v>-2.6017709511012677E-2</v>
      </c>
      <c r="CA24" s="81">
        <f>Inv_SY_B!CA24/Inv_SY_B!$FG24-1</f>
        <v>-1.0094964966068876E-2</v>
      </c>
      <c r="CB24" s="81">
        <f>Inv_SY_B!CB24/Inv_SY_B!$FG24-1</f>
        <v>-9.2465309949798513E-3</v>
      </c>
      <c r="CC24" s="81">
        <f>Inv_SY_B!CC24/Inv_SY_B!$FG24-1</f>
        <v>-4.0232392745271905E-3</v>
      </c>
      <c r="CD24" s="81">
        <f>Inv_SY_B!CD24/Inv_SY_B!$FG24-1</f>
        <v>-2.2153174159290301E-2</v>
      </c>
      <c r="CE24" s="81">
        <f>Inv_SY_B!CE24/Inv_SY_B!$FG24-1</f>
        <v>-1.3839153213351052E-2</v>
      </c>
      <c r="CF24" s="81">
        <f>Inv_SY_B!CF24/Inv_SY_B!$FG24-1</f>
        <v>-2.2667251304736569E-2</v>
      </c>
      <c r="CG24" s="81">
        <f>Inv_SY_B!CG24/Inv_SY_B!$FG24-1</f>
        <v>-2.9323104865405236E-2</v>
      </c>
      <c r="CH24" s="81">
        <f>Inv_SY_B!CH24/Inv_SY_B!$FG24-1</f>
        <v>-2.2058891700408312E-2</v>
      </c>
      <c r="CI24" s="81">
        <f>Inv_SY_B!CI24/Inv_SY_B!$FG24-1</f>
        <v>-1.8136745974433377E-2</v>
      </c>
      <c r="CJ24" s="81">
        <f>Inv_SY_B!CJ24/Inv_SY_B!$FG24-1</f>
        <v>-2.7069501013177844E-2</v>
      </c>
      <c r="CK24" s="81">
        <f>Inv_SY_B!CK24/Inv_SY_B!$FG24-1</f>
        <v>-7.8247104179434146E-3</v>
      </c>
      <c r="CL24" s="81">
        <f>Inv_SY_B!CL24/Inv_SY_B!$FG24-1</f>
        <v>-1.185617739161815E-2</v>
      </c>
      <c r="CM24" s="81">
        <f>Inv_SY_B!CM24/Inv_SY_B!$FG24-1</f>
        <v>5.9025566151791331E-3</v>
      </c>
      <c r="CN24" s="81">
        <f>Inv_SY_B!CN24/Inv_SY_B!$FG24-1</f>
        <v>-6.1551277811466854E-3</v>
      </c>
      <c r="CO24" s="81">
        <f>Inv_SY_B!CO24/Inv_SY_B!$FG24-1</f>
        <v>2.5622394754398758E-3</v>
      </c>
      <c r="CP24" s="81">
        <f>Inv_SY_B!CP24/Inv_SY_B!$FG24-1</f>
        <v>-2.0653808002925045E-3</v>
      </c>
      <c r="CQ24" s="81">
        <f>Inv_SY_B!CQ24/Inv_SY_B!$FG24-1</f>
        <v>-8.5976487662248191E-3</v>
      </c>
      <c r="CR24" s="81">
        <f>Inv_SY_B!CR24/Inv_SY_B!$FG24-1</f>
        <v>2.1015502723762403E-3</v>
      </c>
      <c r="CS24" s="81">
        <f>Inv_SY_B!CS24/Inv_SY_B!$FG24-1</f>
        <v>-5.5688893566828712E-3</v>
      </c>
      <c r="CT24" s="81">
        <f>Inv_SY_B!CT24/Inv_SY_B!$FG24-1</f>
        <v>-6.3111596664165992E-3</v>
      </c>
      <c r="CU24" s="81">
        <f>Inv_SY_B!CU24/Inv_SY_B!$FG24-1</f>
        <v>8.9850359053051942E-3</v>
      </c>
      <c r="CV24" s="81">
        <f>Inv_SY_B!CV24/Inv_SY_B!$FG24-1</f>
        <v>3.4520909875845884E-3</v>
      </c>
      <c r="CW24" s="81">
        <f>Inv_SY_B!CW24/Inv_SY_B!$FG24-1</f>
        <v>-6.2697522864153532E-3</v>
      </c>
      <c r="CX24" s="81">
        <f>Inv_SY_B!CX24/Inv_SY_B!$FG24-1</f>
        <v>4.3850591969893937E-3</v>
      </c>
      <c r="CY24" s="81">
        <f>Inv_SY_B!CY24/Inv_SY_B!$FG24-1</f>
        <v>-1.8929311380439517E-2</v>
      </c>
      <c r="CZ24" s="81">
        <f>Inv_SY_B!CZ24/Inv_SY_B!$FG24-1</f>
        <v>5.1255797088687327E-3</v>
      </c>
      <c r="DA24" s="81">
        <f>Inv_SY_B!DA24/Inv_SY_B!$FG24-1</f>
        <v>-9.6067096835110721E-3</v>
      </c>
      <c r="DB24" s="81">
        <f>Inv_SY_B!DB24/Inv_SY_B!$FG24-1</f>
        <v>-4.2583199388934734E-4</v>
      </c>
      <c r="DC24" s="81">
        <f>Inv_SY_B!DC24/Inv_SY_B!$FG24-1</f>
        <v>-2.8380927595274219E-2</v>
      </c>
      <c r="DD24" s="81">
        <f>Inv_SY_B!DD24/Inv_SY_B!$FG24-1</f>
        <v>-1.3331964086345183E-2</v>
      </c>
      <c r="DE24" s="81">
        <f>Inv_SY_B!DE24/Inv_SY_B!$FG24-1</f>
        <v>-2.7565151586087744E-2</v>
      </c>
      <c r="DF24" s="81">
        <f>Inv_SY_B!DF24/Inv_SY_B!$FG24-1</f>
        <v>-2.9750088244838491E-2</v>
      </c>
      <c r="DG24" s="81">
        <f>Inv_SY_B!DG24/Inv_SY_B!$FG24-1</f>
        <v>-3.4419517639580843E-2</v>
      </c>
      <c r="DH24" s="81">
        <f>Inv_SY_B!DH24/Inv_SY_B!$FG24-1</f>
        <v>-4.326992787879147E-2</v>
      </c>
      <c r="DI24" s="81">
        <f>Inv_SY_B!DI24/Inv_SY_B!$FG24-1</f>
        <v>-2.7406544264441224E-2</v>
      </c>
      <c r="DJ24" s="81">
        <f>Inv_SY_B!DJ24/Inv_SY_B!$FG24-1</f>
        <v>-2.5103678052271983E-2</v>
      </c>
      <c r="DK24" s="81">
        <f>Inv_SY_B!DK24/Inv_SY_B!$FG24-1</f>
        <v>-7.6732530281105049E-3</v>
      </c>
      <c r="DL24" s="81">
        <f>Inv_SY_B!DL24/Inv_SY_B!$FG24-1</f>
        <v>-1.3057698020630393E-2</v>
      </c>
      <c r="DM24" s="81">
        <f>Inv_SY_B!DM24/Inv_SY_B!$FG24-1</f>
        <v>-1.6682749365981242E-2</v>
      </c>
      <c r="DN24" s="81">
        <f>Inv_SY_B!DN24/Inv_SY_B!$FG24-1</f>
        <v>-2.0745581912514632E-3</v>
      </c>
      <c r="DO24" s="81">
        <f>Inv_SY_B!DO24/Inv_SY_B!$FG24-1</f>
        <v>-1.2613138700191651E-2</v>
      </c>
      <c r="DP24" s="81">
        <f>Inv_SY_B!DP24/Inv_SY_B!$FG24-1</f>
        <v>-1.4582374854523961E-2</v>
      </c>
      <c r="DQ24" s="81">
        <f>Inv_SY_B!DQ24/Inv_SY_B!$FG24-1</f>
        <v>-2.451053943182957E-2</v>
      </c>
      <c r="DR24" s="81">
        <f>Inv_SY_B!DR24/Inv_SY_B!$FG24-1</f>
        <v>-2.2046538804431193E-2</v>
      </c>
      <c r="DS24" s="81">
        <f>Inv_SY_B!DS24/Inv_SY_B!$FG24-1</f>
        <v>-2.9156909652792717E-2</v>
      </c>
      <c r="DT24" s="81">
        <f>Inv_SY_B!DT24/Inv_SY_B!$FG24-1</f>
        <v>-2.6715898125498572E-2</v>
      </c>
      <c r="DU24" s="81">
        <f>Inv_SY_B!DU24/Inv_SY_B!$FG24-1</f>
        <v>-1.9586025372849813E-2</v>
      </c>
      <c r="DV24" s="81">
        <f>Inv_SY_B!DV24/Inv_SY_B!$FG24-1</f>
        <v>-2.4619293775137052E-2</v>
      </c>
      <c r="DW24" s="81">
        <f>Inv_SY_B!DW24/Inv_SY_B!$FG24-1</f>
        <v>-1.9058748962449412E-2</v>
      </c>
      <c r="DX24" s="81">
        <f>Inv_SY_B!DX24/Inv_SY_B!$FG24-1</f>
        <v>-2.523518199226038E-2</v>
      </c>
      <c r="DY24" s="81">
        <f>Inv_SY_B!DY24/Inv_SY_B!$FG24-1</f>
        <v>-3.3907528904592477E-2</v>
      </c>
      <c r="DZ24" s="81">
        <f>Inv_SY_B!DZ24/Inv_SY_B!$FG24-1</f>
        <v>-2.5661990056333073E-2</v>
      </c>
      <c r="EA24" s="81">
        <f>Inv_SY_B!EA24/Inv_SY_B!$FG24-1</f>
        <v>-6.2200489798690528E-3</v>
      </c>
      <c r="EB24" s="81">
        <f>Inv_SY_B!EB24/Inv_SY_B!$FG24-1</f>
        <v>1.4172808378416502E-3</v>
      </c>
      <c r="EC24" s="81">
        <f>Inv_SY_B!EC24/Inv_SY_B!$FG24-1</f>
        <v>-2.4435137950687413E-2</v>
      </c>
      <c r="ED24" s="81">
        <f>Inv_SY_B!ED24/Inv_SY_B!$FG24-1</f>
        <v>-2.0277070219760329E-2</v>
      </c>
      <c r="EE24" s="81">
        <f>Inv_SY_B!EE24/Inv_SY_B!$FG24-1</f>
        <v>-7.723129304576748E-3</v>
      </c>
      <c r="EF24" s="81">
        <f>Inv_SY_B!EF24/Inv_SY_B!$FG24-1</f>
        <v>-1.0880649091585148E-2</v>
      </c>
      <c r="EG24" s="81">
        <f>Inv_SY_B!EG24/Inv_SY_B!$FG24-1</f>
        <v>1.008926497877205E-3</v>
      </c>
      <c r="EH24" s="81">
        <f>Inv_SY_B!EH24/Inv_SY_B!$FG24-1</f>
        <v>7.5205227297403532E-3</v>
      </c>
      <c r="EI24" s="81">
        <f>Inv_SY_B!EI24/Inv_SY_B!$FG24-1</f>
        <v>1.3013072545656534E-2</v>
      </c>
      <c r="EJ24" s="81">
        <f>Inv_SY_B!EJ24/Inv_SY_B!$FG24-1</f>
        <v>3.5817306770456803E-2</v>
      </c>
      <c r="EK24" s="81">
        <f>Inv_SY_B!EK24/Inv_SY_B!$FG24-1</f>
        <v>1.6740992045630732E-2</v>
      </c>
      <c r="EL24" s="81">
        <f>Inv_SY_B!EL24/Inv_SY_B!$FG24-1</f>
        <v>5.9513963150599203E-2</v>
      </c>
      <c r="EM24" s="81">
        <f>Inv_SY_B!EM24/Inv_SY_B!$FG24-1</f>
        <v>3.3249955049964974E-2</v>
      </c>
      <c r="EN24" s="81">
        <f>Inv_SY_B!EN24/Inv_SY_B!$FG24-1</f>
        <v>2.8905781992915269E-2</v>
      </c>
      <c r="EO24" s="81">
        <f>Inv_SY_B!EO24/Inv_SY_B!$FG24-1</f>
        <v>3.8985880114556393E-2</v>
      </c>
      <c r="EP24" s="81">
        <f>Inv_SY_B!EP24/Inv_SY_B!$FG24-1</f>
        <v>1.9009627267654539E-2</v>
      </c>
      <c r="EQ24" s="81">
        <f>Inv_SY_B!EQ24/Inv_SY_B!$FG24-1</f>
        <v>-1.244085469467171E-2</v>
      </c>
      <c r="ER24" s="81">
        <f>Inv_SY_B!ER24/Inv_SY_B!$FG24-1</f>
        <v>-2.1234735281739248E-2</v>
      </c>
      <c r="ES24" s="81">
        <f>Inv_SY_B!ES24/Inv_SY_B!$FG24-1</f>
        <v>-1.8919915586295466E-2</v>
      </c>
      <c r="ET24" s="81">
        <f>Inv_SY_B!ET24/Inv_SY_B!$FG24-1</f>
        <v>-1.9347700566722636E-2</v>
      </c>
      <c r="EU24" s="81">
        <f>Inv_SY_B!EU24/Inv_SY_B!$FG24-1</f>
        <v>-1.5896496350435996E-3</v>
      </c>
      <c r="EV24" s="81">
        <f>Inv_SY_B!EV24/Inv_SY_B!$FG24-1</f>
        <v>-2.3695005489744458E-3</v>
      </c>
      <c r="EW24" s="81">
        <f>Inv_SY_B!EW24/Inv_SY_B!$FG24-1</f>
        <v>1.5190962358799354E-2</v>
      </c>
      <c r="EX24" s="81">
        <f>Inv_SY_B!EX24/Inv_SY_B!$FG24-1</f>
        <v>-4.9422900630412547E-3</v>
      </c>
      <c r="EY24" s="81">
        <f>Inv_SY_B!EY24/Inv_SY_B!$FG24-1</f>
        <v>-1.2592259852069354E-2</v>
      </c>
      <c r="EZ24" s="81">
        <f>Inv_SY_B!EZ24/Inv_SY_B!$FG24-1</f>
        <v>-2.0214462576483294E-2</v>
      </c>
      <c r="FA24" s="81">
        <f>Inv_SY_B!FA24/Inv_SY_B!$FG24-1</f>
        <v>-1.7428333265976037E-2</v>
      </c>
      <c r="FB24" s="81">
        <f>Inv_SY_B!FB24/Inv_SY_B!$FG24-1</f>
        <v>-2.1764492263314561E-2</v>
      </c>
      <c r="FC24" s="81">
        <f>Inv_SY_B!FC24/Inv_SY_B!$FG24-1</f>
        <v>-2.1627147860683982E-2</v>
      </c>
      <c r="FD24" s="81">
        <f>Inv_SY_B!FD24/Inv_SY_B!$FG24-1</f>
        <v>-1.5148661440169464E-2</v>
      </c>
      <c r="FE24" s="81">
        <f>Inv_SY_B!FE24/Inv_SY_B!$FG24-1</f>
        <v>-2.3432245723829515E-2</v>
      </c>
      <c r="FF24" s="81">
        <f>Inv_SY_B!FF24/Inv_SY_B!$FG24-1</f>
        <v>-1.0104933511421166E-2</v>
      </c>
    </row>
    <row r="25" spans="2:162">
      <c r="B25" s="104">
        <f t="shared" si="0"/>
        <v>45848</v>
      </c>
      <c r="C25" s="81">
        <f>Inv_SY_B!C25/Inv_SY_B!$FG25-1</f>
        <v>-0.13183398329687024</v>
      </c>
      <c r="D25" s="81">
        <f>Inv_SY_B!D25/Inv_SY_B!$FG25-1</f>
        <v>-0.12439258283566945</v>
      </c>
      <c r="E25" s="81">
        <f>Inv_SY_B!E25/Inv_SY_B!$FG25-1</f>
        <v>1.8894411139805278E-2</v>
      </c>
      <c r="F25" s="81">
        <f>Inv_SY_B!F25/Inv_SY_B!$FG25-1</f>
        <v>1.0642210229331095E-2</v>
      </c>
      <c r="G25" s="81">
        <f>Inv_SY_B!G25/Inv_SY_B!$FG25-1</f>
        <v>4.3086654110614742E-2</v>
      </c>
      <c r="H25" s="81">
        <f>Inv_SY_B!H25/Inv_SY_B!$FG25-1</f>
        <v>4.9762851725704271E-2</v>
      </c>
      <c r="I25" s="81">
        <f>Inv_SY_B!I25/Inv_SY_B!$FG25-1</f>
        <v>3.6307903536767716E-2</v>
      </c>
      <c r="J25" s="81">
        <f>Inv_SY_B!J25/Inv_SY_B!$FG25-1</f>
        <v>2.0386496364452222E-2</v>
      </c>
      <c r="K25" s="81">
        <f>Inv_SY_B!K25/Inv_SY_B!$FG25-1</f>
        <v>8.3314563878200687E-3</v>
      </c>
      <c r="L25" s="81">
        <f>Inv_SY_B!L25/Inv_SY_B!$FG25-1</f>
        <v>-2.8561470266725286E-2</v>
      </c>
      <c r="M25" s="81">
        <f>Inv_SY_B!M25/Inv_SY_B!$FG25-1</f>
        <v>1.2818969768726651E-2</v>
      </c>
      <c r="N25" s="81">
        <f>Inv_SY_B!N25/Inv_SY_B!$FG25-1</f>
        <v>6.065035999287538E-3</v>
      </c>
      <c r="O25" s="81">
        <f>Inv_SY_B!O25/Inv_SY_B!$FG25-1</f>
        <v>3.0619643935526408E-2</v>
      </c>
      <c r="P25" s="81">
        <f>Inv_SY_B!P25/Inv_SY_B!$FG25-1</f>
        <v>1.6771564893532709E-2</v>
      </c>
      <c r="Q25" s="81">
        <f>Inv_SY_B!Q25/Inv_SY_B!$FG25-1</f>
        <v>4.8316855007228598E-2</v>
      </c>
      <c r="R25" s="81">
        <f>Inv_SY_B!R25/Inv_SY_B!$FG25-1</f>
        <v>4.8491195037115853E-2</v>
      </c>
      <c r="S25" s="81">
        <f>Inv_SY_B!S25/Inv_SY_B!$FG25-1</f>
        <v>4.4307034319824634E-2</v>
      </c>
      <c r="T25" s="81">
        <f>Inv_SY_B!T25/Inv_SY_B!$FG25-1</f>
        <v>3.6871944809931945E-2</v>
      </c>
      <c r="U25" s="81">
        <f>Inv_SY_B!U25/Inv_SY_B!$FG25-1</f>
        <v>4.5240266244514604E-2</v>
      </c>
      <c r="V25" s="81">
        <f>Inv_SY_B!V25/Inv_SY_B!$FG25-1</f>
        <v>4.7701537254685844E-2</v>
      </c>
      <c r="W25" s="81">
        <f>Inv_SY_B!W25/Inv_SY_B!$FG25-1</f>
        <v>2.8832122432609575E-2</v>
      </c>
      <c r="X25" s="81">
        <f>Inv_SY_B!X25/Inv_SY_B!$FG25-1</f>
        <v>2.8332701777420866E-2</v>
      </c>
      <c r="Y25" s="81">
        <f>Inv_SY_B!Y25/Inv_SY_B!$FG25-1</f>
        <v>2.3692072215433679E-2</v>
      </c>
      <c r="Z25" s="81">
        <f>Inv_SY_B!Z25/Inv_SY_B!$FG25-1</f>
        <v>2.3494898412291354E-2</v>
      </c>
      <c r="AA25" s="81">
        <f>Inv_SY_B!AA25/Inv_SY_B!$FG25-1</f>
        <v>1.4982631080973086E-2</v>
      </c>
      <c r="AB25" s="81">
        <f>Inv_SY_B!AB25/Inv_SY_B!$FG25-1</f>
        <v>1.9019203046595212E-3</v>
      </c>
      <c r="AC25" s="81">
        <f>Inv_SY_B!AC25/Inv_SY_B!$FG25-1</f>
        <v>-5.0818494686668547E-3</v>
      </c>
      <c r="AD25" s="81">
        <f>Inv_SY_B!AD25/Inv_SY_B!$FG25-1</f>
        <v>1.2961258962018718E-4</v>
      </c>
      <c r="AE25" s="81">
        <f>Inv_SY_B!AE25/Inv_SY_B!$FG25-1</f>
        <v>2.5888636874774384E-2</v>
      </c>
      <c r="AF25" s="81">
        <f>Inv_SY_B!AF25/Inv_SY_B!$FG25-1</f>
        <v>2.6965521280790217E-2</v>
      </c>
      <c r="AG25" s="81">
        <f>Inv_SY_B!AG25/Inv_SY_B!$FG25-1</f>
        <v>2.376485885337698E-2</v>
      </c>
      <c r="AH25" s="81">
        <f>Inv_SY_B!AH25/Inv_SY_B!$FG25-1</f>
        <v>1.9519870240492176E-2</v>
      </c>
      <c r="AI25" s="81">
        <f>Inv_SY_B!AI25/Inv_SY_B!$FG25-1</f>
        <v>2.4319462658058066E-2</v>
      </c>
      <c r="AJ25" s="81">
        <f>Inv_SY_B!AJ25/Inv_SY_B!$FG25-1</f>
        <v>2.7898560918682369E-2</v>
      </c>
      <c r="AK25" s="81">
        <f>Inv_SY_B!AK25/Inv_SY_B!$FG25-1</f>
        <v>5.0378169478247248E-2</v>
      </c>
      <c r="AL25" s="81">
        <f>Inv_SY_B!AL25/Inv_SY_B!$FG25-1</f>
        <v>3.0072683644333464E-2</v>
      </c>
      <c r="AM25" s="81">
        <f>Inv_SY_B!AM25/Inv_SY_B!$FG25-1</f>
        <v>3.4226078473997834E-2</v>
      </c>
      <c r="AN25" s="81">
        <f>Inv_SY_B!AN25/Inv_SY_B!$FG25-1</f>
        <v>1.4484633913248501E-2</v>
      </c>
      <c r="AO25" s="81">
        <f>Inv_SY_B!AO25/Inv_SY_B!$FG25-1</f>
        <v>2.1765893985005391E-2</v>
      </c>
      <c r="AP25" s="81">
        <f>Inv_SY_B!AP25/Inv_SY_B!$FG25-1</f>
        <v>1.4228251516355428E-2</v>
      </c>
      <c r="AQ25" s="81">
        <f>Inv_SY_B!AQ25/Inv_SY_B!$FG25-1</f>
        <v>5.5878901725526786E-2</v>
      </c>
      <c r="AR25" s="81">
        <f>Inv_SY_B!AR25/Inv_SY_B!$FG25-1</f>
        <v>5.8727306346886499E-2</v>
      </c>
      <c r="AS25" s="81">
        <f>Inv_SY_B!AS25/Inv_SY_B!$FG25-1</f>
        <v>6.4960175628864469E-2</v>
      </c>
      <c r="AT25" s="81">
        <f>Inv_SY_B!AT25/Inv_SY_B!$FG25-1</f>
        <v>6.0478007829385616E-2</v>
      </c>
      <c r="AU25" s="81">
        <f>Inv_SY_B!AU25/Inv_SY_B!$FG25-1</f>
        <v>2.8385185544915092E-2</v>
      </c>
      <c r="AV25" s="81">
        <f>Inv_SY_B!AV25/Inv_SY_B!$FG25-1</f>
        <v>1.9457071892371225E-2</v>
      </c>
      <c r="AW25" s="81">
        <f>Inv_SY_B!AW25/Inv_SY_B!$FG25-1</f>
        <v>7.1359627036184925E-2</v>
      </c>
      <c r="AX25" s="81">
        <f>Inv_SY_B!AX25/Inv_SY_B!$FG25-1</f>
        <v>6.629096225840625E-2</v>
      </c>
      <c r="AY25" s="81">
        <f>Inv_SY_B!AY25/Inv_SY_B!$FG25-1</f>
        <v>-2.6586043447107688E-2</v>
      </c>
      <c r="AZ25" s="81">
        <f>Inv_SY_B!AZ25/Inv_SY_B!$FG25-1</f>
        <v>-1.8852546737134324E-2</v>
      </c>
      <c r="BA25" s="81">
        <f>Inv_SY_B!BA25/Inv_SY_B!$FG25-1</f>
        <v>2.597735434943349E-3</v>
      </c>
      <c r="BB25" s="81">
        <f>Inv_SY_B!BB25/Inv_SY_B!$FG25-1</f>
        <v>3.2483148316737598E-3</v>
      </c>
      <c r="BC25" s="81">
        <f>Inv_SY_B!BC25/Inv_SY_B!$FG25-1</f>
        <v>4.886904720269758E-3</v>
      </c>
      <c r="BD25" s="81">
        <f>Inv_SY_B!BD25/Inv_SY_B!$FG25-1</f>
        <v>1.6291609318835887E-2</v>
      </c>
      <c r="BE25" s="81">
        <f>Inv_SY_B!BE25/Inv_SY_B!$FG25-1</f>
        <v>-1.5167254144295317E-2</v>
      </c>
      <c r="BF25" s="81">
        <f>Inv_SY_B!BF25/Inv_SY_B!$FG25-1</f>
        <v>-9.916943863322758E-3</v>
      </c>
      <c r="BG25" s="81">
        <f>Inv_SY_B!BG25/Inv_SY_B!$FG25-1</f>
        <v>-3.4525547163644088E-2</v>
      </c>
      <c r="BH25" s="81">
        <f>Inv_SY_B!BH25/Inv_SY_B!$FG25-1</f>
        <v>-3.4781165422539506E-2</v>
      </c>
      <c r="BI25" s="81">
        <f>Inv_SY_B!BI25/Inv_SY_B!$FG25-1</f>
        <v>-2.0573949645869338E-2</v>
      </c>
      <c r="BJ25" s="81">
        <f>Inv_SY_B!BJ25/Inv_SY_B!$FG25-1</f>
        <v>-2.571493009724668E-2</v>
      </c>
      <c r="BK25" s="81">
        <f>Inv_SY_B!BK25/Inv_SY_B!$FG25-1</f>
        <v>-3.3649861136300752E-2</v>
      </c>
      <c r="BL25" s="81">
        <f>Inv_SY_B!BL25/Inv_SY_B!$FG25-1</f>
        <v>-2.5539588326260909E-2</v>
      </c>
      <c r="BM25" s="81">
        <f>Inv_SY_B!BM25/Inv_SY_B!$FG25-1</f>
        <v>-5.6868748079376474E-2</v>
      </c>
      <c r="BN25" s="81">
        <f>Inv_SY_B!BN25/Inv_SY_B!$FG25-1</f>
        <v>-5.9183963531946437E-2</v>
      </c>
      <c r="BO25" s="81">
        <f>Inv_SY_B!BO25/Inv_SY_B!$FG25-1</f>
        <v>-4.5182173659881308E-2</v>
      </c>
      <c r="BP25" s="81">
        <f>Inv_SY_B!BP25/Inv_SY_B!$FG25-1</f>
        <v>-4.9842737684905547E-2</v>
      </c>
      <c r="BQ25" s="81">
        <f>Inv_SY_B!BQ25/Inv_SY_B!$FG25-1</f>
        <v>-5.3831273876047692E-2</v>
      </c>
      <c r="BR25" s="81">
        <f>Inv_SY_B!BR25/Inv_SY_B!$FG25-1</f>
        <v>-5.2227416554123107E-2</v>
      </c>
      <c r="BS25" s="81">
        <f>Inv_SY_B!BS25/Inv_SY_B!$FG25-1</f>
        <v>-6.2023596015462701E-2</v>
      </c>
      <c r="BT25" s="81">
        <f>Inv_SY_B!BT25/Inv_SY_B!$FG25-1</f>
        <v>-4.8961772445198171E-2</v>
      </c>
      <c r="BU25" s="81">
        <f>Inv_SY_B!BU25/Inv_SY_B!$FG25-1</f>
        <v>-6.0981348036612038E-2</v>
      </c>
      <c r="BV25" s="81">
        <f>Inv_SY_B!BV25/Inv_SY_B!$FG25-1</f>
        <v>-6.1669932213506473E-2</v>
      </c>
      <c r="BW25" s="81">
        <f>Inv_SY_B!BW25/Inv_SY_B!$FG25-1</f>
        <v>-5.4053626365687113E-2</v>
      </c>
      <c r="BX25" s="81">
        <f>Inv_SY_B!BX25/Inv_SY_B!$FG25-1</f>
        <v>-6.0548012141650509E-2</v>
      </c>
      <c r="BY25" s="81">
        <f>Inv_SY_B!BY25/Inv_SY_B!$FG25-1</f>
        <v>-4.493491665120497E-2</v>
      </c>
      <c r="BZ25" s="81">
        <f>Inv_SY_B!BZ25/Inv_SY_B!$FG25-1</f>
        <v>-6.2944750405319549E-2</v>
      </c>
      <c r="CA25" s="81">
        <f>Inv_SY_B!CA25/Inv_SY_B!$FG25-1</f>
        <v>-5.2694625264591899E-2</v>
      </c>
      <c r="CB25" s="81">
        <f>Inv_SY_B!CB25/Inv_SY_B!$FG25-1</f>
        <v>-5.069375363284101E-2</v>
      </c>
      <c r="CC25" s="81">
        <f>Inv_SY_B!CC25/Inv_SY_B!$FG25-1</f>
        <v>-5.1074054188231965E-2</v>
      </c>
      <c r="CD25" s="81">
        <f>Inv_SY_B!CD25/Inv_SY_B!$FG25-1</f>
        <v>-6.1417158025698693E-2</v>
      </c>
      <c r="CE25" s="81">
        <f>Inv_SY_B!CE25/Inv_SY_B!$FG25-1</f>
        <v>-4.186122962143457E-2</v>
      </c>
      <c r="CF25" s="81">
        <f>Inv_SY_B!CF25/Inv_SY_B!$FG25-1</f>
        <v>-4.9133925522476751E-2</v>
      </c>
      <c r="CG25" s="81">
        <f>Inv_SY_B!CG25/Inv_SY_B!$FG25-1</f>
        <v>-5.7165304297727704E-2</v>
      </c>
      <c r="CH25" s="81">
        <f>Inv_SY_B!CH25/Inv_SY_B!$FG25-1</f>
        <v>-4.3897189578696261E-2</v>
      </c>
      <c r="CI25" s="81">
        <f>Inv_SY_B!CI25/Inv_SY_B!$FG25-1</f>
        <v>-4.1765849195443794E-2</v>
      </c>
      <c r="CJ25" s="81">
        <f>Inv_SY_B!CJ25/Inv_SY_B!$FG25-1</f>
        <v>-4.939290425801024E-2</v>
      </c>
      <c r="CK25" s="81">
        <f>Inv_SY_B!CK25/Inv_SY_B!$FG25-1</f>
        <v>-4.1808240495884275E-2</v>
      </c>
      <c r="CL25" s="81">
        <f>Inv_SY_B!CL25/Inv_SY_B!$FG25-1</f>
        <v>-4.8886274664546647E-2</v>
      </c>
      <c r="CM25" s="81">
        <f>Inv_SY_B!CM25/Inv_SY_B!$FG25-1</f>
        <v>-1.7820573624837799E-2</v>
      </c>
      <c r="CN25" s="81">
        <f>Inv_SY_B!CN25/Inv_SY_B!$FG25-1</f>
        <v>-4.1290263135274508E-2</v>
      </c>
      <c r="CO25" s="81">
        <f>Inv_SY_B!CO25/Inv_SY_B!$FG25-1</f>
        <v>-1.0451820992541272E-2</v>
      </c>
      <c r="CP25" s="81">
        <f>Inv_SY_B!CP25/Inv_SY_B!$FG25-1</f>
        <v>-7.0447573878322789E-3</v>
      </c>
      <c r="CQ25" s="81">
        <f>Inv_SY_B!CQ25/Inv_SY_B!$FG25-1</f>
        <v>-9.8086503212202469E-4</v>
      </c>
      <c r="CR25" s="81">
        <f>Inv_SY_B!CR25/Inv_SY_B!$FG25-1</f>
        <v>1.4083315342612313E-2</v>
      </c>
      <c r="CS25" s="81">
        <f>Inv_SY_B!CS25/Inv_SY_B!$FG25-1</f>
        <v>6.2003978928968362E-3</v>
      </c>
      <c r="CT25" s="81">
        <f>Inv_SY_B!CT25/Inv_SY_B!$FG25-1</f>
        <v>3.1195841051114837E-3</v>
      </c>
      <c r="CU25" s="81">
        <f>Inv_SY_B!CU25/Inv_SY_B!$FG25-1</f>
        <v>1.8629865527395539E-2</v>
      </c>
      <c r="CV25" s="81">
        <f>Inv_SY_B!CV25/Inv_SY_B!$FG25-1</f>
        <v>8.2025157639058488E-3</v>
      </c>
      <c r="CW25" s="81">
        <f>Inv_SY_B!CW25/Inv_SY_B!$FG25-1</f>
        <v>1.4413169561219519E-2</v>
      </c>
      <c r="CX25" s="81">
        <f>Inv_SY_B!CX25/Inv_SY_B!$FG25-1</f>
        <v>1.6863573092417816E-2</v>
      </c>
      <c r="CY25" s="81">
        <f>Inv_SY_B!CY25/Inv_SY_B!$FG25-1</f>
        <v>-1.387786626390386E-3</v>
      </c>
      <c r="CZ25" s="81">
        <f>Inv_SY_B!CZ25/Inv_SY_B!$FG25-1</f>
        <v>2.0496056784394812E-2</v>
      </c>
      <c r="DA25" s="81">
        <f>Inv_SY_B!DA25/Inv_SY_B!$FG25-1</f>
        <v>1.1565793576736816E-2</v>
      </c>
      <c r="DB25" s="81">
        <f>Inv_SY_B!DB25/Inv_SY_B!$FG25-1</f>
        <v>1.4126099155093552E-2</v>
      </c>
      <c r="DC25" s="81">
        <f>Inv_SY_B!DC25/Inv_SY_B!$FG25-1</f>
        <v>3.1996557773377177E-3</v>
      </c>
      <c r="DD25" s="81">
        <f>Inv_SY_B!DD25/Inv_SY_B!$FG25-1</f>
        <v>1.0236629776140704E-2</v>
      </c>
      <c r="DE25" s="81">
        <f>Inv_SY_B!DE25/Inv_SY_B!$FG25-1</f>
        <v>4.3951921711866682E-3</v>
      </c>
      <c r="DF25" s="81">
        <f>Inv_SY_B!DF25/Inv_SY_B!$FG25-1</f>
        <v>1.9648004572290212E-3</v>
      </c>
      <c r="DG25" s="81">
        <f>Inv_SY_B!DG25/Inv_SY_B!$FG25-1</f>
        <v>-6.9754883581003568E-3</v>
      </c>
      <c r="DH25" s="81">
        <f>Inv_SY_B!DH25/Inv_SY_B!$FG25-1</f>
        <v>-1.6453630816054221E-2</v>
      </c>
      <c r="DI25" s="81">
        <f>Inv_SY_B!DI25/Inv_SY_B!$FG25-1</f>
        <v>-3.5136667310263769E-3</v>
      </c>
      <c r="DJ25" s="81">
        <f>Inv_SY_B!DJ25/Inv_SY_B!$FG25-1</f>
        <v>5.3554175963874684E-3</v>
      </c>
      <c r="DK25" s="81">
        <f>Inv_SY_B!DK25/Inv_SY_B!$FG25-1</f>
        <v>-1.858103724791671E-3</v>
      </c>
      <c r="DL25" s="81">
        <f>Inv_SY_B!DL25/Inv_SY_B!$FG25-1</f>
        <v>-8.5373598931959283E-4</v>
      </c>
      <c r="DM25" s="81">
        <f>Inv_SY_B!DM25/Inv_SY_B!$FG25-1</f>
        <v>-2.2707969784387938E-3</v>
      </c>
      <c r="DN25" s="81">
        <f>Inv_SY_B!DN25/Inv_SY_B!$FG25-1</f>
        <v>9.5213188214000599E-3</v>
      </c>
      <c r="DO25" s="81">
        <f>Inv_SY_B!DO25/Inv_SY_B!$FG25-1</f>
        <v>-1.1138893114970294E-3</v>
      </c>
      <c r="DP25" s="81">
        <f>Inv_SY_B!DP25/Inv_SY_B!$FG25-1</f>
        <v>-6.7695751197586196E-3</v>
      </c>
      <c r="DQ25" s="81">
        <f>Inv_SY_B!DQ25/Inv_SY_B!$FG25-1</f>
        <v>-3.1713962311743504E-3</v>
      </c>
      <c r="DR25" s="81">
        <f>Inv_SY_B!DR25/Inv_SY_B!$FG25-1</f>
        <v>-2.2143877876092954E-2</v>
      </c>
      <c r="DS25" s="81">
        <f>Inv_SY_B!DS25/Inv_SY_B!$FG25-1</f>
        <v>-4.2242395715638148E-3</v>
      </c>
      <c r="DT25" s="81">
        <f>Inv_SY_B!DT25/Inv_SY_B!$FG25-1</f>
        <v>2.8525645662200727E-3</v>
      </c>
      <c r="DU25" s="81">
        <f>Inv_SY_B!DU25/Inv_SY_B!$FG25-1</f>
        <v>1.6976256074816565E-2</v>
      </c>
      <c r="DV25" s="81">
        <f>Inv_SY_B!DV25/Inv_SY_B!$FG25-1</f>
        <v>1.5206899751352365E-2</v>
      </c>
      <c r="DW25" s="81">
        <f>Inv_SY_B!DW25/Inv_SY_B!$FG25-1</f>
        <v>1.2936773024544657E-2</v>
      </c>
      <c r="DX25" s="81">
        <f>Inv_SY_B!DX25/Inv_SY_B!$FG25-1</f>
        <v>4.9641995144591444E-3</v>
      </c>
      <c r="DY25" s="81">
        <f>Inv_SY_B!DY25/Inv_SY_B!$FG25-1</f>
        <v>2.1084982621939474E-3</v>
      </c>
      <c r="DZ25" s="81">
        <f>Inv_SY_B!DZ25/Inv_SY_B!$FG25-1</f>
        <v>3.8304802800825932E-3</v>
      </c>
      <c r="EA25" s="81">
        <f>Inv_SY_B!EA25/Inv_SY_B!$FG25-1</f>
        <v>-6.9984082576439732E-3</v>
      </c>
      <c r="EB25" s="81">
        <f>Inv_SY_B!EB25/Inv_SY_B!$FG25-1</f>
        <v>1.8927223924691816E-4</v>
      </c>
      <c r="EC25" s="81">
        <f>Inv_SY_B!EC25/Inv_SY_B!$FG25-1</f>
        <v>-6.563818180889136E-4</v>
      </c>
      <c r="ED25" s="81">
        <f>Inv_SY_B!ED25/Inv_SY_B!$FG25-1</f>
        <v>-9.0833412286169812E-3</v>
      </c>
      <c r="EE25" s="81">
        <f>Inv_SY_B!EE25/Inv_SY_B!$FG25-1</f>
        <v>-6.1659914616252198E-3</v>
      </c>
      <c r="EF25" s="81">
        <f>Inv_SY_B!EF25/Inv_SY_B!$FG25-1</f>
        <v>-1.2329576891498717E-2</v>
      </c>
      <c r="EG25" s="81">
        <f>Inv_SY_B!EG25/Inv_SY_B!$FG25-1</f>
        <v>-2.097801898597218E-2</v>
      </c>
      <c r="EH25" s="81">
        <f>Inv_SY_B!EH25/Inv_SY_B!$FG25-1</f>
        <v>-1.4988285238562882E-2</v>
      </c>
      <c r="EI25" s="81">
        <f>Inv_SY_B!EI25/Inv_SY_B!$FG25-1</f>
        <v>1.5221840130314357E-2</v>
      </c>
      <c r="EJ25" s="81">
        <f>Inv_SY_B!EJ25/Inv_SY_B!$FG25-1</f>
        <v>2.8898245506566944E-2</v>
      </c>
      <c r="EK25" s="81">
        <f>Inv_SY_B!EK25/Inv_SY_B!$FG25-1</f>
        <v>1.616308400490718E-2</v>
      </c>
      <c r="EL25" s="81">
        <f>Inv_SY_B!EL25/Inv_SY_B!$FG25-1</f>
        <v>0.1414884156014915</v>
      </c>
      <c r="EM25" s="81">
        <f>Inv_SY_B!EM25/Inv_SY_B!$FG25-1</f>
        <v>2.9694284892637812E-2</v>
      </c>
      <c r="EN25" s="81">
        <f>Inv_SY_B!EN25/Inv_SY_B!$FG25-1</f>
        <v>1.6358667147679418E-2</v>
      </c>
      <c r="EO25" s="81">
        <f>Inv_SY_B!EO25/Inv_SY_B!$FG25-1</f>
        <v>2.0083745043141699E-2</v>
      </c>
      <c r="EP25" s="81">
        <f>Inv_SY_B!EP25/Inv_SY_B!$FG25-1</f>
        <v>1.1858557093574529E-2</v>
      </c>
      <c r="EQ25" s="81">
        <f>Inv_SY_B!EQ25/Inv_SY_B!$FG25-1</f>
        <v>1.4430236256864459E-2</v>
      </c>
      <c r="ER25" s="81">
        <f>Inv_SY_B!ER25/Inv_SY_B!$FG25-1</f>
        <v>1.202731546502922E-2</v>
      </c>
      <c r="ES25" s="81">
        <f>Inv_SY_B!ES25/Inv_SY_B!$FG25-1</f>
        <v>7.5382959163061702E-3</v>
      </c>
      <c r="ET25" s="81">
        <f>Inv_SY_B!ET25/Inv_SY_B!$FG25-1</f>
        <v>4.067383805131275E-3</v>
      </c>
      <c r="EU25" s="81">
        <f>Inv_SY_B!EU25/Inv_SY_B!$FG25-1</f>
        <v>4.472323551435009E-3</v>
      </c>
      <c r="EV25" s="81">
        <f>Inv_SY_B!EV25/Inv_SY_B!$FG25-1</f>
        <v>-3.33682697276938E-3</v>
      </c>
      <c r="EW25" s="81">
        <f>Inv_SY_B!EW25/Inv_SY_B!$FG25-1</f>
        <v>1.7784115122261523E-2</v>
      </c>
      <c r="EX25" s="81">
        <f>Inv_SY_B!EX25/Inv_SY_B!$FG25-1</f>
        <v>1.3930559054386116E-2</v>
      </c>
      <c r="EY25" s="81">
        <f>Inv_SY_B!EY25/Inv_SY_B!$FG25-1</f>
        <v>1.8549137559430662E-2</v>
      </c>
      <c r="EZ25" s="81">
        <f>Inv_SY_B!EZ25/Inv_SY_B!$FG25-1</f>
        <v>1.2084360548338058E-2</v>
      </c>
      <c r="FA25" s="81">
        <f>Inv_SY_B!FA25/Inv_SY_B!$FG25-1</f>
        <v>1.4318626311260463E-2</v>
      </c>
      <c r="FB25" s="81">
        <f>Inv_SY_B!FB25/Inv_SY_B!$FG25-1</f>
        <v>1.1152624187629856E-2</v>
      </c>
      <c r="FC25" s="81">
        <f>Inv_SY_B!FC25/Inv_SY_B!$FG25-1</f>
        <v>1.1124101645975548E-2</v>
      </c>
      <c r="FD25" s="81">
        <f>Inv_SY_B!FD25/Inv_SY_B!$FG25-1</f>
        <v>1.6136938341724028E-2</v>
      </c>
      <c r="FE25" s="81">
        <f>Inv_SY_B!FE25/Inv_SY_B!$FG25-1</f>
        <v>1.0135320201958731E-2</v>
      </c>
      <c r="FF25" s="81">
        <f>Inv_SY_B!FF25/Inv_SY_B!$FG25-1</f>
        <v>1.8447264215724513E-2</v>
      </c>
    </row>
    <row r="26" spans="2:162">
      <c r="B26" s="104">
        <f t="shared" si="0"/>
        <v>45849</v>
      </c>
      <c r="C26" s="81">
        <f>Inv_SY_B!C26/Inv_SY_B!$FG26-1</f>
        <v>2.0608139587023011E-2</v>
      </c>
      <c r="D26" s="81">
        <f>Inv_SY_B!D26/Inv_SY_B!$FG26-1</f>
        <v>3.9046312350423662E-2</v>
      </c>
      <c r="E26" s="81">
        <f>Inv_SY_B!E26/Inv_SY_B!$FG26-1</f>
        <v>2.9289052788615599E-2</v>
      </c>
      <c r="F26" s="81">
        <f>Inv_SY_B!F26/Inv_SY_B!$FG26-1</f>
        <v>2.9683381910888151E-2</v>
      </c>
      <c r="G26" s="81">
        <f>Inv_SY_B!G26/Inv_SY_B!$FG26-1</f>
        <v>3.6741229209161785E-2</v>
      </c>
      <c r="H26" s="81">
        <f>Inv_SY_B!H26/Inv_SY_B!$FG26-1</f>
        <v>4.8118527123262256E-2</v>
      </c>
      <c r="I26" s="81">
        <f>Inv_SY_B!I26/Inv_SY_B!$FG26-1</f>
        <v>5.9884634241913481E-2</v>
      </c>
      <c r="J26" s="81">
        <f>Inv_SY_B!J26/Inv_SY_B!$FG26-1</f>
        <v>4.6238520263613747E-2</v>
      </c>
      <c r="K26" s="81">
        <f>Inv_SY_B!K26/Inv_SY_B!$FG26-1</f>
        <v>5.1210486035637937E-2</v>
      </c>
      <c r="L26" s="81">
        <f>Inv_SY_B!L26/Inv_SY_B!$FG26-1</f>
        <v>1.6901347679182388E-2</v>
      </c>
      <c r="M26" s="81">
        <f>Inv_SY_B!M26/Inv_SY_B!$FG26-1</f>
        <v>4.7678453346703176E-2</v>
      </c>
      <c r="N26" s="81">
        <f>Inv_SY_B!N26/Inv_SY_B!$FG26-1</f>
        <v>5.6052086368489906E-2</v>
      </c>
      <c r="O26" s="81">
        <f>Inv_SY_B!O26/Inv_SY_B!$FG26-1</f>
        <v>4.8067890271285219E-2</v>
      </c>
      <c r="P26" s="81">
        <f>Inv_SY_B!P26/Inv_SY_B!$FG26-1</f>
        <v>5.9069986384760353E-2</v>
      </c>
      <c r="Q26" s="81">
        <f>Inv_SY_B!Q26/Inv_SY_B!$FG26-1</f>
        <v>4.9655249217437136E-2</v>
      </c>
      <c r="R26" s="81">
        <f>Inv_SY_B!R26/Inv_SY_B!$FG26-1</f>
        <v>5.7699896806821638E-2</v>
      </c>
      <c r="S26" s="81">
        <f>Inv_SY_B!S26/Inv_SY_B!$FG26-1</f>
        <v>4.1980896108576582E-2</v>
      </c>
      <c r="T26" s="81">
        <f>Inv_SY_B!T26/Inv_SY_B!$FG26-1</f>
        <v>3.1631165377929982E-2</v>
      </c>
      <c r="U26" s="81">
        <f>Inv_SY_B!U26/Inv_SY_B!$FG26-1</f>
        <v>4.9081292772624741E-2</v>
      </c>
      <c r="V26" s="81">
        <f>Inv_SY_B!V26/Inv_SY_B!$FG26-1</f>
        <v>5.818127963150288E-2</v>
      </c>
      <c r="W26" s="81">
        <f>Inv_SY_B!W26/Inv_SY_B!$FG26-1</f>
        <v>2.9413048801933295E-2</v>
      </c>
      <c r="X26" s="81">
        <f>Inv_SY_B!X26/Inv_SY_B!$FG26-1</f>
        <v>3.0989218752110581E-2</v>
      </c>
      <c r="Y26" s="81">
        <f>Inv_SY_B!Y26/Inv_SY_B!$FG26-1</f>
        <v>2.2520608720905333E-2</v>
      </c>
      <c r="Z26" s="81">
        <f>Inv_SY_B!Z26/Inv_SY_B!$FG26-1</f>
        <v>2.2715608313758073E-2</v>
      </c>
      <c r="AA26" s="81">
        <f>Inv_SY_B!AA26/Inv_SY_B!$FG26-1</f>
        <v>1.456821557773047E-2</v>
      </c>
      <c r="AB26" s="81">
        <f>Inv_SY_B!AB26/Inv_SY_B!$FG26-1</f>
        <v>6.2876635122677271E-3</v>
      </c>
      <c r="AC26" s="81">
        <f>Inv_SY_B!AC26/Inv_SY_B!$FG26-1</f>
        <v>9.2757460842958217E-3</v>
      </c>
      <c r="AD26" s="81">
        <f>Inv_SY_B!AD26/Inv_SY_B!$FG26-1</f>
        <v>2.8025057541993803E-3</v>
      </c>
      <c r="AE26" s="81">
        <f>Inv_SY_B!AE26/Inv_SY_B!$FG26-1</f>
        <v>2.3409290735783461E-2</v>
      </c>
      <c r="AF26" s="81">
        <f>Inv_SY_B!AF26/Inv_SY_B!$FG26-1</f>
        <v>2.515333788096541E-2</v>
      </c>
      <c r="AG26" s="81">
        <f>Inv_SY_B!AG26/Inv_SY_B!$FG26-1</f>
        <v>2.4219522141185612E-2</v>
      </c>
      <c r="AH26" s="81">
        <f>Inv_SY_B!AH26/Inv_SY_B!$FG26-1</f>
        <v>1.8365159894001115E-2</v>
      </c>
      <c r="AI26" s="81">
        <f>Inv_SY_B!AI26/Inv_SY_B!$FG26-1</f>
        <v>2.5826799395715971E-2</v>
      </c>
      <c r="AJ26" s="81">
        <f>Inv_SY_B!AJ26/Inv_SY_B!$FG26-1</f>
        <v>2.4225275767449261E-2</v>
      </c>
      <c r="AK26" s="81">
        <f>Inv_SY_B!AK26/Inv_SY_B!$FG26-1</f>
        <v>4.9035005962559275E-2</v>
      </c>
      <c r="AL26" s="81">
        <f>Inv_SY_B!AL26/Inv_SY_B!$FG26-1</f>
        <v>3.2195864460729195E-2</v>
      </c>
      <c r="AM26" s="81">
        <f>Inv_SY_B!AM26/Inv_SY_B!$FG26-1</f>
        <v>3.9092599160489128E-2</v>
      </c>
      <c r="AN26" s="81">
        <f>Inv_SY_B!AN26/Inv_SY_B!$FG26-1</f>
        <v>2.1244405199231098E-2</v>
      </c>
      <c r="AO26" s="81">
        <f>Inv_SY_B!AO26/Inv_SY_B!$FG26-1</f>
        <v>2.6983969647353501E-2</v>
      </c>
      <c r="AP26" s="81">
        <f>Inv_SY_B!AP26/Inv_SY_B!$FG26-1</f>
        <v>2.5715711051558676E-2</v>
      </c>
      <c r="AQ26" s="81">
        <f>Inv_SY_B!AQ26/Inv_SY_B!$FG26-1</f>
        <v>9.0663671003476942E-3</v>
      </c>
      <c r="AR26" s="81">
        <f>Inv_SY_B!AR26/Inv_SY_B!$FG26-1</f>
        <v>5.947697831051757E-3</v>
      </c>
      <c r="AS26" s="81">
        <f>Inv_SY_B!AS26/Inv_SY_B!$FG26-1</f>
        <v>2.0537785894736649E-2</v>
      </c>
      <c r="AT26" s="81">
        <f>Inv_SY_B!AT26/Inv_SY_B!$FG26-1</f>
        <v>5.1644336101364097E-3</v>
      </c>
      <c r="AU26" s="81">
        <f>Inv_SY_B!AU26/Inv_SY_B!$FG26-1</f>
        <v>-1.2876587076589008E-2</v>
      </c>
      <c r="AV26" s="81">
        <f>Inv_SY_B!AV26/Inv_SY_B!$FG26-1</f>
        <v>-1.7912900919740737E-2</v>
      </c>
      <c r="AW26" s="81">
        <f>Inv_SY_B!AW26/Inv_SY_B!$FG26-1</f>
        <v>3.5033546705298457E-2</v>
      </c>
      <c r="AX26" s="81">
        <f>Inv_SY_B!AX26/Inv_SY_B!$FG26-1</f>
        <v>2.878234199450147E-2</v>
      </c>
      <c r="AY26" s="81">
        <f>Inv_SY_B!AY26/Inv_SY_B!$FG26-1</f>
        <v>1.1748753696839032E-2</v>
      </c>
      <c r="AZ26" s="81">
        <f>Inv_SY_B!AZ26/Inv_SY_B!$FG26-1</f>
        <v>2.0848230624409769E-2</v>
      </c>
      <c r="BA26" s="81">
        <f>Inv_SY_B!BA26/Inv_SY_B!$FG26-1</f>
        <v>3.4070209980439969E-2</v>
      </c>
      <c r="BB26" s="81">
        <f>Inv_SY_B!BB26/Inv_SY_B!$FG26-1</f>
        <v>3.9182641470694834E-2</v>
      </c>
      <c r="BC26" s="81">
        <f>Inv_SY_B!BC26/Inv_SY_B!$FG26-1</f>
        <v>2.7102294380126679E-2</v>
      </c>
      <c r="BD26" s="81">
        <f>Inv_SY_B!BD26/Inv_SY_B!$FG26-1</f>
        <v>3.7152540763864428E-2</v>
      </c>
      <c r="BE26" s="81">
        <f>Inv_SY_B!BE26/Inv_SY_B!$FG26-1</f>
        <v>1.459576128215323E-2</v>
      </c>
      <c r="BF26" s="81">
        <f>Inv_SY_B!BF26/Inv_SY_B!$FG26-1</f>
        <v>1.3609543932838974E-2</v>
      </c>
      <c r="BG26" s="81">
        <f>Inv_SY_B!BG26/Inv_SY_B!$FG26-1</f>
        <v>1.0784577984642718E-2</v>
      </c>
      <c r="BH26" s="81">
        <f>Inv_SY_B!BH26/Inv_SY_B!$FG26-1</f>
        <v>1.1031308776431992E-2</v>
      </c>
      <c r="BI26" s="81">
        <f>Inv_SY_B!BI26/Inv_SY_B!$FG26-1</f>
        <v>2.2946988362807064E-2</v>
      </c>
      <c r="BJ26" s="81">
        <f>Inv_SY_B!BJ26/Inv_SY_B!$FG26-1</f>
        <v>2.4211480581763922E-2</v>
      </c>
      <c r="BK26" s="81">
        <f>Inv_SY_B!BK26/Inv_SY_B!$FG26-1</f>
        <v>2.2193675961715398E-2</v>
      </c>
      <c r="BL26" s="81">
        <f>Inv_SY_B!BL26/Inv_SY_B!$FG26-1</f>
        <v>2.2240783889236226E-2</v>
      </c>
      <c r="BM26" s="81">
        <f>Inv_SY_B!BM26/Inv_SY_B!$FG26-1</f>
        <v>8.3628851440229468E-3</v>
      </c>
      <c r="BN26" s="81">
        <f>Inv_SY_B!BN26/Inv_SY_B!$FG26-1</f>
        <v>3.9552864733489734E-3</v>
      </c>
      <c r="BO26" s="81">
        <f>Inv_SY_B!BO26/Inv_SY_B!$FG26-1</f>
        <v>-1.2696479222152557E-2</v>
      </c>
      <c r="BP26" s="81">
        <f>Inv_SY_B!BP26/Inv_SY_B!$FG26-1</f>
        <v>-4.0413896570049346E-2</v>
      </c>
      <c r="BQ26" s="81">
        <f>Inv_SY_B!BQ26/Inv_SY_B!$FG26-1</f>
        <v>-2.3164741479106077E-2</v>
      </c>
      <c r="BR26" s="81">
        <f>Inv_SY_B!BR26/Inv_SY_B!$FG26-1</f>
        <v>-4.8224582837143704E-2</v>
      </c>
      <c r="BS26" s="81">
        <f>Inv_SY_B!BS26/Inv_SY_B!$FG26-1</f>
        <v>-2.1499671869880443E-2</v>
      </c>
      <c r="BT26" s="81">
        <f>Inv_SY_B!BT26/Inv_SY_B!$FG26-1</f>
        <v>-3.9507806670293633E-2</v>
      </c>
      <c r="BU26" s="81">
        <f>Inv_SY_B!BU26/Inv_SY_B!$FG26-1</f>
        <v>-3.6035684341408025E-2</v>
      </c>
      <c r="BV26" s="81">
        <f>Inv_SY_B!BV26/Inv_SY_B!$FG26-1</f>
        <v>-4.9111089944437469E-2</v>
      </c>
      <c r="BW26" s="81">
        <f>Inv_SY_B!BW26/Inv_SY_B!$FG26-1</f>
        <v>-8.0987155477943995E-3</v>
      </c>
      <c r="BX26" s="81">
        <f>Inv_SY_B!BX26/Inv_SY_B!$FG26-1</f>
        <v>-4.1583166615276057E-2</v>
      </c>
      <c r="BY26" s="81">
        <f>Inv_SY_B!BY26/Inv_SY_B!$FG26-1</f>
        <v>-1.485724743650163E-3</v>
      </c>
      <c r="BZ26" s="81">
        <f>Inv_SY_B!BZ26/Inv_SY_B!$FG26-1</f>
        <v>-4.2815148090284083E-2</v>
      </c>
      <c r="CA26" s="81">
        <f>Inv_SY_B!CA26/Inv_SY_B!$FG26-1</f>
        <v>-2.3911513577768662E-2</v>
      </c>
      <c r="CB26" s="81">
        <f>Inv_SY_B!CB26/Inv_SY_B!$FG26-1</f>
        <v>-1.4612037549844858E-3</v>
      </c>
      <c r="CC26" s="81">
        <f>Inv_SY_B!CC26/Inv_SY_B!$FG26-1</f>
        <v>-1.2503232524597729E-3</v>
      </c>
      <c r="CD26" s="81">
        <f>Inv_SY_B!CD26/Inv_SY_B!$FG26-1</f>
        <v>-1.8206690524570579E-2</v>
      </c>
      <c r="CE26" s="81">
        <f>Inv_SY_B!CE26/Inv_SY_B!$FG26-1</f>
        <v>-5.2967956629107693E-2</v>
      </c>
      <c r="CF26" s="81">
        <f>Inv_SY_B!CF26/Inv_SY_B!$FG26-1</f>
        <v>-5.0506396607232995E-2</v>
      </c>
      <c r="CG26" s="81">
        <f>Inv_SY_B!CG26/Inv_SY_B!$FG26-1</f>
        <v>-8.01408137314642E-2</v>
      </c>
      <c r="CH26" s="81">
        <f>Inv_SY_B!CH26/Inv_SY_B!$FG26-1</f>
        <v>-5.2442858778704693E-2</v>
      </c>
      <c r="CI26" s="81">
        <f>Inv_SY_B!CI26/Inv_SY_B!$FG26-1</f>
        <v>-5.4106377272390538E-2</v>
      </c>
      <c r="CJ26" s="81">
        <f>Inv_SY_B!CJ26/Inv_SY_B!$FG26-1</f>
        <v>-6.2479335629288646E-2</v>
      </c>
      <c r="CK26" s="81">
        <f>Inv_SY_B!CK26/Inv_SY_B!$FG26-1</f>
        <v>-3.6331708741135005E-2</v>
      </c>
      <c r="CL26" s="81">
        <f>Inv_SY_B!CL26/Inv_SY_B!$FG26-1</f>
        <v>-4.990276306841035E-2</v>
      </c>
      <c r="CM26" s="81">
        <f>Inv_SY_B!CM26/Inv_SY_B!$FG26-1</f>
        <v>-1.4933034927894662E-2</v>
      </c>
      <c r="CN26" s="81">
        <f>Inv_SY_B!CN26/Inv_SY_B!$FG26-1</f>
        <v>-3.332291098047635E-2</v>
      </c>
      <c r="CO26" s="81">
        <f>Inv_SY_B!CO26/Inv_SY_B!$FG26-1</f>
        <v>-4.6560512782289898E-3</v>
      </c>
      <c r="CP26" s="81">
        <f>Inv_SY_B!CP26/Inv_SY_B!$FG26-1</f>
        <v>4.6665913125625291E-3</v>
      </c>
      <c r="CQ26" s="81">
        <f>Inv_SY_B!CQ26/Inv_SY_B!$FG26-1</f>
        <v>6.6415117396940726E-3</v>
      </c>
      <c r="CR26" s="81">
        <f>Inv_SY_B!CR26/Inv_SY_B!$FG26-1</f>
        <v>1.6087548295948828E-2</v>
      </c>
      <c r="CS26" s="81">
        <f>Inv_SY_B!CS26/Inv_SY_B!$FG26-1</f>
        <v>4.5786222657244746E-3</v>
      </c>
      <c r="CT26" s="81">
        <f>Inv_SY_B!CT26/Inv_SY_B!$FG26-1</f>
        <v>1.0028914155210344E-2</v>
      </c>
      <c r="CU26" s="81">
        <f>Inv_SY_B!CU26/Inv_SY_B!$FG26-1</f>
        <v>2.1016303799228364E-2</v>
      </c>
      <c r="CV26" s="81">
        <f>Inv_SY_B!CV26/Inv_SY_B!$FG26-1</f>
        <v>1.1026769903463629E-2</v>
      </c>
      <c r="CW26" s="81">
        <f>Inv_SY_B!CW26/Inv_SY_B!$FG26-1</f>
        <v>5.2363870694651649E-3</v>
      </c>
      <c r="CX26" s="81">
        <f>Inv_SY_B!CX26/Inv_SY_B!$FG26-1</f>
        <v>1.0413440956193787E-2</v>
      </c>
      <c r="CY26" s="81">
        <f>Inv_SY_B!CY26/Inv_SY_B!$FG26-1</f>
        <v>-2.2925651183464346E-2</v>
      </c>
      <c r="CZ26" s="81">
        <f>Inv_SY_B!CZ26/Inv_SY_B!$FG26-1</f>
        <v>6.7955668284851445E-3</v>
      </c>
      <c r="DA26" s="81">
        <f>Inv_SY_B!DA26/Inv_SY_B!$FG26-1</f>
        <v>-1.3052765517012288E-2</v>
      </c>
      <c r="DB26" s="81">
        <f>Inv_SY_B!DB26/Inv_SY_B!$FG26-1</f>
        <v>-2.2765266281173924E-3</v>
      </c>
      <c r="DC26" s="81">
        <f>Inv_SY_B!DC26/Inv_SY_B!$FG26-1</f>
        <v>-2.2601818718360867E-2</v>
      </c>
      <c r="DD26" s="81">
        <f>Inv_SY_B!DD26/Inv_SY_B!$FG26-1</f>
        <v>-1.7726015735254563E-2</v>
      </c>
      <c r="DE26" s="81">
        <f>Inv_SY_B!DE26/Inv_SY_B!$FG26-1</f>
        <v>-2.2123141390324341E-2</v>
      </c>
      <c r="DF26" s="81">
        <f>Inv_SY_B!DF26/Inv_SY_B!$FG26-1</f>
        <v>-3.0102638053543074E-2</v>
      </c>
      <c r="DG26" s="81">
        <f>Inv_SY_B!DG26/Inv_SY_B!$FG26-1</f>
        <v>-3.7019579838822203E-2</v>
      </c>
      <c r="DH26" s="81">
        <f>Inv_SY_B!DH26/Inv_SY_B!$FG26-1</f>
        <v>-4.7472233631037808E-2</v>
      </c>
      <c r="DI26" s="81">
        <f>Inv_SY_B!DI26/Inv_SY_B!$FG26-1</f>
        <v>-2.1933286772165439E-2</v>
      </c>
      <c r="DJ26" s="81">
        <f>Inv_SY_B!DJ26/Inv_SY_B!$FG26-1</f>
        <v>-2.3286109716849523E-2</v>
      </c>
      <c r="DK26" s="81">
        <f>Inv_SY_B!DK26/Inv_SY_B!$FG26-1</f>
        <v>-9.8472679697197973E-3</v>
      </c>
      <c r="DL26" s="81">
        <f>Inv_SY_B!DL26/Inv_SY_B!$FG26-1</f>
        <v>-1.6301306095438117E-2</v>
      </c>
      <c r="DM26" s="81">
        <f>Inv_SY_B!DM26/Inv_SY_B!$FG26-1</f>
        <v>-9.9427072220756862E-3</v>
      </c>
      <c r="DN26" s="81">
        <f>Inv_SY_B!DN26/Inv_SY_B!$FG26-1</f>
        <v>-3.2058228221443219E-4</v>
      </c>
      <c r="DO26" s="81">
        <f>Inv_SY_B!DO26/Inv_SY_B!$FG26-1</f>
        <v>-1.5442028045814071E-2</v>
      </c>
      <c r="DP26" s="81">
        <f>Inv_SY_B!DP26/Inv_SY_B!$FG26-1</f>
        <v>-2.685769532581328E-2</v>
      </c>
      <c r="DQ26" s="81">
        <f>Inv_SY_B!DQ26/Inv_SY_B!$FG26-1</f>
        <v>-2.3425143722583863E-2</v>
      </c>
      <c r="DR26" s="81">
        <f>Inv_SY_B!DR26/Inv_SY_B!$FG26-1</f>
        <v>-3.4177106832699478E-2</v>
      </c>
      <c r="DS26" s="81">
        <f>Inv_SY_B!DS26/Inv_SY_B!$FG26-1</f>
        <v>-3.2671449055420854E-2</v>
      </c>
      <c r="DT26" s="81">
        <f>Inv_SY_B!DT26/Inv_SY_B!$FG26-1</f>
        <v>-2.9439651822495194E-2</v>
      </c>
      <c r="DU26" s="81">
        <f>Inv_SY_B!DU26/Inv_SY_B!$FG26-1</f>
        <v>-1.1631788647948671E-2</v>
      </c>
      <c r="DV26" s="81">
        <f>Inv_SY_B!DV26/Inv_SY_B!$FG26-1</f>
        <v>-1.5864832497189396E-2</v>
      </c>
      <c r="DW26" s="81">
        <f>Inv_SY_B!DW26/Inv_SY_B!$FG26-1</f>
        <v>-1.564846222108307E-2</v>
      </c>
      <c r="DX26" s="81">
        <f>Inv_SY_B!DX26/Inv_SY_B!$FG26-1</f>
        <v>-2.2488824316735156E-2</v>
      </c>
      <c r="DY26" s="81">
        <f>Inv_SY_B!DY26/Inv_SY_B!$FG26-1</f>
        <v>-3.1499414870410192E-2</v>
      </c>
      <c r="DZ26" s="81">
        <f>Inv_SY_B!DZ26/Inv_SY_B!$FG26-1</f>
        <v>-2.454526248483091E-2</v>
      </c>
      <c r="EA26" s="81">
        <f>Inv_SY_B!EA26/Inv_SY_B!$FG26-1</f>
        <v>-2.6433685124444439E-2</v>
      </c>
      <c r="EB26" s="81">
        <f>Inv_SY_B!EB26/Inv_SY_B!$FG26-1</f>
        <v>-1.9549570812741446E-2</v>
      </c>
      <c r="EC26" s="81">
        <f>Inv_SY_B!EC26/Inv_SY_B!$FG26-1</f>
        <v>-1.9984204130098604E-2</v>
      </c>
      <c r="ED26" s="81">
        <f>Inv_SY_B!ED26/Inv_SY_B!$FG26-1</f>
        <v>-3.3390651850768394E-2</v>
      </c>
      <c r="EE26" s="81">
        <f>Inv_SY_B!EE26/Inv_SY_B!$FG26-1</f>
        <v>-2.3829249615793802E-2</v>
      </c>
      <c r="EF26" s="81">
        <f>Inv_SY_B!EF26/Inv_SY_B!$FG26-1</f>
        <v>-2.9719191093283803E-2</v>
      </c>
      <c r="EG26" s="81">
        <f>Inv_SY_B!EG26/Inv_SY_B!$FG26-1</f>
        <v>-4.8012921431115574E-2</v>
      </c>
      <c r="EH26" s="81">
        <f>Inv_SY_B!EH26/Inv_SY_B!$FG26-1</f>
        <v>-4.3938452651958837E-2</v>
      </c>
      <c r="EI26" s="81">
        <f>Inv_SY_B!EI26/Inv_SY_B!$FG26-1</f>
        <v>-1.9346812887712228E-2</v>
      </c>
      <c r="EJ26" s="81">
        <f>Inv_SY_B!EJ26/Inv_SY_B!$FG26-1</f>
        <v>-3.6394585481288599E-3</v>
      </c>
      <c r="EK26" s="81">
        <f>Inv_SY_B!EK26/Inv_SY_B!$FG26-1</f>
        <v>-1.4274646382221867E-2</v>
      </c>
      <c r="EL26" s="81">
        <f>Inv_SY_B!EL26/Inv_SY_B!$FG26-1</f>
        <v>0.11230147106044908</v>
      </c>
      <c r="EM26" s="81">
        <f>Inv_SY_B!EM26/Inv_SY_B!$FG26-1</f>
        <v>1.593144407850966E-3</v>
      </c>
      <c r="EN26" s="81">
        <f>Inv_SY_B!EN26/Inv_SY_B!$FG26-1</f>
        <v>7.724358599169312E-3</v>
      </c>
      <c r="EO26" s="81">
        <f>Inv_SY_B!EO26/Inv_SY_B!$FG26-1</f>
        <v>1.2765646295356259E-3</v>
      </c>
      <c r="EP26" s="81">
        <f>Inv_SY_B!EP26/Inv_SY_B!$FG26-1</f>
        <v>7.9396296601470961E-2</v>
      </c>
      <c r="EQ26" s="81">
        <f>Inv_SY_B!EQ26/Inv_SY_B!$FG26-1</f>
        <v>-1.5594461943901905E-2</v>
      </c>
      <c r="ER26" s="81">
        <f>Inv_SY_B!ER26/Inv_SY_B!$FG26-1</f>
        <v>-2.2513698573881413E-2</v>
      </c>
      <c r="ES26" s="81">
        <f>Inv_SY_B!ES26/Inv_SY_B!$FG26-1</f>
        <v>-2.3715831409064192E-2</v>
      </c>
      <c r="ET26" s="81">
        <f>Inv_SY_B!ET26/Inv_SY_B!$FG26-1</f>
        <v>-2.7040463032881656E-2</v>
      </c>
      <c r="EU26" s="81">
        <f>Inv_SY_B!EU26/Inv_SY_B!$FG26-1</f>
        <v>-2.4551340927091547E-2</v>
      </c>
      <c r="EV26" s="81">
        <f>Inv_SY_B!EV26/Inv_SY_B!$FG26-1</f>
        <v>-3.2546461086433665E-2</v>
      </c>
      <c r="EW26" s="81">
        <f>Inv_SY_B!EW26/Inv_SY_B!$FG26-1</f>
        <v>-1.1014427682943917E-2</v>
      </c>
      <c r="EX26" s="81">
        <f>Inv_SY_B!EX26/Inv_SY_B!$FG26-1</f>
        <v>-2.2114438166178196E-2</v>
      </c>
      <c r="EY26" s="81">
        <f>Inv_SY_B!EY26/Inv_SY_B!$FG26-1</f>
        <v>-1.4381775666619467E-2</v>
      </c>
      <c r="EZ26" s="81">
        <f>Inv_SY_B!EZ26/Inv_SY_B!$FG26-1</f>
        <v>-1.6712032655587739E-2</v>
      </c>
      <c r="FA26" s="81">
        <f>Inv_SY_B!FA26/Inv_SY_B!$FG26-1</f>
        <v>-1.5244451483948263E-2</v>
      </c>
      <c r="FB26" s="81">
        <f>Inv_SY_B!FB26/Inv_SY_B!$FG26-1</f>
        <v>-1.6205674239642032E-2</v>
      </c>
      <c r="FC26" s="81">
        <f>Inv_SY_B!FC26/Inv_SY_B!$FG26-1</f>
        <v>-1.2326453832735562E-2</v>
      </c>
      <c r="FD26" s="81">
        <f>Inv_SY_B!FD26/Inv_SY_B!$FG26-1</f>
        <v>-9.8268455506306251E-3</v>
      </c>
      <c r="FE26" s="81">
        <f>Inv_SY_B!FE26/Inv_SY_B!$FG26-1</f>
        <v>-1.7724749487479374E-2</v>
      </c>
      <c r="FF26" s="81">
        <f>Inv_SY_B!FF26/Inv_SY_B!$FG26-1</f>
        <v>-5.1730684142478056E-3</v>
      </c>
    </row>
    <row r="27" spans="2:162">
      <c r="B27" s="104">
        <f t="shared" si="0"/>
        <v>45850</v>
      </c>
      <c r="C27" s="81">
        <f>Inv_SY_B!C27/Inv_SY_B!$FG27-1</f>
        <v>-7.0894320293943824E-3</v>
      </c>
      <c r="D27" s="81">
        <f>Inv_SY_B!D27/Inv_SY_B!$FG27-1</f>
        <v>1.5097740636914603E-2</v>
      </c>
      <c r="E27" s="81">
        <f>Inv_SY_B!E27/Inv_SY_B!$FG27-1</f>
        <v>6.8711504782674737E-3</v>
      </c>
      <c r="F27" s="81">
        <f>Inv_SY_B!F27/Inv_SY_B!$FG27-1</f>
        <v>-2.4455602232610341E-3</v>
      </c>
      <c r="G27" s="81">
        <f>Inv_SY_B!G27/Inv_SY_B!$FG27-1</f>
        <v>1.9607816592057237E-2</v>
      </c>
      <c r="H27" s="81">
        <f>Inv_SY_B!H27/Inv_SY_B!$FG27-1</f>
        <v>1.8748124694449197E-2</v>
      </c>
      <c r="I27" s="81">
        <f>Inv_SY_B!I27/Inv_SY_B!$FG27-1</f>
        <v>2.8641194531535907E-2</v>
      </c>
      <c r="J27" s="81">
        <f>Inv_SY_B!J27/Inv_SY_B!$FG27-1</f>
        <v>9.9917153663262592E-3</v>
      </c>
      <c r="K27" s="81">
        <f>Inv_SY_B!K27/Inv_SY_B!$FG27-1</f>
        <v>2.0057501584651805E-2</v>
      </c>
      <c r="L27" s="81">
        <f>Inv_SY_B!L27/Inv_SY_B!$FG27-1</f>
        <v>1.5561135537820237E-2</v>
      </c>
      <c r="M27" s="81">
        <f>Inv_SY_B!M27/Inv_SY_B!$FG27-1</f>
        <v>1.7988173120685902E-2</v>
      </c>
      <c r="N27" s="81">
        <f>Inv_SY_B!N27/Inv_SY_B!$FG27-1</f>
        <v>1.2439308768927404E-2</v>
      </c>
      <c r="O27" s="81">
        <f>Inv_SY_B!O27/Inv_SY_B!$FG27-1</f>
        <v>1.8846949070825181E-2</v>
      </c>
      <c r="P27" s="81">
        <f>Inv_SY_B!P27/Inv_SY_B!$FG27-1</f>
        <v>9.6353905798065576E-3</v>
      </c>
      <c r="Q27" s="81">
        <f>Inv_SY_B!Q27/Inv_SY_B!$FG27-1</f>
        <v>2.4660159744152255E-2</v>
      </c>
      <c r="R27" s="81">
        <f>Inv_SY_B!R27/Inv_SY_B!$FG27-1</f>
        <v>2.5374365320626424E-2</v>
      </c>
      <c r="S27" s="81">
        <f>Inv_SY_B!S27/Inv_SY_B!$FG27-1</f>
        <v>2.5559529729341834E-2</v>
      </c>
      <c r="T27" s="81">
        <f>Inv_SY_B!T27/Inv_SY_B!$FG27-1</f>
        <v>2.9165677492715147E-3</v>
      </c>
      <c r="U27" s="81">
        <f>Inv_SY_B!U27/Inv_SY_B!$FG27-1</f>
        <v>1.7399069716664606E-2</v>
      </c>
      <c r="V27" s="81">
        <f>Inv_SY_B!V27/Inv_SY_B!$FG27-1</f>
        <v>2.5533077670953919E-2</v>
      </c>
      <c r="W27" s="81">
        <f>Inv_SY_B!W27/Inv_SY_B!$FG27-1</f>
        <v>2.3340646712911139E-2</v>
      </c>
      <c r="X27" s="81">
        <f>Inv_SY_B!X27/Inv_SY_B!$FG27-1</f>
        <v>-1.237301591071327E-2</v>
      </c>
      <c r="Y27" s="81">
        <f>Inv_SY_B!Y27/Inv_SY_B!$FG27-1</f>
        <v>1.8530682077776861E-2</v>
      </c>
      <c r="Z27" s="81">
        <f>Inv_SY_B!Z27/Inv_SY_B!$FG27-1</f>
        <v>1.5704484726187795E-2</v>
      </c>
      <c r="AA27" s="81">
        <f>Inv_SY_B!AA27/Inv_SY_B!$FG27-1</f>
        <v>-2.9542847520285243E-3</v>
      </c>
      <c r="AB27" s="81">
        <f>Inv_SY_B!AB27/Inv_SY_B!$FG27-1</f>
        <v>-2.1497787988703831E-2</v>
      </c>
      <c r="AC27" s="81">
        <f>Inv_SY_B!AC27/Inv_SY_B!$FG27-1</f>
        <v>-2.1353408353645964E-2</v>
      </c>
      <c r="AD27" s="81">
        <f>Inv_SY_B!AD27/Inv_SY_B!$FG27-1</f>
        <v>-2.1659157963677012E-2</v>
      </c>
      <c r="AE27" s="81">
        <f>Inv_SY_B!AE27/Inv_SY_B!$FG27-1</f>
        <v>1.9827662588436823E-2</v>
      </c>
      <c r="AF27" s="81">
        <f>Inv_SY_B!AF27/Inv_SY_B!$FG27-1</f>
        <v>3.4244071148830102E-2</v>
      </c>
      <c r="AG27" s="81">
        <f>Inv_SY_B!AG27/Inv_SY_B!$FG27-1</f>
        <v>2.8950399003919935E-2</v>
      </c>
      <c r="AH27" s="81">
        <f>Inv_SY_B!AH27/Inv_SY_B!$FG27-1</f>
        <v>2.1331756019550507E-2</v>
      </c>
      <c r="AI27" s="81">
        <f>Inv_SY_B!AI27/Inv_SY_B!$FG27-1</f>
        <v>3.5492277654010529E-2</v>
      </c>
      <c r="AJ27" s="81">
        <f>Inv_SY_B!AJ27/Inv_SY_B!$FG27-1</f>
        <v>2.9950571421738736E-2</v>
      </c>
      <c r="AK27" s="81">
        <f>Inv_SY_B!AK27/Inv_SY_B!$FG27-1</f>
        <v>4.1457216820489418E-2</v>
      </c>
      <c r="AL27" s="81">
        <f>Inv_SY_B!AL27/Inv_SY_B!$FG27-1</f>
        <v>3.1458338749850823E-2</v>
      </c>
      <c r="AM27" s="81">
        <f>Inv_SY_B!AM27/Inv_SY_B!$FG27-1</f>
        <v>4.2700463564722124E-2</v>
      </c>
      <c r="AN27" s="81">
        <f>Inv_SY_B!AN27/Inv_SY_B!$FG27-1</f>
        <v>2.4064988430423817E-2</v>
      </c>
      <c r="AO27" s="81">
        <f>Inv_SY_B!AO27/Inv_SY_B!$FG27-1</f>
        <v>3.4473873406075217E-2</v>
      </c>
      <c r="AP27" s="81">
        <f>Inv_SY_B!AP27/Inv_SY_B!$FG27-1</f>
        <v>1.8986193219940661E-2</v>
      </c>
      <c r="AQ27" s="81">
        <f>Inv_SY_B!AQ27/Inv_SY_B!$FG27-1</f>
        <v>3.9157432837607864E-2</v>
      </c>
      <c r="AR27" s="81">
        <f>Inv_SY_B!AR27/Inv_SY_B!$FG27-1</f>
        <v>2.4924447972163755E-2</v>
      </c>
      <c r="AS27" s="81">
        <f>Inv_SY_B!AS27/Inv_SY_B!$FG27-1</f>
        <v>5.8725814828674006E-2</v>
      </c>
      <c r="AT27" s="81">
        <f>Inv_SY_B!AT27/Inv_SY_B!$FG27-1</f>
        <v>-5.6931187243282166E-2</v>
      </c>
      <c r="AU27" s="81">
        <f>Inv_SY_B!AU27/Inv_SY_B!$FG27-1</f>
        <v>3.4157743356039161E-2</v>
      </c>
      <c r="AV27" s="81">
        <f>Inv_SY_B!AV27/Inv_SY_B!$FG27-1</f>
        <v>2.3831116625734339E-2</v>
      </c>
      <c r="AW27" s="81">
        <f>Inv_SY_B!AW27/Inv_SY_B!$FG27-1</f>
        <v>5.4652198284328657E-2</v>
      </c>
      <c r="AX27" s="81">
        <f>Inv_SY_B!AX27/Inv_SY_B!$FG27-1</f>
        <v>5.8328206781982139E-2</v>
      </c>
      <c r="AY27" s="81">
        <f>Inv_SY_B!AY27/Inv_SY_B!$FG27-1</f>
        <v>-3.5481345336995207E-2</v>
      </c>
      <c r="AZ27" s="81">
        <f>Inv_SY_B!AZ27/Inv_SY_B!$FG27-1</f>
        <v>-1.6591091809300074E-2</v>
      </c>
      <c r="BA27" s="81">
        <f>Inv_SY_B!BA27/Inv_SY_B!$FG27-1</f>
        <v>-1.0075013182668791E-2</v>
      </c>
      <c r="BB27" s="81">
        <f>Inv_SY_B!BB27/Inv_SY_B!$FG27-1</f>
        <v>1.7032345632548296E-3</v>
      </c>
      <c r="BC27" s="81">
        <f>Inv_SY_B!BC27/Inv_SY_B!$FG27-1</f>
        <v>-1.6519082151261855E-2</v>
      </c>
      <c r="BD27" s="81">
        <f>Inv_SY_B!BD27/Inv_SY_B!$FG27-1</f>
        <v>1.3186424104749239E-2</v>
      </c>
      <c r="BE27" s="81">
        <f>Inv_SY_B!BE27/Inv_SY_B!$FG27-1</f>
        <v>-6.6710925826952705E-3</v>
      </c>
      <c r="BF27" s="81">
        <f>Inv_SY_B!BF27/Inv_SY_B!$FG27-1</f>
        <v>-1.2453086543276815E-2</v>
      </c>
      <c r="BG27" s="81">
        <f>Inv_SY_B!BG27/Inv_SY_B!$FG27-1</f>
        <v>-2.2012292943155987E-2</v>
      </c>
      <c r="BH27" s="81">
        <f>Inv_SY_B!BH27/Inv_SY_B!$FG27-1</f>
        <v>-4.9269790518399192E-3</v>
      </c>
      <c r="BI27" s="81">
        <f>Inv_SY_B!BI27/Inv_SY_B!$FG27-1</f>
        <v>-1.6939480936355888E-2</v>
      </c>
      <c r="BJ27" s="81">
        <f>Inv_SY_B!BJ27/Inv_SY_B!$FG27-1</f>
        <v>-4.2216112496435976E-3</v>
      </c>
      <c r="BK27" s="81">
        <f>Inv_SY_B!BK27/Inv_SY_B!$FG27-1</f>
        <v>-1.9876351322364094E-2</v>
      </c>
      <c r="BL27" s="81">
        <f>Inv_SY_B!BL27/Inv_SY_B!$FG27-1</f>
        <v>-1.7570079113996773E-2</v>
      </c>
      <c r="BM27" s="81">
        <f>Inv_SY_B!BM27/Inv_SY_B!$FG27-1</f>
        <v>-1.8057741704705754E-2</v>
      </c>
      <c r="BN27" s="81">
        <f>Inv_SY_B!BN27/Inv_SY_B!$FG27-1</f>
        <v>-1.6263059291139581E-2</v>
      </c>
      <c r="BO27" s="81">
        <f>Inv_SY_B!BO27/Inv_SY_B!$FG27-1</f>
        <v>-1.4887139132003457E-2</v>
      </c>
      <c r="BP27" s="81">
        <f>Inv_SY_B!BP27/Inv_SY_B!$FG27-1</f>
        <v>-2.577788328425723E-2</v>
      </c>
      <c r="BQ27" s="81">
        <f>Inv_SY_B!BQ27/Inv_SY_B!$FG27-1</f>
        <v>-2.7107163537424372E-2</v>
      </c>
      <c r="BR27" s="81">
        <f>Inv_SY_B!BR27/Inv_SY_B!$FG27-1</f>
        <v>-3.2914634769925066E-2</v>
      </c>
      <c r="BS27" s="81">
        <f>Inv_SY_B!BS27/Inv_SY_B!$FG27-1</f>
        <v>-2.7087701744615056E-2</v>
      </c>
      <c r="BT27" s="81">
        <f>Inv_SY_B!BT27/Inv_SY_B!$FG27-1</f>
        <v>-2.4503091463677684E-2</v>
      </c>
      <c r="BU27" s="81">
        <f>Inv_SY_B!BU27/Inv_SY_B!$FG27-1</f>
        <v>-3.0223539324255255E-2</v>
      </c>
      <c r="BV27" s="81">
        <f>Inv_SY_B!BV27/Inv_SY_B!$FG27-1</f>
        <v>-0.11209858106579962</v>
      </c>
      <c r="BW27" s="81">
        <f>Inv_SY_B!BW27/Inv_SY_B!$FG27-1</f>
        <v>-5.9634170037946577E-3</v>
      </c>
      <c r="BX27" s="81">
        <f>Inv_SY_B!BX27/Inv_SY_B!$FG27-1</f>
        <v>-3.7901924474855742E-2</v>
      </c>
      <c r="BY27" s="81">
        <f>Inv_SY_B!BY27/Inv_SY_B!$FG27-1</f>
        <v>-5.439283176926768E-4</v>
      </c>
      <c r="BZ27" s="81">
        <f>Inv_SY_B!BZ27/Inv_SY_B!$FG27-1</f>
        <v>-2.624881515228894E-2</v>
      </c>
      <c r="CA27" s="81">
        <f>Inv_SY_B!CA27/Inv_SY_B!$FG27-1</f>
        <v>-1.9779884985966278E-2</v>
      </c>
      <c r="CB27" s="81">
        <f>Inv_SY_B!CB27/Inv_SY_B!$FG27-1</f>
        <v>5.8951797406627815E-3</v>
      </c>
      <c r="CC27" s="81">
        <f>Inv_SY_B!CC27/Inv_SY_B!$FG27-1</f>
        <v>-3.0924747187147328E-2</v>
      </c>
      <c r="CD27" s="81">
        <f>Inv_SY_B!CD27/Inv_SY_B!$FG27-1</f>
        <v>-5.3406192445176748E-3</v>
      </c>
      <c r="CE27" s="81">
        <f>Inv_SY_B!CE27/Inv_SY_B!$FG27-1</f>
        <v>-3.0598922058409417E-2</v>
      </c>
      <c r="CF27" s="81">
        <f>Inv_SY_B!CF27/Inv_SY_B!$FG27-1</f>
        <v>-2.8971125573313494E-2</v>
      </c>
      <c r="CG27" s="81">
        <f>Inv_SY_B!CG27/Inv_SY_B!$FG27-1</f>
        <v>-4.5216719619105117E-2</v>
      </c>
      <c r="CH27" s="81">
        <f>Inv_SY_B!CH27/Inv_SY_B!$FG27-1</f>
        <v>-6.58283884601506E-2</v>
      </c>
      <c r="CI27" s="81">
        <f>Inv_SY_B!CI27/Inv_SY_B!$FG27-1</f>
        <v>-3.0147885265525698E-2</v>
      </c>
      <c r="CJ27" s="81">
        <f>Inv_SY_B!CJ27/Inv_SY_B!$FG27-1</f>
        <v>-4.7562421781280895E-2</v>
      </c>
      <c r="CK27" s="81">
        <f>Inv_SY_B!CK27/Inv_SY_B!$FG27-1</f>
        <v>-2.0935800465415322E-2</v>
      </c>
      <c r="CL27" s="81">
        <f>Inv_SY_B!CL27/Inv_SY_B!$FG27-1</f>
        <v>-4.3284316739037321E-2</v>
      </c>
      <c r="CM27" s="81">
        <f>Inv_SY_B!CM27/Inv_SY_B!$FG27-1</f>
        <v>5.8545411914370238E-3</v>
      </c>
      <c r="CN27" s="81">
        <f>Inv_SY_B!CN27/Inv_SY_B!$FG27-1</f>
        <v>-2.0907303587433645E-2</v>
      </c>
      <c r="CO27" s="81">
        <f>Inv_SY_B!CO27/Inv_SY_B!$FG27-1</f>
        <v>-3.3904349303124359E-3</v>
      </c>
      <c r="CP27" s="81">
        <f>Inv_SY_B!CP27/Inv_SY_B!$FG27-1</f>
        <v>8.8134479738564142E-3</v>
      </c>
      <c r="CQ27" s="81">
        <f>Inv_SY_B!CQ27/Inv_SY_B!$FG27-1</f>
        <v>4.4420012735213454E-3</v>
      </c>
      <c r="CR27" s="81">
        <f>Inv_SY_B!CR27/Inv_SY_B!$FG27-1</f>
        <v>1.3290476077406188E-2</v>
      </c>
      <c r="CS27" s="81">
        <f>Inv_SY_B!CS27/Inv_SY_B!$FG27-1</f>
        <v>-2.3109169612904878E-3</v>
      </c>
      <c r="CT27" s="81">
        <f>Inv_SY_B!CT27/Inv_SY_B!$FG27-1</f>
        <v>5.733430562709918E-3</v>
      </c>
      <c r="CU27" s="81">
        <f>Inv_SY_B!CU27/Inv_SY_B!$FG27-1</f>
        <v>2.0870849475964182E-2</v>
      </c>
      <c r="CV27" s="81">
        <f>Inv_SY_B!CV27/Inv_SY_B!$FG27-1</f>
        <v>1.0196937257776595E-2</v>
      </c>
      <c r="CW27" s="81">
        <f>Inv_SY_B!CW27/Inv_SY_B!$FG27-1</f>
        <v>1.1768758337764806E-2</v>
      </c>
      <c r="CX27" s="81">
        <f>Inv_SY_B!CX27/Inv_SY_B!$FG27-1</f>
        <v>1.1760194834427473E-2</v>
      </c>
      <c r="CY27" s="81">
        <f>Inv_SY_B!CY27/Inv_SY_B!$FG27-1</f>
        <v>-2.213490925547501E-2</v>
      </c>
      <c r="CZ27" s="81">
        <f>Inv_SY_B!CZ27/Inv_SY_B!$FG27-1</f>
        <v>1.2201613558776137E-2</v>
      </c>
      <c r="DA27" s="81">
        <f>Inv_SY_B!DA27/Inv_SY_B!$FG27-1</f>
        <v>2.2601315788839393E-3</v>
      </c>
      <c r="DB27" s="81">
        <f>Inv_SY_B!DB27/Inv_SY_B!$FG27-1</f>
        <v>2.6826323579034472E-3</v>
      </c>
      <c r="DC27" s="81">
        <f>Inv_SY_B!DC27/Inv_SY_B!$FG27-1</f>
        <v>-1.4486738720916881E-3</v>
      </c>
      <c r="DD27" s="81">
        <f>Inv_SY_B!DD27/Inv_SY_B!$FG27-1</f>
        <v>-4.1448851244397789E-3</v>
      </c>
      <c r="DE27" s="81">
        <f>Inv_SY_B!DE27/Inv_SY_B!$FG27-1</f>
        <v>-2.9139927368553531E-2</v>
      </c>
      <c r="DF27" s="81">
        <f>Inv_SY_B!DF27/Inv_SY_B!$FG27-1</f>
        <v>-5.4974083776820892E-3</v>
      </c>
      <c r="DG27" s="81">
        <f>Inv_SY_B!DG27/Inv_SY_B!$FG27-1</f>
        <v>6.1067804624932442E-3</v>
      </c>
      <c r="DH27" s="81">
        <f>Inv_SY_B!DH27/Inv_SY_B!$FG27-1</f>
        <v>-5.7319120749923513E-3</v>
      </c>
      <c r="DI27" s="81">
        <f>Inv_SY_B!DI27/Inv_SY_B!$FG27-1</f>
        <v>2.1669943486670729E-2</v>
      </c>
      <c r="DJ27" s="81">
        <f>Inv_SY_B!DJ27/Inv_SY_B!$FG27-1</f>
        <v>-0.11800400574603809</v>
      </c>
      <c r="DK27" s="81">
        <f>Inv_SY_B!DK27/Inv_SY_B!$FG27-1</f>
        <v>2.0816360052147154E-3</v>
      </c>
      <c r="DL27" s="81">
        <f>Inv_SY_B!DL27/Inv_SY_B!$FG27-1</f>
        <v>3.4961040070600191E-3</v>
      </c>
      <c r="DM27" s="81">
        <f>Inv_SY_B!DM27/Inv_SY_B!$FG27-1</f>
        <v>-9.8150352752172099E-3</v>
      </c>
      <c r="DN27" s="81">
        <f>Inv_SY_B!DN27/Inv_SY_B!$FG27-1</f>
        <v>4.9680422049342976E-3</v>
      </c>
      <c r="DO27" s="81">
        <f>Inv_SY_B!DO27/Inv_SY_B!$FG27-1</f>
        <v>-2.2809803190806388E-3</v>
      </c>
      <c r="DP27" s="81">
        <f>Inv_SY_B!DP27/Inv_SY_B!$FG27-1</f>
        <v>-9.2643200103137424E-4</v>
      </c>
      <c r="DQ27" s="81">
        <f>Inv_SY_B!DQ27/Inv_SY_B!$FG27-1</f>
        <v>1.8691607087466533E-3</v>
      </c>
      <c r="DR27" s="81">
        <f>Inv_SY_B!DR27/Inv_SY_B!$FG27-1</f>
        <v>-2.1567808810999289E-2</v>
      </c>
      <c r="DS27" s="81">
        <f>Inv_SY_B!DS27/Inv_SY_B!$FG27-1</f>
        <v>-5.1665386208309405E-3</v>
      </c>
      <c r="DT27" s="81">
        <f>Inv_SY_B!DT27/Inv_SY_B!$FG27-1</f>
        <v>-3.8370521342617758E-3</v>
      </c>
      <c r="DU27" s="81">
        <f>Inv_SY_B!DU27/Inv_SY_B!$FG27-1</f>
        <v>1.7976492866217386E-2</v>
      </c>
      <c r="DV27" s="81">
        <f>Inv_SY_B!DV27/Inv_SY_B!$FG27-1</f>
        <v>-4.1210504129112091E-2</v>
      </c>
      <c r="DW27" s="81">
        <f>Inv_SY_B!DW27/Inv_SY_B!$FG27-1</f>
        <v>2.0125260308843318E-2</v>
      </c>
      <c r="DX27" s="81">
        <f>Inv_SY_B!DX27/Inv_SY_B!$FG27-1</f>
        <v>-1.6683678963730908E-2</v>
      </c>
      <c r="DY27" s="81">
        <f>Inv_SY_B!DY27/Inv_SY_B!$FG27-1</f>
        <v>-8.4328029110203317E-3</v>
      </c>
      <c r="DZ27" s="81">
        <f>Inv_SY_B!DZ27/Inv_SY_B!$FG27-1</f>
        <v>-8.4474254774584701E-3</v>
      </c>
      <c r="EA27" s="81">
        <f>Inv_SY_B!EA27/Inv_SY_B!$FG27-1</f>
        <v>-3.5127640249583703E-2</v>
      </c>
      <c r="EB27" s="81">
        <f>Inv_SY_B!EB27/Inv_SY_B!$FG27-1</f>
        <v>2.6367505786234258E-2</v>
      </c>
      <c r="EC27" s="81">
        <f>Inv_SY_B!EC27/Inv_SY_B!$FG27-1</f>
        <v>8.0891427966771623E-3</v>
      </c>
      <c r="ED27" s="81">
        <f>Inv_SY_B!ED27/Inv_SY_B!$FG27-1</f>
        <v>-3.3888815506372127E-3</v>
      </c>
      <c r="EE27" s="81">
        <f>Inv_SY_B!EE27/Inv_SY_B!$FG27-1</f>
        <v>1.9985545687727591E-2</v>
      </c>
      <c r="EF27" s="81">
        <f>Inv_SY_B!EF27/Inv_SY_B!$FG27-1</f>
        <v>1.3434331286680479E-2</v>
      </c>
      <c r="EG27" s="81">
        <f>Inv_SY_B!EG27/Inv_SY_B!$FG27-1</f>
        <v>-0.10729960168058394</v>
      </c>
      <c r="EH27" s="81">
        <f>Inv_SY_B!EH27/Inv_SY_B!$FG27-1</f>
        <v>-1</v>
      </c>
      <c r="EI27" s="81">
        <f>Inv_SY_B!EI27/Inv_SY_B!$FG27-1</f>
        <v>3.746888016282135E-2</v>
      </c>
      <c r="EJ27" s="81">
        <f>Inv_SY_B!EJ27/Inv_SY_B!$FG27-1</f>
        <v>3.875793358813695E-2</v>
      </c>
      <c r="EK27" s="81">
        <f>Inv_SY_B!EK27/Inv_SY_B!$FG27-1</f>
        <v>4.4838120533197134E-2</v>
      </c>
      <c r="EL27" s="81">
        <f>Inv_SY_B!EL27/Inv_SY_B!$FG27-1</f>
        <v>0.1676436123055518</v>
      </c>
      <c r="EM27" s="81">
        <f>Inv_SY_B!EM27/Inv_SY_B!$FG27-1</f>
        <v>4.8052394906271223E-2</v>
      </c>
      <c r="EN27" s="81">
        <f>Inv_SY_B!EN27/Inv_SY_B!$FG27-1</f>
        <v>0.12785987394282983</v>
      </c>
      <c r="EO27" s="81">
        <f>Inv_SY_B!EO27/Inv_SY_B!$FG27-1</f>
        <v>3.4892404900217056E-2</v>
      </c>
      <c r="EP27" s="81">
        <f>Inv_SY_B!EP27/Inv_SY_B!$FG27-1</f>
        <v>0.14065357238712051</v>
      </c>
      <c r="EQ27" s="81">
        <f>Inv_SY_B!EQ27/Inv_SY_B!$FG27-1</f>
        <v>3.3533962766182368E-2</v>
      </c>
      <c r="ER27" s="81">
        <f>Inv_SY_B!ER27/Inv_SY_B!$FG27-1</f>
        <v>3.6230455408398976E-2</v>
      </c>
      <c r="ES27" s="81">
        <f>Inv_SY_B!ES27/Inv_SY_B!$FG27-1</f>
        <v>2.6839427477010291E-2</v>
      </c>
      <c r="ET27" s="81">
        <f>Inv_SY_B!ET27/Inv_SY_B!$FG27-1</f>
        <v>3.3877258406061594E-2</v>
      </c>
      <c r="EU27" s="81">
        <f>Inv_SY_B!EU27/Inv_SY_B!$FG27-1</f>
        <v>3.5928922899512994E-2</v>
      </c>
      <c r="EV27" s="81">
        <f>Inv_SY_B!EV27/Inv_SY_B!$FG27-1</f>
        <v>2.3012416940404012E-2</v>
      </c>
      <c r="EW27" s="81">
        <f>Inv_SY_B!EW27/Inv_SY_B!$FG27-1</f>
        <v>3.5526944316468301E-2</v>
      </c>
      <c r="EX27" s="81">
        <f>Inv_SY_B!EX27/Inv_SY_B!$FG27-1</f>
        <v>4.2792673204877563E-2</v>
      </c>
      <c r="EY27" s="81">
        <f>Inv_SY_B!EY27/Inv_SY_B!$FG27-1</f>
        <v>2.6894295046214101E-2</v>
      </c>
      <c r="EZ27" s="81">
        <f>Inv_SY_B!EZ27/Inv_SY_B!$FG27-1</f>
        <v>4.1294509107176136E-2</v>
      </c>
      <c r="FA27" s="81">
        <f>Inv_SY_B!FA27/Inv_SY_B!$FG27-1</f>
        <v>4.3844928403412808E-2</v>
      </c>
      <c r="FB27" s="81">
        <f>Inv_SY_B!FB27/Inv_SY_B!$FG27-1</f>
        <v>2.9915715323967307E-2</v>
      </c>
      <c r="FC27" s="81">
        <f>Inv_SY_B!FC27/Inv_SY_B!$FG27-1</f>
        <v>3.2404826464043968E-2</v>
      </c>
      <c r="FD27" s="81">
        <f>Inv_SY_B!FD27/Inv_SY_B!$FG27-1</f>
        <v>2.8629776748520852E-2</v>
      </c>
      <c r="FE27" s="81">
        <f>Inv_SY_B!FE27/Inv_SY_B!$FG27-1</f>
        <v>3.6536996189196591E-2</v>
      </c>
      <c r="FF27" s="81">
        <f>Inv_SY_B!FF27/Inv_SY_B!$FG27-1</f>
        <v>3.7071909851688511E-2</v>
      </c>
    </row>
    <row r="28" spans="2:162">
      <c r="B28" s="104">
        <f t="shared" si="0"/>
        <v>45851</v>
      </c>
      <c r="C28" s="81">
        <f>Inv_SY_B!C28/Inv_SY_B!$FG28-1</f>
        <v>3.5007053134857191E-2</v>
      </c>
      <c r="D28" s="81">
        <f>Inv_SY_B!D28/Inv_SY_B!$FG28-1</f>
        <v>5.6220600523945174E-2</v>
      </c>
      <c r="E28" s="81">
        <f>Inv_SY_B!E28/Inv_SY_B!$FG28-1</f>
        <v>4.8900735960595521E-2</v>
      </c>
      <c r="F28" s="81">
        <f>Inv_SY_B!F28/Inv_SY_B!$FG28-1</f>
        <v>4.6695167561698003E-2</v>
      </c>
      <c r="G28" s="81">
        <f>Inv_SY_B!G28/Inv_SY_B!$FG28-1</f>
        <v>6.1327889538277391E-2</v>
      </c>
      <c r="H28" s="81">
        <f>Inv_SY_B!H28/Inv_SY_B!$FG28-1</f>
        <v>6.8096796553847927E-2</v>
      </c>
      <c r="I28" s="81">
        <f>Inv_SY_B!I28/Inv_SY_B!$FG28-1</f>
        <v>7.5163045738061207E-2</v>
      </c>
      <c r="J28" s="81">
        <f>Inv_SY_B!J28/Inv_SY_B!$FG28-1</f>
        <v>5.2527075779273291E-2</v>
      </c>
      <c r="K28" s="81">
        <f>Inv_SY_B!K28/Inv_SY_B!$FG28-1</f>
        <v>6.2893308602601783E-2</v>
      </c>
      <c r="L28" s="81">
        <f>Inv_SY_B!L28/Inv_SY_B!$FG28-1</f>
        <v>4.4549280500485233E-2</v>
      </c>
      <c r="M28" s="81">
        <f>Inv_SY_B!M28/Inv_SY_B!$FG28-1</f>
        <v>4.9341166610742393E-2</v>
      </c>
      <c r="N28" s="81">
        <f>Inv_SY_B!N28/Inv_SY_B!$FG28-1</f>
        <v>6.1598995633216358E-2</v>
      </c>
      <c r="O28" s="81">
        <f>Inv_SY_B!O28/Inv_SY_B!$FG28-1</f>
        <v>5.5283519639550915E-2</v>
      </c>
      <c r="P28" s="81">
        <f>Inv_SY_B!P28/Inv_SY_B!$FG28-1</f>
        <v>5.9500109736915441E-2</v>
      </c>
      <c r="Q28" s="81">
        <f>Inv_SY_B!Q28/Inv_SY_B!$FG28-1</f>
        <v>6.6653812500141019E-2</v>
      </c>
      <c r="R28" s="81">
        <f>Inv_SY_B!R28/Inv_SY_B!$FG28-1</f>
        <v>6.710857111100621E-2</v>
      </c>
      <c r="S28" s="81">
        <f>Inv_SY_B!S28/Inv_SY_B!$FG28-1</f>
        <v>5.8992878978642693E-2</v>
      </c>
      <c r="T28" s="81">
        <f>Inv_SY_B!T28/Inv_SY_B!$FG28-1</f>
        <v>5.1288218667637997E-2</v>
      </c>
      <c r="U28" s="81">
        <f>Inv_SY_B!U28/Inv_SY_B!$FG28-1</f>
        <v>5.4900051480855749E-2</v>
      </c>
      <c r="V28" s="81">
        <f>Inv_SY_B!V28/Inv_SY_B!$FG28-1</f>
        <v>6.1152982380252352E-2</v>
      </c>
      <c r="W28" s="81">
        <f>Inv_SY_B!W28/Inv_SY_B!$FG28-1</f>
        <v>4.6511901993061766E-2</v>
      </c>
      <c r="X28" s="81">
        <f>Inv_SY_B!X28/Inv_SY_B!$FG28-1</f>
        <v>4.2020082705175765E-2</v>
      </c>
      <c r="Y28" s="81">
        <f>Inv_SY_B!Y28/Inv_SY_B!$FG28-1</f>
        <v>3.5840241349690105E-2</v>
      </c>
      <c r="Z28" s="81">
        <f>Inv_SY_B!Z28/Inv_SY_B!$FG28-1</f>
        <v>3.7550267120926684E-2</v>
      </c>
      <c r="AA28" s="81">
        <f>Inv_SY_B!AA28/Inv_SY_B!$FG28-1</f>
        <v>2.1911533897772673E-2</v>
      </c>
      <c r="AB28" s="81">
        <f>Inv_SY_B!AB28/Inv_SY_B!$FG28-1</f>
        <v>9.9381095037915923E-3</v>
      </c>
      <c r="AC28" s="81">
        <f>Inv_SY_B!AC28/Inv_SY_B!$FG28-1</f>
        <v>1.2742280796860017E-2</v>
      </c>
      <c r="AD28" s="81">
        <f>Inv_SY_B!AD28/Inv_SY_B!$FG28-1</f>
        <v>9.2607493722254297E-3</v>
      </c>
      <c r="AE28" s="81">
        <f>Inv_SY_B!AE28/Inv_SY_B!$FG28-1</f>
        <v>4.0584483620363265E-2</v>
      </c>
      <c r="AF28" s="81">
        <f>Inv_SY_B!AF28/Inv_SY_B!$FG28-1</f>
        <v>4.4222559795083161E-2</v>
      </c>
      <c r="AG28" s="81">
        <f>Inv_SY_B!AG28/Inv_SY_B!$FG28-1</f>
        <v>3.9892519169005825E-2</v>
      </c>
      <c r="AH28" s="81">
        <f>Inv_SY_B!AH28/Inv_SY_B!$FG28-1</f>
        <v>3.5698257819645862E-2</v>
      </c>
      <c r="AI28" s="81">
        <f>Inv_SY_B!AI28/Inv_SY_B!$FG28-1</f>
        <v>4.6250892516515485E-2</v>
      </c>
      <c r="AJ28" s="81">
        <f>Inv_SY_B!AJ28/Inv_SY_B!$FG28-1</f>
        <v>4.4580529157376203E-2</v>
      </c>
      <c r="AK28" s="81">
        <f>Inv_SY_B!AK28/Inv_SY_B!$FG28-1</f>
        <v>5.7567385640738156E-2</v>
      </c>
      <c r="AL28" s="81">
        <f>Inv_SY_B!AL28/Inv_SY_B!$FG28-1</f>
        <v>4.5734916400341552E-2</v>
      </c>
      <c r="AM28" s="81">
        <f>Inv_SY_B!AM28/Inv_SY_B!$FG28-1</f>
        <v>5.6902738440242739E-2</v>
      </c>
      <c r="AN28" s="81">
        <f>Inv_SY_B!AN28/Inv_SY_B!$FG28-1</f>
        <v>3.8738630079338421E-2</v>
      </c>
      <c r="AO28" s="81">
        <f>Inv_SY_B!AO28/Inv_SY_B!$FG28-1</f>
        <v>4.3810937662065896E-2</v>
      </c>
      <c r="AP28" s="81">
        <f>Inv_SY_B!AP28/Inv_SY_B!$FG28-1</f>
        <v>3.7811622141805667E-2</v>
      </c>
      <c r="AQ28" s="81">
        <f>Inv_SY_B!AQ28/Inv_SY_B!$FG28-1</f>
        <v>3.2047389197839671E-2</v>
      </c>
      <c r="AR28" s="81">
        <f>Inv_SY_B!AR28/Inv_SY_B!$FG28-1</f>
        <v>2.3093306322406137E-2</v>
      </c>
      <c r="AS28" s="81">
        <f>Inv_SY_B!AS28/Inv_SY_B!$FG28-1</f>
        <v>-3.1756536140524316E-2</v>
      </c>
      <c r="AT28" s="81">
        <f>Inv_SY_B!AT28/Inv_SY_B!$FG28-1</f>
        <v>-4.2435734509302048E-2</v>
      </c>
      <c r="AU28" s="81">
        <f>Inv_SY_B!AU28/Inv_SY_B!$FG28-1</f>
        <v>1.3020324399468208E-2</v>
      </c>
      <c r="AV28" s="81">
        <f>Inv_SY_B!AV28/Inv_SY_B!$FG28-1</f>
        <v>-2.4968443171982546E-2</v>
      </c>
      <c r="AW28" s="81">
        <f>Inv_SY_B!AW28/Inv_SY_B!$FG28-1</f>
        <v>4.8569304441996808E-2</v>
      </c>
      <c r="AX28" s="81">
        <f>Inv_SY_B!AX28/Inv_SY_B!$FG28-1</f>
        <v>4.9641802877330887E-2</v>
      </c>
      <c r="AY28" s="81">
        <f>Inv_SY_B!AY28/Inv_SY_B!$FG28-1</f>
        <v>-0.48639697631680945</v>
      </c>
      <c r="AZ28" s="81">
        <f>Inv_SY_B!AZ28/Inv_SY_B!$FG28-1</f>
        <v>-0.51884881712197539</v>
      </c>
      <c r="BA28" s="81">
        <f>Inv_SY_B!BA28/Inv_SY_B!$FG28-1</f>
        <v>-1</v>
      </c>
      <c r="BB28" s="81">
        <f>Inv_SY_B!BB28/Inv_SY_B!$FG28-1</f>
        <v>-1</v>
      </c>
      <c r="BC28" s="81">
        <f>Inv_SY_B!BC28/Inv_SY_B!$FG28-1</f>
        <v>-0.49256274042415205</v>
      </c>
      <c r="BD28" s="81">
        <f>Inv_SY_B!BD28/Inv_SY_B!$FG28-1</f>
        <v>-0.48118514550953528</v>
      </c>
      <c r="BE28" s="81">
        <f>Inv_SY_B!BE28/Inv_SY_B!$FG28-1</f>
        <v>-0.5026016414569483</v>
      </c>
      <c r="BF28" s="81">
        <f>Inv_SY_B!BF28/Inv_SY_B!$FG28-1</f>
        <v>-0.50393175013994895</v>
      </c>
      <c r="BG28" s="81">
        <f>Inv_SY_B!BG28/Inv_SY_B!$FG28-1</f>
        <v>2.2354722608357136E-2</v>
      </c>
      <c r="BH28" s="81">
        <f>Inv_SY_B!BH28/Inv_SY_B!$FG28-1</f>
        <v>1.9636245723605228E-2</v>
      </c>
      <c r="BI28" s="81">
        <f>Inv_SY_B!BI28/Inv_SY_B!$FG28-1</f>
        <v>2.6468788832475498E-2</v>
      </c>
      <c r="BJ28" s="81">
        <f>Inv_SY_B!BJ28/Inv_SY_B!$FG28-1</f>
        <v>3.9169856018935079E-2</v>
      </c>
      <c r="BK28" s="81">
        <f>Inv_SY_B!BK28/Inv_SY_B!$FG28-1</f>
        <v>3.5297639680332615E-2</v>
      </c>
      <c r="BL28" s="81">
        <f>Inv_SY_B!BL28/Inv_SY_B!$FG28-1</f>
        <v>2.5662654234506421E-2</v>
      </c>
      <c r="BM28" s="81">
        <f>Inv_SY_B!BM28/Inv_SY_B!$FG28-1</f>
        <v>2.8905724456221416E-2</v>
      </c>
      <c r="BN28" s="81">
        <f>Inv_SY_B!BN28/Inv_SY_B!$FG28-1</f>
        <v>2.6394754172271329E-2</v>
      </c>
      <c r="BO28" s="81">
        <f>Inv_SY_B!BO28/Inv_SY_B!$FG28-1</f>
        <v>6.3674848132320161E-3</v>
      </c>
      <c r="BP28" s="81">
        <f>Inv_SY_B!BP28/Inv_SY_B!$FG28-1</f>
        <v>1.2176582615797349E-2</v>
      </c>
      <c r="BQ28" s="81">
        <f>Inv_SY_B!BQ28/Inv_SY_B!$FG28-1</f>
        <v>1.6500306383669061E-2</v>
      </c>
      <c r="BR28" s="81">
        <f>Inv_SY_B!BR28/Inv_SY_B!$FG28-1</f>
        <v>8.5262541812858306E-3</v>
      </c>
      <c r="BS28" s="81">
        <f>Inv_SY_B!BS28/Inv_SY_B!$FG28-1</f>
        <v>6.6859457288348523E-5</v>
      </c>
      <c r="BT28" s="81">
        <f>Inv_SY_B!BT28/Inv_SY_B!$FG28-1</f>
        <v>1.5023667800332374E-2</v>
      </c>
      <c r="BU28" s="81">
        <f>Inv_SY_B!BU28/Inv_SY_B!$FG28-1</f>
        <v>1.3683280815972587E-3</v>
      </c>
      <c r="BV28" s="81">
        <f>Inv_SY_B!BV28/Inv_SY_B!$FG28-1</f>
        <v>3.4256979056859205E-3</v>
      </c>
      <c r="BW28" s="81">
        <f>Inv_SY_B!BW28/Inv_SY_B!$FG28-1</f>
        <v>1.7227045865253032E-2</v>
      </c>
      <c r="BX28" s="81">
        <f>Inv_SY_B!BX28/Inv_SY_B!$FG28-1</f>
        <v>9.3168989997891583E-3</v>
      </c>
      <c r="BY28" s="81">
        <f>Inv_SY_B!BY28/Inv_SY_B!$FG28-1</f>
        <v>2.886866079654471E-2</v>
      </c>
      <c r="BZ28" s="81">
        <f>Inv_SY_B!BZ28/Inv_SY_B!$FG28-1</f>
        <v>1.2022968287033864E-2</v>
      </c>
      <c r="CA28" s="81">
        <f>Inv_SY_B!CA28/Inv_SY_B!$FG28-1</f>
        <v>2.3469023602509687E-2</v>
      </c>
      <c r="CB28" s="81">
        <f>Inv_SY_B!CB28/Inv_SY_B!$FG28-1</f>
        <v>3.642848913123542E-2</v>
      </c>
      <c r="CC28" s="81">
        <f>Inv_SY_B!CC28/Inv_SY_B!$FG28-1</f>
        <v>3.6105340348428827E-2</v>
      </c>
      <c r="CD28" s="81">
        <f>Inv_SY_B!CD28/Inv_SY_B!$FG28-1</f>
        <v>2.9558775699258355E-2</v>
      </c>
      <c r="CE28" s="81">
        <f>Inv_SY_B!CE28/Inv_SY_B!$FG28-1</f>
        <v>-3.400054633196925E-4</v>
      </c>
      <c r="CF28" s="81">
        <f>Inv_SY_B!CF28/Inv_SY_B!$FG28-1</f>
        <v>1.289917598072754E-2</v>
      </c>
      <c r="CG28" s="81">
        <f>Inv_SY_B!CG28/Inv_SY_B!$FG28-1</f>
        <v>-2.6565137008375261E-3</v>
      </c>
      <c r="CH28" s="81">
        <f>Inv_SY_B!CH28/Inv_SY_B!$FG28-1</f>
        <v>7.2464358116404171E-3</v>
      </c>
      <c r="CI28" s="81">
        <f>Inv_SY_B!CI28/Inv_SY_B!$FG28-1</f>
        <v>1.3279439012164884E-2</v>
      </c>
      <c r="CJ28" s="81">
        <f>Inv_SY_B!CJ28/Inv_SY_B!$FG28-1</f>
        <v>3.7788473339697148E-3</v>
      </c>
      <c r="CK28" s="81">
        <f>Inv_SY_B!CK28/Inv_SY_B!$FG28-1</f>
        <v>1.4553720147561844E-2</v>
      </c>
      <c r="CL28" s="81">
        <f>Inv_SY_B!CL28/Inv_SY_B!$FG28-1</f>
        <v>-1.1235448020183725E-3</v>
      </c>
      <c r="CM28" s="81">
        <f>Inv_SY_B!CM28/Inv_SY_B!$FG28-1</f>
        <v>2.9047492954485055E-2</v>
      </c>
      <c r="CN28" s="81">
        <f>Inv_SY_B!CN28/Inv_SY_B!$FG28-1</f>
        <v>9.1452070468749369E-3</v>
      </c>
      <c r="CO28" s="81">
        <f>Inv_SY_B!CO28/Inv_SY_B!$FG28-1</f>
        <v>1.8761341022600853E-2</v>
      </c>
      <c r="CP28" s="81">
        <f>Inv_SY_B!CP28/Inv_SY_B!$FG28-1</f>
        <v>2.3245408679964052E-2</v>
      </c>
      <c r="CQ28" s="81">
        <f>Inv_SY_B!CQ28/Inv_SY_B!$FG28-1</f>
        <v>1.7314064892320236E-2</v>
      </c>
      <c r="CR28" s="81">
        <f>Inv_SY_B!CR28/Inv_SY_B!$FG28-1</f>
        <v>2.6674955439427439E-2</v>
      </c>
      <c r="CS28" s="81">
        <f>Inv_SY_B!CS28/Inv_SY_B!$FG28-1</f>
        <v>1.8776052530662835E-2</v>
      </c>
      <c r="CT28" s="81">
        <f>Inv_SY_B!CT28/Inv_SY_B!$FG28-1</f>
        <v>2.9540932496000538E-2</v>
      </c>
      <c r="CU28" s="81">
        <f>Inv_SY_B!CU28/Inv_SY_B!$FG28-1</f>
        <v>5.0362470061642739E-2</v>
      </c>
      <c r="CV28" s="81">
        <f>Inv_SY_B!CV28/Inv_SY_B!$FG28-1</f>
        <v>4.3516219100793618E-2</v>
      </c>
      <c r="CW28" s="81">
        <f>Inv_SY_B!CW28/Inv_SY_B!$FG28-1</f>
        <v>4.3790542019687795E-2</v>
      </c>
      <c r="CX28" s="81">
        <f>Inv_SY_B!CX28/Inv_SY_B!$FG28-1</f>
        <v>5.0924228408538053E-2</v>
      </c>
      <c r="CY28" s="81">
        <f>Inv_SY_B!CY28/Inv_SY_B!$FG28-1</f>
        <v>1.3337829152624714E-2</v>
      </c>
      <c r="CZ28" s="81">
        <f>Inv_SY_B!CZ28/Inv_SY_B!$FG28-1</f>
        <v>4.9342447061688777E-2</v>
      </c>
      <c r="DA28" s="81">
        <f>Inv_SY_B!DA28/Inv_SY_B!$FG28-1</f>
        <v>3.5101841762680941E-2</v>
      </c>
      <c r="DB28" s="81">
        <f>Inv_SY_B!DB28/Inv_SY_B!$FG28-1</f>
        <v>4.0338415667290572E-2</v>
      </c>
      <c r="DC28" s="81">
        <f>Inv_SY_B!DC28/Inv_SY_B!$FG28-1</f>
        <v>2.4329667544583211E-2</v>
      </c>
      <c r="DD28" s="81">
        <f>Inv_SY_B!DD28/Inv_SY_B!$FG28-1</f>
        <v>2.2983437720660582E-2</v>
      </c>
      <c r="DE28" s="81">
        <f>Inv_SY_B!DE28/Inv_SY_B!$FG28-1</f>
        <v>1.4644306842999333E-2</v>
      </c>
      <c r="DF28" s="81">
        <f>Inv_SY_B!DF28/Inv_SY_B!$FG28-1</f>
        <v>2.6538138414448964E-2</v>
      </c>
      <c r="DG28" s="81">
        <f>Inv_SY_B!DG28/Inv_SY_B!$FG28-1</f>
        <v>2.3143251967979728E-2</v>
      </c>
      <c r="DH28" s="81">
        <f>Inv_SY_B!DH28/Inv_SY_B!$FG28-1</f>
        <v>5.687223807709918E-3</v>
      </c>
      <c r="DI28" s="81">
        <f>Inv_SY_B!DI28/Inv_SY_B!$FG28-1</f>
        <v>4.1581496065667523E-2</v>
      </c>
      <c r="DJ28" s="81">
        <f>Inv_SY_B!DJ28/Inv_SY_B!$FG28-1</f>
        <v>2.2652534905056587E-2</v>
      </c>
      <c r="DK28" s="81">
        <f>Inv_SY_B!DK28/Inv_SY_B!$FG28-1</f>
        <v>3.7963783745936119E-2</v>
      </c>
      <c r="DL28" s="81">
        <f>Inv_SY_B!DL28/Inv_SY_B!$FG28-1</f>
        <v>3.9271503476314473E-2</v>
      </c>
      <c r="DM28" s="81">
        <f>Inv_SY_B!DM28/Inv_SY_B!$FG28-1</f>
        <v>1.8475055075710012E-2</v>
      </c>
      <c r="DN28" s="81">
        <f>Inv_SY_B!DN28/Inv_SY_B!$FG28-1</f>
        <v>4.5811685126757151E-2</v>
      </c>
      <c r="DO28" s="81">
        <f>Inv_SY_B!DO28/Inv_SY_B!$FG28-1</f>
        <v>4.2631895952676579E-2</v>
      </c>
      <c r="DP28" s="81">
        <f>Inv_SY_B!DP28/Inv_SY_B!$FG28-1</f>
        <v>3.9194805191835824E-2</v>
      </c>
      <c r="DQ28" s="81">
        <f>Inv_SY_B!DQ28/Inv_SY_B!$FG28-1</f>
        <v>3.5760648313435173E-2</v>
      </c>
      <c r="DR28" s="81">
        <f>Inv_SY_B!DR28/Inv_SY_B!$FG28-1</f>
        <v>3.1919608063607274E-2</v>
      </c>
      <c r="DS28" s="81">
        <f>Inv_SY_B!DS28/Inv_SY_B!$FG28-1</f>
        <v>2.7396424371145756E-2</v>
      </c>
      <c r="DT28" s="81">
        <f>Inv_SY_B!DT28/Inv_SY_B!$FG28-1</f>
        <v>3.0017634246523706E-2</v>
      </c>
      <c r="DU28" s="81">
        <f>Inv_SY_B!DU28/Inv_SY_B!$FG28-1</f>
        <v>4.7561281511454778E-2</v>
      </c>
      <c r="DV28" s="81">
        <f>Inv_SY_B!DV28/Inv_SY_B!$FG28-1</f>
        <v>5.3980983062471566E-3</v>
      </c>
      <c r="DW28" s="81">
        <f>Inv_SY_B!DW28/Inv_SY_B!$FG28-1</f>
        <v>4.6258985235767547E-2</v>
      </c>
      <c r="DX28" s="81">
        <f>Inv_SY_B!DX28/Inv_SY_B!$FG28-1</f>
        <v>2.7859775416191335E-2</v>
      </c>
      <c r="DY28" s="81">
        <f>Inv_SY_B!DY28/Inv_SY_B!$FG28-1</f>
        <v>2.8580611702317738E-2</v>
      </c>
      <c r="DZ28" s="81">
        <f>Inv_SY_B!DZ28/Inv_SY_B!$FG28-1</f>
        <v>3.4993430558126537E-2</v>
      </c>
      <c r="EA28" s="81">
        <f>Inv_SY_B!EA28/Inv_SY_B!$FG28-1</f>
        <v>3.2886448373456112E-2</v>
      </c>
      <c r="EB28" s="81">
        <f>Inv_SY_B!EB28/Inv_SY_B!$FG28-1</f>
        <v>5.5205865714965219E-2</v>
      </c>
      <c r="EC28" s="81">
        <f>Inv_SY_B!EC28/Inv_SY_B!$FG28-1</f>
        <v>3.268140238588968E-2</v>
      </c>
      <c r="ED28" s="81">
        <f>Inv_SY_B!ED28/Inv_SY_B!$FG28-1</f>
        <v>2.6035480956618562E-2</v>
      </c>
      <c r="EE28" s="81">
        <f>Inv_SY_B!EE28/Inv_SY_B!$FG28-1</f>
        <v>5.2487477925549086E-2</v>
      </c>
      <c r="EF28" s="81">
        <f>Inv_SY_B!EF28/Inv_SY_B!$FG28-1</f>
        <v>4.4604500808051784E-2</v>
      </c>
      <c r="EG28" s="81">
        <f>Inv_SY_B!EG28/Inv_SY_B!$FG28-1</f>
        <v>-0.15912256448151363</v>
      </c>
      <c r="EH28" s="81">
        <f>Inv_SY_B!EH28/Inv_SY_B!$FG28-1</f>
        <v>-1</v>
      </c>
      <c r="EI28" s="81">
        <f>Inv_SY_B!EI28/Inv_SY_B!$FG28-1</f>
        <v>7.142121682354019E-2</v>
      </c>
      <c r="EJ28" s="81">
        <f>Inv_SY_B!EJ28/Inv_SY_B!$FG28-1</f>
        <v>8.8180828345937101E-2</v>
      </c>
      <c r="EK28" s="81">
        <f>Inv_SY_B!EK28/Inv_SY_B!$FG28-1</f>
        <v>7.3958919272032464E-2</v>
      </c>
      <c r="EL28" s="81">
        <f>Inv_SY_B!EL28/Inv_SY_B!$FG28-1</f>
        <v>0.21112920725692796</v>
      </c>
      <c r="EM28" s="81">
        <f>Inv_SY_B!EM28/Inv_SY_B!$FG28-1</f>
        <v>8.3231131098187916E-2</v>
      </c>
      <c r="EN28" s="81">
        <f>Inv_SY_B!EN28/Inv_SY_B!$FG28-1</f>
        <v>0.17595579422369911</v>
      </c>
      <c r="EO28" s="81">
        <f>Inv_SY_B!EO28/Inv_SY_B!$FG28-1</f>
        <v>8.7503804744913927E-2</v>
      </c>
      <c r="EP28" s="81">
        <f>Inv_SY_B!EP28/Inv_SY_B!$FG28-1</f>
        <v>0.17196551483170408</v>
      </c>
      <c r="EQ28" s="81">
        <f>Inv_SY_B!EQ28/Inv_SY_B!$FG28-1</f>
        <v>9.4773084958052367E-2</v>
      </c>
      <c r="ER28" s="81">
        <f>Inv_SY_B!ER28/Inv_SY_B!$FG28-1</f>
        <v>9.6044227481911548E-2</v>
      </c>
      <c r="ES28" s="81">
        <f>Inv_SY_B!ES28/Inv_SY_B!$FG28-1</f>
        <v>8.342845593421333E-2</v>
      </c>
      <c r="ET28" s="81">
        <f>Inv_SY_B!ET28/Inv_SY_B!$FG28-1</f>
        <v>8.2170510104550898E-2</v>
      </c>
      <c r="EU28" s="81">
        <f>Inv_SY_B!EU28/Inv_SY_B!$FG28-1</f>
        <v>7.9621730972555316E-2</v>
      </c>
      <c r="EV28" s="81">
        <f>Inv_SY_B!EV28/Inv_SY_B!$FG28-1</f>
        <v>6.3273002891481411E-2</v>
      </c>
      <c r="EW28" s="81">
        <f>Inv_SY_B!EW28/Inv_SY_B!$FG28-1</f>
        <v>9.133468144431478E-2</v>
      </c>
      <c r="EX28" s="81">
        <f>Inv_SY_B!EX28/Inv_SY_B!$FG28-1</f>
        <v>8.7268068368542506E-2</v>
      </c>
      <c r="EY28" s="81">
        <f>Inv_SY_B!EY28/Inv_SY_B!$FG28-1</f>
        <v>6.7965249247235349E-2</v>
      </c>
      <c r="EZ28" s="81">
        <f>Inv_SY_B!EZ28/Inv_SY_B!$FG28-1</f>
        <v>7.2726552587780491E-2</v>
      </c>
      <c r="FA28" s="81">
        <f>Inv_SY_B!FA28/Inv_SY_B!$FG28-1</f>
        <v>8.1385550079759783E-2</v>
      </c>
      <c r="FB28" s="81">
        <f>Inv_SY_B!FB28/Inv_SY_B!$FG28-1</f>
        <v>7.0902325588066084E-2</v>
      </c>
      <c r="FC28" s="81">
        <f>Inv_SY_B!FC28/Inv_SY_B!$FG28-1</f>
        <v>8.1426088457531076E-2</v>
      </c>
      <c r="FD28" s="81">
        <f>Inv_SY_B!FD28/Inv_SY_B!$FG28-1</f>
        <v>9.4673016853792591E-2</v>
      </c>
      <c r="FE28" s="81">
        <f>Inv_SY_B!FE28/Inv_SY_B!$FG28-1</f>
        <v>7.4283226294203919E-2</v>
      </c>
      <c r="FF28" s="81">
        <f>Inv_SY_B!FF28/Inv_SY_B!$FG28-1</f>
        <v>9.598646029358715E-2</v>
      </c>
    </row>
    <row r="29" spans="2:162">
      <c r="B29" s="104">
        <f t="shared" si="0"/>
        <v>45852</v>
      </c>
      <c r="C29" s="81">
        <f>Inv_SY_B!C29/Inv_SY_B!$FG29-1</f>
        <v>1.4934788698539592E-3</v>
      </c>
      <c r="D29" s="81">
        <f>Inv_SY_B!D29/Inv_SY_B!$FG29-1</f>
        <v>1.2068767664510593E-2</v>
      </c>
      <c r="E29" s="81">
        <f>Inv_SY_B!E29/Inv_SY_B!$FG29-1</f>
        <v>1.1354050865218124E-2</v>
      </c>
      <c r="F29" s="81">
        <f>Inv_SY_B!F29/Inv_SY_B!$FG29-1</f>
        <v>1.2761473258027678E-2</v>
      </c>
      <c r="G29" s="81">
        <f>Inv_SY_B!G29/Inv_SY_B!$FG29-1</f>
        <v>2.0625516011593126E-2</v>
      </c>
      <c r="H29" s="81">
        <f>Inv_SY_B!H29/Inv_SY_B!$FG29-1</f>
        <v>1.9662633656990947E-2</v>
      </c>
      <c r="I29" s="81">
        <f>Inv_SY_B!I29/Inv_SY_B!$FG29-1</f>
        <v>2.0814121833628629E-2</v>
      </c>
      <c r="J29" s="81">
        <f>Inv_SY_B!J29/Inv_SY_B!$FG29-1</f>
        <v>-5.6542976031859205E-5</v>
      </c>
      <c r="K29" s="81">
        <f>Inv_SY_B!K29/Inv_SY_B!$FG29-1</f>
        <v>1.4490863484334149E-2</v>
      </c>
      <c r="L29" s="81">
        <f>Inv_SY_B!L29/Inv_SY_B!$FG29-1</f>
        <v>4.6978875027037237E-3</v>
      </c>
      <c r="M29" s="81">
        <f>Inv_SY_B!M29/Inv_SY_B!$FG29-1</f>
        <v>6.0862193534945153E-3</v>
      </c>
      <c r="N29" s="81">
        <f>Inv_SY_B!N29/Inv_SY_B!$FG29-1</f>
        <v>1.2098547531147696E-2</v>
      </c>
      <c r="O29" s="81">
        <f>Inv_SY_B!O29/Inv_SY_B!$FG29-1</f>
        <v>4.724508808107819E-3</v>
      </c>
      <c r="P29" s="81">
        <f>Inv_SY_B!P29/Inv_SY_B!$FG29-1</f>
        <v>1.139375735406789E-2</v>
      </c>
      <c r="Q29" s="81">
        <f>Inv_SY_B!Q29/Inv_SY_B!$FG29-1</f>
        <v>-7.489836953826301E-2</v>
      </c>
      <c r="R29" s="81">
        <f>Inv_SY_B!R29/Inv_SY_B!$FG29-1</f>
        <v>-1</v>
      </c>
      <c r="S29" s="81">
        <f>Inv_SY_B!S29/Inv_SY_B!$FG29-1</f>
        <v>1.8054520858583167E-2</v>
      </c>
      <c r="T29" s="81">
        <f>Inv_SY_B!T29/Inv_SY_B!$FG29-1</f>
        <v>1.9156375924158864E-2</v>
      </c>
      <c r="U29" s="81">
        <f>Inv_SY_B!U29/Inv_SY_B!$FG29-1</f>
        <v>2.9212044225312983E-2</v>
      </c>
      <c r="V29" s="81">
        <f>Inv_SY_B!V29/Inv_SY_B!$FG29-1</f>
        <v>3.1127882312304678E-2</v>
      </c>
      <c r="W29" s="81">
        <f>Inv_SY_B!W29/Inv_SY_B!$FG29-1</f>
        <v>3.4632188547318643E-2</v>
      </c>
      <c r="X29" s="81">
        <f>Inv_SY_B!X29/Inv_SY_B!$FG29-1</f>
        <v>2.3646518038231479E-2</v>
      </c>
      <c r="Y29" s="81">
        <f>Inv_SY_B!Y29/Inv_SY_B!$FG29-1</f>
        <v>4.4569458623382907E-2</v>
      </c>
      <c r="Z29" s="81">
        <f>Inv_SY_B!Z29/Inv_SY_B!$FG29-1</f>
        <v>3.6064416355083395E-2</v>
      </c>
      <c r="AA29" s="81">
        <f>Inv_SY_B!AA29/Inv_SY_B!$FG29-1</f>
        <v>2.252745682748758E-2</v>
      </c>
      <c r="AB29" s="81">
        <f>Inv_SY_B!AB29/Inv_SY_B!$FG29-1</f>
        <v>1.3109175540475526E-2</v>
      </c>
      <c r="AC29" s="81">
        <f>Inv_SY_B!AC29/Inv_SY_B!$FG29-1</f>
        <v>-4.9371926673933419E-3</v>
      </c>
      <c r="AD29" s="81">
        <f>Inv_SY_B!AD29/Inv_SY_B!$FG29-1</f>
        <v>3.7488244050947195E-3</v>
      </c>
      <c r="AE29" s="81">
        <f>Inv_SY_B!AE29/Inv_SY_B!$FG29-1</f>
        <v>4.1571130062951545E-2</v>
      </c>
      <c r="AF29" s="81">
        <f>Inv_SY_B!AF29/Inv_SY_B!$FG29-1</f>
        <v>4.8796314412975939E-2</v>
      </c>
      <c r="AG29" s="81">
        <f>Inv_SY_B!AG29/Inv_SY_B!$FG29-1</f>
        <v>4.9088572233591643E-2</v>
      </c>
      <c r="AH29" s="81">
        <f>Inv_SY_B!AH29/Inv_SY_B!$FG29-1</f>
        <v>3.9067966828393308E-2</v>
      </c>
      <c r="AI29" s="81">
        <f>Inv_SY_B!AI29/Inv_SY_B!$FG29-1</f>
        <v>6.1701878726474479E-2</v>
      </c>
      <c r="AJ29" s="81">
        <f>Inv_SY_B!AJ29/Inv_SY_B!$FG29-1</f>
        <v>6.079855610514695E-2</v>
      </c>
      <c r="AK29" s="81">
        <f>Inv_SY_B!AK29/Inv_SY_B!$FG29-1</f>
        <v>6.2664761081076659E-2</v>
      </c>
      <c r="AL29" s="81">
        <f>Inv_SY_B!AL29/Inv_SY_B!$FG29-1</f>
        <v>5.6430842331693931E-2</v>
      </c>
      <c r="AM29" s="81">
        <f>Inv_SY_B!AM29/Inv_SY_B!$FG29-1</f>
        <v>5.9011764106916109E-2</v>
      </c>
      <c r="AN29" s="81">
        <f>Inv_SY_B!AN29/Inv_SY_B!$FG29-1</f>
        <v>4.4886180698681111E-2</v>
      </c>
      <c r="AO29" s="81">
        <f>Inv_SY_B!AO29/Inv_SY_B!$FG29-1</f>
        <v>5.0703181315143508E-2</v>
      </c>
      <c r="AP29" s="81">
        <f>Inv_SY_B!AP29/Inv_SY_B!$FG29-1</f>
        <v>4.1610395368591568E-2</v>
      </c>
      <c r="AQ29" s="81">
        <f>Inv_SY_B!AQ29/Inv_SY_B!$FG29-1</f>
        <v>3.4040012331695513E-2</v>
      </c>
      <c r="AR29" s="81">
        <f>Inv_SY_B!AR29/Inv_SY_B!$FG29-1</f>
        <v>2.3878261425922753E-2</v>
      </c>
      <c r="AS29" s="81">
        <f>Inv_SY_B!AS29/Inv_SY_B!$FG29-1</f>
        <v>4.9103197188156367E-2</v>
      </c>
      <c r="AT29" s="81">
        <f>Inv_SY_B!AT29/Inv_SY_B!$FG29-1</f>
        <v>2.9456184633261495E-2</v>
      </c>
      <c r="AU29" s="81">
        <f>Inv_SY_B!AU29/Inv_SY_B!$FG29-1</f>
        <v>1.1476294032873424E-2</v>
      </c>
      <c r="AV29" s="81">
        <f>Inv_SY_B!AV29/Inv_SY_B!$FG29-1</f>
        <v>2.6442989084580759E-3</v>
      </c>
      <c r="AW29" s="81">
        <f>Inv_SY_B!AW29/Inv_SY_B!$FG29-1</f>
        <v>4.4508823692670507E-2</v>
      </c>
      <c r="AX29" s="81">
        <f>Inv_SY_B!AX29/Inv_SY_B!$FG29-1</f>
        <v>4.7638835357482145E-2</v>
      </c>
      <c r="AY29" s="81">
        <f>Inv_SY_B!AY29/Inv_SY_B!$FG29-1</f>
        <v>-9.0252661598979933E-2</v>
      </c>
      <c r="AZ29" s="81">
        <f>Inv_SY_B!AZ29/Inv_SY_B!$FG29-1</f>
        <v>-8.0810372233736216E-2</v>
      </c>
      <c r="BA29" s="81">
        <f>Inv_SY_B!BA29/Inv_SY_B!$FG29-1</f>
        <v>-0.78950536010089045</v>
      </c>
      <c r="BB29" s="81">
        <f>Inv_SY_B!BB29/Inv_SY_B!$FG29-1</f>
        <v>-0.78338090109835157</v>
      </c>
      <c r="BC29" s="81">
        <f>Inv_SY_B!BC29/Inv_SY_B!$FG29-1</f>
        <v>-7.0145370001967744E-2</v>
      </c>
      <c r="BD29" s="81">
        <f>Inv_SY_B!BD29/Inv_SY_B!$FG29-1</f>
        <v>-6.4249108092720775E-2</v>
      </c>
      <c r="BE29" s="81">
        <f>Inv_SY_B!BE29/Inv_SY_B!$FG29-1</f>
        <v>-6.8521528400758758E-2</v>
      </c>
      <c r="BF29" s="81">
        <f>Inv_SY_B!BF29/Inv_SY_B!$FG29-1</f>
        <v>-7.3057572311015284E-2</v>
      </c>
      <c r="BG29" s="81">
        <f>Inv_SY_B!BG29/Inv_SY_B!$FG29-1</f>
        <v>3.6212121617642534E-3</v>
      </c>
      <c r="BH29" s="81">
        <f>Inv_SY_B!BH29/Inv_SY_B!$FG29-1</f>
        <v>1.2259038489355056E-3</v>
      </c>
      <c r="BI29" s="81">
        <f>Inv_SY_B!BI29/Inv_SY_B!$FG29-1</f>
        <v>-8.6527016816375646E-3</v>
      </c>
      <c r="BJ29" s="81">
        <f>Inv_SY_B!BJ29/Inv_SY_B!$FG29-1</f>
        <v>-3.7673608672117442E-4</v>
      </c>
      <c r="BK29" s="81">
        <f>Inv_SY_B!BK29/Inv_SY_B!$FG29-1</f>
        <v>-6.7035584788726066E-3</v>
      </c>
      <c r="BL29" s="81">
        <f>Inv_SY_B!BL29/Inv_SY_B!$FG29-1</f>
        <v>-8.7158066371307852E-3</v>
      </c>
      <c r="BM29" s="81">
        <f>Inv_SY_B!BM29/Inv_SY_B!$FG29-1</f>
        <v>-9.9684400036680332E-3</v>
      </c>
      <c r="BN29" s="81">
        <f>Inv_SY_B!BN29/Inv_SY_B!$FG29-1</f>
        <v>-1.1523661631794746E-2</v>
      </c>
      <c r="BO29" s="81">
        <f>Inv_SY_B!BO29/Inv_SY_B!$FG29-1</f>
        <v>-2.6134343597644549E-2</v>
      </c>
      <c r="BP29" s="81">
        <f>Inv_SY_B!BP29/Inv_SY_B!$FG29-1</f>
        <v>7.4607723895627753E-3</v>
      </c>
      <c r="BQ29" s="81">
        <f>Inv_SY_B!BQ29/Inv_SY_B!$FG29-1</f>
        <v>1.2161192686211963E-2</v>
      </c>
      <c r="BR29" s="81">
        <f>Inv_SY_B!BR29/Inv_SY_B!$FG29-1</f>
        <v>-9.1250257645780763E-4</v>
      </c>
      <c r="BS29" s="81">
        <f>Inv_SY_B!BS29/Inv_SY_B!$FG29-1</f>
        <v>-6.0763681624810273E-3</v>
      </c>
      <c r="BT29" s="81">
        <f>Inv_SY_B!BT29/Inv_SY_B!$FG29-1</f>
        <v>1.7118435830458356E-2</v>
      </c>
      <c r="BU29" s="81">
        <f>Inv_SY_B!BU29/Inv_SY_B!$FG29-1</f>
        <v>-2.5534761331066469E-2</v>
      </c>
      <c r="BV29" s="81">
        <f>Inv_SY_B!BV29/Inv_SY_B!$FG29-1</f>
        <v>9.1713294148592084E-3</v>
      </c>
      <c r="BW29" s="81">
        <f>Inv_SY_B!BW29/Inv_SY_B!$FG29-1</f>
        <v>4.1109614902647973E-3</v>
      </c>
      <c r="BX29" s="81">
        <f>Inv_SY_B!BX29/Inv_SY_B!$FG29-1</f>
        <v>9.0941750297108825E-3</v>
      </c>
      <c r="BY29" s="81">
        <f>Inv_SY_B!BY29/Inv_SY_B!$FG29-1</f>
        <v>1.5810986064508592E-2</v>
      </c>
      <c r="BZ29" s="81">
        <f>Inv_SY_B!BZ29/Inv_SY_B!$FG29-1</f>
        <v>1.4094496657413025E-3</v>
      </c>
      <c r="CA29" s="81">
        <f>Inv_SY_B!CA29/Inv_SY_B!$FG29-1</f>
        <v>1.48605100816388E-2</v>
      </c>
      <c r="CB29" s="81">
        <f>Inv_SY_B!CB29/Inv_SY_B!$FG29-1</f>
        <v>1.3113078534034983E-3</v>
      </c>
      <c r="CC29" s="81">
        <f>Inv_SY_B!CC29/Inv_SY_B!$FG29-1</f>
        <v>8.164768957265256E-3</v>
      </c>
      <c r="CD29" s="81">
        <f>Inv_SY_B!CD29/Inv_SY_B!$FG29-1</f>
        <v>-3.4278780074684656E-3</v>
      </c>
      <c r="CE29" s="81">
        <f>Inv_SY_B!CE29/Inv_SY_B!$FG29-1</f>
        <v>1.7108177656787404E-2</v>
      </c>
      <c r="CF29" s="81">
        <f>Inv_SY_B!CF29/Inv_SY_B!$FG29-1</f>
        <v>7.4707478908848657E-3</v>
      </c>
      <c r="CG29" s="81">
        <f>Inv_SY_B!CG29/Inv_SY_B!$FG29-1</f>
        <v>-9.7207341263246816E-3</v>
      </c>
      <c r="CH29" s="81">
        <f>Inv_SY_B!CH29/Inv_SY_B!$FG29-1</f>
        <v>-6.3978574118519482E-3</v>
      </c>
      <c r="CI29" s="81">
        <f>Inv_SY_B!CI29/Inv_SY_B!$FG29-1</f>
        <v>3.7315191897577815E-3</v>
      </c>
      <c r="CJ29" s="81">
        <f>Inv_SY_B!CJ29/Inv_SY_B!$FG29-1</f>
        <v>-1.282710581467994E-2</v>
      </c>
      <c r="CK29" s="81">
        <f>Inv_SY_B!CK29/Inv_SY_B!$FG29-1</f>
        <v>5.9267683553594352E-3</v>
      </c>
      <c r="CL29" s="81">
        <f>Inv_SY_B!CL29/Inv_SY_B!$FG29-1</f>
        <v>-7.4648688608359715E-3</v>
      </c>
      <c r="CM29" s="81">
        <f>Inv_SY_B!CM29/Inv_SY_B!$FG29-1</f>
        <v>9.2280874573231753E-3</v>
      </c>
      <c r="CN29" s="81">
        <f>Inv_SY_B!CN29/Inv_SY_B!$FG29-1</f>
        <v>-3.1931950174359791E-3</v>
      </c>
      <c r="CO29" s="81">
        <f>Inv_SY_B!CO29/Inv_SY_B!$FG29-1</f>
        <v>1.4550583324418831E-2</v>
      </c>
      <c r="CP29" s="81">
        <f>Inv_SY_B!CP29/Inv_SY_B!$FG29-1</f>
        <v>9.6674557099438729E-3</v>
      </c>
      <c r="CQ29" s="81">
        <f>Inv_SY_B!CQ29/Inv_SY_B!$FG29-1</f>
        <v>1.1906892818004167E-2</v>
      </c>
      <c r="CR29" s="81">
        <f>Inv_SY_B!CR29/Inv_SY_B!$FG29-1</f>
        <v>3.2634208457167357E-2</v>
      </c>
      <c r="CS29" s="81">
        <f>Inv_SY_B!CS29/Inv_SY_B!$FG29-1</f>
        <v>2.3450958410531575E-2</v>
      </c>
      <c r="CT29" s="81">
        <f>Inv_SY_B!CT29/Inv_SY_B!$FG29-1</f>
        <v>1.380930582732609E-2</v>
      </c>
      <c r="CU29" s="81">
        <f>Inv_SY_B!CU29/Inv_SY_B!$FG29-1</f>
        <v>2.7298191462763688E-2</v>
      </c>
      <c r="CV29" s="81">
        <f>Inv_SY_B!CV29/Inv_SY_B!$FG29-1</f>
        <v>1.6431518126857059E-2</v>
      </c>
      <c r="CW29" s="81">
        <f>Inv_SY_B!CW29/Inv_SY_B!$FG29-1</f>
        <v>7.0809523790065221E-3</v>
      </c>
      <c r="CX29" s="81">
        <f>Inv_SY_B!CX29/Inv_SY_B!$FG29-1</f>
        <v>2.7823998237081815E-2</v>
      </c>
      <c r="CY29" s="81">
        <f>Inv_SY_B!CY29/Inv_SY_B!$FG29-1</f>
        <v>-1.7499227629822145E-2</v>
      </c>
      <c r="CZ29" s="81">
        <f>Inv_SY_B!CZ29/Inv_SY_B!$FG29-1</f>
        <v>2.7620942775454793E-2</v>
      </c>
      <c r="DA29" s="81">
        <f>Inv_SY_B!DA29/Inv_SY_B!$FG29-1</f>
        <v>7.723034268813711E-3</v>
      </c>
      <c r="DB29" s="81">
        <f>Inv_SY_B!DB29/Inv_SY_B!$FG29-1</f>
        <v>1.846073685193117E-2</v>
      </c>
      <c r="DC29" s="81">
        <f>Inv_SY_B!DC29/Inv_SY_B!$FG29-1</f>
        <v>-6.9275366307636199E-3</v>
      </c>
      <c r="DD29" s="81">
        <f>Inv_SY_B!DD29/Inv_SY_B!$FG29-1</f>
        <v>1.1977963480994003E-2</v>
      </c>
      <c r="DE29" s="81">
        <f>Inv_SY_B!DE29/Inv_SY_B!$FG29-1</f>
        <v>-2.7186138598137566E-3</v>
      </c>
      <c r="DF29" s="81">
        <f>Inv_SY_B!DF29/Inv_SY_B!$FG29-1</f>
        <v>6.5856660475440698E-3</v>
      </c>
      <c r="DG29" s="81">
        <f>Inv_SY_B!DG29/Inv_SY_B!$FG29-1</f>
        <v>1.3809862417601959E-3</v>
      </c>
      <c r="DH29" s="81">
        <f>Inv_SY_B!DH29/Inv_SY_B!$FG29-1</f>
        <v>-2.2724120741662412E-2</v>
      </c>
      <c r="DI29" s="81">
        <f>Inv_SY_B!DI29/Inv_SY_B!$FG29-1</f>
        <v>1.8949405851030665E-2</v>
      </c>
      <c r="DJ29" s="81">
        <f>Inv_SY_B!DJ29/Inv_SY_B!$FG29-1</f>
        <v>1.8315792657283003E-2</v>
      </c>
      <c r="DK29" s="81">
        <f>Inv_SY_B!DK29/Inv_SY_B!$FG29-1</f>
        <v>1.6920476551558705E-2</v>
      </c>
      <c r="DL29" s="81">
        <f>Inv_SY_B!DL29/Inv_SY_B!$FG29-1</f>
        <v>8.9914438742242364E-3</v>
      </c>
      <c r="DM29" s="81">
        <f>Inv_SY_B!DM29/Inv_SY_B!$FG29-1</f>
        <v>-4.129851199657808E-3</v>
      </c>
      <c r="DN29" s="81">
        <f>Inv_SY_B!DN29/Inv_SY_B!$FG29-1</f>
        <v>2.0514001618513689E-2</v>
      </c>
      <c r="DO29" s="81">
        <f>Inv_SY_B!DO29/Inv_SY_B!$FG29-1</f>
        <v>-5.7398037892500975E-3</v>
      </c>
      <c r="DP29" s="81">
        <f>Inv_SY_B!DP29/Inv_SY_B!$FG29-1</f>
        <v>9.5908520711895928E-3</v>
      </c>
      <c r="DQ29" s="81">
        <f>Inv_SY_B!DQ29/Inv_SY_B!$FG29-1</f>
        <v>-9.0881258745398874E-3</v>
      </c>
      <c r="DR29" s="81">
        <f>Inv_SY_B!DR29/Inv_SY_B!$FG29-1</f>
        <v>3.4693658626090418E-3</v>
      </c>
      <c r="DS29" s="81">
        <f>Inv_SY_B!DS29/Inv_SY_B!$FG29-1</f>
        <v>1.1196028826407689E-2</v>
      </c>
      <c r="DT29" s="81">
        <f>Inv_SY_B!DT29/Inv_SY_B!$FG29-1</f>
        <v>2.7180395545843172E-2</v>
      </c>
      <c r="DU29" s="81">
        <f>Inv_SY_B!DU29/Inv_SY_B!$FG29-1</f>
        <v>2.6107456633452486E-2</v>
      </c>
      <c r="DV29" s="81">
        <f>Inv_SY_B!DV29/Inv_SY_B!$FG29-1</f>
        <v>2.4666714818702529E-2</v>
      </c>
      <c r="DW29" s="81">
        <f>Inv_SY_B!DW29/Inv_SY_B!$FG29-1</f>
        <v>3.7090856130778338E-2</v>
      </c>
      <c r="DX29" s="81">
        <f>Inv_SY_B!DX29/Inv_SY_B!$FG29-1</f>
        <v>2.6527776217989629E-2</v>
      </c>
      <c r="DY29" s="81">
        <f>Inv_SY_B!DY29/Inv_SY_B!$FG29-1</f>
        <v>1.9504455089997874E-2</v>
      </c>
      <c r="DZ29" s="81">
        <f>Inv_SY_B!DZ29/Inv_SY_B!$FG29-1</f>
        <v>3.3333128706417359E-2</v>
      </c>
      <c r="EA29" s="81">
        <f>Inv_SY_B!EA29/Inv_SY_B!$FG29-1</f>
        <v>2.4072147816166289E-2</v>
      </c>
      <c r="EB29" s="81">
        <f>Inv_SY_B!EB29/Inv_SY_B!$FG29-1</f>
        <v>4.3494669899017513E-2</v>
      </c>
      <c r="EC29" s="81">
        <f>Inv_SY_B!EC29/Inv_SY_B!$FG29-1</f>
        <v>3.6330448462533749E-2</v>
      </c>
      <c r="ED29" s="81">
        <f>Inv_SY_B!ED29/Inv_SY_B!$FG29-1</f>
        <v>3.3285704376228686E-2</v>
      </c>
      <c r="EE29" s="81">
        <f>Inv_SY_B!EE29/Inv_SY_B!$FG29-1</f>
        <v>4.0800548439763773E-2</v>
      </c>
      <c r="EF29" s="81">
        <f>Inv_SY_B!EF29/Inv_SY_B!$FG29-1</f>
        <v>4.098328987337907E-2</v>
      </c>
      <c r="EG29" s="81">
        <f>Inv_SY_B!EG29/Inv_SY_B!$FG29-1</f>
        <v>9.029011043041324E-3</v>
      </c>
      <c r="EH29" s="81">
        <f>Inv_SY_B!EH29/Inv_SY_B!$FG29-1</f>
        <v>2.8067638299318354E-3</v>
      </c>
      <c r="EI29" s="81">
        <f>Inv_SY_B!EI29/Inv_SY_B!$FG29-1</f>
        <v>3.4846332951678383E-2</v>
      </c>
      <c r="EJ29" s="81">
        <f>Inv_SY_B!EJ29/Inv_SY_B!$FG29-1</f>
        <v>6.9097692595136984E-2</v>
      </c>
      <c r="EK29" s="81">
        <f>Inv_SY_B!EK29/Inv_SY_B!$FG29-1</f>
        <v>5.0684362093865731E-2</v>
      </c>
      <c r="EL29" s="81">
        <f>Inv_SY_B!EL29/Inv_SY_B!$FG29-1</f>
        <v>0.19100086000584948</v>
      </c>
      <c r="EM29" s="81">
        <f>Inv_SY_B!EM29/Inv_SY_B!$FG29-1</f>
        <v>6.5688046696862568E-2</v>
      </c>
      <c r="EN29" s="81">
        <f>Inv_SY_B!EN29/Inv_SY_B!$FG29-1</f>
        <v>0.15180216515207157</v>
      </c>
      <c r="EO29" s="81">
        <f>Inv_SY_B!EO29/Inv_SY_B!$FG29-1</f>
        <v>6.876672555159713E-2</v>
      </c>
      <c r="EP29" s="81">
        <f>Inv_SY_B!EP29/Inv_SY_B!$FG29-1</f>
        <v>0.15866318570372684</v>
      </c>
      <c r="EQ29" s="81">
        <f>Inv_SY_B!EQ29/Inv_SY_B!$FG29-1</f>
        <v>2.9520309004234635E-2</v>
      </c>
      <c r="ER29" s="81">
        <f>Inv_SY_B!ER29/Inv_SY_B!$FG29-1</f>
        <v>3.1017965651765511E-2</v>
      </c>
      <c r="ES29" s="81">
        <f>Inv_SY_B!ES29/Inv_SY_B!$FG29-1</f>
        <v>4.3180330787582211E-3</v>
      </c>
      <c r="ET29" s="81">
        <f>Inv_SY_B!ET29/Inv_SY_B!$FG29-1</f>
        <v>1.5722253979202794E-2</v>
      </c>
      <c r="EU29" s="81">
        <f>Inv_SY_B!EU29/Inv_SY_B!$FG29-1</f>
        <v>2.0985740548638887E-2</v>
      </c>
      <c r="EV29" s="81">
        <f>Inv_SY_B!EV29/Inv_SY_B!$FG29-1</f>
        <v>1.9551269364045831E-2</v>
      </c>
      <c r="EW29" s="81">
        <f>Inv_SY_B!EW29/Inv_SY_B!$FG29-1</f>
        <v>5.7637082033971998E-2</v>
      </c>
      <c r="EX29" s="81">
        <f>Inv_SY_B!EX29/Inv_SY_B!$FG29-1</f>
        <v>4.0415845225173719E-2</v>
      </c>
      <c r="EY29" s="81">
        <f>Inv_SY_B!EY29/Inv_SY_B!$FG29-1</f>
        <v>1.465222315798953E-2</v>
      </c>
      <c r="EZ29" s="81">
        <f>Inv_SY_B!EZ29/Inv_SY_B!$FG29-1</f>
        <v>1.3992774534364649E-2</v>
      </c>
      <c r="FA29" s="81">
        <f>Inv_SY_B!FA29/Inv_SY_B!$FG29-1</f>
        <v>2.3664923650250191E-2</v>
      </c>
      <c r="FB29" s="81">
        <f>Inv_SY_B!FB29/Inv_SY_B!$FG29-1</f>
        <v>1.5676888034085845E-2</v>
      </c>
      <c r="FC29" s="81">
        <f>Inv_SY_B!FC29/Inv_SY_B!$FG29-1</f>
        <v>1.9348807631838882E-2</v>
      </c>
      <c r="FD29" s="81">
        <f>Inv_SY_B!FD29/Inv_SY_B!$FG29-1</f>
        <v>3.3307163646605131E-2</v>
      </c>
      <c r="FE29" s="81">
        <f>Inv_SY_B!FE29/Inv_SY_B!$FG29-1</f>
        <v>-1.0413067002579601E-2</v>
      </c>
      <c r="FF29" s="81">
        <f>Inv_SY_B!FF29/Inv_SY_B!$FG29-1</f>
        <v>2.126644233404873E-2</v>
      </c>
    </row>
    <row r="30" spans="2:162">
      <c r="B30" s="104">
        <f t="shared" si="0"/>
        <v>45853</v>
      </c>
      <c r="C30" s="81">
        <f>Inv_SY_B!C30/Inv_SY_B!$FG30-1</f>
        <v>3.4541339590289599E-2</v>
      </c>
      <c r="D30" s="81">
        <f>Inv_SY_B!D30/Inv_SY_B!$FG30-1</f>
        <v>5.1910980944564589E-2</v>
      </c>
      <c r="E30" s="81">
        <f>Inv_SY_B!E30/Inv_SY_B!$FG30-1</f>
        <v>4.0746968409409057E-2</v>
      </c>
      <c r="F30" s="81">
        <f>Inv_SY_B!F30/Inv_SY_B!$FG30-1</f>
        <v>3.8307295593666524E-2</v>
      </c>
      <c r="G30" s="81">
        <f>Inv_SY_B!G30/Inv_SY_B!$FG30-1</f>
        <v>5.1285295694395661E-2</v>
      </c>
      <c r="H30" s="81">
        <f>Inv_SY_B!H30/Inv_SY_B!$FG30-1</f>
        <v>5.5933243267078492E-2</v>
      </c>
      <c r="I30" s="81">
        <f>Inv_SY_B!I30/Inv_SY_B!$FG30-1</f>
        <v>6.6337495141314484E-2</v>
      </c>
      <c r="J30" s="81">
        <f>Inv_SY_B!J30/Inv_SY_B!$FG30-1</f>
        <v>4.091795399206033E-2</v>
      </c>
      <c r="K30" s="81">
        <f>Inv_SY_B!K30/Inv_SY_B!$FG30-1</f>
        <v>5.5611462281277335E-2</v>
      </c>
      <c r="L30" s="81">
        <f>Inv_SY_B!L30/Inv_SY_B!$FG30-1</f>
        <v>4.4194995558074712E-2</v>
      </c>
      <c r="M30" s="81">
        <f>Inv_SY_B!M30/Inv_SY_B!$FG30-1</f>
        <v>3.7619572131107004E-2</v>
      </c>
      <c r="N30" s="81">
        <f>Inv_SY_B!N30/Inv_SY_B!$FG30-1</f>
        <v>4.9667452404673407E-2</v>
      </c>
      <c r="O30" s="81">
        <f>Inv_SY_B!O30/Inv_SY_B!$FG30-1</f>
        <v>3.9074595361838105E-2</v>
      </c>
      <c r="P30" s="81">
        <f>Inv_SY_B!P30/Inv_SY_B!$FG30-1</f>
        <v>4.7817211736316922E-2</v>
      </c>
      <c r="Q30" s="81">
        <f>Inv_SY_B!Q30/Inv_SY_B!$FG30-1</f>
        <v>5.2402590783982905E-2</v>
      </c>
      <c r="R30" s="81">
        <f>Inv_SY_B!R30/Inv_SY_B!$FG30-1</f>
        <v>5.3260673412785842E-2</v>
      </c>
      <c r="S30" s="81">
        <f>Inv_SY_B!S30/Inv_SY_B!$FG30-1</f>
        <v>4.519827204632465E-2</v>
      </c>
      <c r="T30" s="81">
        <f>Inv_SY_B!T30/Inv_SY_B!$FG30-1</f>
        <v>4.1739126448962605E-2</v>
      </c>
      <c r="U30" s="81">
        <f>Inv_SY_B!U30/Inv_SY_B!$FG30-1</f>
        <v>4.6485395989529055E-2</v>
      </c>
      <c r="V30" s="81">
        <f>Inv_SY_B!V30/Inv_SY_B!$FG30-1</f>
        <v>5.1830535698114355E-2</v>
      </c>
      <c r="W30" s="81">
        <f>Inv_SY_B!W30/Inv_SY_B!$FG30-1</f>
        <v>4.0358398312937638E-2</v>
      </c>
      <c r="X30" s="81">
        <f>Inv_SY_B!X30/Inv_SY_B!$FG30-1</f>
        <v>3.5865431676663562E-2</v>
      </c>
      <c r="Y30" s="81">
        <f>Inv_SY_B!Y30/Inv_SY_B!$FG30-1</f>
        <v>4.7272164077069689E-2</v>
      </c>
      <c r="Z30" s="81">
        <f>Inv_SY_B!Z30/Inv_SY_B!$FG30-1</f>
        <v>4.0956059012474677E-2</v>
      </c>
      <c r="AA30" s="81">
        <f>Inv_SY_B!AA30/Inv_SY_B!$FG30-1</f>
        <v>3.0753590631417804E-2</v>
      </c>
      <c r="AB30" s="81">
        <f>Inv_SY_B!AB30/Inv_SY_B!$FG30-1</f>
        <v>1.7403155295227624E-2</v>
      </c>
      <c r="AC30" s="81">
        <f>Inv_SY_B!AC30/Inv_SY_B!$FG30-1</f>
        <v>1.1640240833243221E-2</v>
      </c>
      <c r="AD30" s="81">
        <f>Inv_SY_B!AD30/Inv_SY_B!$FG30-1</f>
        <v>1.6428370407489679E-2</v>
      </c>
      <c r="AE30" s="81">
        <f>Inv_SY_B!AE30/Inv_SY_B!$FG30-1</f>
        <v>5.2420964081011823E-2</v>
      </c>
      <c r="AF30" s="81">
        <f>Inv_SY_B!AF30/Inv_SY_B!$FG30-1</f>
        <v>5.2411462106994211E-2</v>
      </c>
      <c r="AG30" s="81">
        <f>Inv_SY_B!AG30/Inv_SY_B!$FG30-1</f>
        <v>3.742087992853893E-2</v>
      </c>
      <c r="AH30" s="81">
        <f>Inv_SY_B!AH30/Inv_SY_B!$FG30-1</f>
        <v>4.1663845588704174E-2</v>
      </c>
      <c r="AI30" s="81">
        <f>Inv_SY_B!AI30/Inv_SY_B!$FG30-1</f>
        <v>4.3356969738684636E-2</v>
      </c>
      <c r="AJ30" s="81">
        <f>Inv_SY_B!AJ30/Inv_SY_B!$FG30-1</f>
        <v>4.3178202524350784E-2</v>
      </c>
      <c r="AK30" s="81">
        <f>Inv_SY_B!AK30/Inv_SY_B!$FG30-1</f>
        <v>5.8677320007104683E-2</v>
      </c>
      <c r="AL30" s="81">
        <f>Inv_SY_B!AL30/Inv_SY_B!$FG30-1</f>
        <v>4.4116730399603954E-2</v>
      </c>
      <c r="AM30" s="81">
        <f>Inv_SY_B!AM30/Inv_SY_B!$FG30-1</f>
        <v>5.4154509484455771E-2</v>
      </c>
      <c r="AN30" s="81">
        <f>Inv_SY_B!AN30/Inv_SY_B!$FG30-1</f>
        <v>3.514261624003967E-2</v>
      </c>
      <c r="AO30" s="81">
        <f>Inv_SY_B!AO30/Inv_SY_B!$FG30-1</f>
        <v>4.139053038101137E-2</v>
      </c>
      <c r="AP30" s="81">
        <f>Inv_SY_B!AP30/Inv_SY_B!$FG30-1</f>
        <v>3.3158300160933019E-2</v>
      </c>
      <c r="AQ30" s="81">
        <f>Inv_SY_B!AQ30/Inv_SY_B!$FG30-1</f>
        <v>2.7138815434725849E-2</v>
      </c>
      <c r="AR30" s="81">
        <f>Inv_SY_B!AR30/Inv_SY_B!$FG30-1</f>
        <v>1.6399152661782379E-2</v>
      </c>
      <c r="AS30" s="81">
        <f>Inv_SY_B!AS30/Inv_SY_B!$FG30-1</f>
        <v>3.9069485063779386E-2</v>
      </c>
      <c r="AT30" s="81">
        <f>Inv_SY_B!AT30/Inv_SY_B!$FG30-1</f>
        <v>3.2880280535635853E-2</v>
      </c>
      <c r="AU30" s="81">
        <f>Inv_SY_B!AU30/Inv_SY_B!$FG30-1</f>
        <v>6.0115560731408557E-3</v>
      </c>
      <c r="AV30" s="81">
        <f>Inv_SY_B!AV30/Inv_SY_B!$FG30-1</f>
        <v>-8.9041642936523724E-3</v>
      </c>
      <c r="AW30" s="81">
        <f>Inv_SY_B!AW30/Inv_SY_B!$FG30-1</f>
        <v>4.037955165092022E-2</v>
      </c>
      <c r="AX30" s="81">
        <f>Inv_SY_B!AX30/Inv_SY_B!$FG30-1</f>
        <v>4.4954242268346656E-2</v>
      </c>
      <c r="AY30" s="81">
        <f>Inv_SY_B!AY30/Inv_SY_B!$FG30-1</f>
        <v>5.5298163875681094E-3</v>
      </c>
      <c r="AZ30" s="81">
        <f>Inv_SY_B!AZ30/Inv_SY_B!$FG30-1</f>
        <v>1.7348597639001984E-2</v>
      </c>
      <c r="BA30" s="81">
        <f>Inv_SY_B!BA30/Inv_SY_B!$FG30-1</f>
        <v>2.9714617275175659E-2</v>
      </c>
      <c r="BB30" s="81">
        <f>Inv_SY_B!BB30/Inv_SY_B!$FG30-1</f>
        <v>4.2266419900304664E-2</v>
      </c>
      <c r="BC30" s="81">
        <f>Inv_SY_B!BC30/Inv_SY_B!$FG30-1</f>
        <v>2.6011514252113122E-2</v>
      </c>
      <c r="BD30" s="81">
        <f>Inv_SY_B!BD30/Inv_SY_B!$FG30-1</f>
        <v>3.1673553073998884E-2</v>
      </c>
      <c r="BE30" s="81">
        <f>Inv_SY_B!BE30/Inv_SY_B!$FG30-1</f>
        <v>2.7263608633776526E-2</v>
      </c>
      <c r="BF30" s="81">
        <f>Inv_SY_B!BF30/Inv_SY_B!$FG30-1</f>
        <v>2.2359834438962389E-2</v>
      </c>
      <c r="BG30" s="81">
        <f>Inv_SY_B!BG30/Inv_SY_B!$FG30-1</f>
        <v>2.2406090673082524E-2</v>
      </c>
      <c r="BH30" s="81">
        <f>Inv_SY_B!BH30/Inv_SY_B!$FG30-1</f>
        <v>2.6767097780943327E-2</v>
      </c>
      <c r="BI30" s="81">
        <f>Inv_SY_B!BI30/Inv_SY_B!$FG30-1</f>
        <v>1.7472009148409295E-2</v>
      </c>
      <c r="BJ30" s="81">
        <f>Inv_SY_B!BJ30/Inv_SY_B!$FG30-1</f>
        <v>2.9344806026377457E-2</v>
      </c>
      <c r="BK30" s="81">
        <f>Inv_SY_B!BK30/Inv_SY_B!$FG30-1</f>
        <v>2.4725806598458799E-2</v>
      </c>
      <c r="BL30" s="81">
        <f>Inv_SY_B!BL30/Inv_SY_B!$FG30-1</f>
        <v>1.5104407649045859E-2</v>
      </c>
      <c r="BM30" s="81">
        <f>Inv_SY_B!BM30/Inv_SY_B!$FG30-1</f>
        <v>2.1354875607365154E-2</v>
      </c>
      <c r="BN30" s="81">
        <f>Inv_SY_B!BN30/Inv_SY_B!$FG30-1</f>
        <v>1.9432430541912016E-2</v>
      </c>
      <c r="BO30" s="81">
        <f>Inv_SY_B!BO30/Inv_SY_B!$FG30-1</f>
        <v>8.5487968989332863E-3</v>
      </c>
      <c r="BP30" s="81">
        <f>Inv_SY_B!BP30/Inv_SY_B!$FG30-1</f>
        <v>1.0849241284593747E-2</v>
      </c>
      <c r="BQ30" s="81">
        <f>Inv_SY_B!BQ30/Inv_SY_B!$FG30-1</f>
        <v>2.1812157659194753E-2</v>
      </c>
      <c r="BR30" s="81">
        <f>Inv_SY_B!BR30/Inv_SY_B!$FG30-1</f>
        <v>5.2454022216454899E-3</v>
      </c>
      <c r="BS30" s="81">
        <f>Inv_SY_B!BS30/Inv_SY_B!$FG30-1</f>
        <v>1.3661990765718723E-2</v>
      </c>
      <c r="BT30" s="81">
        <f>Inv_SY_B!BT30/Inv_SY_B!$FG30-1</f>
        <v>1.7879111709890427E-2</v>
      </c>
      <c r="BU30" s="81">
        <f>Inv_SY_B!BU30/Inv_SY_B!$FG30-1</f>
        <v>1.2960004981714235E-2</v>
      </c>
      <c r="BV30" s="81">
        <f>Inv_SY_B!BV30/Inv_SY_B!$FG30-1</f>
        <v>9.7139865255253532E-3</v>
      </c>
      <c r="BW30" s="81">
        <f>Inv_SY_B!BW30/Inv_SY_B!$FG30-1</f>
        <v>2.0973177069989468E-2</v>
      </c>
      <c r="BX30" s="81">
        <f>Inv_SY_B!BX30/Inv_SY_B!$FG30-1</f>
        <v>1.8386738951222004E-2</v>
      </c>
      <c r="BY30" s="81">
        <f>Inv_SY_B!BY30/Inv_SY_B!$FG30-1</f>
        <v>3.0758988762836337E-2</v>
      </c>
      <c r="BZ30" s="81">
        <f>Inv_SY_B!BZ30/Inv_SY_B!$FG30-1</f>
        <v>1.8536204630738462E-2</v>
      </c>
      <c r="CA30" s="81">
        <f>Inv_SY_B!CA30/Inv_SY_B!$FG30-1</f>
        <v>3.1072886897106855E-2</v>
      </c>
      <c r="CB30" s="81">
        <f>Inv_SY_B!CB30/Inv_SY_B!$FG30-1</f>
        <v>2.6561231304465194E-2</v>
      </c>
      <c r="CC30" s="81">
        <f>Inv_SY_B!CC30/Inv_SY_B!$FG30-1</f>
        <v>3.1762851798566416E-2</v>
      </c>
      <c r="CD30" s="81">
        <f>Inv_SY_B!CD30/Inv_SY_B!$FG30-1</f>
        <v>2.2288844379114048E-2</v>
      </c>
      <c r="CE30" s="81">
        <f>Inv_SY_B!CE30/Inv_SY_B!$FG30-1</f>
        <v>8.0048613181566974E-3</v>
      </c>
      <c r="CF30" s="81">
        <f>Inv_SY_B!CF30/Inv_SY_B!$FG30-1</f>
        <v>1.1747939703698584E-2</v>
      </c>
      <c r="CG30" s="81">
        <f>Inv_SY_B!CG30/Inv_SY_B!$FG30-1</f>
        <v>-1.4715080433737704E-2</v>
      </c>
      <c r="CH30" s="81">
        <f>Inv_SY_B!CH30/Inv_SY_B!$FG30-1</f>
        <v>6.9744391984638554E-4</v>
      </c>
      <c r="CI30" s="81">
        <f>Inv_SY_B!CI30/Inv_SY_B!$FG30-1</f>
        <v>3.6635164312392998E-3</v>
      </c>
      <c r="CJ30" s="81">
        <f>Inv_SY_B!CJ30/Inv_SY_B!$FG30-1</f>
        <v>-6.7881073955012861E-3</v>
      </c>
      <c r="CK30" s="81">
        <f>Inv_SY_B!CK30/Inv_SY_B!$FG30-1</f>
        <v>6.8225376042727603E-3</v>
      </c>
      <c r="CL30" s="81">
        <f>Inv_SY_B!CL30/Inv_SY_B!$FG30-1</f>
        <v>-3.939354740521317E-3</v>
      </c>
      <c r="CM30" s="81">
        <f>Inv_SY_B!CM30/Inv_SY_B!$FG30-1</f>
        <v>2.097132416446823E-2</v>
      </c>
      <c r="CN30" s="81">
        <f>Inv_SY_B!CN30/Inv_SY_B!$FG30-1</f>
        <v>1.2597882461802268E-3</v>
      </c>
      <c r="CO30" s="81">
        <f>Inv_SY_B!CO30/Inv_SY_B!$FG30-1</f>
        <v>1.8514670299032199E-2</v>
      </c>
      <c r="CP30" s="81">
        <f>Inv_SY_B!CP30/Inv_SY_B!$FG30-1</f>
        <v>2.1647274392536442E-2</v>
      </c>
      <c r="CQ30" s="81">
        <f>Inv_SY_B!CQ30/Inv_SY_B!$FG30-1</f>
        <v>2.097132416446823E-2</v>
      </c>
      <c r="CR30" s="81">
        <f>Inv_SY_B!CR30/Inv_SY_B!$FG30-1</f>
        <v>3.2049035629802214E-2</v>
      </c>
      <c r="CS30" s="81">
        <f>Inv_SY_B!CS30/Inv_SY_B!$FG30-1</f>
        <v>2.2036744839181832E-2</v>
      </c>
      <c r="CT30" s="81">
        <f>Inv_SY_B!CT30/Inv_SY_B!$FG30-1</f>
        <v>1.9629045237829379E-2</v>
      </c>
      <c r="CU30" s="81">
        <f>Inv_SY_B!CU30/Inv_SY_B!$FG30-1</f>
        <v>1.8862643565075166E-2</v>
      </c>
      <c r="CV30" s="81">
        <f>Inv_SY_B!CV30/Inv_SY_B!$FG30-1</f>
        <v>1.4757649259411476E-3</v>
      </c>
      <c r="CW30" s="81">
        <f>Inv_SY_B!CW30/Inv_SY_B!$FG30-1</f>
        <v>-5.7714798202639361E-3</v>
      </c>
      <c r="CX30" s="81">
        <f>Inv_SY_B!CX30/Inv_SY_B!$FG30-1</f>
        <v>-4.9658266352993197E-3</v>
      </c>
      <c r="CY30" s="81">
        <f>Inv_SY_B!CY30/Inv_SY_B!$FG30-1</f>
        <v>-2.1434786290628893E-2</v>
      </c>
      <c r="CZ30" s="81">
        <f>Inv_SY_B!CZ30/Inv_SY_B!$FG30-1</f>
        <v>-6.3540711872167588E-4</v>
      </c>
      <c r="DA30" s="81">
        <f>Inv_SY_B!DA30/Inv_SY_B!$FG30-1</f>
        <v>-4.4112579899063808E-3</v>
      </c>
      <c r="DB30" s="81">
        <f>Inv_SY_B!DB30/Inv_SY_B!$FG30-1</f>
        <v>-1.050786144578586E-2</v>
      </c>
      <c r="DC30" s="81">
        <f>Inv_SY_B!DC30/Inv_SY_B!$FG30-1</f>
        <v>-1.8156325144010554E-2</v>
      </c>
      <c r="DD30" s="81">
        <f>Inv_SY_B!DD30/Inv_SY_B!$FG30-1</f>
        <v>-1.5424144720253552E-2</v>
      </c>
      <c r="DE30" s="81">
        <f>Inv_SY_B!DE30/Inv_SY_B!$FG30-1</f>
        <v>-1.7736159244123528E-2</v>
      </c>
      <c r="DF30" s="81">
        <f>Inv_SY_B!DF30/Inv_SY_B!$FG30-1</f>
        <v>-2.7390783812464958E-2</v>
      </c>
      <c r="DG30" s="81">
        <f>Inv_SY_B!DG30/Inv_SY_B!$FG30-1</f>
        <v>-1.2542548579320245E-2</v>
      </c>
      <c r="DH30" s="81">
        <f>Inv_SY_B!DH30/Inv_SY_B!$FG30-1</f>
        <v>-3.1604522580957028E-2</v>
      </c>
      <c r="DI30" s="81">
        <f>Inv_SY_B!DI30/Inv_SY_B!$FG30-1</f>
        <v>-7.4540994368884617E-3</v>
      </c>
      <c r="DJ30" s="81">
        <f>Inv_SY_B!DJ30/Inv_SY_B!$FG30-1</f>
        <v>-1.9765035333203063E-2</v>
      </c>
      <c r="DK30" s="81">
        <f>Inv_SY_B!DK30/Inv_SY_B!$FG30-1</f>
        <v>-2.5433461310427341E-2</v>
      </c>
      <c r="DL30" s="81">
        <f>Inv_SY_B!DL30/Inv_SY_B!$FG30-1</f>
        <v>-3.6126700634778408E-2</v>
      </c>
      <c r="DM30" s="81">
        <f>Inv_SY_B!DM30/Inv_SY_B!$FG30-1</f>
        <v>-3.1744359044513115E-2</v>
      </c>
      <c r="DN30" s="81">
        <f>Inv_SY_B!DN30/Inv_SY_B!$FG30-1</f>
        <v>-2.544389937147018E-2</v>
      </c>
      <c r="DO30" s="81">
        <f>Inv_SY_B!DO30/Inv_SY_B!$FG30-1</f>
        <v>-3.1241542824491986E-2</v>
      </c>
      <c r="DP30" s="81">
        <f>Inv_SY_B!DP30/Inv_SY_B!$FG30-1</f>
        <v>-4.9248601735649933E-2</v>
      </c>
      <c r="DQ30" s="81">
        <f>Inv_SY_B!DQ30/Inv_SY_B!$FG30-1</f>
        <v>-4.1845878816640592E-2</v>
      </c>
      <c r="DR30" s="81">
        <f>Inv_SY_B!DR30/Inv_SY_B!$FG30-1</f>
        <v>-6.4083871849598517E-2</v>
      </c>
      <c r="DS30" s="81">
        <f>Inv_SY_B!DS30/Inv_SY_B!$FG30-1</f>
        <v>-6.1030053568482123E-2</v>
      </c>
      <c r="DT30" s="81">
        <f>Inv_SY_B!DT30/Inv_SY_B!$FG30-1</f>
        <v>-6.0459961804635531E-2</v>
      </c>
      <c r="DU30" s="81">
        <f>Inv_SY_B!DU30/Inv_SY_B!$FG30-1</f>
        <v>-2.290395265632228E-2</v>
      </c>
      <c r="DV30" s="81">
        <f>Inv_SY_B!DV30/Inv_SY_B!$FG30-1</f>
        <v>-2.8885628209125436E-2</v>
      </c>
      <c r="DW30" s="81">
        <f>Inv_SY_B!DW30/Inv_SY_B!$FG30-1</f>
        <v>-2.5596146293114463E-2</v>
      </c>
      <c r="DX30" s="81">
        <f>Inv_SY_B!DX30/Inv_SY_B!$FG30-1</f>
        <v>-6.0774250871466262E-2</v>
      </c>
      <c r="DY30" s="81">
        <f>Inv_SY_B!DY30/Inv_SY_B!$FG30-1</f>
        <v>-6.3826897015121231E-2</v>
      </c>
      <c r="DZ30" s="81">
        <f>Inv_SY_B!DZ30/Inv_SY_B!$FG30-1</f>
        <v>-7.1814978595582168E-2</v>
      </c>
      <c r="EA30" s="81">
        <f>Inv_SY_B!EA30/Inv_SY_B!$FG30-1</f>
        <v>-7.3602073802320422E-2</v>
      </c>
      <c r="EB30" s="81">
        <f>Inv_SY_B!EB30/Inv_SY_B!$FG30-1</f>
        <v>-6.6899245982528943E-2</v>
      </c>
      <c r="EC30" s="81">
        <f>Inv_SY_B!EC30/Inv_SY_B!$FG30-1</f>
        <v>-7.9179897086436468E-2</v>
      </c>
      <c r="ED30" s="81">
        <f>Inv_SY_B!ED30/Inv_SY_B!$FG30-1</f>
        <v>-8.0855772539151105E-2</v>
      </c>
      <c r="EE30" s="81">
        <f>Inv_SY_B!EE30/Inv_SY_B!$FG30-1</f>
        <v>-8.5433422419920135E-2</v>
      </c>
      <c r="EF30" s="81">
        <f>Inv_SY_B!EF30/Inv_SY_B!$FG30-1</f>
        <v>-9.0194669035140063E-2</v>
      </c>
      <c r="EG30" s="81">
        <f>Inv_SY_B!EG30/Inv_SY_B!$FG30-1</f>
        <v>-0.11015532537589756</v>
      </c>
      <c r="EH30" s="81">
        <f>Inv_SY_B!EH30/Inv_SY_B!$FG30-1</f>
        <v>-0.11460212491698318</v>
      </c>
      <c r="EI30" s="81">
        <f>Inv_SY_B!EI30/Inv_SY_B!$FG30-1</f>
        <v>-7.3101770010486122E-2</v>
      </c>
      <c r="EJ30" s="81">
        <f>Inv_SY_B!EJ30/Inv_SY_B!$FG30-1</f>
        <v>-3.9955616329245713E-2</v>
      </c>
      <c r="EK30" s="81">
        <f>Inv_SY_B!EK30/Inv_SY_B!$FG30-1</f>
        <v>-7.2886318274044126E-2</v>
      </c>
      <c r="EL30" s="81">
        <f>Inv_SY_B!EL30/Inv_SY_B!$FG30-1</f>
        <v>4.3364099145447144E-2</v>
      </c>
      <c r="EM30" s="81">
        <f>Inv_SY_B!EM30/Inv_SY_B!$FG30-1</f>
        <v>-6.9340935068247345E-2</v>
      </c>
      <c r="EN30" s="81">
        <f>Inv_SY_B!EN30/Inv_SY_B!$FG30-1</f>
        <v>1.7879236606299642E-2</v>
      </c>
      <c r="EO30" s="81">
        <f>Inv_SY_B!EO30/Inv_SY_B!$FG30-1</f>
        <v>-7.1579106296208006E-2</v>
      </c>
      <c r="EP30" s="81">
        <f>Inv_SY_B!EP30/Inv_SY_B!$FG30-1</f>
        <v>1.1782070845064219E-2</v>
      </c>
      <c r="EQ30" s="81">
        <f>Inv_SY_B!EQ30/Inv_SY_B!$FG30-1</f>
        <v>-6.1137713468627064E-2</v>
      </c>
      <c r="ER30" s="81">
        <f>Inv_SY_B!ER30/Inv_SY_B!$FG30-1</f>
        <v>-7.0392050094464698E-2</v>
      </c>
      <c r="ES30" s="81">
        <f>Inv_SY_B!ES30/Inv_SY_B!$FG30-1</f>
        <v>-5.5416637145991432E-2</v>
      </c>
      <c r="ET30" s="81">
        <f>Inv_SY_B!ET30/Inv_SY_B!$FG30-1</f>
        <v>-6.3509032377815466E-2</v>
      </c>
      <c r="EU30" s="81">
        <f>Inv_SY_B!EU30/Inv_SY_B!$FG30-1</f>
        <v>-6.4677093579501355E-2</v>
      </c>
      <c r="EV30" s="81">
        <f>Inv_SY_B!EV30/Inv_SY_B!$FG30-1</f>
        <v>-7.7709122528247243E-2</v>
      </c>
      <c r="EW30" s="81">
        <f>Inv_SY_B!EW30/Inv_SY_B!$FG30-1</f>
        <v>-6.3394011962721653E-2</v>
      </c>
      <c r="EX30" s="81">
        <f>Inv_SY_B!EX30/Inv_SY_B!$FG30-1</f>
        <v>-6.589557468917373E-2</v>
      </c>
      <c r="EY30" s="81">
        <f>Inv_SY_B!EY30/Inv_SY_B!$FG30-1</f>
        <v>-4.2028564935129964E-2</v>
      </c>
      <c r="EZ30" s="81">
        <f>Inv_SY_B!EZ30/Inv_SY_B!$FG30-1</f>
        <v>-5.0222452921388161E-2</v>
      </c>
      <c r="FA30" s="81">
        <f>Inv_SY_B!FA30/Inv_SY_B!$FG30-1</f>
        <v>-6.1119338822208102E-2</v>
      </c>
      <c r="FB30" s="81">
        <f>Inv_SY_B!FB30/Inv_SY_B!$FG30-1</f>
        <v>-6.8834168307883692E-2</v>
      </c>
      <c r="FC30" s="81">
        <f>Inv_SY_B!FC30/Inv_SY_B!$FG30-1</f>
        <v>-6.5859277023933682E-2</v>
      </c>
      <c r="FD30" s="81">
        <f>Inv_SY_B!FD30/Inv_SY_B!$FG30-1</f>
        <v>-6.4074549418694726E-2</v>
      </c>
      <c r="FE30" s="81">
        <f>Inv_SY_B!FE30/Inv_SY_B!$FG30-1</f>
        <v>-3.9350426836311625E-2</v>
      </c>
      <c r="FF30" s="81">
        <f>Inv_SY_B!FF30/Inv_SY_B!$FG30-1</f>
        <v>-4.6781440092251048E-2</v>
      </c>
    </row>
    <row r="31" spans="2:162">
      <c r="B31" s="104">
        <f t="shared" si="0"/>
        <v>45854</v>
      </c>
      <c r="C31" s="81">
        <f>Inv_SY_B!C31/Inv_SY_B!$FG31-1</f>
        <v>-2.7040400710077739E-2</v>
      </c>
      <c r="D31" s="81">
        <f>Inv_SY_B!D31/Inv_SY_B!$FG31-1</f>
        <v>-6.7248055439024013E-2</v>
      </c>
      <c r="E31" s="81">
        <f>Inv_SY_B!E31/Inv_SY_B!$FG31-1</f>
        <v>-9.0194682518800029E-2</v>
      </c>
      <c r="F31" s="81">
        <f>Inv_SY_B!F31/Inv_SY_B!$FG31-1</f>
        <v>-8.8837155302053161E-2</v>
      </c>
      <c r="G31" s="81">
        <f>Inv_SY_B!G31/Inv_SY_B!$FG31-1</f>
        <v>-8.5358823092896774E-2</v>
      </c>
      <c r="H31" s="81">
        <f>Inv_SY_B!H31/Inv_SY_B!$FG31-1</f>
        <v>-7.6824953517773409E-2</v>
      </c>
      <c r="I31" s="81">
        <f>Inv_SY_B!I31/Inv_SY_B!$FG31-1</f>
        <v>-6.3075941424519333E-2</v>
      </c>
      <c r="J31" s="81">
        <f>Inv_SY_B!J31/Inv_SY_B!$FG31-1</f>
        <v>-8.2860016838220085E-2</v>
      </c>
      <c r="K31" s="81">
        <f>Inv_SY_B!K31/Inv_SY_B!$FG31-1</f>
        <v>-5.7016894026181708E-2</v>
      </c>
      <c r="L31" s="81">
        <f>Inv_SY_B!L31/Inv_SY_B!$FG31-1</f>
        <v>-6.8357458483789935E-2</v>
      </c>
      <c r="M31" s="81">
        <f>Inv_SY_B!M31/Inv_SY_B!$FG31-1</f>
        <v>-6.8955577086062037E-2</v>
      </c>
      <c r="N31" s="81">
        <f>Inv_SY_B!N31/Inv_SY_B!$FG31-1</f>
        <v>-5.9529644512190338E-2</v>
      </c>
      <c r="O31" s="81">
        <f>Inv_SY_B!O31/Inv_SY_B!$FG31-1</f>
        <v>-7.7471015795002263E-2</v>
      </c>
      <c r="P31" s="81">
        <f>Inv_SY_B!P31/Inv_SY_B!$FG31-1</f>
        <v>-6.6423114713428766E-2</v>
      </c>
      <c r="Q31" s="81">
        <f>Inv_SY_B!Q31/Inv_SY_B!$FG31-1</f>
        <v>-7.9849736178289388E-2</v>
      </c>
      <c r="R31" s="81">
        <f>Inv_SY_B!R31/Inv_SY_B!$FG31-1</f>
        <v>-7.4113079408345328E-2</v>
      </c>
      <c r="S31" s="81">
        <f>Inv_SY_B!S31/Inv_SY_B!$FG31-1</f>
        <v>-8.3964957728959955E-2</v>
      </c>
      <c r="T31" s="81">
        <f>Inv_SY_B!T31/Inv_SY_B!$FG31-1</f>
        <v>-8.1954757340153117E-2</v>
      </c>
      <c r="U31" s="81">
        <f>Inv_SY_B!U31/Inv_SY_B!$FG31-1</f>
        <v>-6.7048931815604451E-2</v>
      </c>
      <c r="V31" s="81">
        <f>Inv_SY_B!V31/Inv_SY_B!$FG31-1</f>
        <v>-6.1132115576852386E-2</v>
      </c>
      <c r="W31" s="81">
        <f>Inv_SY_B!W31/Inv_SY_B!$FG31-1</f>
        <v>-6.9824883201460519E-2</v>
      </c>
      <c r="X31" s="81">
        <f>Inv_SY_B!X31/Inv_SY_B!$FG31-1</f>
        <v>-7.7461938399886909E-2</v>
      </c>
      <c r="Y31" s="81">
        <f>Inv_SY_B!Y31/Inv_SY_B!$FG31-1</f>
        <v>-6.2605414342825849E-2</v>
      </c>
      <c r="Z31" s="81">
        <f>Inv_SY_B!Z31/Inv_SY_B!$FG31-1</f>
        <v>-6.9262582025601538E-2</v>
      </c>
      <c r="AA31" s="81">
        <f>Inv_SY_B!AA31/Inv_SY_B!$FG31-1</f>
        <v>-6.3423815135671857E-2</v>
      </c>
      <c r="AB31" s="81">
        <f>Inv_SY_B!AB31/Inv_SY_B!$FG31-1</f>
        <v>-7.6494683416689191E-2</v>
      </c>
      <c r="AC31" s="81">
        <f>Inv_SY_B!AC31/Inv_SY_B!$FG31-1</f>
        <v>-8.6517300869033531E-2</v>
      </c>
      <c r="AD31" s="81">
        <f>Inv_SY_B!AD31/Inv_SY_B!$FG31-1</f>
        <v>-8.6238549154036059E-2</v>
      </c>
      <c r="AE31" s="81">
        <f>Inv_SY_B!AE31/Inv_SY_B!$FG31-1</f>
        <v>-5.2669888363594097E-2</v>
      </c>
      <c r="AF31" s="81">
        <f>Inv_SY_B!AF31/Inv_SY_B!$FG31-1</f>
        <v>-4.1967533556418135E-2</v>
      </c>
      <c r="AG31" s="81">
        <f>Inv_SY_B!AG31/Inv_SY_B!$FG31-1</f>
        <v>-3.4070747051585748E-2</v>
      </c>
      <c r="AH31" s="81">
        <f>Inv_SY_B!AH31/Inv_SY_B!$FG31-1</f>
        <v>-4.55435804862937E-2</v>
      </c>
      <c r="AI31" s="81">
        <f>Inv_SY_B!AI31/Inv_SY_B!$FG31-1</f>
        <v>8.5327063880709098E-3</v>
      </c>
      <c r="AJ31" s="81">
        <f>Inv_SY_B!AJ31/Inv_SY_B!$FG31-1</f>
        <v>-5.7852303435249608E-3</v>
      </c>
      <c r="AK31" s="81">
        <f>Inv_SY_B!AK31/Inv_SY_B!$FG31-1</f>
        <v>-2.4692492491075857E-2</v>
      </c>
      <c r="AL31" s="81">
        <f>Inv_SY_B!AL31/Inv_SY_B!$FG31-1</f>
        <v>-2.8399984717601523E-2</v>
      </c>
      <c r="AM31" s="81">
        <f>Inv_SY_B!AM31/Inv_SY_B!$FG31-1</f>
        <v>-1.5134558566937684E-2</v>
      </c>
      <c r="AN31" s="81">
        <f>Inv_SY_B!AN31/Inv_SY_B!$FG31-1</f>
        <v>-2.7300063750141379E-2</v>
      </c>
      <c r="AO31" s="81">
        <f>Inv_SY_B!AO31/Inv_SY_B!$FG31-1</f>
        <v>-1.3816549821446533E-2</v>
      </c>
      <c r="AP31" s="81">
        <f>Inv_SY_B!AP31/Inv_SY_B!$FG31-1</f>
        <v>-1.1769407729583792E-3</v>
      </c>
      <c r="AQ31" s="81">
        <f>Inv_SY_B!AQ31/Inv_SY_B!$FG31-1</f>
        <v>-4.4023368657697071E-2</v>
      </c>
      <c r="AR31" s="81">
        <f>Inv_SY_B!AR31/Inv_SY_B!$FG31-1</f>
        <v>-5.4347178464474344E-2</v>
      </c>
      <c r="AS31" s="81">
        <f>Inv_SY_B!AS31/Inv_SY_B!$FG31-1</f>
        <v>-2.0904268432999973E-2</v>
      </c>
      <c r="AT31" s="81">
        <f>Inv_SY_B!AT31/Inv_SY_B!$FG31-1</f>
        <v>-3.7697310334256384E-2</v>
      </c>
      <c r="AU31" s="81">
        <f>Inv_SY_B!AU31/Inv_SY_B!$FG31-1</f>
        <v>-4.9514594738699014E-2</v>
      </c>
      <c r="AV31" s="81">
        <f>Inv_SY_B!AV31/Inv_SY_B!$FG31-1</f>
        <v>-5.9248920319649678E-2</v>
      </c>
      <c r="AW31" s="81">
        <f>Inv_SY_B!AW31/Inv_SY_B!$FG31-1</f>
        <v>-2.8532317243336824E-2</v>
      </c>
      <c r="AX31" s="81">
        <f>Inv_SY_B!AX31/Inv_SY_B!$FG31-1</f>
        <v>-2.7644121368265995E-2</v>
      </c>
      <c r="AY31" s="81">
        <f>Inv_SY_B!AY31/Inv_SY_B!$FG31-1</f>
        <v>-9.0794096478633235E-2</v>
      </c>
      <c r="AZ31" s="81">
        <f>Inv_SY_B!AZ31/Inv_SY_B!$FG31-1</f>
        <v>-7.8600298641878341E-2</v>
      </c>
      <c r="BA31" s="81">
        <f>Inv_SY_B!BA31/Inv_SY_B!$FG31-1</f>
        <v>-7.0103060467197942E-2</v>
      </c>
      <c r="BB31" s="81">
        <f>Inv_SY_B!BB31/Inv_SY_B!$FG31-1</f>
        <v>-4.6255625228968089E-2</v>
      </c>
      <c r="BC31" s="81">
        <f>Inv_SY_B!BC31/Inv_SY_B!$FG31-1</f>
        <v>-7.5567576646884738E-2</v>
      </c>
      <c r="BD31" s="81">
        <f>Inv_SY_B!BD31/Inv_SY_B!$FG31-1</f>
        <v>-8.2122199111634542E-2</v>
      </c>
      <c r="BE31" s="81">
        <f>Inv_SY_B!BE31/Inv_SY_B!$FG31-1</f>
        <v>-5.8808338885034561E-2</v>
      </c>
      <c r="BF31" s="81">
        <f>Inv_SY_B!BF31/Inv_SY_B!$FG31-1</f>
        <v>-6.7592322371092473E-2</v>
      </c>
      <c r="BG31" s="81">
        <f>Inv_SY_B!BG31/Inv_SY_B!$FG31-1</f>
        <v>-2.8705668828837516E-2</v>
      </c>
      <c r="BH31" s="81">
        <f>Inv_SY_B!BH31/Inv_SY_B!$FG31-1</f>
        <v>-5.4768411745470424E-2</v>
      </c>
      <c r="BI31" s="81">
        <f>Inv_SY_B!BI31/Inv_SY_B!$FG31-1</f>
        <v>-7.5723226440350122E-2</v>
      </c>
      <c r="BJ31" s="81">
        <f>Inv_SY_B!BJ31/Inv_SY_B!$FG31-1</f>
        <v>-5.5534737190580441E-2</v>
      </c>
      <c r="BK31" s="81">
        <f>Inv_SY_B!BK31/Inv_SY_B!$FG31-1</f>
        <v>-6.3711307379192839E-2</v>
      </c>
      <c r="BL31" s="81">
        <f>Inv_SY_B!BL31/Inv_SY_B!$FG31-1</f>
        <v>-7.5924156173732715E-2</v>
      </c>
      <c r="BM31" s="81">
        <f>Inv_SY_B!BM31/Inv_SY_B!$FG31-1</f>
        <v>-6.1005123470079692E-2</v>
      </c>
      <c r="BN31" s="81">
        <f>Inv_SY_B!BN31/Inv_SY_B!$FG31-1</f>
        <v>-6.3233936537625324E-2</v>
      </c>
      <c r="BO31" s="81">
        <f>Inv_SY_B!BO31/Inv_SY_B!$FG31-1</f>
        <v>-6.5352496811800886E-2</v>
      </c>
      <c r="BP31" s="81">
        <f>Inv_SY_B!BP31/Inv_SY_B!$FG31-1</f>
        <v>-5.2149928912865517E-2</v>
      </c>
      <c r="BQ31" s="81">
        <f>Inv_SY_B!BQ31/Inv_SY_B!$FG31-1</f>
        <v>-5.7713868241702548E-2</v>
      </c>
      <c r="BR31" s="81">
        <f>Inv_SY_B!BR31/Inv_SY_B!$FG31-1</f>
        <v>-5.2149928912865406E-2</v>
      </c>
      <c r="BS31" s="81">
        <f>Inv_SY_B!BS31/Inv_SY_B!$FG31-1</f>
        <v>-6.4823223983322964E-2</v>
      </c>
      <c r="BT31" s="81">
        <f>Inv_SY_B!BT31/Inv_SY_B!$FG31-1</f>
        <v>-4.7950451400369243E-2</v>
      </c>
      <c r="BU31" s="81">
        <f>Inv_SY_B!BU31/Inv_SY_B!$FG31-1</f>
        <v>-6.1878521324913005E-2</v>
      </c>
      <c r="BV31" s="81">
        <f>Inv_SY_B!BV31/Inv_SY_B!$FG31-1</f>
        <v>-5.7192914381634985E-2</v>
      </c>
      <c r="BW31" s="81">
        <f>Inv_SY_B!BW31/Inv_SY_B!$FG31-1</f>
        <v>-4.6662671740480777E-2</v>
      </c>
      <c r="BX31" s="81">
        <f>Inv_SY_B!BX31/Inv_SY_B!$FG31-1</f>
        <v>-5.1258553976516685E-2</v>
      </c>
      <c r="BY31" s="81">
        <f>Inv_SY_B!BY31/Inv_SY_B!$FG31-1</f>
        <v>-4.8597712433708362E-2</v>
      </c>
      <c r="BZ31" s="81">
        <f>Inv_SY_B!BZ31/Inv_SY_B!$FG31-1</f>
        <v>-5.6626471150825641E-2</v>
      </c>
      <c r="CA31" s="81">
        <f>Inv_SY_B!CA31/Inv_SY_B!$FG31-1</f>
        <v>-4.7544451734525595E-2</v>
      </c>
      <c r="CB31" s="81">
        <f>Inv_SY_B!CB31/Inv_SY_B!$FG31-1</f>
        <v>-5.0870730042598011E-2</v>
      </c>
      <c r="CC31" s="81">
        <f>Inv_SY_B!CC31/Inv_SY_B!$FG31-1</f>
        <v>-4.8899107033781974E-2</v>
      </c>
      <c r="CD31" s="81">
        <f>Inv_SY_B!CD31/Inv_SY_B!$FG31-1</f>
        <v>-5.586655778853955E-2</v>
      </c>
      <c r="CE31" s="81">
        <f>Inv_SY_B!CE31/Inv_SY_B!$FG31-1</f>
        <v>-3.3546243532507458E-2</v>
      </c>
      <c r="CF31" s="81">
        <f>Inv_SY_B!CF31/Inv_SY_B!$FG31-1</f>
        <v>-3.9740614767713067E-2</v>
      </c>
      <c r="CG31" s="81">
        <f>Inv_SY_B!CG31/Inv_SY_B!$FG31-1</f>
        <v>-3.6036339875378798E-2</v>
      </c>
      <c r="CH31" s="81">
        <f>Inv_SY_B!CH31/Inv_SY_B!$FG31-1</f>
        <v>-3.8029730153811725E-2</v>
      </c>
      <c r="CI31" s="81">
        <f>Inv_SY_B!CI31/Inv_SY_B!$FG31-1</f>
        <v>-2.1934688210455633E-2</v>
      </c>
      <c r="CJ31" s="81">
        <f>Inv_SY_B!CJ31/Inv_SY_B!$FG31-1</f>
        <v>-2.3507463544543916E-2</v>
      </c>
      <c r="CK31" s="81">
        <f>Inv_SY_B!CK31/Inv_SY_B!$FG31-1</f>
        <v>-2.8882023841961701E-2</v>
      </c>
      <c r="CL31" s="81">
        <f>Inv_SY_B!CL31/Inv_SY_B!$FG31-1</f>
        <v>-2.0768459858069521E-2</v>
      </c>
      <c r="CM31" s="81">
        <f>Inv_SY_B!CM31/Inv_SY_B!$FG31-1</f>
        <v>1.5949959766763389E-2</v>
      </c>
      <c r="CN31" s="81">
        <f>Inv_SY_B!CN31/Inv_SY_B!$FG31-1</f>
        <v>-1.1337509514683042E-2</v>
      </c>
      <c r="CO31" s="81">
        <f>Inv_SY_B!CO31/Inv_SY_B!$FG31-1</f>
        <v>1.1328122186664125E-2</v>
      </c>
      <c r="CP31" s="81">
        <f>Inv_SY_B!CP31/Inv_SY_B!$FG31-1</f>
        <v>1.4356084656706347E-2</v>
      </c>
      <c r="CQ31" s="81">
        <f>Inv_SY_B!CQ31/Inv_SY_B!$FG31-1</f>
        <v>7.7851800507640068E-3</v>
      </c>
      <c r="CR31" s="81">
        <f>Inv_SY_B!CR31/Inv_SY_B!$FG31-1</f>
        <v>1.7670169446684758E-2</v>
      </c>
      <c r="CS31" s="81">
        <f>Inv_SY_B!CS31/Inv_SY_B!$FG31-1</f>
        <v>7.9290017864870332E-3</v>
      </c>
      <c r="CT31" s="81">
        <f>Inv_SY_B!CT31/Inv_SY_B!$FG31-1</f>
        <v>2.3028179886241507E-2</v>
      </c>
      <c r="CU31" s="81">
        <f>Inv_SY_B!CU31/Inv_SY_B!$FG31-1</f>
        <v>4.7248824521707089E-2</v>
      </c>
      <c r="CV31" s="81">
        <f>Inv_SY_B!CV31/Inv_SY_B!$FG31-1</f>
        <v>4.7195074272414095E-2</v>
      </c>
      <c r="CW31" s="81">
        <f>Inv_SY_B!CW31/Inv_SY_B!$FG31-1</f>
        <v>3.8746583177981631E-2</v>
      </c>
      <c r="CX31" s="81">
        <f>Inv_SY_B!CX31/Inv_SY_B!$FG31-1</f>
        <v>5.1937641704349558E-2</v>
      </c>
      <c r="CY31" s="81">
        <f>Inv_SY_B!CY31/Inv_SY_B!$FG31-1</f>
        <v>5.3720139528399269E-3</v>
      </c>
      <c r="CZ31" s="81">
        <f>Inv_SY_B!CZ31/Inv_SY_B!$FG31-1</f>
        <v>4.5761483004450154E-2</v>
      </c>
      <c r="DA31" s="81">
        <f>Inv_SY_B!DA31/Inv_SY_B!$FG31-1</f>
        <v>2.8445779885823086E-2</v>
      </c>
      <c r="DB31" s="81">
        <f>Inv_SY_B!DB31/Inv_SY_B!$FG31-1</f>
        <v>3.9456760670456781E-2</v>
      </c>
      <c r="DC31" s="81">
        <f>Inv_SY_B!DC31/Inv_SY_B!$FG31-1</f>
        <v>1.738379151418501E-2</v>
      </c>
      <c r="DD31" s="81">
        <f>Inv_SY_B!DD31/Inv_SY_B!$FG31-1</f>
        <v>3.0874773317663751E-2</v>
      </c>
      <c r="DE31" s="81">
        <f>Inv_SY_B!DE31/Inv_SY_B!$FG31-1</f>
        <v>2.2732484416903231E-2</v>
      </c>
      <c r="DF31" s="81">
        <f>Inv_SY_B!DF31/Inv_SY_B!$FG31-1</f>
        <v>2.6412496565075161E-2</v>
      </c>
      <c r="DG31" s="81">
        <f>Inv_SY_B!DG31/Inv_SY_B!$FG31-1</f>
        <v>2.4548747706868879E-2</v>
      </c>
      <c r="DH31" s="81">
        <f>Inv_SY_B!DH31/Inv_SY_B!$FG31-1</f>
        <v>2.3534649063433166E-2</v>
      </c>
      <c r="DI31" s="81">
        <f>Inv_SY_B!DI31/Inv_SY_B!$FG31-1</f>
        <v>3.7451450536028164E-2</v>
      </c>
      <c r="DJ31" s="81">
        <f>Inv_SY_B!DJ31/Inv_SY_B!$FG31-1</f>
        <v>2.9577139865850199E-2</v>
      </c>
      <c r="DK31" s="81">
        <f>Inv_SY_B!DK31/Inv_SY_B!$FG31-1</f>
        <v>4.4839908851129096E-2</v>
      </c>
      <c r="DL31" s="81">
        <f>Inv_SY_B!DL31/Inv_SY_B!$FG31-1</f>
        <v>4.5272640407943099E-2</v>
      </c>
      <c r="DM31" s="81">
        <f>Inv_SY_B!DM31/Inv_SY_B!$FG31-1</f>
        <v>3.8171124329517081E-2</v>
      </c>
      <c r="DN31" s="81">
        <f>Inv_SY_B!DN31/Inv_SY_B!$FG31-1</f>
        <v>5.2366399828970733E-2</v>
      </c>
      <c r="DO31" s="81">
        <f>Inv_SY_B!DO31/Inv_SY_B!$FG31-1</f>
        <v>3.868530872752185E-2</v>
      </c>
      <c r="DP31" s="81">
        <f>Inv_SY_B!DP31/Inv_SY_B!$FG31-1</f>
        <v>4.1880805008634114E-2</v>
      </c>
      <c r="DQ31" s="81">
        <f>Inv_SY_B!DQ31/Inv_SY_B!$FG31-1</f>
        <v>3.4115012313211235E-2</v>
      </c>
      <c r="DR31" s="81">
        <f>Inv_SY_B!DR31/Inv_SY_B!$FG31-1</f>
        <v>4.4352068276342971E-2</v>
      </c>
      <c r="DS31" s="81">
        <f>Inv_SY_B!DS31/Inv_SY_B!$FG31-1</f>
        <v>3.7459218875720346E-2</v>
      </c>
      <c r="DT31" s="81">
        <f>Inv_SY_B!DT31/Inv_SY_B!$FG31-1</f>
        <v>4.7225677416421474E-2</v>
      </c>
      <c r="DU31" s="81">
        <f>Inv_SY_B!DU31/Inv_SY_B!$FG31-1</f>
        <v>4.5774994289889737E-2</v>
      </c>
      <c r="DV31" s="81">
        <f>Inv_SY_B!DV31/Inv_SY_B!$FG31-1</f>
        <v>4.502549683588275E-2</v>
      </c>
      <c r="DW31" s="81">
        <f>Inv_SY_B!DW31/Inv_SY_B!$FG31-1</f>
        <v>4.6873450592753274E-2</v>
      </c>
      <c r="DX31" s="81">
        <f>Inv_SY_B!DX31/Inv_SY_B!$FG31-1</f>
        <v>4.4664844992404529E-2</v>
      </c>
      <c r="DY31" s="81">
        <f>Inv_SY_B!DY31/Inv_SY_B!$FG31-1</f>
        <v>4.291966586928031E-2</v>
      </c>
      <c r="DZ31" s="81">
        <f>Inv_SY_B!DZ31/Inv_SY_B!$FG31-1</f>
        <v>5.0721854777277642E-2</v>
      </c>
      <c r="EA31" s="81">
        <f>Inv_SY_B!EA31/Inv_SY_B!$FG31-1</f>
        <v>6.3438823184141624E-2</v>
      </c>
      <c r="EB31" s="81">
        <f>Inv_SY_B!EB31/Inv_SY_B!$FG31-1</f>
        <v>7.8243420125578833E-2</v>
      </c>
      <c r="EC31" s="81">
        <f>Inv_SY_B!EC31/Inv_SY_B!$FG31-1</f>
        <v>5.1289520827180413E-2</v>
      </c>
      <c r="ED31" s="81">
        <f>Inv_SY_B!ED31/Inv_SY_B!$FG31-1</f>
        <v>5.1052840847176872E-2</v>
      </c>
      <c r="EE31" s="81">
        <f>Inv_SY_B!EE31/Inv_SY_B!$FG31-1</f>
        <v>7.5325700629968795E-2</v>
      </c>
      <c r="EF31" s="81">
        <f>Inv_SY_B!EF31/Inv_SY_B!$FG31-1</f>
        <v>7.805834500397113E-2</v>
      </c>
      <c r="EG31" s="81">
        <f>Inv_SY_B!EG31/Inv_SY_B!$FG31-1</f>
        <v>6.5832084680352398E-2</v>
      </c>
      <c r="EH31" s="81">
        <f>Inv_SY_B!EH31/Inv_SY_B!$FG31-1</f>
        <v>6.7582528006093767E-2</v>
      </c>
      <c r="EI31" s="81">
        <f>Inv_SY_B!EI31/Inv_SY_B!$FG31-1</f>
        <v>0.1034671656010262</v>
      </c>
      <c r="EJ31" s="81">
        <f>Inv_SY_B!EJ31/Inv_SY_B!$FG31-1</f>
        <v>0.26432604129345139</v>
      </c>
      <c r="EK31" s="81">
        <f>Inv_SY_B!EK31/Inv_SY_B!$FG31-1</f>
        <v>0.11304900226170567</v>
      </c>
      <c r="EL31" s="81">
        <f>Inv_SY_B!EL31/Inv_SY_B!$FG31-1</f>
        <v>0.2589754769416035</v>
      </c>
      <c r="EM31" s="81">
        <f>Inv_SY_B!EM31/Inv_SY_B!$FG31-1</f>
        <v>0.12464291319002574</v>
      </c>
      <c r="EN31" s="81">
        <f>Inv_SY_B!EN31/Inv_SY_B!$FG31-1</f>
        <v>0.24236863447753731</v>
      </c>
      <c r="EO31" s="81">
        <f>Inv_SY_B!EO31/Inv_SY_B!$FG31-1</f>
        <v>0.12828434231908181</v>
      </c>
      <c r="EP31" s="81">
        <f>Inv_SY_B!EP31/Inv_SY_B!$FG31-1</f>
        <v>0.21454065128582744</v>
      </c>
      <c r="EQ31" s="81">
        <f>Inv_SY_B!EQ31/Inv_SY_B!$FG31-1</f>
        <v>0.11112002222076245</v>
      </c>
      <c r="ER31" s="81">
        <f>Inv_SY_B!ER31/Inv_SY_B!$FG31-1</f>
        <v>0.11070189181363088</v>
      </c>
      <c r="ES31" s="81">
        <f>Inv_SY_B!ES31/Inv_SY_B!$FG31-1</f>
        <v>0.10313225323292774</v>
      </c>
      <c r="ET31" s="81">
        <f>Inv_SY_B!ET31/Inv_SY_B!$FG31-1</f>
        <v>0.1019020538653026</v>
      </c>
      <c r="EU31" s="81">
        <f>Inv_SY_B!EU31/Inv_SY_B!$FG31-1</f>
        <v>0.10134044111051721</v>
      </c>
      <c r="EV31" s="81">
        <f>Inv_SY_B!EV31/Inv_SY_B!$FG31-1</f>
        <v>9.1757985388159158E-2</v>
      </c>
      <c r="EW31" s="81">
        <f>Inv_SY_B!EW31/Inv_SY_B!$FG31-1</f>
        <v>0.12777008778270615</v>
      </c>
      <c r="EX31" s="81">
        <f>Inv_SY_B!EX31/Inv_SY_B!$FG31-1</f>
        <v>0.11600477415213617</v>
      </c>
      <c r="EY31" s="81">
        <f>Inv_SY_B!EY31/Inv_SY_B!$FG31-1</f>
        <v>8.163524553393775E-2</v>
      </c>
      <c r="EZ31" s="81">
        <f>Inv_SY_B!EZ31/Inv_SY_B!$FG31-1</f>
        <v>8.7221996657048217E-2</v>
      </c>
      <c r="FA31" s="81">
        <f>Inv_SY_B!FA31/Inv_SY_B!$FG31-1</f>
        <v>8.5252885269899492E-2</v>
      </c>
      <c r="FB31" s="81">
        <f>Inv_SY_B!FB31/Inv_SY_B!$FG31-1</f>
        <v>8.1921219128250344E-2</v>
      </c>
      <c r="FC31" s="81">
        <f>Inv_SY_B!FC31/Inv_SY_B!$FG31-1</f>
        <v>8.9780083325174731E-2</v>
      </c>
      <c r="FD31" s="81">
        <f>Inv_SY_B!FD31/Inv_SY_B!$FG31-1</f>
        <v>0.10512310916153567</v>
      </c>
      <c r="FE31" s="81">
        <f>Inv_SY_B!FE31/Inv_SY_B!$FG31-1</f>
        <v>9.0571244150368546E-2</v>
      </c>
      <c r="FF31" s="81">
        <f>Inv_SY_B!FF31/Inv_SY_B!$FG31-1</f>
        <v>0.11511151457960644</v>
      </c>
    </row>
    <row r="32" spans="2:162">
      <c r="B32" s="104">
        <f>B31+1</f>
        <v>45855</v>
      </c>
      <c r="C32" s="81">
        <f>Inv_SY_B!C32/Inv_SY_B!$FG32-1</f>
        <v>1.3901829559828327E-2</v>
      </c>
      <c r="D32" s="81">
        <f>Inv_SY_B!D32/Inv_SY_B!$FG32-1</f>
        <v>4.2142867091056857E-2</v>
      </c>
      <c r="E32" s="81">
        <f>Inv_SY_B!E32/Inv_SY_B!$FG32-1</f>
        <v>3.785918540718769E-2</v>
      </c>
      <c r="F32" s="81">
        <f>Inv_SY_B!F32/Inv_SY_B!$FG32-1</f>
        <v>3.2590372914032439E-2</v>
      </c>
      <c r="G32" s="81">
        <f>Inv_SY_B!G32/Inv_SY_B!$FG32-1</f>
        <v>5.3456180256147512E-2</v>
      </c>
      <c r="H32" s="81">
        <f>Inv_SY_B!H32/Inv_SY_B!$FG32-1</f>
        <v>6.4549817437449697E-2</v>
      </c>
      <c r="I32" s="81">
        <f>Inv_SY_B!I32/Inv_SY_B!$FG32-1</f>
        <v>6.4769493421237945E-2</v>
      </c>
      <c r="J32" s="81">
        <f>Inv_SY_B!J32/Inv_SY_B!$FG32-1</f>
        <v>4.4388730972373613E-2</v>
      </c>
      <c r="K32" s="81">
        <f>Inv_SY_B!K32/Inv_SY_B!$FG32-1</f>
        <v>3.4234531674683044E-2</v>
      </c>
      <c r="L32" s="81">
        <f>Inv_SY_B!L32/Inv_SY_B!$FG32-1</f>
        <v>2.0921846808974465E-3</v>
      </c>
      <c r="M32" s="81">
        <f>Inv_SY_B!M32/Inv_SY_B!$FG32-1</f>
        <v>2.5180168024856453E-2</v>
      </c>
      <c r="N32" s="81">
        <f>Inv_SY_B!N32/Inv_SY_B!$FG32-1</f>
        <v>3.2916475771954001E-2</v>
      </c>
      <c r="O32" s="81">
        <f>Inv_SY_B!O32/Inv_SY_B!$FG32-1</f>
        <v>3.3818762425222637E-2</v>
      </c>
      <c r="P32" s="81">
        <f>Inv_SY_B!P32/Inv_SY_B!$FG32-1</f>
        <v>4.6206872791137998E-2</v>
      </c>
      <c r="Q32" s="81">
        <f>Inv_SY_B!Q32/Inv_SY_B!$FG32-1</f>
        <v>6.2572733583356355E-2</v>
      </c>
      <c r="R32" s="81">
        <f>Inv_SY_B!R32/Inv_SY_B!$FG32-1</f>
        <v>6.059564972926279E-2</v>
      </c>
      <c r="S32" s="81">
        <f>Inv_SY_B!S32/Inv_SY_B!$FG32-1</f>
        <v>5.474128476130824E-2</v>
      </c>
      <c r="T32" s="81">
        <f>Inv_SY_B!T32/Inv_SY_B!$FG32-1</f>
        <v>4.929332036336187E-2</v>
      </c>
      <c r="U32" s="81">
        <f>Inv_SY_B!U32/Inv_SY_B!$FG32-1</f>
        <v>5.1028760635288162E-2</v>
      </c>
      <c r="V32" s="81">
        <f>Inv_SY_B!V32/Inv_SY_B!$FG32-1</f>
        <v>5.5839664680249257E-2</v>
      </c>
      <c r="W32" s="81">
        <f>Inv_SY_B!W32/Inv_SY_B!$FG32-1</f>
        <v>3.818848215074766E-2</v>
      </c>
      <c r="X32" s="81">
        <f>Inv_SY_B!X32/Inv_SY_B!$FG32-1</f>
        <v>3.5288366185800113E-2</v>
      </c>
      <c r="Y32" s="81">
        <f>Inv_SY_B!Y32/Inv_SY_B!$FG32-1</f>
        <v>4.1073420445677078E-2</v>
      </c>
      <c r="Z32" s="81">
        <f>Inv_SY_B!Z32/Inv_SY_B!$FG32-1</f>
        <v>3.6198174104518532E-2</v>
      </c>
      <c r="AA32" s="81">
        <f>Inv_SY_B!AA32/Inv_SY_B!$FG32-1</f>
        <v>2.3759968875193493E-2</v>
      </c>
      <c r="AB32" s="81">
        <f>Inv_SY_B!AB32/Inv_SY_B!$FG32-1</f>
        <v>3.9659657338204646E-3</v>
      </c>
      <c r="AC32" s="81">
        <f>Inv_SY_B!AC32/Inv_SY_B!$FG32-1</f>
        <v>4.2144100582424127E-3</v>
      </c>
      <c r="AD32" s="81">
        <f>Inv_SY_B!AD32/Inv_SY_B!$FG32-1</f>
        <v>7.1021068325802794E-3</v>
      </c>
      <c r="AE32" s="81">
        <f>Inv_SY_B!AE32/Inv_SY_B!$FG32-1</f>
        <v>4.7833695493302741E-2</v>
      </c>
      <c r="AF32" s="81">
        <f>Inv_SY_B!AF32/Inv_SY_B!$FG32-1</f>
        <v>5.5432852217771389E-2</v>
      </c>
      <c r="AG32" s="81">
        <f>Inv_SY_B!AG32/Inv_SY_B!$FG32-1</f>
        <v>4.8412530896717376E-2</v>
      </c>
      <c r="AH32" s="81">
        <f>Inv_SY_B!AH32/Inv_SY_B!$FG32-1</f>
        <v>4.3923462981873218E-2</v>
      </c>
      <c r="AI32" s="81">
        <f>Inv_SY_B!AI32/Inv_SY_B!$FG32-1</f>
        <v>4.4306675531370354E-2</v>
      </c>
      <c r="AJ32" s="81">
        <f>Inv_SY_B!AJ32/Inv_SY_B!$FG32-1</f>
        <v>4.2637138054580248E-2</v>
      </c>
      <c r="AK32" s="81">
        <f>Inv_SY_B!AK32/Inv_SY_B!$FG32-1</f>
        <v>5.2731249509646361E-2</v>
      </c>
      <c r="AL32" s="81">
        <f>Inv_SY_B!AL32/Inv_SY_B!$FG32-1</f>
        <v>4.6382613578168419E-2</v>
      </c>
      <c r="AM32" s="81">
        <f>Inv_SY_B!AM32/Inv_SY_B!$FG32-1</f>
        <v>5.7025914992705262E-2</v>
      </c>
      <c r="AN32" s="81">
        <f>Inv_SY_B!AN32/Inv_SY_B!$FG32-1</f>
        <v>4.0923665381032537E-2</v>
      </c>
      <c r="AO32" s="81">
        <f>Inv_SY_B!AO32/Inv_SY_B!$FG32-1</f>
        <v>4.2439429669171025E-2</v>
      </c>
      <c r="AP32" s="81">
        <f>Inv_SY_B!AP32/Inv_SY_B!$FG32-1</f>
        <v>3.2993362366279921E-2</v>
      </c>
      <c r="AQ32" s="81">
        <f>Inv_SY_B!AQ32/Inv_SY_B!$FG32-1</f>
        <v>2.2883249979450682E-2</v>
      </c>
      <c r="AR32" s="81">
        <f>Inv_SY_B!AR32/Inv_SY_B!$FG32-1</f>
        <v>1.3271028490984271E-2</v>
      </c>
      <c r="AS32" s="81">
        <f>Inv_SY_B!AS32/Inv_SY_B!$FG32-1</f>
        <v>-3.6716494667814459E-3</v>
      </c>
      <c r="AT32" s="81">
        <f>Inv_SY_B!AT32/Inv_SY_B!$FG32-1</f>
        <v>-1.4725366719753108E-2</v>
      </c>
      <c r="AU32" s="81">
        <f>Inv_SY_B!AU32/Inv_SY_B!$FG32-1</f>
        <v>-3.3700371024885767E-2</v>
      </c>
      <c r="AV32" s="81">
        <f>Inv_SY_B!AV32/Inv_SY_B!$FG32-1</f>
        <v>-5.5789944371246181E-3</v>
      </c>
      <c r="AW32" s="81">
        <f>Inv_SY_B!AW32/Inv_SY_B!$FG32-1</f>
        <v>4.7135018321224242E-2</v>
      </c>
      <c r="AX32" s="81">
        <f>Inv_SY_B!AX32/Inv_SY_B!$FG32-1</f>
        <v>4.8496186535039731E-2</v>
      </c>
      <c r="AY32" s="81">
        <f>Inv_SY_B!AY32/Inv_SY_B!$FG32-1</f>
        <v>3.7463411253768619E-3</v>
      </c>
      <c r="AZ32" s="81">
        <f>Inv_SY_B!AZ32/Inv_SY_B!$FG32-1</f>
        <v>1.141910740923735E-2</v>
      </c>
      <c r="BA32" s="81">
        <f>Inv_SY_B!BA32/Inv_SY_B!$FG32-1</f>
        <v>2.7934481015531754E-2</v>
      </c>
      <c r="BB32" s="81">
        <f>Inv_SY_B!BB32/Inv_SY_B!$FG32-1</f>
        <v>0.1210606061576438</v>
      </c>
      <c r="BC32" s="81">
        <f>Inv_SY_B!BC32/Inv_SY_B!$FG32-1</f>
        <v>2.3338138774599004E-2</v>
      </c>
      <c r="BD32" s="81">
        <f>Inv_SY_B!BD32/Inv_SY_B!$FG32-1</f>
        <v>3.3986690863975877E-2</v>
      </c>
      <c r="BE32" s="81">
        <f>Inv_SY_B!BE32/Inv_SY_B!$FG32-1</f>
        <v>-5.1565638755368681E-4</v>
      </c>
      <c r="BF32" s="81">
        <f>Inv_SY_B!BF32/Inv_SY_B!$FG32-1</f>
        <v>8.0723670558329186E-3</v>
      </c>
      <c r="BG32" s="81">
        <f>Inv_SY_B!BG32/Inv_SY_B!$FG32-1</f>
        <v>-1.22007869936821E-2</v>
      </c>
      <c r="BH32" s="81">
        <f>Inv_SY_B!BH32/Inv_SY_B!$FG32-1</f>
        <v>-1.5693361570730757E-2</v>
      </c>
      <c r="BI32" s="81">
        <f>Inv_SY_B!BI32/Inv_SY_B!$FG32-1</f>
        <v>9.0960150774954673E-3</v>
      </c>
      <c r="BJ32" s="81">
        <f>Inv_SY_B!BJ32/Inv_SY_B!$FG32-1</f>
        <v>3.0965022050140067E-3</v>
      </c>
      <c r="BK32" s="81">
        <f>Inv_SY_B!BK32/Inv_SY_B!$FG32-1</f>
        <v>-5.9886050611209773E-3</v>
      </c>
      <c r="BL32" s="81">
        <f>Inv_SY_B!BL32/Inv_SY_B!$FG32-1</f>
        <v>-1.0286941038840647E-3</v>
      </c>
      <c r="BM32" s="81">
        <f>Inv_SY_B!BM32/Inv_SY_B!$FG32-1</f>
        <v>-2.4047860495572282E-2</v>
      </c>
      <c r="BN32" s="81">
        <f>Inv_SY_B!BN32/Inv_SY_B!$FG32-1</f>
        <v>-2.4629158453744471E-2</v>
      </c>
      <c r="BO32" s="81">
        <f>Inv_SY_B!BO32/Inv_SY_B!$FG32-1</f>
        <v>-4.0440755738420098E-2</v>
      </c>
      <c r="BP32" s="81">
        <f>Inv_SY_B!BP32/Inv_SY_B!$FG32-1</f>
        <v>-3.84441015226612E-2</v>
      </c>
      <c r="BQ32" s="81">
        <f>Inv_SY_B!BQ32/Inv_SY_B!$FG32-1</f>
        <v>-3.4651065398499381E-2</v>
      </c>
      <c r="BR32" s="81">
        <f>Inv_SY_B!BR32/Inv_SY_B!$FG32-1</f>
        <v>-4.9087057444169635E-2</v>
      </c>
      <c r="BS32" s="81">
        <f>Inv_SY_B!BS32/Inv_SY_B!$FG32-1</f>
        <v>-4.1957675857830279E-2</v>
      </c>
      <c r="BT32" s="81">
        <f>Inv_SY_B!BT32/Inv_SY_B!$FG32-1</f>
        <v>-4.1436712198721914E-2</v>
      </c>
      <c r="BU32" s="81">
        <f>Inv_SY_B!BU32/Inv_SY_B!$FG32-1</f>
        <v>-4.7644404468557888E-2</v>
      </c>
      <c r="BV32" s="81">
        <f>Inv_SY_B!BV32/Inv_SY_B!$FG32-1</f>
        <v>-4.5900084867526725E-2</v>
      </c>
      <c r="BW32" s="81">
        <f>Inv_SY_B!BW32/Inv_SY_B!$FG32-1</f>
        <v>-8.8410634072573213E-3</v>
      </c>
      <c r="BX32" s="81">
        <f>Inv_SY_B!BX32/Inv_SY_B!$FG32-1</f>
        <v>-2.2621570327931773E-2</v>
      </c>
      <c r="BY32" s="81">
        <f>Inv_SY_B!BY32/Inv_SY_B!$FG32-1</f>
        <v>-2.1859992304653297E-2</v>
      </c>
      <c r="BZ32" s="81">
        <f>Inv_SY_B!BZ32/Inv_SY_B!$FG32-1</f>
        <v>-4.3394429218766795E-2</v>
      </c>
      <c r="CA32" s="81">
        <f>Inv_SY_B!CA32/Inv_SY_B!$FG32-1</f>
        <v>-3.0798417429186098E-2</v>
      </c>
      <c r="CB32" s="81">
        <f>Inv_SY_B!CB32/Inv_SY_B!$FG32-1</f>
        <v>-2.4580280547351507E-2</v>
      </c>
      <c r="CC32" s="81">
        <f>Inv_SY_B!CC32/Inv_SY_B!$FG32-1</f>
        <v>-1.8252337308989564E-2</v>
      </c>
      <c r="CD32" s="81">
        <f>Inv_SY_B!CD32/Inv_SY_B!$FG32-1</f>
        <v>-3.2527242968797276E-2</v>
      </c>
      <c r="CE32" s="81">
        <f>Inv_SY_B!CE32/Inv_SY_B!$FG32-1</f>
        <v>-4.7214198444913147E-2</v>
      </c>
      <c r="CF32" s="81">
        <f>Inv_SY_B!CF32/Inv_SY_B!$FG32-1</f>
        <v>-4.86592522116015E-2</v>
      </c>
      <c r="CG32" s="81">
        <f>Inv_SY_B!CG32/Inv_SY_B!$FG32-1</f>
        <v>-6.2632411929421816E-2</v>
      </c>
      <c r="CH32" s="81">
        <f>Inv_SY_B!CH32/Inv_SY_B!$FG32-1</f>
        <v>-6.1466844606931859E-2</v>
      </c>
      <c r="CI32" s="81">
        <f>Inv_SY_B!CI32/Inv_SY_B!$FG32-1</f>
        <v>-4.5829417851523502E-2</v>
      </c>
      <c r="CJ32" s="81">
        <f>Inv_SY_B!CJ32/Inv_SY_B!$FG32-1</f>
        <v>-5.4814370480455565E-2</v>
      </c>
      <c r="CK32" s="81">
        <f>Inv_SY_B!CK32/Inv_SY_B!$FG32-1</f>
        <v>-3.7066707867123405E-2</v>
      </c>
      <c r="CL32" s="81">
        <f>Inv_SY_B!CL32/Inv_SY_B!$FG32-1</f>
        <v>-5.0070647431872395E-2</v>
      </c>
      <c r="CM32" s="81">
        <f>Inv_SY_B!CM32/Inv_SY_B!$FG32-1</f>
        <v>-1.590968908115975E-2</v>
      </c>
      <c r="CN32" s="81">
        <f>Inv_SY_B!CN32/Inv_SY_B!$FG32-1</f>
        <v>-3.9613830726863641E-2</v>
      </c>
      <c r="CO32" s="81">
        <f>Inv_SY_B!CO32/Inv_SY_B!$FG32-1</f>
        <v>-2.0486755886949037E-2</v>
      </c>
      <c r="CP32" s="81">
        <f>Inv_SY_B!CP32/Inv_SY_B!$FG32-1</f>
        <v>-1.959066093641304E-2</v>
      </c>
      <c r="CQ32" s="81">
        <f>Inv_SY_B!CQ32/Inv_SY_B!$FG32-1</f>
        <v>-1.4705197816478388E-2</v>
      </c>
      <c r="CR32" s="81">
        <f>Inv_SY_B!CR32/Inv_SY_B!$FG32-1</f>
        <v>4.9564855424004683E-3</v>
      </c>
      <c r="CS32" s="81">
        <f>Inv_SY_B!CS32/Inv_SY_B!$FG32-1</f>
        <v>-6.56836519905446E-4</v>
      </c>
      <c r="CT32" s="81">
        <f>Inv_SY_B!CT32/Inv_SY_B!$FG32-1</f>
        <v>-1.5422172820283908E-2</v>
      </c>
      <c r="CU32" s="81">
        <f>Inv_SY_B!CU32/Inv_SY_B!$FG32-1</f>
        <v>4.0655940523157685E-3</v>
      </c>
      <c r="CV32" s="81">
        <f>Inv_SY_B!CV32/Inv_SY_B!$FG32-1</f>
        <v>-3.0260637878356533E-3</v>
      </c>
      <c r="CW32" s="81">
        <f>Inv_SY_B!CW32/Inv_SY_B!$FG32-1</f>
        <v>-1.22954437524192E-3</v>
      </c>
      <c r="CX32" s="81">
        <f>Inv_SY_B!CX32/Inv_SY_B!$FG32-1</f>
        <v>1.1725361132608247E-2</v>
      </c>
      <c r="CY32" s="81">
        <f>Inv_SY_B!CY32/Inv_SY_B!$FG32-1</f>
        <v>-2.5415278114896522E-2</v>
      </c>
      <c r="CZ32" s="81">
        <f>Inv_SY_B!CZ32/Inv_SY_B!$FG32-1</f>
        <v>1.4007644019823351E-2</v>
      </c>
      <c r="DA32" s="81">
        <f>Inv_SY_B!DA32/Inv_SY_B!$FG32-1</f>
        <v>8.2750257936892169E-4</v>
      </c>
      <c r="DB32" s="81">
        <f>Inv_SY_B!DB32/Inv_SY_B!$FG32-1</f>
        <v>9.023280097744335E-3</v>
      </c>
      <c r="DC32" s="81">
        <f>Inv_SY_B!DC32/Inv_SY_B!$FG32-1</f>
        <v>-7.5582054354274009E-3</v>
      </c>
      <c r="DD32" s="81">
        <f>Inv_SY_B!DD32/Inv_SY_B!$FG32-1</f>
        <v>2.1693556418758142E-3</v>
      </c>
      <c r="DE32" s="81">
        <f>Inv_SY_B!DE32/Inv_SY_B!$FG32-1</f>
        <v>-3.0456043592971271E-3</v>
      </c>
      <c r="DF32" s="81">
        <f>Inv_SY_B!DF32/Inv_SY_B!$FG32-1</f>
        <v>-5.9955772335129609E-4</v>
      </c>
      <c r="DG32" s="81">
        <f>Inv_SY_B!DG32/Inv_SY_B!$FG32-1</f>
        <v>-1.4631880956889276E-2</v>
      </c>
      <c r="DH32" s="81">
        <f>Inv_SY_B!DH32/Inv_SY_B!$FG32-1</f>
        <v>-2.1895814282180903E-2</v>
      </c>
      <c r="DI32" s="81">
        <f>Inv_SY_B!DI32/Inv_SY_B!$FG32-1</f>
        <v>1.2024034422363439E-2</v>
      </c>
      <c r="DJ32" s="81">
        <f>Inv_SY_B!DJ32/Inv_SY_B!$FG32-1</f>
        <v>1.0352148177800391E-2</v>
      </c>
      <c r="DK32" s="81">
        <f>Inv_SY_B!DK32/Inv_SY_B!$FG32-1</f>
        <v>-0.22667777607740991</v>
      </c>
      <c r="DL32" s="81">
        <f>Inv_SY_B!DL32/Inv_SY_B!$FG32-1</f>
        <v>-0.21890312560976377</v>
      </c>
      <c r="DM32" s="81">
        <f>Inv_SY_B!DM32/Inv_SY_B!$FG32-1</f>
        <v>-0.22939398267921129</v>
      </c>
      <c r="DN32" s="81">
        <f>Inv_SY_B!DN32/Inv_SY_B!$FG32-1</f>
        <v>-0.21584071079263289</v>
      </c>
      <c r="DO32" s="81">
        <f>Inv_SY_B!DO32/Inv_SY_B!$FG32-1</f>
        <v>-0.21104819349181958</v>
      </c>
      <c r="DP32" s="81">
        <f>Inv_SY_B!DP32/Inv_SY_B!$FG32-1</f>
        <v>-0.2143530547502619</v>
      </c>
      <c r="DQ32" s="81">
        <f>Inv_SY_B!DQ32/Inv_SY_B!$FG32-1</f>
        <v>-0.21641035238372774</v>
      </c>
      <c r="DR32" s="81">
        <f>Inv_SY_B!DR32/Inv_SY_B!$FG32-1</f>
        <v>-0.2211687474940367</v>
      </c>
      <c r="DS32" s="81">
        <f>Inv_SY_B!DS32/Inv_SY_B!$FG32-1</f>
        <v>-1.506982939746937E-3</v>
      </c>
      <c r="DT32" s="81">
        <f>Inv_SY_B!DT32/Inv_SY_B!$FG32-1</f>
        <v>7.1641740153012279E-3</v>
      </c>
      <c r="DU32" s="81">
        <f>Inv_SY_B!DU32/Inv_SY_B!$FG32-1</f>
        <v>2.0937269781005519E-2</v>
      </c>
      <c r="DV32" s="81">
        <f>Inv_SY_B!DV32/Inv_SY_B!$FG32-1</f>
        <v>1.5438505311808015E-2</v>
      </c>
      <c r="DW32" s="81">
        <f>Inv_SY_B!DW32/Inv_SY_B!$FG32-1</f>
        <v>2.776011484875629E-2</v>
      </c>
      <c r="DX32" s="81">
        <f>Inv_SY_B!DX32/Inv_SY_B!$FG32-1</f>
        <v>1.1797515505085121E-2</v>
      </c>
      <c r="DY32" s="81">
        <f>Inv_SY_B!DY32/Inv_SY_B!$FG32-1</f>
        <v>5.0041348601133073E-3</v>
      </c>
      <c r="DZ32" s="81">
        <f>Inv_SY_B!DZ32/Inv_SY_B!$FG32-1</f>
        <v>8.0020809820362526E-3</v>
      </c>
      <c r="EA32" s="81">
        <f>Inv_SY_B!EA32/Inv_SY_B!$FG32-1</f>
        <v>1.3605583822075662E-2</v>
      </c>
      <c r="EB32" s="81">
        <f>Inv_SY_B!EB32/Inv_SY_B!$FG32-1</f>
        <v>3.2771069149091003E-2</v>
      </c>
      <c r="EC32" s="81">
        <f>Inv_SY_B!EC32/Inv_SY_B!$FG32-1</f>
        <v>1.5317272709337804E-2</v>
      </c>
      <c r="ED32" s="81">
        <f>Inv_SY_B!ED32/Inv_SY_B!$FG32-1</f>
        <v>6.3338843846276749E-3</v>
      </c>
      <c r="EE32" s="81">
        <f>Inv_SY_B!EE32/Inv_SY_B!$FG32-1</f>
        <v>3.0439367535713968E-2</v>
      </c>
      <c r="EF32" s="81">
        <f>Inv_SY_B!EF32/Inv_SY_B!$FG32-1</f>
        <v>2.2979668012421683E-2</v>
      </c>
      <c r="EG32" s="81">
        <f>Inv_SY_B!EG32/Inv_SY_B!$FG32-1</f>
        <v>2.1380118771752166E-4</v>
      </c>
      <c r="EH32" s="81">
        <f>Inv_SY_B!EH32/Inv_SY_B!$FG32-1</f>
        <v>1.8176074912334972E-3</v>
      </c>
      <c r="EI32" s="81">
        <f>Inv_SY_B!EI32/Inv_SY_B!$FG32-1</f>
        <v>4.9195725401767199E-3</v>
      </c>
      <c r="EJ32" s="81">
        <f>Inv_SY_B!EJ32/Inv_SY_B!$FG32-1</f>
        <v>0.16097247159656924</v>
      </c>
      <c r="EK32" s="81">
        <f>Inv_SY_B!EK32/Inv_SY_B!$FG32-1</f>
        <v>2.1812998937211114E-2</v>
      </c>
      <c r="EL32" s="81">
        <f>Inv_SY_B!EL32/Inv_SY_B!$FG32-1</f>
        <v>0.15972142994484662</v>
      </c>
      <c r="EM32" s="81">
        <f>Inv_SY_B!EM32/Inv_SY_B!$FG32-1</f>
        <v>3.9550458430261282E-2</v>
      </c>
      <c r="EN32" s="81">
        <f>Inv_SY_B!EN32/Inv_SY_B!$FG32-1</f>
        <v>0.15756847454420853</v>
      </c>
      <c r="EO32" s="81">
        <f>Inv_SY_B!EO32/Inv_SY_B!$FG32-1</f>
        <v>5.0309836653969153E-2</v>
      </c>
      <c r="EP32" s="81">
        <f>Inv_SY_B!EP32/Inv_SY_B!$FG32-1</f>
        <v>0.13830152392044015</v>
      </c>
      <c r="EQ32" s="81">
        <f>Inv_SY_B!EQ32/Inv_SY_B!$FG32-1</f>
        <v>7.649917184423094E-3</v>
      </c>
      <c r="ER32" s="81">
        <f>Inv_SY_B!ER32/Inv_SY_B!$FG32-1</f>
        <v>3.544881422877344E-3</v>
      </c>
      <c r="ES32" s="81">
        <f>Inv_SY_B!ES32/Inv_SY_B!$FG32-1</f>
        <v>3.8007446417880342E-3</v>
      </c>
      <c r="ET32" s="81">
        <f>Inv_SY_B!ET32/Inv_SY_B!$FG32-1</f>
        <v>4.399671100405067E-3</v>
      </c>
      <c r="EU32" s="81">
        <f>Inv_SY_B!EU32/Inv_SY_B!$FG32-1</f>
        <v>6.9812506634086002E-3</v>
      </c>
      <c r="EV32" s="81">
        <f>Inv_SY_B!EV32/Inv_SY_B!$FG32-1</f>
        <v>-4.5912534121022031E-3</v>
      </c>
      <c r="EW32" s="81">
        <f>Inv_SY_B!EW32/Inv_SY_B!$FG32-1</f>
        <v>3.5348614994027416E-2</v>
      </c>
      <c r="EX32" s="81">
        <f>Inv_SY_B!EX32/Inv_SY_B!$FG32-1</f>
        <v>1.9207611473793351E-2</v>
      </c>
      <c r="EY32" s="81">
        <f>Inv_SY_B!EY32/Inv_SY_B!$FG32-1</f>
        <v>4.2136672879666826E-4</v>
      </c>
      <c r="EZ32" s="81">
        <f>Inv_SY_B!EZ32/Inv_SY_B!$FG32-1</f>
        <v>2.7709812383234222E-3</v>
      </c>
      <c r="FA32" s="81">
        <f>Inv_SY_B!FA32/Inv_SY_B!$FG32-1</f>
        <v>2.6793351638367824E-3</v>
      </c>
      <c r="FB32" s="81">
        <f>Inv_SY_B!FB32/Inv_SY_B!$FG32-1</f>
        <v>-5.8946642492451184E-3</v>
      </c>
      <c r="FC32" s="81">
        <f>Inv_SY_B!FC32/Inv_SY_B!$FG32-1</f>
        <v>-7.1156959216833737E-4</v>
      </c>
      <c r="FD32" s="81">
        <f>Inv_SY_B!FD32/Inv_SY_B!$FG32-1</f>
        <v>6.7894070321328215E-3</v>
      </c>
      <c r="FE32" s="81">
        <f>Inv_SY_B!FE32/Inv_SY_B!$FG32-1</f>
        <v>-1.1799828617666819E-3</v>
      </c>
      <c r="FF32" s="81">
        <f>Inv_SY_B!FF32/Inv_SY_B!$FG32-1</f>
        <v>1.8531560325731666E-2</v>
      </c>
    </row>
    <row r="33" spans="2:162">
      <c r="B33" s="104">
        <f t="shared" si="0"/>
        <v>45856</v>
      </c>
      <c r="C33" s="81">
        <f>Inv_SY_B!C33/Inv_SY_B!$FG33-1</f>
        <v>1.6397032587154303E-3</v>
      </c>
      <c r="D33" s="81">
        <f>Inv_SY_B!D33/Inv_SY_B!$FG33-1</f>
        <v>1.7556810695814606E-2</v>
      </c>
      <c r="E33" s="81">
        <f>Inv_SY_B!E33/Inv_SY_B!$FG33-1</f>
        <v>1.4063582549241671E-2</v>
      </c>
      <c r="F33" s="81">
        <f>Inv_SY_B!F33/Inv_SY_B!$FG33-1</f>
        <v>1.2711982765821528E-2</v>
      </c>
      <c r="G33" s="81">
        <f>Inv_SY_B!G33/Inv_SY_B!$FG33-1</f>
        <v>2.4954235006204195E-2</v>
      </c>
      <c r="H33" s="81">
        <f>Inv_SY_B!H33/Inv_SY_B!$FG33-1</f>
        <v>2.5365203023447913E-2</v>
      </c>
      <c r="I33" s="81">
        <f>Inv_SY_B!I33/Inv_SY_B!$FG33-1</f>
        <v>3.3584563368325382E-2</v>
      </c>
      <c r="J33" s="81">
        <f>Inv_SY_B!J33/Inv_SY_B!$FG33-1</f>
        <v>1.2359274007142318E-2</v>
      </c>
      <c r="K33" s="81">
        <f>Inv_SY_B!K33/Inv_SY_B!$FG33-1</f>
        <v>1.5501970609595128E-2</v>
      </c>
      <c r="L33" s="81">
        <f>Inv_SY_B!L33/Inv_SY_B!$FG33-1</f>
        <v>6.8206296337436356E-4</v>
      </c>
      <c r="M33" s="81">
        <f>Inv_SY_B!M33/Inv_SY_B!$FG33-1</f>
        <v>1.5700755786952181E-2</v>
      </c>
      <c r="N33" s="81">
        <f>Inv_SY_B!N33/Inv_SY_B!$FG33-1</f>
        <v>1.2419710480266355E-2</v>
      </c>
      <c r="O33" s="81">
        <f>Inv_SY_B!O33/Inv_SY_B!$FG33-1</f>
        <v>1.2506137313616605E-2</v>
      </c>
      <c r="P33" s="81">
        <f>Inv_SY_B!P33/Inv_SY_B!$FG33-1</f>
        <v>8.1045462992055395E-3</v>
      </c>
      <c r="Q33" s="81">
        <f>Inv_SY_B!Q33/Inv_SY_B!$FG33-1</f>
        <v>2.1666490868253341E-2</v>
      </c>
      <c r="R33" s="81">
        <f>Inv_SY_B!R33/Inv_SY_B!$FG33-1</f>
        <v>2.146100685963126E-2</v>
      </c>
      <c r="S33" s="81">
        <f>Inv_SY_B!S33/Inv_SY_B!$FG33-1</f>
        <v>1.5419777006146607E-2</v>
      </c>
      <c r="T33" s="81">
        <f>Inv_SY_B!T33/Inv_SY_B!$FG33-1</f>
        <v>1.3549872527686802E-2</v>
      </c>
      <c r="U33" s="81">
        <f>Inv_SY_B!U33/Inv_SY_B!$FG33-1</f>
        <v>1.295396890268341E-2</v>
      </c>
      <c r="V33" s="81">
        <f>Inv_SY_B!V33/Inv_SY_B!$FG33-1</f>
        <v>1.7043100674259737E-2</v>
      </c>
      <c r="W33" s="81">
        <f>Inv_SY_B!W33/Inv_SY_B!$FG33-1</f>
        <v>6.1720060277596911E-3</v>
      </c>
      <c r="X33" s="81">
        <f>Inv_SY_B!X33/Inv_SY_B!$FG33-1</f>
        <v>7.4388079480280922E-4</v>
      </c>
      <c r="Y33" s="81">
        <f>Inv_SY_B!Y33/Inv_SY_B!$FG33-1</f>
        <v>1.8069556369892936E-3</v>
      </c>
      <c r="Z33" s="81">
        <f>Inv_SY_B!Z33/Inv_SY_B!$FG33-1</f>
        <v>1.0527460913183351E-3</v>
      </c>
      <c r="AA33" s="81">
        <f>Inv_SY_B!AA33/Inv_SY_B!$FG33-1</f>
        <v>-1.3678299744783962E-2</v>
      </c>
      <c r="AB33" s="81">
        <f>Inv_SY_B!AB33/Inv_SY_B!$FG33-1</f>
        <v>-2.6816737430850224E-2</v>
      </c>
      <c r="AC33" s="81">
        <f>Inv_SY_B!AC33/Inv_SY_B!$FG33-1</f>
        <v>-2.749930465823669E-2</v>
      </c>
      <c r="AD33" s="81">
        <f>Inv_SY_B!AD33/Inv_SY_B!$FG33-1</f>
        <v>-2.8496721947663284E-2</v>
      </c>
      <c r="AE33" s="81">
        <f>Inv_SY_B!AE33/Inv_SY_B!$FG33-1</f>
        <v>8.4858332929820257E-3</v>
      </c>
      <c r="AF33" s="81">
        <f>Inv_SY_B!AF33/Inv_SY_B!$FG33-1</f>
        <v>1.3273753391101151E-2</v>
      </c>
      <c r="AG33" s="81">
        <f>Inv_SY_B!AG33/Inv_SY_B!$FG33-1</f>
        <v>7.5572825597871596E-3</v>
      </c>
      <c r="AH33" s="81">
        <f>Inv_SY_B!AH33/Inv_SY_B!$FG33-1</f>
        <v>5.0314187924820342E-3</v>
      </c>
      <c r="AI33" s="81">
        <f>Inv_SY_B!AI33/Inv_SY_B!$FG33-1</f>
        <v>1.7412971889779083E-2</v>
      </c>
      <c r="AJ33" s="81">
        <f>Inv_SY_B!AJ33/Inv_SY_B!$FG33-1</f>
        <v>1.6940358669948807E-2</v>
      </c>
      <c r="AK33" s="81">
        <f>Inv_SY_B!AK33/Inv_SY_B!$FG33-1</f>
        <v>2.5241912618274798E-2</v>
      </c>
      <c r="AL33" s="81">
        <f>Inv_SY_B!AL33/Inv_SY_B!$FG33-1</f>
        <v>1.3960840544930742E-2</v>
      </c>
      <c r="AM33" s="81">
        <f>Inv_SY_B!AM33/Inv_SY_B!$FG33-1</f>
        <v>2.2570620506189742E-2</v>
      </c>
      <c r="AN33" s="81">
        <f>Inv_SY_B!AN33/Inv_SY_B!$FG33-1</f>
        <v>5.3716089845337045E-3</v>
      </c>
      <c r="AO33" s="81">
        <f>Inv_SY_B!AO33/Inv_SY_B!$FG33-1</f>
        <v>1.0282676790598133E-2</v>
      </c>
      <c r="AP33" s="81">
        <f>Inv_SY_B!AP33/Inv_SY_B!$FG33-1</f>
        <v>7.5291910750641122E-3</v>
      </c>
      <c r="AQ33" s="81">
        <f>Inv_SY_B!AQ33/Inv_SY_B!$FG33-1</f>
        <v>2.5224028788085384E-2</v>
      </c>
      <c r="AR33" s="81">
        <f>Inv_SY_B!AR33/Inv_SY_B!$FG33-1</f>
        <v>8.5739814095120437E-4</v>
      </c>
      <c r="AS33" s="81">
        <f>Inv_SY_B!AS33/Inv_SY_B!$FG33-1</f>
        <v>2.7437970554831992E-2</v>
      </c>
      <c r="AT33" s="81">
        <f>Inv_SY_B!AT33/Inv_SY_B!$FG33-1</f>
        <v>1.9959359852256275E-2</v>
      </c>
      <c r="AU33" s="81">
        <f>Inv_SY_B!AU33/Inv_SY_B!$FG33-1</f>
        <v>-8.57745238288532E-2</v>
      </c>
      <c r="AV33" s="81">
        <f>Inv_SY_B!AV33/Inv_SY_B!$FG33-1</f>
        <v>-3.7921874768942487E-3</v>
      </c>
      <c r="AW33" s="81">
        <f>Inv_SY_B!AW33/Inv_SY_B!$FG33-1</f>
        <v>2.4888689332705605E-2</v>
      </c>
      <c r="AX33" s="81">
        <f>Inv_SY_B!AX33/Inv_SY_B!$FG33-1</f>
        <v>3.116551727990835E-2</v>
      </c>
      <c r="AY33" s="81">
        <f>Inv_SY_B!AY33/Inv_SY_B!$FG33-1</f>
        <v>-2.5433075772245739E-2</v>
      </c>
      <c r="AZ33" s="81">
        <f>Inv_SY_B!AZ33/Inv_SY_B!$FG33-1</f>
        <v>-1.1056197267748535E-2</v>
      </c>
      <c r="BA33" s="81">
        <f>Inv_SY_B!BA33/Inv_SY_B!$FG33-1</f>
        <v>-1.0304927848228118E-3</v>
      </c>
      <c r="BB33" s="81">
        <f>Inv_SY_B!BB33/Inv_SY_B!$FG33-1</f>
        <v>5.3441576052570827E-3</v>
      </c>
      <c r="BC33" s="81">
        <f>Inv_SY_B!BC33/Inv_SY_B!$FG33-1</f>
        <v>-1.4323717206734532E-3</v>
      </c>
      <c r="BD33" s="81">
        <f>Inv_SY_B!BD33/Inv_SY_B!$FG33-1</f>
        <v>2.4324965360473794E-3</v>
      </c>
      <c r="BE33" s="81">
        <f>Inv_SY_B!BE33/Inv_SY_B!$FG33-1</f>
        <v>-9.932463739302011E-3</v>
      </c>
      <c r="BF33" s="81">
        <f>Inv_SY_B!BF33/Inv_SY_B!$FG33-1</f>
        <v>-1.3630629118255633E-2</v>
      </c>
      <c r="BG33" s="81">
        <f>Inv_SY_B!BG33/Inv_SY_B!$FG33-1</f>
        <v>-1.4621006559101146E-2</v>
      </c>
      <c r="BH33" s="81">
        <f>Inv_SY_B!BH33/Inv_SY_B!$FG33-1</f>
        <v>-7.7753551437128587E-3</v>
      </c>
      <c r="BI33" s="81">
        <f>Inv_SY_B!BI33/Inv_SY_B!$FG33-1</f>
        <v>-1.0484417766485787E-2</v>
      </c>
      <c r="BJ33" s="81">
        <f>Inv_SY_B!BJ33/Inv_SY_B!$FG33-1</f>
        <v>1.5459469182399488E-4</v>
      </c>
      <c r="BK33" s="81">
        <f>Inv_SY_B!BK33/Inv_SY_B!$FG33-1</f>
        <v>-3.7505786348448478E-3</v>
      </c>
      <c r="BL33" s="81">
        <f>Inv_SY_B!BL33/Inv_SY_B!$FG33-1</f>
        <v>-1.2008424163765019E-2</v>
      </c>
      <c r="BM33" s="81">
        <f>Inv_SY_B!BM33/Inv_SY_B!$FG33-1</f>
        <v>-1.7146502874592517E-2</v>
      </c>
      <c r="BN33" s="81">
        <f>Inv_SY_B!BN33/Inv_SY_B!$FG33-1</f>
        <v>-1.5324226653845696E-2</v>
      </c>
      <c r="BO33" s="81">
        <f>Inv_SY_B!BO33/Inv_SY_B!$FG33-1</f>
        <v>-4.3166612484770939E-2</v>
      </c>
      <c r="BP33" s="81">
        <f>Inv_SY_B!BP33/Inv_SY_B!$FG33-1</f>
        <v>-2.409261643577032E-2</v>
      </c>
      <c r="BQ33" s="81">
        <f>Inv_SY_B!BQ33/Inv_SY_B!$FG33-1</f>
        <v>-2.2117095416409494E-2</v>
      </c>
      <c r="BR33" s="81">
        <f>Inv_SY_B!BR33/Inv_SY_B!$FG33-1</f>
        <v>-2.2668878873541187E-2</v>
      </c>
      <c r="BS33" s="81">
        <f>Inv_SY_B!BS33/Inv_SY_B!$FG33-1</f>
        <v>-2.5026316296546725E-2</v>
      </c>
      <c r="BT33" s="81">
        <f>Inv_SY_B!BT33/Inv_SY_B!$FG33-1</f>
        <v>-1.853114158331326E-2</v>
      </c>
      <c r="BU33" s="81">
        <f>Inv_SY_B!BU33/Inv_SY_B!$FG33-1</f>
        <v>-3.8348221732352306E-2</v>
      </c>
      <c r="BV33" s="81">
        <f>Inv_SY_B!BV33/Inv_SY_B!$FG33-1</f>
        <v>-2.7860719514690047E-2</v>
      </c>
      <c r="BW33" s="81">
        <f>Inv_SY_B!BW33/Inv_SY_B!$FG33-1</f>
        <v>1.7970012234891364E-2</v>
      </c>
      <c r="BX33" s="81">
        <f>Inv_SY_B!BX33/Inv_SY_B!$FG33-1</f>
        <v>1.1760952923213441E-2</v>
      </c>
      <c r="BY33" s="81">
        <f>Inv_SY_B!BY33/Inv_SY_B!$FG33-1</f>
        <v>-1.1355278564931126E-2</v>
      </c>
      <c r="BZ33" s="81">
        <f>Inv_SY_B!BZ33/Inv_SY_B!$FG33-1</f>
        <v>-2.2035503217193386E-2</v>
      </c>
      <c r="CA33" s="81">
        <f>Inv_SY_B!CA33/Inv_SY_B!$FG33-1</f>
        <v>-1.4656121913876885E-2</v>
      </c>
      <c r="CB33" s="81">
        <f>Inv_SY_B!CB33/Inv_SY_B!$FG33-1</f>
        <v>-5.3953249755708255E-3</v>
      </c>
      <c r="CC33" s="81">
        <f>Inv_SY_B!CC33/Inv_SY_B!$FG33-1</f>
        <v>-5.6946833750363135E-3</v>
      </c>
      <c r="CD33" s="81">
        <f>Inv_SY_B!CD33/Inv_SY_B!$FG33-1</f>
        <v>-1.1091567196387708E-2</v>
      </c>
      <c r="CE33" s="81">
        <f>Inv_SY_B!CE33/Inv_SY_B!$FG33-1</f>
        <v>-2.3967230457278554E-2</v>
      </c>
      <c r="CF33" s="81">
        <f>Inv_SY_B!CF33/Inv_SY_B!$FG33-1</f>
        <v>-2.0138276908063357E-2</v>
      </c>
      <c r="CG33" s="81">
        <f>Inv_SY_B!CG33/Inv_SY_B!$FG33-1</f>
        <v>-3.0285377021129878E-2</v>
      </c>
      <c r="CH33" s="81">
        <f>Inv_SY_B!CH33/Inv_SY_B!$FG33-1</f>
        <v>-6.4766209974902789E-2</v>
      </c>
      <c r="CI33" s="81">
        <f>Inv_SY_B!CI33/Inv_SY_B!$FG33-1</f>
        <v>-2.5453661008753459E-2</v>
      </c>
      <c r="CJ33" s="81">
        <f>Inv_SY_B!CJ33/Inv_SY_B!$FG33-1</f>
        <v>-3.3636722781779649E-2</v>
      </c>
      <c r="CK33" s="81">
        <f>Inv_SY_B!CK33/Inv_SY_B!$FG33-1</f>
        <v>-2.0930665187837039E-2</v>
      </c>
      <c r="CL33" s="81">
        <f>Inv_SY_B!CL33/Inv_SY_B!$FG33-1</f>
        <v>-3.1221612885740657E-2</v>
      </c>
      <c r="CM33" s="81">
        <f>Inv_SY_B!CM33/Inv_SY_B!$FG33-1</f>
        <v>-4.1750312817492308E-3</v>
      </c>
      <c r="CN33" s="81">
        <f>Inv_SY_B!CN33/Inv_SY_B!$FG33-1</f>
        <v>-1.8111813649340003E-2</v>
      </c>
      <c r="CO33" s="81">
        <f>Inv_SY_B!CO33/Inv_SY_B!$FG33-1</f>
        <v>-1.2355363868952196E-2</v>
      </c>
      <c r="CP33" s="81">
        <f>Inv_SY_B!CP33/Inv_SY_B!$FG33-1</f>
        <v>-4.5761715370329359E-3</v>
      </c>
      <c r="CQ33" s="81">
        <f>Inv_SY_B!CQ33/Inv_SY_B!$FG33-1</f>
        <v>-9.2499725846894032E-3</v>
      </c>
      <c r="CR33" s="81">
        <f>Inv_SY_B!CR33/Inv_SY_B!$FG33-1</f>
        <v>-1.4924398425382179E-3</v>
      </c>
      <c r="CS33" s="81">
        <f>Inv_SY_B!CS33/Inv_SY_B!$FG33-1</f>
        <v>-1.4415537839467807E-2</v>
      </c>
      <c r="CT33" s="81">
        <f>Inv_SY_B!CT33/Inv_SY_B!$FG33-1</f>
        <v>-3.0663513695157185E-3</v>
      </c>
      <c r="CU33" s="81">
        <f>Inv_SY_B!CU33/Inv_SY_B!$FG33-1</f>
        <v>3.0278583821921057E-3</v>
      </c>
      <c r="CV33" s="81">
        <f>Inv_SY_B!CV33/Inv_SY_B!$FG33-1</f>
        <v>-3.4967646983447009E-3</v>
      </c>
      <c r="CW33" s="81">
        <f>Inv_SY_B!CW33/Inv_SY_B!$FG33-1</f>
        <v>-4.7321690450063958E-3</v>
      </c>
      <c r="CX33" s="81">
        <f>Inv_SY_B!CX33/Inv_SY_B!$FG33-1</f>
        <v>-2.6213875250388208E-3</v>
      </c>
      <c r="CY33" s="81">
        <f>Inv_SY_B!CY33/Inv_SY_B!$FG33-1</f>
        <v>-3.3951394844592198E-2</v>
      </c>
      <c r="CZ33" s="81">
        <f>Inv_SY_B!CZ33/Inv_SY_B!$FG33-1</f>
        <v>-3.3514357508322989E-3</v>
      </c>
      <c r="DA33" s="81">
        <f>Inv_SY_B!DA33/Inv_SY_B!$FG33-1</f>
        <v>-1.4540451935244891E-2</v>
      </c>
      <c r="DB33" s="81">
        <f>Inv_SY_B!DB33/Inv_SY_B!$FG33-1</f>
        <v>-1.4158361759927018E-2</v>
      </c>
      <c r="DC33" s="81">
        <f>Inv_SY_B!DC33/Inv_SY_B!$FG33-1</f>
        <v>-1.9359838523598905E-2</v>
      </c>
      <c r="DD33" s="81">
        <f>Inv_SY_B!DD33/Inv_SY_B!$FG33-1</f>
        <v>-1.8132645655782986E-2</v>
      </c>
      <c r="DE33" s="81">
        <f>Inv_SY_B!DE33/Inv_SY_B!$FG33-1</f>
        <v>-1.822005345746458E-2</v>
      </c>
      <c r="DF33" s="81">
        <f>Inv_SY_B!DF33/Inv_SY_B!$FG33-1</f>
        <v>-2.1380723327033557E-2</v>
      </c>
      <c r="DG33" s="81">
        <f>Inv_SY_B!DG33/Inv_SY_B!$FG33-1</f>
        <v>-2.0810649684051219E-2</v>
      </c>
      <c r="DH33" s="81">
        <f>Inv_SY_B!DH33/Inv_SY_B!$FG33-1</f>
        <v>-4.2083397730075189E-2</v>
      </c>
      <c r="DI33" s="81">
        <f>Inv_SY_B!DI33/Inv_SY_B!$FG33-1</f>
        <v>-2.2743775891423956E-3</v>
      </c>
      <c r="DJ33" s="81">
        <f>Inv_SY_B!DJ33/Inv_SY_B!$FG33-1</f>
        <v>-7.8559538344957769E-2</v>
      </c>
      <c r="DK33" s="81">
        <f>Inv_SY_B!DK33/Inv_SY_B!$FG33-1</f>
        <v>-1.2134046766304585E-2</v>
      </c>
      <c r="DL33" s="81">
        <f>Inv_SY_B!DL33/Inv_SY_B!$FG33-1</f>
        <v>-1.1170220645261408E-2</v>
      </c>
      <c r="DM33" s="81">
        <f>Inv_SY_B!DM33/Inv_SY_B!$FG33-1</f>
        <v>-2.1573605386689398E-2</v>
      </c>
      <c r="DN33" s="81">
        <f>Inv_SY_B!DN33/Inv_SY_B!$FG33-1</f>
        <v>-1.016521919157154E-2</v>
      </c>
      <c r="DO33" s="81">
        <f>Inv_SY_B!DO33/Inv_SY_B!$FG33-1</f>
        <v>-1.7424437171968621E-2</v>
      </c>
      <c r="DP33" s="81">
        <f>Inv_SY_B!DP33/Inv_SY_B!$FG33-1</f>
        <v>-1.6249577580419006E-2</v>
      </c>
      <c r="DQ33" s="81">
        <f>Inv_SY_B!DQ33/Inv_SY_B!$FG33-1</f>
        <v>-1.8282976216563718E-2</v>
      </c>
      <c r="DR33" s="81">
        <f>Inv_SY_B!DR33/Inv_SY_B!$FG33-1</f>
        <v>-1.8594649132007146E-2</v>
      </c>
      <c r="DS33" s="81">
        <f>Inv_SY_B!DS33/Inv_SY_B!$FG33-1</f>
        <v>-1.7775730465581785E-2</v>
      </c>
      <c r="DT33" s="81">
        <f>Inv_SY_B!DT33/Inv_SY_B!$FG33-1</f>
        <v>-1.4838721758712481E-2</v>
      </c>
      <c r="DU33" s="81">
        <f>Inv_SY_B!DU33/Inv_SY_B!$FG33-1</f>
        <v>-1.6727152316283744E-3</v>
      </c>
      <c r="DV33" s="81">
        <f>Inv_SY_B!DV33/Inv_SY_B!$FG33-1</f>
        <v>-3.9331681714987576E-2</v>
      </c>
      <c r="DW33" s="81">
        <f>Inv_SY_B!DW33/Inv_SY_B!$FG33-1</f>
        <v>1.4625798767076148E-4</v>
      </c>
      <c r="DX33" s="81">
        <f>Inv_SY_B!DX33/Inv_SY_B!$FG33-1</f>
        <v>-2.181261931372025E-2</v>
      </c>
      <c r="DY33" s="81">
        <f>Inv_SY_B!DY33/Inv_SY_B!$FG33-1</f>
        <v>-2.0017503745988985E-2</v>
      </c>
      <c r="DZ33" s="81">
        <f>Inv_SY_B!DZ33/Inv_SY_B!$FG33-1</f>
        <v>-1.6645757915486614E-2</v>
      </c>
      <c r="EA33" s="81">
        <f>Inv_SY_B!EA33/Inv_SY_B!$FG33-1</f>
        <v>-2.1037821887645913E-2</v>
      </c>
      <c r="EB33" s="81">
        <f>Inv_SY_B!EB33/Inv_SY_B!$FG33-1</f>
        <v>4.0368458675907881E-3</v>
      </c>
      <c r="EC33" s="81">
        <f>Inv_SY_B!EC33/Inv_SY_B!$FG33-1</f>
        <v>-1.0370245858657978E-2</v>
      </c>
      <c r="ED33" s="81">
        <f>Inv_SY_B!ED33/Inv_SY_B!$FG33-1</f>
        <v>-1.7880401020191394E-2</v>
      </c>
      <c r="EE33" s="81">
        <f>Inv_SY_B!EE33/Inv_SY_B!$FG33-1</f>
        <v>-6.2607428940258947E-3</v>
      </c>
      <c r="EF33" s="81">
        <f>Inv_SY_B!EF33/Inv_SY_B!$FG33-1</f>
        <v>-1.3154150401719744E-2</v>
      </c>
      <c r="EG33" s="81">
        <f>Inv_SY_B!EG33/Inv_SY_B!$FG33-1</f>
        <v>-3.0253298071194257E-2</v>
      </c>
      <c r="EH33" s="81">
        <f>Inv_SY_B!EH33/Inv_SY_B!$FG33-1</f>
        <v>-2.8367340154561105E-2</v>
      </c>
      <c r="EI33" s="81">
        <f>Inv_SY_B!EI33/Inv_SY_B!$FG33-1</f>
        <v>2.087473529753181E-2</v>
      </c>
      <c r="EJ33" s="81">
        <f>Inv_SY_B!EJ33/Inv_SY_B!$FG33-1</f>
        <v>0.15741403263829779</v>
      </c>
      <c r="EK33" s="81">
        <f>Inv_SY_B!EK33/Inv_SY_B!$FG33-1</f>
        <v>2.9447271282228238E-2</v>
      </c>
      <c r="EL33" s="81">
        <f>Inv_SY_B!EL33/Inv_SY_B!$FG33-1</f>
        <v>0.16018252720883908</v>
      </c>
      <c r="EM33" s="81">
        <f>Inv_SY_B!EM33/Inv_SY_B!$FG33-1</f>
        <v>2.7873627352643204E-2</v>
      </c>
      <c r="EN33" s="81">
        <f>Inv_SY_B!EN33/Inv_SY_B!$FG33-1</f>
        <v>0.13621208373163118</v>
      </c>
      <c r="EO33" s="81">
        <f>Inv_SY_B!EO33/Inv_SY_B!$FG33-1</f>
        <v>1.5824082846548349E-2</v>
      </c>
      <c r="EP33" s="81">
        <f>Inv_SY_B!EP33/Inv_SY_B!$FG33-1</f>
        <v>0.11935888620171786</v>
      </c>
      <c r="EQ33" s="81">
        <f>Inv_SY_B!EQ33/Inv_SY_B!$FG33-1</f>
        <v>2.1905924408734512E-2</v>
      </c>
      <c r="ER33" s="81">
        <f>Inv_SY_B!ER33/Inv_SY_B!$FG33-1</f>
        <v>2.3960848252022604E-2</v>
      </c>
      <c r="ES33" s="81">
        <f>Inv_SY_B!ES33/Inv_SY_B!$FG33-1</f>
        <v>1.0970035270143397E-2</v>
      </c>
      <c r="ET33" s="81">
        <f>Inv_SY_B!ET33/Inv_SY_B!$FG33-1</f>
        <v>1.7306467502211875E-2</v>
      </c>
      <c r="EU33" s="81">
        <f>Inv_SY_B!EU33/Inv_SY_B!$FG33-1</f>
        <v>2.0339454881586061E-2</v>
      </c>
      <c r="EV33" s="81">
        <f>Inv_SY_B!EV33/Inv_SY_B!$FG33-1</f>
        <v>1.045434155613445E-2</v>
      </c>
      <c r="EW33" s="81">
        <f>Inv_SY_B!EW33/Inv_SY_B!$FG33-1</f>
        <v>1.7324276643869929E-2</v>
      </c>
      <c r="EX33" s="81">
        <f>Inv_SY_B!EX33/Inv_SY_B!$FG33-1</f>
        <v>2.8646362990700336E-2</v>
      </c>
      <c r="EY33" s="81">
        <f>Inv_SY_B!EY33/Inv_SY_B!$FG33-1</f>
        <v>1.4930710696115179E-2</v>
      </c>
      <c r="EZ33" s="81">
        <f>Inv_SY_B!EZ33/Inv_SY_B!$FG33-1</f>
        <v>2.3408395933008697E-2</v>
      </c>
      <c r="FA33" s="81">
        <f>Inv_SY_B!FA33/Inv_SY_B!$FG33-1</f>
        <v>2.8323316564234702E-2</v>
      </c>
      <c r="FB33" s="81">
        <f>Inv_SY_B!FB33/Inv_SY_B!$FG33-1</f>
        <v>1.5578813066986275E-2</v>
      </c>
      <c r="FC33" s="81">
        <f>Inv_SY_B!FC33/Inv_SY_B!$FG33-1</f>
        <v>2.0703284577837877E-2</v>
      </c>
      <c r="FD33" s="81">
        <f>Inv_SY_B!FD33/Inv_SY_B!$FG33-1</f>
        <v>1.8117236222454647E-2</v>
      </c>
      <c r="FE33" s="81">
        <f>Inv_SY_B!FE33/Inv_SY_B!$FG33-1</f>
        <v>1.6474166825387826E-2</v>
      </c>
      <c r="FF33" s="81">
        <f>Inv_SY_B!FF33/Inv_SY_B!$FG33-1</f>
        <v>2.1996308755529492E-2</v>
      </c>
    </row>
    <row r="34" spans="2:162">
      <c r="B34" s="104">
        <f t="shared" si="0"/>
        <v>45857</v>
      </c>
      <c r="C34" s="81">
        <f>Inv_SY_B!C34/Inv_SY_B!$FG34-1</f>
        <v>-3.9705934894426198E-3</v>
      </c>
      <c r="D34" s="81">
        <f>Inv_SY_B!D34/Inv_SY_B!$FG34-1</f>
        <v>1.3940675877266662E-2</v>
      </c>
      <c r="E34" s="81">
        <f>Inv_SY_B!E34/Inv_SY_B!$FG34-1</f>
        <v>1.2764683444098868E-2</v>
      </c>
      <c r="F34" s="81">
        <f>Inv_SY_B!F34/Inv_SY_B!$FG34-1</f>
        <v>1.077207017845816E-2</v>
      </c>
      <c r="G34" s="81">
        <f>Inv_SY_B!G34/Inv_SY_B!$FG34-1</f>
        <v>2.3819012315876131E-2</v>
      </c>
      <c r="H34" s="81">
        <f>Inv_SY_B!H34/Inv_SY_B!$FG34-1</f>
        <v>2.5230203235677484E-2</v>
      </c>
      <c r="I34" s="81">
        <f>Inv_SY_B!I34/Inv_SY_B!$FG34-1</f>
        <v>2.3113416855975455E-2</v>
      </c>
      <c r="J34" s="81">
        <f>Inv_SY_B!J34/Inv_SY_B!$FG34-1</f>
        <v>1.01553637629761E-2</v>
      </c>
      <c r="K34" s="81">
        <f>Inv_SY_B!K34/Inv_SY_B!$FG34-1</f>
        <v>9.9893413018228294E-3</v>
      </c>
      <c r="L34" s="81">
        <f>Inv_SY_B!L34/Inv_SY_B!$FG34-1</f>
        <v>-1.4176442717506954E-2</v>
      </c>
      <c r="M34" s="81">
        <f>Inv_SY_B!M34/Inv_SY_B!$FG34-1</f>
        <v>1.2873622570130694E-2</v>
      </c>
      <c r="N34" s="81">
        <f>Inv_SY_B!N34/Inv_SY_B!$FG34-1</f>
        <v>8.3429518953881399E-3</v>
      </c>
      <c r="O34" s="81">
        <f>Inv_SY_B!O34/Inv_SY_B!$FG34-1</f>
        <v>9.7547719591164483E-3</v>
      </c>
      <c r="P34" s="81">
        <f>Inv_SY_B!P34/Inv_SY_B!$FG34-1</f>
        <v>7.3551182515270153E-3</v>
      </c>
      <c r="Q34" s="81">
        <f>Inv_SY_B!Q34/Inv_SY_B!$FG34-1</f>
        <v>1.7233454690136485E-2</v>
      </c>
      <c r="R34" s="81">
        <f>Inv_SY_B!R34/Inv_SY_B!$FG34-1</f>
        <v>1.4810910277810674E-2</v>
      </c>
      <c r="S34" s="81">
        <f>Inv_SY_B!S34/Inv_SY_B!$FG34-1</f>
        <v>1.3823076633949771E-2</v>
      </c>
      <c r="T34" s="81">
        <f>Inv_SY_B!T34/Inv_SY_B!$FG34-1</f>
        <v>8.0842335600912474E-3</v>
      </c>
      <c r="U34" s="81">
        <f>Inv_SY_B!U34/Inv_SY_B!$FG34-1</f>
        <v>1.2317806319495306E-2</v>
      </c>
      <c r="V34" s="81">
        <f>Inv_SY_B!V34/Inv_SY_B!$FG34-1</f>
        <v>1.6198581348948915E-2</v>
      </c>
      <c r="W34" s="81">
        <f>Inv_SY_B!W34/Inv_SY_B!$FG34-1</f>
        <v>9.1769907315493171E-3</v>
      </c>
      <c r="X34" s="81">
        <f>Inv_SY_B!X34/Inv_SY_B!$FG34-1</f>
        <v>-1.0466943543272489E-3</v>
      </c>
      <c r="Y34" s="81">
        <f>Inv_SY_B!Y34/Inv_SY_B!$FG34-1</f>
        <v>9.1955910673748864E-3</v>
      </c>
      <c r="Z34" s="81">
        <f>Inv_SY_B!Z34/Inv_SY_B!$FG34-1</f>
        <v>4.6580384056784663E-3</v>
      </c>
      <c r="AA34" s="81">
        <f>Inv_SY_B!AA34/Inv_SY_B!$FG34-1</f>
        <v>-5.5152369351694208E-3</v>
      </c>
      <c r="AB34" s="81">
        <f>Inv_SY_B!AB34/Inv_SY_B!$FG34-1</f>
        <v>-2.2739356276921918E-2</v>
      </c>
      <c r="AC34" s="81">
        <f>Inv_SY_B!AC34/Inv_SY_B!$FG34-1</f>
        <v>-2.1934797611106949E-2</v>
      </c>
      <c r="AD34" s="81">
        <f>Inv_SY_B!AD34/Inv_SY_B!$FG34-1</f>
        <v>-2.197935966471376E-2</v>
      </c>
      <c r="AE34" s="81">
        <f>Inv_SY_B!AE34/Inv_SY_B!$FG34-1</f>
        <v>1.8257874765251536E-2</v>
      </c>
      <c r="AF34" s="81">
        <f>Inv_SY_B!AF34/Inv_SY_B!$FG34-1</f>
        <v>2.5805263535496614E-2</v>
      </c>
      <c r="AG34" s="81">
        <f>Inv_SY_B!AG34/Inv_SY_B!$FG34-1</f>
        <v>2.1381581923383797E-2</v>
      </c>
      <c r="AH34" s="81">
        <f>Inv_SY_B!AH34/Inv_SY_B!$FG34-1</f>
        <v>1.5699437893982093E-2</v>
      </c>
      <c r="AI34" s="81">
        <f>Inv_SY_B!AI34/Inv_SY_B!$FG34-1</f>
        <v>2.2407821396074779E-2</v>
      </c>
      <c r="AJ34" s="81">
        <f>Inv_SY_B!AJ34/Inv_SY_B!$FG34-1</f>
        <v>1.8456486820630946E-2</v>
      </c>
      <c r="AK34" s="81">
        <f>Inv_SY_B!AK34/Inv_SY_B!$FG34-1</f>
        <v>2.7488108707359515E-2</v>
      </c>
      <c r="AL34" s="81">
        <f>Inv_SY_B!AL34/Inv_SY_B!$FG34-1</f>
        <v>1.7797931058056937E-2</v>
      </c>
      <c r="AM34" s="81">
        <f>Inv_SY_B!AM34/Inv_SY_B!$FG34-1</f>
        <v>2.5441881873647487E-2</v>
      </c>
      <c r="AN34" s="81">
        <f>Inv_SY_B!AN34/Inv_SY_B!$FG34-1</f>
        <v>1.0600857367070171E-2</v>
      </c>
      <c r="AO34" s="81">
        <f>Inv_SY_B!AO34/Inv_SY_B!$FG34-1</f>
        <v>1.5869303467661577E-2</v>
      </c>
      <c r="AP34" s="81">
        <f>Inv_SY_B!AP34/Inv_SY_B!$FG34-1</f>
        <v>9.8482222098428274E-3</v>
      </c>
      <c r="AQ34" s="81">
        <f>Inv_SY_B!AQ34/Inv_SY_B!$FG34-1</f>
        <v>3.8653909572159417E-2</v>
      </c>
      <c r="AR34" s="81">
        <f>Inv_SY_B!AR34/Inv_SY_B!$FG34-1</f>
        <v>1.5013759832368079E-2</v>
      </c>
      <c r="AS34" s="81">
        <f>Inv_SY_B!AS34/Inv_SY_B!$FG34-1</f>
        <v>4.0739771004076886E-2</v>
      </c>
      <c r="AT34" s="81">
        <f>Inv_SY_B!AT34/Inv_SY_B!$FG34-1</f>
        <v>3.3859047832207834E-2</v>
      </c>
      <c r="AU34" s="81">
        <f>Inv_SY_B!AU34/Inv_SY_B!$FG34-1</f>
        <v>-7.278088999926402E-2</v>
      </c>
      <c r="AV34" s="81">
        <f>Inv_SY_B!AV34/Inv_SY_B!$FG34-1</f>
        <v>2.1110966091626437E-3</v>
      </c>
      <c r="AW34" s="81">
        <f>Inv_SY_B!AW34/Inv_SY_B!$FG34-1</f>
        <v>4.0210452861739965E-2</v>
      </c>
      <c r="AX34" s="81">
        <f>Inv_SY_B!AX34/Inv_SY_B!$FG34-1</f>
        <v>4.4288122291216592E-2</v>
      </c>
      <c r="AY34" s="81">
        <f>Inv_SY_B!AY34/Inv_SY_B!$FG34-1</f>
        <v>-3.4452683365972958E-2</v>
      </c>
      <c r="AZ34" s="81">
        <f>Inv_SY_B!AZ34/Inv_SY_B!$FG34-1</f>
        <v>-1.3129894645861562E-2</v>
      </c>
      <c r="BA34" s="81">
        <f>Inv_SY_B!BA34/Inv_SY_B!$FG34-1</f>
        <v>-7.3261948957292766E-4</v>
      </c>
      <c r="BB34" s="81">
        <f>Inv_SY_B!BB34/Inv_SY_B!$FG34-1</f>
        <v>6.2397629281945033E-3</v>
      </c>
      <c r="BC34" s="81">
        <f>Inv_SY_B!BC34/Inv_SY_B!$FG34-1</f>
        <v>-1.1152683788214879E-2</v>
      </c>
      <c r="BD34" s="81">
        <f>Inv_SY_B!BD34/Inv_SY_B!$FG34-1</f>
        <v>1.3475666310900358E-3</v>
      </c>
      <c r="BE34" s="81">
        <f>Inv_SY_B!BE34/Inv_SY_B!$FG34-1</f>
        <v>-7.8358882284704778E-3</v>
      </c>
      <c r="BF34" s="81">
        <f>Inv_SY_B!BF34/Inv_SY_B!$FG34-1</f>
        <v>-1.3914945667782619E-2</v>
      </c>
      <c r="BG34" s="81">
        <f>Inv_SY_B!BG34/Inv_SY_B!$FG34-1</f>
        <v>-1.6164730411828643E-2</v>
      </c>
      <c r="BH34" s="81">
        <f>Inv_SY_B!BH34/Inv_SY_B!$FG34-1</f>
        <v>-1.348265316344921E-2</v>
      </c>
      <c r="BI34" s="81">
        <f>Inv_SY_B!BI34/Inv_SY_B!$FG34-1</f>
        <v>-1.2426754463545353E-2</v>
      </c>
      <c r="BJ34" s="81">
        <f>Inv_SY_B!BJ34/Inv_SY_B!$FG34-1</f>
        <v>-1.0034283947153444E-3</v>
      </c>
      <c r="BK34" s="81">
        <f>Inv_SY_B!BK34/Inv_SY_B!$FG34-1</f>
        <v>-6.0669305966067899E-3</v>
      </c>
      <c r="BL34" s="81">
        <f>Inv_SY_B!BL34/Inv_SY_B!$FG34-1</f>
        <v>-1.4669540032515305E-2</v>
      </c>
      <c r="BM34" s="81">
        <f>Inv_SY_B!BM34/Inv_SY_B!$FG34-1</f>
        <v>-2.5061113168743043E-2</v>
      </c>
      <c r="BN34" s="81">
        <f>Inv_SY_B!BN34/Inv_SY_B!$FG34-1</f>
        <v>-2.7651530500903299E-2</v>
      </c>
      <c r="BO34" s="81">
        <f>Inv_SY_B!BO34/Inv_SY_B!$FG34-1</f>
        <v>-3.5327136518894964E-2</v>
      </c>
      <c r="BP34" s="81">
        <f>Inv_SY_B!BP34/Inv_SY_B!$FG34-1</f>
        <v>-1.8030289050237958E-2</v>
      </c>
      <c r="BQ34" s="81">
        <f>Inv_SY_B!BQ34/Inv_SY_B!$FG34-1</f>
        <v>-1.7783376877507306E-2</v>
      </c>
      <c r="BR34" s="81">
        <f>Inv_SY_B!BR34/Inv_SY_B!$FG34-1</f>
        <v>-2.2450016942116346E-2</v>
      </c>
      <c r="BS34" s="81">
        <f>Inv_SY_B!BS34/Inv_SY_B!$FG34-1</f>
        <v>-2.7099012780255949E-2</v>
      </c>
      <c r="BT34" s="81">
        <f>Inv_SY_B!BT34/Inv_SY_B!$FG34-1</f>
        <v>-1.781809890179753E-2</v>
      </c>
      <c r="BU34" s="81">
        <f>Inv_SY_B!BU34/Inv_SY_B!$FG34-1</f>
        <v>-2.6140136751757082E-2</v>
      </c>
      <c r="BV34" s="81">
        <f>Inv_SY_B!BV34/Inv_SY_B!$FG34-1</f>
        <v>-2.6779741364580167E-2</v>
      </c>
      <c r="BW34" s="81">
        <f>Inv_SY_B!BW34/Inv_SY_B!$FG34-1</f>
        <v>3.5029288010312687E-2</v>
      </c>
      <c r="BX34" s="81">
        <f>Inv_SY_B!BX34/Inv_SY_B!$FG34-1</f>
        <v>2.5777558537291467E-2</v>
      </c>
      <c r="BY34" s="81">
        <f>Inv_SY_B!BY34/Inv_SY_B!$FG34-1</f>
        <v>-1.0931564084232015E-2</v>
      </c>
      <c r="BZ34" s="81">
        <f>Inv_SY_B!BZ34/Inv_SY_B!$FG34-1</f>
        <v>-2.1361301170700897E-2</v>
      </c>
      <c r="CA34" s="81">
        <f>Inv_SY_B!CA34/Inv_SY_B!$FG34-1</f>
        <v>-1.4729829967164876E-2</v>
      </c>
      <c r="CB34" s="81">
        <f>Inv_SY_B!CB34/Inv_SY_B!$FG34-1</f>
        <v>-6.3525435475848546E-3</v>
      </c>
      <c r="CC34" s="81">
        <f>Inv_SY_B!CC34/Inv_SY_B!$FG34-1</f>
        <v>-6.9443897393965948E-3</v>
      </c>
      <c r="CD34" s="81">
        <f>Inv_SY_B!CD34/Inv_SY_B!$FG34-1</f>
        <v>-1.1373803492197743E-2</v>
      </c>
      <c r="CE34" s="81">
        <f>Inv_SY_B!CE34/Inv_SY_B!$FG34-1</f>
        <v>-3.5731191233135617E-2</v>
      </c>
      <c r="CF34" s="81">
        <f>Inv_SY_B!CF34/Inv_SY_B!$FG34-1</f>
        <v>-3.1758191185447093E-2</v>
      </c>
      <c r="CG34" s="81">
        <f>Inv_SY_B!CG34/Inv_SY_B!$FG34-1</f>
        <v>-2.5653417484635677E-2</v>
      </c>
      <c r="CH34" s="81">
        <f>Inv_SY_B!CH34/Inv_SY_B!$FG34-1</f>
        <v>-5.4054775051638693E-2</v>
      </c>
      <c r="CI34" s="81">
        <f>Inv_SY_B!CI34/Inv_SY_B!$FG34-1</f>
        <v>-2.8585398634202952E-2</v>
      </c>
      <c r="CJ34" s="81">
        <f>Inv_SY_B!CJ34/Inv_SY_B!$FG34-1</f>
        <v>-3.7657659719952608E-2</v>
      </c>
      <c r="CK34" s="81">
        <f>Inv_SY_B!CK34/Inv_SY_B!$FG34-1</f>
        <v>-1.9300729338991074E-2</v>
      </c>
      <c r="CL34" s="81">
        <f>Inv_SY_B!CL34/Inv_SY_B!$FG34-1</f>
        <v>-4.0764563474651072E-2</v>
      </c>
      <c r="CM34" s="81">
        <f>Inv_SY_B!CM34/Inv_SY_B!$FG34-1</f>
        <v>4.2296663620051689E-3</v>
      </c>
      <c r="CN34" s="81">
        <f>Inv_SY_B!CN34/Inv_SY_B!$FG34-1</f>
        <v>-1.8596613587594235E-2</v>
      </c>
      <c r="CO34" s="81">
        <f>Inv_SY_B!CO34/Inv_SY_B!$FG34-1</f>
        <v>-9.1083964604240508E-3</v>
      </c>
      <c r="CP34" s="81">
        <f>Inv_SY_B!CP34/Inv_SY_B!$FG34-1</f>
        <v>-1.141182079686609E-3</v>
      </c>
      <c r="CQ34" s="81">
        <f>Inv_SY_B!CQ34/Inv_SY_B!$FG34-1</f>
        <v>-4.943326615082122E-3</v>
      </c>
      <c r="CR34" s="81">
        <f>Inv_SY_B!CR34/Inv_SY_B!$FG34-1</f>
        <v>3.6640638763305589E-3</v>
      </c>
      <c r="CS34" s="81">
        <f>Inv_SY_B!CS34/Inv_SY_B!$FG34-1</f>
        <v>-1.3777098274862731E-2</v>
      </c>
      <c r="CT34" s="81">
        <f>Inv_SY_B!CT34/Inv_SY_B!$FG34-1</f>
        <v>3.298194568254198E-3</v>
      </c>
      <c r="CU34" s="81">
        <f>Inv_SY_B!CU34/Inv_SY_B!$FG34-1</f>
        <v>1.205250242657252E-2</v>
      </c>
      <c r="CV34" s="81">
        <f>Inv_SY_B!CV34/Inv_SY_B!$FG34-1</f>
        <v>-8.8388473524625422E-4</v>
      </c>
      <c r="CW34" s="81">
        <f>Inv_SY_B!CW34/Inv_SY_B!$FG34-1</f>
        <v>1.2108456185411232E-3</v>
      </c>
      <c r="CX34" s="81">
        <f>Inv_SY_B!CX34/Inv_SY_B!$FG34-1</f>
        <v>3.9829599494185519E-3</v>
      </c>
      <c r="CY34" s="81">
        <f>Inv_SY_B!CY34/Inv_SY_B!$FG34-1</f>
        <v>-3.1340912761859019E-2</v>
      </c>
      <c r="CZ34" s="81">
        <f>Inv_SY_B!CZ34/Inv_SY_B!$FG34-1</f>
        <v>9.9499078817788522E-4</v>
      </c>
      <c r="DA34" s="81">
        <f>Inv_SY_B!DA34/Inv_SY_B!$FG34-1</f>
        <v>-1.3533195344237248E-2</v>
      </c>
      <c r="DB34" s="81">
        <f>Inv_SY_B!DB34/Inv_SY_B!$FG34-1</f>
        <v>-1.1127807821517011E-2</v>
      </c>
      <c r="DC34" s="81">
        <f>Inv_SY_B!DC34/Inv_SY_B!$FG34-1</f>
        <v>-1.3363880828044405E-2</v>
      </c>
      <c r="DD34" s="81">
        <f>Inv_SY_B!DD34/Inv_SY_B!$FG34-1</f>
        <v>-1.6928257957986248E-2</v>
      </c>
      <c r="DE34" s="81">
        <f>Inv_SY_B!DE34/Inv_SY_B!$FG34-1</f>
        <v>-1.2634185804900611E-2</v>
      </c>
      <c r="DF34" s="81">
        <f>Inv_SY_B!DF34/Inv_SY_B!$FG34-1</f>
        <v>-1.8192582363772303E-2</v>
      </c>
      <c r="DG34" s="81">
        <f>Inv_SY_B!DG34/Inv_SY_B!$FG34-1</f>
        <v>-1.4721871695791311E-2</v>
      </c>
      <c r="DH34" s="81">
        <f>Inv_SY_B!DH34/Inv_SY_B!$FG34-1</f>
        <v>-3.1365443229019685E-2</v>
      </c>
      <c r="DI34" s="81">
        <f>Inv_SY_B!DI34/Inv_SY_B!$FG34-1</f>
        <v>4.1848106506257032E-3</v>
      </c>
      <c r="DJ34" s="81">
        <f>Inv_SY_B!DJ34/Inv_SY_B!$FG34-1</f>
        <v>-7.9396097929492648E-2</v>
      </c>
      <c r="DK34" s="81">
        <f>Inv_SY_B!DK34/Inv_SY_B!$FG34-1</f>
        <v>-6.4658775423661607E-3</v>
      </c>
      <c r="DL34" s="81">
        <f>Inv_SY_B!DL34/Inv_SY_B!$FG34-1</f>
        <v>-4.9208987593923892E-3</v>
      </c>
      <c r="DM34" s="81">
        <f>Inv_SY_B!DM34/Inv_SY_B!$FG34-1</f>
        <v>-3.6713085070032347E-2</v>
      </c>
      <c r="DN34" s="81">
        <f>Inv_SY_B!DN34/Inv_SY_B!$FG34-1</f>
        <v>-7.1332982012990431E-3</v>
      </c>
      <c r="DO34" s="81">
        <f>Inv_SY_B!DO34/Inv_SY_B!$FG34-1</f>
        <v>-2.8033997018675594E-2</v>
      </c>
      <c r="DP34" s="81">
        <f>Inv_SY_B!DP34/Inv_SY_B!$FG34-1</f>
        <v>-1.077678029144391E-2</v>
      </c>
      <c r="DQ34" s="81">
        <f>Inv_SY_B!DQ34/Inv_SY_B!$FG34-1</f>
        <v>-3.32248526397938E-2</v>
      </c>
      <c r="DR34" s="81">
        <f>Inv_SY_B!DR34/Inv_SY_B!$FG34-1</f>
        <v>-1.6303736392405455E-2</v>
      </c>
      <c r="DS34" s="81">
        <f>Inv_SY_B!DS34/Inv_SY_B!$FG34-1</f>
        <v>-3.1407248673053778E-2</v>
      </c>
      <c r="DT34" s="81">
        <f>Inv_SY_B!DT34/Inv_SY_B!$FG34-1</f>
        <v>-1.4345582116997435E-2</v>
      </c>
      <c r="DU34" s="81">
        <f>Inv_SY_B!DU34/Inv_SY_B!$FG34-1</f>
        <v>7.1690347429844703E-3</v>
      </c>
      <c r="DV34" s="81">
        <f>Inv_SY_B!DV34/Inv_SY_B!$FG34-1</f>
        <v>-7.7741654199882659E-2</v>
      </c>
      <c r="DW34" s="81">
        <f>Inv_SY_B!DW34/Inv_SY_B!$FG34-1</f>
        <v>1.0977438227571801E-2</v>
      </c>
      <c r="DX34" s="81">
        <f>Inv_SY_B!DX34/Inv_SY_B!$FG34-1</f>
        <v>-1.7849987364783493E-2</v>
      </c>
      <c r="DY34" s="81">
        <f>Inv_SY_B!DY34/Inv_SY_B!$FG34-1</f>
        <v>-1.7780186104260687E-2</v>
      </c>
      <c r="DZ34" s="81">
        <f>Inv_SY_B!DZ34/Inv_SY_B!$FG34-1</f>
        <v>-3.268658410324099E-2</v>
      </c>
      <c r="EA34" s="81">
        <f>Inv_SY_B!EA34/Inv_SY_B!$FG34-1</f>
        <v>-5.5209057309131837E-2</v>
      </c>
      <c r="EB34" s="81">
        <f>Inv_SY_B!EB34/Inv_SY_B!$FG34-1</f>
        <v>1.6051949792438291E-2</v>
      </c>
      <c r="EC34" s="81">
        <f>Inv_SY_B!EC34/Inv_SY_B!$FG34-1</f>
        <v>-1.338799351440545E-3</v>
      </c>
      <c r="ED34" s="81">
        <f>Inv_SY_B!ED34/Inv_SY_B!$FG34-1</f>
        <v>-1.2187524002855055E-2</v>
      </c>
      <c r="EE34" s="81">
        <f>Inv_SY_B!EE34/Inv_SY_B!$FG34-1</f>
        <v>5.4407705692487429E-3</v>
      </c>
      <c r="EF34" s="81">
        <f>Inv_SY_B!EF34/Inv_SY_B!$FG34-1</f>
        <v>-1.2034816788246694E-3</v>
      </c>
      <c r="EG34" s="81">
        <f>Inv_SY_B!EG34/Inv_SY_B!$FG34-1</f>
        <v>-1.7137772275866214E-2</v>
      </c>
      <c r="EH34" s="81">
        <f>Inv_SY_B!EH34/Inv_SY_B!$FG34-1</f>
        <v>-1.6230144990923678E-2</v>
      </c>
      <c r="EI34" s="81">
        <f>Inv_SY_B!EI34/Inv_SY_B!$FG34-1</f>
        <v>1.652075427595201E-2</v>
      </c>
      <c r="EJ34" s="81">
        <f>Inv_SY_B!EJ34/Inv_SY_B!$FG34-1</f>
        <v>0.15485008081951945</v>
      </c>
      <c r="EK34" s="81">
        <f>Inv_SY_B!EK34/Inv_SY_B!$FG34-1</f>
        <v>2.6616404316273989E-2</v>
      </c>
      <c r="EL34" s="81">
        <f>Inv_SY_B!EL34/Inv_SY_B!$FG34-1</f>
        <v>0.15660451791782659</v>
      </c>
      <c r="EM34" s="81">
        <f>Inv_SY_B!EM34/Inv_SY_B!$FG34-1</f>
        <v>2.9710237507835524E-2</v>
      </c>
      <c r="EN34" s="81">
        <f>Inv_SY_B!EN34/Inv_SY_B!$FG34-1</f>
        <v>0.1417522934833142</v>
      </c>
      <c r="EO34" s="81">
        <f>Inv_SY_B!EO34/Inv_SY_B!$FG34-1</f>
        <v>1.8922014450229563E-2</v>
      </c>
      <c r="EP34" s="81">
        <f>Inv_SY_B!EP34/Inv_SY_B!$FG34-1</f>
        <v>0.12786181911049566</v>
      </c>
      <c r="EQ34" s="81">
        <f>Inv_SY_B!EQ34/Inv_SY_B!$FG34-1</f>
        <v>1.1753074301045663E-2</v>
      </c>
      <c r="ER34" s="81">
        <f>Inv_SY_B!ER34/Inv_SY_B!$FG34-1</f>
        <v>1.5910218204399307E-2</v>
      </c>
      <c r="ES34" s="81">
        <f>Inv_SY_B!ES34/Inv_SY_B!$FG34-1</f>
        <v>-5.8236989222254509E-3</v>
      </c>
      <c r="ET34" s="81">
        <f>Inv_SY_B!ET34/Inv_SY_B!$FG34-1</f>
        <v>8.6596416886581817E-3</v>
      </c>
      <c r="EU34" s="81">
        <f>Inv_SY_B!EU34/Inv_SY_B!$FG34-1</f>
        <v>1.1290966166055405E-2</v>
      </c>
      <c r="EV34" s="81">
        <f>Inv_SY_B!EV34/Inv_SY_B!$FG34-1</f>
        <v>-1.5139902006007677E-2</v>
      </c>
      <c r="EW34" s="81">
        <f>Inv_SY_B!EW34/Inv_SY_B!$FG34-1</f>
        <v>9.3551322575919915E-3</v>
      </c>
      <c r="EX34" s="81">
        <f>Inv_SY_B!EX34/Inv_SY_B!$FG34-1</f>
        <v>2.0865449348517195E-2</v>
      </c>
      <c r="EY34" s="81">
        <f>Inv_SY_B!EY34/Inv_SY_B!$FG34-1</f>
        <v>-7.6599202402660715E-3</v>
      </c>
      <c r="EZ34" s="81">
        <f>Inv_SY_B!EZ34/Inv_SY_B!$FG34-1</f>
        <v>1.0611637297707643E-2</v>
      </c>
      <c r="FA34" s="81">
        <f>Inv_SY_B!FA34/Inv_SY_B!$FG34-1</f>
        <v>1.6542559135650503E-2</v>
      </c>
      <c r="FB34" s="81">
        <f>Inv_SY_B!FB34/Inv_SY_B!$FG34-1</f>
        <v>1.3227670662234736E-3</v>
      </c>
      <c r="FC34" s="81">
        <f>Inv_SY_B!FC34/Inv_SY_B!$FG34-1</f>
        <v>7.0792500265799418E-3</v>
      </c>
      <c r="FD34" s="81">
        <f>Inv_SY_B!FD34/Inv_SY_B!$FG34-1</f>
        <v>5.9208668551065102E-3</v>
      </c>
      <c r="FE34" s="81">
        <f>Inv_SY_B!FE34/Inv_SY_B!$FG34-1</f>
        <v>9.4777845933950999E-3</v>
      </c>
      <c r="FF34" s="81">
        <f>Inv_SY_B!FF34/Inv_SY_B!$FG34-1</f>
        <v>3.6640638763305589E-3</v>
      </c>
    </row>
    <row r="35" spans="2:162">
      <c r="B35" s="106">
        <f>B34+1</f>
        <v>45858</v>
      </c>
      <c r="C35" s="81">
        <f>Inv_SY_B!C35/Inv_SY_B!$FG35-1</f>
        <v>-1.4999150276318041E-4</v>
      </c>
      <c r="D35" s="81">
        <f>Inv_SY_B!D35/Inv_SY_B!$FG35-1</f>
        <v>2.7232442219774722E-2</v>
      </c>
      <c r="E35" s="81">
        <f>Inv_SY_B!E35/Inv_SY_B!$FG35-1</f>
        <v>3.3108799424992341E-2</v>
      </c>
      <c r="F35" s="81">
        <f>Inv_SY_B!F35/Inv_SY_B!$FG35-1</f>
        <v>2.8609581832368614E-2</v>
      </c>
      <c r="G35" s="81">
        <f>Inv_SY_B!G35/Inv_SY_B!$FG35-1</f>
        <v>4.6443610006063007E-2</v>
      </c>
      <c r="H35" s="81">
        <f>Inv_SY_B!H35/Inv_SY_B!$FG35-1</f>
        <v>4.7121651222049588E-2</v>
      </c>
      <c r="I35" s="81">
        <f>Inv_SY_B!I35/Inv_SY_B!$FG35-1</f>
        <v>4.9607802347334085E-2</v>
      </c>
      <c r="J35" s="81">
        <f>Inv_SY_B!J35/Inv_SY_B!$FG35-1</f>
        <v>2.9721252330219716E-2</v>
      </c>
      <c r="K35" s="81">
        <f>Inv_SY_B!K35/Inv_SY_B!$FG35-1</f>
        <v>1.8711724272209018E-2</v>
      </c>
      <c r="L35" s="81">
        <f>Inv_SY_B!L35/Inv_SY_B!$FG35-1</f>
        <v>-5.5219097895707892E-3</v>
      </c>
      <c r="M35" s="81">
        <f>Inv_SY_B!M35/Inv_SY_B!$FG35-1</f>
        <v>2.7845597439950076E-2</v>
      </c>
      <c r="N35" s="81">
        <f>Inv_SY_B!N35/Inv_SY_B!$FG35-1</f>
        <v>1.8734325646075023E-2</v>
      </c>
      <c r="O35" s="81">
        <f>Inv_SY_B!O35/Inv_SY_B!$FG35-1</f>
        <v>3.0883992364814761E-2</v>
      </c>
      <c r="P35" s="81">
        <f>Inv_SY_B!P35/Inv_SY_B!$FG35-1</f>
        <v>2.3028586680657215E-2</v>
      </c>
      <c r="Q35" s="81">
        <f>Inv_SY_B!Q35/Inv_SY_B!$FG35-1</f>
        <v>4.7099049848183361E-2</v>
      </c>
      <c r="R35" s="81">
        <f>Inv_SY_B!R35/Inv_SY_B!$FG35-1</f>
        <v>4.2962998430664756E-2</v>
      </c>
      <c r="S35" s="81">
        <f>Inv_SY_B!S35/Inv_SY_B!$FG35-1</f>
        <v>4.7053847100450907E-2</v>
      </c>
      <c r="T35" s="81">
        <f>Inv_SY_B!T35/Inv_SY_B!$FG35-1</f>
        <v>4.7257259465246948E-2</v>
      </c>
      <c r="U35" s="81">
        <f>Inv_SY_B!U35/Inv_SY_B!$FG35-1</f>
        <v>4.3731445142116465E-2</v>
      </c>
      <c r="V35" s="81">
        <f>Inv_SY_B!V35/Inv_SY_B!$FG35-1</f>
        <v>4.4251276741039458E-2</v>
      </c>
      <c r="W35" s="81">
        <f>Inv_SY_B!W35/Inv_SY_B!$FG35-1</f>
        <v>5.0148894323899018E-2</v>
      </c>
      <c r="X35" s="81">
        <f>Inv_SY_B!X35/Inv_SY_B!$FG35-1</f>
        <v>3.2089728590002142E-2</v>
      </c>
      <c r="Y35" s="81">
        <f>Inv_SY_B!Y35/Inv_SY_B!$FG35-1</f>
        <v>5.8585239703001335E-2</v>
      </c>
      <c r="Z35" s="81">
        <f>Inv_SY_B!Z35/Inv_SY_B!$FG35-1</f>
        <v>4.0623332459750916E-2</v>
      </c>
      <c r="AA35" s="81">
        <f>Inv_SY_B!AA35/Inv_SY_B!$FG35-1</f>
        <v>3.032685281923353E-2</v>
      </c>
      <c r="AB35" s="81">
        <f>Inv_SY_B!AB35/Inv_SY_B!$FG35-1</f>
        <v>4.882866758175286E-3</v>
      </c>
      <c r="AC35" s="81">
        <f>Inv_SY_B!AC35/Inv_SY_B!$FG35-1</f>
        <v>1.8574411626526288E-3</v>
      </c>
      <c r="AD35" s="81">
        <f>Inv_SY_B!AD35/Inv_SY_B!$FG35-1</f>
        <v>8.4431667456557058E-3</v>
      </c>
      <c r="AE35" s="81">
        <f>Inv_SY_B!AE35/Inv_SY_B!$FG35-1</f>
        <v>6.2530765671287014E-2</v>
      </c>
      <c r="AF35" s="81">
        <f>Inv_SY_B!AF35/Inv_SY_B!$FG35-1</f>
        <v>7.8527955312204689E-2</v>
      </c>
      <c r="AG35" s="81">
        <f>Inv_SY_B!AG35/Inv_SY_B!$FG35-1</f>
        <v>7.5451472036668132E-2</v>
      </c>
      <c r="AH35" s="81">
        <f>Inv_SY_B!AH35/Inv_SY_B!$FG35-1</f>
        <v>5.9848735972495515E-2</v>
      </c>
      <c r="AI35" s="81">
        <f>Inv_SY_B!AI35/Inv_SY_B!$FG35-1</f>
        <v>6.5632176418485066E-2</v>
      </c>
      <c r="AJ35" s="81">
        <f>Inv_SY_B!AJ35/Inv_SY_B!$FG35-1</f>
        <v>6.0275650812190662E-2</v>
      </c>
      <c r="AK35" s="81">
        <f>Inv_SY_B!AK35/Inv_SY_B!$FG35-1</f>
        <v>6.267139644201003E-2</v>
      </c>
      <c r="AL35" s="81">
        <f>Inv_SY_B!AL35/Inv_SY_B!$FG35-1</f>
        <v>5.6003991151474697E-2</v>
      </c>
      <c r="AM35" s="81">
        <f>Inv_SY_B!AM35/Inv_SY_B!$FG35-1</f>
        <v>6.7078664345923356E-2</v>
      </c>
      <c r="AN35" s="81">
        <f>Inv_SY_B!AN35/Inv_SY_B!$FG35-1</f>
        <v>5.8580547772223879E-2</v>
      </c>
      <c r="AO35" s="81">
        <f>Inv_SY_B!AO35/Inv_SY_B!$FG35-1</f>
        <v>6.5632176418485066E-2</v>
      </c>
      <c r="AP35" s="81">
        <f>Inv_SY_B!AP35/Inv_SY_B!$FG35-1</f>
        <v>5.6275207637869418E-2</v>
      </c>
      <c r="AQ35" s="81">
        <f>Inv_SY_B!AQ35/Inv_SY_B!$FG35-1</f>
        <v>0.10326826933803823</v>
      </c>
      <c r="AR35" s="81">
        <f>Inv_SY_B!AR35/Inv_SY_B!$FG35-1</f>
        <v>7.4068550814436529E-2</v>
      </c>
      <c r="AS35" s="81">
        <f>Inv_SY_B!AS35/Inv_SY_B!$FG35-1</f>
        <v>0.10795504739426631</v>
      </c>
      <c r="AT35" s="81">
        <f>Inv_SY_B!AT35/Inv_SY_B!$FG35-1</f>
        <v>9.0802342083149856E-2</v>
      </c>
      <c r="AU35" s="81">
        <f>Inv_SY_B!AU35/Inv_SY_B!$FG35-1</f>
        <v>-1.2626311386893962E-2</v>
      </c>
      <c r="AV35" s="81">
        <f>Inv_SY_B!AV35/Inv_SY_B!$FG35-1</f>
        <v>8.0226144308987779E-2</v>
      </c>
      <c r="AW35" s="81">
        <f>Inv_SY_B!AW35/Inv_SY_B!$FG35-1</f>
        <v>0.10805257537790958</v>
      </c>
      <c r="AX35" s="81">
        <f>Inv_SY_B!AX35/Inv_SY_B!$FG35-1</f>
        <v>0.11198173264684619</v>
      </c>
      <c r="AY35" s="81">
        <f>Inv_SY_B!AY35/Inv_SY_B!$FG35-1</f>
        <v>-5.4563378566090392E-3</v>
      </c>
      <c r="AZ35" s="81">
        <f>Inv_SY_B!AZ35/Inv_SY_B!$FG35-1</f>
        <v>8.2039221811016638E-3</v>
      </c>
      <c r="BA35" s="81">
        <f>Inv_SY_B!BA35/Inv_SY_B!$FG35-1</f>
        <v>2.14715664868661E-2</v>
      </c>
      <c r="BB35" s="81">
        <f>Inv_SY_B!BB35/Inv_SY_B!$FG35-1</f>
        <v>2.7762161919764106E-2</v>
      </c>
      <c r="BC35" s="81">
        <f>Inv_SY_B!BC35/Inv_SY_B!$FG35-1</f>
        <v>2.8001207260435645E-2</v>
      </c>
      <c r="BD35" s="81">
        <f>Inv_SY_B!BD35/Inv_SY_B!$FG35-1</f>
        <v>3.0465100028604031E-2</v>
      </c>
      <c r="BE35" s="81">
        <f>Inv_SY_B!BE35/Inv_SY_B!$FG35-1</f>
        <v>1.5252122424630477E-2</v>
      </c>
      <c r="BF35" s="81">
        <f>Inv_SY_B!BF35/Inv_SY_B!$FG35-1</f>
        <v>1.6565446855347554E-2</v>
      </c>
      <c r="BG35" s="81">
        <f>Inv_SY_B!BG35/Inv_SY_B!$FG35-1</f>
        <v>1.6901991111981651E-3</v>
      </c>
      <c r="BH35" s="81">
        <f>Inv_SY_B!BH35/Inv_SY_B!$FG35-1</f>
        <v>1.124781552960008E-2</v>
      </c>
      <c r="BI35" s="81">
        <f>Inv_SY_B!BI35/Inv_SY_B!$FG35-1</f>
        <v>-1.4228710748993567E-3</v>
      </c>
      <c r="BJ35" s="81">
        <f>Inv_SY_B!BJ35/Inv_SY_B!$FG35-1</f>
        <v>1.5684917588030034E-2</v>
      </c>
      <c r="BK35" s="81">
        <f>Inv_SY_B!BK35/Inv_SY_B!$FG35-1</f>
        <v>6.1152782923030724E-3</v>
      </c>
      <c r="BL35" s="81">
        <f>Inv_SY_B!BL35/Inv_SY_B!$FG35-1</f>
        <v>-1.4228710748993567E-3</v>
      </c>
      <c r="BM35" s="81">
        <f>Inv_SY_B!BM35/Inv_SY_B!$FG35-1</f>
        <v>-1.5934567480861195E-2</v>
      </c>
      <c r="BN35" s="81">
        <f>Inv_SY_B!BN35/Inv_SY_B!$FG35-1</f>
        <v>-2.3305359813790338E-2</v>
      </c>
      <c r="BO35" s="81">
        <f>Inv_SY_B!BO35/Inv_SY_B!$FG35-1</f>
        <v>-1.2307458561364282E-2</v>
      </c>
      <c r="BP35" s="81">
        <f>Inv_SY_B!BP35/Inv_SY_B!$FG35-1</f>
        <v>-7.7368892222839936E-3</v>
      </c>
      <c r="BQ35" s="81">
        <f>Inv_SY_B!BQ35/Inv_SY_B!$FG35-1</f>
        <v>-4.8896493061355573E-3</v>
      </c>
      <c r="BR35" s="81">
        <f>Inv_SY_B!BR35/Inv_SY_B!$FG35-1</f>
        <v>-1.4285541029425142E-2</v>
      </c>
      <c r="BS35" s="81">
        <f>Inv_SY_B!BS35/Inv_SY_B!$FG35-1</f>
        <v>-8.8145821629496135E-3</v>
      </c>
      <c r="BT35" s="81">
        <f>Inv_SY_B!BT35/Inv_SY_B!$FG35-1</f>
        <v>-1.1095742560865207E-2</v>
      </c>
      <c r="BU35" s="81">
        <f>Inv_SY_B!BU35/Inv_SY_B!$FG35-1</f>
        <v>-1.5747257859616837E-2</v>
      </c>
      <c r="BV35" s="81">
        <f>Inv_SY_B!BV35/Inv_SY_B!$FG35-1</f>
        <v>-2.1869761548004352E-2</v>
      </c>
      <c r="BW35" s="81">
        <f>Inv_SY_B!BW35/Inv_SY_B!$FG35-1</f>
        <v>3.5278039981935239E-2</v>
      </c>
      <c r="BX35" s="81">
        <f>Inv_SY_B!BX35/Inv_SY_B!$FG35-1</f>
        <v>2.6985655159543986E-2</v>
      </c>
      <c r="BY35" s="81">
        <f>Inv_SY_B!BY35/Inv_SY_B!$FG35-1</f>
        <v>-5.0148751357810273E-3</v>
      </c>
      <c r="BZ35" s="81">
        <f>Inv_SY_B!BZ35/Inv_SY_B!$FG35-1</f>
        <v>-1.8644395439518013E-2</v>
      </c>
      <c r="CA35" s="81">
        <f>Inv_SY_B!CA35/Inv_SY_B!$FG35-1</f>
        <v>-1.2326341466156188E-2</v>
      </c>
      <c r="CB35" s="81">
        <f>Inv_SY_B!CB35/Inv_SY_B!$FG35-1</f>
        <v>-3.4583400427322664E-3</v>
      </c>
      <c r="CC35" s="81">
        <f>Inv_SY_B!CC35/Inv_SY_B!$FG35-1</f>
        <v>-8.3674122592706235E-3</v>
      </c>
      <c r="CD35" s="81">
        <f>Inv_SY_B!CD35/Inv_SY_B!$FG35-1</f>
        <v>-1.3645803203194973E-2</v>
      </c>
      <c r="CE35" s="81">
        <f>Inv_SY_B!CE35/Inv_SY_B!$FG35-1</f>
        <v>-3.6810990256672671E-2</v>
      </c>
      <c r="CF35" s="81">
        <f>Inv_SY_B!CF35/Inv_SY_B!$FG35-1</f>
        <v>-3.2376765566223265E-2</v>
      </c>
      <c r="CG35" s="81">
        <f>Inv_SY_B!CG35/Inv_SY_B!$FG35-1</f>
        <v>-3.4266594687134444E-2</v>
      </c>
      <c r="CH35" s="81">
        <f>Inv_SY_B!CH35/Inv_SY_B!$FG35-1</f>
        <v>-0.11144463729307674</v>
      </c>
      <c r="CI35" s="81">
        <f>Inv_SY_B!CI35/Inv_SY_B!$FG35-1</f>
        <v>-3.6273796163118099E-2</v>
      </c>
      <c r="CJ35" s="81">
        <f>Inv_SY_B!CJ35/Inv_SY_B!$FG35-1</f>
        <v>-7.2335192232898637E-2</v>
      </c>
      <c r="CK35" s="81">
        <f>Inv_SY_B!CK35/Inv_SY_B!$FG35-1</f>
        <v>-1.5860420608044712E-2</v>
      </c>
      <c r="CL35" s="81">
        <f>Inv_SY_B!CL35/Inv_SY_B!$FG35-1</f>
        <v>-4.7031319746473566E-2</v>
      </c>
      <c r="CM35" s="81">
        <f>Inv_SY_B!CM35/Inv_SY_B!$FG35-1</f>
        <v>2.8803497900371511E-3</v>
      </c>
      <c r="CN35" s="81">
        <f>Inv_SY_B!CN35/Inv_SY_B!$FG35-1</f>
        <v>-1.8806057786001196E-2</v>
      </c>
      <c r="CO35" s="81">
        <f>Inv_SY_B!CO35/Inv_SY_B!$FG35-1</f>
        <v>-3.6881510552294605E-3</v>
      </c>
      <c r="CP35" s="81">
        <f>Inv_SY_B!CP35/Inv_SY_B!$FG35-1</f>
        <v>7.4583589656307403E-3</v>
      </c>
      <c r="CQ35" s="81">
        <f>Inv_SY_B!CQ35/Inv_SY_B!$FG35-1</f>
        <v>6.78126620015429E-3</v>
      </c>
      <c r="CR35" s="81">
        <f>Inv_SY_B!CR35/Inv_SY_B!$FG35-1</f>
        <v>1.7673120513762797E-2</v>
      </c>
      <c r="CS35" s="81">
        <f>Inv_SY_B!CS35/Inv_SY_B!$FG35-1</f>
        <v>1.3373595456342979E-3</v>
      </c>
      <c r="CT35" s="81">
        <f>Inv_SY_B!CT35/Inv_SY_B!$FG35-1</f>
        <v>1.4064016220782793E-2</v>
      </c>
      <c r="CU35" s="81">
        <f>Inv_SY_B!CU35/Inv_SY_B!$FG35-1</f>
        <v>8.6657752106553687E-3</v>
      </c>
      <c r="CV35" s="81">
        <f>Inv_SY_B!CV35/Inv_SY_B!$FG35-1</f>
        <v>-1.5669311796365215E-2</v>
      </c>
      <c r="CW35" s="81">
        <f>Inv_SY_B!CW35/Inv_SY_B!$FG35-1</f>
        <v>-1.1871332677447111E-2</v>
      </c>
      <c r="CX35" s="81">
        <f>Inv_SY_B!CX35/Inv_SY_B!$FG35-1</f>
        <v>-1.2448006119831101E-2</v>
      </c>
      <c r="CY35" s="81">
        <f>Inv_SY_B!CY35/Inv_SY_B!$FG35-1</f>
        <v>-2.3196402357276713E-2</v>
      </c>
      <c r="CZ35" s="81">
        <f>Inv_SY_B!CZ35/Inv_SY_B!$FG35-1</f>
        <v>-3.8828145011094994E-3</v>
      </c>
      <c r="DA35" s="81">
        <f>Inv_SY_B!DA35/Inv_SY_B!$FG35-1</f>
        <v>-4.9861391032938185E-3</v>
      </c>
      <c r="DB35" s="81">
        <f>Inv_SY_B!DB35/Inv_SY_B!$FG35-1</f>
        <v>-2.2329457210499504E-2</v>
      </c>
      <c r="DC35" s="81">
        <f>Inv_SY_B!DC35/Inv_SY_B!$FG35-1</f>
        <v>6.8589749077250239E-3</v>
      </c>
      <c r="DD35" s="81">
        <f>Inv_SY_B!DD35/Inv_SY_B!$FG35-1</f>
        <v>-1.6093557824539584E-2</v>
      </c>
      <c r="DE35" s="81">
        <f>Inv_SY_B!DE35/Inv_SY_B!$FG35-1</f>
        <v>6.7952294835460503E-3</v>
      </c>
      <c r="DF35" s="81">
        <f>Inv_SY_B!DF35/Inv_SY_B!$FG35-1</f>
        <v>-1.9665761699102058E-2</v>
      </c>
      <c r="DG35" s="81">
        <f>Inv_SY_B!DG35/Inv_SY_B!$FG35-1</f>
        <v>-1.4516071073864545E-3</v>
      </c>
      <c r="DH35" s="81">
        <f>Inv_SY_B!DH35/Inv_SY_B!$FG35-1</f>
        <v>1.1487793324382878E-3</v>
      </c>
      <c r="DI35" s="81">
        <f>Inv_SY_B!DI35/Inv_SY_B!$FG35-1</f>
        <v>3.6479955775523987E-2</v>
      </c>
      <c r="DJ35" s="81">
        <f>Inv_SY_B!DJ35/Inv_SY_B!$FG35-1</f>
        <v>-0.18283479116718937</v>
      </c>
      <c r="DK35" s="81">
        <f>Inv_SY_B!DK35/Inv_SY_B!$FG35-1</f>
        <v>-3.2381042174502439E-2</v>
      </c>
      <c r="DL35" s="81">
        <f>Inv_SY_B!DL35/Inv_SY_B!$FG35-1</f>
        <v>-3.4016715923339325E-2</v>
      </c>
      <c r="DM35" s="81">
        <f>Inv_SY_B!DM35/Inv_SY_B!$FG35-1</f>
        <v>-2.8811902039121984E-2</v>
      </c>
      <c r="DN35" s="81">
        <f>Inv_SY_B!DN35/Inv_SY_B!$FG35-1</f>
        <v>-3.4712637742360553E-2</v>
      </c>
      <c r="DO35" s="81">
        <f>Inv_SY_B!DO35/Inv_SY_B!$FG35-1</f>
        <v>-1.6429805487552906E-2</v>
      </c>
      <c r="DP35" s="81">
        <f>Inv_SY_B!DP35/Inv_SY_B!$FG35-1</f>
        <v>-4.7027156998278863E-2</v>
      </c>
      <c r="DQ35" s="81">
        <f>Inv_SY_B!DQ35/Inv_SY_B!$FG35-1</f>
        <v>-3.1344264902043562E-2</v>
      </c>
      <c r="DR35" s="81">
        <f>Inv_SY_B!DR35/Inv_SY_B!$FG35-1</f>
        <v>-6.0705530595943968E-2</v>
      </c>
      <c r="DS35" s="81">
        <f>Inv_SY_B!DS35/Inv_SY_B!$FG35-1</f>
        <v>-4.2543728831020422E-2</v>
      </c>
      <c r="DT35" s="81">
        <f>Inv_SY_B!DT35/Inv_SY_B!$FG35-1</f>
        <v>-3.873181992059016E-2</v>
      </c>
      <c r="DU35" s="81">
        <f>Inv_SY_B!DU35/Inv_SY_B!$FG35-1</f>
        <v>2.2261824622431536E-3</v>
      </c>
      <c r="DV35" s="81">
        <f>Inv_SY_B!DV35/Inv_SY_B!$FG35-1</f>
        <v>-0.16143467864030758</v>
      </c>
      <c r="DW35" s="81">
        <f>Inv_SY_B!DW35/Inv_SY_B!$FG35-1</f>
        <v>1.6464236908273255E-2</v>
      </c>
      <c r="DX35" s="81">
        <f>Inv_SY_B!DX35/Inv_SY_B!$FG35-1</f>
        <v>-4.9683576482711045E-2</v>
      </c>
      <c r="DY35" s="81">
        <f>Inv_SY_B!DY35/Inv_SY_B!$FG35-1</f>
        <v>-4.0307095904391077E-2</v>
      </c>
      <c r="DZ35" s="81">
        <f>Inv_SY_B!DZ35/Inv_SY_B!$FG35-1</f>
        <v>-4.3305638424779413E-2</v>
      </c>
      <c r="EA35" s="81">
        <f>Inv_SY_B!EA35/Inv_SY_B!$FG35-1</f>
        <v>-0.11473376167668015</v>
      </c>
      <c r="EB35" s="81">
        <f>Inv_SY_B!EB35/Inv_SY_B!$FG35-1</f>
        <v>-4.0362440097394425E-2</v>
      </c>
      <c r="EC35" s="81">
        <f>Inv_SY_B!EC35/Inv_SY_B!$FG35-1</f>
        <v>-4.3901288861961762E-2</v>
      </c>
      <c r="ED35" s="81">
        <f>Inv_SY_B!ED35/Inv_SY_B!$FG35-1</f>
        <v>-6.7741715505133526E-2</v>
      </c>
      <c r="EE35" s="81">
        <f>Inv_SY_B!EE35/Inv_SY_B!$FG35-1</f>
        <v>-6.2127739703799256E-2</v>
      </c>
      <c r="EF35" s="81">
        <f>Inv_SY_B!EF35/Inv_SY_B!$FG35-1</f>
        <v>-7.7384776952394208E-2</v>
      </c>
      <c r="EG35" s="81">
        <f>Inv_SY_B!EG35/Inv_SY_B!$FG35-1</f>
        <v>-9.1279097660391995E-2</v>
      </c>
      <c r="EH35" s="81">
        <f>Inv_SY_B!EH35/Inv_SY_B!$FG35-1</f>
        <v>-9.1467677873588338E-2</v>
      </c>
      <c r="EI35" s="81">
        <f>Inv_SY_B!EI35/Inv_SY_B!$FG35-1</f>
        <v>-3.7109431419758643E-2</v>
      </c>
      <c r="EJ35" s="81">
        <f>Inv_SY_B!EJ35/Inv_SY_B!$FG35-1</f>
        <v>8.9214978491018782E-2</v>
      </c>
      <c r="EK35" s="81">
        <f>Inv_SY_B!EK35/Inv_SY_B!$FG35-1</f>
        <v>-2.8350928184642132E-2</v>
      </c>
      <c r="EL35" s="81">
        <f>Inv_SY_B!EL35/Inv_SY_B!$FG35-1</f>
        <v>7.6954657533538473E-2</v>
      </c>
      <c r="EM35" s="81">
        <f>Inv_SY_B!EM35/Inv_SY_B!$FG35-1</f>
        <v>-3.7954058290130432E-2</v>
      </c>
      <c r="EN35" s="81">
        <f>Inv_SY_B!EN35/Inv_SY_B!$FG35-1</f>
        <v>6.8549368031075364E-2</v>
      </c>
      <c r="EO35" s="81">
        <f>Inv_SY_B!EO35/Inv_SY_B!$FG35-1</f>
        <v>-5.6957498858667743E-2</v>
      </c>
      <c r="EP35" s="81">
        <f>Inv_SY_B!EP35/Inv_SY_B!$FG35-1</f>
        <v>4.8576702951304451E-2</v>
      </c>
      <c r="EQ35" s="81">
        <f>Inv_SY_B!EQ35/Inv_SY_B!$FG35-1</f>
        <v>-4.4220818589856159E-2</v>
      </c>
      <c r="ER35" s="81">
        <f>Inv_SY_B!ER35/Inv_SY_B!$FG35-1</f>
        <v>-4.0964849111771451E-2</v>
      </c>
      <c r="ES35" s="81">
        <f>Inv_SY_B!ES35/Inv_SY_B!$FG35-1</f>
        <v>-5.3019226871107161E-2</v>
      </c>
      <c r="ET35" s="81">
        <f>Inv_SY_B!ET35/Inv_SY_B!$FG35-1</f>
        <v>-3.8825245753910553E-2</v>
      </c>
      <c r="EU35" s="81">
        <f>Inv_SY_B!EU35/Inv_SY_B!$FG35-1</f>
        <v>-3.9696433217690674E-2</v>
      </c>
      <c r="EV35" s="81">
        <f>Inv_SY_B!EV35/Inv_SY_B!$FG35-1</f>
        <v>-4.9367145277517177E-2</v>
      </c>
      <c r="EW35" s="81">
        <f>Inv_SY_B!EW35/Inv_SY_B!$FG35-1</f>
        <v>-5.0569344136643712E-2</v>
      </c>
      <c r="EX35" s="81">
        <f>Inv_SY_B!EX35/Inv_SY_B!$FG35-1</f>
        <v>-3.7784070492319799E-2</v>
      </c>
      <c r="EY35" s="81">
        <f>Inv_SY_B!EY35/Inv_SY_B!$FG35-1</f>
        <v>-4.3837656928342184E-2</v>
      </c>
      <c r="EZ35" s="81">
        <f>Inv_SY_B!EZ35/Inv_SY_B!$FG35-1</f>
        <v>-2.9503362820841539E-2</v>
      </c>
      <c r="FA35" s="81">
        <f>Inv_SY_B!FA35/Inv_SY_B!$FG35-1</f>
        <v>-3.2520646231982142E-2</v>
      </c>
      <c r="FB35" s="81">
        <f>Inv_SY_B!FB35/Inv_SY_B!$FG35-1</f>
        <v>-6.9168067663127442E-2</v>
      </c>
      <c r="FC35" s="81">
        <f>Inv_SY_B!FC35/Inv_SY_B!$FG35-1</f>
        <v>-4.7460389788532509E-2</v>
      </c>
      <c r="FD35" s="81">
        <f>Inv_SY_B!FD35/Inv_SY_B!$FG35-1</f>
        <v>-5.1040794669634404E-2</v>
      </c>
      <c r="FE35" s="81">
        <f>Inv_SY_B!FE35/Inv_SY_B!$FG35-1</f>
        <v>-2.9545269534885232E-2</v>
      </c>
      <c r="FF35" s="81">
        <f>Inv_SY_B!FF35/Inv_SY_B!$FG35-1</f>
        <v>-4.4204761941268766E-2</v>
      </c>
    </row>
    <row r="36" spans="2:162">
      <c r="B36" s="106">
        <f>B35+1</f>
        <v>45859</v>
      </c>
      <c r="C36" s="143" t="e">
        <f>Inv_SY_B!C36/Inv_SY_B!$FG36-1</f>
        <v>#N/A</v>
      </c>
      <c r="D36" s="143" t="e">
        <f>Inv_SY_B!D36/Inv_SY_B!$FG36-1</f>
        <v>#N/A</v>
      </c>
      <c r="E36" s="143" t="e">
        <f>Inv_SY_B!E36/Inv_SY_B!$FG36-1</f>
        <v>#N/A</v>
      </c>
      <c r="F36" s="143" t="e">
        <f>Inv_SY_B!F36/Inv_SY_B!$FG36-1</f>
        <v>#N/A</v>
      </c>
      <c r="G36" s="143" t="e">
        <f>Inv_SY_B!G36/Inv_SY_B!$FG36-1</f>
        <v>#N/A</v>
      </c>
      <c r="H36" s="143" t="e">
        <f>Inv_SY_B!H36/Inv_SY_B!$FG36-1</f>
        <v>#N/A</v>
      </c>
      <c r="I36" s="143" t="e">
        <f>Inv_SY_B!I36/Inv_SY_B!$FG36-1</f>
        <v>#N/A</v>
      </c>
      <c r="J36" s="143" t="e">
        <f>Inv_SY_B!J36/Inv_SY_B!$FG36-1</f>
        <v>#N/A</v>
      </c>
      <c r="K36" s="143" t="e">
        <f>Inv_SY_B!K36/Inv_SY_B!$FG36-1</f>
        <v>#N/A</v>
      </c>
      <c r="L36" s="143" t="e">
        <f>Inv_SY_B!L36/Inv_SY_B!$FG36-1</f>
        <v>#N/A</v>
      </c>
      <c r="M36" s="143" t="e">
        <f>Inv_SY_B!M36/Inv_SY_B!$FG36-1</f>
        <v>#N/A</v>
      </c>
      <c r="N36" s="143" t="e">
        <f>Inv_SY_B!N36/Inv_SY_B!$FG36-1</f>
        <v>#N/A</v>
      </c>
      <c r="O36" s="143" t="e">
        <f>Inv_SY_B!O36/Inv_SY_B!$FG36-1</f>
        <v>#N/A</v>
      </c>
      <c r="P36" s="143" t="e">
        <f>Inv_SY_B!P36/Inv_SY_B!$FG36-1</f>
        <v>#N/A</v>
      </c>
      <c r="Q36" s="143" t="e">
        <f>Inv_SY_B!Q36/Inv_SY_B!$FG36-1</f>
        <v>#N/A</v>
      </c>
      <c r="R36" s="143" t="e">
        <f>Inv_SY_B!R36/Inv_SY_B!$FG36-1</f>
        <v>#N/A</v>
      </c>
      <c r="S36" s="143" t="e">
        <f>Inv_SY_B!S36/Inv_SY_B!$FG36-1</f>
        <v>#N/A</v>
      </c>
      <c r="T36" s="143" t="e">
        <f>Inv_SY_B!T36/Inv_SY_B!$FG36-1</f>
        <v>#N/A</v>
      </c>
      <c r="U36" s="143" t="e">
        <f>Inv_SY_B!U36/Inv_SY_B!$FG36-1</f>
        <v>#N/A</v>
      </c>
      <c r="V36" s="143" t="e">
        <f>Inv_SY_B!V36/Inv_SY_B!$FG36-1</f>
        <v>#N/A</v>
      </c>
      <c r="W36" s="143" t="e">
        <f>Inv_SY_B!W36/Inv_SY_B!$FG36-1</f>
        <v>#N/A</v>
      </c>
      <c r="X36" s="143" t="e">
        <f>Inv_SY_B!X36/Inv_SY_B!$FG36-1</f>
        <v>#N/A</v>
      </c>
      <c r="Y36" s="143" t="e">
        <f>Inv_SY_B!Y36/Inv_SY_B!$FG36-1</f>
        <v>#N/A</v>
      </c>
      <c r="Z36" s="143" t="e">
        <f>Inv_SY_B!Z36/Inv_SY_B!$FG36-1</f>
        <v>#N/A</v>
      </c>
      <c r="AA36" s="143" t="e">
        <f>Inv_SY_B!AA36/Inv_SY_B!$FG36-1</f>
        <v>#N/A</v>
      </c>
      <c r="AB36" s="143" t="e">
        <f>Inv_SY_B!AB36/Inv_SY_B!$FG36-1</f>
        <v>#N/A</v>
      </c>
      <c r="AC36" s="143" t="e">
        <f>Inv_SY_B!AC36/Inv_SY_B!$FG36-1</f>
        <v>#N/A</v>
      </c>
      <c r="AD36" s="143" t="e">
        <f>Inv_SY_B!AD36/Inv_SY_B!$FG36-1</f>
        <v>#N/A</v>
      </c>
      <c r="AE36" s="143" t="e">
        <f>Inv_SY_B!AE36/Inv_SY_B!$FG36-1</f>
        <v>#N/A</v>
      </c>
      <c r="AF36" s="143" t="e">
        <f>Inv_SY_B!AF36/Inv_SY_B!$FG36-1</f>
        <v>#N/A</v>
      </c>
      <c r="AG36" s="143" t="e">
        <f>Inv_SY_B!AG36/Inv_SY_B!$FG36-1</f>
        <v>#N/A</v>
      </c>
      <c r="AH36" s="143" t="e">
        <f>Inv_SY_B!AH36/Inv_SY_B!$FG36-1</f>
        <v>#N/A</v>
      </c>
      <c r="AI36" s="143" t="e">
        <f>Inv_SY_B!AI36/Inv_SY_B!$FG36-1</f>
        <v>#N/A</v>
      </c>
      <c r="AJ36" s="143" t="e">
        <f>Inv_SY_B!AJ36/Inv_SY_B!$FG36-1</f>
        <v>#N/A</v>
      </c>
      <c r="AK36" s="143" t="e">
        <f>Inv_SY_B!AK36/Inv_SY_B!$FG36-1</f>
        <v>#N/A</v>
      </c>
      <c r="AL36" s="143" t="e">
        <f>Inv_SY_B!AL36/Inv_SY_B!$FG36-1</f>
        <v>#N/A</v>
      </c>
      <c r="AM36" s="143" t="e">
        <f>Inv_SY_B!AM36/Inv_SY_B!$FG36-1</f>
        <v>#N/A</v>
      </c>
      <c r="AN36" s="143" t="e">
        <f>Inv_SY_B!AN36/Inv_SY_B!$FG36-1</f>
        <v>#N/A</v>
      </c>
      <c r="AO36" s="143" t="e">
        <f>Inv_SY_B!AO36/Inv_SY_B!$FG36-1</f>
        <v>#N/A</v>
      </c>
      <c r="AP36" s="143" t="e">
        <f>Inv_SY_B!AP36/Inv_SY_B!$FG36-1</f>
        <v>#N/A</v>
      </c>
      <c r="AQ36" s="143" t="e">
        <f>Inv_SY_B!AQ36/Inv_SY_B!$FG36-1</f>
        <v>#N/A</v>
      </c>
      <c r="AR36" s="143" t="e">
        <f>Inv_SY_B!AR36/Inv_SY_B!$FG36-1</f>
        <v>#N/A</v>
      </c>
      <c r="AS36" s="143" t="e">
        <f>Inv_SY_B!AS36/Inv_SY_B!$FG36-1</f>
        <v>#N/A</v>
      </c>
      <c r="AT36" s="143" t="e">
        <f>Inv_SY_B!AT36/Inv_SY_B!$FG36-1</f>
        <v>#N/A</v>
      </c>
      <c r="AU36" s="143" t="e">
        <f>Inv_SY_B!AU36/Inv_SY_B!$FG36-1</f>
        <v>#N/A</v>
      </c>
      <c r="AV36" s="143" t="e">
        <f>Inv_SY_B!AV36/Inv_SY_B!$FG36-1</f>
        <v>#N/A</v>
      </c>
      <c r="AW36" s="143" t="e">
        <f>Inv_SY_B!AW36/Inv_SY_B!$FG36-1</f>
        <v>#N/A</v>
      </c>
      <c r="AX36" s="143" t="e">
        <f>Inv_SY_B!AX36/Inv_SY_B!$FG36-1</f>
        <v>#N/A</v>
      </c>
      <c r="AY36" s="143" t="e">
        <f>Inv_SY_B!AY36/Inv_SY_B!$FG36-1</f>
        <v>#N/A</v>
      </c>
      <c r="AZ36" s="143" t="e">
        <f>Inv_SY_B!AZ36/Inv_SY_B!$FG36-1</f>
        <v>#N/A</v>
      </c>
      <c r="BA36" s="143" t="e">
        <f>Inv_SY_B!BA36/Inv_SY_B!$FG36-1</f>
        <v>#N/A</v>
      </c>
      <c r="BB36" s="143" t="e">
        <f>Inv_SY_B!BB36/Inv_SY_B!$FG36-1</f>
        <v>#N/A</v>
      </c>
      <c r="BC36" s="143" t="e">
        <f>Inv_SY_B!BC36/Inv_SY_B!$FG36-1</f>
        <v>#N/A</v>
      </c>
      <c r="BD36" s="143" t="e">
        <f>Inv_SY_B!BD36/Inv_SY_B!$FG36-1</f>
        <v>#N/A</v>
      </c>
      <c r="BE36" s="143" t="e">
        <f>Inv_SY_B!BE36/Inv_SY_B!$FG36-1</f>
        <v>#N/A</v>
      </c>
      <c r="BF36" s="143" t="e">
        <f>Inv_SY_B!BF36/Inv_SY_B!$FG36-1</f>
        <v>#N/A</v>
      </c>
      <c r="BG36" s="143" t="e">
        <f>Inv_SY_B!BG36/Inv_SY_B!$FG36-1</f>
        <v>#N/A</v>
      </c>
      <c r="BH36" s="143" t="e">
        <f>Inv_SY_B!BH36/Inv_SY_B!$FG36-1</f>
        <v>#N/A</v>
      </c>
      <c r="BI36" s="143" t="e">
        <f>Inv_SY_B!BI36/Inv_SY_B!$FG36-1</f>
        <v>#N/A</v>
      </c>
      <c r="BJ36" s="143" t="e">
        <f>Inv_SY_B!BJ36/Inv_SY_B!$FG36-1</f>
        <v>#N/A</v>
      </c>
      <c r="BK36" s="143" t="e">
        <f>Inv_SY_B!BK36/Inv_SY_B!$FG36-1</f>
        <v>#N/A</v>
      </c>
      <c r="BL36" s="143" t="e">
        <f>Inv_SY_B!BL36/Inv_SY_B!$FG36-1</f>
        <v>#N/A</v>
      </c>
      <c r="BM36" s="143" t="e">
        <f>Inv_SY_B!BM36/Inv_SY_B!$FG36-1</f>
        <v>#N/A</v>
      </c>
      <c r="BN36" s="143" t="e">
        <f>Inv_SY_B!BN36/Inv_SY_B!$FG36-1</f>
        <v>#N/A</v>
      </c>
      <c r="BO36" s="143" t="e">
        <f>Inv_SY_B!BO36/Inv_SY_B!$FG36-1</f>
        <v>#N/A</v>
      </c>
      <c r="BP36" s="143" t="e">
        <f>Inv_SY_B!BP36/Inv_SY_B!$FG36-1</f>
        <v>#N/A</v>
      </c>
      <c r="BQ36" s="143" t="e">
        <f>Inv_SY_B!BQ36/Inv_SY_B!$FG36-1</f>
        <v>#N/A</v>
      </c>
      <c r="BR36" s="143" t="e">
        <f>Inv_SY_B!BR36/Inv_SY_B!$FG36-1</f>
        <v>#N/A</v>
      </c>
      <c r="BS36" s="143" t="e">
        <f>Inv_SY_B!BS36/Inv_SY_B!$FG36-1</f>
        <v>#N/A</v>
      </c>
      <c r="BT36" s="143" t="e">
        <f>Inv_SY_B!BT36/Inv_SY_B!$FG36-1</f>
        <v>#N/A</v>
      </c>
      <c r="BU36" s="143" t="e">
        <f>Inv_SY_B!BU36/Inv_SY_B!$FG36-1</f>
        <v>#N/A</v>
      </c>
      <c r="BV36" s="143" t="e">
        <f>Inv_SY_B!BV36/Inv_SY_B!$FG36-1</f>
        <v>#N/A</v>
      </c>
      <c r="BW36" s="143" t="e">
        <f>Inv_SY_B!BW36/Inv_SY_B!$FG36-1</f>
        <v>#N/A</v>
      </c>
      <c r="BX36" s="143" t="e">
        <f>Inv_SY_B!BX36/Inv_SY_B!$FG36-1</f>
        <v>#N/A</v>
      </c>
      <c r="BY36" s="143" t="e">
        <f>Inv_SY_B!BY36/Inv_SY_B!$FG36-1</f>
        <v>#N/A</v>
      </c>
      <c r="BZ36" s="143" t="e">
        <f>Inv_SY_B!BZ36/Inv_SY_B!$FG36-1</f>
        <v>#N/A</v>
      </c>
      <c r="CA36" s="143" t="e">
        <f>Inv_SY_B!CA36/Inv_SY_B!$FG36-1</f>
        <v>#N/A</v>
      </c>
      <c r="CB36" s="143" t="e">
        <f>Inv_SY_B!CB36/Inv_SY_B!$FG36-1</f>
        <v>#N/A</v>
      </c>
      <c r="CC36" s="143" t="e">
        <f>Inv_SY_B!CC36/Inv_SY_B!$FG36-1</f>
        <v>#N/A</v>
      </c>
      <c r="CD36" s="143" t="e">
        <f>Inv_SY_B!CD36/Inv_SY_B!$FG36-1</f>
        <v>#N/A</v>
      </c>
      <c r="CE36" s="143" t="e">
        <f>Inv_SY_B!CE36/Inv_SY_B!$FG36-1</f>
        <v>#N/A</v>
      </c>
      <c r="CF36" s="143" t="e">
        <f>Inv_SY_B!CF36/Inv_SY_B!$FG36-1</f>
        <v>#N/A</v>
      </c>
      <c r="CG36" s="143" t="e">
        <f>Inv_SY_B!CG36/Inv_SY_B!$FG36-1</f>
        <v>#N/A</v>
      </c>
      <c r="CH36" s="143" t="e">
        <f>Inv_SY_B!CH36/Inv_SY_B!$FG36-1</f>
        <v>#N/A</v>
      </c>
      <c r="CI36" s="143" t="e">
        <f>Inv_SY_B!CI36/Inv_SY_B!$FG36-1</f>
        <v>#N/A</v>
      </c>
      <c r="CJ36" s="143" t="e">
        <f>Inv_SY_B!CJ36/Inv_SY_B!$FG36-1</f>
        <v>#N/A</v>
      </c>
      <c r="CK36" s="143" t="e">
        <f>Inv_SY_B!CK36/Inv_SY_B!$FG36-1</f>
        <v>#N/A</v>
      </c>
      <c r="CL36" s="143" t="e">
        <f>Inv_SY_B!CL36/Inv_SY_B!$FG36-1</f>
        <v>#N/A</v>
      </c>
      <c r="CM36" s="143" t="e">
        <f>Inv_SY_B!CM36/Inv_SY_B!$FG36-1</f>
        <v>#N/A</v>
      </c>
      <c r="CN36" s="143" t="e">
        <f>Inv_SY_B!CN36/Inv_SY_B!$FG36-1</f>
        <v>#N/A</v>
      </c>
      <c r="CO36" s="143" t="e">
        <f>Inv_SY_B!CO36/Inv_SY_B!$FG36-1</f>
        <v>#N/A</v>
      </c>
      <c r="CP36" s="143" t="e">
        <f>Inv_SY_B!CP36/Inv_SY_B!$FG36-1</f>
        <v>#N/A</v>
      </c>
      <c r="CQ36" s="143" t="e">
        <f>Inv_SY_B!CQ36/Inv_SY_B!$FG36-1</f>
        <v>#N/A</v>
      </c>
      <c r="CR36" s="143" t="e">
        <f>Inv_SY_B!CR36/Inv_SY_B!$FG36-1</f>
        <v>#N/A</v>
      </c>
      <c r="CS36" s="143" t="e">
        <f>Inv_SY_B!CS36/Inv_SY_B!$FG36-1</f>
        <v>#N/A</v>
      </c>
      <c r="CT36" s="143" t="e">
        <f>Inv_SY_B!CT36/Inv_SY_B!$FG36-1</f>
        <v>#N/A</v>
      </c>
      <c r="CU36" s="143" t="e">
        <f>Inv_SY_B!CU36/Inv_SY_B!$FG36-1</f>
        <v>#N/A</v>
      </c>
      <c r="CV36" s="143" t="e">
        <f>Inv_SY_B!CV36/Inv_SY_B!$FG36-1</f>
        <v>#N/A</v>
      </c>
      <c r="CW36" s="143" t="e">
        <f>Inv_SY_B!CW36/Inv_SY_B!$FG36-1</f>
        <v>#N/A</v>
      </c>
      <c r="CX36" s="143" t="e">
        <f>Inv_SY_B!CX36/Inv_SY_B!$FG36-1</f>
        <v>#N/A</v>
      </c>
      <c r="CY36" s="143" t="e">
        <f>Inv_SY_B!CY36/Inv_SY_B!$FG36-1</f>
        <v>#N/A</v>
      </c>
      <c r="CZ36" s="143" t="e">
        <f>Inv_SY_B!CZ36/Inv_SY_B!$FG36-1</f>
        <v>#N/A</v>
      </c>
      <c r="DA36" s="143" t="e">
        <f>Inv_SY_B!DA36/Inv_SY_B!$FG36-1</f>
        <v>#N/A</v>
      </c>
      <c r="DB36" s="143" t="e">
        <f>Inv_SY_B!DB36/Inv_SY_B!$FG36-1</f>
        <v>#N/A</v>
      </c>
      <c r="DC36" s="143" t="e">
        <f>Inv_SY_B!DC36/Inv_SY_B!$FG36-1</f>
        <v>#N/A</v>
      </c>
      <c r="DD36" s="143" t="e">
        <f>Inv_SY_B!DD36/Inv_SY_B!$FG36-1</f>
        <v>#N/A</v>
      </c>
      <c r="DE36" s="143" t="e">
        <f>Inv_SY_B!DE36/Inv_SY_B!$FG36-1</f>
        <v>#N/A</v>
      </c>
      <c r="DF36" s="143" t="e">
        <f>Inv_SY_B!DF36/Inv_SY_B!$FG36-1</f>
        <v>#N/A</v>
      </c>
      <c r="DG36" s="143" t="e">
        <f>Inv_SY_B!DG36/Inv_SY_B!$FG36-1</f>
        <v>#N/A</v>
      </c>
      <c r="DH36" s="143" t="e">
        <f>Inv_SY_B!DH36/Inv_SY_B!$FG36-1</f>
        <v>#N/A</v>
      </c>
      <c r="DI36" s="143" t="e">
        <f>Inv_SY_B!DI36/Inv_SY_B!$FG36-1</f>
        <v>#N/A</v>
      </c>
      <c r="DJ36" s="143" t="e">
        <f>Inv_SY_B!DJ36/Inv_SY_B!$FG36-1</f>
        <v>#N/A</v>
      </c>
      <c r="DK36" s="143" t="e">
        <f>Inv_SY_B!DK36/Inv_SY_B!$FG36-1</f>
        <v>#N/A</v>
      </c>
      <c r="DL36" s="143" t="e">
        <f>Inv_SY_B!DL36/Inv_SY_B!$FG36-1</f>
        <v>#N/A</v>
      </c>
      <c r="DM36" s="143" t="e">
        <f>Inv_SY_B!DM36/Inv_SY_B!$FG36-1</f>
        <v>#N/A</v>
      </c>
      <c r="DN36" s="143" t="e">
        <f>Inv_SY_B!DN36/Inv_SY_B!$FG36-1</f>
        <v>#N/A</v>
      </c>
      <c r="DO36" s="143" t="e">
        <f>Inv_SY_B!DO36/Inv_SY_B!$FG36-1</f>
        <v>#N/A</v>
      </c>
      <c r="DP36" s="143" t="e">
        <f>Inv_SY_B!DP36/Inv_SY_B!$FG36-1</f>
        <v>#N/A</v>
      </c>
      <c r="DQ36" s="143" t="e">
        <f>Inv_SY_B!DQ36/Inv_SY_B!$FG36-1</f>
        <v>#N/A</v>
      </c>
      <c r="DR36" s="143" t="e">
        <f>Inv_SY_B!DR36/Inv_SY_B!$FG36-1</f>
        <v>#N/A</v>
      </c>
      <c r="DS36" s="143" t="e">
        <f>Inv_SY_B!DS36/Inv_SY_B!$FG36-1</f>
        <v>#N/A</v>
      </c>
      <c r="DT36" s="143" t="e">
        <f>Inv_SY_B!DT36/Inv_SY_B!$FG36-1</f>
        <v>#N/A</v>
      </c>
      <c r="DU36" s="143" t="e">
        <f>Inv_SY_B!DU36/Inv_SY_B!$FG36-1</f>
        <v>#N/A</v>
      </c>
      <c r="DV36" s="143" t="e">
        <f>Inv_SY_B!DV36/Inv_SY_B!$FG36-1</f>
        <v>#N/A</v>
      </c>
      <c r="DW36" s="143" t="e">
        <f>Inv_SY_B!DW36/Inv_SY_B!$FG36-1</f>
        <v>#N/A</v>
      </c>
      <c r="DX36" s="143" t="e">
        <f>Inv_SY_B!DX36/Inv_SY_B!$FG36-1</f>
        <v>#N/A</v>
      </c>
      <c r="DY36" s="143" t="e">
        <f>Inv_SY_B!DY36/Inv_SY_B!$FG36-1</f>
        <v>#N/A</v>
      </c>
      <c r="DZ36" s="143" t="e">
        <f>Inv_SY_B!DZ36/Inv_SY_B!$FG36-1</f>
        <v>#N/A</v>
      </c>
      <c r="EA36" s="143" t="e">
        <f>Inv_SY_B!EA36/Inv_SY_B!$FG36-1</f>
        <v>#N/A</v>
      </c>
      <c r="EB36" s="143" t="e">
        <f>Inv_SY_B!EB36/Inv_SY_B!$FG36-1</f>
        <v>#N/A</v>
      </c>
      <c r="EC36" s="143" t="e">
        <f>Inv_SY_B!EC36/Inv_SY_B!$FG36-1</f>
        <v>#N/A</v>
      </c>
      <c r="ED36" s="143" t="e">
        <f>Inv_SY_B!ED36/Inv_SY_B!$FG36-1</f>
        <v>#N/A</v>
      </c>
      <c r="EE36" s="143" t="e">
        <f>Inv_SY_B!EE36/Inv_SY_B!$FG36-1</f>
        <v>#N/A</v>
      </c>
      <c r="EF36" s="143" t="e">
        <f>Inv_SY_B!EF36/Inv_SY_B!$FG36-1</f>
        <v>#N/A</v>
      </c>
      <c r="EG36" s="143" t="e">
        <f>Inv_SY_B!EG36/Inv_SY_B!$FG36-1</f>
        <v>#N/A</v>
      </c>
      <c r="EH36" s="143" t="e">
        <f>Inv_SY_B!EH36/Inv_SY_B!$FG36-1</f>
        <v>#N/A</v>
      </c>
      <c r="EI36" s="143" t="e">
        <f>Inv_SY_B!EI36/Inv_SY_B!$FG36-1</f>
        <v>#N/A</v>
      </c>
      <c r="EJ36" s="143" t="e">
        <f>Inv_SY_B!EJ36/Inv_SY_B!$FG36-1</f>
        <v>#N/A</v>
      </c>
      <c r="EK36" s="143" t="e">
        <f>Inv_SY_B!EK36/Inv_SY_B!$FG36-1</f>
        <v>#N/A</v>
      </c>
      <c r="EL36" s="143" t="e">
        <f>Inv_SY_B!EL36/Inv_SY_B!$FG36-1</f>
        <v>#N/A</v>
      </c>
      <c r="EM36" s="143" t="e">
        <f>Inv_SY_B!EM36/Inv_SY_B!$FG36-1</f>
        <v>#N/A</v>
      </c>
      <c r="EN36" s="143" t="e">
        <f>Inv_SY_B!EN36/Inv_SY_B!$FG36-1</f>
        <v>#N/A</v>
      </c>
      <c r="EO36" s="143" t="e">
        <f>Inv_SY_B!EO36/Inv_SY_B!$FG36-1</f>
        <v>#N/A</v>
      </c>
      <c r="EP36" s="143" t="e">
        <f>Inv_SY_B!EP36/Inv_SY_B!$FG36-1</f>
        <v>#N/A</v>
      </c>
      <c r="EQ36" s="143" t="e">
        <f>Inv_SY_B!EQ36/Inv_SY_B!$FG36-1</f>
        <v>#N/A</v>
      </c>
      <c r="ER36" s="143" t="e">
        <f>Inv_SY_B!ER36/Inv_SY_B!$FG36-1</f>
        <v>#N/A</v>
      </c>
      <c r="ES36" s="143" t="e">
        <f>Inv_SY_B!ES36/Inv_SY_B!$FG36-1</f>
        <v>#N/A</v>
      </c>
      <c r="ET36" s="143" t="e">
        <f>Inv_SY_B!ET36/Inv_SY_B!$FG36-1</f>
        <v>#N/A</v>
      </c>
      <c r="EU36" s="143" t="e">
        <f>Inv_SY_B!EU36/Inv_SY_B!$FG36-1</f>
        <v>#N/A</v>
      </c>
      <c r="EV36" s="143" t="e">
        <f>Inv_SY_B!EV36/Inv_SY_B!$FG36-1</f>
        <v>#N/A</v>
      </c>
      <c r="EW36" s="143" t="e">
        <f>Inv_SY_B!EW36/Inv_SY_B!$FG36-1</f>
        <v>#N/A</v>
      </c>
      <c r="EX36" s="143" t="e">
        <f>Inv_SY_B!EX36/Inv_SY_B!$FG36-1</f>
        <v>#N/A</v>
      </c>
      <c r="EY36" s="143" t="e">
        <f>Inv_SY_B!EY36/Inv_SY_B!$FG36-1</f>
        <v>#N/A</v>
      </c>
      <c r="EZ36" s="143" t="e">
        <f>Inv_SY_B!EZ36/Inv_SY_B!$FG36-1</f>
        <v>#N/A</v>
      </c>
      <c r="FA36" s="143" t="e">
        <f>Inv_SY_B!FA36/Inv_SY_B!$FG36-1</f>
        <v>#N/A</v>
      </c>
      <c r="FB36" s="143" t="e">
        <f>Inv_SY_B!FB36/Inv_SY_B!$FG36-1</f>
        <v>#N/A</v>
      </c>
      <c r="FC36" s="143" t="e">
        <f>Inv_SY_B!FC36/Inv_SY_B!$FG36-1</f>
        <v>#N/A</v>
      </c>
      <c r="FD36" s="143" t="e">
        <f>Inv_SY_B!FD36/Inv_SY_B!$FG36-1</f>
        <v>#N/A</v>
      </c>
      <c r="FE36" s="143" t="e">
        <f>Inv_SY_B!FE36/Inv_SY_B!$FG36-1</f>
        <v>#N/A</v>
      </c>
      <c r="FF36" s="143" t="e">
        <f>Inv_SY_B!FF36/Inv_SY_B!$FG36-1</f>
        <v>#N/A</v>
      </c>
    </row>
  </sheetData>
  <phoneticPr fontId="5" type="noConversion"/>
  <conditionalFormatting sqref="C4:FF36">
    <cfRule type="cellIs" dxfId="0" priority="1" operator="lessThan">
      <formula>-0.03</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B6029-5B73-42C8-8460-CBE74FC03E22}">
  <dimension ref="A1:R313"/>
  <sheetViews>
    <sheetView topLeftCell="A31" zoomScale="70" zoomScaleNormal="70" workbookViewId="0">
      <selection activeCell="C47" sqref="C47"/>
    </sheetView>
  </sheetViews>
  <sheetFormatPr defaultColWidth="8.81640625" defaultRowHeight="14.5"/>
  <cols>
    <col min="1" max="1" width="16.453125" bestFit="1" customWidth="1"/>
    <col min="2" max="2" width="8.453125" bestFit="1" customWidth="1"/>
    <col min="3" max="3" width="14.1796875" bestFit="1" customWidth="1"/>
    <col min="4" max="4" width="14" bestFit="1" customWidth="1"/>
    <col min="5" max="5" width="23.453125" bestFit="1" customWidth="1"/>
    <col min="6" max="6" width="9.453125" customWidth="1"/>
    <col min="7" max="7" width="46.81640625" bestFit="1" customWidth="1"/>
    <col min="8" max="8" width="12" bestFit="1" customWidth="1"/>
    <col min="9" max="9" width="16.81640625" bestFit="1" customWidth="1"/>
    <col min="10" max="10" width="14" bestFit="1" customWidth="1"/>
    <col min="11" max="11" width="13.81640625" bestFit="1" customWidth="1"/>
    <col min="12" max="12" width="23.1796875" bestFit="1" customWidth="1"/>
    <col min="13" max="13" width="20.81640625" bestFit="1" customWidth="1"/>
    <col min="14" max="14" width="13.81640625" bestFit="1" customWidth="1"/>
    <col min="15" max="15" width="12.453125" bestFit="1" customWidth="1"/>
    <col min="16" max="16" width="13.453125" bestFit="1" customWidth="1"/>
    <col min="17" max="17" width="12.453125" bestFit="1" customWidth="1"/>
    <col min="18" max="18" width="14.453125" bestFit="1" customWidth="1"/>
  </cols>
  <sheetData>
    <row r="1" spans="1:18">
      <c r="A1" s="119" t="s">
        <v>504</v>
      </c>
      <c r="B1" s="120" t="s">
        <v>505</v>
      </c>
      <c r="C1" s="120" t="s">
        <v>506</v>
      </c>
      <c r="D1" s="120" t="s">
        <v>507</v>
      </c>
      <c r="E1" s="120" t="s">
        <v>39</v>
      </c>
      <c r="F1" s="121" t="s">
        <v>508</v>
      </c>
      <c r="G1" s="121" t="s">
        <v>509</v>
      </c>
      <c r="H1" s="121" t="s">
        <v>510</v>
      </c>
      <c r="I1" s="121" t="s">
        <v>511</v>
      </c>
      <c r="J1" s="121" t="s">
        <v>512</v>
      </c>
      <c r="K1" s="121" t="s">
        <v>513</v>
      </c>
      <c r="L1" s="121" t="s">
        <v>514</v>
      </c>
      <c r="M1" s="121" t="s">
        <v>515</v>
      </c>
      <c r="N1" s="121" t="s">
        <v>516</v>
      </c>
      <c r="O1" s="121" t="s">
        <v>517</v>
      </c>
      <c r="P1" s="121" t="s">
        <v>518</v>
      </c>
      <c r="Q1" s="120" t="s">
        <v>519</v>
      </c>
      <c r="R1" s="120" t="s">
        <v>520</v>
      </c>
    </row>
    <row r="2" spans="1:18">
      <c r="A2" s="123" t="str">
        <f>CONCATENATE("Year-",CSSPL_PVS12[[#This Row],[Month]])</f>
        <v>Year-Apr</v>
      </c>
      <c r="B2" s="28" t="s">
        <v>521</v>
      </c>
      <c r="C2" s="26">
        <v>215.9</v>
      </c>
      <c r="D2" s="32">
        <v>208.99969899999999</v>
      </c>
      <c r="E2" s="31">
        <v>59637.599999999999</v>
      </c>
      <c r="F2" s="124">
        <v>52.296499350965128</v>
      </c>
      <c r="G2" s="125">
        <v>1.6658954187875996E-2</v>
      </c>
      <c r="H2" s="125">
        <v>0.28999999999999998</v>
      </c>
      <c r="I2" s="125">
        <v>0.11719199751057031</v>
      </c>
      <c r="J2" s="125">
        <v>1.5231272154623582E-2</v>
      </c>
      <c r="K2" s="125">
        <v>1.6110689006976781E-2</v>
      </c>
      <c r="L2" s="125">
        <v>1.8633277773980331E-2</v>
      </c>
      <c r="M2" s="125">
        <v>0</v>
      </c>
      <c r="N2" s="125">
        <v>2.2802418781094937E-2</v>
      </c>
      <c r="O2" s="125">
        <v>2.7995485693316467E-2</v>
      </c>
      <c r="P2" s="125">
        <v>0.995</v>
      </c>
      <c r="Q2" s="125">
        <v>0.995</v>
      </c>
      <c r="R2" s="125">
        <v>0</v>
      </c>
    </row>
    <row r="3" spans="1:18">
      <c r="A3" s="123" t="e">
        <f t="shared" ref="A3" si="0">CONCATENATE("Year-",#REF!)</f>
        <v>#REF!</v>
      </c>
      <c r="B3" s="28" t="s">
        <v>522</v>
      </c>
      <c r="C3" s="26">
        <v>217.9</v>
      </c>
      <c r="D3" s="32">
        <v>221.90023470000006</v>
      </c>
      <c r="E3" s="31">
        <v>61013.7</v>
      </c>
      <c r="F3" s="124">
        <v>55.437733860726389</v>
      </c>
      <c r="G3" s="125">
        <v>1.7865322950068707E-2</v>
      </c>
      <c r="H3" s="125">
        <v>0.3</v>
      </c>
      <c r="I3" s="125">
        <v>0.1306817577748349</v>
      </c>
      <c r="J3" s="125">
        <v>1.609339136491415E-2</v>
      </c>
      <c r="K3" s="125">
        <v>1.525163145425878E-2</v>
      </c>
      <c r="L3" s="125">
        <v>1.5763583972179196E-2</v>
      </c>
      <c r="M3" s="125">
        <v>0</v>
      </c>
      <c r="N3" s="125">
        <v>2.2281870794181511E-2</v>
      </c>
      <c r="O3" s="125">
        <v>1.1198342091846737E-2</v>
      </c>
      <c r="P3" s="125">
        <v>0.995</v>
      </c>
      <c r="Q3" s="125">
        <v>0.995</v>
      </c>
      <c r="R3" s="125">
        <v>0</v>
      </c>
    </row>
    <row r="4" spans="1:18">
      <c r="A4" s="123" t="e">
        <f t="shared" ref="A4" si="1">CONCATENATE("Year-",#REF!)</f>
        <v>#REF!</v>
      </c>
      <c r="B4" s="28" t="s">
        <v>523</v>
      </c>
      <c r="C4" s="26">
        <v>192.8</v>
      </c>
      <c r="D4" s="32">
        <v>200.20089519999999</v>
      </c>
      <c r="E4" s="31">
        <v>54806.400000000001</v>
      </c>
      <c r="F4" s="124">
        <v>54.658309168315547</v>
      </c>
      <c r="G4" s="125">
        <v>1.914123124676681E-2</v>
      </c>
      <c r="H4" s="125">
        <v>0.3</v>
      </c>
      <c r="I4" s="125">
        <v>0.12650723469382591</v>
      </c>
      <c r="J4" s="125">
        <v>1.6398522844759341E-2</v>
      </c>
      <c r="K4" s="125">
        <v>1.3926271600695752E-2</v>
      </c>
      <c r="L4" s="125">
        <v>1.4057661793117321E-2</v>
      </c>
      <c r="M4" s="125">
        <v>0</v>
      </c>
      <c r="N4" s="125">
        <v>2.1677907023400757E-2</v>
      </c>
      <c r="O4" s="125">
        <v>4.051685061336731E-3</v>
      </c>
      <c r="P4" s="125">
        <v>0.995</v>
      </c>
      <c r="Q4" s="125">
        <v>0.995</v>
      </c>
      <c r="R4" s="125">
        <v>0</v>
      </c>
    </row>
    <row r="5" spans="1:18">
      <c r="A5" s="123" t="e">
        <f t="shared" ref="A5" si="2">CONCATENATE("Year-",#REF!)</f>
        <v>#REF!</v>
      </c>
      <c r="B5" s="28" t="s">
        <v>524</v>
      </c>
      <c r="C5" s="26">
        <v>168.9</v>
      </c>
      <c r="D5" s="32">
        <v>173.59972409999992</v>
      </c>
      <c r="E5" s="31">
        <v>48598.11</v>
      </c>
      <c r="F5" s="124">
        <v>51.564857066184757</v>
      </c>
      <c r="G5" s="125">
        <v>2.1854695806261204E-2</v>
      </c>
      <c r="H5" s="125">
        <v>0.28000000000000003</v>
      </c>
      <c r="I5" s="125">
        <v>0.1089308468990661</v>
      </c>
      <c r="J5" s="125">
        <v>1.5867586262633245E-2</v>
      </c>
      <c r="K5" s="125">
        <v>1.231974144019694E-2</v>
      </c>
      <c r="L5" s="125">
        <v>1.3502102014775261E-2</v>
      </c>
      <c r="M5" s="125">
        <v>0</v>
      </c>
      <c r="N5" s="125">
        <v>2.127320988616644E-2</v>
      </c>
      <c r="O5" s="125">
        <v>1.5557262066246368E-3</v>
      </c>
      <c r="P5" s="125">
        <v>0.995</v>
      </c>
      <c r="Q5" s="125">
        <v>0.995</v>
      </c>
      <c r="R5" s="125">
        <v>0</v>
      </c>
    </row>
    <row r="6" spans="1:18">
      <c r="A6" s="123" t="e">
        <f t="shared" ref="A6" si="3">CONCATENATE("Year-",#REF!)</f>
        <v>#REF!</v>
      </c>
      <c r="B6" s="28" t="s">
        <v>525</v>
      </c>
      <c r="C6" s="26">
        <v>174.2</v>
      </c>
      <c r="D6" s="32">
        <v>172.6001566000001</v>
      </c>
      <c r="E6" s="31">
        <v>49476.24</v>
      </c>
      <c r="F6" s="124">
        <v>50.336592710430871</v>
      </c>
      <c r="G6" s="125">
        <v>2.0196191575302946E-2</v>
      </c>
      <c r="H6" s="125">
        <v>0.27</v>
      </c>
      <c r="I6" s="125">
        <v>0.10494453414747008</v>
      </c>
      <c r="J6" s="125">
        <v>1.507508977611231E-2</v>
      </c>
      <c r="K6" s="125">
        <v>1.2791562311125756E-2</v>
      </c>
      <c r="L6" s="125">
        <v>1.4116403195935955E-2</v>
      </c>
      <c r="M6" s="125">
        <v>0</v>
      </c>
      <c r="N6" s="125">
        <v>2.157456294953386E-2</v>
      </c>
      <c r="O6" s="125">
        <v>6.2818876990405415E-3</v>
      </c>
      <c r="P6" s="125">
        <v>0.995</v>
      </c>
      <c r="Q6" s="125">
        <v>0.995</v>
      </c>
      <c r="R6" s="125">
        <v>0</v>
      </c>
    </row>
    <row r="7" spans="1:18">
      <c r="A7" s="123" t="e">
        <f t="shared" ref="A7" si="4">CONCATENATE("Year-",#REF!)</f>
        <v>#REF!</v>
      </c>
      <c r="B7" s="28" t="s">
        <v>526</v>
      </c>
      <c r="C7" s="26">
        <v>192.1</v>
      </c>
      <c r="D7" s="32">
        <v>178.89930529999984</v>
      </c>
      <c r="E7" s="31">
        <v>53840.159999999996</v>
      </c>
      <c r="F7" s="124">
        <v>52.25059433997491</v>
      </c>
      <c r="G7" s="125">
        <v>1.7196456487754141E-2</v>
      </c>
      <c r="H7" s="125">
        <v>0.26</v>
      </c>
      <c r="I7" s="125">
        <v>0.11387126505657014</v>
      </c>
      <c r="J7" s="125">
        <v>1.3959618092500629E-2</v>
      </c>
      <c r="K7" s="125">
        <v>1.4531255376132731E-2</v>
      </c>
      <c r="L7" s="125">
        <v>1.4478833500810966E-2</v>
      </c>
      <c r="M7" s="125">
        <v>0</v>
      </c>
      <c r="N7" s="125">
        <v>2.2473527643153385E-2</v>
      </c>
      <c r="O7" s="125">
        <v>1.1388926338936924E-2</v>
      </c>
      <c r="P7" s="125">
        <v>0.995</v>
      </c>
      <c r="Q7" s="125">
        <v>0.995</v>
      </c>
      <c r="R7" s="125">
        <v>0</v>
      </c>
    </row>
    <row r="8" spans="1:18">
      <c r="A8" s="123" t="e">
        <f t="shared" ref="A8" si="5">CONCATENATE("Year-",#REF!)</f>
        <v>#REF!</v>
      </c>
      <c r="B8" s="28" t="s">
        <v>527</v>
      </c>
      <c r="C8" s="26">
        <v>202.3</v>
      </c>
      <c r="D8" s="32">
        <v>174.60082279999986</v>
      </c>
      <c r="E8" s="31">
        <v>56487.42</v>
      </c>
      <c r="F8" s="124">
        <v>49.723937837075084</v>
      </c>
      <c r="G8" s="125">
        <v>1.5873015873015817E-2</v>
      </c>
      <c r="H8" s="125">
        <v>0.27</v>
      </c>
      <c r="I8" s="125">
        <v>0.10390722673430232</v>
      </c>
      <c r="J8" s="125">
        <v>1.4040704754284353E-2</v>
      </c>
      <c r="K8" s="125">
        <v>1.526389492868482E-2</v>
      </c>
      <c r="L8" s="125">
        <v>1.5324069649683622E-2</v>
      </c>
      <c r="M8" s="125">
        <v>0</v>
      </c>
      <c r="N8" s="125">
        <v>2.3043103417804571E-2</v>
      </c>
      <c r="O8" s="125">
        <v>2.1184397869334348E-2</v>
      </c>
      <c r="P8" s="125">
        <v>0.995</v>
      </c>
      <c r="Q8" s="125">
        <v>0.995</v>
      </c>
      <c r="R8" s="125">
        <v>0</v>
      </c>
    </row>
    <row r="9" spans="1:18">
      <c r="A9" s="123" t="e">
        <f t="shared" ref="A9" si="6">CONCATENATE("Year-",#REF!)</f>
        <v>#REF!</v>
      </c>
      <c r="B9" s="28" t="s">
        <v>528</v>
      </c>
      <c r="C9" s="26">
        <v>162.9</v>
      </c>
      <c r="D9" s="32">
        <v>133.69942049999997</v>
      </c>
      <c r="E9" s="31">
        <v>47868.480000000003</v>
      </c>
      <c r="F9" s="124">
        <v>42.187120547750681</v>
      </c>
      <c r="G9" s="125">
        <v>1.5950920245398792E-2</v>
      </c>
      <c r="H9" s="125">
        <v>0.27</v>
      </c>
      <c r="I9" s="125">
        <v>6.9024239591701744E-2</v>
      </c>
      <c r="J9" s="125">
        <v>1.4204952105287192E-2</v>
      </c>
      <c r="K9" s="125">
        <v>1.3252885058363056E-2</v>
      </c>
      <c r="L9" s="125">
        <v>1.3980442883231779E-2</v>
      </c>
      <c r="M9" s="125">
        <v>0</v>
      </c>
      <c r="N9" s="125">
        <v>2.30208488716231E-2</v>
      </c>
      <c r="O9" s="125">
        <v>8.3479094998109554E-3</v>
      </c>
      <c r="P9" s="125">
        <v>0.995</v>
      </c>
      <c r="Q9" s="125">
        <v>0.995</v>
      </c>
      <c r="R9" s="125">
        <v>0</v>
      </c>
    </row>
    <row r="10" spans="1:18">
      <c r="A10" s="123" t="e">
        <f t="shared" ref="A10" si="7">CONCATENATE("Year-",#REF!)</f>
        <v>#REF!</v>
      </c>
      <c r="B10" s="28" t="s">
        <v>529</v>
      </c>
      <c r="C10" s="26">
        <v>158.6</v>
      </c>
      <c r="D10" s="32">
        <v>124.40004220000003</v>
      </c>
      <c r="E10" s="31">
        <v>47682.36</v>
      </c>
      <c r="F10" s="124">
        <v>36.076939444156181</v>
      </c>
      <c r="G10" s="125">
        <v>1.5802781289506962E-2</v>
      </c>
      <c r="H10" s="125">
        <v>0.27</v>
      </c>
      <c r="I10" s="125">
        <v>4.4787946264861052E-2</v>
      </c>
      <c r="J10" s="125">
        <v>1.4140595613406415E-2</v>
      </c>
      <c r="K10" s="125">
        <v>1.2367081056294736E-2</v>
      </c>
      <c r="L10" s="125">
        <v>1.3960975699298588E-2</v>
      </c>
      <c r="M10" s="125">
        <v>0</v>
      </c>
      <c r="N10" s="125">
        <v>2.3055036005913448E-2</v>
      </c>
      <c r="O10" s="125">
        <v>3.6978876304825567E-3</v>
      </c>
      <c r="P10" s="125">
        <v>0.995</v>
      </c>
      <c r="Q10" s="125">
        <v>0.995</v>
      </c>
      <c r="R10" s="125">
        <v>0</v>
      </c>
    </row>
    <row r="11" spans="1:18">
      <c r="A11" s="123" t="e">
        <f t="shared" ref="A11" si="8">CONCATENATE("Year-",#REF!)</f>
        <v>#REF!</v>
      </c>
      <c r="B11" s="28" t="s">
        <v>530</v>
      </c>
      <c r="C11" s="26">
        <v>169.028549</v>
      </c>
      <c r="D11" s="32">
        <v>133.89933939999995</v>
      </c>
      <c r="E11" s="31">
        <v>50622.659999999996</v>
      </c>
      <c r="F11" s="124">
        <v>34.970332119021293</v>
      </c>
      <c r="G11" s="125">
        <v>1.7200474495848161E-2</v>
      </c>
      <c r="H11" s="125">
        <v>0.27</v>
      </c>
      <c r="I11" s="125">
        <v>4.0029940128316385E-2</v>
      </c>
      <c r="J11" s="125">
        <v>1.4099625889623608E-2</v>
      </c>
      <c r="K11" s="125">
        <v>1.267725762135744E-2</v>
      </c>
      <c r="L11" s="125">
        <v>1.390175346828215E-2</v>
      </c>
      <c r="M11" s="125">
        <v>0</v>
      </c>
      <c r="N11" s="125">
        <v>2.298066658515029E-2</v>
      </c>
      <c r="O11" s="125">
        <v>1.0644897972798715E-2</v>
      </c>
      <c r="P11" s="125">
        <v>0.995</v>
      </c>
      <c r="Q11" s="125">
        <v>0.995</v>
      </c>
      <c r="R11" s="125">
        <v>0</v>
      </c>
    </row>
    <row r="12" spans="1:18">
      <c r="A12" s="123" t="e">
        <f t="shared" ref="A12" si="9">CONCATENATE("Year-",#REF!)</f>
        <v>#REF!</v>
      </c>
      <c r="B12" s="28" t="s">
        <v>531</v>
      </c>
      <c r="C12" s="26">
        <v>172.55912190000004</v>
      </c>
      <c r="D12" s="32">
        <v>145.40077080000009</v>
      </c>
      <c r="E12" s="31">
        <v>49925.7</v>
      </c>
      <c r="F12" s="124">
        <v>40.252096455972236</v>
      </c>
      <c r="G12" s="125">
        <v>1.510749564206848E-2</v>
      </c>
      <c r="H12" s="125">
        <v>0.27</v>
      </c>
      <c r="I12" s="125">
        <v>6.2111013936519133E-2</v>
      </c>
      <c r="J12" s="125">
        <v>1.4175439055030284E-2</v>
      </c>
      <c r="K12" s="125">
        <v>1.4384371816049681E-2</v>
      </c>
      <c r="L12" s="125">
        <v>1.5915736744616871E-2</v>
      </c>
      <c r="M12" s="125">
        <v>0</v>
      </c>
      <c r="N12" s="125">
        <v>2.3268144471779773E-2</v>
      </c>
      <c r="O12" s="125">
        <v>2.5052142565085967E-2</v>
      </c>
      <c r="P12" s="125">
        <v>0.995</v>
      </c>
      <c r="Q12" s="125">
        <v>0.995</v>
      </c>
      <c r="R12" s="125">
        <v>0</v>
      </c>
    </row>
    <row r="13" spans="1:18">
      <c r="A13" s="123" t="e">
        <f t="shared" ref="A13" si="10">CONCATENATE("Year-",#REF!)</f>
        <v>#REF!</v>
      </c>
      <c r="B13" s="28" t="s">
        <v>532</v>
      </c>
      <c r="C13" s="26">
        <v>215.74576700000009</v>
      </c>
      <c r="D13" s="32">
        <v>195.59891570000002</v>
      </c>
      <c r="E13" s="31">
        <v>59767.29</v>
      </c>
      <c r="F13" s="124">
        <v>47.179622377374095</v>
      </c>
      <c r="G13" s="125">
        <v>1.5306122448979553E-2</v>
      </c>
      <c r="H13" s="125">
        <v>0.28000000000000003</v>
      </c>
      <c r="I13" s="125">
        <v>9.4419706369976972E-2</v>
      </c>
      <c r="J13" s="125">
        <v>1.4644787078611174E-2</v>
      </c>
      <c r="K13" s="125">
        <v>1.6212630268737406E-2</v>
      </c>
      <c r="L13" s="125">
        <v>2.0718676035686345E-2</v>
      </c>
      <c r="M13" s="125">
        <v>0</v>
      </c>
      <c r="N13" s="125">
        <v>2.3247057021314733E-2</v>
      </c>
      <c r="O13" s="125">
        <v>3.9222124133286969E-2</v>
      </c>
      <c r="P13" s="125">
        <v>0.995</v>
      </c>
      <c r="Q13" s="125">
        <v>0.995</v>
      </c>
      <c r="R13" s="125">
        <v>0</v>
      </c>
    </row>
    <row r="14" spans="1:18">
      <c r="A14" s="123" t="e">
        <f t="shared" ref="A14" si="11">CONCATENATE("Year-",#REF!)</f>
        <v>#REF!</v>
      </c>
      <c r="B14" s="35">
        <v>44652</v>
      </c>
      <c r="C14" s="26">
        <f>C2</f>
        <v>215.9</v>
      </c>
      <c r="D14" s="26">
        <f>D2</f>
        <v>208.99969899999999</v>
      </c>
      <c r="E14" s="31">
        <f>E2</f>
        <v>59637.599999999999</v>
      </c>
      <c r="F14" s="124">
        <f>F2</f>
        <v>52.296499350965128</v>
      </c>
      <c r="G14" s="125">
        <f>G2</f>
        <v>1.6658954187875996E-2</v>
      </c>
      <c r="H14" s="125">
        <f t="shared" ref="H14:R14" si="12">H2</f>
        <v>0.28999999999999998</v>
      </c>
      <c r="I14" s="125">
        <f t="shared" si="12"/>
        <v>0.11719199751057031</v>
      </c>
      <c r="J14" s="125">
        <f t="shared" si="12"/>
        <v>1.5231272154623582E-2</v>
      </c>
      <c r="K14" s="125">
        <f t="shared" si="12"/>
        <v>1.6110689006976781E-2</v>
      </c>
      <c r="L14" s="125">
        <f t="shared" si="12"/>
        <v>1.8633277773980331E-2</v>
      </c>
      <c r="M14" s="125">
        <f t="shared" si="12"/>
        <v>0</v>
      </c>
      <c r="N14" s="125">
        <f t="shared" si="12"/>
        <v>2.2802418781094937E-2</v>
      </c>
      <c r="O14" s="125">
        <f t="shared" si="12"/>
        <v>2.7995485693316467E-2</v>
      </c>
      <c r="P14" s="125">
        <f t="shared" si="12"/>
        <v>0.995</v>
      </c>
      <c r="Q14" s="125">
        <f t="shared" si="12"/>
        <v>0.995</v>
      </c>
      <c r="R14" s="125">
        <f t="shared" si="12"/>
        <v>0</v>
      </c>
    </row>
    <row r="15" spans="1:18">
      <c r="A15" s="123" t="e">
        <f t="shared" ref="A15" si="13">CONCATENATE("Year-",#REF!)</f>
        <v>#REF!</v>
      </c>
      <c r="B15" s="35">
        <v>44682</v>
      </c>
      <c r="C15" s="26">
        <f t="shared" ref="C15:R30" si="14">C3</f>
        <v>217.9</v>
      </c>
      <c r="D15" s="26">
        <f t="shared" si="14"/>
        <v>221.90023470000006</v>
      </c>
      <c r="E15" s="31">
        <f t="shared" si="14"/>
        <v>61013.7</v>
      </c>
      <c r="F15" s="124">
        <f t="shared" si="14"/>
        <v>55.437733860726389</v>
      </c>
      <c r="G15" s="125">
        <f t="shared" si="14"/>
        <v>1.7865322950068707E-2</v>
      </c>
      <c r="H15" s="125">
        <f t="shared" si="14"/>
        <v>0.3</v>
      </c>
      <c r="I15" s="125">
        <f t="shared" si="14"/>
        <v>0.1306817577748349</v>
      </c>
      <c r="J15" s="125">
        <f t="shared" si="14"/>
        <v>1.609339136491415E-2</v>
      </c>
      <c r="K15" s="125">
        <f t="shared" si="14"/>
        <v>1.525163145425878E-2</v>
      </c>
      <c r="L15" s="125">
        <f t="shared" si="14"/>
        <v>1.5763583972179196E-2</v>
      </c>
      <c r="M15" s="125">
        <f t="shared" si="14"/>
        <v>0</v>
      </c>
      <c r="N15" s="125">
        <f t="shared" si="14"/>
        <v>2.2281870794181511E-2</v>
      </c>
      <c r="O15" s="125">
        <f t="shared" si="14"/>
        <v>1.1198342091846737E-2</v>
      </c>
      <c r="P15" s="125">
        <f t="shared" si="14"/>
        <v>0.995</v>
      </c>
      <c r="Q15" s="125">
        <f t="shared" si="14"/>
        <v>0.995</v>
      </c>
      <c r="R15" s="125">
        <f t="shared" si="14"/>
        <v>0</v>
      </c>
    </row>
    <row r="16" spans="1:18">
      <c r="A16" s="123" t="e">
        <f t="shared" ref="A16" si="15">CONCATENATE("Year-",#REF!)</f>
        <v>#REF!</v>
      </c>
      <c r="B16" s="35">
        <v>44713</v>
      </c>
      <c r="C16" s="26">
        <f t="shared" si="14"/>
        <v>192.8</v>
      </c>
      <c r="D16" s="26">
        <f t="shared" si="14"/>
        <v>200.20089519999999</v>
      </c>
      <c r="E16" s="31">
        <f t="shared" si="14"/>
        <v>54806.400000000001</v>
      </c>
      <c r="F16" s="124">
        <f t="shared" si="14"/>
        <v>54.658309168315547</v>
      </c>
      <c r="G16" s="125">
        <f t="shared" si="14"/>
        <v>1.914123124676681E-2</v>
      </c>
      <c r="H16" s="125">
        <f t="shared" si="14"/>
        <v>0.3</v>
      </c>
      <c r="I16" s="125">
        <f t="shared" si="14"/>
        <v>0.12650723469382591</v>
      </c>
      <c r="J16" s="125">
        <f t="shared" si="14"/>
        <v>1.6398522844759341E-2</v>
      </c>
      <c r="K16" s="125">
        <f t="shared" si="14"/>
        <v>1.3926271600695752E-2</v>
      </c>
      <c r="L16" s="125">
        <f t="shared" si="14"/>
        <v>1.4057661793117321E-2</v>
      </c>
      <c r="M16" s="125">
        <f t="shared" si="14"/>
        <v>0</v>
      </c>
      <c r="N16" s="125">
        <f t="shared" si="14"/>
        <v>2.1677907023400757E-2</v>
      </c>
      <c r="O16" s="125">
        <f t="shared" si="14"/>
        <v>4.051685061336731E-3</v>
      </c>
      <c r="P16" s="125">
        <f t="shared" si="14"/>
        <v>0.995</v>
      </c>
      <c r="Q16" s="125">
        <f t="shared" si="14"/>
        <v>0.995</v>
      </c>
      <c r="R16" s="125">
        <f t="shared" si="14"/>
        <v>0</v>
      </c>
    </row>
    <row r="17" spans="1:18">
      <c r="A17" s="123" t="e">
        <f t="shared" ref="A17" si="16">CONCATENATE("Year-",#REF!)</f>
        <v>#REF!</v>
      </c>
      <c r="B17" s="35">
        <v>44743</v>
      </c>
      <c r="C17" s="26">
        <f t="shared" si="14"/>
        <v>168.9</v>
      </c>
      <c r="D17" s="26">
        <f t="shared" si="14"/>
        <v>173.59972409999992</v>
      </c>
      <c r="E17" s="31">
        <f t="shared" si="14"/>
        <v>48598.11</v>
      </c>
      <c r="F17" s="124">
        <f t="shared" si="14"/>
        <v>51.564857066184757</v>
      </c>
      <c r="G17" s="125">
        <f t="shared" si="14"/>
        <v>2.1854695806261204E-2</v>
      </c>
      <c r="H17" s="125">
        <f t="shared" si="14"/>
        <v>0.28000000000000003</v>
      </c>
      <c r="I17" s="125">
        <f t="shared" si="14"/>
        <v>0.1089308468990661</v>
      </c>
      <c r="J17" s="125">
        <f t="shared" si="14"/>
        <v>1.5867586262633245E-2</v>
      </c>
      <c r="K17" s="125">
        <f t="shared" si="14"/>
        <v>1.231974144019694E-2</v>
      </c>
      <c r="L17" s="125">
        <f t="shared" si="14"/>
        <v>1.3502102014775261E-2</v>
      </c>
      <c r="M17" s="125">
        <f t="shared" si="14"/>
        <v>0</v>
      </c>
      <c r="N17" s="125">
        <f t="shared" si="14"/>
        <v>2.127320988616644E-2</v>
      </c>
      <c r="O17" s="125">
        <f t="shared" si="14"/>
        <v>1.5557262066246368E-3</v>
      </c>
      <c r="P17" s="125">
        <f t="shared" si="14"/>
        <v>0.995</v>
      </c>
      <c r="Q17" s="125">
        <f t="shared" si="14"/>
        <v>0.995</v>
      </c>
      <c r="R17" s="125">
        <f t="shared" si="14"/>
        <v>0</v>
      </c>
    </row>
    <row r="18" spans="1:18">
      <c r="A18" s="123" t="e">
        <f t="shared" ref="A18" si="17">CONCATENATE("Year-",#REF!)</f>
        <v>#REF!</v>
      </c>
      <c r="B18" s="35">
        <v>44774</v>
      </c>
      <c r="C18" s="26">
        <f t="shared" si="14"/>
        <v>174.2</v>
      </c>
      <c r="D18" s="26">
        <f t="shared" si="14"/>
        <v>172.6001566000001</v>
      </c>
      <c r="E18" s="31">
        <f t="shared" si="14"/>
        <v>49476.24</v>
      </c>
      <c r="F18" s="124">
        <f t="shared" si="14"/>
        <v>50.336592710430871</v>
      </c>
      <c r="G18" s="125">
        <f t="shared" si="14"/>
        <v>2.0196191575302946E-2</v>
      </c>
      <c r="H18" s="125">
        <f t="shared" si="14"/>
        <v>0.27</v>
      </c>
      <c r="I18" s="125">
        <f t="shared" si="14"/>
        <v>0.10494453414747008</v>
      </c>
      <c r="J18" s="125">
        <f t="shared" si="14"/>
        <v>1.507508977611231E-2</v>
      </c>
      <c r="K18" s="125">
        <f t="shared" si="14"/>
        <v>1.2791562311125756E-2</v>
      </c>
      <c r="L18" s="125">
        <f t="shared" si="14"/>
        <v>1.4116403195935955E-2</v>
      </c>
      <c r="M18" s="125">
        <f t="shared" si="14"/>
        <v>0</v>
      </c>
      <c r="N18" s="125">
        <f t="shared" si="14"/>
        <v>2.157456294953386E-2</v>
      </c>
      <c r="O18" s="125">
        <f t="shared" si="14"/>
        <v>6.2818876990405415E-3</v>
      </c>
      <c r="P18" s="125">
        <f t="shared" si="14"/>
        <v>0.995</v>
      </c>
      <c r="Q18" s="125">
        <f t="shared" si="14"/>
        <v>0.995</v>
      </c>
      <c r="R18" s="125">
        <f t="shared" si="14"/>
        <v>0</v>
      </c>
    </row>
    <row r="19" spans="1:18">
      <c r="A19" s="123" t="e">
        <f t="shared" ref="A19" si="18">CONCATENATE("Year-",#REF!)</f>
        <v>#REF!</v>
      </c>
      <c r="B19" s="35">
        <v>44805</v>
      </c>
      <c r="C19" s="26">
        <f t="shared" si="14"/>
        <v>192.1</v>
      </c>
      <c r="D19" s="26">
        <f t="shared" si="14"/>
        <v>178.89930529999984</v>
      </c>
      <c r="E19" s="31">
        <f t="shared" si="14"/>
        <v>53840.159999999996</v>
      </c>
      <c r="F19" s="124">
        <f t="shared" si="14"/>
        <v>52.25059433997491</v>
      </c>
      <c r="G19" s="125">
        <f t="shared" si="14"/>
        <v>1.7196456487754141E-2</v>
      </c>
      <c r="H19" s="125">
        <f t="shared" si="14"/>
        <v>0.26</v>
      </c>
      <c r="I19" s="125">
        <f t="shared" si="14"/>
        <v>0.11387126505657014</v>
      </c>
      <c r="J19" s="125">
        <f t="shared" si="14"/>
        <v>1.3959618092500629E-2</v>
      </c>
      <c r="K19" s="125">
        <f t="shared" si="14"/>
        <v>1.4531255376132731E-2</v>
      </c>
      <c r="L19" s="125">
        <f t="shared" si="14"/>
        <v>1.4478833500810966E-2</v>
      </c>
      <c r="M19" s="125">
        <f t="shared" si="14"/>
        <v>0</v>
      </c>
      <c r="N19" s="125">
        <f t="shared" si="14"/>
        <v>2.2473527643153385E-2</v>
      </c>
      <c r="O19" s="125">
        <f t="shared" si="14"/>
        <v>1.1388926338936924E-2</v>
      </c>
      <c r="P19" s="125">
        <f t="shared" si="14"/>
        <v>0.995</v>
      </c>
      <c r="Q19" s="125">
        <f t="shared" si="14"/>
        <v>0.995</v>
      </c>
      <c r="R19" s="125">
        <f t="shared" si="14"/>
        <v>0</v>
      </c>
    </row>
    <row r="20" spans="1:18">
      <c r="A20" s="123" t="e">
        <f t="shared" ref="A20" si="19">CONCATENATE("Year-",#REF!)</f>
        <v>#REF!</v>
      </c>
      <c r="B20" s="35">
        <v>44835</v>
      </c>
      <c r="C20" s="26">
        <f t="shared" si="14"/>
        <v>202.3</v>
      </c>
      <c r="D20" s="26">
        <f t="shared" si="14"/>
        <v>174.60082279999986</v>
      </c>
      <c r="E20" s="31">
        <f t="shared" si="14"/>
        <v>56487.42</v>
      </c>
      <c r="F20" s="124">
        <f t="shared" si="14"/>
        <v>49.723937837075084</v>
      </c>
      <c r="G20" s="125">
        <f t="shared" si="14"/>
        <v>1.5873015873015817E-2</v>
      </c>
      <c r="H20" s="125">
        <f t="shared" si="14"/>
        <v>0.27</v>
      </c>
      <c r="I20" s="125">
        <f t="shared" si="14"/>
        <v>0.10390722673430232</v>
      </c>
      <c r="J20" s="125">
        <f t="shared" si="14"/>
        <v>1.4040704754284353E-2</v>
      </c>
      <c r="K20" s="125">
        <f t="shared" si="14"/>
        <v>1.526389492868482E-2</v>
      </c>
      <c r="L20" s="125">
        <f t="shared" si="14"/>
        <v>1.5324069649683622E-2</v>
      </c>
      <c r="M20" s="125">
        <f t="shared" si="14"/>
        <v>0</v>
      </c>
      <c r="N20" s="125">
        <f t="shared" si="14"/>
        <v>2.3043103417804571E-2</v>
      </c>
      <c r="O20" s="125">
        <f t="shared" si="14"/>
        <v>2.1184397869334348E-2</v>
      </c>
      <c r="P20" s="125">
        <f t="shared" si="14"/>
        <v>0.995</v>
      </c>
      <c r="Q20" s="125">
        <f t="shared" si="14"/>
        <v>0.995</v>
      </c>
      <c r="R20" s="125">
        <f t="shared" si="14"/>
        <v>0</v>
      </c>
    </row>
    <row r="21" spans="1:18">
      <c r="A21" s="123" t="e">
        <f t="shared" ref="A21" si="20">CONCATENATE("Year-",#REF!)</f>
        <v>#REF!</v>
      </c>
      <c r="B21" s="35">
        <v>44866</v>
      </c>
      <c r="C21" s="26">
        <f t="shared" si="14"/>
        <v>162.9</v>
      </c>
      <c r="D21" s="26">
        <f t="shared" si="14"/>
        <v>133.69942049999997</v>
      </c>
      <c r="E21" s="31">
        <f t="shared" si="14"/>
        <v>47868.480000000003</v>
      </c>
      <c r="F21" s="124">
        <f t="shared" si="14"/>
        <v>42.187120547750681</v>
      </c>
      <c r="G21" s="125">
        <f t="shared" si="14"/>
        <v>1.5950920245398792E-2</v>
      </c>
      <c r="H21" s="125">
        <f t="shared" si="14"/>
        <v>0.27</v>
      </c>
      <c r="I21" s="125">
        <f t="shared" si="14"/>
        <v>6.9024239591701744E-2</v>
      </c>
      <c r="J21" s="125">
        <f t="shared" si="14"/>
        <v>1.4204952105287192E-2</v>
      </c>
      <c r="K21" s="125">
        <f t="shared" si="14"/>
        <v>1.3252885058363056E-2</v>
      </c>
      <c r="L21" s="125">
        <f t="shared" si="14"/>
        <v>1.3980442883231779E-2</v>
      </c>
      <c r="M21" s="125">
        <f t="shared" si="14"/>
        <v>0</v>
      </c>
      <c r="N21" s="125">
        <f t="shared" si="14"/>
        <v>2.30208488716231E-2</v>
      </c>
      <c r="O21" s="125">
        <f t="shared" si="14"/>
        <v>8.3479094998109554E-3</v>
      </c>
      <c r="P21" s="125">
        <f t="shared" si="14"/>
        <v>0.995</v>
      </c>
      <c r="Q21" s="125">
        <f t="shared" si="14"/>
        <v>0.995</v>
      </c>
      <c r="R21" s="125">
        <f t="shared" si="14"/>
        <v>0</v>
      </c>
    </row>
    <row r="22" spans="1:18">
      <c r="A22" s="123" t="e">
        <f t="shared" ref="A22" si="21">CONCATENATE("Year-",#REF!)</f>
        <v>#REF!</v>
      </c>
      <c r="B22" s="35">
        <v>44896</v>
      </c>
      <c r="C22" s="26">
        <f t="shared" si="14"/>
        <v>158.6</v>
      </c>
      <c r="D22" s="26">
        <f t="shared" si="14"/>
        <v>124.40004220000003</v>
      </c>
      <c r="E22" s="31">
        <f t="shared" si="14"/>
        <v>47682.36</v>
      </c>
      <c r="F22" s="124">
        <f t="shared" si="14"/>
        <v>36.076939444156181</v>
      </c>
      <c r="G22" s="125">
        <f t="shared" si="14"/>
        <v>1.5802781289506962E-2</v>
      </c>
      <c r="H22" s="125">
        <f t="shared" si="14"/>
        <v>0.27</v>
      </c>
      <c r="I22" s="125">
        <f t="shared" si="14"/>
        <v>4.4787946264861052E-2</v>
      </c>
      <c r="J22" s="125">
        <f t="shared" si="14"/>
        <v>1.4140595613406415E-2</v>
      </c>
      <c r="K22" s="125">
        <f t="shared" si="14"/>
        <v>1.2367081056294736E-2</v>
      </c>
      <c r="L22" s="125">
        <f t="shared" si="14"/>
        <v>1.3960975699298588E-2</v>
      </c>
      <c r="M22" s="125">
        <f t="shared" si="14"/>
        <v>0</v>
      </c>
      <c r="N22" s="125">
        <f t="shared" si="14"/>
        <v>2.3055036005913448E-2</v>
      </c>
      <c r="O22" s="125">
        <f t="shared" si="14"/>
        <v>3.6978876304825567E-3</v>
      </c>
      <c r="P22" s="125">
        <f t="shared" si="14"/>
        <v>0.995</v>
      </c>
      <c r="Q22" s="125">
        <f t="shared" si="14"/>
        <v>0.995</v>
      </c>
      <c r="R22" s="125">
        <f t="shared" si="14"/>
        <v>0</v>
      </c>
    </row>
    <row r="23" spans="1:18">
      <c r="A23" s="123" t="e">
        <f t="shared" ref="A23" si="22">CONCATENATE("Year-",#REF!)</f>
        <v>#REF!</v>
      </c>
      <c r="B23" s="35">
        <v>44927</v>
      </c>
      <c r="C23" s="26">
        <f t="shared" si="14"/>
        <v>169.028549</v>
      </c>
      <c r="D23" s="26">
        <f t="shared" si="14"/>
        <v>133.89933939999995</v>
      </c>
      <c r="E23" s="31">
        <f t="shared" si="14"/>
        <v>50622.659999999996</v>
      </c>
      <c r="F23" s="124">
        <f t="shared" si="14"/>
        <v>34.970332119021293</v>
      </c>
      <c r="G23" s="125">
        <f t="shared" si="14"/>
        <v>1.7200474495848161E-2</v>
      </c>
      <c r="H23" s="125">
        <f t="shared" si="14"/>
        <v>0.27</v>
      </c>
      <c r="I23" s="125">
        <f t="shared" si="14"/>
        <v>4.0029940128316385E-2</v>
      </c>
      <c r="J23" s="125">
        <f t="shared" si="14"/>
        <v>1.4099625889623608E-2</v>
      </c>
      <c r="K23" s="125">
        <f t="shared" si="14"/>
        <v>1.267725762135744E-2</v>
      </c>
      <c r="L23" s="125">
        <f t="shared" si="14"/>
        <v>1.390175346828215E-2</v>
      </c>
      <c r="M23" s="125">
        <f t="shared" si="14"/>
        <v>0</v>
      </c>
      <c r="N23" s="125">
        <f t="shared" si="14"/>
        <v>2.298066658515029E-2</v>
      </c>
      <c r="O23" s="125">
        <f t="shared" si="14"/>
        <v>1.0644897972798715E-2</v>
      </c>
      <c r="P23" s="125">
        <f t="shared" si="14"/>
        <v>0.995</v>
      </c>
      <c r="Q23" s="125">
        <f t="shared" si="14"/>
        <v>0.995</v>
      </c>
      <c r="R23" s="125">
        <f t="shared" si="14"/>
        <v>0</v>
      </c>
    </row>
    <row r="24" spans="1:18">
      <c r="A24" s="123" t="e">
        <f t="shared" ref="A24" si="23">CONCATENATE("Year-",#REF!)</f>
        <v>#REF!</v>
      </c>
      <c r="B24" s="35">
        <v>44958</v>
      </c>
      <c r="C24" s="26">
        <f t="shared" si="14"/>
        <v>172.55912190000004</v>
      </c>
      <c r="D24" s="26">
        <f t="shared" si="14"/>
        <v>145.40077080000009</v>
      </c>
      <c r="E24" s="31">
        <f t="shared" si="14"/>
        <v>49925.7</v>
      </c>
      <c r="F24" s="124">
        <f t="shared" si="14"/>
        <v>40.252096455972236</v>
      </c>
      <c r="G24" s="125">
        <f t="shared" si="14"/>
        <v>1.510749564206848E-2</v>
      </c>
      <c r="H24" s="125">
        <f t="shared" si="14"/>
        <v>0.27</v>
      </c>
      <c r="I24" s="125">
        <f t="shared" si="14"/>
        <v>6.2111013936519133E-2</v>
      </c>
      <c r="J24" s="125">
        <f t="shared" si="14"/>
        <v>1.4175439055030284E-2</v>
      </c>
      <c r="K24" s="125">
        <f t="shared" si="14"/>
        <v>1.4384371816049681E-2</v>
      </c>
      <c r="L24" s="125">
        <f t="shared" si="14"/>
        <v>1.5915736744616871E-2</v>
      </c>
      <c r="M24" s="125">
        <f t="shared" si="14"/>
        <v>0</v>
      </c>
      <c r="N24" s="125">
        <f t="shared" si="14"/>
        <v>2.3268144471779773E-2</v>
      </c>
      <c r="O24" s="125">
        <f t="shared" si="14"/>
        <v>2.5052142565085967E-2</v>
      </c>
      <c r="P24" s="125">
        <f t="shared" si="14"/>
        <v>0.995</v>
      </c>
      <c r="Q24" s="125">
        <f t="shared" si="14"/>
        <v>0.995</v>
      </c>
      <c r="R24" s="125">
        <f t="shared" si="14"/>
        <v>0</v>
      </c>
    </row>
    <row r="25" spans="1:18">
      <c r="A25" s="123" t="e">
        <f t="shared" ref="A25" si="24">CONCATENATE("Year-",#REF!)</f>
        <v>#REF!</v>
      </c>
      <c r="B25" s="35">
        <v>44986</v>
      </c>
      <c r="C25" s="26">
        <f t="shared" si="14"/>
        <v>215.74576700000009</v>
      </c>
      <c r="D25" s="26">
        <f t="shared" si="14"/>
        <v>195.59891570000002</v>
      </c>
      <c r="E25" s="31">
        <f t="shared" si="14"/>
        <v>59767.29</v>
      </c>
      <c r="F25" s="124">
        <f t="shared" si="14"/>
        <v>47.179622377374095</v>
      </c>
      <c r="G25" s="125">
        <f t="shared" si="14"/>
        <v>1.5306122448979553E-2</v>
      </c>
      <c r="H25" s="125">
        <f t="shared" si="14"/>
        <v>0.28000000000000003</v>
      </c>
      <c r="I25" s="125">
        <f t="shared" si="14"/>
        <v>9.4419706369976972E-2</v>
      </c>
      <c r="J25" s="125">
        <f t="shared" si="14"/>
        <v>1.4644787078611174E-2</v>
      </c>
      <c r="K25" s="125">
        <f t="shared" si="14"/>
        <v>1.6212630268737406E-2</v>
      </c>
      <c r="L25" s="125">
        <f t="shared" si="14"/>
        <v>2.0718676035686345E-2</v>
      </c>
      <c r="M25" s="125">
        <f t="shared" si="14"/>
        <v>0</v>
      </c>
      <c r="N25" s="125">
        <f t="shared" si="14"/>
        <v>2.3247057021314733E-2</v>
      </c>
      <c r="O25" s="125">
        <f t="shared" si="14"/>
        <v>3.9222124133286969E-2</v>
      </c>
      <c r="P25" s="125">
        <f t="shared" si="14"/>
        <v>0.995</v>
      </c>
      <c r="Q25" s="125">
        <f t="shared" si="14"/>
        <v>0.995</v>
      </c>
      <c r="R25" s="125">
        <f t="shared" si="14"/>
        <v>0</v>
      </c>
    </row>
    <row r="26" spans="1:18">
      <c r="A26" s="128" t="e">
        <f t="shared" ref="A26" si="25">CONCATENATE("Year-",#REF!)</f>
        <v>#REF!</v>
      </c>
      <c r="B26" s="129">
        <v>45017</v>
      </c>
      <c r="C26" s="130">
        <f t="shared" si="14"/>
        <v>215.9</v>
      </c>
      <c r="D26" s="130">
        <f t="shared" si="14"/>
        <v>208.99969899999999</v>
      </c>
      <c r="E26" s="131">
        <v>58630</v>
      </c>
      <c r="F26" s="132">
        <f t="shared" si="14"/>
        <v>52.296499350965128</v>
      </c>
      <c r="G26" s="133">
        <f t="shared" si="14"/>
        <v>1.6658954187875996E-2</v>
      </c>
      <c r="H26" s="133">
        <f>H14*(1-67.22%)</f>
        <v>9.5061999999999994E-2</v>
      </c>
      <c r="I26" s="133">
        <f t="shared" si="14"/>
        <v>0.11719199751057031</v>
      </c>
      <c r="J26" s="133">
        <f t="shared" si="14"/>
        <v>1.5231272154623582E-2</v>
      </c>
      <c r="K26" s="133">
        <f t="shared" si="14"/>
        <v>1.6110689006976781E-2</v>
      </c>
      <c r="L26" s="133">
        <f t="shared" si="14"/>
        <v>1.8633277773980331E-2</v>
      </c>
      <c r="M26" s="133">
        <f t="shared" si="14"/>
        <v>0</v>
      </c>
      <c r="N26" s="133">
        <f t="shared" si="14"/>
        <v>2.2802418781094937E-2</v>
      </c>
      <c r="O26" s="133">
        <f t="shared" si="14"/>
        <v>2.7995485693316467E-2</v>
      </c>
      <c r="P26" s="133">
        <f t="shared" si="14"/>
        <v>0.995</v>
      </c>
      <c r="Q26" s="133">
        <f t="shared" si="14"/>
        <v>0.995</v>
      </c>
      <c r="R26" s="133">
        <f t="shared" si="14"/>
        <v>0</v>
      </c>
    </row>
    <row r="27" spans="1:18">
      <c r="A27" s="128" t="e">
        <f t="shared" ref="A27" si="26">CONCATENATE("Year-",#REF!)</f>
        <v>#REF!</v>
      </c>
      <c r="B27" s="129">
        <v>45047</v>
      </c>
      <c r="C27" s="130">
        <f t="shared" si="14"/>
        <v>217.9</v>
      </c>
      <c r="D27" s="130">
        <f t="shared" si="14"/>
        <v>221.90023470000006</v>
      </c>
      <c r="E27" s="131">
        <v>61780</v>
      </c>
      <c r="F27" s="132">
        <f t="shared" si="14"/>
        <v>55.437733860726389</v>
      </c>
      <c r="G27" s="133">
        <f t="shared" si="14"/>
        <v>1.7865322950068707E-2</v>
      </c>
      <c r="H27" s="133">
        <f t="shared" ref="H27:H37" si="27">H15*(1-67.22%)</f>
        <v>9.8339999999999997E-2</v>
      </c>
      <c r="I27" s="133">
        <f t="shared" si="14"/>
        <v>0.1306817577748349</v>
      </c>
      <c r="J27" s="133">
        <f t="shared" si="14"/>
        <v>1.609339136491415E-2</v>
      </c>
      <c r="K27" s="133">
        <f t="shared" si="14"/>
        <v>1.525163145425878E-2</v>
      </c>
      <c r="L27" s="133">
        <f t="shared" si="14"/>
        <v>1.5763583972179196E-2</v>
      </c>
      <c r="M27" s="133">
        <f t="shared" si="14"/>
        <v>0</v>
      </c>
      <c r="N27" s="133">
        <f t="shared" si="14"/>
        <v>2.2281870794181511E-2</v>
      </c>
      <c r="O27" s="133">
        <f t="shared" si="14"/>
        <v>1.1198342091846737E-2</v>
      </c>
      <c r="P27" s="133">
        <f t="shared" si="14"/>
        <v>0.995</v>
      </c>
      <c r="Q27" s="133">
        <f t="shared" si="14"/>
        <v>0.995</v>
      </c>
      <c r="R27" s="133">
        <f t="shared" si="14"/>
        <v>0</v>
      </c>
    </row>
    <row r="28" spans="1:18">
      <c r="A28" s="128" t="e">
        <f t="shared" ref="A28" si="28">CONCATENATE("Year-",#REF!)</f>
        <v>#REF!</v>
      </c>
      <c r="B28" s="129">
        <v>45078</v>
      </c>
      <c r="C28" s="130">
        <f t="shared" si="14"/>
        <v>192.8</v>
      </c>
      <c r="D28" s="130">
        <f t="shared" si="14"/>
        <v>200.20089519999999</v>
      </c>
      <c r="E28" s="131">
        <v>53700</v>
      </c>
      <c r="F28" s="132">
        <f t="shared" si="14"/>
        <v>54.658309168315547</v>
      </c>
      <c r="G28" s="133">
        <f t="shared" si="14"/>
        <v>1.914123124676681E-2</v>
      </c>
      <c r="H28" s="133">
        <f t="shared" si="27"/>
        <v>9.8339999999999997E-2</v>
      </c>
      <c r="I28" s="133">
        <f t="shared" si="14"/>
        <v>0.12650723469382591</v>
      </c>
      <c r="J28" s="133">
        <f t="shared" si="14"/>
        <v>1.6398522844759341E-2</v>
      </c>
      <c r="K28" s="133">
        <f t="shared" si="14"/>
        <v>1.3926271600695752E-2</v>
      </c>
      <c r="L28" s="133">
        <f t="shared" si="14"/>
        <v>1.4057661793117321E-2</v>
      </c>
      <c r="M28" s="133">
        <f t="shared" si="14"/>
        <v>0</v>
      </c>
      <c r="N28" s="133">
        <f t="shared" si="14"/>
        <v>2.1677907023400757E-2</v>
      </c>
      <c r="O28" s="133">
        <f t="shared" si="14"/>
        <v>4.051685061336731E-3</v>
      </c>
      <c r="P28" s="133">
        <f t="shared" si="14"/>
        <v>0.995</v>
      </c>
      <c r="Q28" s="133">
        <f t="shared" si="14"/>
        <v>0.995</v>
      </c>
      <c r="R28" s="133">
        <f t="shared" si="14"/>
        <v>0</v>
      </c>
    </row>
    <row r="29" spans="1:18">
      <c r="A29" s="128" t="e">
        <f t="shared" ref="A29" si="29">CONCATENATE("Year-",#REF!)</f>
        <v>#REF!</v>
      </c>
      <c r="B29" s="129">
        <v>45108</v>
      </c>
      <c r="C29" s="130">
        <f t="shared" si="14"/>
        <v>168.9</v>
      </c>
      <c r="D29" s="130">
        <f t="shared" si="14"/>
        <v>173.59972409999992</v>
      </c>
      <c r="E29" s="131">
        <v>49210</v>
      </c>
      <c r="F29" s="132">
        <f t="shared" si="14"/>
        <v>51.564857066184757</v>
      </c>
      <c r="G29" s="133">
        <f t="shared" si="14"/>
        <v>2.1854695806261204E-2</v>
      </c>
      <c r="H29" s="133">
        <f t="shared" si="27"/>
        <v>9.1784000000000004E-2</v>
      </c>
      <c r="I29" s="133">
        <f t="shared" si="14"/>
        <v>0.1089308468990661</v>
      </c>
      <c r="J29" s="133">
        <f t="shared" si="14"/>
        <v>1.5867586262633245E-2</v>
      </c>
      <c r="K29" s="133">
        <f t="shared" si="14"/>
        <v>1.231974144019694E-2</v>
      </c>
      <c r="L29" s="133">
        <f t="shared" si="14"/>
        <v>1.3502102014775261E-2</v>
      </c>
      <c r="M29" s="133">
        <f t="shared" si="14"/>
        <v>0</v>
      </c>
      <c r="N29" s="133">
        <f t="shared" si="14"/>
        <v>2.127320988616644E-2</v>
      </c>
      <c r="O29" s="133">
        <f t="shared" si="14"/>
        <v>1.5557262066246368E-3</v>
      </c>
      <c r="P29" s="133">
        <f t="shared" si="14"/>
        <v>0.995</v>
      </c>
      <c r="Q29" s="133">
        <f t="shared" si="14"/>
        <v>0.995</v>
      </c>
      <c r="R29" s="133">
        <f t="shared" si="14"/>
        <v>0</v>
      </c>
    </row>
    <row r="30" spans="1:18">
      <c r="A30" s="128" t="e">
        <f t="shared" ref="A30" si="30">CONCATENATE("Year-",#REF!)</f>
        <v>#REF!</v>
      </c>
      <c r="B30" s="129">
        <v>45139</v>
      </c>
      <c r="C30" s="130">
        <f t="shared" si="14"/>
        <v>174.2</v>
      </c>
      <c r="D30" s="130">
        <f t="shared" si="14"/>
        <v>172.6001566000001</v>
      </c>
      <c r="E30" s="131">
        <v>50100</v>
      </c>
      <c r="F30" s="132">
        <f t="shared" si="14"/>
        <v>50.336592710430871</v>
      </c>
      <c r="G30" s="133">
        <f t="shared" si="14"/>
        <v>2.0196191575302946E-2</v>
      </c>
      <c r="H30" s="133">
        <f t="shared" si="27"/>
        <v>8.8506000000000001E-2</v>
      </c>
      <c r="I30" s="133">
        <f t="shared" si="14"/>
        <v>0.10494453414747008</v>
      </c>
      <c r="J30" s="133">
        <f t="shared" si="14"/>
        <v>1.507508977611231E-2</v>
      </c>
      <c r="K30" s="133">
        <f t="shared" si="14"/>
        <v>1.2791562311125756E-2</v>
      </c>
      <c r="L30" s="133">
        <f t="shared" si="14"/>
        <v>1.4116403195935955E-2</v>
      </c>
      <c r="M30" s="133">
        <f t="shared" si="14"/>
        <v>0</v>
      </c>
      <c r="N30" s="133">
        <f t="shared" si="14"/>
        <v>2.157456294953386E-2</v>
      </c>
      <c r="O30" s="133">
        <f t="shared" si="14"/>
        <v>6.2818876990405415E-3</v>
      </c>
      <c r="P30" s="133">
        <f t="shared" si="14"/>
        <v>0.995</v>
      </c>
      <c r="Q30" s="133">
        <f t="shared" si="14"/>
        <v>0.995</v>
      </c>
      <c r="R30" s="133">
        <f t="shared" si="14"/>
        <v>0</v>
      </c>
    </row>
    <row r="31" spans="1:18">
      <c r="A31" s="128" t="e">
        <f t="shared" ref="A31" si="31">CONCATENATE("Year-",#REF!)</f>
        <v>#REF!</v>
      </c>
      <c r="B31" s="129">
        <v>45170</v>
      </c>
      <c r="C31" s="130">
        <f t="shared" ref="C31:D46" si="32">C19</f>
        <v>192.1</v>
      </c>
      <c r="D31" s="130">
        <f t="shared" si="32"/>
        <v>178.89930529999984</v>
      </c>
      <c r="E31" s="131">
        <v>52760</v>
      </c>
      <c r="F31" s="132">
        <f t="shared" ref="F31:R46" si="33">F19</f>
        <v>52.25059433997491</v>
      </c>
      <c r="G31" s="133">
        <f t="shared" si="33"/>
        <v>1.7196456487754141E-2</v>
      </c>
      <c r="H31" s="133">
        <f t="shared" si="27"/>
        <v>8.5227999999999998E-2</v>
      </c>
      <c r="I31" s="133">
        <f t="shared" si="33"/>
        <v>0.11387126505657014</v>
      </c>
      <c r="J31" s="133">
        <f t="shared" si="33"/>
        <v>1.3959618092500629E-2</v>
      </c>
      <c r="K31" s="133">
        <f t="shared" si="33"/>
        <v>1.4531255376132731E-2</v>
      </c>
      <c r="L31" s="133">
        <f t="shared" si="33"/>
        <v>1.4478833500810966E-2</v>
      </c>
      <c r="M31" s="133">
        <f t="shared" si="33"/>
        <v>0</v>
      </c>
      <c r="N31" s="133">
        <f t="shared" si="33"/>
        <v>2.2473527643153385E-2</v>
      </c>
      <c r="O31" s="133">
        <f t="shared" si="33"/>
        <v>1.1388926338936924E-2</v>
      </c>
      <c r="P31" s="133">
        <f t="shared" si="33"/>
        <v>0.995</v>
      </c>
      <c r="Q31" s="133">
        <f t="shared" si="33"/>
        <v>0.995</v>
      </c>
      <c r="R31" s="133">
        <f t="shared" si="33"/>
        <v>0</v>
      </c>
    </row>
    <row r="32" spans="1:18">
      <c r="A32" s="128" t="e">
        <f t="shared" ref="A32" si="34">CONCATENATE("Year-",#REF!)</f>
        <v>#REF!</v>
      </c>
      <c r="B32" s="129">
        <v>45200</v>
      </c>
      <c r="C32" s="130">
        <f t="shared" si="32"/>
        <v>202.3</v>
      </c>
      <c r="D32" s="130">
        <f t="shared" si="32"/>
        <v>174.60082279999986</v>
      </c>
      <c r="E32" s="131">
        <v>57190</v>
      </c>
      <c r="F32" s="132">
        <f t="shared" si="33"/>
        <v>49.723937837075084</v>
      </c>
      <c r="G32" s="133">
        <f t="shared" si="33"/>
        <v>1.5873015873015817E-2</v>
      </c>
      <c r="H32" s="133">
        <f t="shared" si="27"/>
        <v>8.8506000000000001E-2</v>
      </c>
      <c r="I32" s="133">
        <f t="shared" si="33"/>
        <v>0.10390722673430232</v>
      </c>
      <c r="J32" s="133">
        <f t="shared" si="33"/>
        <v>1.4040704754284353E-2</v>
      </c>
      <c r="K32" s="133">
        <f t="shared" si="33"/>
        <v>1.526389492868482E-2</v>
      </c>
      <c r="L32" s="133">
        <f t="shared" si="33"/>
        <v>1.5324069649683622E-2</v>
      </c>
      <c r="M32" s="133">
        <f t="shared" si="33"/>
        <v>0</v>
      </c>
      <c r="N32" s="133">
        <f t="shared" si="33"/>
        <v>2.3043103417804571E-2</v>
      </c>
      <c r="O32" s="133">
        <f t="shared" si="33"/>
        <v>2.1184397869334348E-2</v>
      </c>
      <c r="P32" s="133">
        <f t="shared" si="33"/>
        <v>0.995</v>
      </c>
      <c r="Q32" s="133">
        <f t="shared" si="33"/>
        <v>0.995</v>
      </c>
      <c r="R32" s="133">
        <f t="shared" si="33"/>
        <v>0</v>
      </c>
    </row>
    <row r="33" spans="1:18">
      <c r="A33" s="128" t="e">
        <f t="shared" ref="A33" si="35">CONCATENATE("Year-",#REF!)</f>
        <v>#REF!</v>
      </c>
      <c r="B33" s="129">
        <v>45231</v>
      </c>
      <c r="C33" s="130">
        <f t="shared" si="32"/>
        <v>162.9</v>
      </c>
      <c r="D33" s="130">
        <f t="shared" si="32"/>
        <v>133.69942049999997</v>
      </c>
      <c r="E33" s="131">
        <v>46900</v>
      </c>
      <c r="F33" s="132">
        <f t="shared" si="33"/>
        <v>42.187120547750681</v>
      </c>
      <c r="G33" s="133">
        <f t="shared" si="33"/>
        <v>1.5950920245398792E-2</v>
      </c>
      <c r="H33" s="133">
        <f t="shared" si="27"/>
        <v>8.8506000000000001E-2</v>
      </c>
      <c r="I33" s="133">
        <f t="shared" si="33"/>
        <v>6.9024239591701744E-2</v>
      </c>
      <c r="J33" s="133">
        <f t="shared" si="33"/>
        <v>1.4204952105287192E-2</v>
      </c>
      <c r="K33" s="133">
        <f t="shared" si="33"/>
        <v>1.3252885058363056E-2</v>
      </c>
      <c r="L33" s="133">
        <f t="shared" si="33"/>
        <v>1.3980442883231779E-2</v>
      </c>
      <c r="M33" s="133">
        <f t="shared" si="33"/>
        <v>0</v>
      </c>
      <c r="N33" s="133">
        <f t="shared" si="33"/>
        <v>2.30208488716231E-2</v>
      </c>
      <c r="O33" s="133">
        <f t="shared" si="33"/>
        <v>8.3479094998109554E-3</v>
      </c>
      <c r="P33" s="133">
        <f t="shared" si="33"/>
        <v>0.995</v>
      </c>
      <c r="Q33" s="133">
        <f t="shared" si="33"/>
        <v>0.995</v>
      </c>
      <c r="R33" s="133">
        <f t="shared" si="33"/>
        <v>0</v>
      </c>
    </row>
    <row r="34" spans="1:18">
      <c r="A34" s="128" t="e">
        <f t="shared" ref="A34" si="36">CONCATENATE("Year-",#REF!)</f>
        <v>#REF!</v>
      </c>
      <c r="B34" s="129">
        <v>45261</v>
      </c>
      <c r="C34" s="130">
        <f t="shared" si="32"/>
        <v>158.6</v>
      </c>
      <c r="D34" s="130">
        <f t="shared" si="32"/>
        <v>124.40004220000003</v>
      </c>
      <c r="E34" s="131">
        <v>48280</v>
      </c>
      <c r="F34" s="132">
        <f t="shared" si="33"/>
        <v>36.076939444156181</v>
      </c>
      <c r="G34" s="133">
        <f t="shared" si="33"/>
        <v>1.5802781289506962E-2</v>
      </c>
      <c r="H34" s="133">
        <f t="shared" si="27"/>
        <v>8.8506000000000001E-2</v>
      </c>
      <c r="I34" s="133">
        <f t="shared" si="33"/>
        <v>4.4787946264861052E-2</v>
      </c>
      <c r="J34" s="133">
        <f t="shared" si="33"/>
        <v>1.4140595613406415E-2</v>
      </c>
      <c r="K34" s="133">
        <f t="shared" si="33"/>
        <v>1.2367081056294736E-2</v>
      </c>
      <c r="L34" s="133">
        <f t="shared" si="33"/>
        <v>1.3960975699298588E-2</v>
      </c>
      <c r="M34" s="133">
        <f t="shared" si="33"/>
        <v>0</v>
      </c>
      <c r="N34" s="133">
        <f t="shared" si="33"/>
        <v>2.3055036005913448E-2</v>
      </c>
      <c r="O34" s="133">
        <f t="shared" si="33"/>
        <v>3.6978876304825567E-3</v>
      </c>
      <c r="P34" s="133">
        <f t="shared" si="33"/>
        <v>0.995</v>
      </c>
      <c r="Q34" s="133">
        <f t="shared" si="33"/>
        <v>0.995</v>
      </c>
      <c r="R34" s="133">
        <f t="shared" si="33"/>
        <v>0</v>
      </c>
    </row>
    <row r="35" spans="1:18">
      <c r="A35" s="128" t="e">
        <f t="shared" ref="A35" si="37">CONCATENATE("Year-",#REF!)</f>
        <v>#REF!</v>
      </c>
      <c r="B35" s="129">
        <v>45292</v>
      </c>
      <c r="C35" s="130">
        <f t="shared" si="32"/>
        <v>169.028549</v>
      </c>
      <c r="D35" s="130">
        <f t="shared" si="32"/>
        <v>133.89933939999995</v>
      </c>
      <c r="E35" s="131">
        <v>51260</v>
      </c>
      <c r="F35" s="132">
        <f t="shared" si="33"/>
        <v>34.970332119021293</v>
      </c>
      <c r="G35" s="133">
        <f t="shared" si="33"/>
        <v>1.7200474495848161E-2</v>
      </c>
      <c r="H35" s="133">
        <f t="shared" si="27"/>
        <v>8.8506000000000001E-2</v>
      </c>
      <c r="I35" s="133">
        <f t="shared" si="33"/>
        <v>4.0029940128316385E-2</v>
      </c>
      <c r="J35" s="133">
        <f t="shared" si="33"/>
        <v>1.4099625889623608E-2</v>
      </c>
      <c r="K35" s="133">
        <f t="shared" si="33"/>
        <v>1.267725762135744E-2</v>
      </c>
      <c r="L35" s="133">
        <f t="shared" si="33"/>
        <v>1.390175346828215E-2</v>
      </c>
      <c r="M35" s="133">
        <f t="shared" si="33"/>
        <v>0</v>
      </c>
      <c r="N35" s="133">
        <f t="shared" si="33"/>
        <v>2.298066658515029E-2</v>
      </c>
      <c r="O35" s="133">
        <f t="shared" si="33"/>
        <v>1.0644897972798715E-2</v>
      </c>
      <c r="P35" s="133">
        <f t="shared" si="33"/>
        <v>0.995</v>
      </c>
      <c r="Q35" s="133">
        <f t="shared" si="33"/>
        <v>0.995</v>
      </c>
      <c r="R35" s="133">
        <f t="shared" si="33"/>
        <v>0</v>
      </c>
    </row>
    <row r="36" spans="1:18">
      <c r="A36" s="128" t="e">
        <f t="shared" ref="A36" si="38">CONCATENATE("Year-",#REF!)</f>
        <v>#REF!</v>
      </c>
      <c r="B36" s="129">
        <v>45323</v>
      </c>
      <c r="C36" s="130">
        <f t="shared" si="32"/>
        <v>172.55912190000004</v>
      </c>
      <c r="D36" s="130">
        <f t="shared" si="32"/>
        <v>145.40077080000009</v>
      </c>
      <c r="E36" s="131">
        <v>47290</v>
      </c>
      <c r="F36" s="132">
        <f t="shared" si="33"/>
        <v>40.252096455972236</v>
      </c>
      <c r="G36" s="133">
        <f t="shared" si="33"/>
        <v>1.510749564206848E-2</v>
      </c>
      <c r="H36" s="133">
        <f t="shared" si="27"/>
        <v>8.8506000000000001E-2</v>
      </c>
      <c r="I36" s="133">
        <f t="shared" si="33"/>
        <v>6.2111013936519133E-2</v>
      </c>
      <c r="J36" s="133">
        <f t="shared" si="33"/>
        <v>1.4175439055030284E-2</v>
      </c>
      <c r="K36" s="133">
        <f t="shared" si="33"/>
        <v>1.4384371816049681E-2</v>
      </c>
      <c r="L36" s="133">
        <f t="shared" si="33"/>
        <v>1.5915736744616871E-2</v>
      </c>
      <c r="M36" s="133">
        <f t="shared" si="33"/>
        <v>0</v>
      </c>
      <c r="N36" s="133">
        <f t="shared" si="33"/>
        <v>2.3268144471779773E-2</v>
      </c>
      <c r="O36" s="133">
        <f t="shared" si="33"/>
        <v>2.5052142565085967E-2</v>
      </c>
      <c r="P36" s="133">
        <f t="shared" si="33"/>
        <v>0.995</v>
      </c>
      <c r="Q36" s="133">
        <f t="shared" si="33"/>
        <v>0.995</v>
      </c>
      <c r="R36" s="133">
        <f t="shared" si="33"/>
        <v>0</v>
      </c>
    </row>
    <row r="37" spans="1:18">
      <c r="A37" s="128" t="e">
        <f t="shared" ref="A37" si="39">CONCATENATE("Year-",#REF!)</f>
        <v>#REF!</v>
      </c>
      <c r="B37" s="129">
        <v>45352</v>
      </c>
      <c r="C37" s="130">
        <f t="shared" si="32"/>
        <v>215.74576700000009</v>
      </c>
      <c r="D37" s="130">
        <f t="shared" si="32"/>
        <v>195.59891570000002</v>
      </c>
      <c r="E37" s="131">
        <v>60510</v>
      </c>
      <c r="F37" s="132">
        <f t="shared" si="33"/>
        <v>47.179622377374095</v>
      </c>
      <c r="G37" s="133">
        <f t="shared" si="33"/>
        <v>1.5306122448979553E-2</v>
      </c>
      <c r="H37" s="133">
        <f t="shared" si="27"/>
        <v>9.1784000000000004E-2</v>
      </c>
      <c r="I37" s="133">
        <f t="shared" si="33"/>
        <v>9.4419706369976972E-2</v>
      </c>
      <c r="J37" s="133">
        <f t="shared" si="33"/>
        <v>1.4644787078611174E-2</v>
      </c>
      <c r="K37" s="133">
        <f t="shared" si="33"/>
        <v>1.6212630268737406E-2</v>
      </c>
      <c r="L37" s="133">
        <f t="shared" si="33"/>
        <v>2.0718676035686345E-2</v>
      </c>
      <c r="M37" s="133">
        <f t="shared" si="33"/>
        <v>0</v>
      </c>
      <c r="N37" s="133">
        <f t="shared" si="33"/>
        <v>2.3247057021314733E-2</v>
      </c>
      <c r="O37" s="133">
        <f t="shared" si="33"/>
        <v>3.9222124133286969E-2</v>
      </c>
      <c r="P37" s="133">
        <f t="shared" si="33"/>
        <v>0.995</v>
      </c>
      <c r="Q37" s="133">
        <f t="shared" si="33"/>
        <v>0.995</v>
      </c>
      <c r="R37" s="133">
        <f t="shared" si="33"/>
        <v>0</v>
      </c>
    </row>
    <row r="38" spans="1:18">
      <c r="A38" s="123" t="e">
        <f t="shared" ref="A38" si="40">CONCATENATE("Year-",#REF!)</f>
        <v>#REF!</v>
      </c>
      <c r="B38" s="35">
        <v>45383</v>
      </c>
      <c r="C38" s="26">
        <f t="shared" si="32"/>
        <v>215.9</v>
      </c>
      <c r="D38" s="26">
        <f t="shared" si="32"/>
        <v>208.99969899999999</v>
      </c>
      <c r="E38" s="31">
        <f t="shared" ref="E38:E101" si="41">E26*(1-$AE$2)</f>
        <v>58630</v>
      </c>
      <c r="F38" s="124">
        <f t="shared" si="33"/>
        <v>52.296499350965128</v>
      </c>
      <c r="G38" s="125">
        <f t="shared" si="33"/>
        <v>1.6658954187875996E-2</v>
      </c>
      <c r="H38" s="125">
        <f t="shared" si="33"/>
        <v>9.5061999999999994E-2</v>
      </c>
      <c r="I38" s="125">
        <f t="shared" si="33"/>
        <v>0.11719199751057031</v>
      </c>
      <c r="J38" s="125">
        <f t="shared" si="33"/>
        <v>1.5231272154623582E-2</v>
      </c>
      <c r="K38" s="125">
        <f t="shared" si="33"/>
        <v>1.6110689006976781E-2</v>
      </c>
      <c r="L38" s="125">
        <f t="shared" si="33"/>
        <v>1.8633277773980331E-2</v>
      </c>
      <c r="M38" s="125">
        <f t="shared" si="33"/>
        <v>0</v>
      </c>
      <c r="N38" s="125">
        <f t="shared" si="33"/>
        <v>2.2802418781094937E-2</v>
      </c>
      <c r="O38" s="125">
        <f t="shared" si="33"/>
        <v>2.7995485693316467E-2</v>
      </c>
      <c r="P38" s="125">
        <f t="shared" si="33"/>
        <v>0.995</v>
      </c>
      <c r="Q38" s="125">
        <f t="shared" si="33"/>
        <v>0.995</v>
      </c>
      <c r="R38" s="125">
        <f t="shared" si="33"/>
        <v>0</v>
      </c>
    </row>
    <row r="39" spans="1:18">
      <c r="A39" s="123" t="e">
        <f t="shared" ref="A39" si="42">CONCATENATE("Year-",#REF!)</f>
        <v>#REF!</v>
      </c>
      <c r="B39" s="35">
        <v>45413</v>
      </c>
      <c r="C39" s="26">
        <f t="shared" si="32"/>
        <v>217.9</v>
      </c>
      <c r="D39" s="26">
        <f t="shared" si="32"/>
        <v>221.90023470000006</v>
      </c>
      <c r="E39" s="31">
        <f t="shared" si="41"/>
        <v>61780</v>
      </c>
      <c r="F39" s="124">
        <f t="shared" si="33"/>
        <v>55.437733860726389</v>
      </c>
      <c r="G39" s="125">
        <f t="shared" si="33"/>
        <v>1.7865322950068707E-2</v>
      </c>
      <c r="H39" s="125">
        <f t="shared" si="33"/>
        <v>9.8339999999999997E-2</v>
      </c>
      <c r="I39" s="125">
        <f t="shared" si="33"/>
        <v>0.1306817577748349</v>
      </c>
      <c r="J39" s="125">
        <f t="shared" si="33"/>
        <v>1.609339136491415E-2</v>
      </c>
      <c r="K39" s="125">
        <f t="shared" si="33"/>
        <v>1.525163145425878E-2</v>
      </c>
      <c r="L39" s="125">
        <f t="shared" si="33"/>
        <v>1.5763583972179196E-2</v>
      </c>
      <c r="M39" s="125">
        <f t="shared" si="33"/>
        <v>0</v>
      </c>
      <c r="N39" s="125">
        <f t="shared" si="33"/>
        <v>2.2281870794181511E-2</v>
      </c>
      <c r="O39" s="125">
        <f t="shared" si="33"/>
        <v>1.1198342091846737E-2</v>
      </c>
      <c r="P39" s="125">
        <f t="shared" si="33"/>
        <v>0.995</v>
      </c>
      <c r="Q39" s="125">
        <f t="shared" si="33"/>
        <v>0.995</v>
      </c>
      <c r="R39" s="125">
        <f t="shared" si="33"/>
        <v>0</v>
      </c>
    </row>
    <row r="40" spans="1:18">
      <c r="A40" s="123" t="e">
        <f t="shared" ref="A40" si="43">CONCATENATE("Year-",#REF!)</f>
        <v>#REF!</v>
      </c>
      <c r="B40" s="35">
        <v>45444</v>
      </c>
      <c r="C40" s="26">
        <f t="shared" si="32"/>
        <v>192.8</v>
      </c>
      <c r="D40" s="26">
        <f t="shared" si="32"/>
        <v>200.20089519999999</v>
      </c>
      <c r="E40" s="31">
        <f t="shared" si="41"/>
        <v>53700</v>
      </c>
      <c r="F40" s="124">
        <f t="shared" si="33"/>
        <v>54.658309168315547</v>
      </c>
      <c r="G40" s="125">
        <f t="shared" si="33"/>
        <v>1.914123124676681E-2</v>
      </c>
      <c r="H40" s="125">
        <f t="shared" si="33"/>
        <v>9.8339999999999997E-2</v>
      </c>
      <c r="I40" s="125">
        <f t="shared" si="33"/>
        <v>0.12650723469382591</v>
      </c>
      <c r="J40" s="125">
        <f t="shared" si="33"/>
        <v>1.6398522844759341E-2</v>
      </c>
      <c r="K40" s="125">
        <f t="shared" si="33"/>
        <v>1.3926271600695752E-2</v>
      </c>
      <c r="L40" s="125">
        <f t="shared" si="33"/>
        <v>1.4057661793117321E-2</v>
      </c>
      <c r="M40" s="125">
        <f t="shared" si="33"/>
        <v>0</v>
      </c>
      <c r="N40" s="125">
        <f t="shared" si="33"/>
        <v>2.1677907023400757E-2</v>
      </c>
      <c r="O40" s="125">
        <f t="shared" si="33"/>
        <v>4.051685061336731E-3</v>
      </c>
      <c r="P40" s="125">
        <f t="shared" si="33"/>
        <v>0.995</v>
      </c>
      <c r="Q40" s="125">
        <f t="shared" si="33"/>
        <v>0.995</v>
      </c>
      <c r="R40" s="125">
        <f t="shared" si="33"/>
        <v>0</v>
      </c>
    </row>
    <row r="41" spans="1:18">
      <c r="A41" s="123" t="e">
        <f t="shared" ref="A41" si="44">CONCATENATE("Year-",#REF!)</f>
        <v>#REF!</v>
      </c>
      <c r="B41" s="35">
        <v>45474</v>
      </c>
      <c r="C41" s="26">
        <f t="shared" si="32"/>
        <v>168.9</v>
      </c>
      <c r="D41" s="26">
        <f t="shared" si="32"/>
        <v>173.59972409999992</v>
      </c>
      <c r="E41" s="31">
        <f t="shared" si="41"/>
        <v>49210</v>
      </c>
      <c r="F41" s="124">
        <f t="shared" si="33"/>
        <v>51.564857066184757</v>
      </c>
      <c r="G41" s="125">
        <f t="shared" si="33"/>
        <v>2.1854695806261204E-2</v>
      </c>
      <c r="H41" s="125">
        <f t="shared" si="33"/>
        <v>9.1784000000000004E-2</v>
      </c>
      <c r="I41" s="125">
        <f t="shared" si="33"/>
        <v>0.1089308468990661</v>
      </c>
      <c r="J41" s="125">
        <f t="shared" si="33"/>
        <v>1.5867586262633245E-2</v>
      </c>
      <c r="K41" s="125">
        <f t="shared" si="33"/>
        <v>1.231974144019694E-2</v>
      </c>
      <c r="L41" s="125">
        <f t="shared" si="33"/>
        <v>1.3502102014775261E-2</v>
      </c>
      <c r="M41" s="125">
        <f t="shared" si="33"/>
        <v>0</v>
      </c>
      <c r="N41" s="125">
        <f t="shared" si="33"/>
        <v>2.127320988616644E-2</v>
      </c>
      <c r="O41" s="125">
        <f t="shared" si="33"/>
        <v>1.5557262066246368E-3</v>
      </c>
      <c r="P41" s="125">
        <f t="shared" si="33"/>
        <v>0.995</v>
      </c>
      <c r="Q41" s="125">
        <f t="shared" si="33"/>
        <v>0.995</v>
      </c>
      <c r="R41" s="125">
        <f t="shared" si="33"/>
        <v>0</v>
      </c>
    </row>
    <row r="42" spans="1:18">
      <c r="A42" s="123" t="e">
        <f t="shared" ref="A42" si="45">CONCATENATE("Year-",#REF!)</f>
        <v>#REF!</v>
      </c>
      <c r="B42" s="35">
        <v>45505</v>
      </c>
      <c r="C42" s="26">
        <f t="shared" si="32"/>
        <v>174.2</v>
      </c>
      <c r="D42" s="26">
        <f t="shared" si="32"/>
        <v>172.6001566000001</v>
      </c>
      <c r="E42" s="31">
        <f t="shared" si="41"/>
        <v>50100</v>
      </c>
      <c r="F42" s="124">
        <f t="shared" si="33"/>
        <v>50.336592710430871</v>
      </c>
      <c r="G42" s="125">
        <f t="shared" si="33"/>
        <v>2.0196191575302946E-2</v>
      </c>
      <c r="H42" s="125">
        <f t="shared" si="33"/>
        <v>8.8506000000000001E-2</v>
      </c>
      <c r="I42" s="125">
        <f t="shared" si="33"/>
        <v>0.10494453414747008</v>
      </c>
      <c r="J42" s="125">
        <f t="shared" si="33"/>
        <v>1.507508977611231E-2</v>
      </c>
      <c r="K42" s="125">
        <f t="shared" si="33"/>
        <v>1.2791562311125756E-2</v>
      </c>
      <c r="L42" s="125">
        <f t="shared" si="33"/>
        <v>1.4116403195935955E-2</v>
      </c>
      <c r="M42" s="125">
        <f t="shared" si="33"/>
        <v>0</v>
      </c>
      <c r="N42" s="125">
        <f t="shared" si="33"/>
        <v>2.157456294953386E-2</v>
      </c>
      <c r="O42" s="125">
        <f t="shared" si="33"/>
        <v>6.2818876990405415E-3</v>
      </c>
      <c r="P42" s="125">
        <f t="shared" si="33"/>
        <v>0.995</v>
      </c>
      <c r="Q42" s="125">
        <f t="shared" si="33"/>
        <v>0.995</v>
      </c>
      <c r="R42" s="125">
        <f t="shared" si="33"/>
        <v>0</v>
      </c>
    </row>
    <row r="43" spans="1:18">
      <c r="A43" s="123" t="e">
        <f t="shared" ref="A43" si="46">CONCATENATE("Year-",#REF!)</f>
        <v>#REF!</v>
      </c>
      <c r="B43" s="35">
        <v>45536</v>
      </c>
      <c r="C43" s="26">
        <f t="shared" si="32"/>
        <v>192.1</v>
      </c>
      <c r="D43" s="26">
        <f t="shared" si="32"/>
        <v>178.89930529999984</v>
      </c>
      <c r="E43" s="31">
        <f t="shared" si="41"/>
        <v>52760</v>
      </c>
      <c r="F43" s="124">
        <f t="shared" si="33"/>
        <v>52.25059433997491</v>
      </c>
      <c r="G43" s="125">
        <f t="shared" si="33"/>
        <v>1.7196456487754141E-2</v>
      </c>
      <c r="H43" s="125">
        <f t="shared" si="33"/>
        <v>8.5227999999999998E-2</v>
      </c>
      <c r="I43" s="125">
        <f t="shared" si="33"/>
        <v>0.11387126505657014</v>
      </c>
      <c r="J43" s="125">
        <f t="shared" si="33"/>
        <v>1.3959618092500629E-2</v>
      </c>
      <c r="K43" s="125">
        <f t="shared" si="33"/>
        <v>1.4531255376132731E-2</v>
      </c>
      <c r="L43" s="125">
        <f t="shared" si="33"/>
        <v>1.4478833500810966E-2</v>
      </c>
      <c r="M43" s="125">
        <f t="shared" si="33"/>
        <v>0</v>
      </c>
      <c r="N43" s="125">
        <f t="shared" si="33"/>
        <v>2.2473527643153385E-2</v>
      </c>
      <c r="O43" s="125">
        <f t="shared" si="33"/>
        <v>1.1388926338936924E-2</v>
      </c>
      <c r="P43" s="125">
        <f t="shared" si="33"/>
        <v>0.995</v>
      </c>
      <c r="Q43" s="125">
        <f t="shared" si="33"/>
        <v>0.995</v>
      </c>
      <c r="R43" s="125">
        <f t="shared" si="33"/>
        <v>0</v>
      </c>
    </row>
    <row r="44" spans="1:18">
      <c r="A44" s="123" t="e">
        <f t="shared" ref="A44" si="47">CONCATENATE("Year-",#REF!)</f>
        <v>#REF!</v>
      </c>
      <c r="B44" s="35">
        <v>45566</v>
      </c>
      <c r="C44" s="26">
        <f t="shared" si="32"/>
        <v>202.3</v>
      </c>
      <c r="D44" s="26">
        <f t="shared" si="32"/>
        <v>174.60082279999986</v>
      </c>
      <c r="E44" s="31">
        <f t="shared" si="41"/>
        <v>57190</v>
      </c>
      <c r="F44" s="124">
        <f t="shared" si="33"/>
        <v>49.723937837075084</v>
      </c>
      <c r="G44" s="125">
        <f t="shared" si="33"/>
        <v>1.5873015873015817E-2</v>
      </c>
      <c r="H44" s="125">
        <f t="shared" si="33"/>
        <v>8.8506000000000001E-2</v>
      </c>
      <c r="I44" s="125">
        <f t="shared" si="33"/>
        <v>0.10390722673430232</v>
      </c>
      <c r="J44" s="125">
        <f t="shared" si="33"/>
        <v>1.4040704754284353E-2</v>
      </c>
      <c r="K44" s="125">
        <f t="shared" si="33"/>
        <v>1.526389492868482E-2</v>
      </c>
      <c r="L44" s="125">
        <f t="shared" si="33"/>
        <v>1.5324069649683622E-2</v>
      </c>
      <c r="M44" s="125">
        <f t="shared" si="33"/>
        <v>0</v>
      </c>
      <c r="N44" s="125">
        <f t="shared" si="33"/>
        <v>2.3043103417804571E-2</v>
      </c>
      <c r="O44" s="125">
        <f t="shared" si="33"/>
        <v>2.1184397869334348E-2</v>
      </c>
      <c r="P44" s="125">
        <f t="shared" si="33"/>
        <v>0.995</v>
      </c>
      <c r="Q44" s="125">
        <f t="shared" si="33"/>
        <v>0.995</v>
      </c>
      <c r="R44" s="125">
        <f t="shared" si="33"/>
        <v>0</v>
      </c>
    </row>
    <row r="45" spans="1:18">
      <c r="A45" s="123" t="e">
        <f t="shared" ref="A45" si="48">CONCATENATE("Year-",#REF!)</f>
        <v>#REF!</v>
      </c>
      <c r="B45" s="35">
        <v>45597</v>
      </c>
      <c r="C45" s="26">
        <f t="shared" si="32"/>
        <v>162.9</v>
      </c>
      <c r="D45" s="26">
        <f t="shared" si="32"/>
        <v>133.69942049999997</v>
      </c>
      <c r="E45" s="31">
        <f t="shared" si="41"/>
        <v>46900</v>
      </c>
      <c r="F45" s="124">
        <f t="shared" si="33"/>
        <v>42.187120547750681</v>
      </c>
      <c r="G45" s="125">
        <f t="shared" si="33"/>
        <v>1.5950920245398792E-2</v>
      </c>
      <c r="H45" s="125">
        <f t="shared" si="33"/>
        <v>8.8506000000000001E-2</v>
      </c>
      <c r="I45" s="125">
        <f t="shared" si="33"/>
        <v>6.9024239591701744E-2</v>
      </c>
      <c r="J45" s="125">
        <f t="shared" si="33"/>
        <v>1.4204952105287192E-2</v>
      </c>
      <c r="K45" s="125">
        <f t="shared" si="33"/>
        <v>1.3252885058363056E-2</v>
      </c>
      <c r="L45" s="125">
        <f t="shared" si="33"/>
        <v>1.3980442883231779E-2</v>
      </c>
      <c r="M45" s="125">
        <f t="shared" si="33"/>
        <v>0</v>
      </c>
      <c r="N45" s="125">
        <f t="shared" si="33"/>
        <v>2.30208488716231E-2</v>
      </c>
      <c r="O45" s="125">
        <f t="shared" si="33"/>
        <v>8.3479094998109554E-3</v>
      </c>
      <c r="P45" s="125">
        <f t="shared" si="33"/>
        <v>0.995</v>
      </c>
      <c r="Q45" s="125">
        <f t="shared" si="33"/>
        <v>0.995</v>
      </c>
      <c r="R45" s="125">
        <f t="shared" si="33"/>
        <v>0</v>
      </c>
    </row>
    <row r="46" spans="1:18">
      <c r="A46" s="123" t="e">
        <f t="shared" ref="A46" si="49">CONCATENATE("Year-",#REF!)</f>
        <v>#REF!</v>
      </c>
      <c r="B46" s="35">
        <v>45627</v>
      </c>
      <c r="C46" s="26">
        <f t="shared" si="32"/>
        <v>158.6</v>
      </c>
      <c r="D46" s="26">
        <f t="shared" si="32"/>
        <v>124.40004220000003</v>
      </c>
      <c r="E46" s="31">
        <f t="shared" si="41"/>
        <v>48280</v>
      </c>
      <c r="F46" s="124">
        <f t="shared" si="33"/>
        <v>36.076939444156181</v>
      </c>
      <c r="G46" s="125">
        <f t="shared" si="33"/>
        <v>1.5802781289506962E-2</v>
      </c>
      <c r="H46" s="125">
        <f t="shared" si="33"/>
        <v>8.8506000000000001E-2</v>
      </c>
      <c r="I46" s="125">
        <f t="shared" si="33"/>
        <v>4.4787946264861052E-2</v>
      </c>
      <c r="J46" s="125">
        <f t="shared" si="33"/>
        <v>1.4140595613406415E-2</v>
      </c>
      <c r="K46" s="125">
        <f t="shared" si="33"/>
        <v>1.2367081056294736E-2</v>
      </c>
      <c r="L46" s="125">
        <f t="shared" si="33"/>
        <v>1.3960975699298588E-2</v>
      </c>
      <c r="M46" s="125">
        <f t="shared" si="33"/>
        <v>0</v>
      </c>
      <c r="N46" s="125">
        <f t="shared" si="33"/>
        <v>2.3055036005913448E-2</v>
      </c>
      <c r="O46" s="125">
        <f t="shared" si="33"/>
        <v>3.6978876304825567E-3</v>
      </c>
      <c r="P46" s="125">
        <f t="shared" si="33"/>
        <v>0.995</v>
      </c>
      <c r="Q46" s="125">
        <f t="shared" si="33"/>
        <v>0.995</v>
      </c>
      <c r="R46" s="125">
        <f t="shared" si="33"/>
        <v>0</v>
      </c>
    </row>
    <row r="47" spans="1:18">
      <c r="A47" s="123" t="e">
        <f t="shared" ref="A47" si="50">CONCATENATE("Year-",#REF!)</f>
        <v>#REF!</v>
      </c>
      <c r="B47" s="35">
        <v>45658</v>
      </c>
      <c r="C47" s="26">
        <f t="shared" ref="C47:D62" si="51">C35</f>
        <v>169.028549</v>
      </c>
      <c r="D47" s="26">
        <f t="shared" si="51"/>
        <v>133.89933939999995</v>
      </c>
      <c r="E47" s="31">
        <f t="shared" si="41"/>
        <v>51260</v>
      </c>
      <c r="F47" s="124">
        <f t="shared" ref="F47:R62" si="52">F35</f>
        <v>34.970332119021293</v>
      </c>
      <c r="G47" s="125">
        <f t="shared" si="52"/>
        <v>1.7200474495848161E-2</v>
      </c>
      <c r="H47" s="125">
        <f t="shared" si="52"/>
        <v>8.8506000000000001E-2</v>
      </c>
      <c r="I47" s="125">
        <f t="shared" si="52"/>
        <v>4.0029940128316385E-2</v>
      </c>
      <c r="J47" s="125">
        <f t="shared" si="52"/>
        <v>1.4099625889623608E-2</v>
      </c>
      <c r="K47" s="125">
        <f t="shared" si="52"/>
        <v>1.267725762135744E-2</v>
      </c>
      <c r="L47" s="125">
        <f t="shared" si="52"/>
        <v>1.390175346828215E-2</v>
      </c>
      <c r="M47" s="125">
        <f t="shared" si="52"/>
        <v>0</v>
      </c>
      <c r="N47" s="125">
        <f t="shared" si="52"/>
        <v>2.298066658515029E-2</v>
      </c>
      <c r="O47" s="125">
        <f t="shared" si="52"/>
        <v>1.0644897972798715E-2</v>
      </c>
      <c r="P47" s="125">
        <f t="shared" si="52"/>
        <v>0.995</v>
      </c>
      <c r="Q47" s="125">
        <f t="shared" si="52"/>
        <v>0.995</v>
      </c>
      <c r="R47" s="125">
        <f t="shared" si="52"/>
        <v>0</v>
      </c>
    </row>
    <row r="48" spans="1:18">
      <c r="A48" s="123" t="e">
        <f t="shared" ref="A48" si="53">CONCATENATE("Year-",#REF!)</f>
        <v>#REF!</v>
      </c>
      <c r="B48" s="35">
        <v>45689</v>
      </c>
      <c r="C48" s="26">
        <f t="shared" si="51"/>
        <v>172.55912190000004</v>
      </c>
      <c r="D48" s="26">
        <f t="shared" si="51"/>
        <v>145.40077080000009</v>
      </c>
      <c r="E48" s="31">
        <f t="shared" si="41"/>
        <v>47290</v>
      </c>
      <c r="F48" s="124">
        <f t="shared" si="52"/>
        <v>40.252096455972236</v>
      </c>
      <c r="G48" s="125">
        <f t="shared" si="52"/>
        <v>1.510749564206848E-2</v>
      </c>
      <c r="H48" s="125">
        <f t="shared" si="52"/>
        <v>8.8506000000000001E-2</v>
      </c>
      <c r="I48" s="125">
        <f t="shared" si="52"/>
        <v>6.2111013936519133E-2</v>
      </c>
      <c r="J48" s="125">
        <f t="shared" si="52"/>
        <v>1.4175439055030284E-2</v>
      </c>
      <c r="K48" s="125">
        <f t="shared" si="52"/>
        <v>1.4384371816049681E-2</v>
      </c>
      <c r="L48" s="125">
        <f t="shared" si="52"/>
        <v>1.5915736744616871E-2</v>
      </c>
      <c r="M48" s="125">
        <f t="shared" si="52"/>
        <v>0</v>
      </c>
      <c r="N48" s="125">
        <f t="shared" si="52"/>
        <v>2.3268144471779773E-2</v>
      </c>
      <c r="O48" s="125">
        <f t="shared" si="52"/>
        <v>2.5052142565085967E-2</v>
      </c>
      <c r="P48" s="125">
        <f t="shared" si="52"/>
        <v>0.995</v>
      </c>
      <c r="Q48" s="125">
        <f t="shared" si="52"/>
        <v>0.995</v>
      </c>
      <c r="R48" s="125">
        <f t="shared" si="52"/>
        <v>0</v>
      </c>
    </row>
    <row r="49" spans="1:18">
      <c r="A49" s="123" t="e">
        <f t="shared" ref="A49" si="54">CONCATENATE("Year-",#REF!)</f>
        <v>#REF!</v>
      </c>
      <c r="B49" s="35">
        <v>45717</v>
      </c>
      <c r="C49" s="26">
        <f t="shared" si="51"/>
        <v>215.74576700000009</v>
      </c>
      <c r="D49" s="26">
        <f t="shared" si="51"/>
        <v>195.59891570000002</v>
      </c>
      <c r="E49" s="31">
        <f t="shared" si="41"/>
        <v>60510</v>
      </c>
      <c r="F49" s="124">
        <f t="shared" si="52"/>
        <v>47.179622377374095</v>
      </c>
      <c r="G49" s="125">
        <f t="shared" si="52"/>
        <v>1.5306122448979553E-2</v>
      </c>
      <c r="H49" s="125">
        <f t="shared" si="52"/>
        <v>9.1784000000000004E-2</v>
      </c>
      <c r="I49" s="125">
        <f t="shared" si="52"/>
        <v>9.4419706369976972E-2</v>
      </c>
      <c r="J49" s="125">
        <f t="shared" si="52"/>
        <v>1.4644787078611174E-2</v>
      </c>
      <c r="K49" s="125">
        <f t="shared" si="52"/>
        <v>1.6212630268737406E-2</v>
      </c>
      <c r="L49" s="125">
        <f t="shared" si="52"/>
        <v>2.0718676035686345E-2</v>
      </c>
      <c r="M49" s="125">
        <f t="shared" si="52"/>
        <v>0</v>
      </c>
      <c r="N49" s="125">
        <f t="shared" si="52"/>
        <v>2.3247057021314733E-2</v>
      </c>
      <c r="O49" s="125">
        <f t="shared" si="52"/>
        <v>3.9222124133286969E-2</v>
      </c>
      <c r="P49" s="125">
        <f t="shared" si="52"/>
        <v>0.995</v>
      </c>
      <c r="Q49" s="125">
        <f t="shared" si="52"/>
        <v>0.995</v>
      </c>
      <c r="R49" s="125">
        <f t="shared" si="52"/>
        <v>0</v>
      </c>
    </row>
    <row r="50" spans="1:18">
      <c r="A50" s="123" t="e">
        <f t="shared" ref="A50" si="55">CONCATENATE("Year-",#REF!)</f>
        <v>#REF!</v>
      </c>
      <c r="B50" s="35">
        <v>45748</v>
      </c>
      <c r="C50" s="26">
        <f t="shared" si="51"/>
        <v>215.9</v>
      </c>
      <c r="D50" s="26">
        <f t="shared" si="51"/>
        <v>208.99969899999999</v>
      </c>
      <c r="E50" s="31">
        <f t="shared" si="41"/>
        <v>58630</v>
      </c>
      <c r="F50" s="124">
        <f t="shared" si="52"/>
        <v>52.296499350965128</v>
      </c>
      <c r="G50" s="125">
        <f t="shared" si="52"/>
        <v>1.6658954187875996E-2</v>
      </c>
      <c r="H50" s="125">
        <f t="shared" si="52"/>
        <v>9.5061999999999994E-2</v>
      </c>
      <c r="I50" s="125">
        <f t="shared" si="52"/>
        <v>0.11719199751057031</v>
      </c>
      <c r="J50" s="125">
        <f t="shared" si="52"/>
        <v>1.5231272154623582E-2</v>
      </c>
      <c r="K50" s="125">
        <f t="shared" si="52"/>
        <v>1.6110689006976781E-2</v>
      </c>
      <c r="L50" s="125">
        <f t="shared" si="52"/>
        <v>1.8633277773980331E-2</v>
      </c>
      <c r="M50" s="125">
        <f t="shared" si="52"/>
        <v>0</v>
      </c>
      <c r="N50" s="125">
        <f t="shared" si="52"/>
        <v>2.2802418781094937E-2</v>
      </c>
      <c r="O50" s="125">
        <f t="shared" si="52"/>
        <v>2.7995485693316467E-2</v>
      </c>
      <c r="P50" s="125">
        <f t="shared" si="52"/>
        <v>0.995</v>
      </c>
      <c r="Q50" s="125">
        <f t="shared" si="52"/>
        <v>0.995</v>
      </c>
      <c r="R50" s="125">
        <f t="shared" si="52"/>
        <v>0</v>
      </c>
    </row>
    <row r="51" spans="1:18">
      <c r="A51" s="123" t="e">
        <f t="shared" ref="A51" si="56">CONCATENATE("Year-",#REF!)</f>
        <v>#REF!</v>
      </c>
      <c r="B51" s="35">
        <v>45778</v>
      </c>
      <c r="C51" s="26">
        <f t="shared" si="51"/>
        <v>217.9</v>
      </c>
      <c r="D51" s="26">
        <f t="shared" si="51"/>
        <v>221.90023470000006</v>
      </c>
      <c r="E51" s="31">
        <f t="shared" si="41"/>
        <v>61780</v>
      </c>
      <c r="F51" s="124">
        <f t="shared" si="52"/>
        <v>55.437733860726389</v>
      </c>
      <c r="G51" s="125">
        <f t="shared" si="52"/>
        <v>1.7865322950068707E-2</v>
      </c>
      <c r="H51" s="125">
        <f t="shared" si="52"/>
        <v>9.8339999999999997E-2</v>
      </c>
      <c r="I51" s="125">
        <f t="shared" si="52"/>
        <v>0.1306817577748349</v>
      </c>
      <c r="J51" s="125">
        <f t="shared" si="52"/>
        <v>1.609339136491415E-2</v>
      </c>
      <c r="K51" s="125">
        <f t="shared" si="52"/>
        <v>1.525163145425878E-2</v>
      </c>
      <c r="L51" s="125">
        <f t="shared" si="52"/>
        <v>1.5763583972179196E-2</v>
      </c>
      <c r="M51" s="125">
        <f t="shared" si="52"/>
        <v>0</v>
      </c>
      <c r="N51" s="125">
        <f t="shared" si="52"/>
        <v>2.2281870794181511E-2</v>
      </c>
      <c r="O51" s="125">
        <f t="shared" si="52"/>
        <v>1.1198342091846737E-2</v>
      </c>
      <c r="P51" s="125">
        <f t="shared" si="52"/>
        <v>0.995</v>
      </c>
      <c r="Q51" s="125">
        <f t="shared" si="52"/>
        <v>0.995</v>
      </c>
      <c r="R51" s="125">
        <f t="shared" si="52"/>
        <v>0</v>
      </c>
    </row>
    <row r="52" spans="1:18">
      <c r="A52" s="123" t="e">
        <f t="shared" ref="A52" si="57">CONCATENATE("Year-",#REF!)</f>
        <v>#REF!</v>
      </c>
      <c r="B52" s="35">
        <v>45809</v>
      </c>
      <c r="C52" s="26">
        <f t="shared" si="51"/>
        <v>192.8</v>
      </c>
      <c r="D52" s="26">
        <f t="shared" si="51"/>
        <v>200.20089519999999</v>
      </c>
      <c r="E52" s="31">
        <f t="shared" si="41"/>
        <v>53700</v>
      </c>
      <c r="F52" s="124">
        <f t="shared" si="52"/>
        <v>54.658309168315547</v>
      </c>
      <c r="G52" s="125">
        <f t="shared" si="52"/>
        <v>1.914123124676681E-2</v>
      </c>
      <c r="H52" s="125">
        <f t="shared" si="52"/>
        <v>9.8339999999999997E-2</v>
      </c>
      <c r="I52" s="125">
        <f t="shared" si="52"/>
        <v>0.12650723469382591</v>
      </c>
      <c r="J52" s="125">
        <f t="shared" si="52"/>
        <v>1.6398522844759341E-2</v>
      </c>
      <c r="K52" s="125">
        <f t="shared" si="52"/>
        <v>1.3926271600695752E-2</v>
      </c>
      <c r="L52" s="125">
        <f t="shared" si="52"/>
        <v>1.4057661793117321E-2</v>
      </c>
      <c r="M52" s="125">
        <f t="shared" si="52"/>
        <v>0</v>
      </c>
      <c r="N52" s="125">
        <f t="shared" si="52"/>
        <v>2.1677907023400757E-2</v>
      </c>
      <c r="O52" s="125">
        <f t="shared" si="52"/>
        <v>4.051685061336731E-3</v>
      </c>
      <c r="P52" s="125">
        <f t="shared" si="52"/>
        <v>0.995</v>
      </c>
      <c r="Q52" s="125">
        <f t="shared" si="52"/>
        <v>0.995</v>
      </c>
      <c r="R52" s="125">
        <f t="shared" si="52"/>
        <v>0</v>
      </c>
    </row>
    <row r="53" spans="1:18">
      <c r="A53" s="123" t="e">
        <f t="shared" ref="A53" si="58">CONCATENATE("Year-",#REF!)</f>
        <v>#REF!</v>
      </c>
      <c r="B53" s="35">
        <v>45839</v>
      </c>
      <c r="C53" s="26">
        <f t="shared" si="51"/>
        <v>168.9</v>
      </c>
      <c r="D53" s="26">
        <f t="shared" si="51"/>
        <v>173.59972409999992</v>
      </c>
      <c r="E53" s="31">
        <f t="shared" si="41"/>
        <v>49210</v>
      </c>
      <c r="F53" s="124">
        <f t="shared" si="52"/>
        <v>51.564857066184757</v>
      </c>
      <c r="G53" s="125">
        <f t="shared" si="52"/>
        <v>2.1854695806261204E-2</v>
      </c>
      <c r="H53" s="125">
        <f t="shared" si="52"/>
        <v>9.1784000000000004E-2</v>
      </c>
      <c r="I53" s="125">
        <f t="shared" si="52"/>
        <v>0.1089308468990661</v>
      </c>
      <c r="J53" s="125">
        <f t="shared" si="52"/>
        <v>1.5867586262633245E-2</v>
      </c>
      <c r="K53" s="125">
        <f t="shared" si="52"/>
        <v>1.231974144019694E-2</v>
      </c>
      <c r="L53" s="125">
        <f t="shared" si="52"/>
        <v>1.3502102014775261E-2</v>
      </c>
      <c r="M53" s="125">
        <f t="shared" si="52"/>
        <v>0</v>
      </c>
      <c r="N53" s="125">
        <f t="shared" si="52"/>
        <v>2.127320988616644E-2</v>
      </c>
      <c r="O53" s="125">
        <f t="shared" si="52"/>
        <v>1.5557262066246368E-3</v>
      </c>
      <c r="P53" s="125">
        <f t="shared" si="52"/>
        <v>0.995</v>
      </c>
      <c r="Q53" s="125">
        <f t="shared" si="52"/>
        <v>0.995</v>
      </c>
      <c r="R53" s="125">
        <f t="shared" si="52"/>
        <v>0</v>
      </c>
    </row>
    <row r="54" spans="1:18">
      <c r="A54" s="123" t="e">
        <f t="shared" ref="A54" si="59">CONCATENATE("Year-",#REF!)</f>
        <v>#REF!</v>
      </c>
      <c r="B54" s="35">
        <v>45870</v>
      </c>
      <c r="C54" s="26">
        <f t="shared" si="51"/>
        <v>174.2</v>
      </c>
      <c r="D54" s="26">
        <f t="shared" si="51"/>
        <v>172.6001566000001</v>
      </c>
      <c r="E54" s="31">
        <f t="shared" si="41"/>
        <v>50100</v>
      </c>
      <c r="F54" s="124">
        <f t="shared" si="52"/>
        <v>50.336592710430871</v>
      </c>
      <c r="G54" s="125">
        <f t="shared" si="52"/>
        <v>2.0196191575302946E-2</v>
      </c>
      <c r="H54" s="125">
        <f t="shared" si="52"/>
        <v>8.8506000000000001E-2</v>
      </c>
      <c r="I54" s="125">
        <f t="shared" si="52"/>
        <v>0.10494453414747008</v>
      </c>
      <c r="J54" s="125">
        <f t="shared" si="52"/>
        <v>1.507508977611231E-2</v>
      </c>
      <c r="K54" s="125">
        <f t="shared" si="52"/>
        <v>1.2791562311125756E-2</v>
      </c>
      <c r="L54" s="125">
        <f t="shared" si="52"/>
        <v>1.4116403195935955E-2</v>
      </c>
      <c r="M54" s="125">
        <f t="shared" si="52"/>
        <v>0</v>
      </c>
      <c r="N54" s="125">
        <f t="shared" si="52"/>
        <v>2.157456294953386E-2</v>
      </c>
      <c r="O54" s="125">
        <f t="shared" si="52"/>
        <v>6.2818876990405415E-3</v>
      </c>
      <c r="P54" s="125">
        <f t="shared" si="52"/>
        <v>0.995</v>
      </c>
      <c r="Q54" s="125">
        <f t="shared" si="52"/>
        <v>0.995</v>
      </c>
      <c r="R54" s="125">
        <f t="shared" si="52"/>
        <v>0</v>
      </c>
    </row>
    <row r="55" spans="1:18">
      <c r="A55" s="123" t="e">
        <f t="shared" ref="A55" si="60">CONCATENATE("Year-",#REF!)</f>
        <v>#REF!</v>
      </c>
      <c r="B55" s="35">
        <v>45901</v>
      </c>
      <c r="C55" s="26">
        <f t="shared" si="51"/>
        <v>192.1</v>
      </c>
      <c r="D55" s="26">
        <f t="shared" si="51"/>
        <v>178.89930529999984</v>
      </c>
      <c r="E55" s="31">
        <f t="shared" si="41"/>
        <v>52760</v>
      </c>
      <c r="F55" s="124">
        <f t="shared" si="52"/>
        <v>52.25059433997491</v>
      </c>
      <c r="G55" s="125">
        <f t="shared" si="52"/>
        <v>1.7196456487754141E-2</v>
      </c>
      <c r="H55" s="125">
        <f t="shared" si="52"/>
        <v>8.5227999999999998E-2</v>
      </c>
      <c r="I55" s="125">
        <f t="shared" si="52"/>
        <v>0.11387126505657014</v>
      </c>
      <c r="J55" s="125">
        <f t="shared" si="52"/>
        <v>1.3959618092500629E-2</v>
      </c>
      <c r="K55" s="125">
        <f t="shared" si="52"/>
        <v>1.4531255376132731E-2</v>
      </c>
      <c r="L55" s="125">
        <f t="shared" si="52"/>
        <v>1.4478833500810966E-2</v>
      </c>
      <c r="M55" s="125">
        <f t="shared" si="52"/>
        <v>0</v>
      </c>
      <c r="N55" s="125">
        <f t="shared" si="52"/>
        <v>2.2473527643153385E-2</v>
      </c>
      <c r="O55" s="125">
        <f t="shared" si="52"/>
        <v>1.1388926338936924E-2</v>
      </c>
      <c r="P55" s="125">
        <f t="shared" si="52"/>
        <v>0.995</v>
      </c>
      <c r="Q55" s="125">
        <f t="shared" si="52"/>
        <v>0.995</v>
      </c>
      <c r="R55" s="125">
        <f t="shared" si="52"/>
        <v>0</v>
      </c>
    </row>
    <row r="56" spans="1:18">
      <c r="A56" s="123" t="e">
        <f t="shared" ref="A56" si="61">CONCATENATE("Year-",#REF!)</f>
        <v>#REF!</v>
      </c>
      <c r="B56" s="35">
        <v>45931</v>
      </c>
      <c r="C56" s="26">
        <f t="shared" si="51"/>
        <v>202.3</v>
      </c>
      <c r="D56" s="26">
        <f t="shared" si="51"/>
        <v>174.60082279999986</v>
      </c>
      <c r="E56" s="31">
        <f t="shared" si="41"/>
        <v>57190</v>
      </c>
      <c r="F56" s="124">
        <f t="shared" si="52"/>
        <v>49.723937837075084</v>
      </c>
      <c r="G56" s="125">
        <f t="shared" si="52"/>
        <v>1.5873015873015817E-2</v>
      </c>
      <c r="H56" s="125">
        <f t="shared" si="52"/>
        <v>8.8506000000000001E-2</v>
      </c>
      <c r="I56" s="125">
        <f t="shared" si="52"/>
        <v>0.10390722673430232</v>
      </c>
      <c r="J56" s="125">
        <f t="shared" si="52"/>
        <v>1.4040704754284353E-2</v>
      </c>
      <c r="K56" s="125">
        <f t="shared" si="52"/>
        <v>1.526389492868482E-2</v>
      </c>
      <c r="L56" s="125">
        <f t="shared" si="52"/>
        <v>1.5324069649683622E-2</v>
      </c>
      <c r="M56" s="125">
        <f t="shared" si="52"/>
        <v>0</v>
      </c>
      <c r="N56" s="125">
        <f t="shared" si="52"/>
        <v>2.3043103417804571E-2</v>
      </c>
      <c r="O56" s="125">
        <f t="shared" si="52"/>
        <v>2.1184397869334348E-2</v>
      </c>
      <c r="P56" s="125">
        <f t="shared" si="52"/>
        <v>0.995</v>
      </c>
      <c r="Q56" s="125">
        <f t="shared" si="52"/>
        <v>0.995</v>
      </c>
      <c r="R56" s="125">
        <f t="shared" si="52"/>
        <v>0</v>
      </c>
    </row>
    <row r="57" spans="1:18">
      <c r="A57" s="123" t="e">
        <f t="shared" ref="A57" si="62">CONCATENATE("Year-",#REF!)</f>
        <v>#REF!</v>
      </c>
      <c r="B57" s="35">
        <v>45962</v>
      </c>
      <c r="C57" s="26">
        <f t="shared" si="51"/>
        <v>162.9</v>
      </c>
      <c r="D57" s="26">
        <f t="shared" si="51"/>
        <v>133.69942049999997</v>
      </c>
      <c r="E57" s="31">
        <f t="shared" si="41"/>
        <v>46900</v>
      </c>
      <c r="F57" s="124">
        <f t="shared" si="52"/>
        <v>42.187120547750681</v>
      </c>
      <c r="G57" s="125">
        <f t="shared" si="52"/>
        <v>1.5950920245398792E-2</v>
      </c>
      <c r="H57" s="125">
        <f t="shared" si="52"/>
        <v>8.8506000000000001E-2</v>
      </c>
      <c r="I57" s="125">
        <f t="shared" si="52"/>
        <v>6.9024239591701744E-2</v>
      </c>
      <c r="J57" s="125">
        <f t="shared" si="52"/>
        <v>1.4204952105287192E-2</v>
      </c>
      <c r="K57" s="125">
        <f t="shared" si="52"/>
        <v>1.3252885058363056E-2</v>
      </c>
      <c r="L57" s="125">
        <f t="shared" si="52"/>
        <v>1.3980442883231779E-2</v>
      </c>
      <c r="M57" s="125">
        <f t="shared" si="52"/>
        <v>0</v>
      </c>
      <c r="N57" s="125">
        <f t="shared" si="52"/>
        <v>2.30208488716231E-2</v>
      </c>
      <c r="O57" s="125">
        <f t="shared" si="52"/>
        <v>8.3479094998109554E-3</v>
      </c>
      <c r="P57" s="125">
        <f t="shared" si="52"/>
        <v>0.995</v>
      </c>
      <c r="Q57" s="125">
        <f t="shared" si="52"/>
        <v>0.995</v>
      </c>
      <c r="R57" s="125">
        <f t="shared" si="52"/>
        <v>0</v>
      </c>
    </row>
    <row r="58" spans="1:18">
      <c r="A58" s="123" t="e">
        <f t="shared" ref="A58" si="63">CONCATENATE("Year-",#REF!)</f>
        <v>#REF!</v>
      </c>
      <c r="B58" s="35">
        <v>45992</v>
      </c>
      <c r="C58" s="26">
        <f t="shared" si="51"/>
        <v>158.6</v>
      </c>
      <c r="D58" s="26">
        <f t="shared" si="51"/>
        <v>124.40004220000003</v>
      </c>
      <c r="E58" s="31">
        <f t="shared" si="41"/>
        <v>48280</v>
      </c>
      <c r="F58" s="124">
        <f t="shared" si="52"/>
        <v>36.076939444156181</v>
      </c>
      <c r="G58" s="125">
        <f t="shared" si="52"/>
        <v>1.5802781289506962E-2</v>
      </c>
      <c r="H58" s="125">
        <f t="shared" si="52"/>
        <v>8.8506000000000001E-2</v>
      </c>
      <c r="I58" s="125">
        <f t="shared" si="52"/>
        <v>4.4787946264861052E-2</v>
      </c>
      <c r="J58" s="125">
        <f t="shared" si="52"/>
        <v>1.4140595613406415E-2</v>
      </c>
      <c r="K58" s="125">
        <f t="shared" si="52"/>
        <v>1.2367081056294736E-2</v>
      </c>
      <c r="L58" s="125">
        <f t="shared" si="52"/>
        <v>1.3960975699298588E-2</v>
      </c>
      <c r="M58" s="125">
        <f t="shared" si="52"/>
        <v>0</v>
      </c>
      <c r="N58" s="125">
        <f t="shared" si="52"/>
        <v>2.3055036005913448E-2</v>
      </c>
      <c r="O58" s="125">
        <f t="shared" si="52"/>
        <v>3.6978876304825567E-3</v>
      </c>
      <c r="P58" s="125">
        <f t="shared" si="52"/>
        <v>0.995</v>
      </c>
      <c r="Q58" s="125">
        <f t="shared" si="52"/>
        <v>0.995</v>
      </c>
      <c r="R58" s="125">
        <f t="shared" si="52"/>
        <v>0</v>
      </c>
    </row>
    <row r="59" spans="1:18">
      <c r="A59" s="123" t="e">
        <f t="shared" ref="A59" si="64">CONCATENATE("Year-",#REF!)</f>
        <v>#REF!</v>
      </c>
      <c r="B59" s="35">
        <v>46023</v>
      </c>
      <c r="C59" s="26">
        <f t="shared" si="51"/>
        <v>169.028549</v>
      </c>
      <c r="D59" s="26">
        <f t="shared" si="51"/>
        <v>133.89933939999995</v>
      </c>
      <c r="E59" s="31">
        <f t="shared" si="41"/>
        <v>51260</v>
      </c>
      <c r="F59" s="124">
        <f t="shared" si="52"/>
        <v>34.970332119021293</v>
      </c>
      <c r="G59" s="125">
        <f t="shared" si="52"/>
        <v>1.7200474495848161E-2</v>
      </c>
      <c r="H59" s="125">
        <f t="shared" si="52"/>
        <v>8.8506000000000001E-2</v>
      </c>
      <c r="I59" s="125">
        <f t="shared" si="52"/>
        <v>4.0029940128316385E-2</v>
      </c>
      <c r="J59" s="125">
        <f t="shared" si="52"/>
        <v>1.4099625889623608E-2</v>
      </c>
      <c r="K59" s="125">
        <f t="shared" si="52"/>
        <v>1.267725762135744E-2</v>
      </c>
      <c r="L59" s="125">
        <f t="shared" si="52"/>
        <v>1.390175346828215E-2</v>
      </c>
      <c r="M59" s="125">
        <f t="shared" si="52"/>
        <v>0</v>
      </c>
      <c r="N59" s="125">
        <f t="shared" si="52"/>
        <v>2.298066658515029E-2</v>
      </c>
      <c r="O59" s="125">
        <f t="shared" si="52"/>
        <v>1.0644897972798715E-2</v>
      </c>
      <c r="P59" s="125">
        <f t="shared" si="52"/>
        <v>0.995</v>
      </c>
      <c r="Q59" s="125">
        <f t="shared" si="52"/>
        <v>0.995</v>
      </c>
      <c r="R59" s="125">
        <f t="shared" si="52"/>
        <v>0</v>
      </c>
    </row>
    <row r="60" spans="1:18">
      <c r="A60" s="123" t="e">
        <f t="shared" ref="A60" si="65">CONCATENATE("Year-",#REF!)</f>
        <v>#REF!</v>
      </c>
      <c r="B60" s="35">
        <v>46054</v>
      </c>
      <c r="C60" s="26">
        <f t="shared" si="51"/>
        <v>172.55912190000004</v>
      </c>
      <c r="D60" s="26">
        <f t="shared" si="51"/>
        <v>145.40077080000009</v>
      </c>
      <c r="E60" s="31">
        <f t="shared" si="41"/>
        <v>47290</v>
      </c>
      <c r="F60" s="124">
        <f t="shared" si="52"/>
        <v>40.252096455972236</v>
      </c>
      <c r="G60" s="125">
        <f t="shared" si="52"/>
        <v>1.510749564206848E-2</v>
      </c>
      <c r="H60" s="125">
        <f t="shared" si="52"/>
        <v>8.8506000000000001E-2</v>
      </c>
      <c r="I60" s="125">
        <f t="shared" si="52"/>
        <v>6.2111013936519133E-2</v>
      </c>
      <c r="J60" s="125">
        <f t="shared" si="52"/>
        <v>1.4175439055030284E-2</v>
      </c>
      <c r="K60" s="125">
        <f t="shared" si="52"/>
        <v>1.4384371816049681E-2</v>
      </c>
      <c r="L60" s="125">
        <f t="shared" si="52"/>
        <v>1.5915736744616871E-2</v>
      </c>
      <c r="M60" s="125">
        <f t="shared" si="52"/>
        <v>0</v>
      </c>
      <c r="N60" s="125">
        <f t="shared" si="52"/>
        <v>2.3268144471779773E-2</v>
      </c>
      <c r="O60" s="125">
        <f t="shared" si="52"/>
        <v>2.5052142565085967E-2</v>
      </c>
      <c r="P60" s="125">
        <f t="shared" si="52"/>
        <v>0.995</v>
      </c>
      <c r="Q60" s="125">
        <f t="shared" si="52"/>
        <v>0.995</v>
      </c>
      <c r="R60" s="125">
        <f t="shared" si="52"/>
        <v>0</v>
      </c>
    </row>
    <row r="61" spans="1:18">
      <c r="A61" s="123" t="e">
        <f t="shared" ref="A61" si="66">CONCATENATE("Year-",#REF!)</f>
        <v>#REF!</v>
      </c>
      <c r="B61" s="35">
        <v>46082</v>
      </c>
      <c r="C61" s="26">
        <f t="shared" si="51"/>
        <v>215.74576700000009</v>
      </c>
      <c r="D61" s="26">
        <f t="shared" si="51"/>
        <v>195.59891570000002</v>
      </c>
      <c r="E61" s="31">
        <f t="shared" si="41"/>
        <v>60510</v>
      </c>
      <c r="F61" s="124">
        <f t="shared" si="52"/>
        <v>47.179622377374095</v>
      </c>
      <c r="G61" s="125">
        <f t="shared" si="52"/>
        <v>1.5306122448979553E-2</v>
      </c>
      <c r="H61" s="125">
        <f t="shared" si="52"/>
        <v>9.1784000000000004E-2</v>
      </c>
      <c r="I61" s="125">
        <f t="shared" si="52"/>
        <v>9.4419706369976972E-2</v>
      </c>
      <c r="J61" s="125">
        <f t="shared" si="52"/>
        <v>1.4644787078611174E-2</v>
      </c>
      <c r="K61" s="125">
        <f t="shared" si="52"/>
        <v>1.6212630268737406E-2</v>
      </c>
      <c r="L61" s="125">
        <f t="shared" si="52"/>
        <v>2.0718676035686345E-2</v>
      </c>
      <c r="M61" s="125">
        <f t="shared" si="52"/>
        <v>0</v>
      </c>
      <c r="N61" s="125">
        <f t="shared" si="52"/>
        <v>2.3247057021314733E-2</v>
      </c>
      <c r="O61" s="125">
        <f t="shared" si="52"/>
        <v>3.9222124133286969E-2</v>
      </c>
      <c r="P61" s="125">
        <f t="shared" si="52"/>
        <v>0.995</v>
      </c>
      <c r="Q61" s="125">
        <f t="shared" si="52"/>
        <v>0.995</v>
      </c>
      <c r="R61" s="125">
        <f t="shared" si="52"/>
        <v>0</v>
      </c>
    </row>
    <row r="62" spans="1:18">
      <c r="A62" s="123" t="e">
        <f t="shared" ref="A62" si="67">CONCATENATE("Year-",#REF!)</f>
        <v>#REF!</v>
      </c>
      <c r="B62" s="35">
        <v>46113</v>
      </c>
      <c r="C62" s="26">
        <f t="shared" si="51"/>
        <v>215.9</v>
      </c>
      <c r="D62" s="26">
        <f t="shared" si="51"/>
        <v>208.99969899999999</v>
      </c>
      <c r="E62" s="31">
        <f t="shared" si="41"/>
        <v>58630</v>
      </c>
      <c r="F62" s="124">
        <f t="shared" si="52"/>
        <v>52.296499350965128</v>
      </c>
      <c r="G62" s="125">
        <f t="shared" si="52"/>
        <v>1.6658954187875996E-2</v>
      </c>
      <c r="H62" s="125">
        <f t="shared" si="52"/>
        <v>9.5061999999999994E-2</v>
      </c>
      <c r="I62" s="125">
        <f t="shared" si="52"/>
        <v>0.11719199751057031</v>
      </c>
      <c r="J62" s="125">
        <f t="shared" si="52"/>
        <v>1.5231272154623582E-2</v>
      </c>
      <c r="K62" s="125">
        <f t="shared" si="52"/>
        <v>1.6110689006976781E-2</v>
      </c>
      <c r="L62" s="125">
        <f t="shared" si="52"/>
        <v>1.8633277773980331E-2</v>
      </c>
      <c r="M62" s="125">
        <f t="shared" si="52"/>
        <v>0</v>
      </c>
      <c r="N62" s="125">
        <f t="shared" si="52"/>
        <v>2.2802418781094937E-2</v>
      </c>
      <c r="O62" s="125">
        <f t="shared" si="52"/>
        <v>2.7995485693316467E-2</v>
      </c>
      <c r="P62" s="125">
        <f t="shared" si="52"/>
        <v>0.995</v>
      </c>
      <c r="Q62" s="125">
        <f t="shared" si="52"/>
        <v>0.995</v>
      </c>
      <c r="R62" s="125">
        <f t="shared" si="52"/>
        <v>0</v>
      </c>
    </row>
    <row r="63" spans="1:18">
      <c r="A63" s="123" t="e">
        <f t="shared" ref="A63" si="68">CONCATENATE("Year-",#REF!)</f>
        <v>#REF!</v>
      </c>
      <c r="B63" s="35">
        <v>46143</v>
      </c>
      <c r="C63" s="26">
        <f t="shared" ref="C63:D78" si="69">C51</f>
        <v>217.9</v>
      </c>
      <c r="D63" s="26">
        <f t="shared" si="69"/>
        <v>221.90023470000006</v>
      </c>
      <c r="E63" s="31">
        <f t="shared" si="41"/>
        <v>61780</v>
      </c>
      <c r="F63" s="124">
        <f t="shared" ref="F63:R78" si="70">F51</f>
        <v>55.437733860726389</v>
      </c>
      <c r="G63" s="125">
        <f t="shared" si="70"/>
        <v>1.7865322950068707E-2</v>
      </c>
      <c r="H63" s="125">
        <f t="shared" si="70"/>
        <v>9.8339999999999997E-2</v>
      </c>
      <c r="I63" s="125">
        <f t="shared" si="70"/>
        <v>0.1306817577748349</v>
      </c>
      <c r="J63" s="125">
        <f t="shared" si="70"/>
        <v>1.609339136491415E-2</v>
      </c>
      <c r="K63" s="125">
        <f t="shared" si="70"/>
        <v>1.525163145425878E-2</v>
      </c>
      <c r="L63" s="125">
        <f t="shared" si="70"/>
        <v>1.5763583972179196E-2</v>
      </c>
      <c r="M63" s="125">
        <f t="shared" si="70"/>
        <v>0</v>
      </c>
      <c r="N63" s="125">
        <f t="shared" si="70"/>
        <v>2.2281870794181511E-2</v>
      </c>
      <c r="O63" s="125">
        <f t="shared" si="70"/>
        <v>1.1198342091846737E-2</v>
      </c>
      <c r="P63" s="125">
        <f t="shared" si="70"/>
        <v>0.995</v>
      </c>
      <c r="Q63" s="125">
        <f t="shared" si="70"/>
        <v>0.995</v>
      </c>
      <c r="R63" s="125">
        <f t="shared" si="70"/>
        <v>0</v>
      </c>
    </row>
    <row r="64" spans="1:18">
      <c r="A64" s="123" t="e">
        <f t="shared" ref="A64" si="71">CONCATENATE("Year-",#REF!)</f>
        <v>#REF!</v>
      </c>
      <c r="B64" s="35">
        <v>46174</v>
      </c>
      <c r="C64" s="26">
        <f t="shared" si="69"/>
        <v>192.8</v>
      </c>
      <c r="D64" s="26">
        <f t="shared" si="69"/>
        <v>200.20089519999999</v>
      </c>
      <c r="E64" s="31">
        <f t="shared" si="41"/>
        <v>53700</v>
      </c>
      <c r="F64" s="124">
        <f t="shared" si="70"/>
        <v>54.658309168315547</v>
      </c>
      <c r="G64" s="125">
        <f t="shared" si="70"/>
        <v>1.914123124676681E-2</v>
      </c>
      <c r="H64" s="125">
        <f t="shared" si="70"/>
        <v>9.8339999999999997E-2</v>
      </c>
      <c r="I64" s="125">
        <f t="shared" si="70"/>
        <v>0.12650723469382591</v>
      </c>
      <c r="J64" s="125">
        <f t="shared" si="70"/>
        <v>1.6398522844759341E-2</v>
      </c>
      <c r="K64" s="125">
        <f t="shared" si="70"/>
        <v>1.3926271600695752E-2</v>
      </c>
      <c r="L64" s="125">
        <f t="shared" si="70"/>
        <v>1.4057661793117321E-2</v>
      </c>
      <c r="M64" s="125">
        <f t="shared" si="70"/>
        <v>0</v>
      </c>
      <c r="N64" s="125">
        <f t="shared" si="70"/>
        <v>2.1677907023400757E-2</v>
      </c>
      <c r="O64" s="125">
        <f t="shared" si="70"/>
        <v>4.051685061336731E-3</v>
      </c>
      <c r="P64" s="125">
        <f t="shared" si="70"/>
        <v>0.995</v>
      </c>
      <c r="Q64" s="125">
        <f t="shared" si="70"/>
        <v>0.995</v>
      </c>
      <c r="R64" s="125">
        <f t="shared" si="70"/>
        <v>0</v>
      </c>
    </row>
    <row r="65" spans="1:18">
      <c r="A65" s="123" t="e">
        <f t="shared" ref="A65" si="72">CONCATENATE("Year-",#REF!)</f>
        <v>#REF!</v>
      </c>
      <c r="B65" s="35">
        <v>46204</v>
      </c>
      <c r="C65" s="26">
        <f t="shared" si="69"/>
        <v>168.9</v>
      </c>
      <c r="D65" s="26">
        <f t="shared" si="69"/>
        <v>173.59972409999992</v>
      </c>
      <c r="E65" s="31">
        <f t="shared" si="41"/>
        <v>49210</v>
      </c>
      <c r="F65" s="124">
        <f t="shared" si="70"/>
        <v>51.564857066184757</v>
      </c>
      <c r="G65" s="125">
        <f t="shared" si="70"/>
        <v>2.1854695806261204E-2</v>
      </c>
      <c r="H65" s="125">
        <f t="shared" si="70"/>
        <v>9.1784000000000004E-2</v>
      </c>
      <c r="I65" s="125">
        <f t="shared" si="70"/>
        <v>0.1089308468990661</v>
      </c>
      <c r="J65" s="125">
        <f t="shared" si="70"/>
        <v>1.5867586262633245E-2</v>
      </c>
      <c r="K65" s="125">
        <f t="shared" si="70"/>
        <v>1.231974144019694E-2</v>
      </c>
      <c r="L65" s="125">
        <f t="shared" si="70"/>
        <v>1.3502102014775261E-2</v>
      </c>
      <c r="M65" s="125">
        <f t="shared" si="70"/>
        <v>0</v>
      </c>
      <c r="N65" s="125">
        <f t="shared" si="70"/>
        <v>2.127320988616644E-2</v>
      </c>
      <c r="O65" s="125">
        <f t="shared" si="70"/>
        <v>1.5557262066246368E-3</v>
      </c>
      <c r="P65" s="125">
        <f t="shared" si="70"/>
        <v>0.995</v>
      </c>
      <c r="Q65" s="125">
        <f t="shared" si="70"/>
        <v>0.995</v>
      </c>
      <c r="R65" s="125">
        <f t="shared" si="70"/>
        <v>0</v>
      </c>
    </row>
    <row r="66" spans="1:18">
      <c r="A66" s="123" t="e">
        <f t="shared" ref="A66" si="73">CONCATENATE("Year-",#REF!)</f>
        <v>#REF!</v>
      </c>
      <c r="B66" s="35">
        <v>46235</v>
      </c>
      <c r="C66" s="26">
        <f t="shared" si="69"/>
        <v>174.2</v>
      </c>
      <c r="D66" s="26">
        <f t="shared" si="69"/>
        <v>172.6001566000001</v>
      </c>
      <c r="E66" s="31">
        <f t="shared" si="41"/>
        <v>50100</v>
      </c>
      <c r="F66" s="124">
        <f t="shared" si="70"/>
        <v>50.336592710430871</v>
      </c>
      <c r="G66" s="125">
        <f t="shared" si="70"/>
        <v>2.0196191575302946E-2</v>
      </c>
      <c r="H66" s="125">
        <f t="shared" si="70"/>
        <v>8.8506000000000001E-2</v>
      </c>
      <c r="I66" s="125">
        <f t="shared" si="70"/>
        <v>0.10494453414747008</v>
      </c>
      <c r="J66" s="125">
        <f t="shared" si="70"/>
        <v>1.507508977611231E-2</v>
      </c>
      <c r="K66" s="125">
        <f t="shared" si="70"/>
        <v>1.2791562311125756E-2</v>
      </c>
      <c r="L66" s="125">
        <f t="shared" si="70"/>
        <v>1.4116403195935955E-2</v>
      </c>
      <c r="M66" s="125">
        <f t="shared" si="70"/>
        <v>0</v>
      </c>
      <c r="N66" s="125">
        <f t="shared" si="70"/>
        <v>2.157456294953386E-2</v>
      </c>
      <c r="O66" s="125">
        <f t="shared" si="70"/>
        <v>6.2818876990405415E-3</v>
      </c>
      <c r="P66" s="125">
        <f t="shared" si="70"/>
        <v>0.995</v>
      </c>
      <c r="Q66" s="125">
        <f t="shared" si="70"/>
        <v>0.995</v>
      </c>
      <c r="R66" s="125">
        <f t="shared" si="70"/>
        <v>0</v>
      </c>
    </row>
    <row r="67" spans="1:18">
      <c r="A67" s="123" t="e">
        <f t="shared" ref="A67" si="74">CONCATENATE("Year-",#REF!)</f>
        <v>#REF!</v>
      </c>
      <c r="B67" s="35">
        <v>46266</v>
      </c>
      <c r="C67" s="26">
        <f t="shared" si="69"/>
        <v>192.1</v>
      </c>
      <c r="D67" s="26">
        <f t="shared" si="69"/>
        <v>178.89930529999984</v>
      </c>
      <c r="E67" s="31">
        <f t="shared" si="41"/>
        <v>52760</v>
      </c>
      <c r="F67" s="124">
        <f t="shared" si="70"/>
        <v>52.25059433997491</v>
      </c>
      <c r="G67" s="125">
        <f t="shared" si="70"/>
        <v>1.7196456487754141E-2</v>
      </c>
      <c r="H67" s="125">
        <f t="shared" si="70"/>
        <v>8.5227999999999998E-2</v>
      </c>
      <c r="I67" s="125">
        <f t="shared" si="70"/>
        <v>0.11387126505657014</v>
      </c>
      <c r="J67" s="125">
        <f t="shared" si="70"/>
        <v>1.3959618092500629E-2</v>
      </c>
      <c r="K67" s="125">
        <f t="shared" si="70"/>
        <v>1.4531255376132731E-2</v>
      </c>
      <c r="L67" s="125">
        <f t="shared" si="70"/>
        <v>1.4478833500810966E-2</v>
      </c>
      <c r="M67" s="125">
        <f t="shared" si="70"/>
        <v>0</v>
      </c>
      <c r="N67" s="125">
        <f t="shared" si="70"/>
        <v>2.2473527643153385E-2</v>
      </c>
      <c r="O67" s="125">
        <f t="shared" si="70"/>
        <v>1.1388926338936924E-2</v>
      </c>
      <c r="P67" s="125">
        <f t="shared" si="70"/>
        <v>0.995</v>
      </c>
      <c r="Q67" s="125">
        <f t="shared" si="70"/>
        <v>0.995</v>
      </c>
      <c r="R67" s="125">
        <f t="shared" si="70"/>
        <v>0</v>
      </c>
    </row>
    <row r="68" spans="1:18">
      <c r="A68" s="123" t="e">
        <f t="shared" ref="A68" si="75">CONCATENATE("Year-",#REF!)</f>
        <v>#REF!</v>
      </c>
      <c r="B68" s="35">
        <v>46296</v>
      </c>
      <c r="C68" s="26">
        <f t="shared" si="69"/>
        <v>202.3</v>
      </c>
      <c r="D68" s="26">
        <f t="shared" si="69"/>
        <v>174.60082279999986</v>
      </c>
      <c r="E68" s="31">
        <f t="shared" si="41"/>
        <v>57190</v>
      </c>
      <c r="F68" s="124">
        <f t="shared" si="70"/>
        <v>49.723937837075084</v>
      </c>
      <c r="G68" s="125">
        <f t="shared" si="70"/>
        <v>1.5873015873015817E-2</v>
      </c>
      <c r="H68" s="125">
        <f t="shared" si="70"/>
        <v>8.8506000000000001E-2</v>
      </c>
      <c r="I68" s="125">
        <f t="shared" si="70"/>
        <v>0.10390722673430232</v>
      </c>
      <c r="J68" s="125">
        <f t="shared" si="70"/>
        <v>1.4040704754284353E-2</v>
      </c>
      <c r="K68" s="125">
        <f t="shared" si="70"/>
        <v>1.526389492868482E-2</v>
      </c>
      <c r="L68" s="125">
        <f t="shared" si="70"/>
        <v>1.5324069649683622E-2</v>
      </c>
      <c r="M68" s="125">
        <f t="shared" si="70"/>
        <v>0</v>
      </c>
      <c r="N68" s="125">
        <f t="shared" si="70"/>
        <v>2.3043103417804571E-2</v>
      </c>
      <c r="O68" s="125">
        <f t="shared" si="70"/>
        <v>2.1184397869334348E-2</v>
      </c>
      <c r="P68" s="125">
        <f t="shared" si="70"/>
        <v>0.995</v>
      </c>
      <c r="Q68" s="125">
        <f t="shared" si="70"/>
        <v>0.995</v>
      </c>
      <c r="R68" s="125">
        <f t="shared" si="70"/>
        <v>0</v>
      </c>
    </row>
    <row r="69" spans="1:18">
      <c r="A69" s="123" t="e">
        <f t="shared" ref="A69" si="76">CONCATENATE("Year-",#REF!)</f>
        <v>#REF!</v>
      </c>
      <c r="B69" s="35">
        <v>46327</v>
      </c>
      <c r="C69" s="26">
        <f t="shared" si="69"/>
        <v>162.9</v>
      </c>
      <c r="D69" s="26">
        <f t="shared" si="69"/>
        <v>133.69942049999997</v>
      </c>
      <c r="E69" s="31">
        <f t="shared" si="41"/>
        <v>46900</v>
      </c>
      <c r="F69" s="124">
        <f t="shared" si="70"/>
        <v>42.187120547750681</v>
      </c>
      <c r="G69" s="125">
        <f t="shared" si="70"/>
        <v>1.5950920245398792E-2</v>
      </c>
      <c r="H69" s="125">
        <f t="shared" si="70"/>
        <v>8.8506000000000001E-2</v>
      </c>
      <c r="I69" s="125">
        <f t="shared" si="70"/>
        <v>6.9024239591701744E-2</v>
      </c>
      <c r="J69" s="125">
        <f t="shared" si="70"/>
        <v>1.4204952105287192E-2</v>
      </c>
      <c r="K69" s="125">
        <f t="shared" si="70"/>
        <v>1.3252885058363056E-2</v>
      </c>
      <c r="L69" s="125">
        <f t="shared" si="70"/>
        <v>1.3980442883231779E-2</v>
      </c>
      <c r="M69" s="125">
        <f t="shared" si="70"/>
        <v>0</v>
      </c>
      <c r="N69" s="125">
        <f t="shared" si="70"/>
        <v>2.30208488716231E-2</v>
      </c>
      <c r="O69" s="125">
        <f t="shared" si="70"/>
        <v>8.3479094998109554E-3</v>
      </c>
      <c r="P69" s="125">
        <f t="shared" si="70"/>
        <v>0.995</v>
      </c>
      <c r="Q69" s="125">
        <f t="shared" si="70"/>
        <v>0.995</v>
      </c>
      <c r="R69" s="125">
        <f t="shared" si="70"/>
        <v>0</v>
      </c>
    </row>
    <row r="70" spans="1:18">
      <c r="A70" s="123" t="e">
        <f t="shared" ref="A70" si="77">CONCATENATE("Year-",#REF!)</f>
        <v>#REF!</v>
      </c>
      <c r="B70" s="35">
        <v>46357</v>
      </c>
      <c r="C70" s="26">
        <f t="shared" si="69"/>
        <v>158.6</v>
      </c>
      <c r="D70" s="26">
        <f t="shared" si="69"/>
        <v>124.40004220000003</v>
      </c>
      <c r="E70" s="31">
        <f t="shared" si="41"/>
        <v>48280</v>
      </c>
      <c r="F70" s="124">
        <f t="shared" si="70"/>
        <v>36.076939444156181</v>
      </c>
      <c r="G70" s="125">
        <f t="shared" si="70"/>
        <v>1.5802781289506962E-2</v>
      </c>
      <c r="H70" s="125">
        <f t="shared" si="70"/>
        <v>8.8506000000000001E-2</v>
      </c>
      <c r="I70" s="125">
        <f t="shared" si="70"/>
        <v>4.4787946264861052E-2</v>
      </c>
      <c r="J70" s="125">
        <f t="shared" si="70"/>
        <v>1.4140595613406415E-2</v>
      </c>
      <c r="K70" s="125">
        <f t="shared" si="70"/>
        <v>1.2367081056294736E-2</v>
      </c>
      <c r="L70" s="125">
        <f t="shared" si="70"/>
        <v>1.3960975699298588E-2</v>
      </c>
      <c r="M70" s="125">
        <f t="shared" si="70"/>
        <v>0</v>
      </c>
      <c r="N70" s="125">
        <f t="shared" si="70"/>
        <v>2.3055036005913448E-2</v>
      </c>
      <c r="O70" s="125">
        <f t="shared" si="70"/>
        <v>3.6978876304825567E-3</v>
      </c>
      <c r="P70" s="125">
        <f t="shared" si="70"/>
        <v>0.995</v>
      </c>
      <c r="Q70" s="125">
        <f t="shared" si="70"/>
        <v>0.995</v>
      </c>
      <c r="R70" s="125">
        <f t="shared" si="70"/>
        <v>0</v>
      </c>
    </row>
    <row r="71" spans="1:18">
      <c r="A71" s="123" t="e">
        <f t="shared" ref="A71" si="78">CONCATENATE("Year-",#REF!)</f>
        <v>#REF!</v>
      </c>
      <c r="B71" s="35">
        <v>46388</v>
      </c>
      <c r="C71" s="26">
        <f t="shared" si="69"/>
        <v>169.028549</v>
      </c>
      <c r="D71" s="26">
        <f t="shared" si="69"/>
        <v>133.89933939999995</v>
      </c>
      <c r="E71" s="31">
        <f t="shared" si="41"/>
        <v>51260</v>
      </c>
      <c r="F71" s="124">
        <f t="shared" si="70"/>
        <v>34.970332119021293</v>
      </c>
      <c r="G71" s="125">
        <f t="shared" si="70"/>
        <v>1.7200474495848161E-2</v>
      </c>
      <c r="H71" s="125">
        <f t="shared" si="70"/>
        <v>8.8506000000000001E-2</v>
      </c>
      <c r="I71" s="125">
        <f t="shared" si="70"/>
        <v>4.0029940128316385E-2</v>
      </c>
      <c r="J71" s="125">
        <f t="shared" si="70"/>
        <v>1.4099625889623608E-2</v>
      </c>
      <c r="K71" s="125">
        <f t="shared" si="70"/>
        <v>1.267725762135744E-2</v>
      </c>
      <c r="L71" s="125">
        <f t="shared" si="70"/>
        <v>1.390175346828215E-2</v>
      </c>
      <c r="M71" s="125">
        <f t="shared" si="70"/>
        <v>0</v>
      </c>
      <c r="N71" s="125">
        <f t="shared" si="70"/>
        <v>2.298066658515029E-2</v>
      </c>
      <c r="O71" s="125">
        <f t="shared" si="70"/>
        <v>1.0644897972798715E-2</v>
      </c>
      <c r="P71" s="125">
        <f t="shared" si="70"/>
        <v>0.995</v>
      </c>
      <c r="Q71" s="125">
        <f t="shared" si="70"/>
        <v>0.995</v>
      </c>
      <c r="R71" s="125">
        <f t="shared" si="70"/>
        <v>0</v>
      </c>
    </row>
    <row r="72" spans="1:18">
      <c r="A72" s="123" t="e">
        <f t="shared" ref="A72" si="79">CONCATENATE("Year-",#REF!)</f>
        <v>#REF!</v>
      </c>
      <c r="B72" s="35">
        <v>46419</v>
      </c>
      <c r="C72" s="26">
        <f t="shared" si="69"/>
        <v>172.55912190000004</v>
      </c>
      <c r="D72" s="26">
        <f t="shared" si="69"/>
        <v>145.40077080000009</v>
      </c>
      <c r="E72" s="31">
        <f t="shared" si="41"/>
        <v>47290</v>
      </c>
      <c r="F72" s="124">
        <f t="shared" si="70"/>
        <v>40.252096455972236</v>
      </c>
      <c r="G72" s="125">
        <f t="shared" si="70"/>
        <v>1.510749564206848E-2</v>
      </c>
      <c r="H72" s="125">
        <f t="shared" si="70"/>
        <v>8.8506000000000001E-2</v>
      </c>
      <c r="I72" s="125">
        <f t="shared" si="70"/>
        <v>6.2111013936519133E-2</v>
      </c>
      <c r="J72" s="125">
        <f t="shared" si="70"/>
        <v>1.4175439055030284E-2</v>
      </c>
      <c r="K72" s="125">
        <f t="shared" si="70"/>
        <v>1.4384371816049681E-2</v>
      </c>
      <c r="L72" s="125">
        <f t="shared" si="70"/>
        <v>1.5915736744616871E-2</v>
      </c>
      <c r="M72" s="125">
        <f t="shared" si="70"/>
        <v>0</v>
      </c>
      <c r="N72" s="125">
        <f t="shared" si="70"/>
        <v>2.3268144471779773E-2</v>
      </c>
      <c r="O72" s="125">
        <f t="shared" si="70"/>
        <v>2.5052142565085967E-2</v>
      </c>
      <c r="P72" s="125">
        <f t="shared" si="70"/>
        <v>0.995</v>
      </c>
      <c r="Q72" s="125">
        <f t="shared" si="70"/>
        <v>0.995</v>
      </c>
      <c r="R72" s="125">
        <f t="shared" si="70"/>
        <v>0</v>
      </c>
    </row>
    <row r="73" spans="1:18">
      <c r="A73" s="123" t="e">
        <f t="shared" ref="A73" si="80">CONCATENATE("Year-",#REF!)</f>
        <v>#REF!</v>
      </c>
      <c r="B73" s="35">
        <v>46447</v>
      </c>
      <c r="C73" s="26">
        <f t="shared" si="69"/>
        <v>215.74576700000009</v>
      </c>
      <c r="D73" s="26">
        <f t="shared" si="69"/>
        <v>195.59891570000002</v>
      </c>
      <c r="E73" s="31">
        <f t="shared" si="41"/>
        <v>60510</v>
      </c>
      <c r="F73" s="124">
        <f t="shared" si="70"/>
        <v>47.179622377374095</v>
      </c>
      <c r="G73" s="125">
        <f t="shared" si="70"/>
        <v>1.5306122448979553E-2</v>
      </c>
      <c r="H73" s="125">
        <f t="shared" si="70"/>
        <v>9.1784000000000004E-2</v>
      </c>
      <c r="I73" s="125">
        <f t="shared" si="70"/>
        <v>9.4419706369976972E-2</v>
      </c>
      <c r="J73" s="125">
        <f t="shared" si="70"/>
        <v>1.4644787078611174E-2</v>
      </c>
      <c r="K73" s="125">
        <f t="shared" si="70"/>
        <v>1.6212630268737406E-2</v>
      </c>
      <c r="L73" s="125">
        <f t="shared" si="70"/>
        <v>2.0718676035686345E-2</v>
      </c>
      <c r="M73" s="125">
        <f t="shared" si="70"/>
        <v>0</v>
      </c>
      <c r="N73" s="125">
        <f t="shared" si="70"/>
        <v>2.3247057021314733E-2</v>
      </c>
      <c r="O73" s="125">
        <f t="shared" si="70"/>
        <v>3.9222124133286969E-2</v>
      </c>
      <c r="P73" s="125">
        <f t="shared" si="70"/>
        <v>0.995</v>
      </c>
      <c r="Q73" s="125">
        <f t="shared" si="70"/>
        <v>0.995</v>
      </c>
      <c r="R73" s="125">
        <f t="shared" si="70"/>
        <v>0</v>
      </c>
    </row>
    <row r="74" spans="1:18">
      <c r="A74" s="123" t="e">
        <f t="shared" ref="A74" si="81">CONCATENATE("Year-",#REF!)</f>
        <v>#REF!</v>
      </c>
      <c r="B74" s="35">
        <v>46478</v>
      </c>
      <c r="C74" s="26">
        <f t="shared" si="69"/>
        <v>215.9</v>
      </c>
      <c r="D74" s="26">
        <f t="shared" si="69"/>
        <v>208.99969899999999</v>
      </c>
      <c r="E74" s="31">
        <f t="shared" si="41"/>
        <v>58630</v>
      </c>
      <c r="F74" s="124">
        <f t="shared" si="70"/>
        <v>52.296499350965128</v>
      </c>
      <c r="G74" s="125">
        <f t="shared" si="70"/>
        <v>1.6658954187875996E-2</v>
      </c>
      <c r="H74" s="125">
        <f t="shared" si="70"/>
        <v>9.5061999999999994E-2</v>
      </c>
      <c r="I74" s="125">
        <f t="shared" si="70"/>
        <v>0.11719199751057031</v>
      </c>
      <c r="J74" s="125">
        <f t="shared" si="70"/>
        <v>1.5231272154623582E-2</v>
      </c>
      <c r="K74" s="125">
        <f t="shared" si="70"/>
        <v>1.6110689006976781E-2</v>
      </c>
      <c r="L74" s="125">
        <f t="shared" si="70"/>
        <v>1.8633277773980331E-2</v>
      </c>
      <c r="M74" s="125">
        <f t="shared" si="70"/>
        <v>0</v>
      </c>
      <c r="N74" s="125">
        <f t="shared" si="70"/>
        <v>2.2802418781094937E-2</v>
      </c>
      <c r="O74" s="125">
        <f t="shared" si="70"/>
        <v>2.7995485693316467E-2</v>
      </c>
      <c r="P74" s="125">
        <f t="shared" si="70"/>
        <v>0.995</v>
      </c>
      <c r="Q74" s="125">
        <f t="shared" si="70"/>
        <v>0.995</v>
      </c>
      <c r="R74" s="125">
        <f t="shared" si="70"/>
        <v>0</v>
      </c>
    </row>
    <row r="75" spans="1:18">
      <c r="A75" s="123" t="e">
        <f t="shared" ref="A75" si="82">CONCATENATE("Year-",#REF!)</f>
        <v>#REF!</v>
      </c>
      <c r="B75" s="35">
        <v>46508</v>
      </c>
      <c r="C75" s="26">
        <f t="shared" si="69"/>
        <v>217.9</v>
      </c>
      <c r="D75" s="26">
        <f t="shared" si="69"/>
        <v>221.90023470000006</v>
      </c>
      <c r="E75" s="31">
        <f t="shared" si="41"/>
        <v>61780</v>
      </c>
      <c r="F75" s="124">
        <f t="shared" si="70"/>
        <v>55.437733860726389</v>
      </c>
      <c r="G75" s="125">
        <f t="shared" si="70"/>
        <v>1.7865322950068707E-2</v>
      </c>
      <c r="H75" s="125">
        <f t="shared" si="70"/>
        <v>9.8339999999999997E-2</v>
      </c>
      <c r="I75" s="125">
        <f t="shared" si="70"/>
        <v>0.1306817577748349</v>
      </c>
      <c r="J75" s="125">
        <f t="shared" si="70"/>
        <v>1.609339136491415E-2</v>
      </c>
      <c r="K75" s="125">
        <f t="shared" si="70"/>
        <v>1.525163145425878E-2</v>
      </c>
      <c r="L75" s="125">
        <f t="shared" si="70"/>
        <v>1.5763583972179196E-2</v>
      </c>
      <c r="M75" s="125">
        <f t="shared" si="70"/>
        <v>0</v>
      </c>
      <c r="N75" s="125">
        <f t="shared" si="70"/>
        <v>2.2281870794181511E-2</v>
      </c>
      <c r="O75" s="125">
        <f t="shared" si="70"/>
        <v>1.1198342091846737E-2</v>
      </c>
      <c r="P75" s="125">
        <f t="shared" si="70"/>
        <v>0.995</v>
      </c>
      <c r="Q75" s="125">
        <f t="shared" si="70"/>
        <v>0.995</v>
      </c>
      <c r="R75" s="125">
        <f t="shared" si="70"/>
        <v>0</v>
      </c>
    </row>
    <row r="76" spans="1:18">
      <c r="A76" s="123" t="e">
        <f t="shared" ref="A76" si="83">CONCATENATE("Year-",#REF!)</f>
        <v>#REF!</v>
      </c>
      <c r="B76" s="35">
        <v>46539</v>
      </c>
      <c r="C76" s="26">
        <f t="shared" si="69"/>
        <v>192.8</v>
      </c>
      <c r="D76" s="26">
        <f t="shared" si="69"/>
        <v>200.20089519999999</v>
      </c>
      <c r="E76" s="31">
        <f t="shared" si="41"/>
        <v>53700</v>
      </c>
      <c r="F76" s="124">
        <f t="shared" si="70"/>
        <v>54.658309168315547</v>
      </c>
      <c r="G76" s="125">
        <f t="shared" si="70"/>
        <v>1.914123124676681E-2</v>
      </c>
      <c r="H76" s="125">
        <f t="shared" si="70"/>
        <v>9.8339999999999997E-2</v>
      </c>
      <c r="I76" s="125">
        <f t="shared" si="70"/>
        <v>0.12650723469382591</v>
      </c>
      <c r="J76" s="125">
        <f t="shared" si="70"/>
        <v>1.6398522844759341E-2</v>
      </c>
      <c r="K76" s="125">
        <f t="shared" si="70"/>
        <v>1.3926271600695752E-2</v>
      </c>
      <c r="L76" s="125">
        <f t="shared" si="70"/>
        <v>1.4057661793117321E-2</v>
      </c>
      <c r="M76" s="125">
        <f t="shared" si="70"/>
        <v>0</v>
      </c>
      <c r="N76" s="125">
        <f t="shared" si="70"/>
        <v>2.1677907023400757E-2</v>
      </c>
      <c r="O76" s="125">
        <f t="shared" si="70"/>
        <v>4.051685061336731E-3</v>
      </c>
      <c r="P76" s="125">
        <f t="shared" si="70"/>
        <v>0.995</v>
      </c>
      <c r="Q76" s="125">
        <f t="shared" si="70"/>
        <v>0.995</v>
      </c>
      <c r="R76" s="125">
        <f t="shared" si="70"/>
        <v>0</v>
      </c>
    </row>
    <row r="77" spans="1:18">
      <c r="A77" s="123" t="e">
        <f t="shared" ref="A77" si="84">CONCATENATE("Year-",#REF!)</f>
        <v>#REF!</v>
      </c>
      <c r="B77" s="35">
        <v>46569</v>
      </c>
      <c r="C77" s="26">
        <f t="shared" si="69"/>
        <v>168.9</v>
      </c>
      <c r="D77" s="26">
        <f t="shared" si="69"/>
        <v>173.59972409999992</v>
      </c>
      <c r="E77" s="31">
        <f t="shared" si="41"/>
        <v>49210</v>
      </c>
      <c r="F77" s="124">
        <f t="shared" si="70"/>
        <v>51.564857066184757</v>
      </c>
      <c r="G77" s="125">
        <f t="shared" si="70"/>
        <v>2.1854695806261204E-2</v>
      </c>
      <c r="H77" s="125">
        <f t="shared" si="70"/>
        <v>9.1784000000000004E-2</v>
      </c>
      <c r="I77" s="125">
        <f t="shared" si="70"/>
        <v>0.1089308468990661</v>
      </c>
      <c r="J77" s="125">
        <f t="shared" si="70"/>
        <v>1.5867586262633245E-2</v>
      </c>
      <c r="K77" s="125">
        <f t="shared" si="70"/>
        <v>1.231974144019694E-2</v>
      </c>
      <c r="L77" s="125">
        <f t="shared" si="70"/>
        <v>1.3502102014775261E-2</v>
      </c>
      <c r="M77" s="125">
        <f t="shared" si="70"/>
        <v>0</v>
      </c>
      <c r="N77" s="125">
        <f t="shared" si="70"/>
        <v>2.127320988616644E-2</v>
      </c>
      <c r="O77" s="125">
        <f t="shared" si="70"/>
        <v>1.5557262066246368E-3</v>
      </c>
      <c r="P77" s="125">
        <f t="shared" si="70"/>
        <v>0.995</v>
      </c>
      <c r="Q77" s="125">
        <f t="shared" si="70"/>
        <v>0.995</v>
      </c>
      <c r="R77" s="125">
        <f t="shared" si="70"/>
        <v>0</v>
      </c>
    </row>
    <row r="78" spans="1:18">
      <c r="A78" s="123" t="e">
        <f t="shared" ref="A78" si="85">CONCATENATE("Year-",#REF!)</f>
        <v>#REF!</v>
      </c>
      <c r="B78" s="35">
        <v>46600</v>
      </c>
      <c r="C78" s="26">
        <f t="shared" si="69"/>
        <v>174.2</v>
      </c>
      <c r="D78" s="26">
        <f t="shared" si="69"/>
        <v>172.6001566000001</v>
      </c>
      <c r="E78" s="31">
        <f t="shared" si="41"/>
        <v>50100</v>
      </c>
      <c r="F78" s="124">
        <f t="shared" si="70"/>
        <v>50.336592710430871</v>
      </c>
      <c r="G78" s="125">
        <f t="shared" si="70"/>
        <v>2.0196191575302946E-2</v>
      </c>
      <c r="H78" s="125">
        <f t="shared" si="70"/>
        <v>8.8506000000000001E-2</v>
      </c>
      <c r="I78" s="125">
        <f t="shared" si="70"/>
        <v>0.10494453414747008</v>
      </c>
      <c r="J78" s="125">
        <f t="shared" si="70"/>
        <v>1.507508977611231E-2</v>
      </c>
      <c r="K78" s="125">
        <f t="shared" si="70"/>
        <v>1.2791562311125756E-2</v>
      </c>
      <c r="L78" s="125">
        <f t="shared" si="70"/>
        <v>1.4116403195935955E-2</v>
      </c>
      <c r="M78" s="125">
        <f t="shared" si="70"/>
        <v>0</v>
      </c>
      <c r="N78" s="125">
        <f t="shared" si="70"/>
        <v>2.157456294953386E-2</v>
      </c>
      <c r="O78" s="125">
        <f t="shared" si="70"/>
        <v>6.2818876990405415E-3</v>
      </c>
      <c r="P78" s="125">
        <f t="shared" si="70"/>
        <v>0.995</v>
      </c>
      <c r="Q78" s="125">
        <f t="shared" si="70"/>
        <v>0.995</v>
      </c>
      <c r="R78" s="125">
        <f t="shared" si="70"/>
        <v>0</v>
      </c>
    </row>
    <row r="79" spans="1:18">
      <c r="A79" s="123" t="e">
        <f t="shared" ref="A79" si="86">CONCATENATE("Year-",#REF!)</f>
        <v>#REF!</v>
      </c>
      <c r="B79" s="35">
        <v>46631</v>
      </c>
      <c r="C79" s="26">
        <f t="shared" ref="C79:D94" si="87">C67</f>
        <v>192.1</v>
      </c>
      <c r="D79" s="26">
        <f t="shared" si="87"/>
        <v>178.89930529999984</v>
      </c>
      <c r="E79" s="31">
        <f t="shared" si="41"/>
        <v>52760</v>
      </c>
      <c r="F79" s="124">
        <f t="shared" ref="F79:R94" si="88">F67</f>
        <v>52.25059433997491</v>
      </c>
      <c r="G79" s="125">
        <f t="shared" si="88"/>
        <v>1.7196456487754141E-2</v>
      </c>
      <c r="H79" s="125">
        <f t="shared" si="88"/>
        <v>8.5227999999999998E-2</v>
      </c>
      <c r="I79" s="125">
        <f t="shared" si="88"/>
        <v>0.11387126505657014</v>
      </c>
      <c r="J79" s="125">
        <f t="shared" si="88"/>
        <v>1.3959618092500629E-2</v>
      </c>
      <c r="K79" s="125">
        <f t="shared" si="88"/>
        <v>1.4531255376132731E-2</v>
      </c>
      <c r="L79" s="125">
        <f t="shared" si="88"/>
        <v>1.4478833500810966E-2</v>
      </c>
      <c r="M79" s="125">
        <f t="shared" si="88"/>
        <v>0</v>
      </c>
      <c r="N79" s="125">
        <f t="shared" si="88"/>
        <v>2.2473527643153385E-2</v>
      </c>
      <c r="O79" s="125">
        <f t="shared" si="88"/>
        <v>1.1388926338936924E-2</v>
      </c>
      <c r="P79" s="125">
        <f t="shared" si="88"/>
        <v>0.995</v>
      </c>
      <c r="Q79" s="125">
        <f t="shared" si="88"/>
        <v>0.995</v>
      </c>
      <c r="R79" s="125">
        <f t="shared" si="88"/>
        <v>0</v>
      </c>
    </row>
    <row r="80" spans="1:18">
      <c r="A80" s="123" t="e">
        <f t="shared" ref="A80" si="89">CONCATENATE("Year-",#REF!)</f>
        <v>#REF!</v>
      </c>
      <c r="B80" s="35">
        <v>46661</v>
      </c>
      <c r="C80" s="26">
        <f t="shared" si="87"/>
        <v>202.3</v>
      </c>
      <c r="D80" s="26">
        <f t="shared" si="87"/>
        <v>174.60082279999986</v>
      </c>
      <c r="E80" s="31">
        <f t="shared" si="41"/>
        <v>57190</v>
      </c>
      <c r="F80" s="124">
        <f t="shared" si="88"/>
        <v>49.723937837075084</v>
      </c>
      <c r="G80" s="125">
        <f t="shared" si="88"/>
        <v>1.5873015873015817E-2</v>
      </c>
      <c r="H80" s="125">
        <f t="shared" si="88"/>
        <v>8.8506000000000001E-2</v>
      </c>
      <c r="I80" s="125">
        <f t="shared" si="88"/>
        <v>0.10390722673430232</v>
      </c>
      <c r="J80" s="125">
        <f t="shared" si="88"/>
        <v>1.4040704754284353E-2</v>
      </c>
      <c r="K80" s="125">
        <f t="shared" si="88"/>
        <v>1.526389492868482E-2</v>
      </c>
      <c r="L80" s="125">
        <f t="shared" si="88"/>
        <v>1.5324069649683622E-2</v>
      </c>
      <c r="M80" s="125">
        <f t="shared" si="88"/>
        <v>0</v>
      </c>
      <c r="N80" s="125">
        <f t="shared" si="88"/>
        <v>2.3043103417804571E-2</v>
      </c>
      <c r="O80" s="125">
        <f t="shared" si="88"/>
        <v>2.1184397869334348E-2</v>
      </c>
      <c r="P80" s="125">
        <f t="shared" si="88"/>
        <v>0.995</v>
      </c>
      <c r="Q80" s="125">
        <f t="shared" si="88"/>
        <v>0.995</v>
      </c>
      <c r="R80" s="125">
        <f t="shared" si="88"/>
        <v>0</v>
      </c>
    </row>
    <row r="81" spans="1:18">
      <c r="A81" s="123" t="e">
        <f t="shared" ref="A81" si="90">CONCATENATE("Year-",#REF!)</f>
        <v>#REF!</v>
      </c>
      <c r="B81" s="35">
        <v>46692</v>
      </c>
      <c r="C81" s="26">
        <f t="shared" si="87"/>
        <v>162.9</v>
      </c>
      <c r="D81" s="26">
        <f t="shared" si="87"/>
        <v>133.69942049999997</v>
      </c>
      <c r="E81" s="31">
        <f t="shared" si="41"/>
        <v>46900</v>
      </c>
      <c r="F81" s="124">
        <f t="shared" si="88"/>
        <v>42.187120547750681</v>
      </c>
      <c r="G81" s="125">
        <f t="shared" si="88"/>
        <v>1.5950920245398792E-2</v>
      </c>
      <c r="H81" s="125">
        <f t="shared" si="88"/>
        <v>8.8506000000000001E-2</v>
      </c>
      <c r="I81" s="125">
        <f t="shared" si="88"/>
        <v>6.9024239591701744E-2</v>
      </c>
      <c r="J81" s="125">
        <f t="shared" si="88"/>
        <v>1.4204952105287192E-2</v>
      </c>
      <c r="K81" s="125">
        <f t="shared" si="88"/>
        <v>1.3252885058363056E-2</v>
      </c>
      <c r="L81" s="125">
        <f t="shared" si="88"/>
        <v>1.3980442883231779E-2</v>
      </c>
      <c r="M81" s="125">
        <f t="shared" si="88"/>
        <v>0</v>
      </c>
      <c r="N81" s="125">
        <f t="shared" si="88"/>
        <v>2.30208488716231E-2</v>
      </c>
      <c r="O81" s="125">
        <f t="shared" si="88"/>
        <v>8.3479094998109554E-3</v>
      </c>
      <c r="P81" s="125">
        <f t="shared" si="88"/>
        <v>0.995</v>
      </c>
      <c r="Q81" s="125">
        <f t="shared" si="88"/>
        <v>0.995</v>
      </c>
      <c r="R81" s="125">
        <f t="shared" si="88"/>
        <v>0</v>
      </c>
    </row>
    <row r="82" spans="1:18">
      <c r="A82" s="123" t="e">
        <f t="shared" ref="A82" si="91">CONCATENATE("Year-",#REF!)</f>
        <v>#REF!</v>
      </c>
      <c r="B82" s="35">
        <v>46722</v>
      </c>
      <c r="C82" s="26">
        <f t="shared" si="87"/>
        <v>158.6</v>
      </c>
      <c r="D82" s="26">
        <f t="shared" si="87"/>
        <v>124.40004220000003</v>
      </c>
      <c r="E82" s="31">
        <f t="shared" si="41"/>
        <v>48280</v>
      </c>
      <c r="F82" s="124">
        <f t="shared" si="88"/>
        <v>36.076939444156181</v>
      </c>
      <c r="G82" s="125">
        <f t="shared" si="88"/>
        <v>1.5802781289506962E-2</v>
      </c>
      <c r="H82" s="125">
        <f t="shared" si="88"/>
        <v>8.8506000000000001E-2</v>
      </c>
      <c r="I82" s="125">
        <f t="shared" si="88"/>
        <v>4.4787946264861052E-2</v>
      </c>
      <c r="J82" s="125">
        <f t="shared" si="88"/>
        <v>1.4140595613406415E-2</v>
      </c>
      <c r="K82" s="125">
        <f t="shared" si="88"/>
        <v>1.2367081056294736E-2</v>
      </c>
      <c r="L82" s="125">
        <f t="shared" si="88"/>
        <v>1.3960975699298588E-2</v>
      </c>
      <c r="M82" s="125">
        <f t="shared" si="88"/>
        <v>0</v>
      </c>
      <c r="N82" s="125">
        <f t="shared" si="88"/>
        <v>2.3055036005913448E-2</v>
      </c>
      <c r="O82" s="125">
        <f t="shared" si="88"/>
        <v>3.6978876304825567E-3</v>
      </c>
      <c r="P82" s="125">
        <f t="shared" si="88"/>
        <v>0.995</v>
      </c>
      <c r="Q82" s="125">
        <f t="shared" si="88"/>
        <v>0.995</v>
      </c>
      <c r="R82" s="125">
        <f t="shared" si="88"/>
        <v>0</v>
      </c>
    </row>
    <row r="83" spans="1:18">
      <c r="A83" s="123" t="e">
        <f t="shared" ref="A83" si="92">CONCATENATE("Year-",#REF!)</f>
        <v>#REF!</v>
      </c>
      <c r="B83" s="35">
        <v>46753</v>
      </c>
      <c r="C83" s="26">
        <f t="shared" si="87"/>
        <v>169.028549</v>
      </c>
      <c r="D83" s="26">
        <f t="shared" si="87"/>
        <v>133.89933939999995</v>
      </c>
      <c r="E83" s="31">
        <f t="shared" si="41"/>
        <v>51260</v>
      </c>
      <c r="F83" s="124">
        <f t="shared" si="88"/>
        <v>34.970332119021293</v>
      </c>
      <c r="G83" s="125">
        <f t="shared" si="88"/>
        <v>1.7200474495848161E-2</v>
      </c>
      <c r="H83" s="125">
        <f t="shared" si="88"/>
        <v>8.8506000000000001E-2</v>
      </c>
      <c r="I83" s="125">
        <f t="shared" si="88"/>
        <v>4.0029940128316385E-2</v>
      </c>
      <c r="J83" s="125">
        <f t="shared" si="88"/>
        <v>1.4099625889623608E-2</v>
      </c>
      <c r="K83" s="125">
        <f t="shared" si="88"/>
        <v>1.267725762135744E-2</v>
      </c>
      <c r="L83" s="125">
        <f t="shared" si="88"/>
        <v>1.390175346828215E-2</v>
      </c>
      <c r="M83" s="125">
        <f t="shared" si="88"/>
        <v>0</v>
      </c>
      <c r="N83" s="125">
        <f t="shared" si="88"/>
        <v>2.298066658515029E-2</v>
      </c>
      <c r="O83" s="125">
        <f t="shared" si="88"/>
        <v>1.0644897972798715E-2</v>
      </c>
      <c r="P83" s="125">
        <f t="shared" si="88"/>
        <v>0.995</v>
      </c>
      <c r="Q83" s="125">
        <f t="shared" si="88"/>
        <v>0.995</v>
      </c>
      <c r="R83" s="125">
        <f t="shared" si="88"/>
        <v>0</v>
      </c>
    </row>
    <row r="84" spans="1:18">
      <c r="A84" s="123" t="e">
        <f t="shared" ref="A84" si="93">CONCATENATE("Year-",#REF!)</f>
        <v>#REF!</v>
      </c>
      <c r="B84" s="35">
        <v>46784</v>
      </c>
      <c r="C84" s="26">
        <f t="shared" si="87"/>
        <v>172.55912190000004</v>
      </c>
      <c r="D84" s="26">
        <f t="shared" si="87"/>
        <v>145.40077080000009</v>
      </c>
      <c r="E84" s="31">
        <f t="shared" si="41"/>
        <v>47290</v>
      </c>
      <c r="F84" s="124">
        <f t="shared" si="88"/>
        <v>40.252096455972236</v>
      </c>
      <c r="G84" s="125">
        <f t="shared" si="88"/>
        <v>1.510749564206848E-2</v>
      </c>
      <c r="H84" s="125">
        <f t="shared" si="88"/>
        <v>8.8506000000000001E-2</v>
      </c>
      <c r="I84" s="125">
        <f t="shared" si="88"/>
        <v>6.2111013936519133E-2</v>
      </c>
      <c r="J84" s="125">
        <f t="shared" si="88"/>
        <v>1.4175439055030284E-2</v>
      </c>
      <c r="K84" s="125">
        <f t="shared" si="88"/>
        <v>1.4384371816049681E-2</v>
      </c>
      <c r="L84" s="125">
        <f t="shared" si="88"/>
        <v>1.5915736744616871E-2</v>
      </c>
      <c r="M84" s="125">
        <f t="shared" si="88"/>
        <v>0</v>
      </c>
      <c r="N84" s="125">
        <f t="shared" si="88"/>
        <v>2.3268144471779773E-2</v>
      </c>
      <c r="O84" s="125">
        <f t="shared" si="88"/>
        <v>2.5052142565085967E-2</v>
      </c>
      <c r="P84" s="125">
        <f t="shared" si="88"/>
        <v>0.995</v>
      </c>
      <c r="Q84" s="125">
        <f t="shared" si="88"/>
        <v>0.995</v>
      </c>
      <c r="R84" s="125">
        <f t="shared" si="88"/>
        <v>0</v>
      </c>
    </row>
    <row r="85" spans="1:18">
      <c r="A85" s="123" t="e">
        <f t="shared" ref="A85" si="94">CONCATENATE("Year-",#REF!)</f>
        <v>#REF!</v>
      </c>
      <c r="B85" s="35">
        <v>46813</v>
      </c>
      <c r="C85" s="26">
        <f t="shared" si="87"/>
        <v>215.74576700000009</v>
      </c>
      <c r="D85" s="26">
        <f t="shared" si="87"/>
        <v>195.59891570000002</v>
      </c>
      <c r="E85" s="31">
        <f t="shared" si="41"/>
        <v>60510</v>
      </c>
      <c r="F85" s="124">
        <f t="shared" si="88"/>
        <v>47.179622377374095</v>
      </c>
      <c r="G85" s="125">
        <f t="shared" si="88"/>
        <v>1.5306122448979553E-2</v>
      </c>
      <c r="H85" s="125">
        <f t="shared" si="88"/>
        <v>9.1784000000000004E-2</v>
      </c>
      <c r="I85" s="125">
        <f t="shared" si="88"/>
        <v>9.4419706369976972E-2</v>
      </c>
      <c r="J85" s="125">
        <f t="shared" si="88"/>
        <v>1.4644787078611174E-2</v>
      </c>
      <c r="K85" s="125">
        <f t="shared" si="88"/>
        <v>1.6212630268737406E-2</v>
      </c>
      <c r="L85" s="125">
        <f t="shared" si="88"/>
        <v>2.0718676035686345E-2</v>
      </c>
      <c r="M85" s="125">
        <f t="shared" si="88"/>
        <v>0</v>
      </c>
      <c r="N85" s="125">
        <f t="shared" si="88"/>
        <v>2.3247057021314733E-2</v>
      </c>
      <c r="O85" s="125">
        <f t="shared" si="88"/>
        <v>3.9222124133286969E-2</v>
      </c>
      <c r="P85" s="125">
        <f t="shared" si="88"/>
        <v>0.995</v>
      </c>
      <c r="Q85" s="125">
        <f t="shared" si="88"/>
        <v>0.995</v>
      </c>
      <c r="R85" s="125">
        <f t="shared" si="88"/>
        <v>0</v>
      </c>
    </row>
    <row r="86" spans="1:18">
      <c r="A86" s="123" t="e">
        <f t="shared" ref="A86" si="95">CONCATENATE("Year-",#REF!)</f>
        <v>#REF!</v>
      </c>
      <c r="B86" s="35">
        <v>46844</v>
      </c>
      <c r="C86" s="26">
        <f t="shared" si="87"/>
        <v>215.9</v>
      </c>
      <c r="D86" s="26">
        <f t="shared" si="87"/>
        <v>208.99969899999999</v>
      </c>
      <c r="E86" s="31">
        <f t="shared" si="41"/>
        <v>58630</v>
      </c>
      <c r="F86" s="124">
        <f t="shared" si="88"/>
        <v>52.296499350965128</v>
      </c>
      <c r="G86" s="125">
        <f t="shared" si="88"/>
        <v>1.6658954187875996E-2</v>
      </c>
      <c r="H86" s="125">
        <f t="shared" si="88"/>
        <v>9.5061999999999994E-2</v>
      </c>
      <c r="I86" s="125">
        <f t="shared" si="88"/>
        <v>0.11719199751057031</v>
      </c>
      <c r="J86" s="125">
        <f t="shared" si="88"/>
        <v>1.5231272154623582E-2</v>
      </c>
      <c r="K86" s="125">
        <f t="shared" si="88"/>
        <v>1.6110689006976781E-2</v>
      </c>
      <c r="L86" s="125">
        <f t="shared" si="88"/>
        <v>1.8633277773980331E-2</v>
      </c>
      <c r="M86" s="125">
        <f t="shared" si="88"/>
        <v>0</v>
      </c>
      <c r="N86" s="125">
        <f t="shared" si="88"/>
        <v>2.2802418781094937E-2</v>
      </c>
      <c r="O86" s="125">
        <f t="shared" si="88"/>
        <v>2.7995485693316467E-2</v>
      </c>
      <c r="P86" s="125">
        <f t="shared" si="88"/>
        <v>0.995</v>
      </c>
      <c r="Q86" s="125">
        <f t="shared" si="88"/>
        <v>0.995</v>
      </c>
      <c r="R86" s="125">
        <f t="shared" si="88"/>
        <v>0</v>
      </c>
    </row>
    <row r="87" spans="1:18">
      <c r="A87" s="123" t="e">
        <f t="shared" ref="A87" si="96">CONCATENATE("Year-",#REF!)</f>
        <v>#REF!</v>
      </c>
      <c r="B87" s="35">
        <v>46874</v>
      </c>
      <c r="C87" s="26">
        <f t="shared" si="87"/>
        <v>217.9</v>
      </c>
      <c r="D87" s="26">
        <f t="shared" si="87"/>
        <v>221.90023470000006</v>
      </c>
      <c r="E87" s="31">
        <f t="shared" si="41"/>
        <v>61780</v>
      </c>
      <c r="F87" s="124">
        <f t="shared" si="88"/>
        <v>55.437733860726389</v>
      </c>
      <c r="G87" s="125">
        <f t="shared" si="88"/>
        <v>1.7865322950068707E-2</v>
      </c>
      <c r="H87" s="125">
        <f t="shared" si="88"/>
        <v>9.8339999999999997E-2</v>
      </c>
      <c r="I87" s="125">
        <f t="shared" si="88"/>
        <v>0.1306817577748349</v>
      </c>
      <c r="J87" s="125">
        <f t="shared" si="88"/>
        <v>1.609339136491415E-2</v>
      </c>
      <c r="K87" s="125">
        <f t="shared" si="88"/>
        <v>1.525163145425878E-2</v>
      </c>
      <c r="L87" s="125">
        <f t="shared" si="88"/>
        <v>1.5763583972179196E-2</v>
      </c>
      <c r="M87" s="125">
        <f t="shared" si="88"/>
        <v>0</v>
      </c>
      <c r="N87" s="125">
        <f t="shared" si="88"/>
        <v>2.2281870794181511E-2</v>
      </c>
      <c r="O87" s="125">
        <f t="shared" si="88"/>
        <v>1.1198342091846737E-2</v>
      </c>
      <c r="P87" s="125">
        <f t="shared" si="88"/>
        <v>0.995</v>
      </c>
      <c r="Q87" s="125">
        <f t="shared" si="88"/>
        <v>0.995</v>
      </c>
      <c r="R87" s="125">
        <f t="shared" si="88"/>
        <v>0</v>
      </c>
    </row>
    <row r="88" spans="1:18">
      <c r="A88" s="123" t="e">
        <f t="shared" ref="A88" si="97">CONCATENATE("Year-",#REF!)</f>
        <v>#REF!</v>
      </c>
      <c r="B88" s="35">
        <v>46905</v>
      </c>
      <c r="C88" s="26">
        <f t="shared" si="87"/>
        <v>192.8</v>
      </c>
      <c r="D88" s="26">
        <f t="shared" si="87"/>
        <v>200.20089519999999</v>
      </c>
      <c r="E88" s="31">
        <f t="shared" si="41"/>
        <v>53700</v>
      </c>
      <c r="F88" s="124">
        <f t="shared" si="88"/>
        <v>54.658309168315547</v>
      </c>
      <c r="G88" s="125">
        <f t="shared" si="88"/>
        <v>1.914123124676681E-2</v>
      </c>
      <c r="H88" s="125">
        <f t="shared" si="88"/>
        <v>9.8339999999999997E-2</v>
      </c>
      <c r="I88" s="125">
        <f t="shared" si="88"/>
        <v>0.12650723469382591</v>
      </c>
      <c r="J88" s="125">
        <f t="shared" si="88"/>
        <v>1.6398522844759341E-2</v>
      </c>
      <c r="K88" s="125">
        <f t="shared" si="88"/>
        <v>1.3926271600695752E-2</v>
      </c>
      <c r="L88" s="125">
        <f t="shared" si="88"/>
        <v>1.4057661793117321E-2</v>
      </c>
      <c r="M88" s="125">
        <f t="shared" si="88"/>
        <v>0</v>
      </c>
      <c r="N88" s="125">
        <f t="shared" si="88"/>
        <v>2.1677907023400757E-2</v>
      </c>
      <c r="O88" s="125">
        <f t="shared" si="88"/>
        <v>4.051685061336731E-3</v>
      </c>
      <c r="P88" s="125">
        <f t="shared" si="88"/>
        <v>0.995</v>
      </c>
      <c r="Q88" s="125">
        <f t="shared" si="88"/>
        <v>0.995</v>
      </c>
      <c r="R88" s="125">
        <f t="shared" si="88"/>
        <v>0</v>
      </c>
    </row>
    <row r="89" spans="1:18">
      <c r="A89" s="123" t="e">
        <f t="shared" ref="A89" si="98">CONCATENATE("Year-",#REF!)</f>
        <v>#REF!</v>
      </c>
      <c r="B89" s="35">
        <v>46935</v>
      </c>
      <c r="C89" s="26">
        <f t="shared" si="87"/>
        <v>168.9</v>
      </c>
      <c r="D89" s="26">
        <f t="shared" si="87"/>
        <v>173.59972409999992</v>
      </c>
      <c r="E89" s="31">
        <f t="shared" si="41"/>
        <v>49210</v>
      </c>
      <c r="F89" s="124">
        <f t="shared" si="88"/>
        <v>51.564857066184757</v>
      </c>
      <c r="G89" s="125">
        <f t="shared" si="88"/>
        <v>2.1854695806261204E-2</v>
      </c>
      <c r="H89" s="125">
        <f t="shared" si="88"/>
        <v>9.1784000000000004E-2</v>
      </c>
      <c r="I89" s="125">
        <f t="shared" si="88"/>
        <v>0.1089308468990661</v>
      </c>
      <c r="J89" s="125">
        <f t="shared" si="88"/>
        <v>1.5867586262633245E-2</v>
      </c>
      <c r="K89" s="125">
        <f t="shared" si="88"/>
        <v>1.231974144019694E-2</v>
      </c>
      <c r="L89" s="125">
        <f t="shared" si="88"/>
        <v>1.3502102014775261E-2</v>
      </c>
      <c r="M89" s="125">
        <f t="shared" si="88"/>
        <v>0</v>
      </c>
      <c r="N89" s="125">
        <f t="shared" si="88"/>
        <v>2.127320988616644E-2</v>
      </c>
      <c r="O89" s="125">
        <f t="shared" si="88"/>
        <v>1.5557262066246368E-3</v>
      </c>
      <c r="P89" s="125">
        <f t="shared" si="88"/>
        <v>0.995</v>
      </c>
      <c r="Q89" s="125">
        <f t="shared" si="88"/>
        <v>0.995</v>
      </c>
      <c r="R89" s="125">
        <f t="shared" si="88"/>
        <v>0</v>
      </c>
    </row>
    <row r="90" spans="1:18">
      <c r="A90" s="123" t="e">
        <f t="shared" ref="A90" si="99">CONCATENATE("Year-",#REF!)</f>
        <v>#REF!</v>
      </c>
      <c r="B90" s="35">
        <v>46966</v>
      </c>
      <c r="C90" s="26">
        <f t="shared" si="87"/>
        <v>174.2</v>
      </c>
      <c r="D90" s="26">
        <f t="shared" si="87"/>
        <v>172.6001566000001</v>
      </c>
      <c r="E90" s="31">
        <f t="shared" si="41"/>
        <v>50100</v>
      </c>
      <c r="F90" s="124">
        <f t="shared" si="88"/>
        <v>50.336592710430871</v>
      </c>
      <c r="G90" s="125">
        <f t="shared" si="88"/>
        <v>2.0196191575302946E-2</v>
      </c>
      <c r="H90" s="125">
        <f t="shared" si="88"/>
        <v>8.8506000000000001E-2</v>
      </c>
      <c r="I90" s="125">
        <f t="shared" si="88"/>
        <v>0.10494453414747008</v>
      </c>
      <c r="J90" s="125">
        <f t="shared" si="88"/>
        <v>1.507508977611231E-2</v>
      </c>
      <c r="K90" s="125">
        <f t="shared" si="88"/>
        <v>1.2791562311125756E-2</v>
      </c>
      <c r="L90" s="125">
        <f t="shared" si="88"/>
        <v>1.4116403195935955E-2</v>
      </c>
      <c r="M90" s="125">
        <f t="shared" si="88"/>
        <v>0</v>
      </c>
      <c r="N90" s="125">
        <f t="shared" si="88"/>
        <v>2.157456294953386E-2</v>
      </c>
      <c r="O90" s="125">
        <f t="shared" si="88"/>
        <v>6.2818876990405415E-3</v>
      </c>
      <c r="P90" s="125">
        <f t="shared" si="88"/>
        <v>0.995</v>
      </c>
      <c r="Q90" s="125">
        <f t="shared" si="88"/>
        <v>0.995</v>
      </c>
      <c r="R90" s="125">
        <f t="shared" si="88"/>
        <v>0</v>
      </c>
    </row>
    <row r="91" spans="1:18">
      <c r="A91" s="123" t="e">
        <f t="shared" ref="A91" si="100">CONCATENATE("Year-",#REF!)</f>
        <v>#REF!</v>
      </c>
      <c r="B91" s="35">
        <v>46997</v>
      </c>
      <c r="C91" s="26">
        <f t="shared" si="87"/>
        <v>192.1</v>
      </c>
      <c r="D91" s="26">
        <f t="shared" si="87"/>
        <v>178.89930529999984</v>
      </c>
      <c r="E91" s="31">
        <f t="shared" si="41"/>
        <v>52760</v>
      </c>
      <c r="F91" s="124">
        <f t="shared" si="88"/>
        <v>52.25059433997491</v>
      </c>
      <c r="G91" s="125">
        <f t="shared" si="88"/>
        <v>1.7196456487754141E-2</v>
      </c>
      <c r="H91" s="125">
        <f t="shared" si="88"/>
        <v>8.5227999999999998E-2</v>
      </c>
      <c r="I91" s="125">
        <f t="shared" si="88"/>
        <v>0.11387126505657014</v>
      </c>
      <c r="J91" s="125">
        <f t="shared" si="88"/>
        <v>1.3959618092500629E-2</v>
      </c>
      <c r="K91" s="125">
        <f t="shared" si="88"/>
        <v>1.4531255376132731E-2</v>
      </c>
      <c r="L91" s="125">
        <f t="shared" si="88"/>
        <v>1.4478833500810966E-2</v>
      </c>
      <c r="M91" s="125">
        <f t="shared" si="88"/>
        <v>0</v>
      </c>
      <c r="N91" s="125">
        <f t="shared" si="88"/>
        <v>2.2473527643153385E-2</v>
      </c>
      <c r="O91" s="125">
        <f t="shared" si="88"/>
        <v>1.1388926338936924E-2</v>
      </c>
      <c r="P91" s="125">
        <f t="shared" si="88"/>
        <v>0.995</v>
      </c>
      <c r="Q91" s="125">
        <f t="shared" si="88"/>
        <v>0.995</v>
      </c>
      <c r="R91" s="125">
        <f t="shared" si="88"/>
        <v>0</v>
      </c>
    </row>
    <row r="92" spans="1:18">
      <c r="A92" s="123" t="e">
        <f t="shared" ref="A92" si="101">CONCATENATE("Year-",#REF!)</f>
        <v>#REF!</v>
      </c>
      <c r="B92" s="35">
        <v>47027</v>
      </c>
      <c r="C92" s="26">
        <f t="shared" si="87"/>
        <v>202.3</v>
      </c>
      <c r="D92" s="26">
        <f t="shared" si="87"/>
        <v>174.60082279999986</v>
      </c>
      <c r="E92" s="31">
        <f t="shared" si="41"/>
        <v>57190</v>
      </c>
      <c r="F92" s="124">
        <f t="shared" si="88"/>
        <v>49.723937837075084</v>
      </c>
      <c r="G92" s="125">
        <f t="shared" si="88"/>
        <v>1.5873015873015817E-2</v>
      </c>
      <c r="H92" s="125">
        <f t="shared" si="88"/>
        <v>8.8506000000000001E-2</v>
      </c>
      <c r="I92" s="125">
        <f t="shared" si="88"/>
        <v>0.10390722673430232</v>
      </c>
      <c r="J92" s="125">
        <f t="shared" si="88"/>
        <v>1.4040704754284353E-2</v>
      </c>
      <c r="K92" s="125">
        <f t="shared" si="88"/>
        <v>1.526389492868482E-2</v>
      </c>
      <c r="L92" s="125">
        <f t="shared" si="88"/>
        <v>1.5324069649683622E-2</v>
      </c>
      <c r="M92" s="125">
        <f t="shared" si="88"/>
        <v>0</v>
      </c>
      <c r="N92" s="125">
        <f t="shared" si="88"/>
        <v>2.3043103417804571E-2</v>
      </c>
      <c r="O92" s="125">
        <f t="shared" si="88"/>
        <v>2.1184397869334348E-2</v>
      </c>
      <c r="P92" s="125">
        <f t="shared" si="88"/>
        <v>0.995</v>
      </c>
      <c r="Q92" s="125">
        <f t="shared" si="88"/>
        <v>0.995</v>
      </c>
      <c r="R92" s="125">
        <f t="shared" si="88"/>
        <v>0</v>
      </c>
    </row>
    <row r="93" spans="1:18">
      <c r="A93" s="123" t="e">
        <f t="shared" ref="A93" si="102">CONCATENATE("Year-",#REF!)</f>
        <v>#REF!</v>
      </c>
      <c r="B93" s="35">
        <v>47058</v>
      </c>
      <c r="C93" s="26">
        <f t="shared" si="87"/>
        <v>162.9</v>
      </c>
      <c r="D93" s="26">
        <f t="shared" si="87"/>
        <v>133.69942049999997</v>
      </c>
      <c r="E93" s="31">
        <f t="shared" si="41"/>
        <v>46900</v>
      </c>
      <c r="F93" s="124">
        <f t="shared" si="88"/>
        <v>42.187120547750681</v>
      </c>
      <c r="G93" s="125">
        <f t="shared" si="88"/>
        <v>1.5950920245398792E-2</v>
      </c>
      <c r="H93" s="125">
        <f t="shared" si="88"/>
        <v>8.8506000000000001E-2</v>
      </c>
      <c r="I93" s="125">
        <f t="shared" si="88"/>
        <v>6.9024239591701744E-2</v>
      </c>
      <c r="J93" s="125">
        <f t="shared" si="88"/>
        <v>1.4204952105287192E-2</v>
      </c>
      <c r="K93" s="125">
        <f t="shared" si="88"/>
        <v>1.3252885058363056E-2</v>
      </c>
      <c r="L93" s="125">
        <f t="shared" si="88"/>
        <v>1.3980442883231779E-2</v>
      </c>
      <c r="M93" s="125">
        <f t="shared" si="88"/>
        <v>0</v>
      </c>
      <c r="N93" s="125">
        <f t="shared" si="88"/>
        <v>2.30208488716231E-2</v>
      </c>
      <c r="O93" s="125">
        <f t="shared" si="88"/>
        <v>8.3479094998109554E-3</v>
      </c>
      <c r="P93" s="125">
        <f t="shared" si="88"/>
        <v>0.995</v>
      </c>
      <c r="Q93" s="125">
        <f t="shared" si="88"/>
        <v>0.995</v>
      </c>
      <c r="R93" s="125">
        <f t="shared" si="88"/>
        <v>0</v>
      </c>
    </row>
    <row r="94" spans="1:18">
      <c r="A94" s="123" t="e">
        <f t="shared" ref="A94" si="103">CONCATENATE("Year-",#REF!)</f>
        <v>#REF!</v>
      </c>
      <c r="B94" s="35">
        <v>47088</v>
      </c>
      <c r="C94" s="26">
        <f t="shared" si="87"/>
        <v>158.6</v>
      </c>
      <c r="D94" s="26">
        <f t="shared" si="87"/>
        <v>124.40004220000003</v>
      </c>
      <c r="E94" s="31">
        <f t="shared" si="41"/>
        <v>48280</v>
      </c>
      <c r="F94" s="124">
        <f t="shared" si="88"/>
        <v>36.076939444156181</v>
      </c>
      <c r="G94" s="125">
        <f t="shared" si="88"/>
        <v>1.5802781289506962E-2</v>
      </c>
      <c r="H94" s="125">
        <f t="shared" si="88"/>
        <v>8.8506000000000001E-2</v>
      </c>
      <c r="I94" s="125">
        <f t="shared" si="88"/>
        <v>4.4787946264861052E-2</v>
      </c>
      <c r="J94" s="125">
        <f t="shared" si="88"/>
        <v>1.4140595613406415E-2</v>
      </c>
      <c r="K94" s="125">
        <f t="shared" si="88"/>
        <v>1.2367081056294736E-2</v>
      </c>
      <c r="L94" s="125">
        <f t="shared" si="88"/>
        <v>1.3960975699298588E-2</v>
      </c>
      <c r="M94" s="125">
        <f t="shared" si="88"/>
        <v>0</v>
      </c>
      <c r="N94" s="125">
        <f t="shared" si="88"/>
        <v>2.3055036005913448E-2</v>
      </c>
      <c r="O94" s="125">
        <f t="shared" si="88"/>
        <v>3.6978876304825567E-3</v>
      </c>
      <c r="P94" s="125">
        <f t="shared" si="88"/>
        <v>0.995</v>
      </c>
      <c r="Q94" s="125">
        <f t="shared" si="88"/>
        <v>0.995</v>
      </c>
      <c r="R94" s="125">
        <f t="shared" si="88"/>
        <v>0</v>
      </c>
    </row>
    <row r="95" spans="1:18">
      <c r="A95" s="123" t="e">
        <f t="shared" ref="A95" si="104">CONCATENATE("Year-",#REF!)</f>
        <v>#REF!</v>
      </c>
      <c r="B95" s="35">
        <v>47119</v>
      </c>
      <c r="C95" s="26">
        <f t="shared" ref="C95:D110" si="105">C83</f>
        <v>169.028549</v>
      </c>
      <c r="D95" s="26">
        <f t="shared" si="105"/>
        <v>133.89933939999995</v>
      </c>
      <c r="E95" s="31">
        <f t="shared" si="41"/>
        <v>51260</v>
      </c>
      <c r="F95" s="124">
        <f t="shared" ref="F95:R110" si="106">F83</f>
        <v>34.970332119021293</v>
      </c>
      <c r="G95" s="125">
        <f t="shared" si="106"/>
        <v>1.7200474495848161E-2</v>
      </c>
      <c r="H95" s="125">
        <f t="shared" si="106"/>
        <v>8.8506000000000001E-2</v>
      </c>
      <c r="I95" s="125">
        <f t="shared" si="106"/>
        <v>4.0029940128316385E-2</v>
      </c>
      <c r="J95" s="125">
        <f t="shared" si="106"/>
        <v>1.4099625889623608E-2</v>
      </c>
      <c r="K95" s="125">
        <f t="shared" si="106"/>
        <v>1.267725762135744E-2</v>
      </c>
      <c r="L95" s="125">
        <f t="shared" si="106"/>
        <v>1.390175346828215E-2</v>
      </c>
      <c r="M95" s="125">
        <f t="shared" si="106"/>
        <v>0</v>
      </c>
      <c r="N95" s="125">
        <f t="shared" si="106"/>
        <v>2.298066658515029E-2</v>
      </c>
      <c r="O95" s="125">
        <f t="shared" si="106"/>
        <v>1.0644897972798715E-2</v>
      </c>
      <c r="P95" s="125">
        <f t="shared" si="106"/>
        <v>0.995</v>
      </c>
      <c r="Q95" s="125">
        <f t="shared" si="106"/>
        <v>0.995</v>
      </c>
      <c r="R95" s="125">
        <f t="shared" si="106"/>
        <v>0</v>
      </c>
    </row>
    <row r="96" spans="1:18">
      <c r="A96" s="123" t="e">
        <f t="shared" ref="A96" si="107">CONCATENATE("Year-",#REF!)</f>
        <v>#REF!</v>
      </c>
      <c r="B96" s="35">
        <v>47150</v>
      </c>
      <c r="C96" s="26">
        <f t="shared" si="105"/>
        <v>172.55912190000004</v>
      </c>
      <c r="D96" s="26">
        <f t="shared" si="105"/>
        <v>145.40077080000009</v>
      </c>
      <c r="E96" s="31">
        <f t="shared" si="41"/>
        <v>47290</v>
      </c>
      <c r="F96" s="124">
        <f t="shared" si="106"/>
        <v>40.252096455972236</v>
      </c>
      <c r="G96" s="125">
        <f t="shared" si="106"/>
        <v>1.510749564206848E-2</v>
      </c>
      <c r="H96" s="125">
        <f t="shared" si="106"/>
        <v>8.8506000000000001E-2</v>
      </c>
      <c r="I96" s="125">
        <f t="shared" si="106"/>
        <v>6.2111013936519133E-2</v>
      </c>
      <c r="J96" s="125">
        <f t="shared" si="106"/>
        <v>1.4175439055030284E-2</v>
      </c>
      <c r="K96" s="125">
        <f t="shared" si="106"/>
        <v>1.4384371816049681E-2</v>
      </c>
      <c r="L96" s="125">
        <f t="shared" si="106"/>
        <v>1.5915736744616871E-2</v>
      </c>
      <c r="M96" s="125">
        <f t="shared" si="106"/>
        <v>0</v>
      </c>
      <c r="N96" s="125">
        <f t="shared" si="106"/>
        <v>2.3268144471779773E-2</v>
      </c>
      <c r="O96" s="125">
        <f t="shared" si="106"/>
        <v>2.5052142565085967E-2</v>
      </c>
      <c r="P96" s="125">
        <f t="shared" si="106"/>
        <v>0.995</v>
      </c>
      <c r="Q96" s="125">
        <f t="shared" si="106"/>
        <v>0.995</v>
      </c>
      <c r="R96" s="125">
        <f t="shared" si="106"/>
        <v>0</v>
      </c>
    </row>
    <row r="97" spans="1:18">
      <c r="A97" s="123" t="e">
        <f t="shared" ref="A97" si="108">CONCATENATE("Year-",#REF!)</f>
        <v>#REF!</v>
      </c>
      <c r="B97" s="35">
        <v>47178</v>
      </c>
      <c r="C97" s="26">
        <f t="shared" si="105"/>
        <v>215.74576700000009</v>
      </c>
      <c r="D97" s="26">
        <f t="shared" si="105"/>
        <v>195.59891570000002</v>
      </c>
      <c r="E97" s="31">
        <f t="shared" si="41"/>
        <v>60510</v>
      </c>
      <c r="F97" s="124">
        <f t="shared" si="106"/>
        <v>47.179622377374095</v>
      </c>
      <c r="G97" s="125">
        <f t="shared" si="106"/>
        <v>1.5306122448979553E-2</v>
      </c>
      <c r="H97" s="125">
        <f t="shared" si="106"/>
        <v>9.1784000000000004E-2</v>
      </c>
      <c r="I97" s="125">
        <f t="shared" si="106"/>
        <v>9.4419706369976972E-2</v>
      </c>
      <c r="J97" s="125">
        <f t="shared" si="106"/>
        <v>1.4644787078611174E-2</v>
      </c>
      <c r="K97" s="125">
        <f t="shared" si="106"/>
        <v>1.6212630268737406E-2</v>
      </c>
      <c r="L97" s="125">
        <f t="shared" si="106"/>
        <v>2.0718676035686345E-2</v>
      </c>
      <c r="M97" s="125">
        <f t="shared" si="106"/>
        <v>0</v>
      </c>
      <c r="N97" s="125">
        <f t="shared" si="106"/>
        <v>2.3247057021314733E-2</v>
      </c>
      <c r="O97" s="125">
        <f t="shared" si="106"/>
        <v>3.9222124133286969E-2</v>
      </c>
      <c r="P97" s="125">
        <f t="shared" si="106"/>
        <v>0.995</v>
      </c>
      <c r="Q97" s="125">
        <f t="shared" si="106"/>
        <v>0.995</v>
      </c>
      <c r="R97" s="125">
        <f t="shared" si="106"/>
        <v>0</v>
      </c>
    </row>
    <row r="98" spans="1:18">
      <c r="A98" s="123" t="e">
        <f t="shared" ref="A98" si="109">CONCATENATE("Year-",#REF!)</f>
        <v>#REF!</v>
      </c>
      <c r="B98" s="35">
        <v>47209</v>
      </c>
      <c r="C98" s="26">
        <f t="shared" si="105"/>
        <v>215.9</v>
      </c>
      <c r="D98" s="26">
        <f t="shared" si="105"/>
        <v>208.99969899999999</v>
      </c>
      <c r="E98" s="31">
        <f t="shared" si="41"/>
        <v>58630</v>
      </c>
      <c r="F98" s="124">
        <f t="shared" si="106"/>
        <v>52.296499350965128</v>
      </c>
      <c r="G98" s="125">
        <f t="shared" si="106"/>
        <v>1.6658954187875996E-2</v>
      </c>
      <c r="H98" s="125">
        <f t="shared" si="106"/>
        <v>9.5061999999999994E-2</v>
      </c>
      <c r="I98" s="125">
        <f t="shared" si="106"/>
        <v>0.11719199751057031</v>
      </c>
      <c r="J98" s="125">
        <f t="shared" si="106"/>
        <v>1.5231272154623582E-2</v>
      </c>
      <c r="K98" s="125">
        <f t="shared" si="106"/>
        <v>1.6110689006976781E-2</v>
      </c>
      <c r="L98" s="125">
        <f t="shared" si="106"/>
        <v>1.8633277773980331E-2</v>
      </c>
      <c r="M98" s="125">
        <f t="shared" si="106"/>
        <v>0</v>
      </c>
      <c r="N98" s="125">
        <f t="shared" si="106"/>
        <v>2.2802418781094937E-2</v>
      </c>
      <c r="O98" s="125">
        <f t="shared" si="106"/>
        <v>2.7995485693316467E-2</v>
      </c>
      <c r="P98" s="125">
        <f t="shared" si="106"/>
        <v>0.995</v>
      </c>
      <c r="Q98" s="125">
        <f t="shared" si="106"/>
        <v>0.995</v>
      </c>
      <c r="R98" s="125">
        <f t="shared" si="106"/>
        <v>0</v>
      </c>
    </row>
    <row r="99" spans="1:18">
      <c r="A99" s="123" t="e">
        <f t="shared" ref="A99" si="110">CONCATENATE("Year-",#REF!)</f>
        <v>#REF!</v>
      </c>
      <c r="B99" s="35">
        <v>47239</v>
      </c>
      <c r="C99" s="26">
        <f t="shared" si="105"/>
        <v>217.9</v>
      </c>
      <c r="D99" s="26">
        <f t="shared" si="105"/>
        <v>221.90023470000006</v>
      </c>
      <c r="E99" s="31">
        <f t="shared" si="41"/>
        <v>61780</v>
      </c>
      <c r="F99" s="124">
        <f t="shared" si="106"/>
        <v>55.437733860726389</v>
      </c>
      <c r="G99" s="125">
        <f t="shared" si="106"/>
        <v>1.7865322950068707E-2</v>
      </c>
      <c r="H99" s="125">
        <f t="shared" si="106"/>
        <v>9.8339999999999997E-2</v>
      </c>
      <c r="I99" s="125">
        <f t="shared" si="106"/>
        <v>0.1306817577748349</v>
      </c>
      <c r="J99" s="125">
        <f t="shared" si="106"/>
        <v>1.609339136491415E-2</v>
      </c>
      <c r="K99" s="125">
        <f t="shared" si="106"/>
        <v>1.525163145425878E-2</v>
      </c>
      <c r="L99" s="125">
        <f t="shared" si="106"/>
        <v>1.5763583972179196E-2</v>
      </c>
      <c r="M99" s="125">
        <f t="shared" si="106"/>
        <v>0</v>
      </c>
      <c r="N99" s="125">
        <f t="shared" si="106"/>
        <v>2.2281870794181511E-2</v>
      </c>
      <c r="O99" s="125">
        <f t="shared" si="106"/>
        <v>1.1198342091846737E-2</v>
      </c>
      <c r="P99" s="125">
        <f t="shared" si="106"/>
        <v>0.995</v>
      </c>
      <c r="Q99" s="125">
        <f t="shared" si="106"/>
        <v>0.995</v>
      </c>
      <c r="R99" s="125">
        <f t="shared" si="106"/>
        <v>0</v>
      </c>
    </row>
    <row r="100" spans="1:18">
      <c r="A100" s="123" t="e">
        <f t="shared" ref="A100" si="111">CONCATENATE("Year-",#REF!)</f>
        <v>#REF!</v>
      </c>
      <c r="B100" s="35">
        <v>47270</v>
      </c>
      <c r="C100" s="26">
        <f t="shared" si="105"/>
        <v>192.8</v>
      </c>
      <c r="D100" s="26">
        <f t="shared" si="105"/>
        <v>200.20089519999999</v>
      </c>
      <c r="E100" s="31">
        <f t="shared" si="41"/>
        <v>53700</v>
      </c>
      <c r="F100" s="124">
        <f t="shared" si="106"/>
        <v>54.658309168315547</v>
      </c>
      <c r="G100" s="125">
        <f t="shared" si="106"/>
        <v>1.914123124676681E-2</v>
      </c>
      <c r="H100" s="125">
        <f t="shared" si="106"/>
        <v>9.8339999999999997E-2</v>
      </c>
      <c r="I100" s="125">
        <f t="shared" si="106"/>
        <v>0.12650723469382591</v>
      </c>
      <c r="J100" s="125">
        <f t="shared" si="106"/>
        <v>1.6398522844759341E-2</v>
      </c>
      <c r="K100" s="125">
        <f t="shared" si="106"/>
        <v>1.3926271600695752E-2</v>
      </c>
      <c r="L100" s="125">
        <f t="shared" si="106"/>
        <v>1.4057661793117321E-2</v>
      </c>
      <c r="M100" s="125">
        <f t="shared" si="106"/>
        <v>0</v>
      </c>
      <c r="N100" s="125">
        <f t="shared" si="106"/>
        <v>2.1677907023400757E-2</v>
      </c>
      <c r="O100" s="125">
        <f t="shared" si="106"/>
        <v>4.051685061336731E-3</v>
      </c>
      <c r="P100" s="125">
        <f t="shared" si="106"/>
        <v>0.995</v>
      </c>
      <c r="Q100" s="125">
        <f t="shared" si="106"/>
        <v>0.995</v>
      </c>
      <c r="R100" s="125">
        <f t="shared" si="106"/>
        <v>0</v>
      </c>
    </row>
    <row r="101" spans="1:18">
      <c r="A101" s="123" t="e">
        <f t="shared" ref="A101" si="112">CONCATENATE("Year-",#REF!)</f>
        <v>#REF!</v>
      </c>
      <c r="B101" s="35">
        <v>47300</v>
      </c>
      <c r="C101" s="26">
        <f t="shared" si="105"/>
        <v>168.9</v>
      </c>
      <c r="D101" s="26">
        <f t="shared" si="105"/>
        <v>173.59972409999992</v>
      </c>
      <c r="E101" s="31">
        <f t="shared" si="41"/>
        <v>49210</v>
      </c>
      <c r="F101" s="124">
        <f t="shared" si="106"/>
        <v>51.564857066184757</v>
      </c>
      <c r="G101" s="125">
        <f t="shared" si="106"/>
        <v>2.1854695806261204E-2</v>
      </c>
      <c r="H101" s="125">
        <f t="shared" si="106"/>
        <v>9.1784000000000004E-2</v>
      </c>
      <c r="I101" s="125">
        <f t="shared" si="106"/>
        <v>0.1089308468990661</v>
      </c>
      <c r="J101" s="125">
        <f t="shared" si="106"/>
        <v>1.5867586262633245E-2</v>
      </c>
      <c r="K101" s="125">
        <f t="shared" si="106"/>
        <v>1.231974144019694E-2</v>
      </c>
      <c r="L101" s="125">
        <f t="shared" si="106"/>
        <v>1.3502102014775261E-2</v>
      </c>
      <c r="M101" s="125">
        <f t="shared" si="106"/>
        <v>0</v>
      </c>
      <c r="N101" s="125">
        <f t="shared" si="106"/>
        <v>2.127320988616644E-2</v>
      </c>
      <c r="O101" s="125">
        <f t="shared" si="106"/>
        <v>1.5557262066246368E-3</v>
      </c>
      <c r="P101" s="125">
        <f t="shared" si="106"/>
        <v>0.995</v>
      </c>
      <c r="Q101" s="125">
        <f t="shared" si="106"/>
        <v>0.995</v>
      </c>
      <c r="R101" s="125">
        <f t="shared" si="106"/>
        <v>0</v>
      </c>
    </row>
    <row r="102" spans="1:18">
      <c r="A102" s="123" t="e">
        <f t="shared" ref="A102" si="113">CONCATENATE("Year-",#REF!)</f>
        <v>#REF!</v>
      </c>
      <c r="B102" s="35">
        <v>47331</v>
      </c>
      <c r="C102" s="26">
        <f t="shared" si="105"/>
        <v>174.2</v>
      </c>
      <c r="D102" s="26">
        <f t="shared" si="105"/>
        <v>172.6001566000001</v>
      </c>
      <c r="E102" s="31">
        <f t="shared" ref="E102:E165" si="114">E90*(1-$AE$2)</f>
        <v>50100</v>
      </c>
      <c r="F102" s="124">
        <f t="shared" si="106"/>
        <v>50.336592710430871</v>
      </c>
      <c r="G102" s="125">
        <f t="shared" si="106"/>
        <v>2.0196191575302946E-2</v>
      </c>
      <c r="H102" s="125">
        <f t="shared" si="106"/>
        <v>8.8506000000000001E-2</v>
      </c>
      <c r="I102" s="125">
        <f t="shared" si="106"/>
        <v>0.10494453414747008</v>
      </c>
      <c r="J102" s="125">
        <f t="shared" si="106"/>
        <v>1.507508977611231E-2</v>
      </c>
      <c r="K102" s="125">
        <f t="shared" si="106"/>
        <v>1.2791562311125756E-2</v>
      </c>
      <c r="L102" s="125">
        <f t="shared" si="106"/>
        <v>1.4116403195935955E-2</v>
      </c>
      <c r="M102" s="125">
        <f t="shared" si="106"/>
        <v>0</v>
      </c>
      <c r="N102" s="125">
        <f t="shared" si="106"/>
        <v>2.157456294953386E-2</v>
      </c>
      <c r="O102" s="125">
        <f t="shared" si="106"/>
        <v>6.2818876990405415E-3</v>
      </c>
      <c r="P102" s="125">
        <f t="shared" si="106"/>
        <v>0.995</v>
      </c>
      <c r="Q102" s="125">
        <f t="shared" si="106"/>
        <v>0.995</v>
      </c>
      <c r="R102" s="125">
        <f t="shared" si="106"/>
        <v>0</v>
      </c>
    </row>
    <row r="103" spans="1:18">
      <c r="A103" s="123" t="e">
        <f t="shared" ref="A103" si="115">CONCATENATE("Year-",#REF!)</f>
        <v>#REF!</v>
      </c>
      <c r="B103" s="35">
        <v>47362</v>
      </c>
      <c r="C103" s="26">
        <f t="shared" si="105"/>
        <v>192.1</v>
      </c>
      <c r="D103" s="26">
        <f t="shared" si="105"/>
        <v>178.89930529999984</v>
      </c>
      <c r="E103" s="31">
        <f t="shared" si="114"/>
        <v>52760</v>
      </c>
      <c r="F103" s="124">
        <f t="shared" si="106"/>
        <v>52.25059433997491</v>
      </c>
      <c r="G103" s="125">
        <f t="shared" si="106"/>
        <v>1.7196456487754141E-2</v>
      </c>
      <c r="H103" s="125">
        <f t="shared" si="106"/>
        <v>8.5227999999999998E-2</v>
      </c>
      <c r="I103" s="125">
        <f t="shared" si="106"/>
        <v>0.11387126505657014</v>
      </c>
      <c r="J103" s="125">
        <f t="shared" si="106"/>
        <v>1.3959618092500629E-2</v>
      </c>
      <c r="K103" s="125">
        <f t="shared" si="106"/>
        <v>1.4531255376132731E-2</v>
      </c>
      <c r="L103" s="125">
        <f t="shared" si="106"/>
        <v>1.4478833500810966E-2</v>
      </c>
      <c r="M103" s="125">
        <f t="shared" si="106"/>
        <v>0</v>
      </c>
      <c r="N103" s="125">
        <f t="shared" si="106"/>
        <v>2.2473527643153385E-2</v>
      </c>
      <c r="O103" s="125">
        <f t="shared" si="106"/>
        <v>1.1388926338936924E-2</v>
      </c>
      <c r="P103" s="125">
        <f t="shared" si="106"/>
        <v>0.995</v>
      </c>
      <c r="Q103" s="125">
        <f t="shared" si="106"/>
        <v>0.995</v>
      </c>
      <c r="R103" s="125">
        <f t="shared" si="106"/>
        <v>0</v>
      </c>
    </row>
    <row r="104" spans="1:18">
      <c r="A104" s="123" t="e">
        <f t="shared" ref="A104" si="116">CONCATENATE("Year-",#REF!)</f>
        <v>#REF!</v>
      </c>
      <c r="B104" s="35">
        <v>47392</v>
      </c>
      <c r="C104" s="26">
        <f t="shared" si="105"/>
        <v>202.3</v>
      </c>
      <c r="D104" s="26">
        <f t="shared" si="105"/>
        <v>174.60082279999986</v>
      </c>
      <c r="E104" s="31">
        <f t="shared" si="114"/>
        <v>57190</v>
      </c>
      <c r="F104" s="124">
        <f t="shared" si="106"/>
        <v>49.723937837075084</v>
      </c>
      <c r="G104" s="125">
        <f t="shared" si="106"/>
        <v>1.5873015873015817E-2</v>
      </c>
      <c r="H104" s="125">
        <f t="shared" si="106"/>
        <v>8.8506000000000001E-2</v>
      </c>
      <c r="I104" s="125">
        <f t="shared" si="106"/>
        <v>0.10390722673430232</v>
      </c>
      <c r="J104" s="125">
        <f t="shared" si="106"/>
        <v>1.4040704754284353E-2</v>
      </c>
      <c r="K104" s="125">
        <f t="shared" si="106"/>
        <v>1.526389492868482E-2</v>
      </c>
      <c r="L104" s="125">
        <f t="shared" si="106"/>
        <v>1.5324069649683622E-2</v>
      </c>
      <c r="M104" s="125">
        <f t="shared" si="106"/>
        <v>0</v>
      </c>
      <c r="N104" s="125">
        <f t="shared" si="106"/>
        <v>2.3043103417804571E-2</v>
      </c>
      <c r="O104" s="125">
        <f t="shared" si="106"/>
        <v>2.1184397869334348E-2</v>
      </c>
      <c r="P104" s="125">
        <f t="shared" si="106"/>
        <v>0.995</v>
      </c>
      <c r="Q104" s="125">
        <f t="shared" si="106"/>
        <v>0.995</v>
      </c>
      <c r="R104" s="125">
        <f t="shared" si="106"/>
        <v>0</v>
      </c>
    </row>
    <row r="105" spans="1:18">
      <c r="A105" s="123" t="e">
        <f t="shared" ref="A105" si="117">CONCATENATE("Year-",#REF!)</f>
        <v>#REF!</v>
      </c>
      <c r="B105" s="35">
        <v>47423</v>
      </c>
      <c r="C105" s="26">
        <f t="shared" si="105"/>
        <v>162.9</v>
      </c>
      <c r="D105" s="26">
        <f t="shared" si="105"/>
        <v>133.69942049999997</v>
      </c>
      <c r="E105" s="31">
        <f t="shared" si="114"/>
        <v>46900</v>
      </c>
      <c r="F105" s="124">
        <f t="shared" si="106"/>
        <v>42.187120547750681</v>
      </c>
      <c r="G105" s="125">
        <f t="shared" si="106"/>
        <v>1.5950920245398792E-2</v>
      </c>
      <c r="H105" s="125">
        <f t="shared" si="106"/>
        <v>8.8506000000000001E-2</v>
      </c>
      <c r="I105" s="125">
        <f t="shared" si="106"/>
        <v>6.9024239591701744E-2</v>
      </c>
      <c r="J105" s="125">
        <f t="shared" si="106"/>
        <v>1.4204952105287192E-2</v>
      </c>
      <c r="K105" s="125">
        <f t="shared" si="106"/>
        <v>1.3252885058363056E-2</v>
      </c>
      <c r="L105" s="125">
        <f t="shared" si="106"/>
        <v>1.3980442883231779E-2</v>
      </c>
      <c r="M105" s="125">
        <f t="shared" si="106"/>
        <v>0</v>
      </c>
      <c r="N105" s="125">
        <f t="shared" si="106"/>
        <v>2.30208488716231E-2</v>
      </c>
      <c r="O105" s="125">
        <f t="shared" si="106"/>
        <v>8.3479094998109554E-3</v>
      </c>
      <c r="P105" s="125">
        <f t="shared" si="106"/>
        <v>0.995</v>
      </c>
      <c r="Q105" s="125">
        <f t="shared" si="106"/>
        <v>0.995</v>
      </c>
      <c r="R105" s="125">
        <f t="shared" si="106"/>
        <v>0</v>
      </c>
    </row>
    <row r="106" spans="1:18">
      <c r="A106" s="123" t="e">
        <f t="shared" ref="A106" si="118">CONCATENATE("Year-",#REF!)</f>
        <v>#REF!</v>
      </c>
      <c r="B106" s="35">
        <v>47453</v>
      </c>
      <c r="C106" s="26">
        <f t="shared" si="105"/>
        <v>158.6</v>
      </c>
      <c r="D106" s="26">
        <f t="shared" si="105"/>
        <v>124.40004220000003</v>
      </c>
      <c r="E106" s="31">
        <f t="shared" si="114"/>
        <v>48280</v>
      </c>
      <c r="F106" s="124">
        <f t="shared" si="106"/>
        <v>36.076939444156181</v>
      </c>
      <c r="G106" s="125">
        <f t="shared" si="106"/>
        <v>1.5802781289506962E-2</v>
      </c>
      <c r="H106" s="125">
        <f t="shared" si="106"/>
        <v>8.8506000000000001E-2</v>
      </c>
      <c r="I106" s="125">
        <f t="shared" si="106"/>
        <v>4.4787946264861052E-2</v>
      </c>
      <c r="J106" s="125">
        <f t="shared" si="106"/>
        <v>1.4140595613406415E-2</v>
      </c>
      <c r="K106" s="125">
        <f t="shared" si="106"/>
        <v>1.2367081056294736E-2</v>
      </c>
      <c r="L106" s="125">
        <f t="shared" si="106"/>
        <v>1.3960975699298588E-2</v>
      </c>
      <c r="M106" s="125">
        <f t="shared" si="106"/>
        <v>0</v>
      </c>
      <c r="N106" s="125">
        <f t="shared" si="106"/>
        <v>2.3055036005913448E-2</v>
      </c>
      <c r="O106" s="125">
        <f t="shared" si="106"/>
        <v>3.6978876304825567E-3</v>
      </c>
      <c r="P106" s="125">
        <f t="shared" si="106"/>
        <v>0.995</v>
      </c>
      <c r="Q106" s="125">
        <f t="shared" si="106"/>
        <v>0.995</v>
      </c>
      <c r="R106" s="125">
        <f t="shared" si="106"/>
        <v>0</v>
      </c>
    </row>
    <row r="107" spans="1:18">
      <c r="A107" s="123" t="e">
        <f t="shared" ref="A107" si="119">CONCATENATE("Year-",#REF!)</f>
        <v>#REF!</v>
      </c>
      <c r="B107" s="35">
        <v>47484</v>
      </c>
      <c r="C107" s="26">
        <f t="shared" si="105"/>
        <v>169.028549</v>
      </c>
      <c r="D107" s="26">
        <f t="shared" si="105"/>
        <v>133.89933939999995</v>
      </c>
      <c r="E107" s="31">
        <f t="shared" si="114"/>
        <v>51260</v>
      </c>
      <c r="F107" s="124">
        <f t="shared" si="106"/>
        <v>34.970332119021293</v>
      </c>
      <c r="G107" s="125">
        <f t="shared" si="106"/>
        <v>1.7200474495848161E-2</v>
      </c>
      <c r="H107" s="125">
        <f t="shared" si="106"/>
        <v>8.8506000000000001E-2</v>
      </c>
      <c r="I107" s="125">
        <f t="shared" si="106"/>
        <v>4.0029940128316385E-2</v>
      </c>
      <c r="J107" s="125">
        <f t="shared" si="106"/>
        <v>1.4099625889623608E-2</v>
      </c>
      <c r="K107" s="125">
        <f t="shared" si="106"/>
        <v>1.267725762135744E-2</v>
      </c>
      <c r="L107" s="125">
        <f t="shared" si="106"/>
        <v>1.390175346828215E-2</v>
      </c>
      <c r="M107" s="125">
        <f t="shared" si="106"/>
        <v>0</v>
      </c>
      <c r="N107" s="125">
        <f t="shared" si="106"/>
        <v>2.298066658515029E-2</v>
      </c>
      <c r="O107" s="125">
        <f t="shared" si="106"/>
        <v>1.0644897972798715E-2</v>
      </c>
      <c r="P107" s="125">
        <f t="shared" si="106"/>
        <v>0.995</v>
      </c>
      <c r="Q107" s="125">
        <f t="shared" si="106"/>
        <v>0.995</v>
      </c>
      <c r="R107" s="125">
        <f t="shared" si="106"/>
        <v>0</v>
      </c>
    </row>
    <row r="108" spans="1:18">
      <c r="A108" s="123" t="e">
        <f t="shared" ref="A108" si="120">CONCATENATE("Year-",#REF!)</f>
        <v>#REF!</v>
      </c>
      <c r="B108" s="35">
        <v>47515</v>
      </c>
      <c r="C108" s="26">
        <f t="shared" si="105"/>
        <v>172.55912190000004</v>
      </c>
      <c r="D108" s="26">
        <f t="shared" si="105"/>
        <v>145.40077080000009</v>
      </c>
      <c r="E108" s="31">
        <f t="shared" si="114"/>
        <v>47290</v>
      </c>
      <c r="F108" s="124">
        <f t="shared" si="106"/>
        <v>40.252096455972236</v>
      </c>
      <c r="G108" s="125">
        <f t="shared" si="106"/>
        <v>1.510749564206848E-2</v>
      </c>
      <c r="H108" s="125">
        <f t="shared" si="106"/>
        <v>8.8506000000000001E-2</v>
      </c>
      <c r="I108" s="125">
        <f t="shared" si="106"/>
        <v>6.2111013936519133E-2</v>
      </c>
      <c r="J108" s="125">
        <f t="shared" si="106"/>
        <v>1.4175439055030284E-2</v>
      </c>
      <c r="K108" s="125">
        <f t="shared" si="106"/>
        <v>1.4384371816049681E-2</v>
      </c>
      <c r="L108" s="125">
        <f t="shared" si="106"/>
        <v>1.5915736744616871E-2</v>
      </c>
      <c r="M108" s="125">
        <f t="shared" si="106"/>
        <v>0</v>
      </c>
      <c r="N108" s="125">
        <f t="shared" si="106"/>
        <v>2.3268144471779773E-2</v>
      </c>
      <c r="O108" s="125">
        <f t="shared" si="106"/>
        <v>2.5052142565085967E-2</v>
      </c>
      <c r="P108" s="125">
        <f t="shared" si="106"/>
        <v>0.995</v>
      </c>
      <c r="Q108" s="125">
        <f t="shared" si="106"/>
        <v>0.995</v>
      </c>
      <c r="R108" s="125">
        <f t="shared" si="106"/>
        <v>0</v>
      </c>
    </row>
    <row r="109" spans="1:18">
      <c r="A109" s="123" t="e">
        <f t="shared" ref="A109" si="121">CONCATENATE("Year-",#REF!)</f>
        <v>#REF!</v>
      </c>
      <c r="B109" s="35">
        <v>47543</v>
      </c>
      <c r="C109" s="26">
        <f t="shared" si="105"/>
        <v>215.74576700000009</v>
      </c>
      <c r="D109" s="26">
        <f t="shared" si="105"/>
        <v>195.59891570000002</v>
      </c>
      <c r="E109" s="31">
        <f t="shared" si="114"/>
        <v>60510</v>
      </c>
      <c r="F109" s="124">
        <f t="shared" si="106"/>
        <v>47.179622377374095</v>
      </c>
      <c r="G109" s="125">
        <f t="shared" si="106"/>
        <v>1.5306122448979553E-2</v>
      </c>
      <c r="H109" s="125">
        <f t="shared" si="106"/>
        <v>9.1784000000000004E-2</v>
      </c>
      <c r="I109" s="125">
        <f t="shared" si="106"/>
        <v>9.4419706369976972E-2</v>
      </c>
      <c r="J109" s="125">
        <f t="shared" si="106"/>
        <v>1.4644787078611174E-2</v>
      </c>
      <c r="K109" s="125">
        <f t="shared" si="106"/>
        <v>1.6212630268737406E-2</v>
      </c>
      <c r="L109" s="125">
        <f t="shared" si="106"/>
        <v>2.0718676035686345E-2</v>
      </c>
      <c r="M109" s="125">
        <f t="shared" si="106"/>
        <v>0</v>
      </c>
      <c r="N109" s="125">
        <f t="shared" si="106"/>
        <v>2.3247057021314733E-2</v>
      </c>
      <c r="O109" s="125">
        <f t="shared" si="106"/>
        <v>3.9222124133286969E-2</v>
      </c>
      <c r="P109" s="125">
        <f t="shared" si="106"/>
        <v>0.995</v>
      </c>
      <c r="Q109" s="125">
        <f t="shared" si="106"/>
        <v>0.995</v>
      </c>
      <c r="R109" s="125">
        <f t="shared" si="106"/>
        <v>0</v>
      </c>
    </row>
    <row r="110" spans="1:18">
      <c r="A110" s="123" t="e">
        <f t="shared" ref="A110" si="122">CONCATENATE("Year-",#REF!)</f>
        <v>#REF!</v>
      </c>
      <c r="B110" s="35">
        <v>47574</v>
      </c>
      <c r="C110" s="26">
        <f t="shared" si="105"/>
        <v>215.9</v>
      </c>
      <c r="D110" s="26">
        <f t="shared" si="105"/>
        <v>208.99969899999999</v>
      </c>
      <c r="E110" s="31">
        <f t="shared" si="114"/>
        <v>58630</v>
      </c>
      <c r="F110" s="124">
        <f t="shared" si="106"/>
        <v>52.296499350965128</v>
      </c>
      <c r="G110" s="125">
        <f t="shared" si="106"/>
        <v>1.6658954187875996E-2</v>
      </c>
      <c r="H110" s="125">
        <f t="shared" si="106"/>
        <v>9.5061999999999994E-2</v>
      </c>
      <c r="I110" s="125">
        <f t="shared" si="106"/>
        <v>0.11719199751057031</v>
      </c>
      <c r="J110" s="125">
        <f t="shared" si="106"/>
        <v>1.5231272154623582E-2</v>
      </c>
      <c r="K110" s="125">
        <f t="shared" si="106"/>
        <v>1.6110689006976781E-2</v>
      </c>
      <c r="L110" s="125">
        <f t="shared" si="106"/>
        <v>1.8633277773980331E-2</v>
      </c>
      <c r="M110" s="125">
        <f t="shared" si="106"/>
        <v>0</v>
      </c>
      <c r="N110" s="125">
        <f t="shared" si="106"/>
        <v>2.2802418781094937E-2</v>
      </c>
      <c r="O110" s="125">
        <f t="shared" si="106"/>
        <v>2.7995485693316467E-2</v>
      </c>
      <c r="P110" s="125">
        <f t="shared" si="106"/>
        <v>0.995</v>
      </c>
      <c r="Q110" s="125">
        <f t="shared" si="106"/>
        <v>0.995</v>
      </c>
      <c r="R110" s="125">
        <f t="shared" si="106"/>
        <v>0</v>
      </c>
    </row>
    <row r="111" spans="1:18">
      <c r="A111" s="123" t="e">
        <f t="shared" ref="A111" si="123">CONCATENATE("Year-",#REF!)</f>
        <v>#REF!</v>
      </c>
      <c r="B111" s="35">
        <v>47604</v>
      </c>
      <c r="C111" s="26">
        <f t="shared" ref="C111:D126" si="124">C99</f>
        <v>217.9</v>
      </c>
      <c r="D111" s="26">
        <f t="shared" si="124"/>
        <v>221.90023470000006</v>
      </c>
      <c r="E111" s="31">
        <f t="shared" si="114"/>
        <v>61780</v>
      </c>
      <c r="F111" s="124">
        <f t="shared" ref="F111:R126" si="125">F99</f>
        <v>55.437733860726389</v>
      </c>
      <c r="G111" s="125">
        <f t="shared" si="125"/>
        <v>1.7865322950068707E-2</v>
      </c>
      <c r="H111" s="125">
        <f t="shared" si="125"/>
        <v>9.8339999999999997E-2</v>
      </c>
      <c r="I111" s="125">
        <f t="shared" si="125"/>
        <v>0.1306817577748349</v>
      </c>
      <c r="J111" s="125">
        <f t="shared" si="125"/>
        <v>1.609339136491415E-2</v>
      </c>
      <c r="K111" s="125">
        <f t="shared" si="125"/>
        <v>1.525163145425878E-2</v>
      </c>
      <c r="L111" s="125">
        <f t="shared" si="125"/>
        <v>1.5763583972179196E-2</v>
      </c>
      <c r="M111" s="125">
        <f t="shared" si="125"/>
        <v>0</v>
      </c>
      <c r="N111" s="125">
        <f t="shared" si="125"/>
        <v>2.2281870794181511E-2</v>
      </c>
      <c r="O111" s="125">
        <f t="shared" si="125"/>
        <v>1.1198342091846737E-2</v>
      </c>
      <c r="P111" s="125">
        <f t="shared" si="125"/>
        <v>0.995</v>
      </c>
      <c r="Q111" s="125">
        <f t="shared" si="125"/>
        <v>0.995</v>
      </c>
      <c r="R111" s="125">
        <f t="shared" si="125"/>
        <v>0</v>
      </c>
    </row>
    <row r="112" spans="1:18">
      <c r="A112" s="123" t="e">
        <f t="shared" ref="A112" si="126">CONCATENATE("Year-",#REF!)</f>
        <v>#REF!</v>
      </c>
      <c r="B112" s="35">
        <v>47635</v>
      </c>
      <c r="C112" s="26">
        <f t="shared" si="124"/>
        <v>192.8</v>
      </c>
      <c r="D112" s="26">
        <f t="shared" si="124"/>
        <v>200.20089519999999</v>
      </c>
      <c r="E112" s="31">
        <f t="shared" si="114"/>
        <v>53700</v>
      </c>
      <c r="F112" s="124">
        <f t="shared" si="125"/>
        <v>54.658309168315547</v>
      </c>
      <c r="G112" s="125">
        <f t="shared" si="125"/>
        <v>1.914123124676681E-2</v>
      </c>
      <c r="H112" s="125">
        <f t="shared" si="125"/>
        <v>9.8339999999999997E-2</v>
      </c>
      <c r="I112" s="125">
        <f t="shared" si="125"/>
        <v>0.12650723469382591</v>
      </c>
      <c r="J112" s="125">
        <f t="shared" si="125"/>
        <v>1.6398522844759341E-2</v>
      </c>
      <c r="K112" s="125">
        <f t="shared" si="125"/>
        <v>1.3926271600695752E-2</v>
      </c>
      <c r="L112" s="125">
        <f t="shared" si="125"/>
        <v>1.4057661793117321E-2</v>
      </c>
      <c r="M112" s="125">
        <f t="shared" si="125"/>
        <v>0</v>
      </c>
      <c r="N112" s="125">
        <f t="shared" si="125"/>
        <v>2.1677907023400757E-2</v>
      </c>
      <c r="O112" s="125">
        <f t="shared" si="125"/>
        <v>4.051685061336731E-3</v>
      </c>
      <c r="P112" s="125">
        <f t="shared" si="125"/>
        <v>0.995</v>
      </c>
      <c r="Q112" s="125">
        <f t="shared" si="125"/>
        <v>0.995</v>
      </c>
      <c r="R112" s="125">
        <f t="shared" si="125"/>
        <v>0</v>
      </c>
    </row>
    <row r="113" spans="1:18">
      <c r="A113" s="123" t="e">
        <f t="shared" ref="A113" si="127">CONCATENATE("Year-",#REF!)</f>
        <v>#REF!</v>
      </c>
      <c r="B113" s="35">
        <v>47665</v>
      </c>
      <c r="C113" s="26">
        <f t="shared" si="124"/>
        <v>168.9</v>
      </c>
      <c r="D113" s="26">
        <f t="shared" si="124"/>
        <v>173.59972409999992</v>
      </c>
      <c r="E113" s="31">
        <f t="shared" si="114"/>
        <v>49210</v>
      </c>
      <c r="F113" s="124">
        <f t="shared" si="125"/>
        <v>51.564857066184757</v>
      </c>
      <c r="G113" s="125">
        <f t="shared" si="125"/>
        <v>2.1854695806261204E-2</v>
      </c>
      <c r="H113" s="125">
        <f t="shared" si="125"/>
        <v>9.1784000000000004E-2</v>
      </c>
      <c r="I113" s="125">
        <f t="shared" si="125"/>
        <v>0.1089308468990661</v>
      </c>
      <c r="J113" s="125">
        <f t="shared" si="125"/>
        <v>1.5867586262633245E-2</v>
      </c>
      <c r="K113" s="125">
        <f t="shared" si="125"/>
        <v>1.231974144019694E-2</v>
      </c>
      <c r="L113" s="125">
        <f t="shared" si="125"/>
        <v>1.3502102014775261E-2</v>
      </c>
      <c r="M113" s="125">
        <f t="shared" si="125"/>
        <v>0</v>
      </c>
      <c r="N113" s="125">
        <f t="shared" si="125"/>
        <v>2.127320988616644E-2</v>
      </c>
      <c r="O113" s="125">
        <f t="shared" si="125"/>
        <v>1.5557262066246368E-3</v>
      </c>
      <c r="P113" s="125">
        <f t="shared" si="125"/>
        <v>0.995</v>
      </c>
      <c r="Q113" s="125">
        <f t="shared" si="125"/>
        <v>0.995</v>
      </c>
      <c r="R113" s="125">
        <f t="shared" si="125"/>
        <v>0</v>
      </c>
    </row>
    <row r="114" spans="1:18">
      <c r="A114" s="123" t="e">
        <f t="shared" ref="A114" si="128">CONCATENATE("Year-",#REF!)</f>
        <v>#REF!</v>
      </c>
      <c r="B114" s="35">
        <v>47696</v>
      </c>
      <c r="C114" s="26">
        <f t="shared" si="124"/>
        <v>174.2</v>
      </c>
      <c r="D114" s="26">
        <f t="shared" si="124"/>
        <v>172.6001566000001</v>
      </c>
      <c r="E114" s="31">
        <f t="shared" si="114"/>
        <v>50100</v>
      </c>
      <c r="F114" s="124">
        <f t="shared" si="125"/>
        <v>50.336592710430871</v>
      </c>
      <c r="G114" s="125">
        <f t="shared" si="125"/>
        <v>2.0196191575302946E-2</v>
      </c>
      <c r="H114" s="125">
        <f t="shared" si="125"/>
        <v>8.8506000000000001E-2</v>
      </c>
      <c r="I114" s="125">
        <f t="shared" si="125"/>
        <v>0.10494453414747008</v>
      </c>
      <c r="J114" s="125">
        <f t="shared" si="125"/>
        <v>1.507508977611231E-2</v>
      </c>
      <c r="K114" s="125">
        <f t="shared" si="125"/>
        <v>1.2791562311125756E-2</v>
      </c>
      <c r="L114" s="125">
        <f t="shared" si="125"/>
        <v>1.4116403195935955E-2</v>
      </c>
      <c r="M114" s="125">
        <f t="shared" si="125"/>
        <v>0</v>
      </c>
      <c r="N114" s="125">
        <f t="shared" si="125"/>
        <v>2.157456294953386E-2</v>
      </c>
      <c r="O114" s="125">
        <f t="shared" si="125"/>
        <v>6.2818876990405415E-3</v>
      </c>
      <c r="P114" s="125">
        <f t="shared" si="125"/>
        <v>0.995</v>
      </c>
      <c r="Q114" s="125">
        <f t="shared" si="125"/>
        <v>0.995</v>
      </c>
      <c r="R114" s="125">
        <f t="shared" si="125"/>
        <v>0</v>
      </c>
    </row>
    <row r="115" spans="1:18">
      <c r="A115" s="123" t="e">
        <f t="shared" ref="A115" si="129">CONCATENATE("Year-",#REF!)</f>
        <v>#REF!</v>
      </c>
      <c r="B115" s="35">
        <v>47727</v>
      </c>
      <c r="C115" s="26">
        <f t="shared" si="124"/>
        <v>192.1</v>
      </c>
      <c r="D115" s="26">
        <f t="shared" si="124"/>
        <v>178.89930529999984</v>
      </c>
      <c r="E115" s="31">
        <f t="shared" si="114"/>
        <v>52760</v>
      </c>
      <c r="F115" s="124">
        <f t="shared" si="125"/>
        <v>52.25059433997491</v>
      </c>
      <c r="G115" s="125">
        <f t="shared" si="125"/>
        <v>1.7196456487754141E-2</v>
      </c>
      <c r="H115" s="125">
        <f t="shared" si="125"/>
        <v>8.5227999999999998E-2</v>
      </c>
      <c r="I115" s="125">
        <f t="shared" si="125"/>
        <v>0.11387126505657014</v>
      </c>
      <c r="J115" s="125">
        <f t="shared" si="125"/>
        <v>1.3959618092500629E-2</v>
      </c>
      <c r="K115" s="125">
        <f t="shared" si="125"/>
        <v>1.4531255376132731E-2</v>
      </c>
      <c r="L115" s="125">
        <f t="shared" si="125"/>
        <v>1.4478833500810966E-2</v>
      </c>
      <c r="M115" s="125">
        <f t="shared" si="125"/>
        <v>0</v>
      </c>
      <c r="N115" s="125">
        <f t="shared" si="125"/>
        <v>2.2473527643153385E-2</v>
      </c>
      <c r="O115" s="125">
        <f t="shared" si="125"/>
        <v>1.1388926338936924E-2</v>
      </c>
      <c r="P115" s="125">
        <f t="shared" si="125"/>
        <v>0.995</v>
      </c>
      <c r="Q115" s="125">
        <f t="shared" si="125"/>
        <v>0.995</v>
      </c>
      <c r="R115" s="125">
        <f t="shared" si="125"/>
        <v>0</v>
      </c>
    </row>
    <row r="116" spans="1:18">
      <c r="A116" s="123" t="e">
        <f t="shared" ref="A116" si="130">CONCATENATE("Year-",#REF!)</f>
        <v>#REF!</v>
      </c>
      <c r="B116" s="35">
        <v>47757</v>
      </c>
      <c r="C116" s="26">
        <f t="shared" si="124"/>
        <v>202.3</v>
      </c>
      <c r="D116" s="26">
        <f t="shared" si="124"/>
        <v>174.60082279999986</v>
      </c>
      <c r="E116" s="31">
        <f t="shared" si="114"/>
        <v>57190</v>
      </c>
      <c r="F116" s="124">
        <f t="shared" si="125"/>
        <v>49.723937837075084</v>
      </c>
      <c r="G116" s="125">
        <f t="shared" si="125"/>
        <v>1.5873015873015817E-2</v>
      </c>
      <c r="H116" s="125">
        <f t="shared" si="125"/>
        <v>8.8506000000000001E-2</v>
      </c>
      <c r="I116" s="125">
        <f t="shared" si="125"/>
        <v>0.10390722673430232</v>
      </c>
      <c r="J116" s="125">
        <f t="shared" si="125"/>
        <v>1.4040704754284353E-2</v>
      </c>
      <c r="K116" s="125">
        <f t="shared" si="125"/>
        <v>1.526389492868482E-2</v>
      </c>
      <c r="L116" s="125">
        <f t="shared" si="125"/>
        <v>1.5324069649683622E-2</v>
      </c>
      <c r="M116" s="125">
        <f t="shared" si="125"/>
        <v>0</v>
      </c>
      <c r="N116" s="125">
        <f t="shared" si="125"/>
        <v>2.3043103417804571E-2</v>
      </c>
      <c r="O116" s="125">
        <f t="shared" si="125"/>
        <v>2.1184397869334348E-2</v>
      </c>
      <c r="P116" s="125">
        <f t="shared" si="125"/>
        <v>0.995</v>
      </c>
      <c r="Q116" s="125">
        <f t="shared" si="125"/>
        <v>0.995</v>
      </c>
      <c r="R116" s="125">
        <f t="shared" si="125"/>
        <v>0</v>
      </c>
    </row>
    <row r="117" spans="1:18">
      <c r="A117" s="123" t="e">
        <f t="shared" ref="A117" si="131">CONCATENATE("Year-",#REF!)</f>
        <v>#REF!</v>
      </c>
      <c r="B117" s="35">
        <v>47788</v>
      </c>
      <c r="C117" s="26">
        <f t="shared" si="124"/>
        <v>162.9</v>
      </c>
      <c r="D117" s="26">
        <f t="shared" si="124"/>
        <v>133.69942049999997</v>
      </c>
      <c r="E117" s="31">
        <f t="shared" si="114"/>
        <v>46900</v>
      </c>
      <c r="F117" s="124">
        <f t="shared" si="125"/>
        <v>42.187120547750681</v>
      </c>
      <c r="G117" s="125">
        <f t="shared" si="125"/>
        <v>1.5950920245398792E-2</v>
      </c>
      <c r="H117" s="125">
        <f t="shared" si="125"/>
        <v>8.8506000000000001E-2</v>
      </c>
      <c r="I117" s="125">
        <f t="shared" si="125"/>
        <v>6.9024239591701744E-2</v>
      </c>
      <c r="J117" s="125">
        <f t="shared" si="125"/>
        <v>1.4204952105287192E-2</v>
      </c>
      <c r="K117" s="125">
        <f t="shared" si="125"/>
        <v>1.3252885058363056E-2</v>
      </c>
      <c r="L117" s="125">
        <f t="shared" si="125"/>
        <v>1.3980442883231779E-2</v>
      </c>
      <c r="M117" s="125">
        <f t="shared" si="125"/>
        <v>0</v>
      </c>
      <c r="N117" s="125">
        <f t="shared" si="125"/>
        <v>2.30208488716231E-2</v>
      </c>
      <c r="O117" s="125">
        <f t="shared" si="125"/>
        <v>8.3479094998109554E-3</v>
      </c>
      <c r="P117" s="125">
        <f t="shared" si="125"/>
        <v>0.995</v>
      </c>
      <c r="Q117" s="125">
        <f t="shared" si="125"/>
        <v>0.995</v>
      </c>
      <c r="R117" s="125">
        <f t="shared" si="125"/>
        <v>0</v>
      </c>
    </row>
    <row r="118" spans="1:18">
      <c r="A118" s="123" t="e">
        <f t="shared" ref="A118" si="132">CONCATENATE("Year-",#REF!)</f>
        <v>#REF!</v>
      </c>
      <c r="B118" s="35">
        <v>47818</v>
      </c>
      <c r="C118" s="26">
        <f t="shared" si="124"/>
        <v>158.6</v>
      </c>
      <c r="D118" s="26">
        <f t="shared" si="124"/>
        <v>124.40004220000003</v>
      </c>
      <c r="E118" s="31">
        <f t="shared" si="114"/>
        <v>48280</v>
      </c>
      <c r="F118" s="124">
        <f t="shared" si="125"/>
        <v>36.076939444156181</v>
      </c>
      <c r="G118" s="125">
        <f t="shared" si="125"/>
        <v>1.5802781289506962E-2</v>
      </c>
      <c r="H118" s="125">
        <f t="shared" si="125"/>
        <v>8.8506000000000001E-2</v>
      </c>
      <c r="I118" s="125">
        <f t="shared" si="125"/>
        <v>4.4787946264861052E-2</v>
      </c>
      <c r="J118" s="125">
        <f t="shared" si="125"/>
        <v>1.4140595613406415E-2</v>
      </c>
      <c r="K118" s="125">
        <f t="shared" si="125"/>
        <v>1.2367081056294736E-2</v>
      </c>
      <c r="L118" s="125">
        <f t="shared" si="125"/>
        <v>1.3960975699298588E-2</v>
      </c>
      <c r="M118" s="125">
        <f t="shared" si="125"/>
        <v>0</v>
      </c>
      <c r="N118" s="125">
        <f t="shared" si="125"/>
        <v>2.3055036005913448E-2</v>
      </c>
      <c r="O118" s="125">
        <f t="shared" si="125"/>
        <v>3.6978876304825567E-3</v>
      </c>
      <c r="P118" s="125">
        <f t="shared" si="125"/>
        <v>0.995</v>
      </c>
      <c r="Q118" s="125">
        <f t="shared" si="125"/>
        <v>0.995</v>
      </c>
      <c r="R118" s="125">
        <f t="shared" si="125"/>
        <v>0</v>
      </c>
    </row>
    <row r="119" spans="1:18">
      <c r="A119" s="123" t="e">
        <f t="shared" ref="A119" si="133">CONCATENATE("Year-",#REF!)</f>
        <v>#REF!</v>
      </c>
      <c r="B119" s="35">
        <v>47849</v>
      </c>
      <c r="C119" s="26">
        <f t="shared" si="124"/>
        <v>169.028549</v>
      </c>
      <c r="D119" s="26">
        <f t="shared" si="124"/>
        <v>133.89933939999995</v>
      </c>
      <c r="E119" s="31">
        <f t="shared" si="114"/>
        <v>51260</v>
      </c>
      <c r="F119" s="124">
        <f t="shared" si="125"/>
        <v>34.970332119021293</v>
      </c>
      <c r="G119" s="125">
        <f t="shared" si="125"/>
        <v>1.7200474495848161E-2</v>
      </c>
      <c r="H119" s="125">
        <f t="shared" si="125"/>
        <v>8.8506000000000001E-2</v>
      </c>
      <c r="I119" s="125">
        <f t="shared" si="125"/>
        <v>4.0029940128316385E-2</v>
      </c>
      <c r="J119" s="125">
        <f t="shared" si="125"/>
        <v>1.4099625889623608E-2</v>
      </c>
      <c r="K119" s="125">
        <f t="shared" si="125"/>
        <v>1.267725762135744E-2</v>
      </c>
      <c r="L119" s="125">
        <f t="shared" si="125"/>
        <v>1.390175346828215E-2</v>
      </c>
      <c r="M119" s="125">
        <f t="shared" si="125"/>
        <v>0</v>
      </c>
      <c r="N119" s="125">
        <f t="shared" si="125"/>
        <v>2.298066658515029E-2</v>
      </c>
      <c r="O119" s="125">
        <f t="shared" si="125"/>
        <v>1.0644897972798715E-2</v>
      </c>
      <c r="P119" s="125">
        <f t="shared" si="125"/>
        <v>0.995</v>
      </c>
      <c r="Q119" s="125">
        <f t="shared" si="125"/>
        <v>0.995</v>
      </c>
      <c r="R119" s="125">
        <f t="shared" si="125"/>
        <v>0</v>
      </c>
    </row>
    <row r="120" spans="1:18">
      <c r="A120" s="123" t="e">
        <f t="shared" ref="A120" si="134">CONCATENATE("Year-",#REF!)</f>
        <v>#REF!</v>
      </c>
      <c r="B120" s="35">
        <v>47880</v>
      </c>
      <c r="C120" s="26">
        <f t="shared" si="124"/>
        <v>172.55912190000004</v>
      </c>
      <c r="D120" s="26">
        <f t="shared" si="124"/>
        <v>145.40077080000009</v>
      </c>
      <c r="E120" s="31">
        <f t="shared" si="114"/>
        <v>47290</v>
      </c>
      <c r="F120" s="124">
        <f t="shared" si="125"/>
        <v>40.252096455972236</v>
      </c>
      <c r="G120" s="125">
        <f t="shared" si="125"/>
        <v>1.510749564206848E-2</v>
      </c>
      <c r="H120" s="125">
        <f t="shared" si="125"/>
        <v>8.8506000000000001E-2</v>
      </c>
      <c r="I120" s="125">
        <f t="shared" si="125"/>
        <v>6.2111013936519133E-2</v>
      </c>
      <c r="J120" s="125">
        <f t="shared" si="125"/>
        <v>1.4175439055030284E-2</v>
      </c>
      <c r="K120" s="125">
        <f t="shared" si="125"/>
        <v>1.4384371816049681E-2</v>
      </c>
      <c r="L120" s="125">
        <f t="shared" si="125"/>
        <v>1.5915736744616871E-2</v>
      </c>
      <c r="M120" s="125">
        <f t="shared" si="125"/>
        <v>0</v>
      </c>
      <c r="N120" s="125">
        <f t="shared" si="125"/>
        <v>2.3268144471779773E-2</v>
      </c>
      <c r="O120" s="125">
        <f t="shared" si="125"/>
        <v>2.5052142565085967E-2</v>
      </c>
      <c r="P120" s="125">
        <f t="shared" si="125"/>
        <v>0.995</v>
      </c>
      <c r="Q120" s="125">
        <f t="shared" si="125"/>
        <v>0.995</v>
      </c>
      <c r="R120" s="125">
        <f t="shared" si="125"/>
        <v>0</v>
      </c>
    </row>
    <row r="121" spans="1:18">
      <c r="A121" s="123" t="e">
        <f t="shared" ref="A121" si="135">CONCATENATE("Year-",#REF!)</f>
        <v>#REF!</v>
      </c>
      <c r="B121" s="35">
        <v>47908</v>
      </c>
      <c r="C121" s="26">
        <f t="shared" si="124"/>
        <v>215.74576700000009</v>
      </c>
      <c r="D121" s="26">
        <f t="shared" si="124"/>
        <v>195.59891570000002</v>
      </c>
      <c r="E121" s="31">
        <f t="shared" si="114"/>
        <v>60510</v>
      </c>
      <c r="F121" s="124">
        <f t="shared" si="125"/>
        <v>47.179622377374095</v>
      </c>
      <c r="G121" s="125">
        <f t="shared" si="125"/>
        <v>1.5306122448979553E-2</v>
      </c>
      <c r="H121" s="125">
        <f t="shared" si="125"/>
        <v>9.1784000000000004E-2</v>
      </c>
      <c r="I121" s="125">
        <f t="shared" si="125"/>
        <v>9.4419706369976972E-2</v>
      </c>
      <c r="J121" s="125">
        <f t="shared" si="125"/>
        <v>1.4644787078611174E-2</v>
      </c>
      <c r="K121" s="125">
        <f t="shared" si="125"/>
        <v>1.6212630268737406E-2</v>
      </c>
      <c r="L121" s="125">
        <f t="shared" si="125"/>
        <v>2.0718676035686345E-2</v>
      </c>
      <c r="M121" s="125">
        <f t="shared" si="125"/>
        <v>0</v>
      </c>
      <c r="N121" s="125">
        <f t="shared" si="125"/>
        <v>2.3247057021314733E-2</v>
      </c>
      <c r="O121" s="125">
        <f t="shared" si="125"/>
        <v>3.9222124133286969E-2</v>
      </c>
      <c r="P121" s="125">
        <f t="shared" si="125"/>
        <v>0.995</v>
      </c>
      <c r="Q121" s="125">
        <f t="shared" si="125"/>
        <v>0.995</v>
      </c>
      <c r="R121" s="125">
        <f t="shared" si="125"/>
        <v>0</v>
      </c>
    </row>
    <row r="122" spans="1:18">
      <c r="A122" s="123" t="e">
        <f t="shared" ref="A122" si="136">CONCATENATE("Year-",#REF!)</f>
        <v>#REF!</v>
      </c>
      <c r="B122" s="35">
        <v>47939</v>
      </c>
      <c r="C122" s="26">
        <f t="shared" si="124"/>
        <v>215.9</v>
      </c>
      <c r="D122" s="26">
        <f t="shared" si="124"/>
        <v>208.99969899999999</v>
      </c>
      <c r="E122" s="31">
        <f t="shared" si="114"/>
        <v>58630</v>
      </c>
      <c r="F122" s="124">
        <f t="shared" si="125"/>
        <v>52.296499350965128</v>
      </c>
      <c r="G122" s="125">
        <f t="shared" si="125"/>
        <v>1.6658954187875996E-2</v>
      </c>
      <c r="H122" s="125">
        <f t="shared" si="125"/>
        <v>9.5061999999999994E-2</v>
      </c>
      <c r="I122" s="125">
        <f t="shared" si="125"/>
        <v>0.11719199751057031</v>
      </c>
      <c r="J122" s="125">
        <f t="shared" si="125"/>
        <v>1.5231272154623582E-2</v>
      </c>
      <c r="K122" s="125">
        <f t="shared" si="125"/>
        <v>1.6110689006976781E-2</v>
      </c>
      <c r="L122" s="125">
        <f t="shared" si="125"/>
        <v>1.8633277773980331E-2</v>
      </c>
      <c r="M122" s="125">
        <f t="shared" si="125"/>
        <v>0</v>
      </c>
      <c r="N122" s="125">
        <f t="shared" si="125"/>
        <v>2.2802418781094937E-2</v>
      </c>
      <c r="O122" s="125">
        <f t="shared" si="125"/>
        <v>2.7995485693316467E-2</v>
      </c>
      <c r="P122" s="125">
        <f t="shared" si="125"/>
        <v>0.995</v>
      </c>
      <c r="Q122" s="125">
        <f t="shared" si="125"/>
        <v>0.995</v>
      </c>
      <c r="R122" s="125">
        <f t="shared" si="125"/>
        <v>0</v>
      </c>
    </row>
    <row r="123" spans="1:18">
      <c r="A123" s="123" t="e">
        <f t="shared" ref="A123" si="137">CONCATENATE("Year-",#REF!)</f>
        <v>#REF!</v>
      </c>
      <c r="B123" s="35">
        <v>47969</v>
      </c>
      <c r="C123" s="26">
        <f t="shared" si="124"/>
        <v>217.9</v>
      </c>
      <c r="D123" s="26">
        <f t="shared" si="124"/>
        <v>221.90023470000006</v>
      </c>
      <c r="E123" s="31">
        <f t="shared" si="114"/>
        <v>61780</v>
      </c>
      <c r="F123" s="124">
        <f t="shared" si="125"/>
        <v>55.437733860726389</v>
      </c>
      <c r="G123" s="125">
        <f t="shared" si="125"/>
        <v>1.7865322950068707E-2</v>
      </c>
      <c r="H123" s="125">
        <f t="shared" si="125"/>
        <v>9.8339999999999997E-2</v>
      </c>
      <c r="I123" s="125">
        <f t="shared" si="125"/>
        <v>0.1306817577748349</v>
      </c>
      <c r="J123" s="125">
        <f t="shared" si="125"/>
        <v>1.609339136491415E-2</v>
      </c>
      <c r="K123" s="125">
        <f t="shared" si="125"/>
        <v>1.525163145425878E-2</v>
      </c>
      <c r="L123" s="125">
        <f t="shared" si="125"/>
        <v>1.5763583972179196E-2</v>
      </c>
      <c r="M123" s="125">
        <f t="shared" si="125"/>
        <v>0</v>
      </c>
      <c r="N123" s="125">
        <f t="shared" si="125"/>
        <v>2.2281870794181511E-2</v>
      </c>
      <c r="O123" s="125">
        <f t="shared" si="125"/>
        <v>1.1198342091846737E-2</v>
      </c>
      <c r="P123" s="125">
        <f t="shared" si="125"/>
        <v>0.995</v>
      </c>
      <c r="Q123" s="125">
        <f t="shared" si="125"/>
        <v>0.995</v>
      </c>
      <c r="R123" s="125">
        <f t="shared" si="125"/>
        <v>0</v>
      </c>
    </row>
    <row r="124" spans="1:18">
      <c r="A124" s="123" t="e">
        <f t="shared" ref="A124" si="138">CONCATENATE("Year-",#REF!)</f>
        <v>#REF!</v>
      </c>
      <c r="B124" s="35">
        <v>48000</v>
      </c>
      <c r="C124" s="26">
        <f t="shared" si="124"/>
        <v>192.8</v>
      </c>
      <c r="D124" s="26">
        <f t="shared" si="124"/>
        <v>200.20089519999999</v>
      </c>
      <c r="E124" s="31">
        <f t="shared" si="114"/>
        <v>53700</v>
      </c>
      <c r="F124" s="124">
        <f t="shared" si="125"/>
        <v>54.658309168315547</v>
      </c>
      <c r="G124" s="125">
        <f t="shared" si="125"/>
        <v>1.914123124676681E-2</v>
      </c>
      <c r="H124" s="125">
        <f t="shared" si="125"/>
        <v>9.8339999999999997E-2</v>
      </c>
      <c r="I124" s="125">
        <f t="shared" si="125"/>
        <v>0.12650723469382591</v>
      </c>
      <c r="J124" s="125">
        <f t="shared" si="125"/>
        <v>1.6398522844759341E-2</v>
      </c>
      <c r="K124" s="125">
        <f t="shared" si="125"/>
        <v>1.3926271600695752E-2</v>
      </c>
      <c r="L124" s="125">
        <f t="shared" si="125"/>
        <v>1.4057661793117321E-2</v>
      </c>
      <c r="M124" s="125">
        <f t="shared" si="125"/>
        <v>0</v>
      </c>
      <c r="N124" s="125">
        <f t="shared" si="125"/>
        <v>2.1677907023400757E-2</v>
      </c>
      <c r="O124" s="125">
        <f t="shared" si="125"/>
        <v>4.051685061336731E-3</v>
      </c>
      <c r="P124" s="125">
        <f t="shared" si="125"/>
        <v>0.995</v>
      </c>
      <c r="Q124" s="125">
        <f t="shared" si="125"/>
        <v>0.995</v>
      </c>
      <c r="R124" s="125">
        <f t="shared" si="125"/>
        <v>0</v>
      </c>
    </row>
    <row r="125" spans="1:18">
      <c r="A125" s="123" t="e">
        <f t="shared" ref="A125" si="139">CONCATENATE("Year-",#REF!)</f>
        <v>#REF!</v>
      </c>
      <c r="B125" s="35">
        <v>48030</v>
      </c>
      <c r="C125" s="26">
        <f t="shared" si="124"/>
        <v>168.9</v>
      </c>
      <c r="D125" s="26">
        <f t="shared" si="124"/>
        <v>173.59972409999992</v>
      </c>
      <c r="E125" s="31">
        <f t="shared" si="114"/>
        <v>49210</v>
      </c>
      <c r="F125" s="124">
        <f t="shared" si="125"/>
        <v>51.564857066184757</v>
      </c>
      <c r="G125" s="125">
        <f t="shared" si="125"/>
        <v>2.1854695806261204E-2</v>
      </c>
      <c r="H125" s="125">
        <f t="shared" si="125"/>
        <v>9.1784000000000004E-2</v>
      </c>
      <c r="I125" s="125">
        <f t="shared" si="125"/>
        <v>0.1089308468990661</v>
      </c>
      <c r="J125" s="125">
        <f t="shared" si="125"/>
        <v>1.5867586262633245E-2</v>
      </c>
      <c r="K125" s="125">
        <f t="shared" si="125"/>
        <v>1.231974144019694E-2</v>
      </c>
      <c r="L125" s="125">
        <f t="shared" si="125"/>
        <v>1.3502102014775261E-2</v>
      </c>
      <c r="M125" s="125">
        <f t="shared" si="125"/>
        <v>0</v>
      </c>
      <c r="N125" s="125">
        <f t="shared" si="125"/>
        <v>2.127320988616644E-2</v>
      </c>
      <c r="O125" s="125">
        <f t="shared" si="125"/>
        <v>1.5557262066246368E-3</v>
      </c>
      <c r="P125" s="125">
        <f t="shared" si="125"/>
        <v>0.995</v>
      </c>
      <c r="Q125" s="125">
        <f t="shared" si="125"/>
        <v>0.995</v>
      </c>
      <c r="R125" s="125">
        <f t="shared" si="125"/>
        <v>0</v>
      </c>
    </row>
    <row r="126" spans="1:18">
      <c r="A126" s="123" t="e">
        <f t="shared" ref="A126" si="140">CONCATENATE("Year-",#REF!)</f>
        <v>#REF!</v>
      </c>
      <c r="B126" s="35">
        <v>48061</v>
      </c>
      <c r="C126" s="26">
        <f t="shared" si="124"/>
        <v>174.2</v>
      </c>
      <c r="D126" s="26">
        <f t="shared" si="124"/>
        <v>172.6001566000001</v>
      </c>
      <c r="E126" s="31">
        <f t="shared" si="114"/>
        <v>50100</v>
      </c>
      <c r="F126" s="124">
        <f t="shared" si="125"/>
        <v>50.336592710430871</v>
      </c>
      <c r="G126" s="125">
        <f t="shared" si="125"/>
        <v>2.0196191575302946E-2</v>
      </c>
      <c r="H126" s="125">
        <f t="shared" si="125"/>
        <v>8.8506000000000001E-2</v>
      </c>
      <c r="I126" s="125">
        <f t="shared" si="125"/>
        <v>0.10494453414747008</v>
      </c>
      <c r="J126" s="125">
        <f t="shared" si="125"/>
        <v>1.507508977611231E-2</v>
      </c>
      <c r="K126" s="125">
        <f t="shared" si="125"/>
        <v>1.2791562311125756E-2</v>
      </c>
      <c r="L126" s="125">
        <f t="shared" si="125"/>
        <v>1.4116403195935955E-2</v>
      </c>
      <c r="M126" s="125">
        <f t="shared" si="125"/>
        <v>0</v>
      </c>
      <c r="N126" s="125">
        <f t="shared" si="125"/>
        <v>2.157456294953386E-2</v>
      </c>
      <c r="O126" s="125">
        <f t="shared" si="125"/>
        <v>6.2818876990405415E-3</v>
      </c>
      <c r="P126" s="125">
        <f t="shared" si="125"/>
        <v>0.995</v>
      </c>
      <c r="Q126" s="125">
        <f t="shared" si="125"/>
        <v>0.995</v>
      </c>
      <c r="R126" s="125">
        <f t="shared" si="125"/>
        <v>0</v>
      </c>
    </row>
    <row r="127" spans="1:18">
      <c r="A127" s="123" t="e">
        <f t="shared" ref="A127" si="141">CONCATENATE("Year-",#REF!)</f>
        <v>#REF!</v>
      </c>
      <c r="B127" s="35">
        <v>48092</v>
      </c>
      <c r="C127" s="26">
        <f t="shared" ref="C127:D142" si="142">C115</f>
        <v>192.1</v>
      </c>
      <c r="D127" s="26">
        <f t="shared" si="142"/>
        <v>178.89930529999984</v>
      </c>
      <c r="E127" s="31">
        <f t="shared" si="114"/>
        <v>52760</v>
      </c>
      <c r="F127" s="124">
        <f t="shared" ref="F127:R142" si="143">F115</f>
        <v>52.25059433997491</v>
      </c>
      <c r="G127" s="125">
        <f t="shared" si="143"/>
        <v>1.7196456487754141E-2</v>
      </c>
      <c r="H127" s="125">
        <f t="shared" si="143"/>
        <v>8.5227999999999998E-2</v>
      </c>
      <c r="I127" s="125">
        <f t="shared" si="143"/>
        <v>0.11387126505657014</v>
      </c>
      <c r="J127" s="125">
        <f t="shared" si="143"/>
        <v>1.3959618092500629E-2</v>
      </c>
      <c r="K127" s="125">
        <f t="shared" si="143"/>
        <v>1.4531255376132731E-2</v>
      </c>
      <c r="L127" s="125">
        <f t="shared" si="143"/>
        <v>1.4478833500810966E-2</v>
      </c>
      <c r="M127" s="125">
        <f t="shared" si="143"/>
        <v>0</v>
      </c>
      <c r="N127" s="125">
        <f t="shared" si="143"/>
        <v>2.2473527643153385E-2</v>
      </c>
      <c r="O127" s="125">
        <f t="shared" si="143"/>
        <v>1.1388926338936924E-2</v>
      </c>
      <c r="P127" s="125">
        <f t="shared" si="143"/>
        <v>0.995</v>
      </c>
      <c r="Q127" s="125">
        <f t="shared" si="143"/>
        <v>0.995</v>
      </c>
      <c r="R127" s="125">
        <f t="shared" si="143"/>
        <v>0</v>
      </c>
    </row>
    <row r="128" spans="1:18">
      <c r="A128" s="123" t="e">
        <f t="shared" ref="A128" si="144">CONCATENATE("Year-",#REF!)</f>
        <v>#REF!</v>
      </c>
      <c r="B128" s="35">
        <v>48122</v>
      </c>
      <c r="C128" s="26">
        <f t="shared" si="142"/>
        <v>202.3</v>
      </c>
      <c r="D128" s="26">
        <f t="shared" si="142"/>
        <v>174.60082279999986</v>
      </c>
      <c r="E128" s="31">
        <f t="shared" si="114"/>
        <v>57190</v>
      </c>
      <c r="F128" s="124">
        <f t="shared" si="143"/>
        <v>49.723937837075084</v>
      </c>
      <c r="G128" s="125">
        <f t="shared" si="143"/>
        <v>1.5873015873015817E-2</v>
      </c>
      <c r="H128" s="125">
        <f t="shared" si="143"/>
        <v>8.8506000000000001E-2</v>
      </c>
      <c r="I128" s="125">
        <f t="shared" si="143"/>
        <v>0.10390722673430232</v>
      </c>
      <c r="J128" s="125">
        <f t="shared" si="143"/>
        <v>1.4040704754284353E-2</v>
      </c>
      <c r="K128" s="125">
        <f t="shared" si="143"/>
        <v>1.526389492868482E-2</v>
      </c>
      <c r="L128" s="125">
        <f t="shared" si="143"/>
        <v>1.5324069649683622E-2</v>
      </c>
      <c r="M128" s="125">
        <f t="shared" si="143"/>
        <v>0</v>
      </c>
      <c r="N128" s="125">
        <f t="shared" si="143"/>
        <v>2.3043103417804571E-2</v>
      </c>
      <c r="O128" s="125">
        <f t="shared" si="143"/>
        <v>2.1184397869334348E-2</v>
      </c>
      <c r="P128" s="125">
        <f t="shared" si="143"/>
        <v>0.995</v>
      </c>
      <c r="Q128" s="125">
        <f t="shared" si="143"/>
        <v>0.995</v>
      </c>
      <c r="R128" s="125">
        <f t="shared" si="143"/>
        <v>0</v>
      </c>
    </row>
    <row r="129" spans="1:18">
      <c r="A129" s="123" t="e">
        <f t="shared" ref="A129" si="145">CONCATENATE("Year-",#REF!)</f>
        <v>#REF!</v>
      </c>
      <c r="B129" s="35">
        <v>48153</v>
      </c>
      <c r="C129" s="26">
        <f t="shared" si="142"/>
        <v>162.9</v>
      </c>
      <c r="D129" s="26">
        <f t="shared" si="142"/>
        <v>133.69942049999997</v>
      </c>
      <c r="E129" s="31">
        <f t="shared" si="114"/>
        <v>46900</v>
      </c>
      <c r="F129" s="124">
        <f t="shared" si="143"/>
        <v>42.187120547750681</v>
      </c>
      <c r="G129" s="125">
        <f t="shared" si="143"/>
        <v>1.5950920245398792E-2</v>
      </c>
      <c r="H129" s="125">
        <f t="shared" si="143"/>
        <v>8.8506000000000001E-2</v>
      </c>
      <c r="I129" s="125">
        <f t="shared" si="143"/>
        <v>6.9024239591701744E-2</v>
      </c>
      <c r="J129" s="125">
        <f t="shared" si="143"/>
        <v>1.4204952105287192E-2</v>
      </c>
      <c r="K129" s="125">
        <f t="shared" si="143"/>
        <v>1.3252885058363056E-2</v>
      </c>
      <c r="L129" s="125">
        <f t="shared" si="143"/>
        <v>1.3980442883231779E-2</v>
      </c>
      <c r="M129" s="125">
        <f t="shared" si="143"/>
        <v>0</v>
      </c>
      <c r="N129" s="125">
        <f t="shared" si="143"/>
        <v>2.30208488716231E-2</v>
      </c>
      <c r="O129" s="125">
        <f t="shared" si="143"/>
        <v>8.3479094998109554E-3</v>
      </c>
      <c r="P129" s="125">
        <f t="shared" si="143"/>
        <v>0.995</v>
      </c>
      <c r="Q129" s="125">
        <f t="shared" si="143"/>
        <v>0.995</v>
      </c>
      <c r="R129" s="125">
        <f t="shared" si="143"/>
        <v>0</v>
      </c>
    </row>
    <row r="130" spans="1:18">
      <c r="A130" s="123" t="e">
        <f t="shared" ref="A130" si="146">CONCATENATE("Year-",#REF!)</f>
        <v>#REF!</v>
      </c>
      <c r="B130" s="35">
        <v>48183</v>
      </c>
      <c r="C130" s="26">
        <f t="shared" si="142"/>
        <v>158.6</v>
      </c>
      <c r="D130" s="26">
        <f t="shared" si="142"/>
        <v>124.40004220000003</v>
      </c>
      <c r="E130" s="31">
        <f t="shared" si="114"/>
        <v>48280</v>
      </c>
      <c r="F130" s="124">
        <f t="shared" si="143"/>
        <v>36.076939444156181</v>
      </c>
      <c r="G130" s="125">
        <f t="shared" si="143"/>
        <v>1.5802781289506962E-2</v>
      </c>
      <c r="H130" s="125">
        <f t="shared" si="143"/>
        <v>8.8506000000000001E-2</v>
      </c>
      <c r="I130" s="125">
        <f t="shared" si="143"/>
        <v>4.4787946264861052E-2</v>
      </c>
      <c r="J130" s="125">
        <f t="shared" si="143"/>
        <v>1.4140595613406415E-2</v>
      </c>
      <c r="K130" s="125">
        <f t="shared" si="143"/>
        <v>1.2367081056294736E-2</v>
      </c>
      <c r="L130" s="125">
        <f t="shared" si="143"/>
        <v>1.3960975699298588E-2</v>
      </c>
      <c r="M130" s="125">
        <f t="shared" si="143"/>
        <v>0</v>
      </c>
      <c r="N130" s="125">
        <f t="shared" si="143"/>
        <v>2.3055036005913448E-2</v>
      </c>
      <c r="O130" s="125">
        <f t="shared" si="143"/>
        <v>3.6978876304825567E-3</v>
      </c>
      <c r="P130" s="125">
        <f t="shared" si="143"/>
        <v>0.995</v>
      </c>
      <c r="Q130" s="125">
        <f t="shared" si="143"/>
        <v>0.995</v>
      </c>
      <c r="R130" s="125">
        <f t="shared" si="143"/>
        <v>0</v>
      </c>
    </row>
    <row r="131" spans="1:18">
      <c r="A131" s="123" t="e">
        <f t="shared" ref="A131" si="147">CONCATENATE("Year-",#REF!)</f>
        <v>#REF!</v>
      </c>
      <c r="B131" s="35">
        <v>48214</v>
      </c>
      <c r="C131" s="26">
        <f t="shared" si="142"/>
        <v>169.028549</v>
      </c>
      <c r="D131" s="26">
        <f t="shared" si="142"/>
        <v>133.89933939999995</v>
      </c>
      <c r="E131" s="31">
        <f t="shared" si="114"/>
        <v>51260</v>
      </c>
      <c r="F131" s="124">
        <f t="shared" si="143"/>
        <v>34.970332119021293</v>
      </c>
      <c r="G131" s="125">
        <f t="shared" si="143"/>
        <v>1.7200474495848161E-2</v>
      </c>
      <c r="H131" s="125">
        <f t="shared" si="143"/>
        <v>8.8506000000000001E-2</v>
      </c>
      <c r="I131" s="125">
        <f t="shared" si="143"/>
        <v>4.0029940128316385E-2</v>
      </c>
      <c r="J131" s="125">
        <f t="shared" si="143"/>
        <v>1.4099625889623608E-2</v>
      </c>
      <c r="K131" s="125">
        <f t="shared" si="143"/>
        <v>1.267725762135744E-2</v>
      </c>
      <c r="L131" s="125">
        <f t="shared" si="143"/>
        <v>1.390175346828215E-2</v>
      </c>
      <c r="M131" s="125">
        <f t="shared" si="143"/>
        <v>0</v>
      </c>
      <c r="N131" s="125">
        <f t="shared" si="143"/>
        <v>2.298066658515029E-2</v>
      </c>
      <c r="O131" s="125">
        <f t="shared" si="143"/>
        <v>1.0644897972798715E-2</v>
      </c>
      <c r="P131" s="125">
        <f t="shared" si="143"/>
        <v>0.995</v>
      </c>
      <c r="Q131" s="125">
        <f t="shared" si="143"/>
        <v>0.995</v>
      </c>
      <c r="R131" s="125">
        <f t="shared" si="143"/>
        <v>0</v>
      </c>
    </row>
    <row r="132" spans="1:18">
      <c r="A132" s="123" t="e">
        <f t="shared" ref="A132" si="148">CONCATENATE("Year-",#REF!)</f>
        <v>#REF!</v>
      </c>
      <c r="B132" s="35">
        <v>48245</v>
      </c>
      <c r="C132" s="26">
        <f t="shared" si="142"/>
        <v>172.55912190000004</v>
      </c>
      <c r="D132" s="26">
        <f t="shared" si="142"/>
        <v>145.40077080000009</v>
      </c>
      <c r="E132" s="31">
        <f t="shared" si="114"/>
        <v>47290</v>
      </c>
      <c r="F132" s="124">
        <f t="shared" si="143"/>
        <v>40.252096455972236</v>
      </c>
      <c r="G132" s="125">
        <f t="shared" si="143"/>
        <v>1.510749564206848E-2</v>
      </c>
      <c r="H132" s="125">
        <f t="shared" si="143"/>
        <v>8.8506000000000001E-2</v>
      </c>
      <c r="I132" s="125">
        <f t="shared" si="143"/>
        <v>6.2111013936519133E-2</v>
      </c>
      <c r="J132" s="125">
        <f t="shared" si="143"/>
        <v>1.4175439055030284E-2</v>
      </c>
      <c r="K132" s="125">
        <f t="shared" si="143"/>
        <v>1.4384371816049681E-2</v>
      </c>
      <c r="L132" s="125">
        <f t="shared" si="143"/>
        <v>1.5915736744616871E-2</v>
      </c>
      <c r="M132" s="125">
        <f t="shared" si="143"/>
        <v>0</v>
      </c>
      <c r="N132" s="125">
        <f t="shared" si="143"/>
        <v>2.3268144471779773E-2</v>
      </c>
      <c r="O132" s="125">
        <f t="shared" si="143"/>
        <v>2.5052142565085967E-2</v>
      </c>
      <c r="P132" s="125">
        <f t="shared" si="143"/>
        <v>0.995</v>
      </c>
      <c r="Q132" s="125">
        <f t="shared" si="143"/>
        <v>0.995</v>
      </c>
      <c r="R132" s="125">
        <f t="shared" si="143"/>
        <v>0</v>
      </c>
    </row>
    <row r="133" spans="1:18">
      <c r="A133" s="123" t="e">
        <f t="shared" ref="A133" si="149">CONCATENATE("Year-",#REF!)</f>
        <v>#REF!</v>
      </c>
      <c r="B133" s="35">
        <v>48274</v>
      </c>
      <c r="C133" s="26">
        <f t="shared" si="142"/>
        <v>215.74576700000009</v>
      </c>
      <c r="D133" s="26">
        <f t="shared" si="142"/>
        <v>195.59891570000002</v>
      </c>
      <c r="E133" s="31">
        <f t="shared" si="114"/>
        <v>60510</v>
      </c>
      <c r="F133" s="124">
        <f t="shared" si="143"/>
        <v>47.179622377374095</v>
      </c>
      <c r="G133" s="125">
        <f t="shared" si="143"/>
        <v>1.5306122448979553E-2</v>
      </c>
      <c r="H133" s="125">
        <f t="shared" si="143"/>
        <v>9.1784000000000004E-2</v>
      </c>
      <c r="I133" s="125">
        <f t="shared" si="143"/>
        <v>9.4419706369976972E-2</v>
      </c>
      <c r="J133" s="125">
        <f t="shared" si="143"/>
        <v>1.4644787078611174E-2</v>
      </c>
      <c r="K133" s="125">
        <f t="shared" si="143"/>
        <v>1.6212630268737406E-2</v>
      </c>
      <c r="L133" s="125">
        <f t="shared" si="143"/>
        <v>2.0718676035686345E-2</v>
      </c>
      <c r="M133" s="125">
        <f t="shared" si="143"/>
        <v>0</v>
      </c>
      <c r="N133" s="125">
        <f t="shared" si="143"/>
        <v>2.3247057021314733E-2</v>
      </c>
      <c r="O133" s="125">
        <f t="shared" si="143"/>
        <v>3.9222124133286969E-2</v>
      </c>
      <c r="P133" s="125">
        <f t="shared" si="143"/>
        <v>0.995</v>
      </c>
      <c r="Q133" s="125">
        <f t="shared" si="143"/>
        <v>0.995</v>
      </c>
      <c r="R133" s="125">
        <f t="shared" si="143"/>
        <v>0</v>
      </c>
    </row>
    <row r="134" spans="1:18">
      <c r="A134" s="123" t="e">
        <f t="shared" ref="A134" si="150">CONCATENATE("Year-",#REF!)</f>
        <v>#REF!</v>
      </c>
      <c r="B134" s="35">
        <v>48305</v>
      </c>
      <c r="C134" s="26">
        <f t="shared" si="142"/>
        <v>215.9</v>
      </c>
      <c r="D134" s="26">
        <f t="shared" si="142"/>
        <v>208.99969899999999</v>
      </c>
      <c r="E134" s="31">
        <f t="shared" si="114"/>
        <v>58630</v>
      </c>
      <c r="F134" s="124">
        <f t="shared" si="143"/>
        <v>52.296499350965128</v>
      </c>
      <c r="G134" s="125">
        <f t="shared" si="143"/>
        <v>1.6658954187875996E-2</v>
      </c>
      <c r="H134" s="125">
        <f t="shared" si="143"/>
        <v>9.5061999999999994E-2</v>
      </c>
      <c r="I134" s="125">
        <f t="shared" si="143"/>
        <v>0.11719199751057031</v>
      </c>
      <c r="J134" s="125">
        <f t="shared" si="143"/>
        <v>1.5231272154623582E-2</v>
      </c>
      <c r="K134" s="125">
        <f t="shared" si="143"/>
        <v>1.6110689006976781E-2</v>
      </c>
      <c r="L134" s="125">
        <f t="shared" si="143"/>
        <v>1.8633277773980331E-2</v>
      </c>
      <c r="M134" s="125">
        <f t="shared" si="143"/>
        <v>0</v>
      </c>
      <c r="N134" s="125">
        <f t="shared" si="143"/>
        <v>2.2802418781094937E-2</v>
      </c>
      <c r="O134" s="125">
        <f t="shared" si="143"/>
        <v>2.7995485693316467E-2</v>
      </c>
      <c r="P134" s="125">
        <f t="shared" si="143"/>
        <v>0.995</v>
      </c>
      <c r="Q134" s="125">
        <f t="shared" si="143"/>
        <v>0.995</v>
      </c>
      <c r="R134" s="125">
        <f t="shared" si="143"/>
        <v>0</v>
      </c>
    </row>
    <row r="135" spans="1:18">
      <c r="A135" s="123" t="e">
        <f t="shared" ref="A135" si="151">CONCATENATE("Year-",#REF!)</f>
        <v>#REF!</v>
      </c>
      <c r="B135" s="35">
        <v>48335</v>
      </c>
      <c r="C135" s="26">
        <f t="shared" si="142"/>
        <v>217.9</v>
      </c>
      <c r="D135" s="26">
        <f t="shared" si="142"/>
        <v>221.90023470000006</v>
      </c>
      <c r="E135" s="31">
        <f t="shared" si="114"/>
        <v>61780</v>
      </c>
      <c r="F135" s="124">
        <f t="shared" si="143"/>
        <v>55.437733860726389</v>
      </c>
      <c r="G135" s="125">
        <f t="shared" si="143"/>
        <v>1.7865322950068707E-2</v>
      </c>
      <c r="H135" s="125">
        <f t="shared" si="143"/>
        <v>9.8339999999999997E-2</v>
      </c>
      <c r="I135" s="125">
        <f t="shared" si="143"/>
        <v>0.1306817577748349</v>
      </c>
      <c r="J135" s="125">
        <f t="shared" si="143"/>
        <v>1.609339136491415E-2</v>
      </c>
      <c r="K135" s="125">
        <f t="shared" si="143"/>
        <v>1.525163145425878E-2</v>
      </c>
      <c r="L135" s="125">
        <f t="shared" si="143"/>
        <v>1.5763583972179196E-2</v>
      </c>
      <c r="M135" s="125">
        <f t="shared" si="143"/>
        <v>0</v>
      </c>
      <c r="N135" s="125">
        <f t="shared" si="143"/>
        <v>2.2281870794181511E-2</v>
      </c>
      <c r="O135" s="125">
        <f t="shared" si="143"/>
        <v>1.1198342091846737E-2</v>
      </c>
      <c r="P135" s="125">
        <f t="shared" si="143"/>
        <v>0.995</v>
      </c>
      <c r="Q135" s="125">
        <f t="shared" si="143"/>
        <v>0.995</v>
      </c>
      <c r="R135" s="125">
        <f t="shared" si="143"/>
        <v>0</v>
      </c>
    </row>
    <row r="136" spans="1:18">
      <c r="A136" s="123" t="e">
        <f t="shared" ref="A136" si="152">CONCATENATE("Year-",#REF!)</f>
        <v>#REF!</v>
      </c>
      <c r="B136" s="35">
        <v>48366</v>
      </c>
      <c r="C136" s="26">
        <f t="shared" si="142"/>
        <v>192.8</v>
      </c>
      <c r="D136" s="26">
        <f t="shared" si="142"/>
        <v>200.20089519999999</v>
      </c>
      <c r="E136" s="31">
        <f t="shared" si="114"/>
        <v>53700</v>
      </c>
      <c r="F136" s="124">
        <f t="shared" si="143"/>
        <v>54.658309168315547</v>
      </c>
      <c r="G136" s="125">
        <f t="shared" si="143"/>
        <v>1.914123124676681E-2</v>
      </c>
      <c r="H136" s="125">
        <f t="shared" si="143"/>
        <v>9.8339999999999997E-2</v>
      </c>
      <c r="I136" s="125">
        <f t="shared" si="143"/>
        <v>0.12650723469382591</v>
      </c>
      <c r="J136" s="125">
        <f t="shared" si="143"/>
        <v>1.6398522844759341E-2</v>
      </c>
      <c r="K136" s="125">
        <f t="shared" si="143"/>
        <v>1.3926271600695752E-2</v>
      </c>
      <c r="L136" s="125">
        <f t="shared" si="143"/>
        <v>1.4057661793117321E-2</v>
      </c>
      <c r="M136" s="125">
        <f t="shared" si="143"/>
        <v>0</v>
      </c>
      <c r="N136" s="125">
        <f t="shared" si="143"/>
        <v>2.1677907023400757E-2</v>
      </c>
      <c r="O136" s="125">
        <f t="shared" si="143"/>
        <v>4.051685061336731E-3</v>
      </c>
      <c r="P136" s="125">
        <f t="shared" si="143"/>
        <v>0.995</v>
      </c>
      <c r="Q136" s="125">
        <f t="shared" si="143"/>
        <v>0.995</v>
      </c>
      <c r="R136" s="125">
        <f t="shared" si="143"/>
        <v>0</v>
      </c>
    </row>
    <row r="137" spans="1:18">
      <c r="A137" s="123" t="e">
        <f t="shared" ref="A137" si="153">CONCATENATE("Year-",#REF!)</f>
        <v>#REF!</v>
      </c>
      <c r="B137" s="35">
        <v>48396</v>
      </c>
      <c r="C137" s="26">
        <f t="shared" si="142"/>
        <v>168.9</v>
      </c>
      <c r="D137" s="26">
        <f t="shared" si="142"/>
        <v>173.59972409999992</v>
      </c>
      <c r="E137" s="31">
        <f t="shared" si="114"/>
        <v>49210</v>
      </c>
      <c r="F137" s="124">
        <f t="shared" si="143"/>
        <v>51.564857066184757</v>
      </c>
      <c r="G137" s="125">
        <f t="shared" si="143"/>
        <v>2.1854695806261204E-2</v>
      </c>
      <c r="H137" s="125">
        <f t="shared" si="143"/>
        <v>9.1784000000000004E-2</v>
      </c>
      <c r="I137" s="125">
        <f t="shared" si="143"/>
        <v>0.1089308468990661</v>
      </c>
      <c r="J137" s="125">
        <f t="shared" si="143"/>
        <v>1.5867586262633245E-2</v>
      </c>
      <c r="K137" s="125">
        <f t="shared" si="143"/>
        <v>1.231974144019694E-2</v>
      </c>
      <c r="L137" s="125">
        <f t="shared" si="143"/>
        <v>1.3502102014775261E-2</v>
      </c>
      <c r="M137" s="125">
        <f t="shared" si="143"/>
        <v>0</v>
      </c>
      <c r="N137" s="125">
        <f t="shared" si="143"/>
        <v>2.127320988616644E-2</v>
      </c>
      <c r="O137" s="125">
        <f t="shared" si="143"/>
        <v>1.5557262066246368E-3</v>
      </c>
      <c r="P137" s="125">
        <f t="shared" si="143"/>
        <v>0.995</v>
      </c>
      <c r="Q137" s="125">
        <f t="shared" si="143"/>
        <v>0.995</v>
      </c>
      <c r="R137" s="125">
        <f t="shared" si="143"/>
        <v>0</v>
      </c>
    </row>
    <row r="138" spans="1:18">
      <c r="A138" s="123" t="e">
        <f t="shared" ref="A138" si="154">CONCATENATE("Year-",#REF!)</f>
        <v>#REF!</v>
      </c>
      <c r="B138" s="35">
        <v>48427</v>
      </c>
      <c r="C138" s="26">
        <f t="shared" si="142"/>
        <v>174.2</v>
      </c>
      <c r="D138" s="26">
        <f t="shared" si="142"/>
        <v>172.6001566000001</v>
      </c>
      <c r="E138" s="31">
        <f t="shared" si="114"/>
        <v>50100</v>
      </c>
      <c r="F138" s="124">
        <f t="shared" si="143"/>
        <v>50.336592710430871</v>
      </c>
      <c r="G138" s="125">
        <f t="shared" si="143"/>
        <v>2.0196191575302946E-2</v>
      </c>
      <c r="H138" s="125">
        <f t="shared" si="143"/>
        <v>8.8506000000000001E-2</v>
      </c>
      <c r="I138" s="125">
        <f t="shared" si="143"/>
        <v>0.10494453414747008</v>
      </c>
      <c r="J138" s="125">
        <f t="shared" si="143"/>
        <v>1.507508977611231E-2</v>
      </c>
      <c r="K138" s="125">
        <f t="shared" si="143"/>
        <v>1.2791562311125756E-2</v>
      </c>
      <c r="L138" s="125">
        <f t="shared" si="143"/>
        <v>1.4116403195935955E-2</v>
      </c>
      <c r="M138" s="125">
        <f t="shared" si="143"/>
        <v>0</v>
      </c>
      <c r="N138" s="125">
        <f t="shared" si="143"/>
        <v>2.157456294953386E-2</v>
      </c>
      <c r="O138" s="125">
        <f t="shared" si="143"/>
        <v>6.2818876990405415E-3</v>
      </c>
      <c r="P138" s="125">
        <f t="shared" si="143"/>
        <v>0.995</v>
      </c>
      <c r="Q138" s="125">
        <f t="shared" si="143"/>
        <v>0.995</v>
      </c>
      <c r="R138" s="125">
        <f t="shared" si="143"/>
        <v>0</v>
      </c>
    </row>
    <row r="139" spans="1:18">
      <c r="A139" s="123" t="e">
        <f t="shared" ref="A139" si="155">CONCATENATE("Year-",#REF!)</f>
        <v>#REF!</v>
      </c>
      <c r="B139" s="35">
        <v>48458</v>
      </c>
      <c r="C139" s="26">
        <f t="shared" si="142"/>
        <v>192.1</v>
      </c>
      <c r="D139" s="26">
        <f t="shared" si="142"/>
        <v>178.89930529999984</v>
      </c>
      <c r="E139" s="31">
        <f t="shared" si="114"/>
        <v>52760</v>
      </c>
      <c r="F139" s="124">
        <f t="shared" si="143"/>
        <v>52.25059433997491</v>
      </c>
      <c r="G139" s="125">
        <f t="shared" si="143"/>
        <v>1.7196456487754141E-2</v>
      </c>
      <c r="H139" s="125">
        <f t="shared" si="143"/>
        <v>8.5227999999999998E-2</v>
      </c>
      <c r="I139" s="125">
        <f t="shared" si="143"/>
        <v>0.11387126505657014</v>
      </c>
      <c r="J139" s="125">
        <f t="shared" si="143"/>
        <v>1.3959618092500629E-2</v>
      </c>
      <c r="K139" s="125">
        <f t="shared" si="143"/>
        <v>1.4531255376132731E-2</v>
      </c>
      <c r="L139" s="125">
        <f t="shared" si="143"/>
        <v>1.4478833500810966E-2</v>
      </c>
      <c r="M139" s="125">
        <f t="shared" si="143"/>
        <v>0</v>
      </c>
      <c r="N139" s="125">
        <f t="shared" si="143"/>
        <v>2.2473527643153385E-2</v>
      </c>
      <c r="O139" s="125">
        <f t="shared" si="143"/>
        <v>1.1388926338936924E-2</v>
      </c>
      <c r="P139" s="125">
        <f t="shared" si="143"/>
        <v>0.995</v>
      </c>
      <c r="Q139" s="125">
        <f t="shared" si="143"/>
        <v>0.995</v>
      </c>
      <c r="R139" s="125">
        <f t="shared" si="143"/>
        <v>0</v>
      </c>
    </row>
    <row r="140" spans="1:18">
      <c r="A140" s="123" t="e">
        <f t="shared" ref="A140" si="156">CONCATENATE("Year-",#REF!)</f>
        <v>#REF!</v>
      </c>
      <c r="B140" s="35">
        <v>48488</v>
      </c>
      <c r="C140" s="26">
        <f t="shared" si="142"/>
        <v>202.3</v>
      </c>
      <c r="D140" s="26">
        <f t="shared" si="142"/>
        <v>174.60082279999986</v>
      </c>
      <c r="E140" s="31">
        <f t="shared" si="114"/>
        <v>57190</v>
      </c>
      <c r="F140" s="124">
        <f t="shared" si="143"/>
        <v>49.723937837075084</v>
      </c>
      <c r="G140" s="125">
        <f t="shared" si="143"/>
        <v>1.5873015873015817E-2</v>
      </c>
      <c r="H140" s="125">
        <f t="shared" si="143"/>
        <v>8.8506000000000001E-2</v>
      </c>
      <c r="I140" s="125">
        <f t="shared" si="143"/>
        <v>0.10390722673430232</v>
      </c>
      <c r="J140" s="125">
        <f t="shared" si="143"/>
        <v>1.4040704754284353E-2</v>
      </c>
      <c r="K140" s="125">
        <f t="shared" si="143"/>
        <v>1.526389492868482E-2</v>
      </c>
      <c r="L140" s="125">
        <f t="shared" si="143"/>
        <v>1.5324069649683622E-2</v>
      </c>
      <c r="M140" s="125">
        <f t="shared" si="143"/>
        <v>0</v>
      </c>
      <c r="N140" s="125">
        <f t="shared" si="143"/>
        <v>2.3043103417804571E-2</v>
      </c>
      <c r="O140" s="125">
        <f t="shared" si="143"/>
        <v>2.1184397869334348E-2</v>
      </c>
      <c r="P140" s="125">
        <f t="shared" si="143"/>
        <v>0.995</v>
      </c>
      <c r="Q140" s="125">
        <f t="shared" si="143"/>
        <v>0.995</v>
      </c>
      <c r="R140" s="125">
        <f t="shared" si="143"/>
        <v>0</v>
      </c>
    </row>
    <row r="141" spans="1:18">
      <c r="A141" s="123" t="e">
        <f t="shared" ref="A141" si="157">CONCATENATE("Year-",#REF!)</f>
        <v>#REF!</v>
      </c>
      <c r="B141" s="35">
        <v>48519</v>
      </c>
      <c r="C141" s="26">
        <f t="shared" si="142"/>
        <v>162.9</v>
      </c>
      <c r="D141" s="26">
        <f t="shared" si="142"/>
        <v>133.69942049999997</v>
      </c>
      <c r="E141" s="31">
        <f t="shared" si="114"/>
        <v>46900</v>
      </c>
      <c r="F141" s="124">
        <f t="shared" si="143"/>
        <v>42.187120547750681</v>
      </c>
      <c r="G141" s="125">
        <f t="shared" si="143"/>
        <v>1.5950920245398792E-2</v>
      </c>
      <c r="H141" s="125">
        <f t="shared" si="143"/>
        <v>8.8506000000000001E-2</v>
      </c>
      <c r="I141" s="125">
        <f t="shared" si="143"/>
        <v>6.9024239591701744E-2</v>
      </c>
      <c r="J141" s="125">
        <f t="shared" si="143"/>
        <v>1.4204952105287192E-2</v>
      </c>
      <c r="K141" s="125">
        <f t="shared" si="143"/>
        <v>1.3252885058363056E-2</v>
      </c>
      <c r="L141" s="125">
        <f t="shared" si="143"/>
        <v>1.3980442883231779E-2</v>
      </c>
      <c r="M141" s="125">
        <f t="shared" si="143"/>
        <v>0</v>
      </c>
      <c r="N141" s="125">
        <f t="shared" si="143"/>
        <v>2.30208488716231E-2</v>
      </c>
      <c r="O141" s="125">
        <f t="shared" si="143"/>
        <v>8.3479094998109554E-3</v>
      </c>
      <c r="P141" s="125">
        <f t="shared" si="143"/>
        <v>0.995</v>
      </c>
      <c r="Q141" s="125">
        <f t="shared" si="143"/>
        <v>0.995</v>
      </c>
      <c r="R141" s="125">
        <f t="shared" si="143"/>
        <v>0</v>
      </c>
    </row>
    <row r="142" spans="1:18">
      <c r="A142" s="123" t="e">
        <f t="shared" ref="A142" si="158">CONCATENATE("Year-",#REF!)</f>
        <v>#REF!</v>
      </c>
      <c r="B142" s="35">
        <v>48549</v>
      </c>
      <c r="C142" s="26">
        <f t="shared" si="142"/>
        <v>158.6</v>
      </c>
      <c r="D142" s="26">
        <f t="shared" si="142"/>
        <v>124.40004220000003</v>
      </c>
      <c r="E142" s="31">
        <f t="shared" si="114"/>
        <v>48280</v>
      </c>
      <c r="F142" s="124">
        <f t="shared" si="143"/>
        <v>36.076939444156181</v>
      </c>
      <c r="G142" s="125">
        <f t="shared" si="143"/>
        <v>1.5802781289506962E-2</v>
      </c>
      <c r="H142" s="125">
        <f t="shared" si="143"/>
        <v>8.8506000000000001E-2</v>
      </c>
      <c r="I142" s="125">
        <f t="shared" si="143"/>
        <v>4.4787946264861052E-2</v>
      </c>
      <c r="J142" s="125">
        <f t="shared" si="143"/>
        <v>1.4140595613406415E-2</v>
      </c>
      <c r="K142" s="125">
        <f t="shared" si="143"/>
        <v>1.2367081056294736E-2</v>
      </c>
      <c r="L142" s="125">
        <f t="shared" si="143"/>
        <v>1.3960975699298588E-2</v>
      </c>
      <c r="M142" s="125">
        <f t="shared" si="143"/>
        <v>0</v>
      </c>
      <c r="N142" s="125">
        <f t="shared" si="143"/>
        <v>2.3055036005913448E-2</v>
      </c>
      <c r="O142" s="125">
        <f t="shared" si="143"/>
        <v>3.6978876304825567E-3</v>
      </c>
      <c r="P142" s="125">
        <f t="shared" si="143"/>
        <v>0.995</v>
      </c>
      <c r="Q142" s="125">
        <f t="shared" si="143"/>
        <v>0.995</v>
      </c>
      <c r="R142" s="125">
        <f t="shared" si="143"/>
        <v>0</v>
      </c>
    </row>
    <row r="143" spans="1:18">
      <c r="A143" s="123" t="e">
        <f t="shared" ref="A143" si="159">CONCATENATE("Year-",#REF!)</f>
        <v>#REF!</v>
      </c>
      <c r="B143" s="35">
        <v>48580</v>
      </c>
      <c r="C143" s="26">
        <f t="shared" ref="C143:D158" si="160">C131</f>
        <v>169.028549</v>
      </c>
      <c r="D143" s="26">
        <f t="shared" si="160"/>
        <v>133.89933939999995</v>
      </c>
      <c r="E143" s="31">
        <f t="shared" si="114"/>
        <v>51260</v>
      </c>
      <c r="F143" s="124">
        <f t="shared" ref="F143:R158" si="161">F131</f>
        <v>34.970332119021293</v>
      </c>
      <c r="G143" s="125">
        <f t="shared" si="161"/>
        <v>1.7200474495848161E-2</v>
      </c>
      <c r="H143" s="125">
        <f t="shared" si="161"/>
        <v>8.8506000000000001E-2</v>
      </c>
      <c r="I143" s="125">
        <f t="shared" si="161"/>
        <v>4.0029940128316385E-2</v>
      </c>
      <c r="J143" s="125">
        <f t="shared" si="161"/>
        <v>1.4099625889623608E-2</v>
      </c>
      <c r="K143" s="125">
        <f t="shared" si="161"/>
        <v>1.267725762135744E-2</v>
      </c>
      <c r="L143" s="125">
        <f t="shared" si="161"/>
        <v>1.390175346828215E-2</v>
      </c>
      <c r="M143" s="125">
        <f t="shared" si="161"/>
        <v>0</v>
      </c>
      <c r="N143" s="125">
        <f t="shared" si="161"/>
        <v>2.298066658515029E-2</v>
      </c>
      <c r="O143" s="125">
        <f t="shared" si="161"/>
        <v>1.0644897972798715E-2</v>
      </c>
      <c r="P143" s="125">
        <f t="shared" si="161"/>
        <v>0.995</v>
      </c>
      <c r="Q143" s="125">
        <f t="shared" si="161"/>
        <v>0.995</v>
      </c>
      <c r="R143" s="125">
        <f t="shared" si="161"/>
        <v>0</v>
      </c>
    </row>
    <row r="144" spans="1:18">
      <c r="A144" s="123" t="e">
        <f t="shared" ref="A144" si="162">CONCATENATE("Year-",#REF!)</f>
        <v>#REF!</v>
      </c>
      <c r="B144" s="35">
        <v>48611</v>
      </c>
      <c r="C144" s="26">
        <f t="shared" si="160"/>
        <v>172.55912190000004</v>
      </c>
      <c r="D144" s="26">
        <f t="shared" si="160"/>
        <v>145.40077080000009</v>
      </c>
      <c r="E144" s="31">
        <f t="shared" si="114"/>
        <v>47290</v>
      </c>
      <c r="F144" s="124">
        <f t="shared" si="161"/>
        <v>40.252096455972236</v>
      </c>
      <c r="G144" s="125">
        <f t="shared" si="161"/>
        <v>1.510749564206848E-2</v>
      </c>
      <c r="H144" s="125">
        <f t="shared" si="161"/>
        <v>8.8506000000000001E-2</v>
      </c>
      <c r="I144" s="125">
        <f t="shared" si="161"/>
        <v>6.2111013936519133E-2</v>
      </c>
      <c r="J144" s="125">
        <f t="shared" si="161"/>
        <v>1.4175439055030284E-2</v>
      </c>
      <c r="K144" s="125">
        <f t="shared" si="161"/>
        <v>1.4384371816049681E-2</v>
      </c>
      <c r="L144" s="125">
        <f t="shared" si="161"/>
        <v>1.5915736744616871E-2</v>
      </c>
      <c r="M144" s="125">
        <f t="shared" si="161"/>
        <v>0</v>
      </c>
      <c r="N144" s="125">
        <f t="shared" si="161"/>
        <v>2.3268144471779773E-2</v>
      </c>
      <c r="O144" s="125">
        <f t="shared" si="161"/>
        <v>2.5052142565085967E-2</v>
      </c>
      <c r="P144" s="125">
        <f t="shared" si="161"/>
        <v>0.995</v>
      </c>
      <c r="Q144" s="125">
        <f t="shared" si="161"/>
        <v>0.995</v>
      </c>
      <c r="R144" s="125">
        <f t="shared" si="161"/>
        <v>0</v>
      </c>
    </row>
    <row r="145" spans="1:18">
      <c r="A145" s="123" t="e">
        <f t="shared" ref="A145" si="163">CONCATENATE("Year-",#REF!)</f>
        <v>#REF!</v>
      </c>
      <c r="B145" s="35">
        <v>48639</v>
      </c>
      <c r="C145" s="26">
        <f t="shared" si="160"/>
        <v>215.74576700000009</v>
      </c>
      <c r="D145" s="26">
        <f t="shared" si="160"/>
        <v>195.59891570000002</v>
      </c>
      <c r="E145" s="31">
        <f t="shared" si="114"/>
        <v>60510</v>
      </c>
      <c r="F145" s="124">
        <f t="shared" si="161"/>
        <v>47.179622377374095</v>
      </c>
      <c r="G145" s="125">
        <f t="shared" si="161"/>
        <v>1.5306122448979553E-2</v>
      </c>
      <c r="H145" s="125">
        <f t="shared" si="161"/>
        <v>9.1784000000000004E-2</v>
      </c>
      <c r="I145" s="125">
        <f t="shared" si="161"/>
        <v>9.4419706369976972E-2</v>
      </c>
      <c r="J145" s="125">
        <f t="shared" si="161"/>
        <v>1.4644787078611174E-2</v>
      </c>
      <c r="K145" s="125">
        <f t="shared" si="161"/>
        <v>1.6212630268737406E-2</v>
      </c>
      <c r="L145" s="125">
        <f t="shared" si="161"/>
        <v>2.0718676035686345E-2</v>
      </c>
      <c r="M145" s="125">
        <f t="shared" si="161"/>
        <v>0</v>
      </c>
      <c r="N145" s="125">
        <f t="shared" si="161"/>
        <v>2.3247057021314733E-2</v>
      </c>
      <c r="O145" s="125">
        <f t="shared" si="161"/>
        <v>3.9222124133286969E-2</v>
      </c>
      <c r="P145" s="125">
        <f t="shared" si="161"/>
        <v>0.995</v>
      </c>
      <c r="Q145" s="125">
        <f t="shared" si="161"/>
        <v>0.995</v>
      </c>
      <c r="R145" s="125">
        <f t="shared" si="161"/>
        <v>0</v>
      </c>
    </row>
    <row r="146" spans="1:18">
      <c r="A146" s="123" t="e">
        <f t="shared" ref="A146" si="164">CONCATENATE("Year-",#REF!)</f>
        <v>#REF!</v>
      </c>
      <c r="B146" s="35">
        <v>48670</v>
      </c>
      <c r="C146" s="26">
        <f t="shared" si="160"/>
        <v>215.9</v>
      </c>
      <c r="D146" s="26">
        <f t="shared" si="160"/>
        <v>208.99969899999999</v>
      </c>
      <c r="E146" s="31">
        <f t="shared" si="114"/>
        <v>58630</v>
      </c>
      <c r="F146" s="124">
        <f t="shared" si="161"/>
        <v>52.296499350965128</v>
      </c>
      <c r="G146" s="125">
        <f t="shared" si="161"/>
        <v>1.6658954187875996E-2</v>
      </c>
      <c r="H146" s="125">
        <f t="shared" si="161"/>
        <v>9.5061999999999994E-2</v>
      </c>
      <c r="I146" s="125">
        <f t="shared" si="161"/>
        <v>0.11719199751057031</v>
      </c>
      <c r="J146" s="125">
        <f t="shared" si="161"/>
        <v>1.5231272154623582E-2</v>
      </c>
      <c r="K146" s="125">
        <f t="shared" si="161"/>
        <v>1.6110689006976781E-2</v>
      </c>
      <c r="L146" s="125">
        <f t="shared" si="161"/>
        <v>1.8633277773980331E-2</v>
      </c>
      <c r="M146" s="125">
        <f t="shared" si="161"/>
        <v>0</v>
      </c>
      <c r="N146" s="125">
        <f t="shared" si="161"/>
        <v>2.2802418781094937E-2</v>
      </c>
      <c r="O146" s="125">
        <f t="shared" si="161"/>
        <v>2.7995485693316467E-2</v>
      </c>
      <c r="P146" s="125">
        <f t="shared" si="161"/>
        <v>0.995</v>
      </c>
      <c r="Q146" s="125">
        <f t="shared" si="161"/>
        <v>0.995</v>
      </c>
      <c r="R146" s="125">
        <f t="shared" si="161"/>
        <v>0</v>
      </c>
    </row>
    <row r="147" spans="1:18">
      <c r="A147" s="123" t="e">
        <f t="shared" ref="A147" si="165">CONCATENATE("Year-",#REF!)</f>
        <v>#REF!</v>
      </c>
      <c r="B147" s="35">
        <v>48700</v>
      </c>
      <c r="C147" s="26">
        <f t="shared" si="160"/>
        <v>217.9</v>
      </c>
      <c r="D147" s="26">
        <f t="shared" si="160"/>
        <v>221.90023470000006</v>
      </c>
      <c r="E147" s="31">
        <f t="shared" si="114"/>
        <v>61780</v>
      </c>
      <c r="F147" s="124">
        <f t="shared" si="161"/>
        <v>55.437733860726389</v>
      </c>
      <c r="G147" s="125">
        <f t="shared" si="161"/>
        <v>1.7865322950068707E-2</v>
      </c>
      <c r="H147" s="125">
        <f t="shared" si="161"/>
        <v>9.8339999999999997E-2</v>
      </c>
      <c r="I147" s="125">
        <f t="shared" si="161"/>
        <v>0.1306817577748349</v>
      </c>
      <c r="J147" s="125">
        <f t="shared" si="161"/>
        <v>1.609339136491415E-2</v>
      </c>
      <c r="K147" s="125">
        <f t="shared" si="161"/>
        <v>1.525163145425878E-2</v>
      </c>
      <c r="L147" s="125">
        <f t="shared" si="161"/>
        <v>1.5763583972179196E-2</v>
      </c>
      <c r="M147" s="125">
        <f t="shared" si="161"/>
        <v>0</v>
      </c>
      <c r="N147" s="125">
        <f t="shared" si="161"/>
        <v>2.2281870794181511E-2</v>
      </c>
      <c r="O147" s="125">
        <f t="shared" si="161"/>
        <v>1.1198342091846737E-2</v>
      </c>
      <c r="P147" s="125">
        <f t="shared" si="161"/>
        <v>0.995</v>
      </c>
      <c r="Q147" s="125">
        <f t="shared" si="161"/>
        <v>0.995</v>
      </c>
      <c r="R147" s="125">
        <f t="shared" si="161"/>
        <v>0</v>
      </c>
    </row>
    <row r="148" spans="1:18">
      <c r="A148" s="123" t="e">
        <f t="shared" ref="A148" si="166">CONCATENATE("Year-",#REF!)</f>
        <v>#REF!</v>
      </c>
      <c r="B148" s="35">
        <v>48731</v>
      </c>
      <c r="C148" s="26">
        <f t="shared" si="160"/>
        <v>192.8</v>
      </c>
      <c r="D148" s="26">
        <f t="shared" si="160"/>
        <v>200.20089519999999</v>
      </c>
      <c r="E148" s="31">
        <f t="shared" si="114"/>
        <v>53700</v>
      </c>
      <c r="F148" s="124">
        <f t="shared" si="161"/>
        <v>54.658309168315547</v>
      </c>
      <c r="G148" s="125">
        <f t="shared" si="161"/>
        <v>1.914123124676681E-2</v>
      </c>
      <c r="H148" s="125">
        <f t="shared" si="161"/>
        <v>9.8339999999999997E-2</v>
      </c>
      <c r="I148" s="125">
        <f t="shared" si="161"/>
        <v>0.12650723469382591</v>
      </c>
      <c r="J148" s="125">
        <f t="shared" si="161"/>
        <v>1.6398522844759341E-2</v>
      </c>
      <c r="K148" s="125">
        <f t="shared" si="161"/>
        <v>1.3926271600695752E-2</v>
      </c>
      <c r="L148" s="125">
        <f t="shared" si="161"/>
        <v>1.4057661793117321E-2</v>
      </c>
      <c r="M148" s="125">
        <f t="shared" si="161"/>
        <v>0</v>
      </c>
      <c r="N148" s="125">
        <f t="shared" si="161"/>
        <v>2.1677907023400757E-2</v>
      </c>
      <c r="O148" s="125">
        <f t="shared" si="161"/>
        <v>4.051685061336731E-3</v>
      </c>
      <c r="P148" s="125">
        <f t="shared" si="161"/>
        <v>0.995</v>
      </c>
      <c r="Q148" s="125">
        <f t="shared" si="161"/>
        <v>0.995</v>
      </c>
      <c r="R148" s="125">
        <f t="shared" si="161"/>
        <v>0</v>
      </c>
    </row>
    <row r="149" spans="1:18">
      <c r="A149" s="123" t="e">
        <f t="shared" ref="A149" si="167">CONCATENATE("Year-",#REF!)</f>
        <v>#REF!</v>
      </c>
      <c r="B149" s="35">
        <v>48761</v>
      </c>
      <c r="C149" s="26">
        <f t="shared" si="160"/>
        <v>168.9</v>
      </c>
      <c r="D149" s="26">
        <f t="shared" si="160"/>
        <v>173.59972409999992</v>
      </c>
      <c r="E149" s="31">
        <f t="shared" si="114"/>
        <v>49210</v>
      </c>
      <c r="F149" s="124">
        <f t="shared" si="161"/>
        <v>51.564857066184757</v>
      </c>
      <c r="G149" s="125">
        <f t="shared" si="161"/>
        <v>2.1854695806261204E-2</v>
      </c>
      <c r="H149" s="125">
        <f t="shared" si="161"/>
        <v>9.1784000000000004E-2</v>
      </c>
      <c r="I149" s="125">
        <f t="shared" si="161"/>
        <v>0.1089308468990661</v>
      </c>
      <c r="J149" s="125">
        <f t="shared" si="161"/>
        <v>1.5867586262633245E-2</v>
      </c>
      <c r="K149" s="125">
        <f t="shared" si="161"/>
        <v>1.231974144019694E-2</v>
      </c>
      <c r="L149" s="125">
        <f t="shared" si="161"/>
        <v>1.3502102014775261E-2</v>
      </c>
      <c r="M149" s="125">
        <f t="shared" si="161"/>
        <v>0</v>
      </c>
      <c r="N149" s="125">
        <f t="shared" si="161"/>
        <v>2.127320988616644E-2</v>
      </c>
      <c r="O149" s="125">
        <f t="shared" si="161"/>
        <v>1.5557262066246368E-3</v>
      </c>
      <c r="P149" s="125">
        <f t="shared" si="161"/>
        <v>0.995</v>
      </c>
      <c r="Q149" s="125">
        <f t="shared" si="161"/>
        <v>0.995</v>
      </c>
      <c r="R149" s="125">
        <f t="shared" si="161"/>
        <v>0</v>
      </c>
    </row>
    <row r="150" spans="1:18">
      <c r="A150" s="123" t="e">
        <f t="shared" ref="A150" si="168">CONCATENATE("Year-",#REF!)</f>
        <v>#REF!</v>
      </c>
      <c r="B150" s="35">
        <v>48792</v>
      </c>
      <c r="C150" s="26">
        <f t="shared" si="160"/>
        <v>174.2</v>
      </c>
      <c r="D150" s="26">
        <f t="shared" si="160"/>
        <v>172.6001566000001</v>
      </c>
      <c r="E150" s="31">
        <f t="shared" si="114"/>
        <v>50100</v>
      </c>
      <c r="F150" s="124">
        <f t="shared" si="161"/>
        <v>50.336592710430871</v>
      </c>
      <c r="G150" s="125">
        <f t="shared" si="161"/>
        <v>2.0196191575302946E-2</v>
      </c>
      <c r="H150" s="125">
        <f t="shared" si="161"/>
        <v>8.8506000000000001E-2</v>
      </c>
      <c r="I150" s="125">
        <f t="shared" si="161"/>
        <v>0.10494453414747008</v>
      </c>
      <c r="J150" s="125">
        <f t="shared" si="161"/>
        <v>1.507508977611231E-2</v>
      </c>
      <c r="K150" s="125">
        <f t="shared" si="161"/>
        <v>1.2791562311125756E-2</v>
      </c>
      <c r="L150" s="125">
        <f t="shared" si="161"/>
        <v>1.4116403195935955E-2</v>
      </c>
      <c r="M150" s="125">
        <f t="shared" si="161"/>
        <v>0</v>
      </c>
      <c r="N150" s="125">
        <f t="shared" si="161"/>
        <v>2.157456294953386E-2</v>
      </c>
      <c r="O150" s="125">
        <f t="shared" si="161"/>
        <v>6.2818876990405415E-3</v>
      </c>
      <c r="P150" s="125">
        <f t="shared" si="161"/>
        <v>0.995</v>
      </c>
      <c r="Q150" s="125">
        <f t="shared" si="161"/>
        <v>0.995</v>
      </c>
      <c r="R150" s="125">
        <f t="shared" si="161"/>
        <v>0</v>
      </c>
    </row>
    <row r="151" spans="1:18">
      <c r="A151" s="123" t="e">
        <f t="shared" ref="A151" si="169">CONCATENATE("Year-",#REF!)</f>
        <v>#REF!</v>
      </c>
      <c r="B151" s="35">
        <v>48823</v>
      </c>
      <c r="C151" s="26">
        <f t="shared" si="160"/>
        <v>192.1</v>
      </c>
      <c r="D151" s="26">
        <f t="shared" si="160"/>
        <v>178.89930529999984</v>
      </c>
      <c r="E151" s="31">
        <f t="shared" si="114"/>
        <v>52760</v>
      </c>
      <c r="F151" s="124">
        <f t="shared" si="161"/>
        <v>52.25059433997491</v>
      </c>
      <c r="G151" s="125">
        <f t="shared" si="161"/>
        <v>1.7196456487754141E-2</v>
      </c>
      <c r="H151" s="125">
        <f t="shared" si="161"/>
        <v>8.5227999999999998E-2</v>
      </c>
      <c r="I151" s="125">
        <f t="shared" si="161"/>
        <v>0.11387126505657014</v>
      </c>
      <c r="J151" s="125">
        <f t="shared" si="161"/>
        <v>1.3959618092500629E-2</v>
      </c>
      <c r="K151" s="125">
        <f t="shared" si="161"/>
        <v>1.4531255376132731E-2</v>
      </c>
      <c r="L151" s="125">
        <f t="shared" si="161"/>
        <v>1.4478833500810966E-2</v>
      </c>
      <c r="M151" s="125">
        <f t="shared" si="161"/>
        <v>0</v>
      </c>
      <c r="N151" s="125">
        <f t="shared" si="161"/>
        <v>2.2473527643153385E-2</v>
      </c>
      <c r="O151" s="125">
        <f t="shared" si="161"/>
        <v>1.1388926338936924E-2</v>
      </c>
      <c r="P151" s="125">
        <f t="shared" si="161"/>
        <v>0.995</v>
      </c>
      <c r="Q151" s="125">
        <f t="shared" si="161"/>
        <v>0.995</v>
      </c>
      <c r="R151" s="125">
        <f t="shared" si="161"/>
        <v>0</v>
      </c>
    </row>
    <row r="152" spans="1:18">
      <c r="A152" s="123" t="e">
        <f t="shared" ref="A152" si="170">CONCATENATE("Year-",#REF!)</f>
        <v>#REF!</v>
      </c>
      <c r="B152" s="35">
        <v>48853</v>
      </c>
      <c r="C152" s="26">
        <f t="shared" si="160"/>
        <v>202.3</v>
      </c>
      <c r="D152" s="26">
        <f t="shared" si="160"/>
        <v>174.60082279999986</v>
      </c>
      <c r="E152" s="31">
        <f t="shared" si="114"/>
        <v>57190</v>
      </c>
      <c r="F152" s="124">
        <f t="shared" si="161"/>
        <v>49.723937837075084</v>
      </c>
      <c r="G152" s="125">
        <f t="shared" si="161"/>
        <v>1.5873015873015817E-2</v>
      </c>
      <c r="H152" s="125">
        <f t="shared" si="161"/>
        <v>8.8506000000000001E-2</v>
      </c>
      <c r="I152" s="125">
        <f t="shared" si="161"/>
        <v>0.10390722673430232</v>
      </c>
      <c r="J152" s="125">
        <f t="shared" si="161"/>
        <v>1.4040704754284353E-2</v>
      </c>
      <c r="K152" s="125">
        <f t="shared" si="161"/>
        <v>1.526389492868482E-2</v>
      </c>
      <c r="L152" s="125">
        <f t="shared" si="161"/>
        <v>1.5324069649683622E-2</v>
      </c>
      <c r="M152" s="125">
        <f t="shared" si="161"/>
        <v>0</v>
      </c>
      <c r="N152" s="125">
        <f t="shared" si="161"/>
        <v>2.3043103417804571E-2</v>
      </c>
      <c r="O152" s="125">
        <f t="shared" si="161"/>
        <v>2.1184397869334348E-2</v>
      </c>
      <c r="P152" s="125">
        <f t="shared" si="161"/>
        <v>0.995</v>
      </c>
      <c r="Q152" s="125">
        <f t="shared" si="161"/>
        <v>0.995</v>
      </c>
      <c r="R152" s="125">
        <f t="shared" si="161"/>
        <v>0</v>
      </c>
    </row>
    <row r="153" spans="1:18">
      <c r="A153" s="123" t="e">
        <f t="shared" ref="A153" si="171">CONCATENATE("Year-",#REF!)</f>
        <v>#REF!</v>
      </c>
      <c r="B153" s="35">
        <v>48884</v>
      </c>
      <c r="C153" s="26">
        <f t="shared" si="160"/>
        <v>162.9</v>
      </c>
      <c r="D153" s="26">
        <f t="shared" si="160"/>
        <v>133.69942049999997</v>
      </c>
      <c r="E153" s="31">
        <f t="shared" si="114"/>
        <v>46900</v>
      </c>
      <c r="F153" s="124">
        <f t="shared" si="161"/>
        <v>42.187120547750681</v>
      </c>
      <c r="G153" s="125">
        <f t="shared" si="161"/>
        <v>1.5950920245398792E-2</v>
      </c>
      <c r="H153" s="125">
        <f t="shared" si="161"/>
        <v>8.8506000000000001E-2</v>
      </c>
      <c r="I153" s="125">
        <f t="shared" si="161"/>
        <v>6.9024239591701744E-2</v>
      </c>
      <c r="J153" s="125">
        <f t="shared" si="161"/>
        <v>1.4204952105287192E-2</v>
      </c>
      <c r="K153" s="125">
        <f t="shared" si="161"/>
        <v>1.3252885058363056E-2</v>
      </c>
      <c r="L153" s="125">
        <f t="shared" si="161"/>
        <v>1.3980442883231779E-2</v>
      </c>
      <c r="M153" s="125">
        <f t="shared" si="161"/>
        <v>0</v>
      </c>
      <c r="N153" s="125">
        <f t="shared" si="161"/>
        <v>2.30208488716231E-2</v>
      </c>
      <c r="O153" s="125">
        <f t="shared" si="161"/>
        <v>8.3479094998109554E-3</v>
      </c>
      <c r="P153" s="125">
        <f t="shared" si="161"/>
        <v>0.995</v>
      </c>
      <c r="Q153" s="125">
        <f t="shared" si="161"/>
        <v>0.995</v>
      </c>
      <c r="R153" s="125">
        <f t="shared" si="161"/>
        <v>0</v>
      </c>
    </row>
    <row r="154" spans="1:18">
      <c r="A154" s="123" t="e">
        <f t="shared" ref="A154" si="172">CONCATENATE("Year-",#REF!)</f>
        <v>#REF!</v>
      </c>
      <c r="B154" s="35">
        <v>48914</v>
      </c>
      <c r="C154" s="26">
        <f t="shared" si="160"/>
        <v>158.6</v>
      </c>
      <c r="D154" s="26">
        <f t="shared" si="160"/>
        <v>124.40004220000003</v>
      </c>
      <c r="E154" s="31">
        <f t="shared" si="114"/>
        <v>48280</v>
      </c>
      <c r="F154" s="124">
        <f t="shared" si="161"/>
        <v>36.076939444156181</v>
      </c>
      <c r="G154" s="125">
        <f t="shared" si="161"/>
        <v>1.5802781289506962E-2</v>
      </c>
      <c r="H154" s="125">
        <f t="shared" si="161"/>
        <v>8.8506000000000001E-2</v>
      </c>
      <c r="I154" s="125">
        <f t="shared" si="161"/>
        <v>4.4787946264861052E-2</v>
      </c>
      <c r="J154" s="125">
        <f t="shared" si="161"/>
        <v>1.4140595613406415E-2</v>
      </c>
      <c r="K154" s="125">
        <f t="shared" si="161"/>
        <v>1.2367081056294736E-2</v>
      </c>
      <c r="L154" s="125">
        <f t="shared" si="161"/>
        <v>1.3960975699298588E-2</v>
      </c>
      <c r="M154" s="125">
        <f t="shared" si="161"/>
        <v>0</v>
      </c>
      <c r="N154" s="125">
        <f t="shared" si="161"/>
        <v>2.3055036005913448E-2</v>
      </c>
      <c r="O154" s="125">
        <f t="shared" si="161"/>
        <v>3.6978876304825567E-3</v>
      </c>
      <c r="P154" s="125">
        <f t="shared" si="161"/>
        <v>0.995</v>
      </c>
      <c r="Q154" s="125">
        <f t="shared" si="161"/>
        <v>0.995</v>
      </c>
      <c r="R154" s="125">
        <f t="shared" si="161"/>
        <v>0</v>
      </c>
    </row>
    <row r="155" spans="1:18">
      <c r="A155" s="123" t="e">
        <f t="shared" ref="A155" si="173">CONCATENATE("Year-",#REF!)</f>
        <v>#REF!</v>
      </c>
      <c r="B155" s="35">
        <v>48945</v>
      </c>
      <c r="C155" s="26">
        <f t="shared" si="160"/>
        <v>169.028549</v>
      </c>
      <c r="D155" s="26">
        <f t="shared" si="160"/>
        <v>133.89933939999995</v>
      </c>
      <c r="E155" s="31">
        <f t="shared" si="114"/>
        <v>51260</v>
      </c>
      <c r="F155" s="124">
        <f t="shared" si="161"/>
        <v>34.970332119021293</v>
      </c>
      <c r="G155" s="125">
        <f t="shared" si="161"/>
        <v>1.7200474495848161E-2</v>
      </c>
      <c r="H155" s="125">
        <f t="shared" si="161"/>
        <v>8.8506000000000001E-2</v>
      </c>
      <c r="I155" s="125">
        <f t="shared" si="161"/>
        <v>4.0029940128316385E-2</v>
      </c>
      <c r="J155" s="125">
        <f t="shared" si="161"/>
        <v>1.4099625889623608E-2</v>
      </c>
      <c r="K155" s="125">
        <f t="shared" si="161"/>
        <v>1.267725762135744E-2</v>
      </c>
      <c r="L155" s="125">
        <f t="shared" si="161"/>
        <v>1.390175346828215E-2</v>
      </c>
      <c r="M155" s="125">
        <f t="shared" si="161"/>
        <v>0</v>
      </c>
      <c r="N155" s="125">
        <f t="shared" si="161"/>
        <v>2.298066658515029E-2</v>
      </c>
      <c r="O155" s="125">
        <f t="shared" si="161"/>
        <v>1.0644897972798715E-2</v>
      </c>
      <c r="P155" s="125">
        <f t="shared" si="161"/>
        <v>0.995</v>
      </c>
      <c r="Q155" s="125">
        <f t="shared" si="161"/>
        <v>0.995</v>
      </c>
      <c r="R155" s="125">
        <f t="shared" si="161"/>
        <v>0</v>
      </c>
    </row>
    <row r="156" spans="1:18">
      <c r="A156" s="123" t="e">
        <f t="shared" ref="A156" si="174">CONCATENATE("Year-",#REF!)</f>
        <v>#REF!</v>
      </c>
      <c r="B156" s="35">
        <v>48976</v>
      </c>
      <c r="C156" s="26">
        <f t="shared" si="160"/>
        <v>172.55912190000004</v>
      </c>
      <c r="D156" s="26">
        <f t="shared" si="160"/>
        <v>145.40077080000009</v>
      </c>
      <c r="E156" s="31">
        <f t="shared" si="114"/>
        <v>47290</v>
      </c>
      <c r="F156" s="124">
        <f t="shared" si="161"/>
        <v>40.252096455972236</v>
      </c>
      <c r="G156" s="125">
        <f t="shared" si="161"/>
        <v>1.510749564206848E-2</v>
      </c>
      <c r="H156" s="125">
        <f t="shared" si="161"/>
        <v>8.8506000000000001E-2</v>
      </c>
      <c r="I156" s="125">
        <f t="shared" si="161"/>
        <v>6.2111013936519133E-2</v>
      </c>
      <c r="J156" s="125">
        <f t="shared" si="161"/>
        <v>1.4175439055030284E-2</v>
      </c>
      <c r="K156" s="125">
        <f t="shared" si="161"/>
        <v>1.4384371816049681E-2</v>
      </c>
      <c r="L156" s="125">
        <f t="shared" si="161"/>
        <v>1.5915736744616871E-2</v>
      </c>
      <c r="M156" s="125">
        <f t="shared" si="161"/>
        <v>0</v>
      </c>
      <c r="N156" s="125">
        <f t="shared" si="161"/>
        <v>2.3268144471779773E-2</v>
      </c>
      <c r="O156" s="125">
        <f t="shared" si="161"/>
        <v>2.5052142565085967E-2</v>
      </c>
      <c r="P156" s="125">
        <f t="shared" si="161"/>
        <v>0.995</v>
      </c>
      <c r="Q156" s="125">
        <f t="shared" si="161"/>
        <v>0.995</v>
      </c>
      <c r="R156" s="125">
        <f t="shared" si="161"/>
        <v>0</v>
      </c>
    </row>
    <row r="157" spans="1:18">
      <c r="A157" s="123" t="e">
        <f t="shared" ref="A157" si="175">CONCATENATE("Year-",#REF!)</f>
        <v>#REF!</v>
      </c>
      <c r="B157" s="35">
        <v>49004</v>
      </c>
      <c r="C157" s="26">
        <f t="shared" si="160"/>
        <v>215.74576700000009</v>
      </c>
      <c r="D157" s="26">
        <f t="shared" si="160"/>
        <v>195.59891570000002</v>
      </c>
      <c r="E157" s="31">
        <f t="shared" si="114"/>
        <v>60510</v>
      </c>
      <c r="F157" s="124">
        <f t="shared" si="161"/>
        <v>47.179622377374095</v>
      </c>
      <c r="G157" s="125">
        <f t="shared" si="161"/>
        <v>1.5306122448979553E-2</v>
      </c>
      <c r="H157" s="125">
        <f t="shared" si="161"/>
        <v>9.1784000000000004E-2</v>
      </c>
      <c r="I157" s="125">
        <f t="shared" si="161"/>
        <v>9.4419706369976972E-2</v>
      </c>
      <c r="J157" s="125">
        <f t="shared" si="161"/>
        <v>1.4644787078611174E-2</v>
      </c>
      <c r="K157" s="125">
        <f t="shared" si="161"/>
        <v>1.6212630268737406E-2</v>
      </c>
      <c r="L157" s="125">
        <f t="shared" si="161"/>
        <v>2.0718676035686345E-2</v>
      </c>
      <c r="M157" s="125">
        <f t="shared" si="161"/>
        <v>0</v>
      </c>
      <c r="N157" s="125">
        <f t="shared" si="161"/>
        <v>2.3247057021314733E-2</v>
      </c>
      <c r="O157" s="125">
        <f t="shared" si="161"/>
        <v>3.9222124133286969E-2</v>
      </c>
      <c r="P157" s="125">
        <f t="shared" si="161"/>
        <v>0.995</v>
      </c>
      <c r="Q157" s="125">
        <f t="shared" si="161"/>
        <v>0.995</v>
      </c>
      <c r="R157" s="125">
        <f t="shared" si="161"/>
        <v>0</v>
      </c>
    </row>
    <row r="158" spans="1:18">
      <c r="A158" s="123" t="e">
        <f t="shared" ref="A158" si="176">CONCATENATE("Year-",#REF!)</f>
        <v>#REF!</v>
      </c>
      <c r="B158" s="35">
        <v>49035</v>
      </c>
      <c r="C158" s="26">
        <f t="shared" si="160"/>
        <v>215.9</v>
      </c>
      <c r="D158" s="26">
        <f t="shared" si="160"/>
        <v>208.99969899999999</v>
      </c>
      <c r="E158" s="31">
        <f t="shared" si="114"/>
        <v>58630</v>
      </c>
      <c r="F158" s="124">
        <f t="shared" si="161"/>
        <v>52.296499350965128</v>
      </c>
      <c r="G158" s="125">
        <f t="shared" si="161"/>
        <v>1.6658954187875996E-2</v>
      </c>
      <c r="H158" s="125">
        <f t="shared" si="161"/>
        <v>9.5061999999999994E-2</v>
      </c>
      <c r="I158" s="125">
        <f t="shared" si="161"/>
        <v>0.11719199751057031</v>
      </c>
      <c r="J158" s="125">
        <f t="shared" si="161"/>
        <v>1.5231272154623582E-2</v>
      </c>
      <c r="K158" s="125">
        <f t="shared" si="161"/>
        <v>1.6110689006976781E-2</v>
      </c>
      <c r="L158" s="125">
        <f t="shared" si="161"/>
        <v>1.8633277773980331E-2</v>
      </c>
      <c r="M158" s="125">
        <f t="shared" si="161"/>
        <v>0</v>
      </c>
      <c r="N158" s="125">
        <f t="shared" si="161"/>
        <v>2.2802418781094937E-2</v>
      </c>
      <c r="O158" s="125">
        <f t="shared" si="161"/>
        <v>2.7995485693316467E-2</v>
      </c>
      <c r="P158" s="125">
        <f t="shared" si="161"/>
        <v>0.995</v>
      </c>
      <c r="Q158" s="125">
        <f t="shared" si="161"/>
        <v>0.995</v>
      </c>
      <c r="R158" s="125">
        <f t="shared" si="161"/>
        <v>0</v>
      </c>
    </row>
    <row r="159" spans="1:18">
      <c r="A159" s="123" t="e">
        <f t="shared" ref="A159" si="177">CONCATENATE("Year-",#REF!)</f>
        <v>#REF!</v>
      </c>
      <c r="B159" s="35">
        <v>49065</v>
      </c>
      <c r="C159" s="26">
        <f t="shared" ref="C159:D174" si="178">C147</f>
        <v>217.9</v>
      </c>
      <c r="D159" s="26">
        <f t="shared" si="178"/>
        <v>221.90023470000006</v>
      </c>
      <c r="E159" s="31">
        <f t="shared" si="114"/>
        <v>61780</v>
      </c>
      <c r="F159" s="124">
        <f t="shared" ref="F159:R174" si="179">F147</f>
        <v>55.437733860726389</v>
      </c>
      <c r="G159" s="125">
        <f t="shared" si="179"/>
        <v>1.7865322950068707E-2</v>
      </c>
      <c r="H159" s="125">
        <f t="shared" si="179"/>
        <v>9.8339999999999997E-2</v>
      </c>
      <c r="I159" s="125">
        <f t="shared" si="179"/>
        <v>0.1306817577748349</v>
      </c>
      <c r="J159" s="125">
        <f t="shared" si="179"/>
        <v>1.609339136491415E-2</v>
      </c>
      <c r="K159" s="125">
        <f t="shared" si="179"/>
        <v>1.525163145425878E-2</v>
      </c>
      <c r="L159" s="125">
        <f t="shared" si="179"/>
        <v>1.5763583972179196E-2</v>
      </c>
      <c r="M159" s="125">
        <f t="shared" si="179"/>
        <v>0</v>
      </c>
      <c r="N159" s="125">
        <f t="shared" si="179"/>
        <v>2.2281870794181511E-2</v>
      </c>
      <c r="O159" s="125">
        <f t="shared" si="179"/>
        <v>1.1198342091846737E-2</v>
      </c>
      <c r="P159" s="125">
        <f t="shared" si="179"/>
        <v>0.995</v>
      </c>
      <c r="Q159" s="125">
        <f t="shared" si="179"/>
        <v>0.995</v>
      </c>
      <c r="R159" s="125">
        <f t="shared" si="179"/>
        <v>0</v>
      </c>
    </row>
    <row r="160" spans="1:18">
      <c r="A160" s="123" t="e">
        <f t="shared" ref="A160" si="180">CONCATENATE("Year-",#REF!)</f>
        <v>#REF!</v>
      </c>
      <c r="B160" s="35">
        <v>49096</v>
      </c>
      <c r="C160" s="26">
        <f t="shared" si="178"/>
        <v>192.8</v>
      </c>
      <c r="D160" s="26">
        <f t="shared" si="178"/>
        <v>200.20089519999999</v>
      </c>
      <c r="E160" s="31">
        <f t="shared" si="114"/>
        <v>53700</v>
      </c>
      <c r="F160" s="124">
        <f t="shared" si="179"/>
        <v>54.658309168315547</v>
      </c>
      <c r="G160" s="125">
        <f t="shared" si="179"/>
        <v>1.914123124676681E-2</v>
      </c>
      <c r="H160" s="125">
        <f t="shared" si="179"/>
        <v>9.8339999999999997E-2</v>
      </c>
      <c r="I160" s="125">
        <f t="shared" si="179"/>
        <v>0.12650723469382591</v>
      </c>
      <c r="J160" s="125">
        <f t="shared" si="179"/>
        <v>1.6398522844759341E-2</v>
      </c>
      <c r="K160" s="125">
        <f t="shared" si="179"/>
        <v>1.3926271600695752E-2</v>
      </c>
      <c r="L160" s="125">
        <f t="shared" si="179"/>
        <v>1.4057661793117321E-2</v>
      </c>
      <c r="M160" s="125">
        <f t="shared" si="179"/>
        <v>0</v>
      </c>
      <c r="N160" s="125">
        <f t="shared" si="179"/>
        <v>2.1677907023400757E-2</v>
      </c>
      <c r="O160" s="125">
        <f t="shared" si="179"/>
        <v>4.051685061336731E-3</v>
      </c>
      <c r="P160" s="125">
        <f t="shared" si="179"/>
        <v>0.995</v>
      </c>
      <c r="Q160" s="125">
        <f t="shared" si="179"/>
        <v>0.995</v>
      </c>
      <c r="R160" s="125">
        <f t="shared" si="179"/>
        <v>0</v>
      </c>
    </row>
    <row r="161" spans="1:18">
      <c r="A161" s="123" t="e">
        <f t="shared" ref="A161" si="181">CONCATENATE("Year-",#REF!)</f>
        <v>#REF!</v>
      </c>
      <c r="B161" s="35">
        <v>49126</v>
      </c>
      <c r="C161" s="26">
        <f t="shared" si="178"/>
        <v>168.9</v>
      </c>
      <c r="D161" s="26">
        <f t="shared" si="178"/>
        <v>173.59972409999992</v>
      </c>
      <c r="E161" s="31">
        <f t="shared" si="114"/>
        <v>49210</v>
      </c>
      <c r="F161" s="124">
        <f t="shared" si="179"/>
        <v>51.564857066184757</v>
      </c>
      <c r="G161" s="125">
        <f t="shared" si="179"/>
        <v>2.1854695806261204E-2</v>
      </c>
      <c r="H161" s="125">
        <f t="shared" si="179"/>
        <v>9.1784000000000004E-2</v>
      </c>
      <c r="I161" s="125">
        <f t="shared" si="179"/>
        <v>0.1089308468990661</v>
      </c>
      <c r="J161" s="125">
        <f t="shared" si="179"/>
        <v>1.5867586262633245E-2</v>
      </c>
      <c r="K161" s="125">
        <f t="shared" si="179"/>
        <v>1.231974144019694E-2</v>
      </c>
      <c r="L161" s="125">
        <f t="shared" si="179"/>
        <v>1.3502102014775261E-2</v>
      </c>
      <c r="M161" s="125">
        <f t="shared" si="179"/>
        <v>0</v>
      </c>
      <c r="N161" s="125">
        <f t="shared" si="179"/>
        <v>2.127320988616644E-2</v>
      </c>
      <c r="O161" s="125">
        <f t="shared" si="179"/>
        <v>1.5557262066246368E-3</v>
      </c>
      <c r="P161" s="125">
        <f t="shared" si="179"/>
        <v>0.995</v>
      </c>
      <c r="Q161" s="125">
        <f t="shared" si="179"/>
        <v>0.995</v>
      </c>
      <c r="R161" s="125">
        <f t="shared" si="179"/>
        <v>0</v>
      </c>
    </row>
    <row r="162" spans="1:18">
      <c r="A162" s="123" t="e">
        <f t="shared" ref="A162" si="182">CONCATENATE("Year-",#REF!)</f>
        <v>#REF!</v>
      </c>
      <c r="B162" s="35">
        <v>49157</v>
      </c>
      <c r="C162" s="26">
        <f t="shared" si="178"/>
        <v>174.2</v>
      </c>
      <c r="D162" s="26">
        <f t="shared" si="178"/>
        <v>172.6001566000001</v>
      </c>
      <c r="E162" s="31">
        <f t="shared" si="114"/>
        <v>50100</v>
      </c>
      <c r="F162" s="124">
        <f t="shared" si="179"/>
        <v>50.336592710430871</v>
      </c>
      <c r="G162" s="125">
        <f t="shared" si="179"/>
        <v>2.0196191575302946E-2</v>
      </c>
      <c r="H162" s="125">
        <f t="shared" si="179"/>
        <v>8.8506000000000001E-2</v>
      </c>
      <c r="I162" s="125">
        <f t="shared" si="179"/>
        <v>0.10494453414747008</v>
      </c>
      <c r="J162" s="125">
        <f t="shared" si="179"/>
        <v>1.507508977611231E-2</v>
      </c>
      <c r="K162" s="125">
        <f t="shared" si="179"/>
        <v>1.2791562311125756E-2</v>
      </c>
      <c r="L162" s="125">
        <f t="shared" si="179"/>
        <v>1.4116403195935955E-2</v>
      </c>
      <c r="M162" s="125">
        <f t="shared" si="179"/>
        <v>0</v>
      </c>
      <c r="N162" s="125">
        <f t="shared" si="179"/>
        <v>2.157456294953386E-2</v>
      </c>
      <c r="O162" s="125">
        <f t="shared" si="179"/>
        <v>6.2818876990405415E-3</v>
      </c>
      <c r="P162" s="125">
        <f t="shared" si="179"/>
        <v>0.995</v>
      </c>
      <c r="Q162" s="125">
        <f t="shared" si="179"/>
        <v>0.995</v>
      </c>
      <c r="R162" s="125">
        <f t="shared" si="179"/>
        <v>0</v>
      </c>
    </row>
    <row r="163" spans="1:18">
      <c r="A163" s="123" t="e">
        <f t="shared" ref="A163" si="183">CONCATENATE("Year-",#REF!)</f>
        <v>#REF!</v>
      </c>
      <c r="B163" s="35">
        <v>49188</v>
      </c>
      <c r="C163" s="26">
        <f t="shared" si="178"/>
        <v>192.1</v>
      </c>
      <c r="D163" s="26">
        <f t="shared" si="178"/>
        <v>178.89930529999984</v>
      </c>
      <c r="E163" s="31">
        <f t="shared" si="114"/>
        <v>52760</v>
      </c>
      <c r="F163" s="124">
        <f t="shared" si="179"/>
        <v>52.25059433997491</v>
      </c>
      <c r="G163" s="125">
        <f t="shared" si="179"/>
        <v>1.7196456487754141E-2</v>
      </c>
      <c r="H163" s="125">
        <f t="shared" si="179"/>
        <v>8.5227999999999998E-2</v>
      </c>
      <c r="I163" s="125">
        <f t="shared" si="179"/>
        <v>0.11387126505657014</v>
      </c>
      <c r="J163" s="125">
        <f t="shared" si="179"/>
        <v>1.3959618092500629E-2</v>
      </c>
      <c r="K163" s="125">
        <f t="shared" si="179"/>
        <v>1.4531255376132731E-2</v>
      </c>
      <c r="L163" s="125">
        <f t="shared" si="179"/>
        <v>1.4478833500810966E-2</v>
      </c>
      <c r="M163" s="125">
        <f t="shared" si="179"/>
        <v>0</v>
      </c>
      <c r="N163" s="125">
        <f t="shared" si="179"/>
        <v>2.2473527643153385E-2</v>
      </c>
      <c r="O163" s="125">
        <f t="shared" si="179"/>
        <v>1.1388926338936924E-2</v>
      </c>
      <c r="P163" s="125">
        <f t="shared" si="179"/>
        <v>0.995</v>
      </c>
      <c r="Q163" s="125">
        <f t="shared" si="179"/>
        <v>0.995</v>
      </c>
      <c r="R163" s="125">
        <f t="shared" si="179"/>
        <v>0</v>
      </c>
    </row>
    <row r="164" spans="1:18">
      <c r="A164" s="123" t="e">
        <f t="shared" ref="A164" si="184">CONCATENATE("Year-",#REF!)</f>
        <v>#REF!</v>
      </c>
      <c r="B164" s="35">
        <v>49218</v>
      </c>
      <c r="C164" s="26">
        <f t="shared" si="178"/>
        <v>202.3</v>
      </c>
      <c r="D164" s="26">
        <f t="shared" si="178"/>
        <v>174.60082279999986</v>
      </c>
      <c r="E164" s="31">
        <f t="shared" si="114"/>
        <v>57190</v>
      </c>
      <c r="F164" s="124">
        <f t="shared" si="179"/>
        <v>49.723937837075084</v>
      </c>
      <c r="G164" s="125">
        <f t="shared" si="179"/>
        <v>1.5873015873015817E-2</v>
      </c>
      <c r="H164" s="125">
        <f t="shared" si="179"/>
        <v>8.8506000000000001E-2</v>
      </c>
      <c r="I164" s="125">
        <f t="shared" si="179"/>
        <v>0.10390722673430232</v>
      </c>
      <c r="J164" s="125">
        <f t="shared" si="179"/>
        <v>1.4040704754284353E-2</v>
      </c>
      <c r="K164" s="125">
        <f t="shared" si="179"/>
        <v>1.526389492868482E-2</v>
      </c>
      <c r="L164" s="125">
        <f t="shared" si="179"/>
        <v>1.5324069649683622E-2</v>
      </c>
      <c r="M164" s="125">
        <f t="shared" si="179"/>
        <v>0</v>
      </c>
      <c r="N164" s="125">
        <f t="shared" si="179"/>
        <v>2.3043103417804571E-2</v>
      </c>
      <c r="O164" s="125">
        <f t="shared" si="179"/>
        <v>2.1184397869334348E-2</v>
      </c>
      <c r="P164" s="125">
        <f t="shared" si="179"/>
        <v>0.995</v>
      </c>
      <c r="Q164" s="125">
        <f t="shared" si="179"/>
        <v>0.995</v>
      </c>
      <c r="R164" s="125">
        <f t="shared" si="179"/>
        <v>0</v>
      </c>
    </row>
    <row r="165" spans="1:18">
      <c r="A165" s="123" t="e">
        <f t="shared" ref="A165" si="185">CONCATENATE("Year-",#REF!)</f>
        <v>#REF!</v>
      </c>
      <c r="B165" s="35">
        <v>49249</v>
      </c>
      <c r="C165" s="26">
        <f t="shared" si="178"/>
        <v>162.9</v>
      </c>
      <c r="D165" s="26">
        <f t="shared" si="178"/>
        <v>133.69942049999997</v>
      </c>
      <c r="E165" s="31">
        <f t="shared" si="114"/>
        <v>46900</v>
      </c>
      <c r="F165" s="124">
        <f t="shared" si="179"/>
        <v>42.187120547750681</v>
      </c>
      <c r="G165" s="125">
        <f t="shared" si="179"/>
        <v>1.5950920245398792E-2</v>
      </c>
      <c r="H165" s="125">
        <f t="shared" si="179"/>
        <v>8.8506000000000001E-2</v>
      </c>
      <c r="I165" s="125">
        <f t="shared" si="179"/>
        <v>6.9024239591701744E-2</v>
      </c>
      <c r="J165" s="125">
        <f t="shared" si="179"/>
        <v>1.4204952105287192E-2</v>
      </c>
      <c r="K165" s="125">
        <f t="shared" si="179"/>
        <v>1.3252885058363056E-2</v>
      </c>
      <c r="L165" s="125">
        <f t="shared" si="179"/>
        <v>1.3980442883231779E-2</v>
      </c>
      <c r="M165" s="125">
        <f t="shared" si="179"/>
        <v>0</v>
      </c>
      <c r="N165" s="125">
        <f t="shared" si="179"/>
        <v>2.30208488716231E-2</v>
      </c>
      <c r="O165" s="125">
        <f t="shared" si="179"/>
        <v>8.3479094998109554E-3</v>
      </c>
      <c r="P165" s="125">
        <f t="shared" si="179"/>
        <v>0.995</v>
      </c>
      <c r="Q165" s="125">
        <f t="shared" si="179"/>
        <v>0.995</v>
      </c>
      <c r="R165" s="125">
        <f t="shared" si="179"/>
        <v>0</v>
      </c>
    </row>
    <row r="166" spans="1:18">
      <c r="A166" s="123" t="e">
        <f t="shared" ref="A166" si="186">CONCATENATE("Year-",#REF!)</f>
        <v>#REF!</v>
      </c>
      <c r="B166" s="35">
        <v>49279</v>
      </c>
      <c r="C166" s="26">
        <f t="shared" si="178"/>
        <v>158.6</v>
      </c>
      <c r="D166" s="26">
        <f t="shared" si="178"/>
        <v>124.40004220000003</v>
      </c>
      <c r="E166" s="31">
        <f t="shared" ref="E166:E229" si="187">E154*(1-$AE$2)</f>
        <v>48280</v>
      </c>
      <c r="F166" s="124">
        <f t="shared" si="179"/>
        <v>36.076939444156181</v>
      </c>
      <c r="G166" s="125">
        <f t="shared" si="179"/>
        <v>1.5802781289506962E-2</v>
      </c>
      <c r="H166" s="125">
        <f t="shared" si="179"/>
        <v>8.8506000000000001E-2</v>
      </c>
      <c r="I166" s="125">
        <f t="shared" si="179"/>
        <v>4.4787946264861052E-2</v>
      </c>
      <c r="J166" s="125">
        <f t="shared" si="179"/>
        <v>1.4140595613406415E-2</v>
      </c>
      <c r="K166" s="125">
        <f t="shared" si="179"/>
        <v>1.2367081056294736E-2</v>
      </c>
      <c r="L166" s="125">
        <f t="shared" si="179"/>
        <v>1.3960975699298588E-2</v>
      </c>
      <c r="M166" s="125">
        <f t="shared" si="179"/>
        <v>0</v>
      </c>
      <c r="N166" s="125">
        <f t="shared" si="179"/>
        <v>2.3055036005913448E-2</v>
      </c>
      <c r="O166" s="125">
        <f t="shared" si="179"/>
        <v>3.6978876304825567E-3</v>
      </c>
      <c r="P166" s="125">
        <f t="shared" si="179"/>
        <v>0.995</v>
      </c>
      <c r="Q166" s="125">
        <f t="shared" si="179"/>
        <v>0.995</v>
      </c>
      <c r="R166" s="125">
        <f t="shared" si="179"/>
        <v>0</v>
      </c>
    </row>
    <row r="167" spans="1:18">
      <c r="A167" s="123" t="e">
        <f t="shared" ref="A167" si="188">CONCATENATE("Year-",#REF!)</f>
        <v>#REF!</v>
      </c>
      <c r="B167" s="35">
        <v>49310</v>
      </c>
      <c r="C167" s="26">
        <f t="shared" si="178"/>
        <v>169.028549</v>
      </c>
      <c r="D167" s="26">
        <f t="shared" si="178"/>
        <v>133.89933939999995</v>
      </c>
      <c r="E167" s="31">
        <f t="shared" si="187"/>
        <v>51260</v>
      </c>
      <c r="F167" s="124">
        <f t="shared" si="179"/>
        <v>34.970332119021293</v>
      </c>
      <c r="G167" s="125">
        <f t="shared" si="179"/>
        <v>1.7200474495848161E-2</v>
      </c>
      <c r="H167" s="125">
        <f t="shared" si="179"/>
        <v>8.8506000000000001E-2</v>
      </c>
      <c r="I167" s="125">
        <f t="shared" si="179"/>
        <v>4.0029940128316385E-2</v>
      </c>
      <c r="J167" s="125">
        <f t="shared" si="179"/>
        <v>1.4099625889623608E-2</v>
      </c>
      <c r="K167" s="125">
        <f t="shared" si="179"/>
        <v>1.267725762135744E-2</v>
      </c>
      <c r="L167" s="125">
        <f t="shared" si="179"/>
        <v>1.390175346828215E-2</v>
      </c>
      <c r="M167" s="125">
        <f t="shared" si="179"/>
        <v>0</v>
      </c>
      <c r="N167" s="125">
        <f t="shared" si="179"/>
        <v>2.298066658515029E-2</v>
      </c>
      <c r="O167" s="125">
        <f t="shared" si="179"/>
        <v>1.0644897972798715E-2</v>
      </c>
      <c r="P167" s="125">
        <f t="shared" si="179"/>
        <v>0.995</v>
      </c>
      <c r="Q167" s="125">
        <f t="shared" si="179"/>
        <v>0.995</v>
      </c>
      <c r="R167" s="125">
        <f t="shared" si="179"/>
        <v>0</v>
      </c>
    </row>
    <row r="168" spans="1:18">
      <c r="A168" s="123" t="e">
        <f t="shared" ref="A168" si="189">CONCATENATE("Year-",#REF!)</f>
        <v>#REF!</v>
      </c>
      <c r="B168" s="35">
        <v>49341</v>
      </c>
      <c r="C168" s="26">
        <f t="shared" si="178"/>
        <v>172.55912190000004</v>
      </c>
      <c r="D168" s="26">
        <f t="shared" si="178"/>
        <v>145.40077080000009</v>
      </c>
      <c r="E168" s="31">
        <f t="shared" si="187"/>
        <v>47290</v>
      </c>
      <c r="F168" s="124">
        <f t="shared" si="179"/>
        <v>40.252096455972236</v>
      </c>
      <c r="G168" s="125">
        <f t="shared" si="179"/>
        <v>1.510749564206848E-2</v>
      </c>
      <c r="H168" s="125">
        <f t="shared" si="179"/>
        <v>8.8506000000000001E-2</v>
      </c>
      <c r="I168" s="125">
        <f t="shared" si="179"/>
        <v>6.2111013936519133E-2</v>
      </c>
      <c r="J168" s="125">
        <f t="shared" si="179"/>
        <v>1.4175439055030284E-2</v>
      </c>
      <c r="K168" s="125">
        <f t="shared" si="179"/>
        <v>1.4384371816049681E-2</v>
      </c>
      <c r="L168" s="125">
        <f t="shared" si="179"/>
        <v>1.5915736744616871E-2</v>
      </c>
      <c r="M168" s="125">
        <f t="shared" si="179"/>
        <v>0</v>
      </c>
      <c r="N168" s="125">
        <f t="shared" si="179"/>
        <v>2.3268144471779773E-2</v>
      </c>
      <c r="O168" s="125">
        <f t="shared" si="179"/>
        <v>2.5052142565085967E-2</v>
      </c>
      <c r="P168" s="125">
        <f t="shared" si="179"/>
        <v>0.995</v>
      </c>
      <c r="Q168" s="125">
        <f t="shared" si="179"/>
        <v>0.995</v>
      </c>
      <c r="R168" s="125">
        <f t="shared" si="179"/>
        <v>0</v>
      </c>
    </row>
    <row r="169" spans="1:18">
      <c r="A169" s="123" t="e">
        <f t="shared" ref="A169" si="190">CONCATENATE("Year-",#REF!)</f>
        <v>#REF!</v>
      </c>
      <c r="B169" s="35">
        <v>49369</v>
      </c>
      <c r="C169" s="26">
        <f t="shared" si="178"/>
        <v>215.74576700000009</v>
      </c>
      <c r="D169" s="26">
        <f t="shared" si="178"/>
        <v>195.59891570000002</v>
      </c>
      <c r="E169" s="31">
        <f t="shared" si="187"/>
        <v>60510</v>
      </c>
      <c r="F169" s="124">
        <f t="shared" si="179"/>
        <v>47.179622377374095</v>
      </c>
      <c r="G169" s="125">
        <f t="shared" si="179"/>
        <v>1.5306122448979553E-2</v>
      </c>
      <c r="H169" s="125">
        <f t="shared" si="179"/>
        <v>9.1784000000000004E-2</v>
      </c>
      <c r="I169" s="125">
        <f t="shared" si="179"/>
        <v>9.4419706369976972E-2</v>
      </c>
      <c r="J169" s="125">
        <f t="shared" si="179"/>
        <v>1.4644787078611174E-2</v>
      </c>
      <c r="K169" s="125">
        <f t="shared" si="179"/>
        <v>1.6212630268737406E-2</v>
      </c>
      <c r="L169" s="125">
        <f t="shared" si="179"/>
        <v>2.0718676035686345E-2</v>
      </c>
      <c r="M169" s="125">
        <f t="shared" si="179"/>
        <v>0</v>
      </c>
      <c r="N169" s="125">
        <f t="shared" si="179"/>
        <v>2.3247057021314733E-2</v>
      </c>
      <c r="O169" s="125">
        <f t="shared" si="179"/>
        <v>3.9222124133286969E-2</v>
      </c>
      <c r="P169" s="125">
        <f t="shared" si="179"/>
        <v>0.995</v>
      </c>
      <c r="Q169" s="125">
        <f t="shared" si="179"/>
        <v>0.995</v>
      </c>
      <c r="R169" s="125">
        <f t="shared" si="179"/>
        <v>0</v>
      </c>
    </row>
    <row r="170" spans="1:18">
      <c r="A170" s="123" t="e">
        <f t="shared" ref="A170" si="191">CONCATENATE("Year-",#REF!)</f>
        <v>#REF!</v>
      </c>
      <c r="B170" s="35">
        <v>49400</v>
      </c>
      <c r="C170" s="26">
        <f t="shared" si="178"/>
        <v>215.9</v>
      </c>
      <c r="D170" s="26">
        <f t="shared" si="178"/>
        <v>208.99969899999999</v>
      </c>
      <c r="E170" s="31">
        <f t="shared" si="187"/>
        <v>58630</v>
      </c>
      <c r="F170" s="124">
        <f t="shared" si="179"/>
        <v>52.296499350965128</v>
      </c>
      <c r="G170" s="125">
        <f t="shared" si="179"/>
        <v>1.6658954187875996E-2</v>
      </c>
      <c r="H170" s="125">
        <f t="shared" si="179"/>
        <v>9.5061999999999994E-2</v>
      </c>
      <c r="I170" s="125">
        <f t="shared" si="179"/>
        <v>0.11719199751057031</v>
      </c>
      <c r="J170" s="125">
        <f t="shared" si="179"/>
        <v>1.5231272154623582E-2</v>
      </c>
      <c r="K170" s="125">
        <f t="shared" si="179"/>
        <v>1.6110689006976781E-2</v>
      </c>
      <c r="L170" s="125">
        <f t="shared" si="179"/>
        <v>1.8633277773980331E-2</v>
      </c>
      <c r="M170" s="125">
        <f t="shared" si="179"/>
        <v>0</v>
      </c>
      <c r="N170" s="125">
        <f t="shared" si="179"/>
        <v>2.2802418781094937E-2</v>
      </c>
      <c r="O170" s="125">
        <f t="shared" si="179"/>
        <v>2.7995485693316467E-2</v>
      </c>
      <c r="P170" s="125">
        <f t="shared" si="179"/>
        <v>0.995</v>
      </c>
      <c r="Q170" s="125">
        <f t="shared" si="179"/>
        <v>0.995</v>
      </c>
      <c r="R170" s="125">
        <f t="shared" si="179"/>
        <v>0</v>
      </c>
    </row>
    <row r="171" spans="1:18">
      <c r="A171" s="123" t="e">
        <f t="shared" ref="A171" si="192">CONCATENATE("Year-",#REF!)</f>
        <v>#REF!</v>
      </c>
      <c r="B171" s="35">
        <v>49430</v>
      </c>
      <c r="C171" s="26">
        <f t="shared" si="178"/>
        <v>217.9</v>
      </c>
      <c r="D171" s="26">
        <f t="shared" si="178"/>
        <v>221.90023470000006</v>
      </c>
      <c r="E171" s="31">
        <f t="shared" si="187"/>
        <v>61780</v>
      </c>
      <c r="F171" s="124">
        <f t="shared" si="179"/>
        <v>55.437733860726389</v>
      </c>
      <c r="G171" s="125">
        <f t="shared" si="179"/>
        <v>1.7865322950068707E-2</v>
      </c>
      <c r="H171" s="125">
        <f t="shared" si="179"/>
        <v>9.8339999999999997E-2</v>
      </c>
      <c r="I171" s="125">
        <f t="shared" si="179"/>
        <v>0.1306817577748349</v>
      </c>
      <c r="J171" s="125">
        <f t="shared" si="179"/>
        <v>1.609339136491415E-2</v>
      </c>
      <c r="K171" s="125">
        <f t="shared" si="179"/>
        <v>1.525163145425878E-2</v>
      </c>
      <c r="L171" s="125">
        <f t="shared" si="179"/>
        <v>1.5763583972179196E-2</v>
      </c>
      <c r="M171" s="125">
        <f t="shared" si="179"/>
        <v>0</v>
      </c>
      <c r="N171" s="125">
        <f t="shared" si="179"/>
        <v>2.2281870794181511E-2</v>
      </c>
      <c r="O171" s="125">
        <f t="shared" si="179"/>
        <v>1.1198342091846737E-2</v>
      </c>
      <c r="P171" s="125">
        <f t="shared" si="179"/>
        <v>0.995</v>
      </c>
      <c r="Q171" s="125">
        <f t="shared" si="179"/>
        <v>0.995</v>
      </c>
      <c r="R171" s="125">
        <f t="shared" si="179"/>
        <v>0</v>
      </c>
    </row>
    <row r="172" spans="1:18">
      <c r="A172" s="123" t="e">
        <f t="shared" ref="A172" si="193">CONCATENATE("Year-",#REF!)</f>
        <v>#REF!</v>
      </c>
      <c r="B172" s="35">
        <v>49461</v>
      </c>
      <c r="C172" s="26">
        <f t="shared" si="178"/>
        <v>192.8</v>
      </c>
      <c r="D172" s="26">
        <f t="shared" si="178"/>
        <v>200.20089519999999</v>
      </c>
      <c r="E172" s="31">
        <f t="shared" si="187"/>
        <v>53700</v>
      </c>
      <c r="F172" s="124">
        <f t="shared" si="179"/>
        <v>54.658309168315547</v>
      </c>
      <c r="G172" s="125">
        <f t="shared" si="179"/>
        <v>1.914123124676681E-2</v>
      </c>
      <c r="H172" s="125">
        <f t="shared" si="179"/>
        <v>9.8339999999999997E-2</v>
      </c>
      <c r="I172" s="125">
        <f t="shared" si="179"/>
        <v>0.12650723469382591</v>
      </c>
      <c r="J172" s="125">
        <f t="shared" si="179"/>
        <v>1.6398522844759341E-2</v>
      </c>
      <c r="K172" s="125">
        <f t="shared" si="179"/>
        <v>1.3926271600695752E-2</v>
      </c>
      <c r="L172" s="125">
        <f t="shared" si="179"/>
        <v>1.4057661793117321E-2</v>
      </c>
      <c r="M172" s="125">
        <f t="shared" si="179"/>
        <v>0</v>
      </c>
      <c r="N172" s="125">
        <f t="shared" si="179"/>
        <v>2.1677907023400757E-2</v>
      </c>
      <c r="O172" s="125">
        <f t="shared" si="179"/>
        <v>4.051685061336731E-3</v>
      </c>
      <c r="P172" s="125">
        <f t="shared" si="179"/>
        <v>0.995</v>
      </c>
      <c r="Q172" s="125">
        <f t="shared" si="179"/>
        <v>0.995</v>
      </c>
      <c r="R172" s="125">
        <f t="shared" si="179"/>
        <v>0</v>
      </c>
    </row>
    <row r="173" spans="1:18">
      <c r="A173" s="123" t="e">
        <f t="shared" ref="A173" si="194">CONCATENATE("Year-",#REF!)</f>
        <v>#REF!</v>
      </c>
      <c r="B173" s="35">
        <v>49491</v>
      </c>
      <c r="C173" s="26">
        <f t="shared" si="178"/>
        <v>168.9</v>
      </c>
      <c r="D173" s="26">
        <f t="shared" si="178"/>
        <v>173.59972409999992</v>
      </c>
      <c r="E173" s="31">
        <f t="shared" si="187"/>
        <v>49210</v>
      </c>
      <c r="F173" s="124">
        <f t="shared" si="179"/>
        <v>51.564857066184757</v>
      </c>
      <c r="G173" s="125">
        <f t="shared" si="179"/>
        <v>2.1854695806261204E-2</v>
      </c>
      <c r="H173" s="125">
        <f t="shared" si="179"/>
        <v>9.1784000000000004E-2</v>
      </c>
      <c r="I173" s="125">
        <f t="shared" si="179"/>
        <v>0.1089308468990661</v>
      </c>
      <c r="J173" s="125">
        <f t="shared" si="179"/>
        <v>1.5867586262633245E-2</v>
      </c>
      <c r="K173" s="125">
        <f t="shared" si="179"/>
        <v>1.231974144019694E-2</v>
      </c>
      <c r="L173" s="125">
        <f t="shared" si="179"/>
        <v>1.3502102014775261E-2</v>
      </c>
      <c r="M173" s="125">
        <f t="shared" si="179"/>
        <v>0</v>
      </c>
      <c r="N173" s="125">
        <f t="shared" si="179"/>
        <v>2.127320988616644E-2</v>
      </c>
      <c r="O173" s="125">
        <f t="shared" si="179"/>
        <v>1.5557262066246368E-3</v>
      </c>
      <c r="P173" s="125">
        <f t="shared" si="179"/>
        <v>0.995</v>
      </c>
      <c r="Q173" s="125">
        <f t="shared" si="179"/>
        <v>0.995</v>
      </c>
      <c r="R173" s="125">
        <f t="shared" si="179"/>
        <v>0</v>
      </c>
    </row>
    <row r="174" spans="1:18">
      <c r="A174" s="123" t="e">
        <f t="shared" ref="A174" si="195">CONCATENATE("Year-",#REF!)</f>
        <v>#REF!</v>
      </c>
      <c r="B174" s="35">
        <v>49522</v>
      </c>
      <c r="C174" s="26">
        <f t="shared" si="178"/>
        <v>174.2</v>
      </c>
      <c r="D174" s="26">
        <f t="shared" si="178"/>
        <v>172.6001566000001</v>
      </c>
      <c r="E174" s="31">
        <f t="shared" si="187"/>
        <v>50100</v>
      </c>
      <c r="F174" s="124">
        <f t="shared" si="179"/>
        <v>50.336592710430871</v>
      </c>
      <c r="G174" s="125">
        <f t="shared" si="179"/>
        <v>2.0196191575302946E-2</v>
      </c>
      <c r="H174" s="125">
        <f t="shared" si="179"/>
        <v>8.8506000000000001E-2</v>
      </c>
      <c r="I174" s="125">
        <f t="shared" si="179"/>
        <v>0.10494453414747008</v>
      </c>
      <c r="J174" s="125">
        <f t="shared" si="179"/>
        <v>1.507508977611231E-2</v>
      </c>
      <c r="K174" s="125">
        <f t="shared" si="179"/>
        <v>1.2791562311125756E-2</v>
      </c>
      <c r="L174" s="125">
        <f t="shared" si="179"/>
        <v>1.4116403195935955E-2</v>
      </c>
      <c r="M174" s="125">
        <f t="shared" si="179"/>
        <v>0</v>
      </c>
      <c r="N174" s="125">
        <f t="shared" si="179"/>
        <v>2.157456294953386E-2</v>
      </c>
      <c r="O174" s="125">
        <f t="shared" si="179"/>
        <v>6.2818876990405415E-3</v>
      </c>
      <c r="P174" s="125">
        <f t="shared" si="179"/>
        <v>0.995</v>
      </c>
      <c r="Q174" s="125">
        <f t="shared" si="179"/>
        <v>0.995</v>
      </c>
      <c r="R174" s="125">
        <f t="shared" si="179"/>
        <v>0</v>
      </c>
    </row>
    <row r="175" spans="1:18">
      <c r="A175" s="123" t="e">
        <f t="shared" ref="A175" si="196">CONCATENATE("Year-",#REF!)</f>
        <v>#REF!</v>
      </c>
      <c r="B175" s="35">
        <v>49553</v>
      </c>
      <c r="C175" s="26">
        <f t="shared" ref="C175:D190" si="197">C163</f>
        <v>192.1</v>
      </c>
      <c r="D175" s="26">
        <f t="shared" si="197"/>
        <v>178.89930529999984</v>
      </c>
      <c r="E175" s="31">
        <f t="shared" si="187"/>
        <v>52760</v>
      </c>
      <c r="F175" s="124">
        <f t="shared" ref="F175:R190" si="198">F163</f>
        <v>52.25059433997491</v>
      </c>
      <c r="G175" s="125">
        <f t="shared" si="198"/>
        <v>1.7196456487754141E-2</v>
      </c>
      <c r="H175" s="125">
        <f t="shared" si="198"/>
        <v>8.5227999999999998E-2</v>
      </c>
      <c r="I175" s="125">
        <f t="shared" si="198"/>
        <v>0.11387126505657014</v>
      </c>
      <c r="J175" s="125">
        <f t="shared" si="198"/>
        <v>1.3959618092500629E-2</v>
      </c>
      <c r="K175" s="125">
        <f t="shared" si="198"/>
        <v>1.4531255376132731E-2</v>
      </c>
      <c r="L175" s="125">
        <f t="shared" si="198"/>
        <v>1.4478833500810966E-2</v>
      </c>
      <c r="M175" s="125">
        <f t="shared" si="198"/>
        <v>0</v>
      </c>
      <c r="N175" s="125">
        <f t="shared" si="198"/>
        <v>2.2473527643153385E-2</v>
      </c>
      <c r="O175" s="125">
        <f t="shared" si="198"/>
        <v>1.1388926338936924E-2</v>
      </c>
      <c r="P175" s="125">
        <f t="shared" si="198"/>
        <v>0.995</v>
      </c>
      <c r="Q175" s="125">
        <f t="shared" si="198"/>
        <v>0.995</v>
      </c>
      <c r="R175" s="125">
        <f t="shared" si="198"/>
        <v>0</v>
      </c>
    </row>
    <row r="176" spans="1:18">
      <c r="A176" s="123" t="e">
        <f t="shared" ref="A176" si="199">CONCATENATE("Year-",#REF!)</f>
        <v>#REF!</v>
      </c>
      <c r="B176" s="35">
        <v>49583</v>
      </c>
      <c r="C176" s="26">
        <f t="shared" si="197"/>
        <v>202.3</v>
      </c>
      <c r="D176" s="26">
        <f t="shared" si="197"/>
        <v>174.60082279999986</v>
      </c>
      <c r="E176" s="31">
        <f t="shared" si="187"/>
        <v>57190</v>
      </c>
      <c r="F176" s="124">
        <f t="shared" si="198"/>
        <v>49.723937837075084</v>
      </c>
      <c r="G176" s="125">
        <f t="shared" si="198"/>
        <v>1.5873015873015817E-2</v>
      </c>
      <c r="H176" s="125">
        <f t="shared" si="198"/>
        <v>8.8506000000000001E-2</v>
      </c>
      <c r="I176" s="125">
        <f t="shared" si="198"/>
        <v>0.10390722673430232</v>
      </c>
      <c r="J176" s="125">
        <f t="shared" si="198"/>
        <v>1.4040704754284353E-2</v>
      </c>
      <c r="K176" s="125">
        <f t="shared" si="198"/>
        <v>1.526389492868482E-2</v>
      </c>
      <c r="L176" s="125">
        <f t="shared" si="198"/>
        <v>1.5324069649683622E-2</v>
      </c>
      <c r="M176" s="125">
        <f t="shared" si="198"/>
        <v>0</v>
      </c>
      <c r="N176" s="125">
        <f t="shared" si="198"/>
        <v>2.3043103417804571E-2</v>
      </c>
      <c r="O176" s="125">
        <f t="shared" si="198"/>
        <v>2.1184397869334348E-2</v>
      </c>
      <c r="P176" s="125">
        <f t="shared" si="198"/>
        <v>0.995</v>
      </c>
      <c r="Q176" s="125">
        <f t="shared" si="198"/>
        <v>0.995</v>
      </c>
      <c r="R176" s="125">
        <f t="shared" si="198"/>
        <v>0</v>
      </c>
    </row>
    <row r="177" spans="1:18">
      <c r="A177" s="123" t="e">
        <f t="shared" ref="A177" si="200">CONCATENATE("Year-",#REF!)</f>
        <v>#REF!</v>
      </c>
      <c r="B177" s="35">
        <v>49614</v>
      </c>
      <c r="C177" s="26">
        <f t="shared" si="197"/>
        <v>162.9</v>
      </c>
      <c r="D177" s="26">
        <f t="shared" si="197"/>
        <v>133.69942049999997</v>
      </c>
      <c r="E177" s="31">
        <f t="shared" si="187"/>
        <v>46900</v>
      </c>
      <c r="F177" s="124">
        <f t="shared" si="198"/>
        <v>42.187120547750681</v>
      </c>
      <c r="G177" s="125">
        <f t="shared" si="198"/>
        <v>1.5950920245398792E-2</v>
      </c>
      <c r="H177" s="125">
        <f t="shared" si="198"/>
        <v>8.8506000000000001E-2</v>
      </c>
      <c r="I177" s="125">
        <f t="shared" si="198"/>
        <v>6.9024239591701744E-2</v>
      </c>
      <c r="J177" s="125">
        <f t="shared" si="198"/>
        <v>1.4204952105287192E-2</v>
      </c>
      <c r="K177" s="125">
        <f t="shared" si="198"/>
        <v>1.3252885058363056E-2</v>
      </c>
      <c r="L177" s="125">
        <f t="shared" si="198"/>
        <v>1.3980442883231779E-2</v>
      </c>
      <c r="M177" s="125">
        <f t="shared" si="198"/>
        <v>0</v>
      </c>
      <c r="N177" s="125">
        <f t="shared" si="198"/>
        <v>2.30208488716231E-2</v>
      </c>
      <c r="O177" s="125">
        <f t="shared" si="198"/>
        <v>8.3479094998109554E-3</v>
      </c>
      <c r="P177" s="125">
        <f t="shared" si="198"/>
        <v>0.995</v>
      </c>
      <c r="Q177" s="125">
        <f t="shared" si="198"/>
        <v>0.995</v>
      </c>
      <c r="R177" s="125">
        <f t="shared" si="198"/>
        <v>0</v>
      </c>
    </row>
    <row r="178" spans="1:18">
      <c r="A178" s="123" t="e">
        <f t="shared" ref="A178" si="201">CONCATENATE("Year-",#REF!)</f>
        <v>#REF!</v>
      </c>
      <c r="B178" s="35">
        <v>49644</v>
      </c>
      <c r="C178" s="26">
        <f t="shared" si="197"/>
        <v>158.6</v>
      </c>
      <c r="D178" s="26">
        <f t="shared" si="197"/>
        <v>124.40004220000003</v>
      </c>
      <c r="E178" s="31">
        <f t="shared" si="187"/>
        <v>48280</v>
      </c>
      <c r="F178" s="124">
        <f t="shared" si="198"/>
        <v>36.076939444156181</v>
      </c>
      <c r="G178" s="125">
        <f t="shared" si="198"/>
        <v>1.5802781289506962E-2</v>
      </c>
      <c r="H178" s="125">
        <f t="shared" si="198"/>
        <v>8.8506000000000001E-2</v>
      </c>
      <c r="I178" s="125">
        <f t="shared" si="198"/>
        <v>4.4787946264861052E-2</v>
      </c>
      <c r="J178" s="125">
        <f t="shared" si="198"/>
        <v>1.4140595613406415E-2</v>
      </c>
      <c r="K178" s="125">
        <f t="shared" si="198"/>
        <v>1.2367081056294736E-2</v>
      </c>
      <c r="L178" s="125">
        <f t="shared" si="198"/>
        <v>1.3960975699298588E-2</v>
      </c>
      <c r="M178" s="125">
        <f t="shared" si="198"/>
        <v>0</v>
      </c>
      <c r="N178" s="125">
        <f t="shared" si="198"/>
        <v>2.3055036005913448E-2</v>
      </c>
      <c r="O178" s="125">
        <f t="shared" si="198"/>
        <v>3.6978876304825567E-3</v>
      </c>
      <c r="P178" s="125">
        <f t="shared" si="198"/>
        <v>0.995</v>
      </c>
      <c r="Q178" s="125">
        <f t="shared" si="198"/>
        <v>0.995</v>
      </c>
      <c r="R178" s="125">
        <f t="shared" si="198"/>
        <v>0</v>
      </c>
    </row>
    <row r="179" spans="1:18">
      <c r="A179" s="123" t="e">
        <f t="shared" ref="A179" si="202">CONCATENATE("Year-",#REF!)</f>
        <v>#REF!</v>
      </c>
      <c r="B179" s="35">
        <v>49675</v>
      </c>
      <c r="C179" s="26">
        <f t="shared" si="197"/>
        <v>169.028549</v>
      </c>
      <c r="D179" s="26">
        <f t="shared" si="197"/>
        <v>133.89933939999995</v>
      </c>
      <c r="E179" s="31">
        <f t="shared" si="187"/>
        <v>51260</v>
      </c>
      <c r="F179" s="124">
        <f t="shared" si="198"/>
        <v>34.970332119021293</v>
      </c>
      <c r="G179" s="125">
        <f t="shared" si="198"/>
        <v>1.7200474495848161E-2</v>
      </c>
      <c r="H179" s="125">
        <f t="shared" si="198"/>
        <v>8.8506000000000001E-2</v>
      </c>
      <c r="I179" s="125">
        <f t="shared" si="198"/>
        <v>4.0029940128316385E-2</v>
      </c>
      <c r="J179" s="125">
        <f t="shared" si="198"/>
        <v>1.4099625889623608E-2</v>
      </c>
      <c r="K179" s="125">
        <f t="shared" si="198"/>
        <v>1.267725762135744E-2</v>
      </c>
      <c r="L179" s="125">
        <f t="shared" si="198"/>
        <v>1.390175346828215E-2</v>
      </c>
      <c r="M179" s="125">
        <f t="shared" si="198"/>
        <v>0</v>
      </c>
      <c r="N179" s="125">
        <f t="shared" si="198"/>
        <v>2.298066658515029E-2</v>
      </c>
      <c r="O179" s="125">
        <f t="shared" si="198"/>
        <v>1.0644897972798715E-2</v>
      </c>
      <c r="P179" s="125">
        <f t="shared" si="198"/>
        <v>0.995</v>
      </c>
      <c r="Q179" s="125">
        <f t="shared" si="198"/>
        <v>0.995</v>
      </c>
      <c r="R179" s="125">
        <f t="shared" si="198"/>
        <v>0</v>
      </c>
    </row>
    <row r="180" spans="1:18">
      <c r="A180" s="123" t="e">
        <f t="shared" ref="A180" si="203">CONCATENATE("Year-",#REF!)</f>
        <v>#REF!</v>
      </c>
      <c r="B180" s="35">
        <v>49706</v>
      </c>
      <c r="C180" s="26">
        <f t="shared" si="197"/>
        <v>172.55912190000004</v>
      </c>
      <c r="D180" s="26">
        <f t="shared" si="197"/>
        <v>145.40077080000009</v>
      </c>
      <c r="E180" s="31">
        <f t="shared" si="187"/>
        <v>47290</v>
      </c>
      <c r="F180" s="124">
        <f t="shared" si="198"/>
        <v>40.252096455972236</v>
      </c>
      <c r="G180" s="125">
        <f t="shared" si="198"/>
        <v>1.510749564206848E-2</v>
      </c>
      <c r="H180" s="125">
        <f t="shared" si="198"/>
        <v>8.8506000000000001E-2</v>
      </c>
      <c r="I180" s="125">
        <f t="shared" si="198"/>
        <v>6.2111013936519133E-2</v>
      </c>
      <c r="J180" s="125">
        <f t="shared" si="198"/>
        <v>1.4175439055030284E-2</v>
      </c>
      <c r="K180" s="125">
        <f t="shared" si="198"/>
        <v>1.4384371816049681E-2</v>
      </c>
      <c r="L180" s="125">
        <f t="shared" si="198"/>
        <v>1.5915736744616871E-2</v>
      </c>
      <c r="M180" s="125">
        <f t="shared" si="198"/>
        <v>0</v>
      </c>
      <c r="N180" s="125">
        <f t="shared" si="198"/>
        <v>2.3268144471779773E-2</v>
      </c>
      <c r="O180" s="125">
        <f t="shared" si="198"/>
        <v>2.5052142565085967E-2</v>
      </c>
      <c r="P180" s="125">
        <f t="shared" si="198"/>
        <v>0.995</v>
      </c>
      <c r="Q180" s="125">
        <f t="shared" si="198"/>
        <v>0.995</v>
      </c>
      <c r="R180" s="125">
        <f t="shared" si="198"/>
        <v>0</v>
      </c>
    </row>
    <row r="181" spans="1:18">
      <c r="A181" s="123" t="e">
        <f t="shared" ref="A181" si="204">CONCATENATE("Year-",#REF!)</f>
        <v>#REF!</v>
      </c>
      <c r="B181" s="35">
        <v>49735</v>
      </c>
      <c r="C181" s="26">
        <f t="shared" si="197"/>
        <v>215.74576700000009</v>
      </c>
      <c r="D181" s="26">
        <f t="shared" si="197"/>
        <v>195.59891570000002</v>
      </c>
      <c r="E181" s="31">
        <f t="shared" si="187"/>
        <v>60510</v>
      </c>
      <c r="F181" s="124">
        <f t="shared" si="198"/>
        <v>47.179622377374095</v>
      </c>
      <c r="G181" s="125">
        <f t="shared" si="198"/>
        <v>1.5306122448979553E-2</v>
      </c>
      <c r="H181" s="125">
        <f t="shared" si="198"/>
        <v>9.1784000000000004E-2</v>
      </c>
      <c r="I181" s="125">
        <f t="shared" si="198"/>
        <v>9.4419706369976972E-2</v>
      </c>
      <c r="J181" s="125">
        <f t="shared" si="198"/>
        <v>1.4644787078611174E-2</v>
      </c>
      <c r="K181" s="125">
        <f t="shared" si="198"/>
        <v>1.6212630268737406E-2</v>
      </c>
      <c r="L181" s="125">
        <f t="shared" si="198"/>
        <v>2.0718676035686345E-2</v>
      </c>
      <c r="M181" s="125">
        <f t="shared" si="198"/>
        <v>0</v>
      </c>
      <c r="N181" s="125">
        <f t="shared" si="198"/>
        <v>2.3247057021314733E-2</v>
      </c>
      <c r="O181" s="125">
        <f t="shared" si="198"/>
        <v>3.9222124133286969E-2</v>
      </c>
      <c r="P181" s="125">
        <f t="shared" si="198"/>
        <v>0.995</v>
      </c>
      <c r="Q181" s="125">
        <f t="shared" si="198"/>
        <v>0.995</v>
      </c>
      <c r="R181" s="125">
        <f t="shared" si="198"/>
        <v>0</v>
      </c>
    </row>
    <row r="182" spans="1:18">
      <c r="A182" s="123" t="e">
        <f t="shared" ref="A182" si="205">CONCATENATE("Year-",#REF!)</f>
        <v>#REF!</v>
      </c>
      <c r="B182" s="35">
        <v>49766</v>
      </c>
      <c r="C182" s="26">
        <f t="shared" si="197"/>
        <v>215.9</v>
      </c>
      <c r="D182" s="26">
        <f t="shared" si="197"/>
        <v>208.99969899999999</v>
      </c>
      <c r="E182" s="31">
        <f t="shared" si="187"/>
        <v>58630</v>
      </c>
      <c r="F182" s="124">
        <f t="shared" si="198"/>
        <v>52.296499350965128</v>
      </c>
      <c r="G182" s="125">
        <f t="shared" si="198"/>
        <v>1.6658954187875996E-2</v>
      </c>
      <c r="H182" s="125">
        <f t="shared" si="198"/>
        <v>9.5061999999999994E-2</v>
      </c>
      <c r="I182" s="125">
        <f t="shared" si="198"/>
        <v>0.11719199751057031</v>
      </c>
      <c r="J182" s="125">
        <f t="shared" si="198"/>
        <v>1.5231272154623582E-2</v>
      </c>
      <c r="K182" s="125">
        <f t="shared" si="198"/>
        <v>1.6110689006976781E-2</v>
      </c>
      <c r="L182" s="125">
        <f t="shared" si="198"/>
        <v>1.8633277773980331E-2</v>
      </c>
      <c r="M182" s="125">
        <f t="shared" si="198"/>
        <v>0</v>
      </c>
      <c r="N182" s="125">
        <f t="shared" si="198"/>
        <v>2.2802418781094937E-2</v>
      </c>
      <c r="O182" s="125">
        <f t="shared" si="198"/>
        <v>2.7995485693316467E-2</v>
      </c>
      <c r="P182" s="125">
        <f t="shared" si="198"/>
        <v>0.995</v>
      </c>
      <c r="Q182" s="125">
        <f t="shared" si="198"/>
        <v>0.995</v>
      </c>
      <c r="R182" s="125">
        <f t="shared" si="198"/>
        <v>0</v>
      </c>
    </row>
    <row r="183" spans="1:18">
      <c r="A183" s="123" t="e">
        <f t="shared" ref="A183" si="206">CONCATENATE("Year-",#REF!)</f>
        <v>#REF!</v>
      </c>
      <c r="B183" s="35">
        <v>49796</v>
      </c>
      <c r="C183" s="26">
        <f t="shared" si="197"/>
        <v>217.9</v>
      </c>
      <c r="D183" s="26">
        <f t="shared" si="197"/>
        <v>221.90023470000006</v>
      </c>
      <c r="E183" s="31">
        <f t="shared" si="187"/>
        <v>61780</v>
      </c>
      <c r="F183" s="124">
        <f t="shared" si="198"/>
        <v>55.437733860726389</v>
      </c>
      <c r="G183" s="125">
        <f t="shared" si="198"/>
        <v>1.7865322950068707E-2</v>
      </c>
      <c r="H183" s="125">
        <f t="shared" si="198"/>
        <v>9.8339999999999997E-2</v>
      </c>
      <c r="I183" s="125">
        <f t="shared" si="198"/>
        <v>0.1306817577748349</v>
      </c>
      <c r="J183" s="125">
        <f t="shared" si="198"/>
        <v>1.609339136491415E-2</v>
      </c>
      <c r="K183" s="125">
        <f t="shared" si="198"/>
        <v>1.525163145425878E-2</v>
      </c>
      <c r="L183" s="125">
        <f t="shared" si="198"/>
        <v>1.5763583972179196E-2</v>
      </c>
      <c r="M183" s="125">
        <f t="shared" si="198"/>
        <v>0</v>
      </c>
      <c r="N183" s="125">
        <f t="shared" si="198"/>
        <v>2.2281870794181511E-2</v>
      </c>
      <c r="O183" s="125">
        <f t="shared" si="198"/>
        <v>1.1198342091846737E-2</v>
      </c>
      <c r="P183" s="125">
        <f t="shared" si="198"/>
        <v>0.995</v>
      </c>
      <c r="Q183" s="125">
        <f t="shared" si="198"/>
        <v>0.995</v>
      </c>
      <c r="R183" s="125">
        <f t="shared" si="198"/>
        <v>0</v>
      </c>
    </row>
    <row r="184" spans="1:18">
      <c r="A184" s="123" t="e">
        <f t="shared" ref="A184" si="207">CONCATENATE("Year-",#REF!)</f>
        <v>#REF!</v>
      </c>
      <c r="B184" s="35">
        <v>49827</v>
      </c>
      <c r="C184" s="26">
        <f t="shared" si="197"/>
        <v>192.8</v>
      </c>
      <c r="D184" s="26">
        <f t="shared" si="197"/>
        <v>200.20089519999999</v>
      </c>
      <c r="E184" s="31">
        <f t="shared" si="187"/>
        <v>53700</v>
      </c>
      <c r="F184" s="124">
        <f t="shared" si="198"/>
        <v>54.658309168315547</v>
      </c>
      <c r="G184" s="125">
        <f t="shared" si="198"/>
        <v>1.914123124676681E-2</v>
      </c>
      <c r="H184" s="125">
        <f t="shared" si="198"/>
        <v>9.8339999999999997E-2</v>
      </c>
      <c r="I184" s="125">
        <f t="shared" si="198"/>
        <v>0.12650723469382591</v>
      </c>
      <c r="J184" s="125">
        <f t="shared" si="198"/>
        <v>1.6398522844759341E-2</v>
      </c>
      <c r="K184" s="125">
        <f t="shared" si="198"/>
        <v>1.3926271600695752E-2</v>
      </c>
      <c r="L184" s="125">
        <f t="shared" si="198"/>
        <v>1.4057661793117321E-2</v>
      </c>
      <c r="M184" s="125">
        <f t="shared" si="198"/>
        <v>0</v>
      </c>
      <c r="N184" s="125">
        <f t="shared" si="198"/>
        <v>2.1677907023400757E-2</v>
      </c>
      <c r="O184" s="125">
        <f t="shared" si="198"/>
        <v>4.051685061336731E-3</v>
      </c>
      <c r="P184" s="125">
        <f t="shared" si="198"/>
        <v>0.995</v>
      </c>
      <c r="Q184" s="125">
        <f t="shared" si="198"/>
        <v>0.995</v>
      </c>
      <c r="R184" s="125">
        <f t="shared" si="198"/>
        <v>0</v>
      </c>
    </row>
    <row r="185" spans="1:18">
      <c r="A185" s="123" t="e">
        <f t="shared" ref="A185" si="208">CONCATENATE("Year-",#REF!)</f>
        <v>#REF!</v>
      </c>
      <c r="B185" s="35">
        <v>49857</v>
      </c>
      <c r="C185" s="26">
        <f t="shared" si="197"/>
        <v>168.9</v>
      </c>
      <c r="D185" s="26">
        <f t="shared" si="197"/>
        <v>173.59972409999992</v>
      </c>
      <c r="E185" s="31">
        <f t="shared" si="187"/>
        <v>49210</v>
      </c>
      <c r="F185" s="124">
        <f t="shared" si="198"/>
        <v>51.564857066184757</v>
      </c>
      <c r="G185" s="125">
        <f t="shared" si="198"/>
        <v>2.1854695806261204E-2</v>
      </c>
      <c r="H185" s="125">
        <f t="shared" si="198"/>
        <v>9.1784000000000004E-2</v>
      </c>
      <c r="I185" s="125">
        <f t="shared" si="198"/>
        <v>0.1089308468990661</v>
      </c>
      <c r="J185" s="125">
        <f t="shared" si="198"/>
        <v>1.5867586262633245E-2</v>
      </c>
      <c r="K185" s="125">
        <f t="shared" si="198"/>
        <v>1.231974144019694E-2</v>
      </c>
      <c r="L185" s="125">
        <f t="shared" si="198"/>
        <v>1.3502102014775261E-2</v>
      </c>
      <c r="M185" s="125">
        <f t="shared" si="198"/>
        <v>0</v>
      </c>
      <c r="N185" s="125">
        <f t="shared" si="198"/>
        <v>2.127320988616644E-2</v>
      </c>
      <c r="O185" s="125">
        <f t="shared" si="198"/>
        <v>1.5557262066246368E-3</v>
      </c>
      <c r="P185" s="125">
        <f t="shared" si="198"/>
        <v>0.995</v>
      </c>
      <c r="Q185" s="125">
        <f t="shared" si="198"/>
        <v>0.995</v>
      </c>
      <c r="R185" s="125">
        <f t="shared" si="198"/>
        <v>0</v>
      </c>
    </row>
    <row r="186" spans="1:18">
      <c r="A186" s="123" t="e">
        <f t="shared" ref="A186" si="209">CONCATENATE("Year-",#REF!)</f>
        <v>#REF!</v>
      </c>
      <c r="B186" s="35">
        <v>49888</v>
      </c>
      <c r="C186" s="26">
        <f t="shared" si="197"/>
        <v>174.2</v>
      </c>
      <c r="D186" s="26">
        <f t="shared" si="197"/>
        <v>172.6001566000001</v>
      </c>
      <c r="E186" s="31">
        <f t="shared" si="187"/>
        <v>50100</v>
      </c>
      <c r="F186" s="124">
        <f t="shared" si="198"/>
        <v>50.336592710430871</v>
      </c>
      <c r="G186" s="125">
        <f t="shared" si="198"/>
        <v>2.0196191575302946E-2</v>
      </c>
      <c r="H186" s="125">
        <f t="shared" si="198"/>
        <v>8.8506000000000001E-2</v>
      </c>
      <c r="I186" s="125">
        <f t="shared" si="198"/>
        <v>0.10494453414747008</v>
      </c>
      <c r="J186" s="125">
        <f t="shared" si="198"/>
        <v>1.507508977611231E-2</v>
      </c>
      <c r="K186" s="125">
        <f t="shared" si="198"/>
        <v>1.2791562311125756E-2</v>
      </c>
      <c r="L186" s="125">
        <f t="shared" si="198"/>
        <v>1.4116403195935955E-2</v>
      </c>
      <c r="M186" s="125">
        <f t="shared" si="198"/>
        <v>0</v>
      </c>
      <c r="N186" s="125">
        <f t="shared" si="198"/>
        <v>2.157456294953386E-2</v>
      </c>
      <c r="O186" s="125">
        <f t="shared" si="198"/>
        <v>6.2818876990405415E-3</v>
      </c>
      <c r="P186" s="125">
        <f t="shared" si="198"/>
        <v>0.995</v>
      </c>
      <c r="Q186" s="125">
        <f t="shared" si="198"/>
        <v>0.995</v>
      </c>
      <c r="R186" s="125">
        <f t="shared" si="198"/>
        <v>0</v>
      </c>
    </row>
    <row r="187" spans="1:18">
      <c r="A187" s="123" t="e">
        <f t="shared" ref="A187" si="210">CONCATENATE("Year-",#REF!)</f>
        <v>#REF!</v>
      </c>
      <c r="B187" s="35">
        <v>49919</v>
      </c>
      <c r="C187" s="26">
        <f t="shared" si="197"/>
        <v>192.1</v>
      </c>
      <c r="D187" s="26">
        <f t="shared" si="197"/>
        <v>178.89930529999984</v>
      </c>
      <c r="E187" s="31">
        <f t="shared" si="187"/>
        <v>52760</v>
      </c>
      <c r="F187" s="124">
        <f t="shared" si="198"/>
        <v>52.25059433997491</v>
      </c>
      <c r="G187" s="125">
        <f t="shared" si="198"/>
        <v>1.7196456487754141E-2</v>
      </c>
      <c r="H187" s="125">
        <f t="shared" si="198"/>
        <v>8.5227999999999998E-2</v>
      </c>
      <c r="I187" s="125">
        <f t="shared" si="198"/>
        <v>0.11387126505657014</v>
      </c>
      <c r="J187" s="125">
        <f t="shared" si="198"/>
        <v>1.3959618092500629E-2</v>
      </c>
      <c r="K187" s="125">
        <f t="shared" si="198"/>
        <v>1.4531255376132731E-2</v>
      </c>
      <c r="L187" s="125">
        <f t="shared" si="198"/>
        <v>1.4478833500810966E-2</v>
      </c>
      <c r="M187" s="125">
        <f t="shared" si="198"/>
        <v>0</v>
      </c>
      <c r="N187" s="125">
        <f t="shared" si="198"/>
        <v>2.2473527643153385E-2</v>
      </c>
      <c r="O187" s="125">
        <f t="shared" si="198"/>
        <v>1.1388926338936924E-2</v>
      </c>
      <c r="P187" s="125">
        <f t="shared" si="198"/>
        <v>0.995</v>
      </c>
      <c r="Q187" s="125">
        <f t="shared" si="198"/>
        <v>0.995</v>
      </c>
      <c r="R187" s="125">
        <f t="shared" si="198"/>
        <v>0</v>
      </c>
    </row>
    <row r="188" spans="1:18">
      <c r="A188" s="123" t="e">
        <f t="shared" ref="A188" si="211">CONCATENATE("Year-",#REF!)</f>
        <v>#REF!</v>
      </c>
      <c r="B188" s="35">
        <v>49949</v>
      </c>
      <c r="C188" s="26">
        <f t="shared" si="197"/>
        <v>202.3</v>
      </c>
      <c r="D188" s="26">
        <f t="shared" si="197"/>
        <v>174.60082279999986</v>
      </c>
      <c r="E188" s="31">
        <f t="shared" si="187"/>
        <v>57190</v>
      </c>
      <c r="F188" s="124">
        <f t="shared" si="198"/>
        <v>49.723937837075084</v>
      </c>
      <c r="G188" s="125">
        <f t="shared" si="198"/>
        <v>1.5873015873015817E-2</v>
      </c>
      <c r="H188" s="125">
        <f t="shared" si="198"/>
        <v>8.8506000000000001E-2</v>
      </c>
      <c r="I188" s="125">
        <f t="shared" si="198"/>
        <v>0.10390722673430232</v>
      </c>
      <c r="J188" s="125">
        <f t="shared" si="198"/>
        <v>1.4040704754284353E-2</v>
      </c>
      <c r="K188" s="125">
        <f t="shared" si="198"/>
        <v>1.526389492868482E-2</v>
      </c>
      <c r="L188" s="125">
        <f t="shared" si="198"/>
        <v>1.5324069649683622E-2</v>
      </c>
      <c r="M188" s="125">
        <f t="shared" si="198"/>
        <v>0</v>
      </c>
      <c r="N188" s="125">
        <f t="shared" si="198"/>
        <v>2.3043103417804571E-2</v>
      </c>
      <c r="O188" s="125">
        <f t="shared" si="198"/>
        <v>2.1184397869334348E-2</v>
      </c>
      <c r="P188" s="125">
        <f t="shared" si="198"/>
        <v>0.995</v>
      </c>
      <c r="Q188" s="125">
        <f t="shared" si="198"/>
        <v>0.995</v>
      </c>
      <c r="R188" s="125">
        <f t="shared" si="198"/>
        <v>0</v>
      </c>
    </row>
    <row r="189" spans="1:18">
      <c r="A189" s="123" t="e">
        <f t="shared" ref="A189" si="212">CONCATENATE("Year-",#REF!)</f>
        <v>#REF!</v>
      </c>
      <c r="B189" s="35">
        <v>49980</v>
      </c>
      <c r="C189" s="26">
        <f t="shared" si="197"/>
        <v>162.9</v>
      </c>
      <c r="D189" s="26">
        <f t="shared" si="197"/>
        <v>133.69942049999997</v>
      </c>
      <c r="E189" s="31">
        <f t="shared" si="187"/>
        <v>46900</v>
      </c>
      <c r="F189" s="124">
        <f t="shared" si="198"/>
        <v>42.187120547750681</v>
      </c>
      <c r="G189" s="125">
        <f t="shared" si="198"/>
        <v>1.5950920245398792E-2</v>
      </c>
      <c r="H189" s="125">
        <f t="shared" si="198"/>
        <v>8.8506000000000001E-2</v>
      </c>
      <c r="I189" s="125">
        <f t="shared" si="198"/>
        <v>6.9024239591701744E-2</v>
      </c>
      <c r="J189" s="125">
        <f t="shared" si="198"/>
        <v>1.4204952105287192E-2</v>
      </c>
      <c r="K189" s="125">
        <f t="shared" si="198"/>
        <v>1.3252885058363056E-2</v>
      </c>
      <c r="L189" s="125">
        <f t="shared" si="198"/>
        <v>1.3980442883231779E-2</v>
      </c>
      <c r="M189" s="125">
        <f t="shared" si="198"/>
        <v>0</v>
      </c>
      <c r="N189" s="125">
        <f t="shared" si="198"/>
        <v>2.30208488716231E-2</v>
      </c>
      <c r="O189" s="125">
        <f t="shared" si="198"/>
        <v>8.3479094998109554E-3</v>
      </c>
      <c r="P189" s="125">
        <f t="shared" si="198"/>
        <v>0.995</v>
      </c>
      <c r="Q189" s="125">
        <f t="shared" si="198"/>
        <v>0.995</v>
      </c>
      <c r="R189" s="125">
        <f t="shared" si="198"/>
        <v>0</v>
      </c>
    </row>
    <row r="190" spans="1:18">
      <c r="A190" s="123" t="e">
        <f t="shared" ref="A190" si="213">CONCATENATE("Year-",#REF!)</f>
        <v>#REF!</v>
      </c>
      <c r="B190" s="35">
        <v>50010</v>
      </c>
      <c r="C190" s="26">
        <f t="shared" si="197"/>
        <v>158.6</v>
      </c>
      <c r="D190" s="26">
        <f t="shared" si="197"/>
        <v>124.40004220000003</v>
      </c>
      <c r="E190" s="31">
        <f t="shared" si="187"/>
        <v>48280</v>
      </c>
      <c r="F190" s="124">
        <f t="shared" si="198"/>
        <v>36.076939444156181</v>
      </c>
      <c r="G190" s="125">
        <f t="shared" si="198"/>
        <v>1.5802781289506962E-2</v>
      </c>
      <c r="H190" s="125">
        <f t="shared" si="198"/>
        <v>8.8506000000000001E-2</v>
      </c>
      <c r="I190" s="125">
        <f t="shared" si="198"/>
        <v>4.4787946264861052E-2</v>
      </c>
      <c r="J190" s="125">
        <f t="shared" si="198"/>
        <v>1.4140595613406415E-2</v>
      </c>
      <c r="K190" s="125">
        <f t="shared" si="198"/>
        <v>1.2367081056294736E-2</v>
      </c>
      <c r="L190" s="125">
        <f t="shared" si="198"/>
        <v>1.3960975699298588E-2</v>
      </c>
      <c r="M190" s="125">
        <f t="shared" si="198"/>
        <v>0</v>
      </c>
      <c r="N190" s="125">
        <f t="shared" si="198"/>
        <v>2.3055036005913448E-2</v>
      </c>
      <c r="O190" s="125">
        <f t="shared" si="198"/>
        <v>3.6978876304825567E-3</v>
      </c>
      <c r="P190" s="125">
        <f t="shared" si="198"/>
        <v>0.995</v>
      </c>
      <c r="Q190" s="125">
        <f t="shared" si="198"/>
        <v>0.995</v>
      </c>
      <c r="R190" s="125">
        <f t="shared" si="198"/>
        <v>0</v>
      </c>
    </row>
    <row r="191" spans="1:18">
      <c r="A191" s="123" t="e">
        <f t="shared" ref="A191" si="214">CONCATENATE("Year-",#REF!)</f>
        <v>#REF!</v>
      </c>
      <c r="B191" s="35">
        <v>50041</v>
      </c>
      <c r="C191" s="26">
        <f t="shared" ref="C191:D206" si="215">C179</f>
        <v>169.028549</v>
      </c>
      <c r="D191" s="26">
        <f t="shared" si="215"/>
        <v>133.89933939999995</v>
      </c>
      <c r="E191" s="31">
        <f t="shared" si="187"/>
        <v>51260</v>
      </c>
      <c r="F191" s="124">
        <f t="shared" ref="F191:R206" si="216">F179</f>
        <v>34.970332119021293</v>
      </c>
      <c r="G191" s="125">
        <f t="shared" si="216"/>
        <v>1.7200474495848161E-2</v>
      </c>
      <c r="H191" s="125">
        <f t="shared" si="216"/>
        <v>8.8506000000000001E-2</v>
      </c>
      <c r="I191" s="125">
        <f t="shared" si="216"/>
        <v>4.0029940128316385E-2</v>
      </c>
      <c r="J191" s="125">
        <f t="shared" si="216"/>
        <v>1.4099625889623608E-2</v>
      </c>
      <c r="K191" s="125">
        <f t="shared" si="216"/>
        <v>1.267725762135744E-2</v>
      </c>
      <c r="L191" s="125">
        <f t="shared" si="216"/>
        <v>1.390175346828215E-2</v>
      </c>
      <c r="M191" s="125">
        <f t="shared" si="216"/>
        <v>0</v>
      </c>
      <c r="N191" s="125">
        <f t="shared" si="216"/>
        <v>2.298066658515029E-2</v>
      </c>
      <c r="O191" s="125">
        <f t="shared" si="216"/>
        <v>1.0644897972798715E-2</v>
      </c>
      <c r="P191" s="125">
        <f t="shared" si="216"/>
        <v>0.995</v>
      </c>
      <c r="Q191" s="125">
        <f t="shared" si="216"/>
        <v>0.995</v>
      </c>
      <c r="R191" s="125">
        <f t="shared" si="216"/>
        <v>0</v>
      </c>
    </row>
    <row r="192" spans="1:18">
      <c r="A192" s="123" t="e">
        <f t="shared" ref="A192" si="217">CONCATENATE("Year-",#REF!)</f>
        <v>#REF!</v>
      </c>
      <c r="B192" s="35">
        <v>50072</v>
      </c>
      <c r="C192" s="26">
        <f t="shared" si="215"/>
        <v>172.55912190000004</v>
      </c>
      <c r="D192" s="26">
        <f t="shared" si="215"/>
        <v>145.40077080000009</v>
      </c>
      <c r="E192" s="31">
        <f t="shared" si="187"/>
        <v>47290</v>
      </c>
      <c r="F192" s="124">
        <f t="shared" si="216"/>
        <v>40.252096455972236</v>
      </c>
      <c r="G192" s="125">
        <f t="shared" si="216"/>
        <v>1.510749564206848E-2</v>
      </c>
      <c r="H192" s="125">
        <f t="shared" si="216"/>
        <v>8.8506000000000001E-2</v>
      </c>
      <c r="I192" s="125">
        <f t="shared" si="216"/>
        <v>6.2111013936519133E-2</v>
      </c>
      <c r="J192" s="125">
        <f t="shared" si="216"/>
        <v>1.4175439055030284E-2</v>
      </c>
      <c r="K192" s="125">
        <f t="shared" si="216"/>
        <v>1.4384371816049681E-2</v>
      </c>
      <c r="L192" s="125">
        <f t="shared" si="216"/>
        <v>1.5915736744616871E-2</v>
      </c>
      <c r="M192" s="125">
        <f t="shared" si="216"/>
        <v>0</v>
      </c>
      <c r="N192" s="125">
        <f t="shared" si="216"/>
        <v>2.3268144471779773E-2</v>
      </c>
      <c r="O192" s="125">
        <f t="shared" si="216"/>
        <v>2.5052142565085967E-2</v>
      </c>
      <c r="P192" s="125">
        <f t="shared" si="216"/>
        <v>0.995</v>
      </c>
      <c r="Q192" s="125">
        <f t="shared" si="216"/>
        <v>0.995</v>
      </c>
      <c r="R192" s="125">
        <f t="shared" si="216"/>
        <v>0</v>
      </c>
    </row>
    <row r="193" spans="1:18">
      <c r="A193" s="123" t="e">
        <f t="shared" ref="A193" si="218">CONCATENATE("Year-",#REF!)</f>
        <v>#REF!</v>
      </c>
      <c r="B193" s="35">
        <v>50100</v>
      </c>
      <c r="C193" s="26">
        <f t="shared" si="215"/>
        <v>215.74576700000009</v>
      </c>
      <c r="D193" s="26">
        <f t="shared" si="215"/>
        <v>195.59891570000002</v>
      </c>
      <c r="E193" s="31">
        <f t="shared" si="187"/>
        <v>60510</v>
      </c>
      <c r="F193" s="124">
        <f t="shared" si="216"/>
        <v>47.179622377374095</v>
      </c>
      <c r="G193" s="125">
        <f t="shared" si="216"/>
        <v>1.5306122448979553E-2</v>
      </c>
      <c r="H193" s="125">
        <f t="shared" si="216"/>
        <v>9.1784000000000004E-2</v>
      </c>
      <c r="I193" s="125">
        <f t="shared" si="216"/>
        <v>9.4419706369976972E-2</v>
      </c>
      <c r="J193" s="125">
        <f t="shared" si="216"/>
        <v>1.4644787078611174E-2</v>
      </c>
      <c r="K193" s="125">
        <f t="shared" si="216"/>
        <v>1.6212630268737406E-2</v>
      </c>
      <c r="L193" s="125">
        <f t="shared" si="216"/>
        <v>2.0718676035686345E-2</v>
      </c>
      <c r="M193" s="125">
        <f t="shared" si="216"/>
        <v>0</v>
      </c>
      <c r="N193" s="125">
        <f t="shared" si="216"/>
        <v>2.3247057021314733E-2</v>
      </c>
      <c r="O193" s="125">
        <f t="shared" si="216"/>
        <v>3.9222124133286969E-2</v>
      </c>
      <c r="P193" s="125">
        <f t="shared" si="216"/>
        <v>0.995</v>
      </c>
      <c r="Q193" s="125">
        <f t="shared" si="216"/>
        <v>0.995</v>
      </c>
      <c r="R193" s="125">
        <f t="shared" si="216"/>
        <v>0</v>
      </c>
    </row>
    <row r="194" spans="1:18">
      <c r="A194" s="123" t="e">
        <f t="shared" ref="A194" si="219">CONCATENATE("Year-",#REF!)</f>
        <v>#REF!</v>
      </c>
      <c r="B194" s="35">
        <v>50131</v>
      </c>
      <c r="C194" s="26">
        <f t="shared" si="215"/>
        <v>215.9</v>
      </c>
      <c r="D194" s="26">
        <f t="shared" si="215"/>
        <v>208.99969899999999</v>
      </c>
      <c r="E194" s="31">
        <f t="shared" si="187"/>
        <v>58630</v>
      </c>
      <c r="F194" s="124">
        <f t="shared" si="216"/>
        <v>52.296499350965128</v>
      </c>
      <c r="G194" s="125">
        <f t="shared" si="216"/>
        <v>1.6658954187875996E-2</v>
      </c>
      <c r="H194" s="125">
        <f t="shared" si="216"/>
        <v>9.5061999999999994E-2</v>
      </c>
      <c r="I194" s="125">
        <f t="shared" si="216"/>
        <v>0.11719199751057031</v>
      </c>
      <c r="J194" s="125">
        <f t="shared" si="216"/>
        <v>1.5231272154623582E-2</v>
      </c>
      <c r="K194" s="125">
        <f t="shared" si="216"/>
        <v>1.6110689006976781E-2</v>
      </c>
      <c r="L194" s="125">
        <f t="shared" si="216"/>
        <v>1.8633277773980331E-2</v>
      </c>
      <c r="M194" s="125">
        <f t="shared" si="216"/>
        <v>0</v>
      </c>
      <c r="N194" s="125">
        <f t="shared" si="216"/>
        <v>2.2802418781094937E-2</v>
      </c>
      <c r="O194" s="125">
        <f t="shared" si="216"/>
        <v>2.7995485693316467E-2</v>
      </c>
      <c r="P194" s="125">
        <f t="shared" si="216"/>
        <v>0.995</v>
      </c>
      <c r="Q194" s="125">
        <f t="shared" si="216"/>
        <v>0.995</v>
      </c>
      <c r="R194" s="125">
        <f t="shared" si="216"/>
        <v>0</v>
      </c>
    </row>
    <row r="195" spans="1:18">
      <c r="A195" s="123" t="e">
        <f t="shared" ref="A195" si="220">CONCATENATE("Year-",#REF!)</f>
        <v>#REF!</v>
      </c>
      <c r="B195" s="35">
        <v>50161</v>
      </c>
      <c r="C195" s="26">
        <f t="shared" si="215"/>
        <v>217.9</v>
      </c>
      <c r="D195" s="26">
        <f t="shared" si="215"/>
        <v>221.90023470000006</v>
      </c>
      <c r="E195" s="31">
        <f t="shared" si="187"/>
        <v>61780</v>
      </c>
      <c r="F195" s="124">
        <f t="shared" si="216"/>
        <v>55.437733860726389</v>
      </c>
      <c r="G195" s="125">
        <f t="shared" si="216"/>
        <v>1.7865322950068707E-2</v>
      </c>
      <c r="H195" s="125">
        <f t="shared" si="216"/>
        <v>9.8339999999999997E-2</v>
      </c>
      <c r="I195" s="125">
        <f t="shared" si="216"/>
        <v>0.1306817577748349</v>
      </c>
      <c r="J195" s="125">
        <f t="shared" si="216"/>
        <v>1.609339136491415E-2</v>
      </c>
      <c r="K195" s="125">
        <f t="shared" si="216"/>
        <v>1.525163145425878E-2</v>
      </c>
      <c r="L195" s="125">
        <f t="shared" si="216"/>
        <v>1.5763583972179196E-2</v>
      </c>
      <c r="M195" s="125">
        <f t="shared" si="216"/>
        <v>0</v>
      </c>
      <c r="N195" s="125">
        <f t="shared" si="216"/>
        <v>2.2281870794181511E-2</v>
      </c>
      <c r="O195" s="125">
        <f t="shared" si="216"/>
        <v>1.1198342091846737E-2</v>
      </c>
      <c r="P195" s="125">
        <f t="shared" si="216"/>
        <v>0.995</v>
      </c>
      <c r="Q195" s="125">
        <f t="shared" si="216"/>
        <v>0.995</v>
      </c>
      <c r="R195" s="125">
        <f t="shared" si="216"/>
        <v>0</v>
      </c>
    </row>
    <row r="196" spans="1:18">
      <c r="A196" s="123" t="e">
        <f t="shared" ref="A196" si="221">CONCATENATE("Year-",#REF!)</f>
        <v>#REF!</v>
      </c>
      <c r="B196" s="35">
        <v>50192</v>
      </c>
      <c r="C196" s="26">
        <f t="shared" si="215"/>
        <v>192.8</v>
      </c>
      <c r="D196" s="26">
        <f t="shared" si="215"/>
        <v>200.20089519999999</v>
      </c>
      <c r="E196" s="31">
        <f t="shared" si="187"/>
        <v>53700</v>
      </c>
      <c r="F196" s="124">
        <f t="shared" si="216"/>
        <v>54.658309168315547</v>
      </c>
      <c r="G196" s="125">
        <f t="shared" si="216"/>
        <v>1.914123124676681E-2</v>
      </c>
      <c r="H196" s="125">
        <f t="shared" si="216"/>
        <v>9.8339999999999997E-2</v>
      </c>
      <c r="I196" s="125">
        <f t="shared" si="216"/>
        <v>0.12650723469382591</v>
      </c>
      <c r="J196" s="125">
        <f t="shared" si="216"/>
        <v>1.6398522844759341E-2</v>
      </c>
      <c r="K196" s="125">
        <f t="shared" si="216"/>
        <v>1.3926271600695752E-2</v>
      </c>
      <c r="L196" s="125">
        <f t="shared" si="216"/>
        <v>1.4057661793117321E-2</v>
      </c>
      <c r="M196" s="125">
        <f t="shared" si="216"/>
        <v>0</v>
      </c>
      <c r="N196" s="125">
        <f t="shared" si="216"/>
        <v>2.1677907023400757E-2</v>
      </c>
      <c r="O196" s="125">
        <f t="shared" si="216"/>
        <v>4.051685061336731E-3</v>
      </c>
      <c r="P196" s="125">
        <f t="shared" si="216"/>
        <v>0.995</v>
      </c>
      <c r="Q196" s="125">
        <f t="shared" si="216"/>
        <v>0.995</v>
      </c>
      <c r="R196" s="125">
        <f t="shared" si="216"/>
        <v>0</v>
      </c>
    </row>
    <row r="197" spans="1:18">
      <c r="A197" s="123" t="e">
        <f t="shared" ref="A197" si="222">CONCATENATE("Year-",#REF!)</f>
        <v>#REF!</v>
      </c>
      <c r="B197" s="35">
        <v>50222</v>
      </c>
      <c r="C197" s="26">
        <f t="shared" si="215"/>
        <v>168.9</v>
      </c>
      <c r="D197" s="26">
        <f t="shared" si="215"/>
        <v>173.59972409999992</v>
      </c>
      <c r="E197" s="31">
        <f t="shared" si="187"/>
        <v>49210</v>
      </c>
      <c r="F197" s="124">
        <f t="shared" si="216"/>
        <v>51.564857066184757</v>
      </c>
      <c r="G197" s="125">
        <f t="shared" si="216"/>
        <v>2.1854695806261204E-2</v>
      </c>
      <c r="H197" s="125">
        <f t="shared" si="216"/>
        <v>9.1784000000000004E-2</v>
      </c>
      <c r="I197" s="125">
        <f t="shared" si="216"/>
        <v>0.1089308468990661</v>
      </c>
      <c r="J197" s="125">
        <f t="shared" si="216"/>
        <v>1.5867586262633245E-2</v>
      </c>
      <c r="K197" s="125">
        <f t="shared" si="216"/>
        <v>1.231974144019694E-2</v>
      </c>
      <c r="L197" s="125">
        <f t="shared" si="216"/>
        <v>1.3502102014775261E-2</v>
      </c>
      <c r="M197" s="125">
        <f t="shared" si="216"/>
        <v>0</v>
      </c>
      <c r="N197" s="125">
        <f t="shared" si="216"/>
        <v>2.127320988616644E-2</v>
      </c>
      <c r="O197" s="125">
        <f t="shared" si="216"/>
        <v>1.5557262066246368E-3</v>
      </c>
      <c r="P197" s="125">
        <f t="shared" si="216"/>
        <v>0.995</v>
      </c>
      <c r="Q197" s="125">
        <f t="shared" si="216"/>
        <v>0.995</v>
      </c>
      <c r="R197" s="125">
        <f t="shared" si="216"/>
        <v>0</v>
      </c>
    </row>
    <row r="198" spans="1:18">
      <c r="A198" s="123" t="e">
        <f t="shared" ref="A198" si="223">CONCATENATE("Year-",#REF!)</f>
        <v>#REF!</v>
      </c>
      <c r="B198" s="35">
        <v>50253</v>
      </c>
      <c r="C198" s="26">
        <f t="shared" si="215"/>
        <v>174.2</v>
      </c>
      <c r="D198" s="26">
        <f t="shared" si="215"/>
        <v>172.6001566000001</v>
      </c>
      <c r="E198" s="31">
        <f t="shared" si="187"/>
        <v>50100</v>
      </c>
      <c r="F198" s="124">
        <f t="shared" si="216"/>
        <v>50.336592710430871</v>
      </c>
      <c r="G198" s="125">
        <f t="shared" si="216"/>
        <v>2.0196191575302946E-2</v>
      </c>
      <c r="H198" s="125">
        <f t="shared" si="216"/>
        <v>8.8506000000000001E-2</v>
      </c>
      <c r="I198" s="125">
        <f t="shared" si="216"/>
        <v>0.10494453414747008</v>
      </c>
      <c r="J198" s="125">
        <f t="shared" si="216"/>
        <v>1.507508977611231E-2</v>
      </c>
      <c r="K198" s="125">
        <f t="shared" si="216"/>
        <v>1.2791562311125756E-2</v>
      </c>
      <c r="L198" s="125">
        <f t="shared" si="216"/>
        <v>1.4116403195935955E-2</v>
      </c>
      <c r="M198" s="125">
        <f t="shared" si="216"/>
        <v>0</v>
      </c>
      <c r="N198" s="125">
        <f t="shared" si="216"/>
        <v>2.157456294953386E-2</v>
      </c>
      <c r="O198" s="125">
        <f t="shared" si="216"/>
        <v>6.2818876990405415E-3</v>
      </c>
      <c r="P198" s="125">
        <f t="shared" si="216"/>
        <v>0.995</v>
      </c>
      <c r="Q198" s="125">
        <f t="shared" si="216"/>
        <v>0.995</v>
      </c>
      <c r="R198" s="125">
        <f t="shared" si="216"/>
        <v>0</v>
      </c>
    </row>
    <row r="199" spans="1:18">
      <c r="A199" s="123" t="e">
        <f t="shared" ref="A199" si="224">CONCATENATE("Year-",#REF!)</f>
        <v>#REF!</v>
      </c>
      <c r="B199" s="35">
        <v>50284</v>
      </c>
      <c r="C199" s="26">
        <f t="shared" si="215"/>
        <v>192.1</v>
      </c>
      <c r="D199" s="26">
        <f t="shared" si="215"/>
        <v>178.89930529999984</v>
      </c>
      <c r="E199" s="31">
        <f t="shared" si="187"/>
        <v>52760</v>
      </c>
      <c r="F199" s="124">
        <f t="shared" si="216"/>
        <v>52.25059433997491</v>
      </c>
      <c r="G199" s="125">
        <f t="shared" si="216"/>
        <v>1.7196456487754141E-2</v>
      </c>
      <c r="H199" s="125">
        <f t="shared" si="216"/>
        <v>8.5227999999999998E-2</v>
      </c>
      <c r="I199" s="125">
        <f t="shared" si="216"/>
        <v>0.11387126505657014</v>
      </c>
      <c r="J199" s="125">
        <f t="shared" si="216"/>
        <v>1.3959618092500629E-2</v>
      </c>
      <c r="K199" s="125">
        <f t="shared" si="216"/>
        <v>1.4531255376132731E-2</v>
      </c>
      <c r="L199" s="125">
        <f t="shared" si="216"/>
        <v>1.4478833500810966E-2</v>
      </c>
      <c r="M199" s="125">
        <f t="shared" si="216"/>
        <v>0</v>
      </c>
      <c r="N199" s="125">
        <f t="shared" si="216"/>
        <v>2.2473527643153385E-2</v>
      </c>
      <c r="O199" s="125">
        <f t="shared" si="216"/>
        <v>1.1388926338936924E-2</v>
      </c>
      <c r="P199" s="125">
        <f t="shared" si="216"/>
        <v>0.995</v>
      </c>
      <c r="Q199" s="125">
        <f t="shared" si="216"/>
        <v>0.995</v>
      </c>
      <c r="R199" s="125">
        <f t="shared" si="216"/>
        <v>0</v>
      </c>
    </row>
    <row r="200" spans="1:18">
      <c r="A200" s="123" t="e">
        <f t="shared" ref="A200" si="225">CONCATENATE("Year-",#REF!)</f>
        <v>#REF!</v>
      </c>
      <c r="B200" s="35">
        <v>50314</v>
      </c>
      <c r="C200" s="26">
        <f t="shared" si="215"/>
        <v>202.3</v>
      </c>
      <c r="D200" s="26">
        <f t="shared" si="215"/>
        <v>174.60082279999986</v>
      </c>
      <c r="E200" s="31">
        <f t="shared" si="187"/>
        <v>57190</v>
      </c>
      <c r="F200" s="124">
        <f t="shared" si="216"/>
        <v>49.723937837075084</v>
      </c>
      <c r="G200" s="125">
        <f t="shared" si="216"/>
        <v>1.5873015873015817E-2</v>
      </c>
      <c r="H200" s="125">
        <f t="shared" si="216"/>
        <v>8.8506000000000001E-2</v>
      </c>
      <c r="I200" s="125">
        <f t="shared" si="216"/>
        <v>0.10390722673430232</v>
      </c>
      <c r="J200" s="125">
        <f t="shared" si="216"/>
        <v>1.4040704754284353E-2</v>
      </c>
      <c r="K200" s="125">
        <f t="shared" si="216"/>
        <v>1.526389492868482E-2</v>
      </c>
      <c r="L200" s="125">
        <f t="shared" si="216"/>
        <v>1.5324069649683622E-2</v>
      </c>
      <c r="M200" s="125">
        <f t="shared" si="216"/>
        <v>0</v>
      </c>
      <c r="N200" s="125">
        <f t="shared" si="216"/>
        <v>2.3043103417804571E-2</v>
      </c>
      <c r="O200" s="125">
        <f t="shared" si="216"/>
        <v>2.1184397869334348E-2</v>
      </c>
      <c r="P200" s="125">
        <f t="shared" si="216"/>
        <v>0.995</v>
      </c>
      <c r="Q200" s="125">
        <f t="shared" si="216"/>
        <v>0.995</v>
      </c>
      <c r="R200" s="125">
        <f t="shared" si="216"/>
        <v>0</v>
      </c>
    </row>
    <row r="201" spans="1:18">
      <c r="A201" s="123" t="e">
        <f t="shared" ref="A201" si="226">CONCATENATE("Year-",#REF!)</f>
        <v>#REF!</v>
      </c>
      <c r="B201" s="35">
        <v>50345</v>
      </c>
      <c r="C201" s="26">
        <f t="shared" si="215"/>
        <v>162.9</v>
      </c>
      <c r="D201" s="26">
        <f t="shared" si="215"/>
        <v>133.69942049999997</v>
      </c>
      <c r="E201" s="31">
        <f t="shared" si="187"/>
        <v>46900</v>
      </c>
      <c r="F201" s="124">
        <f t="shared" si="216"/>
        <v>42.187120547750681</v>
      </c>
      <c r="G201" s="125">
        <f t="shared" si="216"/>
        <v>1.5950920245398792E-2</v>
      </c>
      <c r="H201" s="125">
        <f t="shared" si="216"/>
        <v>8.8506000000000001E-2</v>
      </c>
      <c r="I201" s="125">
        <f t="shared" si="216"/>
        <v>6.9024239591701744E-2</v>
      </c>
      <c r="J201" s="125">
        <f t="shared" si="216"/>
        <v>1.4204952105287192E-2</v>
      </c>
      <c r="K201" s="125">
        <f t="shared" si="216"/>
        <v>1.3252885058363056E-2</v>
      </c>
      <c r="L201" s="125">
        <f t="shared" si="216"/>
        <v>1.3980442883231779E-2</v>
      </c>
      <c r="M201" s="125">
        <f t="shared" si="216"/>
        <v>0</v>
      </c>
      <c r="N201" s="125">
        <f t="shared" si="216"/>
        <v>2.30208488716231E-2</v>
      </c>
      <c r="O201" s="125">
        <f t="shared" si="216"/>
        <v>8.3479094998109554E-3</v>
      </c>
      <c r="P201" s="125">
        <f t="shared" si="216"/>
        <v>0.995</v>
      </c>
      <c r="Q201" s="125">
        <f t="shared" si="216"/>
        <v>0.995</v>
      </c>
      <c r="R201" s="125">
        <f t="shared" si="216"/>
        <v>0</v>
      </c>
    </row>
    <row r="202" spans="1:18">
      <c r="A202" s="123" t="e">
        <f t="shared" ref="A202" si="227">CONCATENATE("Year-",#REF!)</f>
        <v>#REF!</v>
      </c>
      <c r="B202" s="35">
        <v>50375</v>
      </c>
      <c r="C202" s="26">
        <f t="shared" si="215"/>
        <v>158.6</v>
      </c>
      <c r="D202" s="26">
        <f t="shared" si="215"/>
        <v>124.40004220000003</v>
      </c>
      <c r="E202" s="31">
        <f t="shared" si="187"/>
        <v>48280</v>
      </c>
      <c r="F202" s="124">
        <f t="shared" si="216"/>
        <v>36.076939444156181</v>
      </c>
      <c r="G202" s="125">
        <f t="shared" si="216"/>
        <v>1.5802781289506962E-2</v>
      </c>
      <c r="H202" s="125">
        <f t="shared" si="216"/>
        <v>8.8506000000000001E-2</v>
      </c>
      <c r="I202" s="125">
        <f t="shared" si="216"/>
        <v>4.4787946264861052E-2</v>
      </c>
      <c r="J202" s="125">
        <f t="shared" si="216"/>
        <v>1.4140595613406415E-2</v>
      </c>
      <c r="K202" s="125">
        <f t="shared" si="216"/>
        <v>1.2367081056294736E-2</v>
      </c>
      <c r="L202" s="125">
        <f t="shared" si="216"/>
        <v>1.3960975699298588E-2</v>
      </c>
      <c r="M202" s="125">
        <f t="shared" si="216"/>
        <v>0</v>
      </c>
      <c r="N202" s="125">
        <f t="shared" si="216"/>
        <v>2.3055036005913448E-2</v>
      </c>
      <c r="O202" s="125">
        <f t="shared" si="216"/>
        <v>3.6978876304825567E-3</v>
      </c>
      <c r="P202" s="125">
        <f t="shared" si="216"/>
        <v>0.995</v>
      </c>
      <c r="Q202" s="125">
        <f t="shared" si="216"/>
        <v>0.995</v>
      </c>
      <c r="R202" s="125">
        <f t="shared" si="216"/>
        <v>0</v>
      </c>
    </row>
    <row r="203" spans="1:18">
      <c r="A203" s="123" t="e">
        <f t="shared" ref="A203" si="228">CONCATENATE("Year-",#REF!)</f>
        <v>#REF!</v>
      </c>
      <c r="B203" s="35">
        <v>50406</v>
      </c>
      <c r="C203" s="26">
        <f t="shared" si="215"/>
        <v>169.028549</v>
      </c>
      <c r="D203" s="26">
        <f t="shared" si="215"/>
        <v>133.89933939999995</v>
      </c>
      <c r="E203" s="31">
        <f t="shared" si="187"/>
        <v>51260</v>
      </c>
      <c r="F203" s="124">
        <f t="shared" si="216"/>
        <v>34.970332119021293</v>
      </c>
      <c r="G203" s="125">
        <f t="shared" si="216"/>
        <v>1.7200474495848161E-2</v>
      </c>
      <c r="H203" s="125">
        <f t="shared" si="216"/>
        <v>8.8506000000000001E-2</v>
      </c>
      <c r="I203" s="125">
        <f t="shared" si="216"/>
        <v>4.0029940128316385E-2</v>
      </c>
      <c r="J203" s="125">
        <f t="shared" si="216"/>
        <v>1.4099625889623608E-2</v>
      </c>
      <c r="K203" s="125">
        <f t="shared" si="216"/>
        <v>1.267725762135744E-2</v>
      </c>
      <c r="L203" s="125">
        <f t="shared" si="216"/>
        <v>1.390175346828215E-2</v>
      </c>
      <c r="M203" s="125">
        <f t="shared" si="216"/>
        <v>0</v>
      </c>
      <c r="N203" s="125">
        <f t="shared" si="216"/>
        <v>2.298066658515029E-2</v>
      </c>
      <c r="O203" s="125">
        <f t="shared" si="216"/>
        <v>1.0644897972798715E-2</v>
      </c>
      <c r="P203" s="125">
        <f t="shared" si="216"/>
        <v>0.995</v>
      </c>
      <c r="Q203" s="125">
        <f t="shared" si="216"/>
        <v>0.995</v>
      </c>
      <c r="R203" s="125">
        <f t="shared" si="216"/>
        <v>0</v>
      </c>
    </row>
    <row r="204" spans="1:18">
      <c r="A204" s="123" t="e">
        <f t="shared" ref="A204" si="229">CONCATENATE("Year-",#REF!)</f>
        <v>#REF!</v>
      </c>
      <c r="B204" s="35">
        <v>50437</v>
      </c>
      <c r="C204" s="26">
        <f t="shared" si="215"/>
        <v>172.55912190000004</v>
      </c>
      <c r="D204" s="26">
        <f t="shared" si="215"/>
        <v>145.40077080000009</v>
      </c>
      <c r="E204" s="31">
        <f t="shared" si="187"/>
        <v>47290</v>
      </c>
      <c r="F204" s="124">
        <f t="shared" si="216"/>
        <v>40.252096455972236</v>
      </c>
      <c r="G204" s="125">
        <f t="shared" si="216"/>
        <v>1.510749564206848E-2</v>
      </c>
      <c r="H204" s="125">
        <f t="shared" si="216"/>
        <v>8.8506000000000001E-2</v>
      </c>
      <c r="I204" s="125">
        <f t="shared" si="216"/>
        <v>6.2111013936519133E-2</v>
      </c>
      <c r="J204" s="125">
        <f t="shared" si="216"/>
        <v>1.4175439055030284E-2</v>
      </c>
      <c r="K204" s="125">
        <f t="shared" si="216"/>
        <v>1.4384371816049681E-2</v>
      </c>
      <c r="L204" s="125">
        <f t="shared" si="216"/>
        <v>1.5915736744616871E-2</v>
      </c>
      <c r="M204" s="125">
        <f t="shared" si="216"/>
        <v>0</v>
      </c>
      <c r="N204" s="125">
        <f t="shared" si="216"/>
        <v>2.3268144471779773E-2</v>
      </c>
      <c r="O204" s="125">
        <f t="shared" si="216"/>
        <v>2.5052142565085967E-2</v>
      </c>
      <c r="P204" s="125">
        <f t="shared" si="216"/>
        <v>0.995</v>
      </c>
      <c r="Q204" s="125">
        <f t="shared" si="216"/>
        <v>0.995</v>
      </c>
      <c r="R204" s="125">
        <f t="shared" si="216"/>
        <v>0</v>
      </c>
    </row>
    <row r="205" spans="1:18">
      <c r="A205" s="123" t="e">
        <f t="shared" ref="A205" si="230">CONCATENATE("Year-",#REF!)</f>
        <v>#REF!</v>
      </c>
      <c r="B205" s="35">
        <v>50465</v>
      </c>
      <c r="C205" s="26">
        <f t="shared" si="215"/>
        <v>215.74576700000009</v>
      </c>
      <c r="D205" s="26">
        <f t="shared" si="215"/>
        <v>195.59891570000002</v>
      </c>
      <c r="E205" s="31">
        <f t="shared" si="187"/>
        <v>60510</v>
      </c>
      <c r="F205" s="124">
        <f t="shared" si="216"/>
        <v>47.179622377374095</v>
      </c>
      <c r="G205" s="125">
        <f t="shared" si="216"/>
        <v>1.5306122448979553E-2</v>
      </c>
      <c r="H205" s="125">
        <f t="shared" si="216"/>
        <v>9.1784000000000004E-2</v>
      </c>
      <c r="I205" s="125">
        <f t="shared" si="216"/>
        <v>9.4419706369976972E-2</v>
      </c>
      <c r="J205" s="125">
        <f t="shared" si="216"/>
        <v>1.4644787078611174E-2</v>
      </c>
      <c r="K205" s="125">
        <f t="shared" si="216"/>
        <v>1.6212630268737406E-2</v>
      </c>
      <c r="L205" s="125">
        <f t="shared" si="216"/>
        <v>2.0718676035686345E-2</v>
      </c>
      <c r="M205" s="125">
        <f t="shared" si="216"/>
        <v>0</v>
      </c>
      <c r="N205" s="125">
        <f t="shared" si="216"/>
        <v>2.3247057021314733E-2</v>
      </c>
      <c r="O205" s="125">
        <f t="shared" si="216"/>
        <v>3.9222124133286969E-2</v>
      </c>
      <c r="P205" s="125">
        <f t="shared" si="216"/>
        <v>0.995</v>
      </c>
      <c r="Q205" s="125">
        <f t="shared" si="216"/>
        <v>0.995</v>
      </c>
      <c r="R205" s="125">
        <f t="shared" si="216"/>
        <v>0</v>
      </c>
    </row>
    <row r="206" spans="1:18">
      <c r="A206" s="123" t="e">
        <f t="shared" ref="A206" si="231">CONCATENATE("Year-",#REF!)</f>
        <v>#REF!</v>
      </c>
      <c r="B206" s="35">
        <v>50496</v>
      </c>
      <c r="C206" s="26">
        <f t="shared" si="215"/>
        <v>215.9</v>
      </c>
      <c r="D206" s="26">
        <f t="shared" si="215"/>
        <v>208.99969899999999</v>
      </c>
      <c r="E206" s="31">
        <f t="shared" si="187"/>
        <v>58630</v>
      </c>
      <c r="F206" s="124">
        <f t="shared" si="216"/>
        <v>52.296499350965128</v>
      </c>
      <c r="G206" s="125">
        <f t="shared" si="216"/>
        <v>1.6658954187875996E-2</v>
      </c>
      <c r="H206" s="125">
        <f t="shared" si="216"/>
        <v>9.5061999999999994E-2</v>
      </c>
      <c r="I206" s="125">
        <f t="shared" si="216"/>
        <v>0.11719199751057031</v>
      </c>
      <c r="J206" s="125">
        <f t="shared" si="216"/>
        <v>1.5231272154623582E-2</v>
      </c>
      <c r="K206" s="125">
        <f t="shared" si="216"/>
        <v>1.6110689006976781E-2</v>
      </c>
      <c r="L206" s="125">
        <f t="shared" si="216"/>
        <v>1.8633277773980331E-2</v>
      </c>
      <c r="M206" s="125">
        <f t="shared" si="216"/>
        <v>0</v>
      </c>
      <c r="N206" s="125">
        <f t="shared" si="216"/>
        <v>2.2802418781094937E-2</v>
      </c>
      <c r="O206" s="125">
        <f t="shared" si="216"/>
        <v>2.7995485693316467E-2</v>
      </c>
      <c r="P206" s="125">
        <f t="shared" si="216"/>
        <v>0.995</v>
      </c>
      <c r="Q206" s="125">
        <f t="shared" si="216"/>
        <v>0.995</v>
      </c>
      <c r="R206" s="125">
        <f t="shared" si="216"/>
        <v>0</v>
      </c>
    </row>
    <row r="207" spans="1:18">
      <c r="A207" s="123" t="e">
        <f t="shared" ref="A207" si="232">CONCATENATE("Year-",#REF!)</f>
        <v>#REF!</v>
      </c>
      <c r="B207" s="35">
        <v>50526</v>
      </c>
      <c r="C207" s="26">
        <f t="shared" ref="C207:D222" si="233">C195</f>
        <v>217.9</v>
      </c>
      <c r="D207" s="26">
        <f t="shared" si="233"/>
        <v>221.90023470000006</v>
      </c>
      <c r="E207" s="31">
        <f t="shared" si="187"/>
        <v>61780</v>
      </c>
      <c r="F207" s="124">
        <f t="shared" ref="F207:R222" si="234">F195</f>
        <v>55.437733860726389</v>
      </c>
      <c r="G207" s="125">
        <f t="shared" si="234"/>
        <v>1.7865322950068707E-2</v>
      </c>
      <c r="H207" s="125">
        <f t="shared" si="234"/>
        <v>9.8339999999999997E-2</v>
      </c>
      <c r="I207" s="125">
        <f t="shared" si="234"/>
        <v>0.1306817577748349</v>
      </c>
      <c r="J207" s="125">
        <f t="shared" si="234"/>
        <v>1.609339136491415E-2</v>
      </c>
      <c r="K207" s="125">
        <f t="shared" si="234"/>
        <v>1.525163145425878E-2</v>
      </c>
      <c r="L207" s="125">
        <f t="shared" si="234"/>
        <v>1.5763583972179196E-2</v>
      </c>
      <c r="M207" s="125">
        <f t="shared" si="234"/>
        <v>0</v>
      </c>
      <c r="N207" s="125">
        <f t="shared" si="234"/>
        <v>2.2281870794181511E-2</v>
      </c>
      <c r="O207" s="125">
        <f t="shared" si="234"/>
        <v>1.1198342091846737E-2</v>
      </c>
      <c r="P207" s="125">
        <f t="shared" si="234"/>
        <v>0.995</v>
      </c>
      <c r="Q207" s="125">
        <f t="shared" si="234"/>
        <v>0.995</v>
      </c>
      <c r="R207" s="125">
        <f t="shared" si="234"/>
        <v>0</v>
      </c>
    </row>
    <row r="208" spans="1:18">
      <c r="A208" s="123" t="e">
        <f t="shared" ref="A208" si="235">CONCATENATE("Year-",#REF!)</f>
        <v>#REF!</v>
      </c>
      <c r="B208" s="35">
        <v>50557</v>
      </c>
      <c r="C208" s="26">
        <f t="shared" si="233"/>
        <v>192.8</v>
      </c>
      <c r="D208" s="26">
        <f t="shared" si="233"/>
        <v>200.20089519999999</v>
      </c>
      <c r="E208" s="31">
        <f t="shared" si="187"/>
        <v>53700</v>
      </c>
      <c r="F208" s="124">
        <f t="shared" si="234"/>
        <v>54.658309168315547</v>
      </c>
      <c r="G208" s="125">
        <f t="shared" si="234"/>
        <v>1.914123124676681E-2</v>
      </c>
      <c r="H208" s="125">
        <f t="shared" si="234"/>
        <v>9.8339999999999997E-2</v>
      </c>
      <c r="I208" s="125">
        <f t="shared" si="234"/>
        <v>0.12650723469382591</v>
      </c>
      <c r="J208" s="125">
        <f t="shared" si="234"/>
        <v>1.6398522844759341E-2</v>
      </c>
      <c r="K208" s="125">
        <f t="shared" si="234"/>
        <v>1.3926271600695752E-2</v>
      </c>
      <c r="L208" s="125">
        <f t="shared" si="234"/>
        <v>1.4057661793117321E-2</v>
      </c>
      <c r="M208" s="125">
        <f t="shared" si="234"/>
        <v>0</v>
      </c>
      <c r="N208" s="125">
        <f t="shared" si="234"/>
        <v>2.1677907023400757E-2</v>
      </c>
      <c r="O208" s="125">
        <f t="shared" si="234"/>
        <v>4.051685061336731E-3</v>
      </c>
      <c r="P208" s="125">
        <f t="shared" si="234"/>
        <v>0.995</v>
      </c>
      <c r="Q208" s="125">
        <f t="shared" si="234"/>
        <v>0.995</v>
      </c>
      <c r="R208" s="125">
        <f t="shared" si="234"/>
        <v>0</v>
      </c>
    </row>
    <row r="209" spans="1:18">
      <c r="A209" s="123" t="e">
        <f t="shared" ref="A209" si="236">CONCATENATE("Year-",#REF!)</f>
        <v>#REF!</v>
      </c>
      <c r="B209" s="35">
        <v>50587</v>
      </c>
      <c r="C209" s="26">
        <f t="shared" si="233"/>
        <v>168.9</v>
      </c>
      <c r="D209" s="26">
        <f t="shared" si="233"/>
        <v>173.59972409999992</v>
      </c>
      <c r="E209" s="31">
        <f t="shared" si="187"/>
        <v>49210</v>
      </c>
      <c r="F209" s="124">
        <f t="shared" si="234"/>
        <v>51.564857066184757</v>
      </c>
      <c r="G209" s="125">
        <f t="shared" si="234"/>
        <v>2.1854695806261204E-2</v>
      </c>
      <c r="H209" s="125">
        <f t="shared" si="234"/>
        <v>9.1784000000000004E-2</v>
      </c>
      <c r="I209" s="125">
        <f t="shared" si="234"/>
        <v>0.1089308468990661</v>
      </c>
      <c r="J209" s="125">
        <f t="shared" si="234"/>
        <v>1.5867586262633245E-2</v>
      </c>
      <c r="K209" s="125">
        <f t="shared" si="234"/>
        <v>1.231974144019694E-2</v>
      </c>
      <c r="L209" s="125">
        <f t="shared" si="234"/>
        <v>1.3502102014775261E-2</v>
      </c>
      <c r="M209" s="125">
        <f t="shared" si="234"/>
        <v>0</v>
      </c>
      <c r="N209" s="125">
        <f t="shared" si="234"/>
        <v>2.127320988616644E-2</v>
      </c>
      <c r="O209" s="125">
        <f t="shared" si="234"/>
        <v>1.5557262066246368E-3</v>
      </c>
      <c r="P209" s="125">
        <f t="shared" si="234"/>
        <v>0.995</v>
      </c>
      <c r="Q209" s="125">
        <f t="shared" si="234"/>
        <v>0.995</v>
      </c>
      <c r="R209" s="125">
        <f t="shared" si="234"/>
        <v>0</v>
      </c>
    </row>
    <row r="210" spans="1:18">
      <c r="A210" s="123" t="e">
        <f t="shared" ref="A210" si="237">CONCATENATE("Year-",#REF!)</f>
        <v>#REF!</v>
      </c>
      <c r="B210" s="35">
        <v>50618</v>
      </c>
      <c r="C210" s="26">
        <f t="shared" si="233"/>
        <v>174.2</v>
      </c>
      <c r="D210" s="26">
        <f t="shared" si="233"/>
        <v>172.6001566000001</v>
      </c>
      <c r="E210" s="31">
        <f t="shared" si="187"/>
        <v>50100</v>
      </c>
      <c r="F210" s="124">
        <f t="shared" si="234"/>
        <v>50.336592710430871</v>
      </c>
      <c r="G210" s="125">
        <f t="shared" si="234"/>
        <v>2.0196191575302946E-2</v>
      </c>
      <c r="H210" s="125">
        <f t="shared" si="234"/>
        <v>8.8506000000000001E-2</v>
      </c>
      <c r="I210" s="125">
        <f t="shared" si="234"/>
        <v>0.10494453414747008</v>
      </c>
      <c r="J210" s="125">
        <f t="shared" si="234"/>
        <v>1.507508977611231E-2</v>
      </c>
      <c r="K210" s="125">
        <f t="shared" si="234"/>
        <v>1.2791562311125756E-2</v>
      </c>
      <c r="L210" s="125">
        <f t="shared" si="234"/>
        <v>1.4116403195935955E-2</v>
      </c>
      <c r="M210" s="125">
        <f t="shared" si="234"/>
        <v>0</v>
      </c>
      <c r="N210" s="125">
        <f t="shared" si="234"/>
        <v>2.157456294953386E-2</v>
      </c>
      <c r="O210" s="125">
        <f t="shared" si="234"/>
        <v>6.2818876990405415E-3</v>
      </c>
      <c r="P210" s="125">
        <f t="shared" si="234"/>
        <v>0.995</v>
      </c>
      <c r="Q210" s="125">
        <f t="shared" si="234"/>
        <v>0.995</v>
      </c>
      <c r="R210" s="125">
        <f t="shared" si="234"/>
        <v>0</v>
      </c>
    </row>
    <row r="211" spans="1:18">
      <c r="A211" s="123" t="e">
        <f t="shared" ref="A211" si="238">CONCATENATE("Year-",#REF!)</f>
        <v>#REF!</v>
      </c>
      <c r="B211" s="35">
        <v>50649</v>
      </c>
      <c r="C211" s="26">
        <f t="shared" si="233"/>
        <v>192.1</v>
      </c>
      <c r="D211" s="26">
        <f t="shared" si="233"/>
        <v>178.89930529999984</v>
      </c>
      <c r="E211" s="31">
        <f t="shared" si="187"/>
        <v>52760</v>
      </c>
      <c r="F211" s="124">
        <f t="shared" si="234"/>
        <v>52.25059433997491</v>
      </c>
      <c r="G211" s="125">
        <f t="shared" si="234"/>
        <v>1.7196456487754141E-2</v>
      </c>
      <c r="H211" s="125">
        <f t="shared" si="234"/>
        <v>8.5227999999999998E-2</v>
      </c>
      <c r="I211" s="125">
        <f t="shared" si="234"/>
        <v>0.11387126505657014</v>
      </c>
      <c r="J211" s="125">
        <f t="shared" si="234"/>
        <v>1.3959618092500629E-2</v>
      </c>
      <c r="K211" s="125">
        <f t="shared" si="234"/>
        <v>1.4531255376132731E-2</v>
      </c>
      <c r="L211" s="125">
        <f t="shared" si="234"/>
        <v>1.4478833500810966E-2</v>
      </c>
      <c r="M211" s="125">
        <f t="shared" si="234"/>
        <v>0</v>
      </c>
      <c r="N211" s="125">
        <f t="shared" si="234"/>
        <v>2.2473527643153385E-2</v>
      </c>
      <c r="O211" s="125">
        <f t="shared" si="234"/>
        <v>1.1388926338936924E-2</v>
      </c>
      <c r="P211" s="125">
        <f t="shared" si="234"/>
        <v>0.995</v>
      </c>
      <c r="Q211" s="125">
        <f t="shared" si="234"/>
        <v>0.995</v>
      </c>
      <c r="R211" s="125">
        <f t="shared" si="234"/>
        <v>0</v>
      </c>
    </row>
    <row r="212" spans="1:18">
      <c r="A212" s="123" t="e">
        <f t="shared" ref="A212" si="239">CONCATENATE("Year-",#REF!)</f>
        <v>#REF!</v>
      </c>
      <c r="B212" s="35">
        <v>50679</v>
      </c>
      <c r="C212" s="26">
        <f t="shared" si="233"/>
        <v>202.3</v>
      </c>
      <c r="D212" s="26">
        <f t="shared" si="233"/>
        <v>174.60082279999986</v>
      </c>
      <c r="E212" s="31">
        <f t="shared" si="187"/>
        <v>57190</v>
      </c>
      <c r="F212" s="124">
        <f t="shared" si="234"/>
        <v>49.723937837075084</v>
      </c>
      <c r="G212" s="125">
        <f t="shared" si="234"/>
        <v>1.5873015873015817E-2</v>
      </c>
      <c r="H212" s="125">
        <f t="shared" si="234"/>
        <v>8.8506000000000001E-2</v>
      </c>
      <c r="I212" s="125">
        <f t="shared" si="234"/>
        <v>0.10390722673430232</v>
      </c>
      <c r="J212" s="125">
        <f t="shared" si="234"/>
        <v>1.4040704754284353E-2</v>
      </c>
      <c r="K212" s="125">
        <f t="shared" si="234"/>
        <v>1.526389492868482E-2</v>
      </c>
      <c r="L212" s="125">
        <f t="shared" si="234"/>
        <v>1.5324069649683622E-2</v>
      </c>
      <c r="M212" s="125">
        <f t="shared" si="234"/>
        <v>0</v>
      </c>
      <c r="N212" s="125">
        <f t="shared" si="234"/>
        <v>2.3043103417804571E-2</v>
      </c>
      <c r="O212" s="125">
        <f t="shared" si="234"/>
        <v>2.1184397869334348E-2</v>
      </c>
      <c r="P212" s="125">
        <f t="shared" si="234"/>
        <v>0.995</v>
      </c>
      <c r="Q212" s="125">
        <f t="shared" si="234"/>
        <v>0.995</v>
      </c>
      <c r="R212" s="125">
        <f t="shared" si="234"/>
        <v>0</v>
      </c>
    </row>
    <row r="213" spans="1:18">
      <c r="A213" s="123" t="e">
        <f t="shared" ref="A213" si="240">CONCATENATE("Year-",#REF!)</f>
        <v>#REF!</v>
      </c>
      <c r="B213" s="35">
        <v>50710</v>
      </c>
      <c r="C213" s="26">
        <f t="shared" si="233"/>
        <v>162.9</v>
      </c>
      <c r="D213" s="26">
        <f t="shared" si="233"/>
        <v>133.69942049999997</v>
      </c>
      <c r="E213" s="31">
        <f t="shared" si="187"/>
        <v>46900</v>
      </c>
      <c r="F213" s="124">
        <f t="shared" si="234"/>
        <v>42.187120547750681</v>
      </c>
      <c r="G213" s="125">
        <f t="shared" si="234"/>
        <v>1.5950920245398792E-2</v>
      </c>
      <c r="H213" s="125">
        <f t="shared" si="234"/>
        <v>8.8506000000000001E-2</v>
      </c>
      <c r="I213" s="125">
        <f t="shared" si="234"/>
        <v>6.9024239591701744E-2</v>
      </c>
      <c r="J213" s="125">
        <f t="shared" si="234"/>
        <v>1.4204952105287192E-2</v>
      </c>
      <c r="K213" s="125">
        <f t="shared" si="234"/>
        <v>1.3252885058363056E-2</v>
      </c>
      <c r="L213" s="125">
        <f t="shared" si="234"/>
        <v>1.3980442883231779E-2</v>
      </c>
      <c r="M213" s="125">
        <f t="shared" si="234"/>
        <v>0</v>
      </c>
      <c r="N213" s="125">
        <f t="shared" si="234"/>
        <v>2.30208488716231E-2</v>
      </c>
      <c r="O213" s="125">
        <f t="shared" si="234"/>
        <v>8.3479094998109554E-3</v>
      </c>
      <c r="P213" s="125">
        <f t="shared" si="234"/>
        <v>0.995</v>
      </c>
      <c r="Q213" s="125">
        <f t="shared" si="234"/>
        <v>0.995</v>
      </c>
      <c r="R213" s="125">
        <f t="shared" si="234"/>
        <v>0</v>
      </c>
    </row>
    <row r="214" spans="1:18">
      <c r="A214" s="123" t="e">
        <f t="shared" ref="A214" si="241">CONCATENATE("Year-",#REF!)</f>
        <v>#REF!</v>
      </c>
      <c r="B214" s="35">
        <v>50740</v>
      </c>
      <c r="C214" s="26">
        <f t="shared" si="233"/>
        <v>158.6</v>
      </c>
      <c r="D214" s="26">
        <f t="shared" si="233"/>
        <v>124.40004220000003</v>
      </c>
      <c r="E214" s="31">
        <f t="shared" si="187"/>
        <v>48280</v>
      </c>
      <c r="F214" s="124">
        <f t="shared" si="234"/>
        <v>36.076939444156181</v>
      </c>
      <c r="G214" s="125">
        <f t="shared" si="234"/>
        <v>1.5802781289506962E-2</v>
      </c>
      <c r="H214" s="125">
        <f t="shared" si="234"/>
        <v>8.8506000000000001E-2</v>
      </c>
      <c r="I214" s="125">
        <f t="shared" si="234"/>
        <v>4.4787946264861052E-2</v>
      </c>
      <c r="J214" s="125">
        <f t="shared" si="234"/>
        <v>1.4140595613406415E-2</v>
      </c>
      <c r="K214" s="125">
        <f t="shared" si="234"/>
        <v>1.2367081056294736E-2</v>
      </c>
      <c r="L214" s="125">
        <f t="shared" si="234"/>
        <v>1.3960975699298588E-2</v>
      </c>
      <c r="M214" s="125">
        <f t="shared" si="234"/>
        <v>0</v>
      </c>
      <c r="N214" s="125">
        <f t="shared" si="234"/>
        <v>2.3055036005913448E-2</v>
      </c>
      <c r="O214" s="125">
        <f t="shared" si="234"/>
        <v>3.6978876304825567E-3</v>
      </c>
      <c r="P214" s="125">
        <f t="shared" si="234"/>
        <v>0.995</v>
      </c>
      <c r="Q214" s="125">
        <f t="shared" si="234"/>
        <v>0.995</v>
      </c>
      <c r="R214" s="125">
        <f t="shared" si="234"/>
        <v>0</v>
      </c>
    </row>
    <row r="215" spans="1:18">
      <c r="A215" s="123" t="e">
        <f t="shared" ref="A215" si="242">CONCATENATE("Year-",#REF!)</f>
        <v>#REF!</v>
      </c>
      <c r="B215" s="35">
        <v>50771</v>
      </c>
      <c r="C215" s="26">
        <f t="shared" si="233"/>
        <v>169.028549</v>
      </c>
      <c r="D215" s="26">
        <f t="shared" si="233"/>
        <v>133.89933939999995</v>
      </c>
      <c r="E215" s="31">
        <f t="shared" si="187"/>
        <v>51260</v>
      </c>
      <c r="F215" s="124">
        <f t="shared" si="234"/>
        <v>34.970332119021293</v>
      </c>
      <c r="G215" s="125">
        <f t="shared" si="234"/>
        <v>1.7200474495848161E-2</v>
      </c>
      <c r="H215" s="125">
        <f t="shared" si="234"/>
        <v>8.8506000000000001E-2</v>
      </c>
      <c r="I215" s="125">
        <f t="shared" si="234"/>
        <v>4.0029940128316385E-2</v>
      </c>
      <c r="J215" s="125">
        <f t="shared" si="234"/>
        <v>1.4099625889623608E-2</v>
      </c>
      <c r="K215" s="125">
        <f t="shared" si="234"/>
        <v>1.267725762135744E-2</v>
      </c>
      <c r="L215" s="125">
        <f t="shared" si="234"/>
        <v>1.390175346828215E-2</v>
      </c>
      <c r="M215" s="125">
        <f t="shared" si="234"/>
        <v>0</v>
      </c>
      <c r="N215" s="125">
        <f t="shared" si="234"/>
        <v>2.298066658515029E-2</v>
      </c>
      <c r="O215" s="125">
        <f t="shared" si="234"/>
        <v>1.0644897972798715E-2</v>
      </c>
      <c r="P215" s="125">
        <f t="shared" si="234"/>
        <v>0.995</v>
      </c>
      <c r="Q215" s="125">
        <f t="shared" si="234"/>
        <v>0.995</v>
      </c>
      <c r="R215" s="125">
        <f t="shared" si="234"/>
        <v>0</v>
      </c>
    </row>
    <row r="216" spans="1:18">
      <c r="A216" s="123" t="e">
        <f t="shared" ref="A216" si="243">CONCATENATE("Year-",#REF!)</f>
        <v>#REF!</v>
      </c>
      <c r="B216" s="35">
        <v>50802</v>
      </c>
      <c r="C216" s="26">
        <f t="shared" si="233"/>
        <v>172.55912190000004</v>
      </c>
      <c r="D216" s="26">
        <f t="shared" si="233"/>
        <v>145.40077080000009</v>
      </c>
      <c r="E216" s="31">
        <f t="shared" si="187"/>
        <v>47290</v>
      </c>
      <c r="F216" s="124">
        <f t="shared" si="234"/>
        <v>40.252096455972236</v>
      </c>
      <c r="G216" s="125">
        <f t="shared" si="234"/>
        <v>1.510749564206848E-2</v>
      </c>
      <c r="H216" s="125">
        <f t="shared" si="234"/>
        <v>8.8506000000000001E-2</v>
      </c>
      <c r="I216" s="125">
        <f t="shared" si="234"/>
        <v>6.2111013936519133E-2</v>
      </c>
      <c r="J216" s="125">
        <f t="shared" si="234"/>
        <v>1.4175439055030284E-2</v>
      </c>
      <c r="K216" s="125">
        <f t="shared" si="234"/>
        <v>1.4384371816049681E-2</v>
      </c>
      <c r="L216" s="125">
        <f t="shared" si="234"/>
        <v>1.5915736744616871E-2</v>
      </c>
      <c r="M216" s="125">
        <f t="shared" si="234"/>
        <v>0</v>
      </c>
      <c r="N216" s="125">
        <f t="shared" si="234"/>
        <v>2.3268144471779773E-2</v>
      </c>
      <c r="O216" s="125">
        <f t="shared" si="234"/>
        <v>2.5052142565085967E-2</v>
      </c>
      <c r="P216" s="125">
        <f t="shared" si="234"/>
        <v>0.995</v>
      </c>
      <c r="Q216" s="125">
        <f t="shared" si="234"/>
        <v>0.995</v>
      </c>
      <c r="R216" s="125">
        <f t="shared" si="234"/>
        <v>0</v>
      </c>
    </row>
    <row r="217" spans="1:18">
      <c r="A217" s="123" t="e">
        <f t="shared" ref="A217" si="244">CONCATENATE("Year-",#REF!)</f>
        <v>#REF!</v>
      </c>
      <c r="B217" s="35">
        <v>50830</v>
      </c>
      <c r="C217" s="26">
        <f t="shared" si="233"/>
        <v>215.74576700000009</v>
      </c>
      <c r="D217" s="26">
        <f t="shared" si="233"/>
        <v>195.59891570000002</v>
      </c>
      <c r="E217" s="31">
        <f t="shared" si="187"/>
        <v>60510</v>
      </c>
      <c r="F217" s="124">
        <f t="shared" si="234"/>
        <v>47.179622377374095</v>
      </c>
      <c r="G217" s="125">
        <f t="shared" si="234"/>
        <v>1.5306122448979553E-2</v>
      </c>
      <c r="H217" s="125">
        <f t="shared" si="234"/>
        <v>9.1784000000000004E-2</v>
      </c>
      <c r="I217" s="125">
        <f t="shared" si="234"/>
        <v>9.4419706369976972E-2</v>
      </c>
      <c r="J217" s="125">
        <f t="shared" si="234"/>
        <v>1.4644787078611174E-2</v>
      </c>
      <c r="K217" s="125">
        <f t="shared" si="234"/>
        <v>1.6212630268737406E-2</v>
      </c>
      <c r="L217" s="125">
        <f t="shared" si="234"/>
        <v>2.0718676035686345E-2</v>
      </c>
      <c r="M217" s="125">
        <f t="shared" si="234"/>
        <v>0</v>
      </c>
      <c r="N217" s="125">
        <f t="shared" si="234"/>
        <v>2.3247057021314733E-2</v>
      </c>
      <c r="O217" s="125">
        <f t="shared" si="234"/>
        <v>3.9222124133286969E-2</v>
      </c>
      <c r="P217" s="125">
        <f t="shared" si="234"/>
        <v>0.995</v>
      </c>
      <c r="Q217" s="125">
        <f t="shared" si="234"/>
        <v>0.995</v>
      </c>
      <c r="R217" s="125">
        <f t="shared" si="234"/>
        <v>0</v>
      </c>
    </row>
    <row r="218" spans="1:18">
      <c r="A218" s="123" t="e">
        <f t="shared" ref="A218" si="245">CONCATENATE("Year-",#REF!)</f>
        <v>#REF!</v>
      </c>
      <c r="B218" s="35">
        <v>50861</v>
      </c>
      <c r="C218" s="26">
        <f t="shared" si="233"/>
        <v>215.9</v>
      </c>
      <c r="D218" s="26">
        <f t="shared" si="233"/>
        <v>208.99969899999999</v>
      </c>
      <c r="E218" s="31">
        <f t="shared" si="187"/>
        <v>58630</v>
      </c>
      <c r="F218" s="124">
        <f t="shared" si="234"/>
        <v>52.296499350965128</v>
      </c>
      <c r="G218" s="125">
        <f t="shared" si="234"/>
        <v>1.6658954187875996E-2</v>
      </c>
      <c r="H218" s="125">
        <f t="shared" si="234"/>
        <v>9.5061999999999994E-2</v>
      </c>
      <c r="I218" s="125">
        <f t="shared" si="234"/>
        <v>0.11719199751057031</v>
      </c>
      <c r="J218" s="125">
        <f t="shared" si="234"/>
        <v>1.5231272154623582E-2</v>
      </c>
      <c r="K218" s="125">
        <f t="shared" si="234"/>
        <v>1.6110689006976781E-2</v>
      </c>
      <c r="L218" s="125">
        <f t="shared" si="234"/>
        <v>1.8633277773980331E-2</v>
      </c>
      <c r="M218" s="125">
        <f t="shared" si="234"/>
        <v>0</v>
      </c>
      <c r="N218" s="125">
        <f t="shared" si="234"/>
        <v>2.2802418781094937E-2</v>
      </c>
      <c r="O218" s="125">
        <f t="shared" si="234"/>
        <v>2.7995485693316467E-2</v>
      </c>
      <c r="P218" s="125">
        <f t="shared" si="234"/>
        <v>0.995</v>
      </c>
      <c r="Q218" s="125">
        <f t="shared" si="234"/>
        <v>0.995</v>
      </c>
      <c r="R218" s="125">
        <f t="shared" si="234"/>
        <v>0</v>
      </c>
    </row>
    <row r="219" spans="1:18">
      <c r="A219" s="123" t="e">
        <f t="shared" ref="A219" si="246">CONCATENATE("Year-",#REF!)</f>
        <v>#REF!</v>
      </c>
      <c r="B219" s="35">
        <v>50891</v>
      </c>
      <c r="C219" s="26">
        <f t="shared" si="233"/>
        <v>217.9</v>
      </c>
      <c r="D219" s="26">
        <f t="shared" si="233"/>
        <v>221.90023470000006</v>
      </c>
      <c r="E219" s="31">
        <f t="shared" si="187"/>
        <v>61780</v>
      </c>
      <c r="F219" s="124">
        <f t="shared" si="234"/>
        <v>55.437733860726389</v>
      </c>
      <c r="G219" s="125">
        <f t="shared" si="234"/>
        <v>1.7865322950068707E-2</v>
      </c>
      <c r="H219" s="125">
        <f t="shared" si="234"/>
        <v>9.8339999999999997E-2</v>
      </c>
      <c r="I219" s="125">
        <f t="shared" si="234"/>
        <v>0.1306817577748349</v>
      </c>
      <c r="J219" s="125">
        <f t="shared" si="234"/>
        <v>1.609339136491415E-2</v>
      </c>
      <c r="K219" s="125">
        <f t="shared" si="234"/>
        <v>1.525163145425878E-2</v>
      </c>
      <c r="L219" s="125">
        <f t="shared" si="234"/>
        <v>1.5763583972179196E-2</v>
      </c>
      <c r="M219" s="125">
        <f t="shared" si="234"/>
        <v>0</v>
      </c>
      <c r="N219" s="125">
        <f t="shared" si="234"/>
        <v>2.2281870794181511E-2</v>
      </c>
      <c r="O219" s="125">
        <f t="shared" si="234"/>
        <v>1.1198342091846737E-2</v>
      </c>
      <c r="P219" s="125">
        <f t="shared" si="234"/>
        <v>0.995</v>
      </c>
      <c r="Q219" s="125">
        <f t="shared" si="234"/>
        <v>0.995</v>
      </c>
      <c r="R219" s="125">
        <f t="shared" si="234"/>
        <v>0</v>
      </c>
    </row>
    <row r="220" spans="1:18">
      <c r="A220" s="123" t="e">
        <f t="shared" ref="A220" si="247">CONCATENATE("Year-",#REF!)</f>
        <v>#REF!</v>
      </c>
      <c r="B220" s="35">
        <v>50922</v>
      </c>
      <c r="C220" s="26">
        <f t="shared" si="233"/>
        <v>192.8</v>
      </c>
      <c r="D220" s="26">
        <f t="shared" si="233"/>
        <v>200.20089519999999</v>
      </c>
      <c r="E220" s="31">
        <f t="shared" si="187"/>
        <v>53700</v>
      </c>
      <c r="F220" s="124">
        <f t="shared" si="234"/>
        <v>54.658309168315547</v>
      </c>
      <c r="G220" s="125">
        <f t="shared" si="234"/>
        <v>1.914123124676681E-2</v>
      </c>
      <c r="H220" s="125">
        <f t="shared" si="234"/>
        <v>9.8339999999999997E-2</v>
      </c>
      <c r="I220" s="125">
        <f t="shared" si="234"/>
        <v>0.12650723469382591</v>
      </c>
      <c r="J220" s="125">
        <f t="shared" si="234"/>
        <v>1.6398522844759341E-2</v>
      </c>
      <c r="K220" s="125">
        <f t="shared" si="234"/>
        <v>1.3926271600695752E-2</v>
      </c>
      <c r="L220" s="125">
        <f t="shared" si="234"/>
        <v>1.4057661793117321E-2</v>
      </c>
      <c r="M220" s="125">
        <f t="shared" si="234"/>
        <v>0</v>
      </c>
      <c r="N220" s="125">
        <f t="shared" si="234"/>
        <v>2.1677907023400757E-2</v>
      </c>
      <c r="O220" s="125">
        <f t="shared" si="234"/>
        <v>4.051685061336731E-3</v>
      </c>
      <c r="P220" s="125">
        <f t="shared" si="234"/>
        <v>0.995</v>
      </c>
      <c r="Q220" s="125">
        <f t="shared" si="234"/>
        <v>0.995</v>
      </c>
      <c r="R220" s="125">
        <f t="shared" si="234"/>
        <v>0</v>
      </c>
    </row>
    <row r="221" spans="1:18">
      <c r="A221" s="123" t="e">
        <f t="shared" ref="A221" si="248">CONCATENATE("Year-",#REF!)</f>
        <v>#REF!</v>
      </c>
      <c r="B221" s="35">
        <v>50952</v>
      </c>
      <c r="C221" s="26">
        <f t="shared" si="233"/>
        <v>168.9</v>
      </c>
      <c r="D221" s="26">
        <f t="shared" si="233"/>
        <v>173.59972409999992</v>
      </c>
      <c r="E221" s="31">
        <f t="shared" si="187"/>
        <v>49210</v>
      </c>
      <c r="F221" s="124">
        <f t="shared" si="234"/>
        <v>51.564857066184757</v>
      </c>
      <c r="G221" s="125">
        <f t="shared" si="234"/>
        <v>2.1854695806261204E-2</v>
      </c>
      <c r="H221" s="125">
        <f t="shared" si="234"/>
        <v>9.1784000000000004E-2</v>
      </c>
      <c r="I221" s="125">
        <f t="shared" si="234"/>
        <v>0.1089308468990661</v>
      </c>
      <c r="J221" s="125">
        <f t="shared" si="234"/>
        <v>1.5867586262633245E-2</v>
      </c>
      <c r="K221" s="125">
        <f t="shared" si="234"/>
        <v>1.231974144019694E-2</v>
      </c>
      <c r="L221" s="125">
        <f t="shared" si="234"/>
        <v>1.3502102014775261E-2</v>
      </c>
      <c r="M221" s="125">
        <f t="shared" si="234"/>
        <v>0</v>
      </c>
      <c r="N221" s="125">
        <f t="shared" si="234"/>
        <v>2.127320988616644E-2</v>
      </c>
      <c r="O221" s="125">
        <f t="shared" si="234"/>
        <v>1.5557262066246368E-3</v>
      </c>
      <c r="P221" s="125">
        <f t="shared" si="234"/>
        <v>0.995</v>
      </c>
      <c r="Q221" s="125">
        <f t="shared" si="234"/>
        <v>0.995</v>
      </c>
      <c r="R221" s="125">
        <f t="shared" si="234"/>
        <v>0</v>
      </c>
    </row>
    <row r="222" spans="1:18">
      <c r="A222" s="123" t="e">
        <f t="shared" ref="A222" si="249">CONCATENATE("Year-",#REF!)</f>
        <v>#REF!</v>
      </c>
      <c r="B222" s="35">
        <v>50983</v>
      </c>
      <c r="C222" s="26">
        <f t="shared" si="233"/>
        <v>174.2</v>
      </c>
      <c r="D222" s="26">
        <f t="shared" si="233"/>
        <v>172.6001566000001</v>
      </c>
      <c r="E222" s="31">
        <f t="shared" si="187"/>
        <v>50100</v>
      </c>
      <c r="F222" s="124">
        <f t="shared" si="234"/>
        <v>50.336592710430871</v>
      </c>
      <c r="G222" s="125">
        <f t="shared" si="234"/>
        <v>2.0196191575302946E-2</v>
      </c>
      <c r="H222" s="125">
        <f t="shared" si="234"/>
        <v>8.8506000000000001E-2</v>
      </c>
      <c r="I222" s="125">
        <f t="shared" si="234"/>
        <v>0.10494453414747008</v>
      </c>
      <c r="J222" s="125">
        <f t="shared" si="234"/>
        <v>1.507508977611231E-2</v>
      </c>
      <c r="K222" s="125">
        <f t="shared" si="234"/>
        <v>1.2791562311125756E-2</v>
      </c>
      <c r="L222" s="125">
        <f t="shared" si="234"/>
        <v>1.4116403195935955E-2</v>
      </c>
      <c r="M222" s="125">
        <f t="shared" si="234"/>
        <v>0</v>
      </c>
      <c r="N222" s="125">
        <f t="shared" si="234"/>
        <v>2.157456294953386E-2</v>
      </c>
      <c r="O222" s="125">
        <f t="shared" si="234"/>
        <v>6.2818876990405415E-3</v>
      </c>
      <c r="P222" s="125">
        <f t="shared" si="234"/>
        <v>0.995</v>
      </c>
      <c r="Q222" s="125">
        <f t="shared" si="234"/>
        <v>0.995</v>
      </c>
      <c r="R222" s="125">
        <f t="shared" si="234"/>
        <v>0</v>
      </c>
    </row>
    <row r="223" spans="1:18">
      <c r="A223" s="123" t="e">
        <f t="shared" ref="A223" si="250">CONCATENATE("Year-",#REF!)</f>
        <v>#REF!</v>
      </c>
      <c r="B223" s="35">
        <v>51014</v>
      </c>
      <c r="C223" s="26">
        <f t="shared" ref="C223:D238" si="251">C211</f>
        <v>192.1</v>
      </c>
      <c r="D223" s="26">
        <f t="shared" si="251"/>
        <v>178.89930529999984</v>
      </c>
      <c r="E223" s="31">
        <f t="shared" si="187"/>
        <v>52760</v>
      </c>
      <c r="F223" s="124">
        <f t="shared" ref="F223:R238" si="252">F211</f>
        <v>52.25059433997491</v>
      </c>
      <c r="G223" s="125">
        <f t="shared" si="252"/>
        <v>1.7196456487754141E-2</v>
      </c>
      <c r="H223" s="125">
        <f t="shared" si="252"/>
        <v>8.5227999999999998E-2</v>
      </c>
      <c r="I223" s="125">
        <f t="shared" si="252"/>
        <v>0.11387126505657014</v>
      </c>
      <c r="J223" s="125">
        <f t="shared" si="252"/>
        <v>1.3959618092500629E-2</v>
      </c>
      <c r="K223" s="125">
        <f t="shared" si="252"/>
        <v>1.4531255376132731E-2</v>
      </c>
      <c r="L223" s="125">
        <f t="shared" si="252"/>
        <v>1.4478833500810966E-2</v>
      </c>
      <c r="M223" s="125">
        <f t="shared" si="252"/>
        <v>0</v>
      </c>
      <c r="N223" s="125">
        <f t="shared" si="252"/>
        <v>2.2473527643153385E-2</v>
      </c>
      <c r="O223" s="125">
        <f t="shared" si="252"/>
        <v>1.1388926338936924E-2</v>
      </c>
      <c r="P223" s="125">
        <f t="shared" si="252"/>
        <v>0.995</v>
      </c>
      <c r="Q223" s="125">
        <f t="shared" si="252"/>
        <v>0.995</v>
      </c>
      <c r="R223" s="125">
        <f t="shared" si="252"/>
        <v>0</v>
      </c>
    </row>
    <row r="224" spans="1:18">
      <c r="A224" s="123" t="e">
        <f t="shared" ref="A224" si="253">CONCATENATE("Year-",#REF!)</f>
        <v>#REF!</v>
      </c>
      <c r="B224" s="35">
        <v>51044</v>
      </c>
      <c r="C224" s="26">
        <f t="shared" si="251"/>
        <v>202.3</v>
      </c>
      <c r="D224" s="26">
        <f t="shared" si="251"/>
        <v>174.60082279999986</v>
      </c>
      <c r="E224" s="31">
        <f t="shared" si="187"/>
        <v>57190</v>
      </c>
      <c r="F224" s="124">
        <f t="shared" si="252"/>
        <v>49.723937837075084</v>
      </c>
      <c r="G224" s="125">
        <f t="shared" si="252"/>
        <v>1.5873015873015817E-2</v>
      </c>
      <c r="H224" s="125">
        <f t="shared" si="252"/>
        <v>8.8506000000000001E-2</v>
      </c>
      <c r="I224" s="125">
        <f t="shared" si="252"/>
        <v>0.10390722673430232</v>
      </c>
      <c r="J224" s="125">
        <f t="shared" si="252"/>
        <v>1.4040704754284353E-2</v>
      </c>
      <c r="K224" s="125">
        <f t="shared" si="252"/>
        <v>1.526389492868482E-2</v>
      </c>
      <c r="L224" s="125">
        <f t="shared" si="252"/>
        <v>1.5324069649683622E-2</v>
      </c>
      <c r="M224" s="125">
        <f t="shared" si="252"/>
        <v>0</v>
      </c>
      <c r="N224" s="125">
        <f t="shared" si="252"/>
        <v>2.3043103417804571E-2</v>
      </c>
      <c r="O224" s="125">
        <f t="shared" si="252"/>
        <v>2.1184397869334348E-2</v>
      </c>
      <c r="P224" s="125">
        <f t="shared" si="252"/>
        <v>0.995</v>
      </c>
      <c r="Q224" s="125">
        <f t="shared" si="252"/>
        <v>0.995</v>
      </c>
      <c r="R224" s="125">
        <f t="shared" si="252"/>
        <v>0</v>
      </c>
    </row>
    <row r="225" spans="1:18">
      <c r="A225" s="123" t="e">
        <f t="shared" ref="A225" si="254">CONCATENATE("Year-",#REF!)</f>
        <v>#REF!</v>
      </c>
      <c r="B225" s="35">
        <v>51075</v>
      </c>
      <c r="C225" s="26">
        <f t="shared" si="251"/>
        <v>162.9</v>
      </c>
      <c r="D225" s="26">
        <f t="shared" si="251"/>
        <v>133.69942049999997</v>
      </c>
      <c r="E225" s="31">
        <f t="shared" si="187"/>
        <v>46900</v>
      </c>
      <c r="F225" s="124">
        <f t="shared" si="252"/>
        <v>42.187120547750681</v>
      </c>
      <c r="G225" s="125">
        <f t="shared" si="252"/>
        <v>1.5950920245398792E-2</v>
      </c>
      <c r="H225" s="125">
        <f t="shared" si="252"/>
        <v>8.8506000000000001E-2</v>
      </c>
      <c r="I225" s="125">
        <f t="shared" si="252"/>
        <v>6.9024239591701744E-2</v>
      </c>
      <c r="J225" s="125">
        <f t="shared" si="252"/>
        <v>1.4204952105287192E-2</v>
      </c>
      <c r="K225" s="125">
        <f t="shared" si="252"/>
        <v>1.3252885058363056E-2</v>
      </c>
      <c r="L225" s="125">
        <f t="shared" si="252"/>
        <v>1.3980442883231779E-2</v>
      </c>
      <c r="M225" s="125">
        <f t="shared" si="252"/>
        <v>0</v>
      </c>
      <c r="N225" s="125">
        <f t="shared" si="252"/>
        <v>2.30208488716231E-2</v>
      </c>
      <c r="O225" s="125">
        <f t="shared" si="252"/>
        <v>8.3479094998109554E-3</v>
      </c>
      <c r="P225" s="125">
        <f t="shared" si="252"/>
        <v>0.995</v>
      </c>
      <c r="Q225" s="125">
        <f t="shared" si="252"/>
        <v>0.995</v>
      </c>
      <c r="R225" s="125">
        <f t="shared" si="252"/>
        <v>0</v>
      </c>
    </row>
    <row r="226" spans="1:18">
      <c r="A226" s="123" t="e">
        <f t="shared" ref="A226" si="255">CONCATENATE("Year-",#REF!)</f>
        <v>#REF!</v>
      </c>
      <c r="B226" s="35">
        <v>51105</v>
      </c>
      <c r="C226" s="26">
        <f t="shared" si="251"/>
        <v>158.6</v>
      </c>
      <c r="D226" s="26">
        <f t="shared" si="251"/>
        <v>124.40004220000003</v>
      </c>
      <c r="E226" s="31">
        <f t="shared" si="187"/>
        <v>48280</v>
      </c>
      <c r="F226" s="124">
        <f t="shared" si="252"/>
        <v>36.076939444156181</v>
      </c>
      <c r="G226" s="125">
        <f t="shared" si="252"/>
        <v>1.5802781289506962E-2</v>
      </c>
      <c r="H226" s="125">
        <f t="shared" si="252"/>
        <v>8.8506000000000001E-2</v>
      </c>
      <c r="I226" s="125">
        <f t="shared" si="252"/>
        <v>4.4787946264861052E-2</v>
      </c>
      <c r="J226" s="125">
        <f t="shared" si="252"/>
        <v>1.4140595613406415E-2</v>
      </c>
      <c r="K226" s="125">
        <f t="shared" si="252"/>
        <v>1.2367081056294736E-2</v>
      </c>
      <c r="L226" s="125">
        <f t="shared" si="252"/>
        <v>1.3960975699298588E-2</v>
      </c>
      <c r="M226" s="125">
        <f t="shared" si="252"/>
        <v>0</v>
      </c>
      <c r="N226" s="125">
        <f t="shared" si="252"/>
        <v>2.3055036005913448E-2</v>
      </c>
      <c r="O226" s="125">
        <f t="shared" si="252"/>
        <v>3.6978876304825567E-3</v>
      </c>
      <c r="P226" s="125">
        <f t="shared" si="252"/>
        <v>0.995</v>
      </c>
      <c r="Q226" s="125">
        <f t="shared" si="252"/>
        <v>0.995</v>
      </c>
      <c r="R226" s="125">
        <f t="shared" si="252"/>
        <v>0</v>
      </c>
    </row>
    <row r="227" spans="1:18">
      <c r="A227" s="123" t="e">
        <f t="shared" ref="A227" si="256">CONCATENATE("Year-",#REF!)</f>
        <v>#REF!</v>
      </c>
      <c r="B227" s="35">
        <v>51136</v>
      </c>
      <c r="C227" s="26">
        <f t="shared" si="251"/>
        <v>169.028549</v>
      </c>
      <c r="D227" s="26">
        <f t="shared" si="251"/>
        <v>133.89933939999995</v>
      </c>
      <c r="E227" s="31">
        <f t="shared" si="187"/>
        <v>51260</v>
      </c>
      <c r="F227" s="124">
        <f t="shared" si="252"/>
        <v>34.970332119021293</v>
      </c>
      <c r="G227" s="125">
        <f t="shared" si="252"/>
        <v>1.7200474495848161E-2</v>
      </c>
      <c r="H227" s="125">
        <f t="shared" si="252"/>
        <v>8.8506000000000001E-2</v>
      </c>
      <c r="I227" s="125">
        <f t="shared" si="252"/>
        <v>4.0029940128316385E-2</v>
      </c>
      <c r="J227" s="125">
        <f t="shared" si="252"/>
        <v>1.4099625889623608E-2</v>
      </c>
      <c r="K227" s="125">
        <f t="shared" si="252"/>
        <v>1.267725762135744E-2</v>
      </c>
      <c r="L227" s="125">
        <f t="shared" si="252"/>
        <v>1.390175346828215E-2</v>
      </c>
      <c r="M227" s="125">
        <f t="shared" si="252"/>
        <v>0</v>
      </c>
      <c r="N227" s="125">
        <f t="shared" si="252"/>
        <v>2.298066658515029E-2</v>
      </c>
      <c r="O227" s="125">
        <f t="shared" si="252"/>
        <v>1.0644897972798715E-2</v>
      </c>
      <c r="P227" s="125">
        <f t="shared" si="252"/>
        <v>0.995</v>
      </c>
      <c r="Q227" s="125">
        <f t="shared" si="252"/>
        <v>0.995</v>
      </c>
      <c r="R227" s="125">
        <f t="shared" si="252"/>
        <v>0</v>
      </c>
    </row>
    <row r="228" spans="1:18">
      <c r="A228" s="123" t="e">
        <f t="shared" ref="A228" si="257">CONCATENATE("Year-",#REF!)</f>
        <v>#REF!</v>
      </c>
      <c r="B228" s="35">
        <v>51167</v>
      </c>
      <c r="C228" s="26">
        <f t="shared" si="251"/>
        <v>172.55912190000004</v>
      </c>
      <c r="D228" s="26">
        <f t="shared" si="251"/>
        <v>145.40077080000009</v>
      </c>
      <c r="E228" s="31">
        <f t="shared" si="187"/>
        <v>47290</v>
      </c>
      <c r="F228" s="124">
        <f t="shared" si="252"/>
        <v>40.252096455972236</v>
      </c>
      <c r="G228" s="125">
        <f t="shared" si="252"/>
        <v>1.510749564206848E-2</v>
      </c>
      <c r="H228" s="125">
        <f t="shared" si="252"/>
        <v>8.8506000000000001E-2</v>
      </c>
      <c r="I228" s="125">
        <f t="shared" si="252"/>
        <v>6.2111013936519133E-2</v>
      </c>
      <c r="J228" s="125">
        <f t="shared" si="252"/>
        <v>1.4175439055030284E-2</v>
      </c>
      <c r="K228" s="125">
        <f t="shared" si="252"/>
        <v>1.4384371816049681E-2</v>
      </c>
      <c r="L228" s="125">
        <f t="shared" si="252"/>
        <v>1.5915736744616871E-2</v>
      </c>
      <c r="M228" s="125">
        <f t="shared" si="252"/>
        <v>0</v>
      </c>
      <c r="N228" s="125">
        <f t="shared" si="252"/>
        <v>2.3268144471779773E-2</v>
      </c>
      <c r="O228" s="125">
        <f t="shared" si="252"/>
        <v>2.5052142565085967E-2</v>
      </c>
      <c r="P228" s="125">
        <f t="shared" si="252"/>
        <v>0.995</v>
      </c>
      <c r="Q228" s="125">
        <f t="shared" si="252"/>
        <v>0.995</v>
      </c>
      <c r="R228" s="125">
        <f t="shared" si="252"/>
        <v>0</v>
      </c>
    </row>
    <row r="229" spans="1:18">
      <c r="A229" s="123" t="e">
        <f t="shared" ref="A229" si="258">CONCATENATE("Year-",#REF!)</f>
        <v>#REF!</v>
      </c>
      <c r="B229" s="35">
        <v>51196</v>
      </c>
      <c r="C229" s="26">
        <f t="shared" si="251"/>
        <v>215.74576700000009</v>
      </c>
      <c r="D229" s="26">
        <f t="shared" si="251"/>
        <v>195.59891570000002</v>
      </c>
      <c r="E229" s="31">
        <f t="shared" si="187"/>
        <v>60510</v>
      </c>
      <c r="F229" s="124">
        <f t="shared" si="252"/>
        <v>47.179622377374095</v>
      </c>
      <c r="G229" s="125">
        <f t="shared" si="252"/>
        <v>1.5306122448979553E-2</v>
      </c>
      <c r="H229" s="125">
        <f t="shared" si="252"/>
        <v>9.1784000000000004E-2</v>
      </c>
      <c r="I229" s="125">
        <f t="shared" si="252"/>
        <v>9.4419706369976972E-2</v>
      </c>
      <c r="J229" s="125">
        <f t="shared" si="252"/>
        <v>1.4644787078611174E-2</v>
      </c>
      <c r="K229" s="125">
        <f t="shared" si="252"/>
        <v>1.6212630268737406E-2</v>
      </c>
      <c r="L229" s="125">
        <f t="shared" si="252"/>
        <v>2.0718676035686345E-2</v>
      </c>
      <c r="M229" s="125">
        <f t="shared" si="252"/>
        <v>0</v>
      </c>
      <c r="N229" s="125">
        <f t="shared" si="252"/>
        <v>2.3247057021314733E-2</v>
      </c>
      <c r="O229" s="125">
        <f t="shared" si="252"/>
        <v>3.9222124133286969E-2</v>
      </c>
      <c r="P229" s="125">
        <f t="shared" si="252"/>
        <v>0.995</v>
      </c>
      <c r="Q229" s="125">
        <f t="shared" si="252"/>
        <v>0.995</v>
      </c>
      <c r="R229" s="125">
        <f t="shared" si="252"/>
        <v>0</v>
      </c>
    </row>
    <row r="230" spans="1:18">
      <c r="A230" s="123" t="e">
        <f t="shared" ref="A230" si="259">CONCATENATE("Year-",#REF!)</f>
        <v>#REF!</v>
      </c>
      <c r="B230" s="35">
        <v>51227</v>
      </c>
      <c r="C230" s="26">
        <f t="shared" si="251"/>
        <v>215.9</v>
      </c>
      <c r="D230" s="26">
        <f t="shared" si="251"/>
        <v>208.99969899999999</v>
      </c>
      <c r="E230" s="31">
        <f t="shared" ref="E230:E293" si="260">E218*(1-$AE$2)</f>
        <v>58630</v>
      </c>
      <c r="F230" s="124">
        <f t="shared" si="252"/>
        <v>52.296499350965128</v>
      </c>
      <c r="G230" s="125">
        <f t="shared" si="252"/>
        <v>1.6658954187875996E-2</v>
      </c>
      <c r="H230" s="125">
        <f t="shared" si="252"/>
        <v>9.5061999999999994E-2</v>
      </c>
      <c r="I230" s="125">
        <f t="shared" si="252"/>
        <v>0.11719199751057031</v>
      </c>
      <c r="J230" s="125">
        <f t="shared" si="252"/>
        <v>1.5231272154623582E-2</v>
      </c>
      <c r="K230" s="125">
        <f t="shared" si="252"/>
        <v>1.6110689006976781E-2</v>
      </c>
      <c r="L230" s="125">
        <f t="shared" si="252"/>
        <v>1.8633277773980331E-2</v>
      </c>
      <c r="M230" s="125">
        <f t="shared" si="252"/>
        <v>0</v>
      </c>
      <c r="N230" s="125">
        <f t="shared" si="252"/>
        <v>2.2802418781094937E-2</v>
      </c>
      <c r="O230" s="125">
        <f t="shared" si="252"/>
        <v>2.7995485693316467E-2</v>
      </c>
      <c r="P230" s="125">
        <f t="shared" si="252"/>
        <v>0.995</v>
      </c>
      <c r="Q230" s="125">
        <f t="shared" si="252"/>
        <v>0.995</v>
      </c>
      <c r="R230" s="125">
        <f t="shared" si="252"/>
        <v>0</v>
      </c>
    </row>
    <row r="231" spans="1:18">
      <c r="A231" s="123" t="e">
        <f t="shared" ref="A231" si="261">CONCATENATE("Year-",#REF!)</f>
        <v>#REF!</v>
      </c>
      <c r="B231" s="35">
        <v>51257</v>
      </c>
      <c r="C231" s="26">
        <f t="shared" si="251"/>
        <v>217.9</v>
      </c>
      <c r="D231" s="26">
        <f t="shared" si="251"/>
        <v>221.90023470000006</v>
      </c>
      <c r="E231" s="31">
        <f t="shared" si="260"/>
        <v>61780</v>
      </c>
      <c r="F231" s="124">
        <f t="shared" si="252"/>
        <v>55.437733860726389</v>
      </c>
      <c r="G231" s="125">
        <f t="shared" si="252"/>
        <v>1.7865322950068707E-2</v>
      </c>
      <c r="H231" s="125">
        <f t="shared" si="252"/>
        <v>9.8339999999999997E-2</v>
      </c>
      <c r="I231" s="125">
        <f t="shared" si="252"/>
        <v>0.1306817577748349</v>
      </c>
      <c r="J231" s="125">
        <f t="shared" si="252"/>
        <v>1.609339136491415E-2</v>
      </c>
      <c r="K231" s="125">
        <f t="shared" si="252"/>
        <v>1.525163145425878E-2</v>
      </c>
      <c r="L231" s="125">
        <f t="shared" si="252"/>
        <v>1.5763583972179196E-2</v>
      </c>
      <c r="M231" s="125">
        <f t="shared" si="252"/>
        <v>0</v>
      </c>
      <c r="N231" s="125">
        <f t="shared" si="252"/>
        <v>2.2281870794181511E-2</v>
      </c>
      <c r="O231" s="125">
        <f t="shared" si="252"/>
        <v>1.1198342091846737E-2</v>
      </c>
      <c r="P231" s="125">
        <f t="shared" si="252"/>
        <v>0.995</v>
      </c>
      <c r="Q231" s="125">
        <f t="shared" si="252"/>
        <v>0.995</v>
      </c>
      <c r="R231" s="125">
        <f t="shared" si="252"/>
        <v>0</v>
      </c>
    </row>
    <row r="232" spans="1:18">
      <c r="A232" s="123" t="e">
        <f t="shared" ref="A232" si="262">CONCATENATE("Year-",#REF!)</f>
        <v>#REF!</v>
      </c>
      <c r="B232" s="35">
        <v>51288</v>
      </c>
      <c r="C232" s="26">
        <f t="shared" si="251"/>
        <v>192.8</v>
      </c>
      <c r="D232" s="26">
        <f t="shared" si="251"/>
        <v>200.20089519999999</v>
      </c>
      <c r="E232" s="31">
        <f t="shared" si="260"/>
        <v>53700</v>
      </c>
      <c r="F232" s="124">
        <f t="shared" si="252"/>
        <v>54.658309168315547</v>
      </c>
      <c r="G232" s="125">
        <f t="shared" si="252"/>
        <v>1.914123124676681E-2</v>
      </c>
      <c r="H232" s="125">
        <f t="shared" si="252"/>
        <v>9.8339999999999997E-2</v>
      </c>
      <c r="I232" s="125">
        <f t="shared" si="252"/>
        <v>0.12650723469382591</v>
      </c>
      <c r="J232" s="125">
        <f t="shared" si="252"/>
        <v>1.6398522844759341E-2</v>
      </c>
      <c r="K232" s="125">
        <f t="shared" si="252"/>
        <v>1.3926271600695752E-2</v>
      </c>
      <c r="L232" s="125">
        <f t="shared" si="252"/>
        <v>1.4057661793117321E-2</v>
      </c>
      <c r="M232" s="125">
        <f t="shared" si="252"/>
        <v>0</v>
      </c>
      <c r="N232" s="125">
        <f t="shared" si="252"/>
        <v>2.1677907023400757E-2</v>
      </c>
      <c r="O232" s="125">
        <f t="shared" si="252"/>
        <v>4.051685061336731E-3</v>
      </c>
      <c r="P232" s="125">
        <f t="shared" si="252"/>
        <v>0.995</v>
      </c>
      <c r="Q232" s="125">
        <f t="shared" si="252"/>
        <v>0.995</v>
      </c>
      <c r="R232" s="125">
        <f t="shared" si="252"/>
        <v>0</v>
      </c>
    </row>
    <row r="233" spans="1:18">
      <c r="A233" s="123" t="e">
        <f t="shared" ref="A233" si="263">CONCATENATE("Year-",#REF!)</f>
        <v>#REF!</v>
      </c>
      <c r="B233" s="35">
        <v>51318</v>
      </c>
      <c r="C233" s="26">
        <f t="shared" si="251"/>
        <v>168.9</v>
      </c>
      <c r="D233" s="26">
        <f t="shared" si="251"/>
        <v>173.59972409999992</v>
      </c>
      <c r="E233" s="31">
        <f t="shared" si="260"/>
        <v>49210</v>
      </c>
      <c r="F233" s="124">
        <f t="shared" si="252"/>
        <v>51.564857066184757</v>
      </c>
      <c r="G233" s="125">
        <f t="shared" si="252"/>
        <v>2.1854695806261204E-2</v>
      </c>
      <c r="H233" s="125">
        <f t="shared" si="252"/>
        <v>9.1784000000000004E-2</v>
      </c>
      <c r="I233" s="125">
        <f t="shared" si="252"/>
        <v>0.1089308468990661</v>
      </c>
      <c r="J233" s="125">
        <f t="shared" si="252"/>
        <v>1.5867586262633245E-2</v>
      </c>
      <c r="K233" s="125">
        <f t="shared" si="252"/>
        <v>1.231974144019694E-2</v>
      </c>
      <c r="L233" s="125">
        <f t="shared" si="252"/>
        <v>1.3502102014775261E-2</v>
      </c>
      <c r="M233" s="125">
        <f t="shared" si="252"/>
        <v>0</v>
      </c>
      <c r="N233" s="125">
        <f t="shared" si="252"/>
        <v>2.127320988616644E-2</v>
      </c>
      <c r="O233" s="125">
        <f t="shared" si="252"/>
        <v>1.5557262066246368E-3</v>
      </c>
      <c r="P233" s="125">
        <f t="shared" si="252"/>
        <v>0.995</v>
      </c>
      <c r="Q233" s="125">
        <f t="shared" si="252"/>
        <v>0.995</v>
      </c>
      <c r="R233" s="125">
        <f t="shared" si="252"/>
        <v>0</v>
      </c>
    </row>
    <row r="234" spans="1:18">
      <c r="A234" s="123" t="e">
        <f t="shared" ref="A234" si="264">CONCATENATE("Year-",#REF!)</f>
        <v>#REF!</v>
      </c>
      <c r="B234" s="35">
        <v>51349</v>
      </c>
      <c r="C234" s="26">
        <f t="shared" si="251"/>
        <v>174.2</v>
      </c>
      <c r="D234" s="26">
        <f t="shared" si="251"/>
        <v>172.6001566000001</v>
      </c>
      <c r="E234" s="31">
        <f t="shared" si="260"/>
        <v>50100</v>
      </c>
      <c r="F234" s="124">
        <f t="shared" si="252"/>
        <v>50.336592710430871</v>
      </c>
      <c r="G234" s="125">
        <f t="shared" si="252"/>
        <v>2.0196191575302946E-2</v>
      </c>
      <c r="H234" s="125">
        <f t="shared" si="252"/>
        <v>8.8506000000000001E-2</v>
      </c>
      <c r="I234" s="125">
        <f t="shared" si="252"/>
        <v>0.10494453414747008</v>
      </c>
      <c r="J234" s="125">
        <f t="shared" si="252"/>
        <v>1.507508977611231E-2</v>
      </c>
      <c r="K234" s="125">
        <f t="shared" si="252"/>
        <v>1.2791562311125756E-2</v>
      </c>
      <c r="L234" s="125">
        <f t="shared" si="252"/>
        <v>1.4116403195935955E-2</v>
      </c>
      <c r="M234" s="125">
        <f t="shared" si="252"/>
        <v>0</v>
      </c>
      <c r="N234" s="125">
        <f t="shared" si="252"/>
        <v>2.157456294953386E-2</v>
      </c>
      <c r="O234" s="125">
        <f t="shared" si="252"/>
        <v>6.2818876990405415E-3</v>
      </c>
      <c r="P234" s="125">
        <f t="shared" si="252"/>
        <v>0.995</v>
      </c>
      <c r="Q234" s="125">
        <f t="shared" si="252"/>
        <v>0.995</v>
      </c>
      <c r="R234" s="125">
        <f t="shared" si="252"/>
        <v>0</v>
      </c>
    </row>
    <row r="235" spans="1:18">
      <c r="A235" s="123" t="e">
        <f t="shared" ref="A235" si="265">CONCATENATE("Year-",#REF!)</f>
        <v>#REF!</v>
      </c>
      <c r="B235" s="35">
        <v>51380</v>
      </c>
      <c r="C235" s="26">
        <f t="shared" si="251"/>
        <v>192.1</v>
      </c>
      <c r="D235" s="26">
        <f t="shared" si="251"/>
        <v>178.89930529999984</v>
      </c>
      <c r="E235" s="31">
        <f t="shared" si="260"/>
        <v>52760</v>
      </c>
      <c r="F235" s="124">
        <f t="shared" si="252"/>
        <v>52.25059433997491</v>
      </c>
      <c r="G235" s="125">
        <f t="shared" si="252"/>
        <v>1.7196456487754141E-2</v>
      </c>
      <c r="H235" s="125">
        <f t="shared" si="252"/>
        <v>8.5227999999999998E-2</v>
      </c>
      <c r="I235" s="125">
        <f t="shared" si="252"/>
        <v>0.11387126505657014</v>
      </c>
      <c r="J235" s="125">
        <f t="shared" si="252"/>
        <v>1.3959618092500629E-2</v>
      </c>
      <c r="K235" s="125">
        <f t="shared" si="252"/>
        <v>1.4531255376132731E-2</v>
      </c>
      <c r="L235" s="125">
        <f t="shared" si="252"/>
        <v>1.4478833500810966E-2</v>
      </c>
      <c r="M235" s="125">
        <f t="shared" si="252"/>
        <v>0</v>
      </c>
      <c r="N235" s="125">
        <f t="shared" si="252"/>
        <v>2.2473527643153385E-2</v>
      </c>
      <c r="O235" s="125">
        <f t="shared" si="252"/>
        <v>1.1388926338936924E-2</v>
      </c>
      <c r="P235" s="125">
        <f t="shared" si="252"/>
        <v>0.995</v>
      </c>
      <c r="Q235" s="125">
        <f t="shared" si="252"/>
        <v>0.995</v>
      </c>
      <c r="R235" s="125">
        <f t="shared" si="252"/>
        <v>0</v>
      </c>
    </row>
    <row r="236" spans="1:18">
      <c r="A236" s="123" t="e">
        <f t="shared" ref="A236" si="266">CONCATENATE("Year-",#REF!)</f>
        <v>#REF!</v>
      </c>
      <c r="B236" s="35">
        <v>51410</v>
      </c>
      <c r="C236" s="26">
        <f t="shared" si="251"/>
        <v>202.3</v>
      </c>
      <c r="D236" s="26">
        <f t="shared" si="251"/>
        <v>174.60082279999986</v>
      </c>
      <c r="E236" s="31">
        <f t="shared" si="260"/>
        <v>57190</v>
      </c>
      <c r="F236" s="124">
        <f t="shared" si="252"/>
        <v>49.723937837075084</v>
      </c>
      <c r="G236" s="125">
        <f t="shared" si="252"/>
        <v>1.5873015873015817E-2</v>
      </c>
      <c r="H236" s="125">
        <f t="shared" si="252"/>
        <v>8.8506000000000001E-2</v>
      </c>
      <c r="I236" s="125">
        <f t="shared" si="252"/>
        <v>0.10390722673430232</v>
      </c>
      <c r="J236" s="125">
        <f t="shared" si="252"/>
        <v>1.4040704754284353E-2</v>
      </c>
      <c r="K236" s="125">
        <f t="shared" si="252"/>
        <v>1.526389492868482E-2</v>
      </c>
      <c r="L236" s="125">
        <f t="shared" si="252"/>
        <v>1.5324069649683622E-2</v>
      </c>
      <c r="M236" s="125">
        <f t="shared" si="252"/>
        <v>0</v>
      </c>
      <c r="N236" s="125">
        <f t="shared" si="252"/>
        <v>2.3043103417804571E-2</v>
      </c>
      <c r="O236" s="125">
        <f t="shared" si="252"/>
        <v>2.1184397869334348E-2</v>
      </c>
      <c r="P236" s="125">
        <f t="shared" si="252"/>
        <v>0.995</v>
      </c>
      <c r="Q236" s="125">
        <f t="shared" si="252"/>
        <v>0.995</v>
      </c>
      <c r="R236" s="125">
        <f t="shared" si="252"/>
        <v>0</v>
      </c>
    </row>
    <row r="237" spans="1:18">
      <c r="A237" s="123" t="e">
        <f t="shared" ref="A237" si="267">CONCATENATE("Year-",#REF!)</f>
        <v>#REF!</v>
      </c>
      <c r="B237" s="35">
        <v>51441</v>
      </c>
      <c r="C237" s="26">
        <f t="shared" si="251"/>
        <v>162.9</v>
      </c>
      <c r="D237" s="26">
        <f t="shared" si="251"/>
        <v>133.69942049999997</v>
      </c>
      <c r="E237" s="31">
        <f t="shared" si="260"/>
        <v>46900</v>
      </c>
      <c r="F237" s="124">
        <f t="shared" si="252"/>
        <v>42.187120547750681</v>
      </c>
      <c r="G237" s="125">
        <f t="shared" si="252"/>
        <v>1.5950920245398792E-2</v>
      </c>
      <c r="H237" s="125">
        <f t="shared" si="252"/>
        <v>8.8506000000000001E-2</v>
      </c>
      <c r="I237" s="125">
        <f t="shared" si="252"/>
        <v>6.9024239591701744E-2</v>
      </c>
      <c r="J237" s="125">
        <f t="shared" si="252"/>
        <v>1.4204952105287192E-2</v>
      </c>
      <c r="K237" s="125">
        <f t="shared" si="252"/>
        <v>1.3252885058363056E-2</v>
      </c>
      <c r="L237" s="125">
        <f t="shared" si="252"/>
        <v>1.3980442883231779E-2</v>
      </c>
      <c r="M237" s="125">
        <f t="shared" si="252"/>
        <v>0</v>
      </c>
      <c r="N237" s="125">
        <f t="shared" si="252"/>
        <v>2.30208488716231E-2</v>
      </c>
      <c r="O237" s="125">
        <f t="shared" si="252"/>
        <v>8.3479094998109554E-3</v>
      </c>
      <c r="P237" s="125">
        <f t="shared" si="252"/>
        <v>0.995</v>
      </c>
      <c r="Q237" s="125">
        <f t="shared" si="252"/>
        <v>0.995</v>
      </c>
      <c r="R237" s="125">
        <f t="shared" si="252"/>
        <v>0</v>
      </c>
    </row>
    <row r="238" spans="1:18">
      <c r="A238" s="123" t="e">
        <f t="shared" ref="A238" si="268">CONCATENATE("Year-",#REF!)</f>
        <v>#REF!</v>
      </c>
      <c r="B238" s="35">
        <v>51471</v>
      </c>
      <c r="C238" s="26">
        <f t="shared" si="251"/>
        <v>158.6</v>
      </c>
      <c r="D238" s="26">
        <f t="shared" si="251"/>
        <v>124.40004220000003</v>
      </c>
      <c r="E238" s="31">
        <f t="shared" si="260"/>
        <v>48280</v>
      </c>
      <c r="F238" s="124">
        <f t="shared" si="252"/>
        <v>36.076939444156181</v>
      </c>
      <c r="G238" s="125">
        <f t="shared" si="252"/>
        <v>1.5802781289506962E-2</v>
      </c>
      <c r="H238" s="125">
        <f t="shared" si="252"/>
        <v>8.8506000000000001E-2</v>
      </c>
      <c r="I238" s="125">
        <f t="shared" si="252"/>
        <v>4.4787946264861052E-2</v>
      </c>
      <c r="J238" s="125">
        <f t="shared" si="252"/>
        <v>1.4140595613406415E-2</v>
      </c>
      <c r="K238" s="125">
        <f t="shared" si="252"/>
        <v>1.2367081056294736E-2</v>
      </c>
      <c r="L238" s="125">
        <f t="shared" si="252"/>
        <v>1.3960975699298588E-2</v>
      </c>
      <c r="M238" s="125">
        <f t="shared" si="252"/>
        <v>0</v>
      </c>
      <c r="N238" s="125">
        <f t="shared" si="252"/>
        <v>2.3055036005913448E-2</v>
      </c>
      <c r="O238" s="125">
        <f t="shared" si="252"/>
        <v>3.6978876304825567E-3</v>
      </c>
      <c r="P238" s="125">
        <f t="shared" si="252"/>
        <v>0.995</v>
      </c>
      <c r="Q238" s="125">
        <f t="shared" si="252"/>
        <v>0.995</v>
      </c>
      <c r="R238" s="125">
        <f t="shared" si="252"/>
        <v>0</v>
      </c>
    </row>
    <row r="239" spans="1:18">
      <c r="A239" s="123" t="e">
        <f t="shared" ref="A239" si="269">CONCATENATE("Year-",#REF!)</f>
        <v>#REF!</v>
      </c>
      <c r="B239" s="35">
        <v>51502</v>
      </c>
      <c r="C239" s="26">
        <f t="shared" ref="C239:D254" si="270">C227</f>
        <v>169.028549</v>
      </c>
      <c r="D239" s="26">
        <f t="shared" si="270"/>
        <v>133.89933939999995</v>
      </c>
      <c r="E239" s="31">
        <f t="shared" si="260"/>
        <v>51260</v>
      </c>
      <c r="F239" s="124">
        <f t="shared" ref="F239:R254" si="271">F227</f>
        <v>34.970332119021293</v>
      </c>
      <c r="G239" s="125">
        <f t="shared" si="271"/>
        <v>1.7200474495848161E-2</v>
      </c>
      <c r="H239" s="125">
        <f t="shared" si="271"/>
        <v>8.8506000000000001E-2</v>
      </c>
      <c r="I239" s="125">
        <f t="shared" si="271"/>
        <v>4.0029940128316385E-2</v>
      </c>
      <c r="J239" s="125">
        <f t="shared" si="271"/>
        <v>1.4099625889623608E-2</v>
      </c>
      <c r="K239" s="125">
        <f t="shared" si="271"/>
        <v>1.267725762135744E-2</v>
      </c>
      <c r="L239" s="125">
        <f t="shared" si="271"/>
        <v>1.390175346828215E-2</v>
      </c>
      <c r="M239" s="125">
        <f t="shared" si="271"/>
        <v>0</v>
      </c>
      <c r="N239" s="125">
        <f t="shared" si="271"/>
        <v>2.298066658515029E-2</v>
      </c>
      <c r="O239" s="125">
        <f t="shared" si="271"/>
        <v>1.0644897972798715E-2</v>
      </c>
      <c r="P239" s="125">
        <f t="shared" si="271"/>
        <v>0.995</v>
      </c>
      <c r="Q239" s="125">
        <f t="shared" si="271"/>
        <v>0.995</v>
      </c>
      <c r="R239" s="125">
        <f t="shared" si="271"/>
        <v>0</v>
      </c>
    </row>
    <row r="240" spans="1:18">
      <c r="A240" s="123" t="e">
        <f t="shared" ref="A240" si="272">CONCATENATE("Year-",#REF!)</f>
        <v>#REF!</v>
      </c>
      <c r="B240" s="35">
        <v>51533</v>
      </c>
      <c r="C240" s="26">
        <f t="shared" si="270"/>
        <v>172.55912190000004</v>
      </c>
      <c r="D240" s="26">
        <f t="shared" si="270"/>
        <v>145.40077080000009</v>
      </c>
      <c r="E240" s="31">
        <f t="shared" si="260"/>
        <v>47290</v>
      </c>
      <c r="F240" s="124">
        <f t="shared" si="271"/>
        <v>40.252096455972236</v>
      </c>
      <c r="G240" s="125">
        <f t="shared" si="271"/>
        <v>1.510749564206848E-2</v>
      </c>
      <c r="H240" s="125">
        <f t="shared" si="271"/>
        <v>8.8506000000000001E-2</v>
      </c>
      <c r="I240" s="125">
        <f t="shared" si="271"/>
        <v>6.2111013936519133E-2</v>
      </c>
      <c r="J240" s="125">
        <f t="shared" si="271"/>
        <v>1.4175439055030284E-2</v>
      </c>
      <c r="K240" s="125">
        <f t="shared" si="271"/>
        <v>1.4384371816049681E-2</v>
      </c>
      <c r="L240" s="125">
        <f t="shared" si="271"/>
        <v>1.5915736744616871E-2</v>
      </c>
      <c r="M240" s="125">
        <f t="shared" si="271"/>
        <v>0</v>
      </c>
      <c r="N240" s="125">
        <f t="shared" si="271"/>
        <v>2.3268144471779773E-2</v>
      </c>
      <c r="O240" s="125">
        <f t="shared" si="271"/>
        <v>2.5052142565085967E-2</v>
      </c>
      <c r="P240" s="125">
        <f t="shared" si="271"/>
        <v>0.995</v>
      </c>
      <c r="Q240" s="125">
        <f t="shared" si="271"/>
        <v>0.995</v>
      </c>
      <c r="R240" s="125">
        <f t="shared" si="271"/>
        <v>0</v>
      </c>
    </row>
    <row r="241" spans="1:18">
      <c r="A241" s="123" t="e">
        <f t="shared" ref="A241" si="273">CONCATENATE("Year-",#REF!)</f>
        <v>#REF!</v>
      </c>
      <c r="B241" s="35">
        <v>51561</v>
      </c>
      <c r="C241" s="26">
        <f t="shared" si="270"/>
        <v>215.74576700000009</v>
      </c>
      <c r="D241" s="26">
        <f t="shared" si="270"/>
        <v>195.59891570000002</v>
      </c>
      <c r="E241" s="31">
        <f t="shared" si="260"/>
        <v>60510</v>
      </c>
      <c r="F241" s="124">
        <f t="shared" si="271"/>
        <v>47.179622377374095</v>
      </c>
      <c r="G241" s="125">
        <f t="shared" si="271"/>
        <v>1.5306122448979553E-2</v>
      </c>
      <c r="H241" s="125">
        <f t="shared" si="271"/>
        <v>9.1784000000000004E-2</v>
      </c>
      <c r="I241" s="125">
        <f t="shared" si="271"/>
        <v>9.4419706369976972E-2</v>
      </c>
      <c r="J241" s="125">
        <f t="shared" si="271"/>
        <v>1.4644787078611174E-2</v>
      </c>
      <c r="K241" s="125">
        <f t="shared" si="271"/>
        <v>1.6212630268737406E-2</v>
      </c>
      <c r="L241" s="125">
        <f t="shared" si="271"/>
        <v>2.0718676035686345E-2</v>
      </c>
      <c r="M241" s="125">
        <f t="shared" si="271"/>
        <v>0</v>
      </c>
      <c r="N241" s="125">
        <f t="shared" si="271"/>
        <v>2.3247057021314733E-2</v>
      </c>
      <c r="O241" s="125">
        <f t="shared" si="271"/>
        <v>3.9222124133286969E-2</v>
      </c>
      <c r="P241" s="125">
        <f t="shared" si="271"/>
        <v>0.995</v>
      </c>
      <c r="Q241" s="125">
        <f t="shared" si="271"/>
        <v>0.995</v>
      </c>
      <c r="R241" s="125">
        <f t="shared" si="271"/>
        <v>0</v>
      </c>
    </row>
    <row r="242" spans="1:18">
      <c r="A242" s="123" t="e">
        <f t="shared" ref="A242" si="274">CONCATENATE("Year-",#REF!)</f>
        <v>#REF!</v>
      </c>
      <c r="B242" s="35">
        <v>51592</v>
      </c>
      <c r="C242" s="26">
        <f t="shared" si="270"/>
        <v>215.9</v>
      </c>
      <c r="D242" s="26">
        <f t="shared" si="270"/>
        <v>208.99969899999999</v>
      </c>
      <c r="E242" s="31">
        <f t="shared" si="260"/>
        <v>58630</v>
      </c>
      <c r="F242" s="124">
        <f t="shared" si="271"/>
        <v>52.296499350965128</v>
      </c>
      <c r="G242" s="125">
        <f t="shared" si="271"/>
        <v>1.6658954187875996E-2</v>
      </c>
      <c r="H242" s="125">
        <f t="shared" si="271"/>
        <v>9.5061999999999994E-2</v>
      </c>
      <c r="I242" s="125">
        <f t="shared" si="271"/>
        <v>0.11719199751057031</v>
      </c>
      <c r="J242" s="125">
        <f t="shared" si="271"/>
        <v>1.5231272154623582E-2</v>
      </c>
      <c r="K242" s="125">
        <f t="shared" si="271"/>
        <v>1.6110689006976781E-2</v>
      </c>
      <c r="L242" s="125">
        <f t="shared" si="271"/>
        <v>1.8633277773980331E-2</v>
      </c>
      <c r="M242" s="125">
        <f t="shared" si="271"/>
        <v>0</v>
      </c>
      <c r="N242" s="125">
        <f t="shared" si="271"/>
        <v>2.2802418781094937E-2</v>
      </c>
      <c r="O242" s="125">
        <f t="shared" si="271"/>
        <v>2.7995485693316467E-2</v>
      </c>
      <c r="P242" s="125">
        <f t="shared" si="271"/>
        <v>0.995</v>
      </c>
      <c r="Q242" s="125">
        <f t="shared" si="271"/>
        <v>0.995</v>
      </c>
      <c r="R242" s="125">
        <f t="shared" si="271"/>
        <v>0</v>
      </c>
    </row>
    <row r="243" spans="1:18">
      <c r="A243" s="123" t="e">
        <f t="shared" ref="A243" si="275">CONCATENATE("Year-",#REF!)</f>
        <v>#REF!</v>
      </c>
      <c r="B243" s="35">
        <v>51622</v>
      </c>
      <c r="C243" s="26">
        <f t="shared" si="270"/>
        <v>217.9</v>
      </c>
      <c r="D243" s="26">
        <f t="shared" si="270"/>
        <v>221.90023470000006</v>
      </c>
      <c r="E243" s="31">
        <f t="shared" si="260"/>
        <v>61780</v>
      </c>
      <c r="F243" s="124">
        <f t="shared" si="271"/>
        <v>55.437733860726389</v>
      </c>
      <c r="G243" s="125">
        <f t="shared" si="271"/>
        <v>1.7865322950068707E-2</v>
      </c>
      <c r="H243" s="125">
        <f t="shared" si="271"/>
        <v>9.8339999999999997E-2</v>
      </c>
      <c r="I243" s="125">
        <f t="shared" si="271"/>
        <v>0.1306817577748349</v>
      </c>
      <c r="J243" s="125">
        <f t="shared" si="271"/>
        <v>1.609339136491415E-2</v>
      </c>
      <c r="K243" s="125">
        <f t="shared" si="271"/>
        <v>1.525163145425878E-2</v>
      </c>
      <c r="L243" s="125">
        <f t="shared" si="271"/>
        <v>1.5763583972179196E-2</v>
      </c>
      <c r="M243" s="125">
        <f t="shared" si="271"/>
        <v>0</v>
      </c>
      <c r="N243" s="125">
        <f t="shared" si="271"/>
        <v>2.2281870794181511E-2</v>
      </c>
      <c r="O243" s="125">
        <f t="shared" si="271"/>
        <v>1.1198342091846737E-2</v>
      </c>
      <c r="P243" s="125">
        <f t="shared" si="271"/>
        <v>0.995</v>
      </c>
      <c r="Q243" s="125">
        <f t="shared" si="271"/>
        <v>0.995</v>
      </c>
      <c r="R243" s="125">
        <f t="shared" si="271"/>
        <v>0</v>
      </c>
    </row>
    <row r="244" spans="1:18">
      <c r="A244" s="123" t="e">
        <f t="shared" ref="A244" si="276">CONCATENATE("Year-",#REF!)</f>
        <v>#REF!</v>
      </c>
      <c r="B244" s="35">
        <v>51653</v>
      </c>
      <c r="C244" s="26">
        <f t="shared" si="270"/>
        <v>192.8</v>
      </c>
      <c r="D244" s="26">
        <f t="shared" si="270"/>
        <v>200.20089519999999</v>
      </c>
      <c r="E244" s="31">
        <f t="shared" si="260"/>
        <v>53700</v>
      </c>
      <c r="F244" s="124">
        <f t="shared" si="271"/>
        <v>54.658309168315547</v>
      </c>
      <c r="G244" s="125">
        <f t="shared" si="271"/>
        <v>1.914123124676681E-2</v>
      </c>
      <c r="H244" s="125">
        <f t="shared" si="271"/>
        <v>9.8339999999999997E-2</v>
      </c>
      <c r="I244" s="125">
        <f t="shared" si="271"/>
        <v>0.12650723469382591</v>
      </c>
      <c r="J244" s="125">
        <f t="shared" si="271"/>
        <v>1.6398522844759341E-2</v>
      </c>
      <c r="K244" s="125">
        <f t="shared" si="271"/>
        <v>1.3926271600695752E-2</v>
      </c>
      <c r="L244" s="125">
        <f t="shared" si="271"/>
        <v>1.4057661793117321E-2</v>
      </c>
      <c r="M244" s="125">
        <f t="shared" si="271"/>
        <v>0</v>
      </c>
      <c r="N244" s="125">
        <f t="shared" si="271"/>
        <v>2.1677907023400757E-2</v>
      </c>
      <c r="O244" s="125">
        <f t="shared" si="271"/>
        <v>4.051685061336731E-3</v>
      </c>
      <c r="P244" s="125">
        <f t="shared" si="271"/>
        <v>0.995</v>
      </c>
      <c r="Q244" s="125">
        <f t="shared" si="271"/>
        <v>0.995</v>
      </c>
      <c r="R244" s="125">
        <f t="shared" si="271"/>
        <v>0</v>
      </c>
    </row>
    <row r="245" spans="1:18">
      <c r="A245" s="123" t="e">
        <f t="shared" ref="A245" si="277">CONCATENATE("Year-",#REF!)</f>
        <v>#REF!</v>
      </c>
      <c r="B245" s="35">
        <v>51683</v>
      </c>
      <c r="C245" s="26">
        <f t="shared" si="270"/>
        <v>168.9</v>
      </c>
      <c r="D245" s="26">
        <f t="shared" si="270"/>
        <v>173.59972409999992</v>
      </c>
      <c r="E245" s="31">
        <f t="shared" si="260"/>
        <v>49210</v>
      </c>
      <c r="F245" s="124">
        <f t="shared" si="271"/>
        <v>51.564857066184757</v>
      </c>
      <c r="G245" s="125">
        <f t="shared" si="271"/>
        <v>2.1854695806261204E-2</v>
      </c>
      <c r="H245" s="125">
        <f t="shared" si="271"/>
        <v>9.1784000000000004E-2</v>
      </c>
      <c r="I245" s="125">
        <f t="shared" si="271"/>
        <v>0.1089308468990661</v>
      </c>
      <c r="J245" s="125">
        <f t="shared" si="271"/>
        <v>1.5867586262633245E-2</v>
      </c>
      <c r="K245" s="125">
        <f t="shared" si="271"/>
        <v>1.231974144019694E-2</v>
      </c>
      <c r="L245" s="125">
        <f t="shared" si="271"/>
        <v>1.3502102014775261E-2</v>
      </c>
      <c r="M245" s="125">
        <f t="shared" si="271"/>
        <v>0</v>
      </c>
      <c r="N245" s="125">
        <f t="shared" si="271"/>
        <v>2.127320988616644E-2</v>
      </c>
      <c r="O245" s="125">
        <f t="shared" si="271"/>
        <v>1.5557262066246368E-3</v>
      </c>
      <c r="P245" s="125">
        <f t="shared" si="271"/>
        <v>0.995</v>
      </c>
      <c r="Q245" s="125">
        <f t="shared" si="271"/>
        <v>0.995</v>
      </c>
      <c r="R245" s="125">
        <f t="shared" si="271"/>
        <v>0</v>
      </c>
    </row>
    <row r="246" spans="1:18">
      <c r="A246" s="123" t="e">
        <f t="shared" ref="A246" si="278">CONCATENATE("Year-",#REF!)</f>
        <v>#REF!</v>
      </c>
      <c r="B246" s="35">
        <v>51714</v>
      </c>
      <c r="C246" s="26">
        <f t="shared" si="270"/>
        <v>174.2</v>
      </c>
      <c r="D246" s="26">
        <f t="shared" si="270"/>
        <v>172.6001566000001</v>
      </c>
      <c r="E246" s="31">
        <f t="shared" si="260"/>
        <v>50100</v>
      </c>
      <c r="F246" s="124">
        <f t="shared" si="271"/>
        <v>50.336592710430871</v>
      </c>
      <c r="G246" s="125">
        <f t="shared" si="271"/>
        <v>2.0196191575302946E-2</v>
      </c>
      <c r="H246" s="125">
        <f t="shared" si="271"/>
        <v>8.8506000000000001E-2</v>
      </c>
      <c r="I246" s="125">
        <f t="shared" si="271"/>
        <v>0.10494453414747008</v>
      </c>
      <c r="J246" s="125">
        <f t="shared" si="271"/>
        <v>1.507508977611231E-2</v>
      </c>
      <c r="K246" s="125">
        <f t="shared" si="271"/>
        <v>1.2791562311125756E-2</v>
      </c>
      <c r="L246" s="125">
        <f t="shared" si="271"/>
        <v>1.4116403195935955E-2</v>
      </c>
      <c r="M246" s="125">
        <f t="shared" si="271"/>
        <v>0</v>
      </c>
      <c r="N246" s="125">
        <f t="shared" si="271"/>
        <v>2.157456294953386E-2</v>
      </c>
      <c r="O246" s="125">
        <f t="shared" si="271"/>
        <v>6.2818876990405415E-3</v>
      </c>
      <c r="P246" s="125">
        <f t="shared" si="271"/>
        <v>0.995</v>
      </c>
      <c r="Q246" s="125">
        <f t="shared" si="271"/>
        <v>0.995</v>
      </c>
      <c r="R246" s="125">
        <f t="shared" si="271"/>
        <v>0</v>
      </c>
    </row>
    <row r="247" spans="1:18">
      <c r="A247" s="123" t="e">
        <f t="shared" ref="A247" si="279">CONCATENATE("Year-",#REF!)</f>
        <v>#REF!</v>
      </c>
      <c r="B247" s="35">
        <v>51745</v>
      </c>
      <c r="C247" s="26">
        <f t="shared" si="270"/>
        <v>192.1</v>
      </c>
      <c r="D247" s="26">
        <f t="shared" si="270"/>
        <v>178.89930529999984</v>
      </c>
      <c r="E247" s="31">
        <f t="shared" si="260"/>
        <v>52760</v>
      </c>
      <c r="F247" s="124">
        <f t="shared" si="271"/>
        <v>52.25059433997491</v>
      </c>
      <c r="G247" s="125">
        <f t="shared" si="271"/>
        <v>1.7196456487754141E-2</v>
      </c>
      <c r="H247" s="125">
        <f t="shared" si="271"/>
        <v>8.5227999999999998E-2</v>
      </c>
      <c r="I247" s="125">
        <f t="shared" si="271"/>
        <v>0.11387126505657014</v>
      </c>
      <c r="J247" s="125">
        <f t="shared" si="271"/>
        <v>1.3959618092500629E-2</v>
      </c>
      <c r="K247" s="125">
        <f t="shared" si="271"/>
        <v>1.4531255376132731E-2</v>
      </c>
      <c r="L247" s="125">
        <f t="shared" si="271"/>
        <v>1.4478833500810966E-2</v>
      </c>
      <c r="M247" s="125">
        <f t="shared" si="271"/>
        <v>0</v>
      </c>
      <c r="N247" s="125">
        <f t="shared" si="271"/>
        <v>2.2473527643153385E-2</v>
      </c>
      <c r="O247" s="125">
        <f t="shared" si="271"/>
        <v>1.1388926338936924E-2</v>
      </c>
      <c r="P247" s="125">
        <f t="shared" si="271"/>
        <v>0.995</v>
      </c>
      <c r="Q247" s="125">
        <f t="shared" si="271"/>
        <v>0.995</v>
      </c>
      <c r="R247" s="125">
        <f t="shared" si="271"/>
        <v>0</v>
      </c>
    </row>
    <row r="248" spans="1:18">
      <c r="A248" s="123" t="e">
        <f t="shared" ref="A248" si="280">CONCATENATE("Year-",#REF!)</f>
        <v>#REF!</v>
      </c>
      <c r="B248" s="35">
        <v>51775</v>
      </c>
      <c r="C248" s="26">
        <f t="shared" si="270"/>
        <v>202.3</v>
      </c>
      <c r="D248" s="26">
        <f t="shared" si="270"/>
        <v>174.60082279999986</v>
      </c>
      <c r="E248" s="31">
        <f t="shared" si="260"/>
        <v>57190</v>
      </c>
      <c r="F248" s="124">
        <f t="shared" si="271"/>
        <v>49.723937837075084</v>
      </c>
      <c r="G248" s="125">
        <f t="shared" si="271"/>
        <v>1.5873015873015817E-2</v>
      </c>
      <c r="H248" s="125">
        <f t="shared" si="271"/>
        <v>8.8506000000000001E-2</v>
      </c>
      <c r="I248" s="125">
        <f t="shared" si="271"/>
        <v>0.10390722673430232</v>
      </c>
      <c r="J248" s="125">
        <f t="shared" si="271"/>
        <v>1.4040704754284353E-2</v>
      </c>
      <c r="K248" s="125">
        <f t="shared" si="271"/>
        <v>1.526389492868482E-2</v>
      </c>
      <c r="L248" s="125">
        <f t="shared" si="271"/>
        <v>1.5324069649683622E-2</v>
      </c>
      <c r="M248" s="125">
        <f t="shared" si="271"/>
        <v>0</v>
      </c>
      <c r="N248" s="125">
        <f t="shared" si="271"/>
        <v>2.3043103417804571E-2</v>
      </c>
      <c r="O248" s="125">
        <f t="shared" si="271"/>
        <v>2.1184397869334348E-2</v>
      </c>
      <c r="P248" s="125">
        <f t="shared" si="271"/>
        <v>0.995</v>
      </c>
      <c r="Q248" s="125">
        <f t="shared" si="271"/>
        <v>0.995</v>
      </c>
      <c r="R248" s="125">
        <f t="shared" si="271"/>
        <v>0</v>
      </c>
    </row>
    <row r="249" spans="1:18">
      <c r="A249" s="123" t="e">
        <f t="shared" ref="A249" si="281">CONCATENATE("Year-",#REF!)</f>
        <v>#REF!</v>
      </c>
      <c r="B249" s="35">
        <v>51806</v>
      </c>
      <c r="C249" s="26">
        <f t="shared" si="270"/>
        <v>162.9</v>
      </c>
      <c r="D249" s="26">
        <f t="shared" si="270"/>
        <v>133.69942049999997</v>
      </c>
      <c r="E249" s="31">
        <f t="shared" si="260"/>
        <v>46900</v>
      </c>
      <c r="F249" s="124">
        <f t="shared" si="271"/>
        <v>42.187120547750681</v>
      </c>
      <c r="G249" s="125">
        <f t="shared" si="271"/>
        <v>1.5950920245398792E-2</v>
      </c>
      <c r="H249" s="125">
        <f t="shared" si="271"/>
        <v>8.8506000000000001E-2</v>
      </c>
      <c r="I249" s="125">
        <f t="shared" si="271"/>
        <v>6.9024239591701744E-2</v>
      </c>
      <c r="J249" s="125">
        <f t="shared" si="271"/>
        <v>1.4204952105287192E-2</v>
      </c>
      <c r="K249" s="125">
        <f t="shared" si="271"/>
        <v>1.3252885058363056E-2</v>
      </c>
      <c r="L249" s="125">
        <f t="shared" si="271"/>
        <v>1.3980442883231779E-2</v>
      </c>
      <c r="M249" s="125">
        <f t="shared" si="271"/>
        <v>0</v>
      </c>
      <c r="N249" s="125">
        <f t="shared" si="271"/>
        <v>2.30208488716231E-2</v>
      </c>
      <c r="O249" s="125">
        <f t="shared" si="271"/>
        <v>8.3479094998109554E-3</v>
      </c>
      <c r="P249" s="125">
        <f t="shared" si="271"/>
        <v>0.995</v>
      </c>
      <c r="Q249" s="125">
        <f t="shared" si="271"/>
        <v>0.995</v>
      </c>
      <c r="R249" s="125">
        <f t="shared" si="271"/>
        <v>0</v>
      </c>
    </row>
    <row r="250" spans="1:18">
      <c r="A250" s="123" t="e">
        <f t="shared" ref="A250" si="282">CONCATENATE("Year-",#REF!)</f>
        <v>#REF!</v>
      </c>
      <c r="B250" s="35">
        <v>51836</v>
      </c>
      <c r="C250" s="26">
        <f t="shared" si="270"/>
        <v>158.6</v>
      </c>
      <c r="D250" s="26">
        <f t="shared" si="270"/>
        <v>124.40004220000003</v>
      </c>
      <c r="E250" s="31">
        <f t="shared" si="260"/>
        <v>48280</v>
      </c>
      <c r="F250" s="124">
        <f t="shared" si="271"/>
        <v>36.076939444156181</v>
      </c>
      <c r="G250" s="125">
        <f t="shared" si="271"/>
        <v>1.5802781289506962E-2</v>
      </c>
      <c r="H250" s="125">
        <f t="shared" si="271"/>
        <v>8.8506000000000001E-2</v>
      </c>
      <c r="I250" s="125">
        <f t="shared" si="271"/>
        <v>4.4787946264861052E-2</v>
      </c>
      <c r="J250" s="125">
        <f t="shared" si="271"/>
        <v>1.4140595613406415E-2</v>
      </c>
      <c r="K250" s="125">
        <f t="shared" si="271"/>
        <v>1.2367081056294736E-2</v>
      </c>
      <c r="L250" s="125">
        <f t="shared" si="271"/>
        <v>1.3960975699298588E-2</v>
      </c>
      <c r="M250" s="125">
        <f t="shared" si="271"/>
        <v>0</v>
      </c>
      <c r="N250" s="125">
        <f t="shared" si="271"/>
        <v>2.3055036005913448E-2</v>
      </c>
      <c r="O250" s="125">
        <f t="shared" si="271"/>
        <v>3.6978876304825567E-3</v>
      </c>
      <c r="P250" s="125">
        <f t="shared" si="271"/>
        <v>0.995</v>
      </c>
      <c r="Q250" s="125">
        <f t="shared" si="271"/>
        <v>0.995</v>
      </c>
      <c r="R250" s="125">
        <f t="shared" si="271"/>
        <v>0</v>
      </c>
    </row>
    <row r="251" spans="1:18">
      <c r="A251" s="123" t="e">
        <f t="shared" ref="A251" si="283">CONCATENATE("Year-",#REF!)</f>
        <v>#REF!</v>
      </c>
      <c r="B251" s="35">
        <v>51867</v>
      </c>
      <c r="C251" s="26">
        <f t="shared" si="270"/>
        <v>169.028549</v>
      </c>
      <c r="D251" s="26">
        <f t="shared" si="270"/>
        <v>133.89933939999995</v>
      </c>
      <c r="E251" s="31">
        <f t="shared" si="260"/>
        <v>51260</v>
      </c>
      <c r="F251" s="124">
        <f t="shared" si="271"/>
        <v>34.970332119021293</v>
      </c>
      <c r="G251" s="125">
        <f t="shared" si="271"/>
        <v>1.7200474495848161E-2</v>
      </c>
      <c r="H251" s="125">
        <f t="shared" si="271"/>
        <v>8.8506000000000001E-2</v>
      </c>
      <c r="I251" s="125">
        <f t="shared" si="271"/>
        <v>4.0029940128316385E-2</v>
      </c>
      <c r="J251" s="125">
        <f t="shared" si="271"/>
        <v>1.4099625889623608E-2</v>
      </c>
      <c r="K251" s="125">
        <f t="shared" si="271"/>
        <v>1.267725762135744E-2</v>
      </c>
      <c r="L251" s="125">
        <f t="shared" si="271"/>
        <v>1.390175346828215E-2</v>
      </c>
      <c r="M251" s="125">
        <f t="shared" si="271"/>
        <v>0</v>
      </c>
      <c r="N251" s="125">
        <f t="shared" si="271"/>
        <v>2.298066658515029E-2</v>
      </c>
      <c r="O251" s="125">
        <f t="shared" si="271"/>
        <v>1.0644897972798715E-2</v>
      </c>
      <c r="P251" s="125">
        <f t="shared" si="271"/>
        <v>0.995</v>
      </c>
      <c r="Q251" s="125">
        <f t="shared" si="271"/>
        <v>0.995</v>
      </c>
      <c r="R251" s="125">
        <f t="shared" si="271"/>
        <v>0</v>
      </c>
    </row>
    <row r="252" spans="1:18">
      <c r="A252" s="123" t="e">
        <f t="shared" ref="A252" si="284">CONCATENATE("Year-",#REF!)</f>
        <v>#REF!</v>
      </c>
      <c r="B252" s="35">
        <v>51898</v>
      </c>
      <c r="C252" s="26">
        <f t="shared" si="270"/>
        <v>172.55912190000004</v>
      </c>
      <c r="D252" s="26">
        <f t="shared" si="270"/>
        <v>145.40077080000009</v>
      </c>
      <c r="E252" s="31">
        <f t="shared" si="260"/>
        <v>47290</v>
      </c>
      <c r="F252" s="124">
        <f t="shared" si="271"/>
        <v>40.252096455972236</v>
      </c>
      <c r="G252" s="125">
        <f t="shared" si="271"/>
        <v>1.510749564206848E-2</v>
      </c>
      <c r="H252" s="125">
        <f t="shared" si="271"/>
        <v>8.8506000000000001E-2</v>
      </c>
      <c r="I252" s="125">
        <f t="shared" si="271"/>
        <v>6.2111013936519133E-2</v>
      </c>
      <c r="J252" s="125">
        <f t="shared" si="271"/>
        <v>1.4175439055030284E-2</v>
      </c>
      <c r="K252" s="125">
        <f t="shared" si="271"/>
        <v>1.4384371816049681E-2</v>
      </c>
      <c r="L252" s="125">
        <f t="shared" si="271"/>
        <v>1.5915736744616871E-2</v>
      </c>
      <c r="M252" s="125">
        <f t="shared" si="271"/>
        <v>0</v>
      </c>
      <c r="N252" s="125">
        <f t="shared" si="271"/>
        <v>2.3268144471779773E-2</v>
      </c>
      <c r="O252" s="125">
        <f t="shared" si="271"/>
        <v>2.5052142565085967E-2</v>
      </c>
      <c r="P252" s="125">
        <f t="shared" si="271"/>
        <v>0.995</v>
      </c>
      <c r="Q252" s="125">
        <f t="shared" si="271"/>
        <v>0.995</v>
      </c>
      <c r="R252" s="125">
        <f t="shared" si="271"/>
        <v>0</v>
      </c>
    </row>
    <row r="253" spans="1:18">
      <c r="A253" s="123" t="e">
        <f t="shared" ref="A253" si="285">CONCATENATE("Year-",#REF!)</f>
        <v>#REF!</v>
      </c>
      <c r="B253" s="35">
        <v>51926</v>
      </c>
      <c r="C253" s="26">
        <f t="shared" si="270"/>
        <v>215.74576700000009</v>
      </c>
      <c r="D253" s="26">
        <f t="shared" si="270"/>
        <v>195.59891570000002</v>
      </c>
      <c r="E253" s="31">
        <f t="shared" si="260"/>
        <v>60510</v>
      </c>
      <c r="F253" s="124">
        <f t="shared" si="271"/>
        <v>47.179622377374095</v>
      </c>
      <c r="G253" s="125">
        <f t="shared" si="271"/>
        <v>1.5306122448979553E-2</v>
      </c>
      <c r="H253" s="125">
        <f t="shared" si="271"/>
        <v>9.1784000000000004E-2</v>
      </c>
      <c r="I253" s="125">
        <f t="shared" si="271"/>
        <v>9.4419706369976972E-2</v>
      </c>
      <c r="J253" s="125">
        <f t="shared" si="271"/>
        <v>1.4644787078611174E-2</v>
      </c>
      <c r="K253" s="125">
        <f t="shared" si="271"/>
        <v>1.6212630268737406E-2</v>
      </c>
      <c r="L253" s="125">
        <f t="shared" si="271"/>
        <v>2.0718676035686345E-2</v>
      </c>
      <c r="M253" s="125">
        <f t="shared" si="271"/>
        <v>0</v>
      </c>
      <c r="N253" s="125">
        <f t="shared" si="271"/>
        <v>2.3247057021314733E-2</v>
      </c>
      <c r="O253" s="125">
        <f t="shared" si="271"/>
        <v>3.9222124133286969E-2</v>
      </c>
      <c r="P253" s="125">
        <f t="shared" si="271"/>
        <v>0.995</v>
      </c>
      <c r="Q253" s="125">
        <f t="shared" si="271"/>
        <v>0.995</v>
      </c>
      <c r="R253" s="125">
        <f t="shared" si="271"/>
        <v>0</v>
      </c>
    </row>
    <row r="254" spans="1:18">
      <c r="A254" s="123" t="e">
        <f t="shared" ref="A254" si="286">CONCATENATE("Year-",#REF!)</f>
        <v>#REF!</v>
      </c>
      <c r="B254" s="35">
        <v>51957</v>
      </c>
      <c r="C254" s="26">
        <f t="shared" si="270"/>
        <v>215.9</v>
      </c>
      <c r="D254" s="26">
        <f t="shared" si="270"/>
        <v>208.99969899999999</v>
      </c>
      <c r="E254" s="31">
        <f t="shared" si="260"/>
        <v>58630</v>
      </c>
      <c r="F254" s="124">
        <f t="shared" si="271"/>
        <v>52.296499350965128</v>
      </c>
      <c r="G254" s="125">
        <f t="shared" si="271"/>
        <v>1.6658954187875996E-2</v>
      </c>
      <c r="H254" s="125">
        <f t="shared" si="271"/>
        <v>9.5061999999999994E-2</v>
      </c>
      <c r="I254" s="125">
        <f t="shared" si="271"/>
        <v>0.11719199751057031</v>
      </c>
      <c r="J254" s="125">
        <f t="shared" si="271"/>
        <v>1.5231272154623582E-2</v>
      </c>
      <c r="K254" s="125">
        <f t="shared" si="271"/>
        <v>1.6110689006976781E-2</v>
      </c>
      <c r="L254" s="125">
        <f t="shared" si="271"/>
        <v>1.8633277773980331E-2</v>
      </c>
      <c r="M254" s="125">
        <f t="shared" si="271"/>
        <v>0</v>
      </c>
      <c r="N254" s="125">
        <f t="shared" si="271"/>
        <v>2.2802418781094937E-2</v>
      </c>
      <c r="O254" s="125">
        <f t="shared" si="271"/>
        <v>2.7995485693316467E-2</v>
      </c>
      <c r="P254" s="125">
        <f t="shared" si="271"/>
        <v>0.995</v>
      </c>
      <c r="Q254" s="125">
        <f t="shared" si="271"/>
        <v>0.995</v>
      </c>
      <c r="R254" s="125">
        <f t="shared" si="271"/>
        <v>0</v>
      </c>
    </row>
    <row r="255" spans="1:18">
      <c r="A255" s="123" t="e">
        <f t="shared" ref="A255" si="287">CONCATENATE("Year-",#REF!)</f>
        <v>#REF!</v>
      </c>
      <c r="B255" s="35">
        <v>51987</v>
      </c>
      <c r="C255" s="26">
        <f t="shared" ref="C255:D270" si="288">C243</f>
        <v>217.9</v>
      </c>
      <c r="D255" s="26">
        <f t="shared" si="288"/>
        <v>221.90023470000006</v>
      </c>
      <c r="E255" s="31">
        <f t="shared" si="260"/>
        <v>61780</v>
      </c>
      <c r="F255" s="124">
        <f t="shared" ref="F255:R270" si="289">F243</f>
        <v>55.437733860726389</v>
      </c>
      <c r="G255" s="125">
        <f t="shared" si="289"/>
        <v>1.7865322950068707E-2</v>
      </c>
      <c r="H255" s="125">
        <f t="shared" si="289"/>
        <v>9.8339999999999997E-2</v>
      </c>
      <c r="I255" s="125">
        <f t="shared" si="289"/>
        <v>0.1306817577748349</v>
      </c>
      <c r="J255" s="125">
        <f t="shared" si="289"/>
        <v>1.609339136491415E-2</v>
      </c>
      <c r="K255" s="125">
        <f t="shared" si="289"/>
        <v>1.525163145425878E-2</v>
      </c>
      <c r="L255" s="125">
        <f t="shared" si="289"/>
        <v>1.5763583972179196E-2</v>
      </c>
      <c r="M255" s="125">
        <f t="shared" si="289"/>
        <v>0</v>
      </c>
      <c r="N255" s="125">
        <f t="shared" si="289"/>
        <v>2.2281870794181511E-2</v>
      </c>
      <c r="O255" s="125">
        <f t="shared" si="289"/>
        <v>1.1198342091846737E-2</v>
      </c>
      <c r="P255" s="125">
        <f t="shared" si="289"/>
        <v>0.995</v>
      </c>
      <c r="Q255" s="125">
        <f t="shared" si="289"/>
        <v>0.995</v>
      </c>
      <c r="R255" s="125">
        <f t="shared" si="289"/>
        <v>0</v>
      </c>
    </row>
    <row r="256" spans="1:18">
      <c r="A256" s="123" t="e">
        <f t="shared" ref="A256" si="290">CONCATENATE("Year-",#REF!)</f>
        <v>#REF!</v>
      </c>
      <c r="B256" s="35">
        <v>52018</v>
      </c>
      <c r="C256" s="26">
        <f t="shared" si="288"/>
        <v>192.8</v>
      </c>
      <c r="D256" s="26">
        <f t="shared" si="288"/>
        <v>200.20089519999999</v>
      </c>
      <c r="E256" s="31">
        <f t="shared" si="260"/>
        <v>53700</v>
      </c>
      <c r="F256" s="124">
        <f t="shared" si="289"/>
        <v>54.658309168315547</v>
      </c>
      <c r="G256" s="125">
        <f t="shared" si="289"/>
        <v>1.914123124676681E-2</v>
      </c>
      <c r="H256" s="125">
        <f t="shared" si="289"/>
        <v>9.8339999999999997E-2</v>
      </c>
      <c r="I256" s="125">
        <f t="shared" si="289"/>
        <v>0.12650723469382591</v>
      </c>
      <c r="J256" s="125">
        <f t="shared" si="289"/>
        <v>1.6398522844759341E-2</v>
      </c>
      <c r="K256" s="125">
        <f t="shared" si="289"/>
        <v>1.3926271600695752E-2</v>
      </c>
      <c r="L256" s="125">
        <f t="shared" si="289"/>
        <v>1.4057661793117321E-2</v>
      </c>
      <c r="M256" s="125">
        <f t="shared" si="289"/>
        <v>0</v>
      </c>
      <c r="N256" s="125">
        <f t="shared" si="289"/>
        <v>2.1677907023400757E-2</v>
      </c>
      <c r="O256" s="125">
        <f t="shared" si="289"/>
        <v>4.051685061336731E-3</v>
      </c>
      <c r="P256" s="125">
        <f t="shared" si="289"/>
        <v>0.995</v>
      </c>
      <c r="Q256" s="125">
        <f t="shared" si="289"/>
        <v>0.995</v>
      </c>
      <c r="R256" s="125">
        <f t="shared" si="289"/>
        <v>0</v>
      </c>
    </row>
    <row r="257" spans="1:18">
      <c r="A257" s="123" t="e">
        <f t="shared" ref="A257" si="291">CONCATENATE("Year-",#REF!)</f>
        <v>#REF!</v>
      </c>
      <c r="B257" s="35">
        <v>52048</v>
      </c>
      <c r="C257" s="26">
        <f t="shared" si="288"/>
        <v>168.9</v>
      </c>
      <c r="D257" s="26">
        <f t="shared" si="288"/>
        <v>173.59972409999992</v>
      </c>
      <c r="E257" s="31">
        <f t="shared" si="260"/>
        <v>49210</v>
      </c>
      <c r="F257" s="124">
        <f t="shared" si="289"/>
        <v>51.564857066184757</v>
      </c>
      <c r="G257" s="125">
        <f t="shared" si="289"/>
        <v>2.1854695806261204E-2</v>
      </c>
      <c r="H257" s="125">
        <f t="shared" si="289"/>
        <v>9.1784000000000004E-2</v>
      </c>
      <c r="I257" s="125">
        <f t="shared" si="289"/>
        <v>0.1089308468990661</v>
      </c>
      <c r="J257" s="125">
        <f t="shared" si="289"/>
        <v>1.5867586262633245E-2</v>
      </c>
      <c r="K257" s="125">
        <f t="shared" si="289"/>
        <v>1.231974144019694E-2</v>
      </c>
      <c r="L257" s="125">
        <f t="shared" si="289"/>
        <v>1.3502102014775261E-2</v>
      </c>
      <c r="M257" s="125">
        <f t="shared" si="289"/>
        <v>0</v>
      </c>
      <c r="N257" s="125">
        <f t="shared" si="289"/>
        <v>2.127320988616644E-2</v>
      </c>
      <c r="O257" s="125">
        <f t="shared" si="289"/>
        <v>1.5557262066246368E-3</v>
      </c>
      <c r="P257" s="125">
        <f t="shared" si="289"/>
        <v>0.995</v>
      </c>
      <c r="Q257" s="125">
        <f t="shared" si="289"/>
        <v>0.995</v>
      </c>
      <c r="R257" s="125">
        <f t="shared" si="289"/>
        <v>0</v>
      </c>
    </row>
    <row r="258" spans="1:18">
      <c r="A258" s="123" t="e">
        <f t="shared" ref="A258" si="292">CONCATENATE("Year-",#REF!)</f>
        <v>#REF!</v>
      </c>
      <c r="B258" s="35">
        <v>52079</v>
      </c>
      <c r="C258" s="26">
        <f t="shared" si="288"/>
        <v>174.2</v>
      </c>
      <c r="D258" s="26">
        <f t="shared" si="288"/>
        <v>172.6001566000001</v>
      </c>
      <c r="E258" s="31">
        <f t="shared" si="260"/>
        <v>50100</v>
      </c>
      <c r="F258" s="124">
        <f t="shared" si="289"/>
        <v>50.336592710430871</v>
      </c>
      <c r="G258" s="125">
        <f t="shared" si="289"/>
        <v>2.0196191575302946E-2</v>
      </c>
      <c r="H258" s="125">
        <f t="shared" si="289"/>
        <v>8.8506000000000001E-2</v>
      </c>
      <c r="I258" s="125">
        <f t="shared" si="289"/>
        <v>0.10494453414747008</v>
      </c>
      <c r="J258" s="125">
        <f t="shared" si="289"/>
        <v>1.507508977611231E-2</v>
      </c>
      <c r="K258" s="125">
        <f t="shared" si="289"/>
        <v>1.2791562311125756E-2</v>
      </c>
      <c r="L258" s="125">
        <f t="shared" si="289"/>
        <v>1.4116403195935955E-2</v>
      </c>
      <c r="M258" s="125">
        <f t="shared" si="289"/>
        <v>0</v>
      </c>
      <c r="N258" s="125">
        <f t="shared" si="289"/>
        <v>2.157456294953386E-2</v>
      </c>
      <c r="O258" s="125">
        <f t="shared" si="289"/>
        <v>6.2818876990405415E-3</v>
      </c>
      <c r="P258" s="125">
        <f t="shared" si="289"/>
        <v>0.995</v>
      </c>
      <c r="Q258" s="125">
        <f t="shared" si="289"/>
        <v>0.995</v>
      </c>
      <c r="R258" s="125">
        <f t="shared" si="289"/>
        <v>0</v>
      </c>
    </row>
    <row r="259" spans="1:18">
      <c r="A259" s="123" t="e">
        <f t="shared" ref="A259" si="293">CONCATENATE("Year-",#REF!)</f>
        <v>#REF!</v>
      </c>
      <c r="B259" s="35">
        <v>52110</v>
      </c>
      <c r="C259" s="26">
        <f t="shared" si="288"/>
        <v>192.1</v>
      </c>
      <c r="D259" s="26">
        <f t="shared" si="288"/>
        <v>178.89930529999984</v>
      </c>
      <c r="E259" s="31">
        <f t="shared" si="260"/>
        <v>52760</v>
      </c>
      <c r="F259" s="124">
        <f t="shared" si="289"/>
        <v>52.25059433997491</v>
      </c>
      <c r="G259" s="125">
        <f t="shared" si="289"/>
        <v>1.7196456487754141E-2</v>
      </c>
      <c r="H259" s="125">
        <f t="shared" si="289"/>
        <v>8.5227999999999998E-2</v>
      </c>
      <c r="I259" s="125">
        <f t="shared" si="289"/>
        <v>0.11387126505657014</v>
      </c>
      <c r="J259" s="125">
        <f t="shared" si="289"/>
        <v>1.3959618092500629E-2</v>
      </c>
      <c r="K259" s="125">
        <f t="shared" si="289"/>
        <v>1.4531255376132731E-2</v>
      </c>
      <c r="L259" s="125">
        <f t="shared" si="289"/>
        <v>1.4478833500810966E-2</v>
      </c>
      <c r="M259" s="125">
        <f t="shared" si="289"/>
        <v>0</v>
      </c>
      <c r="N259" s="125">
        <f t="shared" si="289"/>
        <v>2.2473527643153385E-2</v>
      </c>
      <c r="O259" s="125">
        <f t="shared" si="289"/>
        <v>1.1388926338936924E-2</v>
      </c>
      <c r="P259" s="125">
        <f t="shared" si="289"/>
        <v>0.995</v>
      </c>
      <c r="Q259" s="125">
        <f t="shared" si="289"/>
        <v>0.995</v>
      </c>
      <c r="R259" s="125">
        <f t="shared" si="289"/>
        <v>0</v>
      </c>
    </row>
    <row r="260" spans="1:18">
      <c r="A260" s="123" t="e">
        <f t="shared" ref="A260" si="294">CONCATENATE("Year-",#REF!)</f>
        <v>#REF!</v>
      </c>
      <c r="B260" s="35">
        <v>52140</v>
      </c>
      <c r="C260" s="26">
        <f t="shared" si="288"/>
        <v>202.3</v>
      </c>
      <c r="D260" s="26">
        <f t="shared" si="288"/>
        <v>174.60082279999986</v>
      </c>
      <c r="E260" s="31">
        <f t="shared" si="260"/>
        <v>57190</v>
      </c>
      <c r="F260" s="124">
        <f t="shared" si="289"/>
        <v>49.723937837075084</v>
      </c>
      <c r="G260" s="125">
        <f t="shared" si="289"/>
        <v>1.5873015873015817E-2</v>
      </c>
      <c r="H260" s="125">
        <f t="shared" si="289"/>
        <v>8.8506000000000001E-2</v>
      </c>
      <c r="I260" s="125">
        <f t="shared" si="289"/>
        <v>0.10390722673430232</v>
      </c>
      <c r="J260" s="125">
        <f t="shared" si="289"/>
        <v>1.4040704754284353E-2</v>
      </c>
      <c r="K260" s="125">
        <f t="shared" si="289"/>
        <v>1.526389492868482E-2</v>
      </c>
      <c r="L260" s="125">
        <f t="shared" si="289"/>
        <v>1.5324069649683622E-2</v>
      </c>
      <c r="M260" s="125">
        <f t="shared" si="289"/>
        <v>0</v>
      </c>
      <c r="N260" s="125">
        <f t="shared" si="289"/>
        <v>2.3043103417804571E-2</v>
      </c>
      <c r="O260" s="125">
        <f t="shared" si="289"/>
        <v>2.1184397869334348E-2</v>
      </c>
      <c r="P260" s="125">
        <f t="shared" si="289"/>
        <v>0.995</v>
      </c>
      <c r="Q260" s="125">
        <f t="shared" si="289"/>
        <v>0.995</v>
      </c>
      <c r="R260" s="125">
        <f t="shared" si="289"/>
        <v>0</v>
      </c>
    </row>
    <row r="261" spans="1:18">
      <c r="A261" s="123" t="e">
        <f t="shared" ref="A261" si="295">CONCATENATE("Year-",#REF!)</f>
        <v>#REF!</v>
      </c>
      <c r="B261" s="35">
        <v>52171</v>
      </c>
      <c r="C261" s="26">
        <f t="shared" si="288"/>
        <v>162.9</v>
      </c>
      <c r="D261" s="26">
        <f t="shared" si="288"/>
        <v>133.69942049999997</v>
      </c>
      <c r="E261" s="31">
        <f t="shared" si="260"/>
        <v>46900</v>
      </c>
      <c r="F261" s="124">
        <f t="shared" si="289"/>
        <v>42.187120547750681</v>
      </c>
      <c r="G261" s="125">
        <f t="shared" si="289"/>
        <v>1.5950920245398792E-2</v>
      </c>
      <c r="H261" s="125">
        <f t="shared" si="289"/>
        <v>8.8506000000000001E-2</v>
      </c>
      <c r="I261" s="125">
        <f t="shared" si="289"/>
        <v>6.9024239591701744E-2</v>
      </c>
      <c r="J261" s="125">
        <f t="shared" si="289"/>
        <v>1.4204952105287192E-2</v>
      </c>
      <c r="K261" s="125">
        <f t="shared" si="289"/>
        <v>1.3252885058363056E-2</v>
      </c>
      <c r="L261" s="125">
        <f t="shared" si="289"/>
        <v>1.3980442883231779E-2</v>
      </c>
      <c r="M261" s="125">
        <f t="shared" si="289"/>
        <v>0</v>
      </c>
      <c r="N261" s="125">
        <f t="shared" si="289"/>
        <v>2.30208488716231E-2</v>
      </c>
      <c r="O261" s="125">
        <f t="shared" si="289"/>
        <v>8.3479094998109554E-3</v>
      </c>
      <c r="P261" s="125">
        <f t="shared" si="289"/>
        <v>0.995</v>
      </c>
      <c r="Q261" s="125">
        <f t="shared" si="289"/>
        <v>0.995</v>
      </c>
      <c r="R261" s="125">
        <f t="shared" si="289"/>
        <v>0</v>
      </c>
    </row>
    <row r="262" spans="1:18">
      <c r="A262" s="123" t="e">
        <f t="shared" ref="A262" si="296">CONCATENATE("Year-",#REF!)</f>
        <v>#REF!</v>
      </c>
      <c r="B262" s="35">
        <v>52201</v>
      </c>
      <c r="C262" s="26">
        <f t="shared" si="288"/>
        <v>158.6</v>
      </c>
      <c r="D262" s="26">
        <f t="shared" si="288"/>
        <v>124.40004220000003</v>
      </c>
      <c r="E262" s="31">
        <f t="shared" si="260"/>
        <v>48280</v>
      </c>
      <c r="F262" s="124">
        <f t="shared" si="289"/>
        <v>36.076939444156181</v>
      </c>
      <c r="G262" s="125">
        <f t="shared" si="289"/>
        <v>1.5802781289506962E-2</v>
      </c>
      <c r="H262" s="125">
        <f t="shared" si="289"/>
        <v>8.8506000000000001E-2</v>
      </c>
      <c r="I262" s="125">
        <f t="shared" si="289"/>
        <v>4.4787946264861052E-2</v>
      </c>
      <c r="J262" s="125">
        <f t="shared" si="289"/>
        <v>1.4140595613406415E-2</v>
      </c>
      <c r="K262" s="125">
        <f t="shared" si="289"/>
        <v>1.2367081056294736E-2</v>
      </c>
      <c r="L262" s="125">
        <f t="shared" si="289"/>
        <v>1.3960975699298588E-2</v>
      </c>
      <c r="M262" s="125">
        <f t="shared" si="289"/>
        <v>0</v>
      </c>
      <c r="N262" s="125">
        <f t="shared" si="289"/>
        <v>2.3055036005913448E-2</v>
      </c>
      <c r="O262" s="125">
        <f t="shared" si="289"/>
        <v>3.6978876304825567E-3</v>
      </c>
      <c r="P262" s="125">
        <f t="shared" si="289"/>
        <v>0.995</v>
      </c>
      <c r="Q262" s="125">
        <f t="shared" si="289"/>
        <v>0.995</v>
      </c>
      <c r="R262" s="125">
        <f t="shared" si="289"/>
        <v>0</v>
      </c>
    </row>
    <row r="263" spans="1:18">
      <c r="A263" s="123" t="e">
        <f t="shared" ref="A263" si="297">CONCATENATE("Year-",#REF!)</f>
        <v>#REF!</v>
      </c>
      <c r="B263" s="35">
        <v>52232</v>
      </c>
      <c r="C263" s="26">
        <f t="shared" si="288"/>
        <v>169.028549</v>
      </c>
      <c r="D263" s="26">
        <f t="shared" si="288"/>
        <v>133.89933939999995</v>
      </c>
      <c r="E263" s="31">
        <f t="shared" si="260"/>
        <v>51260</v>
      </c>
      <c r="F263" s="124">
        <f t="shared" si="289"/>
        <v>34.970332119021293</v>
      </c>
      <c r="G263" s="125">
        <f t="shared" si="289"/>
        <v>1.7200474495848161E-2</v>
      </c>
      <c r="H263" s="125">
        <f t="shared" si="289"/>
        <v>8.8506000000000001E-2</v>
      </c>
      <c r="I263" s="125">
        <f t="shared" si="289"/>
        <v>4.0029940128316385E-2</v>
      </c>
      <c r="J263" s="125">
        <f t="shared" si="289"/>
        <v>1.4099625889623608E-2</v>
      </c>
      <c r="K263" s="125">
        <f t="shared" si="289"/>
        <v>1.267725762135744E-2</v>
      </c>
      <c r="L263" s="125">
        <f t="shared" si="289"/>
        <v>1.390175346828215E-2</v>
      </c>
      <c r="M263" s="125">
        <f t="shared" si="289"/>
        <v>0</v>
      </c>
      <c r="N263" s="125">
        <f t="shared" si="289"/>
        <v>2.298066658515029E-2</v>
      </c>
      <c r="O263" s="125">
        <f t="shared" si="289"/>
        <v>1.0644897972798715E-2</v>
      </c>
      <c r="P263" s="125">
        <f t="shared" si="289"/>
        <v>0.995</v>
      </c>
      <c r="Q263" s="125">
        <f t="shared" si="289"/>
        <v>0.995</v>
      </c>
      <c r="R263" s="125">
        <f t="shared" si="289"/>
        <v>0</v>
      </c>
    </row>
    <row r="264" spans="1:18">
      <c r="A264" s="123" t="e">
        <f t="shared" ref="A264" si="298">CONCATENATE("Year-",#REF!)</f>
        <v>#REF!</v>
      </c>
      <c r="B264" s="35">
        <v>52263</v>
      </c>
      <c r="C264" s="26">
        <f t="shared" si="288"/>
        <v>172.55912190000004</v>
      </c>
      <c r="D264" s="26">
        <f t="shared" si="288"/>
        <v>145.40077080000009</v>
      </c>
      <c r="E264" s="31">
        <f t="shared" si="260"/>
        <v>47290</v>
      </c>
      <c r="F264" s="124">
        <f t="shared" si="289"/>
        <v>40.252096455972236</v>
      </c>
      <c r="G264" s="125">
        <f t="shared" si="289"/>
        <v>1.510749564206848E-2</v>
      </c>
      <c r="H264" s="125">
        <f t="shared" si="289"/>
        <v>8.8506000000000001E-2</v>
      </c>
      <c r="I264" s="125">
        <f t="shared" si="289"/>
        <v>6.2111013936519133E-2</v>
      </c>
      <c r="J264" s="125">
        <f t="shared" si="289"/>
        <v>1.4175439055030284E-2</v>
      </c>
      <c r="K264" s="125">
        <f t="shared" si="289"/>
        <v>1.4384371816049681E-2</v>
      </c>
      <c r="L264" s="125">
        <f t="shared" si="289"/>
        <v>1.5915736744616871E-2</v>
      </c>
      <c r="M264" s="125">
        <f t="shared" si="289"/>
        <v>0</v>
      </c>
      <c r="N264" s="125">
        <f t="shared" si="289"/>
        <v>2.3268144471779773E-2</v>
      </c>
      <c r="O264" s="125">
        <f t="shared" si="289"/>
        <v>2.5052142565085967E-2</v>
      </c>
      <c r="P264" s="125">
        <f t="shared" si="289"/>
        <v>0.995</v>
      </c>
      <c r="Q264" s="125">
        <f t="shared" si="289"/>
        <v>0.995</v>
      </c>
      <c r="R264" s="125">
        <f t="shared" si="289"/>
        <v>0</v>
      </c>
    </row>
    <row r="265" spans="1:18">
      <c r="A265" s="123" t="e">
        <f t="shared" ref="A265" si="299">CONCATENATE("Year-",#REF!)</f>
        <v>#REF!</v>
      </c>
      <c r="B265" s="35">
        <v>52291</v>
      </c>
      <c r="C265" s="26">
        <f t="shared" si="288"/>
        <v>215.74576700000009</v>
      </c>
      <c r="D265" s="26">
        <f t="shared" si="288"/>
        <v>195.59891570000002</v>
      </c>
      <c r="E265" s="31">
        <f t="shared" si="260"/>
        <v>60510</v>
      </c>
      <c r="F265" s="124">
        <f t="shared" si="289"/>
        <v>47.179622377374095</v>
      </c>
      <c r="G265" s="125">
        <f t="shared" si="289"/>
        <v>1.5306122448979553E-2</v>
      </c>
      <c r="H265" s="125">
        <f t="shared" si="289"/>
        <v>9.1784000000000004E-2</v>
      </c>
      <c r="I265" s="125">
        <f t="shared" si="289"/>
        <v>9.4419706369976972E-2</v>
      </c>
      <c r="J265" s="125">
        <f t="shared" si="289"/>
        <v>1.4644787078611174E-2</v>
      </c>
      <c r="K265" s="125">
        <f t="shared" si="289"/>
        <v>1.6212630268737406E-2</v>
      </c>
      <c r="L265" s="125">
        <f t="shared" si="289"/>
        <v>2.0718676035686345E-2</v>
      </c>
      <c r="M265" s="125">
        <f t="shared" si="289"/>
        <v>0</v>
      </c>
      <c r="N265" s="125">
        <f t="shared" si="289"/>
        <v>2.3247057021314733E-2</v>
      </c>
      <c r="O265" s="125">
        <f t="shared" si="289"/>
        <v>3.9222124133286969E-2</v>
      </c>
      <c r="P265" s="125">
        <f t="shared" si="289"/>
        <v>0.995</v>
      </c>
      <c r="Q265" s="125">
        <f t="shared" si="289"/>
        <v>0.995</v>
      </c>
      <c r="R265" s="125">
        <f t="shared" si="289"/>
        <v>0</v>
      </c>
    </row>
    <row r="266" spans="1:18">
      <c r="A266" s="123" t="e">
        <f t="shared" ref="A266" si="300">CONCATENATE("Year-",#REF!)</f>
        <v>#REF!</v>
      </c>
      <c r="B266" s="35">
        <v>52322</v>
      </c>
      <c r="C266" s="26">
        <f t="shared" si="288"/>
        <v>215.9</v>
      </c>
      <c r="D266" s="26">
        <f t="shared" si="288"/>
        <v>208.99969899999999</v>
      </c>
      <c r="E266" s="31">
        <f t="shared" si="260"/>
        <v>58630</v>
      </c>
      <c r="F266" s="124">
        <f t="shared" si="289"/>
        <v>52.296499350965128</v>
      </c>
      <c r="G266" s="125">
        <f t="shared" si="289"/>
        <v>1.6658954187875996E-2</v>
      </c>
      <c r="H266" s="125">
        <f t="shared" si="289"/>
        <v>9.5061999999999994E-2</v>
      </c>
      <c r="I266" s="125">
        <f t="shared" si="289"/>
        <v>0.11719199751057031</v>
      </c>
      <c r="J266" s="125">
        <f t="shared" si="289"/>
        <v>1.5231272154623582E-2</v>
      </c>
      <c r="K266" s="125">
        <f t="shared" si="289"/>
        <v>1.6110689006976781E-2</v>
      </c>
      <c r="L266" s="125">
        <f t="shared" si="289"/>
        <v>1.8633277773980331E-2</v>
      </c>
      <c r="M266" s="125">
        <f t="shared" si="289"/>
        <v>0</v>
      </c>
      <c r="N266" s="125">
        <f t="shared" si="289"/>
        <v>2.2802418781094937E-2</v>
      </c>
      <c r="O266" s="125">
        <f t="shared" si="289"/>
        <v>2.7995485693316467E-2</v>
      </c>
      <c r="P266" s="125">
        <f t="shared" si="289"/>
        <v>0.995</v>
      </c>
      <c r="Q266" s="125">
        <f t="shared" si="289"/>
        <v>0.995</v>
      </c>
      <c r="R266" s="125">
        <f t="shared" si="289"/>
        <v>0</v>
      </c>
    </row>
    <row r="267" spans="1:18">
      <c r="A267" s="123" t="e">
        <f t="shared" ref="A267" si="301">CONCATENATE("Year-",#REF!)</f>
        <v>#REF!</v>
      </c>
      <c r="B267" s="35">
        <v>52352</v>
      </c>
      <c r="C267" s="26">
        <f t="shared" si="288"/>
        <v>217.9</v>
      </c>
      <c r="D267" s="26">
        <f t="shared" si="288"/>
        <v>221.90023470000006</v>
      </c>
      <c r="E267" s="31">
        <f t="shared" si="260"/>
        <v>61780</v>
      </c>
      <c r="F267" s="124">
        <f t="shared" si="289"/>
        <v>55.437733860726389</v>
      </c>
      <c r="G267" s="125">
        <f t="shared" si="289"/>
        <v>1.7865322950068707E-2</v>
      </c>
      <c r="H267" s="125">
        <f t="shared" si="289"/>
        <v>9.8339999999999997E-2</v>
      </c>
      <c r="I267" s="125">
        <f t="shared" si="289"/>
        <v>0.1306817577748349</v>
      </c>
      <c r="J267" s="125">
        <f t="shared" si="289"/>
        <v>1.609339136491415E-2</v>
      </c>
      <c r="K267" s="125">
        <f t="shared" si="289"/>
        <v>1.525163145425878E-2</v>
      </c>
      <c r="L267" s="125">
        <f t="shared" si="289"/>
        <v>1.5763583972179196E-2</v>
      </c>
      <c r="M267" s="125">
        <f t="shared" si="289"/>
        <v>0</v>
      </c>
      <c r="N267" s="125">
        <f t="shared" si="289"/>
        <v>2.2281870794181511E-2</v>
      </c>
      <c r="O267" s="125">
        <f t="shared" si="289"/>
        <v>1.1198342091846737E-2</v>
      </c>
      <c r="P267" s="125">
        <f t="shared" si="289"/>
        <v>0.995</v>
      </c>
      <c r="Q267" s="125">
        <f t="shared" si="289"/>
        <v>0.995</v>
      </c>
      <c r="R267" s="125">
        <f t="shared" si="289"/>
        <v>0</v>
      </c>
    </row>
    <row r="268" spans="1:18">
      <c r="A268" s="123" t="e">
        <f t="shared" ref="A268" si="302">CONCATENATE("Year-",#REF!)</f>
        <v>#REF!</v>
      </c>
      <c r="B268" s="35">
        <v>52383</v>
      </c>
      <c r="C268" s="26">
        <f t="shared" si="288"/>
        <v>192.8</v>
      </c>
      <c r="D268" s="26">
        <f t="shared" si="288"/>
        <v>200.20089519999999</v>
      </c>
      <c r="E268" s="31">
        <f t="shared" si="260"/>
        <v>53700</v>
      </c>
      <c r="F268" s="124">
        <f t="shared" si="289"/>
        <v>54.658309168315547</v>
      </c>
      <c r="G268" s="125">
        <f t="shared" si="289"/>
        <v>1.914123124676681E-2</v>
      </c>
      <c r="H268" s="125">
        <f t="shared" si="289"/>
        <v>9.8339999999999997E-2</v>
      </c>
      <c r="I268" s="125">
        <f t="shared" si="289"/>
        <v>0.12650723469382591</v>
      </c>
      <c r="J268" s="125">
        <f t="shared" si="289"/>
        <v>1.6398522844759341E-2</v>
      </c>
      <c r="K268" s="125">
        <f t="shared" si="289"/>
        <v>1.3926271600695752E-2</v>
      </c>
      <c r="L268" s="125">
        <f t="shared" si="289"/>
        <v>1.4057661793117321E-2</v>
      </c>
      <c r="M268" s="125">
        <f t="shared" si="289"/>
        <v>0</v>
      </c>
      <c r="N268" s="125">
        <f t="shared" si="289"/>
        <v>2.1677907023400757E-2</v>
      </c>
      <c r="O268" s="125">
        <f t="shared" si="289"/>
        <v>4.051685061336731E-3</v>
      </c>
      <c r="P268" s="125">
        <f t="shared" si="289"/>
        <v>0.995</v>
      </c>
      <c r="Q268" s="125">
        <f t="shared" si="289"/>
        <v>0.995</v>
      </c>
      <c r="R268" s="125">
        <f t="shared" si="289"/>
        <v>0</v>
      </c>
    </row>
    <row r="269" spans="1:18">
      <c r="A269" s="123" t="e">
        <f t="shared" ref="A269" si="303">CONCATENATE("Year-",#REF!)</f>
        <v>#REF!</v>
      </c>
      <c r="B269" s="35">
        <v>52413</v>
      </c>
      <c r="C269" s="26">
        <f t="shared" si="288"/>
        <v>168.9</v>
      </c>
      <c r="D269" s="26">
        <f t="shared" si="288"/>
        <v>173.59972409999992</v>
      </c>
      <c r="E269" s="31">
        <f t="shared" si="260"/>
        <v>49210</v>
      </c>
      <c r="F269" s="124">
        <f t="shared" si="289"/>
        <v>51.564857066184757</v>
      </c>
      <c r="G269" s="125">
        <f t="shared" si="289"/>
        <v>2.1854695806261204E-2</v>
      </c>
      <c r="H269" s="125">
        <f t="shared" si="289"/>
        <v>9.1784000000000004E-2</v>
      </c>
      <c r="I269" s="125">
        <f t="shared" si="289"/>
        <v>0.1089308468990661</v>
      </c>
      <c r="J269" s="125">
        <f t="shared" si="289"/>
        <v>1.5867586262633245E-2</v>
      </c>
      <c r="K269" s="125">
        <f t="shared" si="289"/>
        <v>1.231974144019694E-2</v>
      </c>
      <c r="L269" s="125">
        <f t="shared" si="289"/>
        <v>1.3502102014775261E-2</v>
      </c>
      <c r="M269" s="125">
        <f t="shared" si="289"/>
        <v>0</v>
      </c>
      <c r="N269" s="125">
        <f t="shared" si="289"/>
        <v>2.127320988616644E-2</v>
      </c>
      <c r="O269" s="125">
        <f t="shared" si="289"/>
        <v>1.5557262066246368E-3</v>
      </c>
      <c r="P269" s="125">
        <f t="shared" si="289"/>
        <v>0.995</v>
      </c>
      <c r="Q269" s="125">
        <f t="shared" si="289"/>
        <v>0.995</v>
      </c>
      <c r="R269" s="125">
        <f t="shared" si="289"/>
        <v>0</v>
      </c>
    </row>
    <row r="270" spans="1:18">
      <c r="A270" s="123" t="e">
        <f t="shared" ref="A270" si="304">CONCATENATE("Year-",#REF!)</f>
        <v>#REF!</v>
      </c>
      <c r="B270" s="35">
        <v>52444</v>
      </c>
      <c r="C270" s="26">
        <f t="shared" si="288"/>
        <v>174.2</v>
      </c>
      <c r="D270" s="26">
        <f t="shared" si="288"/>
        <v>172.6001566000001</v>
      </c>
      <c r="E270" s="31">
        <f t="shared" si="260"/>
        <v>50100</v>
      </c>
      <c r="F270" s="124">
        <f t="shared" si="289"/>
        <v>50.336592710430871</v>
      </c>
      <c r="G270" s="125">
        <f t="shared" si="289"/>
        <v>2.0196191575302946E-2</v>
      </c>
      <c r="H270" s="125">
        <f t="shared" si="289"/>
        <v>8.8506000000000001E-2</v>
      </c>
      <c r="I270" s="125">
        <f t="shared" si="289"/>
        <v>0.10494453414747008</v>
      </c>
      <c r="J270" s="125">
        <f t="shared" si="289"/>
        <v>1.507508977611231E-2</v>
      </c>
      <c r="K270" s="125">
        <f t="shared" si="289"/>
        <v>1.2791562311125756E-2</v>
      </c>
      <c r="L270" s="125">
        <f t="shared" si="289"/>
        <v>1.4116403195935955E-2</v>
      </c>
      <c r="M270" s="125">
        <f t="shared" si="289"/>
        <v>0</v>
      </c>
      <c r="N270" s="125">
        <f t="shared" si="289"/>
        <v>2.157456294953386E-2</v>
      </c>
      <c r="O270" s="125">
        <f t="shared" si="289"/>
        <v>6.2818876990405415E-3</v>
      </c>
      <c r="P270" s="125">
        <f t="shared" si="289"/>
        <v>0.995</v>
      </c>
      <c r="Q270" s="125">
        <f t="shared" si="289"/>
        <v>0.995</v>
      </c>
      <c r="R270" s="125">
        <f t="shared" si="289"/>
        <v>0</v>
      </c>
    </row>
    <row r="271" spans="1:18">
      <c r="A271" s="123" t="e">
        <f t="shared" ref="A271" si="305">CONCATENATE("Year-",#REF!)</f>
        <v>#REF!</v>
      </c>
      <c r="B271" s="35">
        <v>52475</v>
      </c>
      <c r="C271" s="26">
        <f t="shared" ref="C271:D286" si="306">C259</f>
        <v>192.1</v>
      </c>
      <c r="D271" s="26">
        <f t="shared" si="306"/>
        <v>178.89930529999984</v>
      </c>
      <c r="E271" s="31">
        <f t="shared" si="260"/>
        <v>52760</v>
      </c>
      <c r="F271" s="124">
        <f t="shared" ref="F271:R286" si="307">F259</f>
        <v>52.25059433997491</v>
      </c>
      <c r="G271" s="125">
        <f t="shared" si="307"/>
        <v>1.7196456487754141E-2</v>
      </c>
      <c r="H271" s="125">
        <f t="shared" si="307"/>
        <v>8.5227999999999998E-2</v>
      </c>
      <c r="I271" s="125">
        <f t="shared" si="307"/>
        <v>0.11387126505657014</v>
      </c>
      <c r="J271" s="125">
        <f t="shared" si="307"/>
        <v>1.3959618092500629E-2</v>
      </c>
      <c r="K271" s="125">
        <f t="shared" si="307"/>
        <v>1.4531255376132731E-2</v>
      </c>
      <c r="L271" s="125">
        <f t="shared" si="307"/>
        <v>1.4478833500810966E-2</v>
      </c>
      <c r="M271" s="125">
        <f t="shared" si="307"/>
        <v>0</v>
      </c>
      <c r="N271" s="125">
        <f t="shared" si="307"/>
        <v>2.2473527643153385E-2</v>
      </c>
      <c r="O271" s="125">
        <f t="shared" si="307"/>
        <v>1.1388926338936924E-2</v>
      </c>
      <c r="P271" s="125">
        <f t="shared" si="307"/>
        <v>0.995</v>
      </c>
      <c r="Q271" s="125">
        <f t="shared" si="307"/>
        <v>0.995</v>
      </c>
      <c r="R271" s="125">
        <f t="shared" si="307"/>
        <v>0</v>
      </c>
    </row>
    <row r="272" spans="1:18">
      <c r="A272" s="123" t="e">
        <f t="shared" ref="A272" si="308">CONCATENATE("Year-",#REF!)</f>
        <v>#REF!</v>
      </c>
      <c r="B272" s="35">
        <v>52505</v>
      </c>
      <c r="C272" s="26">
        <f t="shared" si="306"/>
        <v>202.3</v>
      </c>
      <c r="D272" s="26">
        <f t="shared" si="306"/>
        <v>174.60082279999986</v>
      </c>
      <c r="E272" s="31">
        <f t="shared" si="260"/>
        <v>57190</v>
      </c>
      <c r="F272" s="124">
        <f t="shared" si="307"/>
        <v>49.723937837075084</v>
      </c>
      <c r="G272" s="125">
        <f t="shared" si="307"/>
        <v>1.5873015873015817E-2</v>
      </c>
      <c r="H272" s="125">
        <f t="shared" si="307"/>
        <v>8.8506000000000001E-2</v>
      </c>
      <c r="I272" s="125">
        <f t="shared" si="307"/>
        <v>0.10390722673430232</v>
      </c>
      <c r="J272" s="125">
        <f t="shared" si="307"/>
        <v>1.4040704754284353E-2</v>
      </c>
      <c r="K272" s="125">
        <f t="shared" si="307"/>
        <v>1.526389492868482E-2</v>
      </c>
      <c r="L272" s="125">
        <f t="shared" si="307"/>
        <v>1.5324069649683622E-2</v>
      </c>
      <c r="M272" s="125">
        <f t="shared" si="307"/>
        <v>0</v>
      </c>
      <c r="N272" s="125">
        <f t="shared" si="307"/>
        <v>2.3043103417804571E-2</v>
      </c>
      <c r="O272" s="125">
        <f t="shared" si="307"/>
        <v>2.1184397869334348E-2</v>
      </c>
      <c r="P272" s="125">
        <f t="shared" si="307"/>
        <v>0.995</v>
      </c>
      <c r="Q272" s="125">
        <f t="shared" si="307"/>
        <v>0.995</v>
      </c>
      <c r="R272" s="125">
        <f t="shared" si="307"/>
        <v>0</v>
      </c>
    </row>
    <row r="273" spans="1:18">
      <c r="A273" s="123" t="e">
        <f t="shared" ref="A273" si="309">CONCATENATE("Year-",#REF!)</f>
        <v>#REF!</v>
      </c>
      <c r="B273" s="35">
        <v>52536</v>
      </c>
      <c r="C273" s="26">
        <f t="shared" si="306"/>
        <v>162.9</v>
      </c>
      <c r="D273" s="26">
        <f t="shared" si="306"/>
        <v>133.69942049999997</v>
      </c>
      <c r="E273" s="31">
        <f t="shared" si="260"/>
        <v>46900</v>
      </c>
      <c r="F273" s="124">
        <f t="shared" si="307"/>
        <v>42.187120547750681</v>
      </c>
      <c r="G273" s="125">
        <f t="shared" si="307"/>
        <v>1.5950920245398792E-2</v>
      </c>
      <c r="H273" s="125">
        <f t="shared" si="307"/>
        <v>8.8506000000000001E-2</v>
      </c>
      <c r="I273" s="125">
        <f t="shared" si="307"/>
        <v>6.9024239591701744E-2</v>
      </c>
      <c r="J273" s="125">
        <f t="shared" si="307"/>
        <v>1.4204952105287192E-2</v>
      </c>
      <c r="K273" s="125">
        <f t="shared" si="307"/>
        <v>1.3252885058363056E-2</v>
      </c>
      <c r="L273" s="125">
        <f t="shared" si="307"/>
        <v>1.3980442883231779E-2</v>
      </c>
      <c r="M273" s="125">
        <f t="shared" si="307"/>
        <v>0</v>
      </c>
      <c r="N273" s="125">
        <f t="shared" si="307"/>
        <v>2.30208488716231E-2</v>
      </c>
      <c r="O273" s="125">
        <f t="shared" si="307"/>
        <v>8.3479094998109554E-3</v>
      </c>
      <c r="P273" s="125">
        <f t="shared" si="307"/>
        <v>0.995</v>
      </c>
      <c r="Q273" s="125">
        <f t="shared" si="307"/>
        <v>0.995</v>
      </c>
      <c r="R273" s="125">
        <f t="shared" si="307"/>
        <v>0</v>
      </c>
    </row>
    <row r="274" spans="1:18">
      <c r="A274" s="123" t="e">
        <f t="shared" ref="A274" si="310">CONCATENATE("Year-",#REF!)</f>
        <v>#REF!</v>
      </c>
      <c r="B274" s="35">
        <v>52566</v>
      </c>
      <c r="C274" s="26">
        <f t="shared" si="306"/>
        <v>158.6</v>
      </c>
      <c r="D274" s="26">
        <f t="shared" si="306"/>
        <v>124.40004220000003</v>
      </c>
      <c r="E274" s="31">
        <f t="shared" si="260"/>
        <v>48280</v>
      </c>
      <c r="F274" s="124">
        <f t="shared" si="307"/>
        <v>36.076939444156181</v>
      </c>
      <c r="G274" s="125">
        <f t="shared" si="307"/>
        <v>1.5802781289506962E-2</v>
      </c>
      <c r="H274" s="125">
        <f t="shared" si="307"/>
        <v>8.8506000000000001E-2</v>
      </c>
      <c r="I274" s="125">
        <f t="shared" si="307"/>
        <v>4.4787946264861052E-2</v>
      </c>
      <c r="J274" s="125">
        <f t="shared" si="307"/>
        <v>1.4140595613406415E-2</v>
      </c>
      <c r="K274" s="125">
        <f t="shared" si="307"/>
        <v>1.2367081056294736E-2</v>
      </c>
      <c r="L274" s="125">
        <f t="shared" si="307"/>
        <v>1.3960975699298588E-2</v>
      </c>
      <c r="M274" s="125">
        <f t="shared" si="307"/>
        <v>0</v>
      </c>
      <c r="N274" s="125">
        <f t="shared" si="307"/>
        <v>2.3055036005913448E-2</v>
      </c>
      <c r="O274" s="125">
        <f t="shared" si="307"/>
        <v>3.6978876304825567E-3</v>
      </c>
      <c r="P274" s="125">
        <f t="shared" si="307"/>
        <v>0.995</v>
      </c>
      <c r="Q274" s="125">
        <f t="shared" si="307"/>
        <v>0.995</v>
      </c>
      <c r="R274" s="125">
        <f t="shared" si="307"/>
        <v>0</v>
      </c>
    </row>
    <row r="275" spans="1:18">
      <c r="A275" s="123" t="e">
        <f t="shared" ref="A275" si="311">CONCATENATE("Year-",#REF!)</f>
        <v>#REF!</v>
      </c>
      <c r="B275" s="35">
        <v>52597</v>
      </c>
      <c r="C275" s="26">
        <f t="shared" si="306"/>
        <v>169.028549</v>
      </c>
      <c r="D275" s="26">
        <f t="shared" si="306"/>
        <v>133.89933939999995</v>
      </c>
      <c r="E275" s="31">
        <f t="shared" si="260"/>
        <v>51260</v>
      </c>
      <c r="F275" s="124">
        <f t="shared" si="307"/>
        <v>34.970332119021293</v>
      </c>
      <c r="G275" s="125">
        <f t="shared" si="307"/>
        <v>1.7200474495848161E-2</v>
      </c>
      <c r="H275" s="125">
        <f t="shared" si="307"/>
        <v>8.8506000000000001E-2</v>
      </c>
      <c r="I275" s="125">
        <f t="shared" si="307"/>
        <v>4.0029940128316385E-2</v>
      </c>
      <c r="J275" s="125">
        <f t="shared" si="307"/>
        <v>1.4099625889623608E-2</v>
      </c>
      <c r="K275" s="125">
        <f t="shared" si="307"/>
        <v>1.267725762135744E-2</v>
      </c>
      <c r="L275" s="125">
        <f t="shared" si="307"/>
        <v>1.390175346828215E-2</v>
      </c>
      <c r="M275" s="125">
        <f t="shared" si="307"/>
        <v>0</v>
      </c>
      <c r="N275" s="125">
        <f t="shared" si="307"/>
        <v>2.298066658515029E-2</v>
      </c>
      <c r="O275" s="125">
        <f t="shared" si="307"/>
        <v>1.0644897972798715E-2</v>
      </c>
      <c r="P275" s="125">
        <f t="shared" si="307"/>
        <v>0.995</v>
      </c>
      <c r="Q275" s="125">
        <f t="shared" si="307"/>
        <v>0.995</v>
      </c>
      <c r="R275" s="125">
        <f t="shared" si="307"/>
        <v>0</v>
      </c>
    </row>
    <row r="276" spans="1:18">
      <c r="A276" s="123" t="e">
        <f t="shared" ref="A276" si="312">CONCATENATE("Year-",#REF!)</f>
        <v>#REF!</v>
      </c>
      <c r="B276" s="35">
        <v>52628</v>
      </c>
      <c r="C276" s="26">
        <f t="shared" si="306"/>
        <v>172.55912190000004</v>
      </c>
      <c r="D276" s="26">
        <f t="shared" si="306"/>
        <v>145.40077080000009</v>
      </c>
      <c r="E276" s="31">
        <f t="shared" si="260"/>
        <v>47290</v>
      </c>
      <c r="F276" s="124">
        <f t="shared" si="307"/>
        <v>40.252096455972236</v>
      </c>
      <c r="G276" s="125">
        <f t="shared" si="307"/>
        <v>1.510749564206848E-2</v>
      </c>
      <c r="H276" s="125">
        <f t="shared" si="307"/>
        <v>8.8506000000000001E-2</v>
      </c>
      <c r="I276" s="125">
        <f t="shared" si="307"/>
        <v>6.2111013936519133E-2</v>
      </c>
      <c r="J276" s="125">
        <f t="shared" si="307"/>
        <v>1.4175439055030284E-2</v>
      </c>
      <c r="K276" s="125">
        <f t="shared" si="307"/>
        <v>1.4384371816049681E-2</v>
      </c>
      <c r="L276" s="125">
        <f t="shared" si="307"/>
        <v>1.5915736744616871E-2</v>
      </c>
      <c r="M276" s="125">
        <f t="shared" si="307"/>
        <v>0</v>
      </c>
      <c r="N276" s="125">
        <f t="shared" si="307"/>
        <v>2.3268144471779773E-2</v>
      </c>
      <c r="O276" s="125">
        <f t="shared" si="307"/>
        <v>2.5052142565085967E-2</v>
      </c>
      <c r="P276" s="125">
        <f t="shared" si="307"/>
        <v>0.995</v>
      </c>
      <c r="Q276" s="125">
        <f t="shared" si="307"/>
        <v>0.995</v>
      </c>
      <c r="R276" s="125">
        <f t="shared" si="307"/>
        <v>0</v>
      </c>
    </row>
    <row r="277" spans="1:18">
      <c r="A277" s="123" t="e">
        <f t="shared" ref="A277" si="313">CONCATENATE("Year-",#REF!)</f>
        <v>#REF!</v>
      </c>
      <c r="B277" s="35">
        <v>52657</v>
      </c>
      <c r="C277" s="26">
        <f t="shared" si="306"/>
        <v>215.74576700000009</v>
      </c>
      <c r="D277" s="26">
        <f t="shared" si="306"/>
        <v>195.59891570000002</v>
      </c>
      <c r="E277" s="31">
        <f t="shared" si="260"/>
        <v>60510</v>
      </c>
      <c r="F277" s="124">
        <f t="shared" si="307"/>
        <v>47.179622377374095</v>
      </c>
      <c r="G277" s="125">
        <f t="shared" si="307"/>
        <v>1.5306122448979553E-2</v>
      </c>
      <c r="H277" s="125">
        <f t="shared" si="307"/>
        <v>9.1784000000000004E-2</v>
      </c>
      <c r="I277" s="125">
        <f t="shared" si="307"/>
        <v>9.4419706369976972E-2</v>
      </c>
      <c r="J277" s="125">
        <f t="shared" si="307"/>
        <v>1.4644787078611174E-2</v>
      </c>
      <c r="K277" s="125">
        <f t="shared" si="307"/>
        <v>1.6212630268737406E-2</v>
      </c>
      <c r="L277" s="125">
        <f t="shared" si="307"/>
        <v>2.0718676035686345E-2</v>
      </c>
      <c r="M277" s="125">
        <f t="shared" si="307"/>
        <v>0</v>
      </c>
      <c r="N277" s="125">
        <f t="shared" si="307"/>
        <v>2.3247057021314733E-2</v>
      </c>
      <c r="O277" s="125">
        <f t="shared" si="307"/>
        <v>3.9222124133286969E-2</v>
      </c>
      <c r="P277" s="125">
        <f t="shared" si="307"/>
        <v>0.995</v>
      </c>
      <c r="Q277" s="125">
        <f t="shared" si="307"/>
        <v>0.995</v>
      </c>
      <c r="R277" s="125">
        <f t="shared" si="307"/>
        <v>0</v>
      </c>
    </row>
    <row r="278" spans="1:18">
      <c r="A278" s="123" t="e">
        <f t="shared" ref="A278" si="314">CONCATENATE("Year-",#REF!)</f>
        <v>#REF!</v>
      </c>
      <c r="B278" s="35">
        <v>52688</v>
      </c>
      <c r="C278" s="26">
        <f t="shared" si="306"/>
        <v>215.9</v>
      </c>
      <c r="D278" s="26">
        <f t="shared" si="306"/>
        <v>208.99969899999999</v>
      </c>
      <c r="E278" s="31">
        <f t="shared" si="260"/>
        <v>58630</v>
      </c>
      <c r="F278" s="124">
        <f t="shared" si="307"/>
        <v>52.296499350965128</v>
      </c>
      <c r="G278" s="125">
        <f t="shared" si="307"/>
        <v>1.6658954187875996E-2</v>
      </c>
      <c r="H278" s="125">
        <f t="shared" si="307"/>
        <v>9.5061999999999994E-2</v>
      </c>
      <c r="I278" s="125">
        <f t="shared" si="307"/>
        <v>0.11719199751057031</v>
      </c>
      <c r="J278" s="125">
        <f t="shared" si="307"/>
        <v>1.5231272154623582E-2</v>
      </c>
      <c r="K278" s="125">
        <f t="shared" si="307"/>
        <v>1.6110689006976781E-2</v>
      </c>
      <c r="L278" s="125">
        <f t="shared" si="307"/>
        <v>1.8633277773980331E-2</v>
      </c>
      <c r="M278" s="125">
        <f t="shared" si="307"/>
        <v>0</v>
      </c>
      <c r="N278" s="125">
        <f t="shared" si="307"/>
        <v>2.2802418781094937E-2</v>
      </c>
      <c r="O278" s="125">
        <f t="shared" si="307"/>
        <v>2.7995485693316467E-2</v>
      </c>
      <c r="P278" s="125">
        <f t="shared" si="307"/>
        <v>0.995</v>
      </c>
      <c r="Q278" s="125">
        <f t="shared" si="307"/>
        <v>0.995</v>
      </c>
      <c r="R278" s="125">
        <f t="shared" si="307"/>
        <v>0</v>
      </c>
    </row>
    <row r="279" spans="1:18">
      <c r="A279" s="123" t="e">
        <f t="shared" ref="A279" si="315">CONCATENATE("Year-",#REF!)</f>
        <v>#REF!</v>
      </c>
      <c r="B279" s="35">
        <v>52718</v>
      </c>
      <c r="C279" s="26">
        <f t="shared" si="306"/>
        <v>217.9</v>
      </c>
      <c r="D279" s="26">
        <f t="shared" si="306"/>
        <v>221.90023470000006</v>
      </c>
      <c r="E279" s="31">
        <f t="shared" si="260"/>
        <v>61780</v>
      </c>
      <c r="F279" s="124">
        <f t="shared" si="307"/>
        <v>55.437733860726389</v>
      </c>
      <c r="G279" s="125">
        <f t="shared" si="307"/>
        <v>1.7865322950068707E-2</v>
      </c>
      <c r="H279" s="125">
        <f t="shared" si="307"/>
        <v>9.8339999999999997E-2</v>
      </c>
      <c r="I279" s="125">
        <f t="shared" si="307"/>
        <v>0.1306817577748349</v>
      </c>
      <c r="J279" s="125">
        <f t="shared" si="307"/>
        <v>1.609339136491415E-2</v>
      </c>
      <c r="K279" s="125">
        <f t="shared" si="307"/>
        <v>1.525163145425878E-2</v>
      </c>
      <c r="L279" s="125">
        <f t="shared" si="307"/>
        <v>1.5763583972179196E-2</v>
      </c>
      <c r="M279" s="125">
        <f t="shared" si="307"/>
        <v>0</v>
      </c>
      <c r="N279" s="125">
        <f t="shared" si="307"/>
        <v>2.2281870794181511E-2</v>
      </c>
      <c r="O279" s="125">
        <f t="shared" si="307"/>
        <v>1.1198342091846737E-2</v>
      </c>
      <c r="P279" s="125">
        <f t="shared" si="307"/>
        <v>0.995</v>
      </c>
      <c r="Q279" s="125">
        <f t="shared" si="307"/>
        <v>0.995</v>
      </c>
      <c r="R279" s="125">
        <f t="shared" si="307"/>
        <v>0</v>
      </c>
    </row>
    <row r="280" spans="1:18">
      <c r="A280" s="123" t="e">
        <f t="shared" ref="A280" si="316">CONCATENATE("Year-",#REF!)</f>
        <v>#REF!</v>
      </c>
      <c r="B280" s="35">
        <v>52749</v>
      </c>
      <c r="C280" s="26">
        <f t="shared" si="306"/>
        <v>192.8</v>
      </c>
      <c r="D280" s="26">
        <f t="shared" si="306"/>
        <v>200.20089519999999</v>
      </c>
      <c r="E280" s="31">
        <f t="shared" si="260"/>
        <v>53700</v>
      </c>
      <c r="F280" s="124">
        <f t="shared" si="307"/>
        <v>54.658309168315547</v>
      </c>
      <c r="G280" s="125">
        <f t="shared" si="307"/>
        <v>1.914123124676681E-2</v>
      </c>
      <c r="H280" s="125">
        <f t="shared" si="307"/>
        <v>9.8339999999999997E-2</v>
      </c>
      <c r="I280" s="125">
        <f t="shared" si="307"/>
        <v>0.12650723469382591</v>
      </c>
      <c r="J280" s="125">
        <f t="shared" si="307"/>
        <v>1.6398522844759341E-2</v>
      </c>
      <c r="K280" s="125">
        <f t="shared" si="307"/>
        <v>1.3926271600695752E-2</v>
      </c>
      <c r="L280" s="125">
        <f t="shared" si="307"/>
        <v>1.4057661793117321E-2</v>
      </c>
      <c r="M280" s="125">
        <f t="shared" si="307"/>
        <v>0</v>
      </c>
      <c r="N280" s="125">
        <f t="shared" si="307"/>
        <v>2.1677907023400757E-2</v>
      </c>
      <c r="O280" s="125">
        <f t="shared" si="307"/>
        <v>4.051685061336731E-3</v>
      </c>
      <c r="P280" s="125">
        <f t="shared" si="307"/>
        <v>0.995</v>
      </c>
      <c r="Q280" s="125">
        <f t="shared" si="307"/>
        <v>0.995</v>
      </c>
      <c r="R280" s="125">
        <f t="shared" si="307"/>
        <v>0</v>
      </c>
    </row>
    <row r="281" spans="1:18">
      <c r="A281" s="123" t="e">
        <f t="shared" ref="A281" si="317">CONCATENATE("Year-",#REF!)</f>
        <v>#REF!</v>
      </c>
      <c r="B281" s="35">
        <v>52779</v>
      </c>
      <c r="C281" s="26">
        <f t="shared" si="306"/>
        <v>168.9</v>
      </c>
      <c r="D281" s="26">
        <f t="shared" si="306"/>
        <v>173.59972409999992</v>
      </c>
      <c r="E281" s="31">
        <f t="shared" si="260"/>
        <v>49210</v>
      </c>
      <c r="F281" s="124">
        <f t="shared" si="307"/>
        <v>51.564857066184757</v>
      </c>
      <c r="G281" s="125">
        <f t="shared" si="307"/>
        <v>2.1854695806261204E-2</v>
      </c>
      <c r="H281" s="125">
        <f t="shared" si="307"/>
        <v>9.1784000000000004E-2</v>
      </c>
      <c r="I281" s="125">
        <f t="shared" si="307"/>
        <v>0.1089308468990661</v>
      </c>
      <c r="J281" s="125">
        <f t="shared" si="307"/>
        <v>1.5867586262633245E-2</v>
      </c>
      <c r="K281" s="125">
        <f t="shared" si="307"/>
        <v>1.231974144019694E-2</v>
      </c>
      <c r="L281" s="125">
        <f t="shared" si="307"/>
        <v>1.3502102014775261E-2</v>
      </c>
      <c r="M281" s="125">
        <f t="shared" si="307"/>
        <v>0</v>
      </c>
      <c r="N281" s="125">
        <f t="shared" si="307"/>
        <v>2.127320988616644E-2</v>
      </c>
      <c r="O281" s="125">
        <f t="shared" si="307"/>
        <v>1.5557262066246368E-3</v>
      </c>
      <c r="P281" s="125">
        <f t="shared" si="307"/>
        <v>0.995</v>
      </c>
      <c r="Q281" s="125">
        <f t="shared" si="307"/>
        <v>0.995</v>
      </c>
      <c r="R281" s="125">
        <f t="shared" si="307"/>
        <v>0</v>
      </c>
    </row>
    <row r="282" spans="1:18">
      <c r="A282" s="123" t="e">
        <f t="shared" ref="A282" si="318">CONCATENATE("Year-",#REF!)</f>
        <v>#REF!</v>
      </c>
      <c r="B282" s="35">
        <v>52810</v>
      </c>
      <c r="C282" s="26">
        <f t="shared" si="306"/>
        <v>174.2</v>
      </c>
      <c r="D282" s="26">
        <f t="shared" si="306"/>
        <v>172.6001566000001</v>
      </c>
      <c r="E282" s="31">
        <f t="shared" si="260"/>
        <v>50100</v>
      </c>
      <c r="F282" s="124">
        <f t="shared" si="307"/>
        <v>50.336592710430871</v>
      </c>
      <c r="G282" s="125">
        <f t="shared" si="307"/>
        <v>2.0196191575302946E-2</v>
      </c>
      <c r="H282" s="125">
        <f t="shared" si="307"/>
        <v>8.8506000000000001E-2</v>
      </c>
      <c r="I282" s="125">
        <f t="shared" si="307"/>
        <v>0.10494453414747008</v>
      </c>
      <c r="J282" s="125">
        <f t="shared" si="307"/>
        <v>1.507508977611231E-2</v>
      </c>
      <c r="K282" s="125">
        <f t="shared" si="307"/>
        <v>1.2791562311125756E-2</v>
      </c>
      <c r="L282" s="125">
        <f t="shared" si="307"/>
        <v>1.4116403195935955E-2</v>
      </c>
      <c r="M282" s="125">
        <f t="shared" si="307"/>
        <v>0</v>
      </c>
      <c r="N282" s="125">
        <f t="shared" si="307"/>
        <v>2.157456294953386E-2</v>
      </c>
      <c r="O282" s="125">
        <f t="shared" si="307"/>
        <v>6.2818876990405415E-3</v>
      </c>
      <c r="P282" s="125">
        <f t="shared" si="307"/>
        <v>0.995</v>
      </c>
      <c r="Q282" s="125">
        <f t="shared" si="307"/>
        <v>0.995</v>
      </c>
      <c r="R282" s="125">
        <f t="shared" si="307"/>
        <v>0</v>
      </c>
    </row>
    <row r="283" spans="1:18">
      <c r="A283" s="123" t="e">
        <f t="shared" ref="A283" si="319">CONCATENATE("Year-",#REF!)</f>
        <v>#REF!</v>
      </c>
      <c r="B283" s="35">
        <v>52841</v>
      </c>
      <c r="C283" s="26">
        <f t="shared" si="306"/>
        <v>192.1</v>
      </c>
      <c r="D283" s="26">
        <f t="shared" si="306"/>
        <v>178.89930529999984</v>
      </c>
      <c r="E283" s="31">
        <f t="shared" si="260"/>
        <v>52760</v>
      </c>
      <c r="F283" s="124">
        <f t="shared" si="307"/>
        <v>52.25059433997491</v>
      </c>
      <c r="G283" s="125">
        <f t="shared" si="307"/>
        <v>1.7196456487754141E-2</v>
      </c>
      <c r="H283" s="125">
        <f t="shared" si="307"/>
        <v>8.5227999999999998E-2</v>
      </c>
      <c r="I283" s="125">
        <f t="shared" si="307"/>
        <v>0.11387126505657014</v>
      </c>
      <c r="J283" s="125">
        <f t="shared" si="307"/>
        <v>1.3959618092500629E-2</v>
      </c>
      <c r="K283" s="125">
        <f t="shared" si="307"/>
        <v>1.4531255376132731E-2</v>
      </c>
      <c r="L283" s="125">
        <f t="shared" si="307"/>
        <v>1.4478833500810966E-2</v>
      </c>
      <c r="M283" s="125">
        <f t="shared" si="307"/>
        <v>0</v>
      </c>
      <c r="N283" s="125">
        <f t="shared" si="307"/>
        <v>2.2473527643153385E-2</v>
      </c>
      <c r="O283" s="125">
        <f t="shared" si="307"/>
        <v>1.1388926338936924E-2</v>
      </c>
      <c r="P283" s="125">
        <f t="shared" si="307"/>
        <v>0.995</v>
      </c>
      <c r="Q283" s="125">
        <f t="shared" si="307"/>
        <v>0.995</v>
      </c>
      <c r="R283" s="125">
        <f t="shared" si="307"/>
        <v>0</v>
      </c>
    </row>
    <row r="284" spans="1:18">
      <c r="A284" s="123" t="e">
        <f t="shared" ref="A284" si="320">CONCATENATE("Year-",#REF!)</f>
        <v>#REF!</v>
      </c>
      <c r="B284" s="35">
        <v>52871</v>
      </c>
      <c r="C284" s="26">
        <f t="shared" si="306"/>
        <v>202.3</v>
      </c>
      <c r="D284" s="26">
        <f t="shared" si="306"/>
        <v>174.60082279999986</v>
      </c>
      <c r="E284" s="31">
        <f t="shared" si="260"/>
        <v>57190</v>
      </c>
      <c r="F284" s="124">
        <f t="shared" si="307"/>
        <v>49.723937837075084</v>
      </c>
      <c r="G284" s="125">
        <f t="shared" si="307"/>
        <v>1.5873015873015817E-2</v>
      </c>
      <c r="H284" s="125">
        <f t="shared" si="307"/>
        <v>8.8506000000000001E-2</v>
      </c>
      <c r="I284" s="125">
        <f t="shared" si="307"/>
        <v>0.10390722673430232</v>
      </c>
      <c r="J284" s="125">
        <f t="shared" si="307"/>
        <v>1.4040704754284353E-2</v>
      </c>
      <c r="K284" s="125">
        <f t="shared" si="307"/>
        <v>1.526389492868482E-2</v>
      </c>
      <c r="L284" s="125">
        <f t="shared" si="307"/>
        <v>1.5324069649683622E-2</v>
      </c>
      <c r="M284" s="125">
        <f t="shared" si="307"/>
        <v>0</v>
      </c>
      <c r="N284" s="125">
        <f t="shared" si="307"/>
        <v>2.3043103417804571E-2</v>
      </c>
      <c r="O284" s="125">
        <f t="shared" si="307"/>
        <v>2.1184397869334348E-2</v>
      </c>
      <c r="P284" s="125">
        <f t="shared" si="307"/>
        <v>0.995</v>
      </c>
      <c r="Q284" s="125">
        <f t="shared" si="307"/>
        <v>0.995</v>
      </c>
      <c r="R284" s="125">
        <f t="shared" si="307"/>
        <v>0</v>
      </c>
    </row>
    <row r="285" spans="1:18">
      <c r="A285" s="123" t="e">
        <f t="shared" ref="A285" si="321">CONCATENATE("Year-",#REF!)</f>
        <v>#REF!</v>
      </c>
      <c r="B285" s="35">
        <v>52902</v>
      </c>
      <c r="C285" s="26">
        <f t="shared" si="306"/>
        <v>162.9</v>
      </c>
      <c r="D285" s="26">
        <f t="shared" si="306"/>
        <v>133.69942049999997</v>
      </c>
      <c r="E285" s="31">
        <f t="shared" si="260"/>
        <v>46900</v>
      </c>
      <c r="F285" s="124">
        <f t="shared" si="307"/>
        <v>42.187120547750681</v>
      </c>
      <c r="G285" s="125">
        <f t="shared" si="307"/>
        <v>1.5950920245398792E-2</v>
      </c>
      <c r="H285" s="125">
        <f t="shared" si="307"/>
        <v>8.8506000000000001E-2</v>
      </c>
      <c r="I285" s="125">
        <f t="shared" si="307"/>
        <v>6.9024239591701744E-2</v>
      </c>
      <c r="J285" s="125">
        <f t="shared" si="307"/>
        <v>1.4204952105287192E-2</v>
      </c>
      <c r="K285" s="125">
        <f t="shared" si="307"/>
        <v>1.3252885058363056E-2</v>
      </c>
      <c r="L285" s="125">
        <f t="shared" si="307"/>
        <v>1.3980442883231779E-2</v>
      </c>
      <c r="M285" s="125">
        <f t="shared" si="307"/>
        <v>0</v>
      </c>
      <c r="N285" s="125">
        <f t="shared" si="307"/>
        <v>2.30208488716231E-2</v>
      </c>
      <c r="O285" s="125">
        <f t="shared" si="307"/>
        <v>8.3479094998109554E-3</v>
      </c>
      <c r="P285" s="125">
        <f t="shared" si="307"/>
        <v>0.995</v>
      </c>
      <c r="Q285" s="125">
        <f t="shared" si="307"/>
        <v>0.995</v>
      </c>
      <c r="R285" s="125">
        <f t="shared" si="307"/>
        <v>0</v>
      </c>
    </row>
    <row r="286" spans="1:18">
      <c r="A286" s="123" t="e">
        <f t="shared" ref="A286" si="322">CONCATENATE("Year-",#REF!)</f>
        <v>#REF!</v>
      </c>
      <c r="B286" s="35">
        <v>52932</v>
      </c>
      <c r="C286" s="26">
        <f t="shared" si="306"/>
        <v>158.6</v>
      </c>
      <c r="D286" s="26">
        <f t="shared" si="306"/>
        <v>124.40004220000003</v>
      </c>
      <c r="E286" s="31">
        <f t="shared" si="260"/>
        <v>48280</v>
      </c>
      <c r="F286" s="124">
        <f t="shared" si="307"/>
        <v>36.076939444156181</v>
      </c>
      <c r="G286" s="125">
        <f t="shared" si="307"/>
        <v>1.5802781289506962E-2</v>
      </c>
      <c r="H286" s="125">
        <f t="shared" si="307"/>
        <v>8.8506000000000001E-2</v>
      </c>
      <c r="I286" s="125">
        <f t="shared" si="307"/>
        <v>4.4787946264861052E-2</v>
      </c>
      <c r="J286" s="125">
        <f t="shared" si="307"/>
        <v>1.4140595613406415E-2</v>
      </c>
      <c r="K286" s="125">
        <f t="shared" si="307"/>
        <v>1.2367081056294736E-2</v>
      </c>
      <c r="L286" s="125">
        <f t="shared" si="307"/>
        <v>1.3960975699298588E-2</v>
      </c>
      <c r="M286" s="125">
        <f t="shared" si="307"/>
        <v>0</v>
      </c>
      <c r="N286" s="125">
        <f t="shared" si="307"/>
        <v>2.3055036005913448E-2</v>
      </c>
      <c r="O286" s="125">
        <f t="shared" si="307"/>
        <v>3.6978876304825567E-3</v>
      </c>
      <c r="P286" s="125">
        <f t="shared" si="307"/>
        <v>0.995</v>
      </c>
      <c r="Q286" s="125">
        <f t="shared" si="307"/>
        <v>0.995</v>
      </c>
      <c r="R286" s="125">
        <f t="shared" si="307"/>
        <v>0</v>
      </c>
    </row>
    <row r="287" spans="1:18">
      <c r="A287" s="123" t="e">
        <f t="shared" ref="A287" si="323">CONCATENATE("Year-",#REF!)</f>
        <v>#REF!</v>
      </c>
      <c r="B287" s="35">
        <v>52963</v>
      </c>
      <c r="C287" s="26">
        <f t="shared" ref="C287:D302" si="324">C275</f>
        <v>169.028549</v>
      </c>
      <c r="D287" s="26">
        <f t="shared" si="324"/>
        <v>133.89933939999995</v>
      </c>
      <c r="E287" s="31">
        <f t="shared" si="260"/>
        <v>51260</v>
      </c>
      <c r="F287" s="124">
        <f t="shared" ref="F287:R302" si="325">F275</f>
        <v>34.970332119021293</v>
      </c>
      <c r="G287" s="125">
        <f t="shared" si="325"/>
        <v>1.7200474495848161E-2</v>
      </c>
      <c r="H287" s="125">
        <f t="shared" si="325"/>
        <v>8.8506000000000001E-2</v>
      </c>
      <c r="I287" s="125">
        <f t="shared" si="325"/>
        <v>4.0029940128316385E-2</v>
      </c>
      <c r="J287" s="125">
        <f t="shared" si="325"/>
        <v>1.4099625889623608E-2</v>
      </c>
      <c r="K287" s="125">
        <f t="shared" si="325"/>
        <v>1.267725762135744E-2</v>
      </c>
      <c r="L287" s="125">
        <f t="shared" si="325"/>
        <v>1.390175346828215E-2</v>
      </c>
      <c r="M287" s="125">
        <f t="shared" si="325"/>
        <v>0</v>
      </c>
      <c r="N287" s="125">
        <f t="shared" si="325"/>
        <v>2.298066658515029E-2</v>
      </c>
      <c r="O287" s="125">
        <f t="shared" si="325"/>
        <v>1.0644897972798715E-2</v>
      </c>
      <c r="P287" s="125">
        <f t="shared" si="325"/>
        <v>0.995</v>
      </c>
      <c r="Q287" s="125">
        <f t="shared" si="325"/>
        <v>0.995</v>
      </c>
      <c r="R287" s="125">
        <f t="shared" si="325"/>
        <v>0</v>
      </c>
    </row>
    <row r="288" spans="1:18">
      <c r="A288" s="123" t="e">
        <f t="shared" ref="A288" si="326">CONCATENATE("Year-",#REF!)</f>
        <v>#REF!</v>
      </c>
      <c r="B288" s="35">
        <v>52994</v>
      </c>
      <c r="C288" s="26">
        <f t="shared" si="324"/>
        <v>172.55912190000004</v>
      </c>
      <c r="D288" s="26">
        <f t="shared" si="324"/>
        <v>145.40077080000009</v>
      </c>
      <c r="E288" s="31">
        <f t="shared" si="260"/>
        <v>47290</v>
      </c>
      <c r="F288" s="124">
        <f t="shared" si="325"/>
        <v>40.252096455972236</v>
      </c>
      <c r="G288" s="125">
        <f t="shared" si="325"/>
        <v>1.510749564206848E-2</v>
      </c>
      <c r="H288" s="125">
        <f t="shared" si="325"/>
        <v>8.8506000000000001E-2</v>
      </c>
      <c r="I288" s="125">
        <f t="shared" si="325"/>
        <v>6.2111013936519133E-2</v>
      </c>
      <c r="J288" s="125">
        <f t="shared" si="325"/>
        <v>1.4175439055030284E-2</v>
      </c>
      <c r="K288" s="125">
        <f t="shared" si="325"/>
        <v>1.4384371816049681E-2</v>
      </c>
      <c r="L288" s="125">
        <f t="shared" si="325"/>
        <v>1.5915736744616871E-2</v>
      </c>
      <c r="M288" s="125">
        <f t="shared" si="325"/>
        <v>0</v>
      </c>
      <c r="N288" s="125">
        <f t="shared" si="325"/>
        <v>2.3268144471779773E-2</v>
      </c>
      <c r="O288" s="125">
        <f t="shared" si="325"/>
        <v>2.5052142565085967E-2</v>
      </c>
      <c r="P288" s="125">
        <f t="shared" si="325"/>
        <v>0.995</v>
      </c>
      <c r="Q288" s="125">
        <f t="shared" si="325"/>
        <v>0.995</v>
      </c>
      <c r="R288" s="125">
        <f t="shared" si="325"/>
        <v>0</v>
      </c>
    </row>
    <row r="289" spans="1:18">
      <c r="A289" s="123" t="e">
        <f t="shared" ref="A289" si="327">CONCATENATE("Year-",#REF!)</f>
        <v>#REF!</v>
      </c>
      <c r="B289" s="35">
        <v>53022</v>
      </c>
      <c r="C289" s="26">
        <f t="shared" si="324"/>
        <v>215.74576700000009</v>
      </c>
      <c r="D289" s="26">
        <f t="shared" si="324"/>
        <v>195.59891570000002</v>
      </c>
      <c r="E289" s="31">
        <f t="shared" si="260"/>
        <v>60510</v>
      </c>
      <c r="F289" s="124">
        <f t="shared" si="325"/>
        <v>47.179622377374095</v>
      </c>
      <c r="G289" s="125">
        <f t="shared" si="325"/>
        <v>1.5306122448979553E-2</v>
      </c>
      <c r="H289" s="125">
        <f t="shared" si="325"/>
        <v>9.1784000000000004E-2</v>
      </c>
      <c r="I289" s="125">
        <f t="shared" si="325"/>
        <v>9.4419706369976972E-2</v>
      </c>
      <c r="J289" s="125">
        <f t="shared" si="325"/>
        <v>1.4644787078611174E-2</v>
      </c>
      <c r="K289" s="125">
        <f t="shared" si="325"/>
        <v>1.6212630268737406E-2</v>
      </c>
      <c r="L289" s="125">
        <f t="shared" si="325"/>
        <v>2.0718676035686345E-2</v>
      </c>
      <c r="M289" s="125">
        <f t="shared" si="325"/>
        <v>0</v>
      </c>
      <c r="N289" s="125">
        <f t="shared" si="325"/>
        <v>2.3247057021314733E-2</v>
      </c>
      <c r="O289" s="125">
        <f t="shared" si="325"/>
        <v>3.9222124133286969E-2</v>
      </c>
      <c r="P289" s="125">
        <f t="shared" si="325"/>
        <v>0.995</v>
      </c>
      <c r="Q289" s="125">
        <f t="shared" si="325"/>
        <v>0.995</v>
      </c>
      <c r="R289" s="125">
        <f t="shared" si="325"/>
        <v>0</v>
      </c>
    </row>
    <row r="290" spans="1:18">
      <c r="A290" s="123" t="e">
        <f t="shared" ref="A290" si="328">CONCATENATE("Year-",#REF!)</f>
        <v>#REF!</v>
      </c>
      <c r="B290" s="35">
        <v>53053</v>
      </c>
      <c r="C290" s="26">
        <f t="shared" si="324"/>
        <v>215.9</v>
      </c>
      <c r="D290" s="26">
        <f t="shared" si="324"/>
        <v>208.99969899999999</v>
      </c>
      <c r="E290" s="31">
        <f t="shared" si="260"/>
        <v>58630</v>
      </c>
      <c r="F290" s="124">
        <f t="shared" si="325"/>
        <v>52.296499350965128</v>
      </c>
      <c r="G290" s="125">
        <f t="shared" si="325"/>
        <v>1.6658954187875996E-2</v>
      </c>
      <c r="H290" s="125">
        <f t="shared" si="325"/>
        <v>9.5061999999999994E-2</v>
      </c>
      <c r="I290" s="125">
        <f t="shared" si="325"/>
        <v>0.11719199751057031</v>
      </c>
      <c r="J290" s="125">
        <f t="shared" si="325"/>
        <v>1.5231272154623582E-2</v>
      </c>
      <c r="K290" s="125">
        <f t="shared" si="325"/>
        <v>1.6110689006976781E-2</v>
      </c>
      <c r="L290" s="125">
        <f t="shared" si="325"/>
        <v>1.8633277773980331E-2</v>
      </c>
      <c r="M290" s="125">
        <f t="shared" si="325"/>
        <v>0</v>
      </c>
      <c r="N290" s="125">
        <f t="shared" si="325"/>
        <v>2.2802418781094937E-2</v>
      </c>
      <c r="O290" s="125">
        <f t="shared" si="325"/>
        <v>2.7995485693316467E-2</v>
      </c>
      <c r="P290" s="125">
        <f t="shared" si="325"/>
        <v>0.995</v>
      </c>
      <c r="Q290" s="125">
        <f t="shared" si="325"/>
        <v>0.995</v>
      </c>
      <c r="R290" s="125">
        <f t="shared" si="325"/>
        <v>0</v>
      </c>
    </row>
    <row r="291" spans="1:18">
      <c r="A291" s="123" t="e">
        <f t="shared" ref="A291" si="329">CONCATENATE("Year-",#REF!)</f>
        <v>#REF!</v>
      </c>
      <c r="B291" s="35">
        <v>53083</v>
      </c>
      <c r="C291" s="26">
        <f t="shared" si="324"/>
        <v>217.9</v>
      </c>
      <c r="D291" s="26">
        <f t="shared" si="324"/>
        <v>221.90023470000006</v>
      </c>
      <c r="E291" s="31">
        <f t="shared" si="260"/>
        <v>61780</v>
      </c>
      <c r="F291" s="124">
        <f t="shared" si="325"/>
        <v>55.437733860726389</v>
      </c>
      <c r="G291" s="125">
        <f t="shared" si="325"/>
        <v>1.7865322950068707E-2</v>
      </c>
      <c r="H291" s="125">
        <f t="shared" si="325"/>
        <v>9.8339999999999997E-2</v>
      </c>
      <c r="I291" s="125">
        <f t="shared" si="325"/>
        <v>0.1306817577748349</v>
      </c>
      <c r="J291" s="125">
        <f t="shared" si="325"/>
        <v>1.609339136491415E-2</v>
      </c>
      <c r="K291" s="125">
        <f t="shared" si="325"/>
        <v>1.525163145425878E-2</v>
      </c>
      <c r="L291" s="125">
        <f t="shared" si="325"/>
        <v>1.5763583972179196E-2</v>
      </c>
      <c r="M291" s="125">
        <f t="shared" si="325"/>
        <v>0</v>
      </c>
      <c r="N291" s="125">
        <f t="shared" si="325"/>
        <v>2.2281870794181511E-2</v>
      </c>
      <c r="O291" s="125">
        <f t="shared" si="325"/>
        <v>1.1198342091846737E-2</v>
      </c>
      <c r="P291" s="125">
        <f t="shared" si="325"/>
        <v>0.995</v>
      </c>
      <c r="Q291" s="125">
        <f t="shared" si="325"/>
        <v>0.995</v>
      </c>
      <c r="R291" s="125">
        <f t="shared" si="325"/>
        <v>0</v>
      </c>
    </row>
    <row r="292" spans="1:18">
      <c r="A292" s="123" t="e">
        <f t="shared" ref="A292" si="330">CONCATENATE("Year-",#REF!)</f>
        <v>#REF!</v>
      </c>
      <c r="B292" s="35">
        <v>53114</v>
      </c>
      <c r="C292" s="26">
        <f t="shared" si="324"/>
        <v>192.8</v>
      </c>
      <c r="D292" s="26">
        <f t="shared" si="324"/>
        <v>200.20089519999999</v>
      </c>
      <c r="E292" s="31">
        <f t="shared" si="260"/>
        <v>53700</v>
      </c>
      <c r="F292" s="124">
        <f t="shared" si="325"/>
        <v>54.658309168315547</v>
      </c>
      <c r="G292" s="125">
        <f t="shared" si="325"/>
        <v>1.914123124676681E-2</v>
      </c>
      <c r="H292" s="125">
        <f t="shared" si="325"/>
        <v>9.8339999999999997E-2</v>
      </c>
      <c r="I292" s="125">
        <f t="shared" si="325"/>
        <v>0.12650723469382591</v>
      </c>
      <c r="J292" s="125">
        <f t="shared" si="325"/>
        <v>1.6398522844759341E-2</v>
      </c>
      <c r="K292" s="125">
        <f t="shared" si="325"/>
        <v>1.3926271600695752E-2</v>
      </c>
      <c r="L292" s="125">
        <f t="shared" si="325"/>
        <v>1.4057661793117321E-2</v>
      </c>
      <c r="M292" s="125">
        <f t="shared" si="325"/>
        <v>0</v>
      </c>
      <c r="N292" s="125">
        <f t="shared" si="325"/>
        <v>2.1677907023400757E-2</v>
      </c>
      <c r="O292" s="125">
        <f t="shared" si="325"/>
        <v>4.051685061336731E-3</v>
      </c>
      <c r="P292" s="125">
        <f t="shared" si="325"/>
        <v>0.995</v>
      </c>
      <c r="Q292" s="125">
        <f t="shared" si="325"/>
        <v>0.995</v>
      </c>
      <c r="R292" s="125">
        <f t="shared" si="325"/>
        <v>0</v>
      </c>
    </row>
    <row r="293" spans="1:18">
      <c r="A293" s="123" t="e">
        <f t="shared" ref="A293" si="331">CONCATENATE("Year-",#REF!)</f>
        <v>#REF!</v>
      </c>
      <c r="B293" s="35">
        <v>53144</v>
      </c>
      <c r="C293" s="26">
        <f t="shared" si="324"/>
        <v>168.9</v>
      </c>
      <c r="D293" s="26">
        <f t="shared" si="324"/>
        <v>173.59972409999992</v>
      </c>
      <c r="E293" s="31">
        <f t="shared" si="260"/>
        <v>49210</v>
      </c>
      <c r="F293" s="124">
        <f t="shared" si="325"/>
        <v>51.564857066184757</v>
      </c>
      <c r="G293" s="125">
        <f t="shared" si="325"/>
        <v>2.1854695806261204E-2</v>
      </c>
      <c r="H293" s="125">
        <f t="shared" si="325"/>
        <v>9.1784000000000004E-2</v>
      </c>
      <c r="I293" s="125">
        <f t="shared" si="325"/>
        <v>0.1089308468990661</v>
      </c>
      <c r="J293" s="125">
        <f t="shared" si="325"/>
        <v>1.5867586262633245E-2</v>
      </c>
      <c r="K293" s="125">
        <f t="shared" si="325"/>
        <v>1.231974144019694E-2</v>
      </c>
      <c r="L293" s="125">
        <f t="shared" si="325"/>
        <v>1.3502102014775261E-2</v>
      </c>
      <c r="M293" s="125">
        <f t="shared" si="325"/>
        <v>0</v>
      </c>
      <c r="N293" s="125">
        <f t="shared" si="325"/>
        <v>2.127320988616644E-2</v>
      </c>
      <c r="O293" s="125">
        <f t="shared" si="325"/>
        <v>1.5557262066246368E-3</v>
      </c>
      <c r="P293" s="125">
        <f t="shared" si="325"/>
        <v>0.995</v>
      </c>
      <c r="Q293" s="125">
        <f t="shared" si="325"/>
        <v>0.995</v>
      </c>
      <c r="R293" s="125">
        <f t="shared" si="325"/>
        <v>0</v>
      </c>
    </row>
    <row r="294" spans="1:18">
      <c r="A294" s="123" t="e">
        <f t="shared" ref="A294" si="332">CONCATENATE("Year-",#REF!)</f>
        <v>#REF!</v>
      </c>
      <c r="B294" s="35">
        <v>53175</v>
      </c>
      <c r="C294" s="26">
        <f t="shared" si="324"/>
        <v>174.2</v>
      </c>
      <c r="D294" s="26">
        <f t="shared" si="324"/>
        <v>172.6001566000001</v>
      </c>
      <c r="E294" s="31">
        <f t="shared" ref="E294:E313" si="333">E282*(1-$AE$2)</f>
        <v>50100</v>
      </c>
      <c r="F294" s="124">
        <f t="shared" si="325"/>
        <v>50.336592710430871</v>
      </c>
      <c r="G294" s="125">
        <f t="shared" si="325"/>
        <v>2.0196191575302946E-2</v>
      </c>
      <c r="H294" s="125">
        <f t="shared" si="325"/>
        <v>8.8506000000000001E-2</v>
      </c>
      <c r="I294" s="125">
        <f t="shared" si="325"/>
        <v>0.10494453414747008</v>
      </c>
      <c r="J294" s="125">
        <f t="shared" si="325"/>
        <v>1.507508977611231E-2</v>
      </c>
      <c r="K294" s="125">
        <f t="shared" si="325"/>
        <v>1.2791562311125756E-2</v>
      </c>
      <c r="L294" s="125">
        <f t="shared" si="325"/>
        <v>1.4116403195935955E-2</v>
      </c>
      <c r="M294" s="125">
        <f t="shared" si="325"/>
        <v>0</v>
      </c>
      <c r="N294" s="125">
        <f t="shared" si="325"/>
        <v>2.157456294953386E-2</v>
      </c>
      <c r="O294" s="125">
        <f t="shared" si="325"/>
        <v>6.2818876990405415E-3</v>
      </c>
      <c r="P294" s="125">
        <f t="shared" si="325"/>
        <v>0.995</v>
      </c>
      <c r="Q294" s="125">
        <f t="shared" si="325"/>
        <v>0.995</v>
      </c>
      <c r="R294" s="125">
        <f t="shared" si="325"/>
        <v>0</v>
      </c>
    </row>
    <row r="295" spans="1:18">
      <c r="A295" s="123" t="e">
        <f t="shared" ref="A295" si="334">CONCATENATE("Year-",#REF!)</f>
        <v>#REF!</v>
      </c>
      <c r="B295" s="35">
        <v>53206</v>
      </c>
      <c r="C295" s="26">
        <f t="shared" si="324"/>
        <v>192.1</v>
      </c>
      <c r="D295" s="26">
        <f t="shared" si="324"/>
        <v>178.89930529999984</v>
      </c>
      <c r="E295" s="31">
        <f t="shared" si="333"/>
        <v>52760</v>
      </c>
      <c r="F295" s="124">
        <f t="shared" si="325"/>
        <v>52.25059433997491</v>
      </c>
      <c r="G295" s="125">
        <f t="shared" si="325"/>
        <v>1.7196456487754141E-2</v>
      </c>
      <c r="H295" s="125">
        <f t="shared" si="325"/>
        <v>8.5227999999999998E-2</v>
      </c>
      <c r="I295" s="125">
        <f t="shared" si="325"/>
        <v>0.11387126505657014</v>
      </c>
      <c r="J295" s="125">
        <f t="shared" si="325"/>
        <v>1.3959618092500629E-2</v>
      </c>
      <c r="K295" s="125">
        <f t="shared" si="325"/>
        <v>1.4531255376132731E-2</v>
      </c>
      <c r="L295" s="125">
        <f t="shared" si="325"/>
        <v>1.4478833500810966E-2</v>
      </c>
      <c r="M295" s="125">
        <f t="shared" si="325"/>
        <v>0</v>
      </c>
      <c r="N295" s="125">
        <f t="shared" si="325"/>
        <v>2.2473527643153385E-2</v>
      </c>
      <c r="O295" s="125">
        <f t="shared" si="325"/>
        <v>1.1388926338936924E-2</v>
      </c>
      <c r="P295" s="125">
        <f t="shared" si="325"/>
        <v>0.995</v>
      </c>
      <c r="Q295" s="125">
        <f t="shared" si="325"/>
        <v>0.995</v>
      </c>
      <c r="R295" s="125">
        <f t="shared" si="325"/>
        <v>0</v>
      </c>
    </row>
    <row r="296" spans="1:18">
      <c r="A296" s="123" t="e">
        <f t="shared" ref="A296" si="335">CONCATENATE("Year-",#REF!)</f>
        <v>#REF!</v>
      </c>
      <c r="B296" s="35">
        <v>53236</v>
      </c>
      <c r="C296" s="26">
        <f t="shared" si="324"/>
        <v>202.3</v>
      </c>
      <c r="D296" s="26">
        <f t="shared" si="324"/>
        <v>174.60082279999986</v>
      </c>
      <c r="E296" s="31">
        <f t="shared" si="333"/>
        <v>57190</v>
      </c>
      <c r="F296" s="124">
        <f t="shared" si="325"/>
        <v>49.723937837075084</v>
      </c>
      <c r="G296" s="125">
        <f t="shared" si="325"/>
        <v>1.5873015873015817E-2</v>
      </c>
      <c r="H296" s="125">
        <f t="shared" si="325"/>
        <v>8.8506000000000001E-2</v>
      </c>
      <c r="I296" s="125">
        <f t="shared" si="325"/>
        <v>0.10390722673430232</v>
      </c>
      <c r="J296" s="125">
        <f t="shared" si="325"/>
        <v>1.4040704754284353E-2</v>
      </c>
      <c r="K296" s="125">
        <f t="shared" si="325"/>
        <v>1.526389492868482E-2</v>
      </c>
      <c r="L296" s="125">
        <f t="shared" si="325"/>
        <v>1.5324069649683622E-2</v>
      </c>
      <c r="M296" s="125">
        <f t="shared" si="325"/>
        <v>0</v>
      </c>
      <c r="N296" s="125">
        <f t="shared" si="325"/>
        <v>2.3043103417804571E-2</v>
      </c>
      <c r="O296" s="125">
        <f t="shared" si="325"/>
        <v>2.1184397869334348E-2</v>
      </c>
      <c r="P296" s="125">
        <f t="shared" si="325"/>
        <v>0.995</v>
      </c>
      <c r="Q296" s="125">
        <f t="shared" si="325"/>
        <v>0.995</v>
      </c>
      <c r="R296" s="125">
        <f t="shared" si="325"/>
        <v>0</v>
      </c>
    </row>
    <row r="297" spans="1:18">
      <c r="A297" s="123" t="e">
        <f t="shared" ref="A297" si="336">CONCATENATE("Year-",#REF!)</f>
        <v>#REF!</v>
      </c>
      <c r="B297" s="35">
        <v>53267</v>
      </c>
      <c r="C297" s="26">
        <f t="shared" si="324"/>
        <v>162.9</v>
      </c>
      <c r="D297" s="26">
        <f t="shared" si="324"/>
        <v>133.69942049999997</v>
      </c>
      <c r="E297" s="31">
        <f t="shared" si="333"/>
        <v>46900</v>
      </c>
      <c r="F297" s="124">
        <f t="shared" si="325"/>
        <v>42.187120547750681</v>
      </c>
      <c r="G297" s="125">
        <f t="shared" si="325"/>
        <v>1.5950920245398792E-2</v>
      </c>
      <c r="H297" s="125">
        <f t="shared" si="325"/>
        <v>8.8506000000000001E-2</v>
      </c>
      <c r="I297" s="125">
        <f t="shared" si="325"/>
        <v>6.9024239591701744E-2</v>
      </c>
      <c r="J297" s="125">
        <f t="shared" si="325"/>
        <v>1.4204952105287192E-2</v>
      </c>
      <c r="K297" s="125">
        <f t="shared" si="325"/>
        <v>1.3252885058363056E-2</v>
      </c>
      <c r="L297" s="125">
        <f t="shared" si="325"/>
        <v>1.3980442883231779E-2</v>
      </c>
      <c r="M297" s="125">
        <f t="shared" si="325"/>
        <v>0</v>
      </c>
      <c r="N297" s="125">
        <f t="shared" si="325"/>
        <v>2.30208488716231E-2</v>
      </c>
      <c r="O297" s="125">
        <f t="shared" si="325"/>
        <v>8.3479094998109554E-3</v>
      </c>
      <c r="P297" s="125">
        <f t="shared" si="325"/>
        <v>0.995</v>
      </c>
      <c r="Q297" s="125">
        <f t="shared" si="325"/>
        <v>0.995</v>
      </c>
      <c r="R297" s="125">
        <f t="shared" si="325"/>
        <v>0</v>
      </c>
    </row>
    <row r="298" spans="1:18">
      <c r="A298" s="123" t="e">
        <f t="shared" ref="A298" si="337">CONCATENATE("Year-",#REF!)</f>
        <v>#REF!</v>
      </c>
      <c r="B298" s="35">
        <v>53297</v>
      </c>
      <c r="C298" s="26">
        <f t="shared" si="324"/>
        <v>158.6</v>
      </c>
      <c r="D298" s="26">
        <f t="shared" si="324"/>
        <v>124.40004220000003</v>
      </c>
      <c r="E298" s="31">
        <f t="shared" si="333"/>
        <v>48280</v>
      </c>
      <c r="F298" s="124">
        <f t="shared" si="325"/>
        <v>36.076939444156181</v>
      </c>
      <c r="G298" s="125">
        <f t="shared" si="325"/>
        <v>1.5802781289506962E-2</v>
      </c>
      <c r="H298" s="125">
        <f t="shared" si="325"/>
        <v>8.8506000000000001E-2</v>
      </c>
      <c r="I298" s="125">
        <f t="shared" si="325"/>
        <v>4.4787946264861052E-2</v>
      </c>
      <c r="J298" s="125">
        <f t="shared" si="325"/>
        <v>1.4140595613406415E-2</v>
      </c>
      <c r="K298" s="125">
        <f t="shared" si="325"/>
        <v>1.2367081056294736E-2</v>
      </c>
      <c r="L298" s="125">
        <f t="shared" si="325"/>
        <v>1.3960975699298588E-2</v>
      </c>
      <c r="M298" s="125">
        <f t="shared" si="325"/>
        <v>0</v>
      </c>
      <c r="N298" s="125">
        <f t="shared" si="325"/>
        <v>2.3055036005913448E-2</v>
      </c>
      <c r="O298" s="125">
        <f t="shared" si="325"/>
        <v>3.6978876304825567E-3</v>
      </c>
      <c r="P298" s="125">
        <f t="shared" si="325"/>
        <v>0.995</v>
      </c>
      <c r="Q298" s="125">
        <f t="shared" si="325"/>
        <v>0.995</v>
      </c>
      <c r="R298" s="125">
        <f t="shared" si="325"/>
        <v>0</v>
      </c>
    </row>
    <row r="299" spans="1:18">
      <c r="A299" s="123" t="e">
        <f t="shared" ref="A299" si="338">CONCATENATE("Year-",#REF!)</f>
        <v>#REF!</v>
      </c>
      <c r="B299" s="35">
        <v>53328</v>
      </c>
      <c r="C299" s="26">
        <f t="shared" si="324"/>
        <v>169.028549</v>
      </c>
      <c r="D299" s="26">
        <f t="shared" si="324"/>
        <v>133.89933939999995</v>
      </c>
      <c r="E299" s="31">
        <f t="shared" si="333"/>
        <v>51260</v>
      </c>
      <c r="F299" s="124">
        <f t="shared" si="325"/>
        <v>34.970332119021293</v>
      </c>
      <c r="G299" s="125">
        <f t="shared" si="325"/>
        <v>1.7200474495848161E-2</v>
      </c>
      <c r="H299" s="125">
        <f t="shared" si="325"/>
        <v>8.8506000000000001E-2</v>
      </c>
      <c r="I299" s="125">
        <f t="shared" si="325"/>
        <v>4.0029940128316385E-2</v>
      </c>
      <c r="J299" s="125">
        <f t="shared" si="325"/>
        <v>1.4099625889623608E-2</v>
      </c>
      <c r="K299" s="125">
        <f t="shared" si="325"/>
        <v>1.267725762135744E-2</v>
      </c>
      <c r="L299" s="125">
        <f t="shared" si="325"/>
        <v>1.390175346828215E-2</v>
      </c>
      <c r="M299" s="125">
        <f t="shared" si="325"/>
        <v>0</v>
      </c>
      <c r="N299" s="125">
        <f t="shared" si="325"/>
        <v>2.298066658515029E-2</v>
      </c>
      <c r="O299" s="125">
        <f t="shared" si="325"/>
        <v>1.0644897972798715E-2</v>
      </c>
      <c r="P299" s="125">
        <f t="shared" si="325"/>
        <v>0.995</v>
      </c>
      <c r="Q299" s="125">
        <f t="shared" si="325"/>
        <v>0.995</v>
      </c>
      <c r="R299" s="125">
        <f t="shared" si="325"/>
        <v>0</v>
      </c>
    </row>
    <row r="300" spans="1:18">
      <c r="A300" s="123" t="e">
        <f t="shared" ref="A300" si="339">CONCATENATE("Year-",#REF!)</f>
        <v>#REF!</v>
      </c>
      <c r="B300" s="35">
        <v>53359</v>
      </c>
      <c r="C300" s="26">
        <f t="shared" si="324"/>
        <v>172.55912190000004</v>
      </c>
      <c r="D300" s="26">
        <f t="shared" si="324"/>
        <v>145.40077080000009</v>
      </c>
      <c r="E300" s="31">
        <f t="shared" si="333"/>
        <v>47290</v>
      </c>
      <c r="F300" s="124">
        <f t="shared" si="325"/>
        <v>40.252096455972236</v>
      </c>
      <c r="G300" s="125">
        <f t="shared" si="325"/>
        <v>1.510749564206848E-2</v>
      </c>
      <c r="H300" s="125">
        <f t="shared" si="325"/>
        <v>8.8506000000000001E-2</v>
      </c>
      <c r="I300" s="125">
        <f t="shared" si="325"/>
        <v>6.2111013936519133E-2</v>
      </c>
      <c r="J300" s="125">
        <f t="shared" si="325"/>
        <v>1.4175439055030284E-2</v>
      </c>
      <c r="K300" s="125">
        <f t="shared" si="325"/>
        <v>1.4384371816049681E-2</v>
      </c>
      <c r="L300" s="125">
        <f t="shared" si="325"/>
        <v>1.5915736744616871E-2</v>
      </c>
      <c r="M300" s="125">
        <f t="shared" si="325"/>
        <v>0</v>
      </c>
      <c r="N300" s="125">
        <f t="shared" si="325"/>
        <v>2.3268144471779773E-2</v>
      </c>
      <c r="O300" s="125">
        <f t="shared" si="325"/>
        <v>2.5052142565085967E-2</v>
      </c>
      <c r="P300" s="125">
        <f t="shared" si="325"/>
        <v>0.995</v>
      </c>
      <c r="Q300" s="125">
        <f t="shared" si="325"/>
        <v>0.995</v>
      </c>
      <c r="R300" s="125">
        <f t="shared" si="325"/>
        <v>0</v>
      </c>
    </row>
    <row r="301" spans="1:18">
      <c r="A301" s="123" t="e">
        <f t="shared" ref="A301" si="340">CONCATENATE("Year-",#REF!)</f>
        <v>#REF!</v>
      </c>
      <c r="B301" s="35">
        <v>53387</v>
      </c>
      <c r="C301" s="26">
        <f t="shared" si="324"/>
        <v>215.74576700000009</v>
      </c>
      <c r="D301" s="26">
        <f t="shared" si="324"/>
        <v>195.59891570000002</v>
      </c>
      <c r="E301" s="31">
        <f t="shared" si="333"/>
        <v>60510</v>
      </c>
      <c r="F301" s="124">
        <f t="shared" si="325"/>
        <v>47.179622377374095</v>
      </c>
      <c r="G301" s="125">
        <f t="shared" si="325"/>
        <v>1.5306122448979553E-2</v>
      </c>
      <c r="H301" s="125">
        <f t="shared" si="325"/>
        <v>9.1784000000000004E-2</v>
      </c>
      <c r="I301" s="125">
        <f t="shared" si="325"/>
        <v>9.4419706369976972E-2</v>
      </c>
      <c r="J301" s="125">
        <f t="shared" si="325"/>
        <v>1.4644787078611174E-2</v>
      </c>
      <c r="K301" s="125">
        <f t="shared" si="325"/>
        <v>1.6212630268737406E-2</v>
      </c>
      <c r="L301" s="125">
        <f t="shared" si="325"/>
        <v>2.0718676035686345E-2</v>
      </c>
      <c r="M301" s="125">
        <f t="shared" si="325"/>
        <v>0</v>
      </c>
      <c r="N301" s="125">
        <f t="shared" si="325"/>
        <v>2.3247057021314733E-2</v>
      </c>
      <c r="O301" s="125">
        <f t="shared" si="325"/>
        <v>3.9222124133286969E-2</v>
      </c>
      <c r="P301" s="125">
        <f t="shared" si="325"/>
        <v>0.995</v>
      </c>
      <c r="Q301" s="125">
        <f t="shared" si="325"/>
        <v>0.995</v>
      </c>
      <c r="R301" s="125">
        <f t="shared" si="325"/>
        <v>0</v>
      </c>
    </row>
    <row r="302" spans="1:18">
      <c r="A302" s="123" t="e">
        <f t="shared" ref="A302" si="341">CONCATENATE("Year-",#REF!)</f>
        <v>#REF!</v>
      </c>
      <c r="B302" s="35">
        <v>53418</v>
      </c>
      <c r="C302" s="26">
        <f t="shared" si="324"/>
        <v>215.9</v>
      </c>
      <c r="D302" s="26">
        <f t="shared" si="324"/>
        <v>208.99969899999999</v>
      </c>
      <c r="E302" s="31">
        <f t="shared" si="333"/>
        <v>58630</v>
      </c>
      <c r="F302" s="124">
        <f t="shared" si="325"/>
        <v>52.296499350965128</v>
      </c>
      <c r="G302" s="125">
        <f t="shared" si="325"/>
        <v>1.6658954187875996E-2</v>
      </c>
      <c r="H302" s="125">
        <f t="shared" si="325"/>
        <v>9.5061999999999994E-2</v>
      </c>
      <c r="I302" s="125">
        <f t="shared" si="325"/>
        <v>0.11719199751057031</v>
      </c>
      <c r="J302" s="125">
        <f t="shared" si="325"/>
        <v>1.5231272154623582E-2</v>
      </c>
      <c r="K302" s="125">
        <f t="shared" si="325"/>
        <v>1.6110689006976781E-2</v>
      </c>
      <c r="L302" s="125">
        <f t="shared" si="325"/>
        <v>1.8633277773980331E-2</v>
      </c>
      <c r="M302" s="125">
        <f t="shared" si="325"/>
        <v>0</v>
      </c>
      <c r="N302" s="125">
        <f t="shared" si="325"/>
        <v>2.2802418781094937E-2</v>
      </c>
      <c r="O302" s="125">
        <f t="shared" si="325"/>
        <v>2.7995485693316467E-2</v>
      </c>
      <c r="P302" s="125">
        <f t="shared" si="325"/>
        <v>0.995</v>
      </c>
      <c r="Q302" s="125">
        <f t="shared" si="325"/>
        <v>0.995</v>
      </c>
      <c r="R302" s="125">
        <f t="shared" si="325"/>
        <v>0</v>
      </c>
    </row>
    <row r="303" spans="1:18">
      <c r="A303" s="123" t="e">
        <f t="shared" ref="A303" si="342">CONCATENATE("Year-",#REF!)</f>
        <v>#REF!</v>
      </c>
      <c r="B303" s="35">
        <v>53448</v>
      </c>
      <c r="C303" s="26">
        <f t="shared" ref="C303:D313" si="343">C291</f>
        <v>217.9</v>
      </c>
      <c r="D303" s="26">
        <f t="shared" si="343"/>
        <v>221.90023470000006</v>
      </c>
      <c r="E303" s="31">
        <f t="shared" si="333"/>
        <v>61780</v>
      </c>
      <c r="F303" s="124">
        <f t="shared" ref="F303:R313" si="344">F291</f>
        <v>55.437733860726389</v>
      </c>
      <c r="G303" s="125">
        <f t="shared" si="344"/>
        <v>1.7865322950068707E-2</v>
      </c>
      <c r="H303" s="125">
        <f t="shared" si="344"/>
        <v>9.8339999999999997E-2</v>
      </c>
      <c r="I303" s="125">
        <f t="shared" si="344"/>
        <v>0.1306817577748349</v>
      </c>
      <c r="J303" s="125">
        <f t="shared" si="344"/>
        <v>1.609339136491415E-2</v>
      </c>
      <c r="K303" s="125">
        <f t="shared" si="344"/>
        <v>1.525163145425878E-2</v>
      </c>
      <c r="L303" s="125">
        <f t="shared" si="344"/>
        <v>1.5763583972179196E-2</v>
      </c>
      <c r="M303" s="125">
        <f t="shared" si="344"/>
        <v>0</v>
      </c>
      <c r="N303" s="125">
        <f t="shared" si="344"/>
        <v>2.2281870794181511E-2</v>
      </c>
      <c r="O303" s="125">
        <f t="shared" si="344"/>
        <v>1.1198342091846737E-2</v>
      </c>
      <c r="P303" s="125">
        <f t="shared" si="344"/>
        <v>0.995</v>
      </c>
      <c r="Q303" s="125">
        <f t="shared" si="344"/>
        <v>0.995</v>
      </c>
      <c r="R303" s="125">
        <f t="shared" si="344"/>
        <v>0</v>
      </c>
    </row>
    <row r="304" spans="1:18">
      <c r="A304" s="123" t="e">
        <f t="shared" ref="A304" si="345">CONCATENATE("Year-",#REF!)</f>
        <v>#REF!</v>
      </c>
      <c r="B304" s="35">
        <v>53479</v>
      </c>
      <c r="C304" s="26">
        <f t="shared" si="343"/>
        <v>192.8</v>
      </c>
      <c r="D304" s="26">
        <f t="shared" si="343"/>
        <v>200.20089519999999</v>
      </c>
      <c r="E304" s="31">
        <f t="shared" si="333"/>
        <v>53700</v>
      </c>
      <c r="F304" s="124">
        <f t="shared" si="344"/>
        <v>54.658309168315547</v>
      </c>
      <c r="G304" s="125">
        <f t="shared" si="344"/>
        <v>1.914123124676681E-2</v>
      </c>
      <c r="H304" s="125">
        <f t="shared" si="344"/>
        <v>9.8339999999999997E-2</v>
      </c>
      <c r="I304" s="125">
        <f t="shared" si="344"/>
        <v>0.12650723469382591</v>
      </c>
      <c r="J304" s="125">
        <f t="shared" si="344"/>
        <v>1.6398522844759341E-2</v>
      </c>
      <c r="K304" s="125">
        <f t="shared" si="344"/>
        <v>1.3926271600695752E-2</v>
      </c>
      <c r="L304" s="125">
        <f t="shared" si="344"/>
        <v>1.4057661793117321E-2</v>
      </c>
      <c r="M304" s="125">
        <f t="shared" si="344"/>
        <v>0</v>
      </c>
      <c r="N304" s="125">
        <f t="shared" si="344"/>
        <v>2.1677907023400757E-2</v>
      </c>
      <c r="O304" s="125">
        <f t="shared" si="344"/>
        <v>4.051685061336731E-3</v>
      </c>
      <c r="P304" s="125">
        <f t="shared" si="344"/>
        <v>0.995</v>
      </c>
      <c r="Q304" s="125">
        <f t="shared" si="344"/>
        <v>0.995</v>
      </c>
      <c r="R304" s="125">
        <f t="shared" si="344"/>
        <v>0</v>
      </c>
    </row>
    <row r="305" spans="1:18">
      <c r="A305" s="123" t="e">
        <f t="shared" ref="A305" si="346">CONCATENATE("Year-",#REF!)</f>
        <v>#REF!</v>
      </c>
      <c r="B305" s="35">
        <v>53509</v>
      </c>
      <c r="C305" s="26">
        <f t="shared" si="343"/>
        <v>168.9</v>
      </c>
      <c r="D305" s="26">
        <f t="shared" si="343"/>
        <v>173.59972409999992</v>
      </c>
      <c r="E305" s="31">
        <f t="shared" si="333"/>
        <v>49210</v>
      </c>
      <c r="F305" s="124">
        <f t="shared" si="344"/>
        <v>51.564857066184757</v>
      </c>
      <c r="G305" s="125">
        <f t="shared" si="344"/>
        <v>2.1854695806261204E-2</v>
      </c>
      <c r="H305" s="125">
        <f t="shared" si="344"/>
        <v>9.1784000000000004E-2</v>
      </c>
      <c r="I305" s="125">
        <f t="shared" si="344"/>
        <v>0.1089308468990661</v>
      </c>
      <c r="J305" s="125">
        <f t="shared" si="344"/>
        <v>1.5867586262633245E-2</v>
      </c>
      <c r="K305" s="125">
        <f t="shared" si="344"/>
        <v>1.231974144019694E-2</v>
      </c>
      <c r="L305" s="125">
        <f t="shared" si="344"/>
        <v>1.3502102014775261E-2</v>
      </c>
      <c r="M305" s="125">
        <f t="shared" si="344"/>
        <v>0</v>
      </c>
      <c r="N305" s="125">
        <f t="shared" si="344"/>
        <v>2.127320988616644E-2</v>
      </c>
      <c r="O305" s="125">
        <f t="shared" si="344"/>
        <v>1.5557262066246368E-3</v>
      </c>
      <c r="P305" s="125">
        <f t="shared" si="344"/>
        <v>0.995</v>
      </c>
      <c r="Q305" s="125">
        <f t="shared" si="344"/>
        <v>0.995</v>
      </c>
      <c r="R305" s="125">
        <f t="shared" si="344"/>
        <v>0</v>
      </c>
    </row>
    <row r="306" spans="1:18">
      <c r="A306" s="123" t="e">
        <f t="shared" ref="A306" si="347">CONCATENATE("Year-",#REF!)</f>
        <v>#REF!</v>
      </c>
      <c r="B306" s="35">
        <v>53540</v>
      </c>
      <c r="C306" s="26">
        <f t="shared" si="343"/>
        <v>174.2</v>
      </c>
      <c r="D306" s="26">
        <f t="shared" si="343"/>
        <v>172.6001566000001</v>
      </c>
      <c r="E306" s="31">
        <f t="shared" si="333"/>
        <v>50100</v>
      </c>
      <c r="F306" s="124">
        <f t="shared" si="344"/>
        <v>50.336592710430871</v>
      </c>
      <c r="G306" s="125">
        <f t="shared" si="344"/>
        <v>2.0196191575302946E-2</v>
      </c>
      <c r="H306" s="125">
        <f t="shared" si="344"/>
        <v>8.8506000000000001E-2</v>
      </c>
      <c r="I306" s="125">
        <f t="shared" si="344"/>
        <v>0.10494453414747008</v>
      </c>
      <c r="J306" s="125">
        <f t="shared" si="344"/>
        <v>1.507508977611231E-2</v>
      </c>
      <c r="K306" s="125">
        <f t="shared" si="344"/>
        <v>1.2791562311125756E-2</v>
      </c>
      <c r="L306" s="125">
        <f t="shared" si="344"/>
        <v>1.4116403195935955E-2</v>
      </c>
      <c r="M306" s="125">
        <f t="shared" si="344"/>
        <v>0</v>
      </c>
      <c r="N306" s="125">
        <f t="shared" si="344"/>
        <v>2.157456294953386E-2</v>
      </c>
      <c r="O306" s="125">
        <f t="shared" si="344"/>
        <v>6.2818876990405415E-3</v>
      </c>
      <c r="P306" s="125">
        <f t="shared" si="344"/>
        <v>0.995</v>
      </c>
      <c r="Q306" s="125">
        <f t="shared" si="344"/>
        <v>0.995</v>
      </c>
      <c r="R306" s="125">
        <f t="shared" si="344"/>
        <v>0</v>
      </c>
    </row>
    <row r="307" spans="1:18">
      <c r="A307" s="123" t="e">
        <f t="shared" ref="A307" si="348">CONCATENATE("Year-",#REF!)</f>
        <v>#REF!</v>
      </c>
      <c r="B307" s="35">
        <v>53571</v>
      </c>
      <c r="C307" s="26">
        <f t="shared" si="343"/>
        <v>192.1</v>
      </c>
      <c r="D307" s="26">
        <f t="shared" si="343"/>
        <v>178.89930529999984</v>
      </c>
      <c r="E307" s="31">
        <f t="shared" si="333"/>
        <v>52760</v>
      </c>
      <c r="F307" s="124">
        <f t="shared" si="344"/>
        <v>52.25059433997491</v>
      </c>
      <c r="G307" s="125">
        <f t="shared" si="344"/>
        <v>1.7196456487754141E-2</v>
      </c>
      <c r="H307" s="125">
        <f t="shared" si="344"/>
        <v>8.5227999999999998E-2</v>
      </c>
      <c r="I307" s="125">
        <f t="shared" si="344"/>
        <v>0.11387126505657014</v>
      </c>
      <c r="J307" s="125">
        <f t="shared" si="344"/>
        <v>1.3959618092500629E-2</v>
      </c>
      <c r="K307" s="125">
        <f t="shared" si="344"/>
        <v>1.4531255376132731E-2</v>
      </c>
      <c r="L307" s="125">
        <f t="shared" si="344"/>
        <v>1.4478833500810966E-2</v>
      </c>
      <c r="M307" s="125">
        <f t="shared" si="344"/>
        <v>0</v>
      </c>
      <c r="N307" s="125">
        <f t="shared" si="344"/>
        <v>2.2473527643153385E-2</v>
      </c>
      <c r="O307" s="125">
        <f t="shared" si="344"/>
        <v>1.1388926338936924E-2</v>
      </c>
      <c r="P307" s="125">
        <f t="shared" si="344"/>
        <v>0.995</v>
      </c>
      <c r="Q307" s="125">
        <f t="shared" si="344"/>
        <v>0.995</v>
      </c>
      <c r="R307" s="125">
        <f t="shared" si="344"/>
        <v>0</v>
      </c>
    </row>
    <row r="308" spans="1:18">
      <c r="A308" s="123" t="e">
        <f t="shared" ref="A308" si="349">CONCATENATE("Year-",#REF!)</f>
        <v>#REF!</v>
      </c>
      <c r="B308" s="35">
        <v>53601</v>
      </c>
      <c r="C308" s="26">
        <f t="shared" si="343"/>
        <v>202.3</v>
      </c>
      <c r="D308" s="26">
        <f t="shared" si="343"/>
        <v>174.60082279999986</v>
      </c>
      <c r="E308" s="31">
        <f t="shared" si="333"/>
        <v>57190</v>
      </c>
      <c r="F308" s="124">
        <f t="shared" si="344"/>
        <v>49.723937837075084</v>
      </c>
      <c r="G308" s="125">
        <f t="shared" si="344"/>
        <v>1.5873015873015817E-2</v>
      </c>
      <c r="H308" s="125">
        <f t="shared" si="344"/>
        <v>8.8506000000000001E-2</v>
      </c>
      <c r="I308" s="125">
        <f t="shared" si="344"/>
        <v>0.10390722673430232</v>
      </c>
      <c r="J308" s="125">
        <f t="shared" si="344"/>
        <v>1.4040704754284353E-2</v>
      </c>
      <c r="K308" s="125">
        <f t="shared" si="344"/>
        <v>1.526389492868482E-2</v>
      </c>
      <c r="L308" s="125">
        <f t="shared" si="344"/>
        <v>1.5324069649683622E-2</v>
      </c>
      <c r="M308" s="125">
        <f t="shared" si="344"/>
        <v>0</v>
      </c>
      <c r="N308" s="125">
        <f t="shared" si="344"/>
        <v>2.3043103417804571E-2</v>
      </c>
      <c r="O308" s="125">
        <f t="shared" si="344"/>
        <v>2.1184397869334348E-2</v>
      </c>
      <c r="P308" s="125">
        <f t="shared" si="344"/>
        <v>0.995</v>
      </c>
      <c r="Q308" s="125">
        <f t="shared" si="344"/>
        <v>0.995</v>
      </c>
      <c r="R308" s="125">
        <f t="shared" si="344"/>
        <v>0</v>
      </c>
    </row>
    <row r="309" spans="1:18">
      <c r="A309" s="123" t="e">
        <f t="shared" ref="A309" si="350">CONCATENATE("Year-",#REF!)</f>
        <v>#REF!</v>
      </c>
      <c r="B309" s="35">
        <v>53632</v>
      </c>
      <c r="C309" s="26">
        <f t="shared" si="343"/>
        <v>162.9</v>
      </c>
      <c r="D309" s="26">
        <f t="shared" si="343"/>
        <v>133.69942049999997</v>
      </c>
      <c r="E309" s="31">
        <f t="shared" si="333"/>
        <v>46900</v>
      </c>
      <c r="F309" s="124">
        <f t="shared" si="344"/>
        <v>42.187120547750681</v>
      </c>
      <c r="G309" s="125">
        <f t="shared" si="344"/>
        <v>1.5950920245398792E-2</v>
      </c>
      <c r="H309" s="125">
        <f t="shared" si="344"/>
        <v>8.8506000000000001E-2</v>
      </c>
      <c r="I309" s="125">
        <f t="shared" si="344"/>
        <v>6.9024239591701744E-2</v>
      </c>
      <c r="J309" s="125">
        <f t="shared" si="344"/>
        <v>1.4204952105287192E-2</v>
      </c>
      <c r="K309" s="125">
        <f t="shared" si="344"/>
        <v>1.3252885058363056E-2</v>
      </c>
      <c r="L309" s="125">
        <f t="shared" si="344"/>
        <v>1.3980442883231779E-2</v>
      </c>
      <c r="M309" s="125">
        <f t="shared" si="344"/>
        <v>0</v>
      </c>
      <c r="N309" s="125">
        <f t="shared" si="344"/>
        <v>2.30208488716231E-2</v>
      </c>
      <c r="O309" s="125">
        <f t="shared" si="344"/>
        <v>8.3479094998109554E-3</v>
      </c>
      <c r="P309" s="125">
        <f t="shared" si="344"/>
        <v>0.995</v>
      </c>
      <c r="Q309" s="125">
        <f t="shared" si="344"/>
        <v>0.995</v>
      </c>
      <c r="R309" s="125">
        <f t="shared" si="344"/>
        <v>0</v>
      </c>
    </row>
    <row r="310" spans="1:18">
      <c r="A310" s="123" t="e">
        <f t="shared" ref="A310" si="351">CONCATENATE("Year-",#REF!)</f>
        <v>#REF!</v>
      </c>
      <c r="B310" s="35">
        <v>53662</v>
      </c>
      <c r="C310" s="26">
        <f t="shared" si="343"/>
        <v>158.6</v>
      </c>
      <c r="D310" s="26">
        <f t="shared" si="343"/>
        <v>124.40004220000003</v>
      </c>
      <c r="E310" s="31">
        <f t="shared" si="333"/>
        <v>48280</v>
      </c>
      <c r="F310" s="124">
        <f t="shared" si="344"/>
        <v>36.076939444156181</v>
      </c>
      <c r="G310" s="125">
        <f t="shared" si="344"/>
        <v>1.5802781289506962E-2</v>
      </c>
      <c r="H310" s="125">
        <f t="shared" si="344"/>
        <v>8.8506000000000001E-2</v>
      </c>
      <c r="I310" s="125">
        <f t="shared" si="344"/>
        <v>4.4787946264861052E-2</v>
      </c>
      <c r="J310" s="125">
        <f t="shared" si="344"/>
        <v>1.4140595613406415E-2</v>
      </c>
      <c r="K310" s="125">
        <f t="shared" si="344"/>
        <v>1.2367081056294736E-2</v>
      </c>
      <c r="L310" s="125">
        <f t="shared" si="344"/>
        <v>1.3960975699298588E-2</v>
      </c>
      <c r="M310" s="125">
        <f t="shared" si="344"/>
        <v>0</v>
      </c>
      <c r="N310" s="125">
        <f t="shared" si="344"/>
        <v>2.3055036005913448E-2</v>
      </c>
      <c r="O310" s="125">
        <f t="shared" si="344"/>
        <v>3.6978876304825567E-3</v>
      </c>
      <c r="P310" s="125">
        <f t="shared" si="344"/>
        <v>0.995</v>
      </c>
      <c r="Q310" s="125">
        <f t="shared" si="344"/>
        <v>0.995</v>
      </c>
      <c r="R310" s="125">
        <f t="shared" si="344"/>
        <v>0</v>
      </c>
    </row>
    <row r="311" spans="1:18">
      <c r="A311" s="123" t="e">
        <f t="shared" ref="A311" si="352">CONCATENATE("Year-",#REF!)</f>
        <v>#REF!</v>
      </c>
      <c r="B311" s="35">
        <v>53693</v>
      </c>
      <c r="C311" s="26">
        <f t="shared" si="343"/>
        <v>169.028549</v>
      </c>
      <c r="D311" s="26">
        <f t="shared" si="343"/>
        <v>133.89933939999995</v>
      </c>
      <c r="E311" s="31">
        <f t="shared" si="333"/>
        <v>51260</v>
      </c>
      <c r="F311" s="124">
        <f t="shared" si="344"/>
        <v>34.970332119021293</v>
      </c>
      <c r="G311" s="125">
        <f t="shared" si="344"/>
        <v>1.7200474495848161E-2</v>
      </c>
      <c r="H311" s="125">
        <f t="shared" si="344"/>
        <v>8.8506000000000001E-2</v>
      </c>
      <c r="I311" s="125">
        <f t="shared" si="344"/>
        <v>4.0029940128316385E-2</v>
      </c>
      <c r="J311" s="125">
        <f t="shared" si="344"/>
        <v>1.4099625889623608E-2</v>
      </c>
      <c r="K311" s="125">
        <f t="shared" si="344"/>
        <v>1.267725762135744E-2</v>
      </c>
      <c r="L311" s="125">
        <f t="shared" si="344"/>
        <v>1.390175346828215E-2</v>
      </c>
      <c r="M311" s="125">
        <f t="shared" si="344"/>
        <v>0</v>
      </c>
      <c r="N311" s="125">
        <f t="shared" si="344"/>
        <v>2.298066658515029E-2</v>
      </c>
      <c r="O311" s="125">
        <f t="shared" si="344"/>
        <v>1.0644897972798715E-2</v>
      </c>
      <c r="P311" s="125">
        <f t="shared" si="344"/>
        <v>0.995</v>
      </c>
      <c r="Q311" s="125">
        <f t="shared" si="344"/>
        <v>0.995</v>
      </c>
      <c r="R311" s="125">
        <f t="shared" si="344"/>
        <v>0</v>
      </c>
    </row>
    <row r="312" spans="1:18">
      <c r="A312" s="123" t="e">
        <f t="shared" ref="A312" si="353">CONCATENATE("Year-",#REF!)</f>
        <v>#REF!</v>
      </c>
      <c r="B312" s="35">
        <v>53724</v>
      </c>
      <c r="C312" s="26">
        <f t="shared" si="343"/>
        <v>172.55912190000004</v>
      </c>
      <c r="D312" s="26">
        <f t="shared" si="343"/>
        <v>145.40077080000009</v>
      </c>
      <c r="E312" s="31">
        <f t="shared" si="333"/>
        <v>47290</v>
      </c>
      <c r="F312" s="124">
        <f t="shared" si="344"/>
        <v>40.252096455972236</v>
      </c>
      <c r="G312" s="125">
        <f t="shared" si="344"/>
        <v>1.510749564206848E-2</v>
      </c>
      <c r="H312" s="125">
        <f t="shared" si="344"/>
        <v>8.8506000000000001E-2</v>
      </c>
      <c r="I312" s="125">
        <f t="shared" si="344"/>
        <v>6.2111013936519133E-2</v>
      </c>
      <c r="J312" s="125">
        <f t="shared" si="344"/>
        <v>1.4175439055030284E-2</v>
      </c>
      <c r="K312" s="125">
        <f t="shared" si="344"/>
        <v>1.4384371816049681E-2</v>
      </c>
      <c r="L312" s="125">
        <f t="shared" si="344"/>
        <v>1.5915736744616871E-2</v>
      </c>
      <c r="M312" s="125">
        <f t="shared" si="344"/>
        <v>0</v>
      </c>
      <c r="N312" s="125">
        <f t="shared" si="344"/>
        <v>2.3268144471779773E-2</v>
      </c>
      <c r="O312" s="125">
        <f t="shared" si="344"/>
        <v>2.5052142565085967E-2</v>
      </c>
      <c r="P312" s="125">
        <f t="shared" si="344"/>
        <v>0.995</v>
      </c>
      <c r="Q312" s="125">
        <f t="shared" si="344"/>
        <v>0.995</v>
      </c>
      <c r="R312" s="125">
        <f t="shared" si="344"/>
        <v>0</v>
      </c>
    </row>
    <row r="313" spans="1:18">
      <c r="A313" s="137" t="e">
        <f t="shared" ref="A313" si="354">CONCATENATE("Year-",#REF!)</f>
        <v>#REF!</v>
      </c>
      <c r="B313" s="138">
        <v>53752</v>
      </c>
      <c r="C313" s="139">
        <f t="shared" si="343"/>
        <v>215.74576700000009</v>
      </c>
      <c r="D313" s="139">
        <f t="shared" si="343"/>
        <v>195.59891570000002</v>
      </c>
      <c r="E313" s="140">
        <f t="shared" si="333"/>
        <v>60510</v>
      </c>
      <c r="F313" s="141">
        <f t="shared" si="344"/>
        <v>47.179622377374095</v>
      </c>
      <c r="G313" s="125">
        <f t="shared" si="344"/>
        <v>1.5306122448979553E-2</v>
      </c>
      <c r="H313" s="125">
        <f t="shared" si="344"/>
        <v>9.1784000000000004E-2</v>
      </c>
      <c r="I313" s="125">
        <f t="shared" si="344"/>
        <v>9.4419706369976972E-2</v>
      </c>
      <c r="J313" s="125">
        <f t="shared" si="344"/>
        <v>1.4644787078611174E-2</v>
      </c>
      <c r="K313" s="125">
        <f t="shared" si="344"/>
        <v>1.6212630268737406E-2</v>
      </c>
      <c r="L313" s="125">
        <f t="shared" si="344"/>
        <v>2.0718676035686345E-2</v>
      </c>
      <c r="M313" s="125">
        <f t="shared" si="344"/>
        <v>0</v>
      </c>
      <c r="N313" s="125">
        <f t="shared" si="344"/>
        <v>2.3247057021314733E-2</v>
      </c>
      <c r="O313" s="125">
        <f t="shared" si="344"/>
        <v>3.9222124133286969E-2</v>
      </c>
      <c r="P313" s="125">
        <f t="shared" si="344"/>
        <v>0.995</v>
      </c>
      <c r="Q313" s="125">
        <f t="shared" si="344"/>
        <v>0.995</v>
      </c>
      <c r="R313" s="125">
        <f t="shared" si="344"/>
        <v>0</v>
      </c>
    </row>
  </sheetData>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C1C6E-A647-481E-B50D-E4178B0CB79C}">
  <dimension ref="A1:Y1846"/>
  <sheetViews>
    <sheetView topLeftCell="A1808" workbookViewId="0">
      <selection activeCell="B91" sqref="B91"/>
    </sheetView>
  </sheetViews>
  <sheetFormatPr defaultColWidth="8.81640625" defaultRowHeight="14.5"/>
  <cols>
    <col min="1" max="1" width="18.81640625" bestFit="1" customWidth="1"/>
    <col min="2" max="2" width="18.453125" style="1" bestFit="1" customWidth="1"/>
    <col min="3" max="3" width="18.453125" style="1" customWidth="1"/>
    <col min="5" max="5" width="25.453125" bestFit="1" customWidth="1"/>
    <col min="6" max="6" width="4.453125" customWidth="1"/>
    <col min="7" max="7" width="27.453125" bestFit="1" customWidth="1"/>
    <col min="8" max="8" width="2.81640625" customWidth="1"/>
    <col min="9" max="9" width="20.81640625" style="30" bestFit="1" customWidth="1"/>
    <col min="10" max="10" width="2.81640625" style="1" customWidth="1"/>
    <col min="11" max="11" width="19.81640625" style="1" customWidth="1"/>
    <col min="12" max="12" width="2.453125" style="1" customWidth="1"/>
    <col min="13" max="13" width="19.81640625" style="1" customWidth="1"/>
    <col min="14" max="14" width="3.81640625" style="1" customWidth="1"/>
    <col min="15" max="15" width="21.81640625" style="1" bestFit="1" customWidth="1"/>
    <col min="19" max="19" width="12.1796875" bestFit="1" customWidth="1"/>
    <col min="24" max="24" width="10.453125" bestFit="1" customWidth="1"/>
    <col min="25" max="25" width="12.453125" bestFit="1" customWidth="1"/>
  </cols>
  <sheetData>
    <row r="1" spans="1:25" s="23" customFormat="1" ht="29">
      <c r="A1" s="20" t="s">
        <v>533</v>
      </c>
      <c r="B1" s="21" t="s">
        <v>534</v>
      </c>
      <c r="C1" s="22" t="s">
        <v>374</v>
      </c>
      <c r="E1" s="20" t="s">
        <v>535</v>
      </c>
      <c r="G1" s="20" t="s">
        <v>536</v>
      </c>
      <c r="H1"/>
      <c r="I1" s="20" t="s">
        <v>537</v>
      </c>
      <c r="J1"/>
      <c r="K1" s="20" t="s">
        <v>538</v>
      </c>
      <c r="M1" s="20" t="s">
        <v>533</v>
      </c>
      <c r="O1" s="20" t="s">
        <v>366</v>
      </c>
      <c r="Q1" s="24" t="s">
        <v>387</v>
      </c>
      <c r="S1" s="24" t="s">
        <v>539</v>
      </c>
      <c r="X1" s="23" t="s">
        <v>540</v>
      </c>
      <c r="Y1" s="23" t="s">
        <v>541</v>
      </c>
    </row>
    <row r="2" spans="1:25">
      <c r="A2" s="25" t="s">
        <v>542</v>
      </c>
      <c r="B2" s="26">
        <v>2064.7999999999997</v>
      </c>
      <c r="C2" s="27">
        <f>IFERROR(B2/$S$2,"")</f>
        <v>6.1619082577568469E-3</v>
      </c>
      <c r="E2" s="25" t="s">
        <v>398</v>
      </c>
      <c r="G2" t="s">
        <v>437</v>
      </c>
      <c r="I2" t="s">
        <v>406</v>
      </c>
      <c r="J2"/>
      <c r="K2" t="s">
        <v>424</v>
      </c>
      <c r="L2"/>
      <c r="M2" t="s">
        <v>420</v>
      </c>
      <c r="N2"/>
      <c r="O2" t="s">
        <v>402</v>
      </c>
      <c r="Q2" t="s">
        <v>399</v>
      </c>
      <c r="S2" s="30">
        <v>335091</v>
      </c>
    </row>
    <row r="3" spans="1:25">
      <c r="A3" s="25" t="s">
        <v>543</v>
      </c>
      <c r="B3" s="26">
        <v>2090.61</v>
      </c>
      <c r="C3" s="27">
        <f t="shared" ref="C3:C66" si="0">IFERROR(B3/$S$2,"")</f>
        <v>6.2389321109788095E-3</v>
      </c>
      <c r="E3" s="25" t="s">
        <v>450</v>
      </c>
      <c r="G3" t="s">
        <v>393</v>
      </c>
      <c r="I3" t="s">
        <v>412</v>
      </c>
      <c r="J3"/>
      <c r="K3" t="s">
        <v>443</v>
      </c>
      <c r="L3"/>
      <c r="M3" t="s">
        <v>544</v>
      </c>
      <c r="N3"/>
      <c r="O3" t="s">
        <v>395</v>
      </c>
      <c r="Q3" t="s">
        <v>422</v>
      </c>
    </row>
    <row r="4" spans="1:25">
      <c r="A4" s="25" t="s">
        <v>545</v>
      </c>
      <c r="B4" s="26">
        <v>2090.61</v>
      </c>
      <c r="C4" s="27">
        <f t="shared" si="0"/>
        <v>6.2389321109788095E-3</v>
      </c>
      <c r="E4" s="25" t="s">
        <v>453</v>
      </c>
      <c r="G4" t="s">
        <v>430</v>
      </c>
      <c r="I4" t="s">
        <v>413</v>
      </c>
      <c r="J4"/>
      <c r="K4" t="s">
        <v>465</v>
      </c>
      <c r="L4"/>
      <c r="M4" t="s">
        <v>546</v>
      </c>
      <c r="N4"/>
      <c r="O4"/>
    </row>
    <row r="5" spans="1:25">
      <c r="A5" s="25" t="s">
        <v>547</v>
      </c>
      <c r="B5" s="26">
        <v>2077.7049999999999</v>
      </c>
      <c r="C5" s="27">
        <f t="shared" si="0"/>
        <v>6.2004201843678282E-3</v>
      </c>
      <c r="E5" s="25" t="s">
        <v>433</v>
      </c>
      <c r="G5" t="s">
        <v>441</v>
      </c>
      <c r="I5" t="s">
        <v>396</v>
      </c>
      <c r="J5"/>
      <c r="K5" t="s">
        <v>429</v>
      </c>
      <c r="L5"/>
      <c r="M5" t="s">
        <v>460</v>
      </c>
      <c r="N5"/>
      <c r="O5"/>
    </row>
    <row r="6" spans="1:25">
      <c r="A6" s="25" t="s">
        <v>548</v>
      </c>
      <c r="B6" s="26">
        <v>2090.61</v>
      </c>
      <c r="C6" s="27">
        <f t="shared" si="0"/>
        <v>6.2389321109788095E-3</v>
      </c>
      <c r="E6" s="25" t="s">
        <v>427</v>
      </c>
      <c r="G6" t="s">
        <v>438</v>
      </c>
      <c r="I6" t="s">
        <v>442</v>
      </c>
      <c r="J6"/>
      <c r="K6" t="s">
        <v>458</v>
      </c>
      <c r="L6"/>
      <c r="M6" t="s">
        <v>467</v>
      </c>
      <c r="N6"/>
      <c r="O6"/>
    </row>
    <row r="7" spans="1:25">
      <c r="A7" s="25" t="s">
        <v>549</v>
      </c>
      <c r="B7" s="26">
        <v>2090.61</v>
      </c>
      <c r="C7" s="27">
        <f t="shared" si="0"/>
        <v>6.2389321109788095E-3</v>
      </c>
      <c r="E7" s="25" t="s">
        <v>421</v>
      </c>
      <c r="G7" t="s">
        <v>419</v>
      </c>
      <c r="I7" t="s">
        <v>403</v>
      </c>
      <c r="J7"/>
      <c r="K7" t="s">
        <v>397</v>
      </c>
      <c r="L7"/>
      <c r="M7" t="s">
        <v>550</v>
      </c>
      <c r="N7"/>
      <c r="O7"/>
    </row>
    <row r="8" spans="1:25">
      <c r="A8" s="25" t="s">
        <v>551</v>
      </c>
      <c r="B8" s="26">
        <v>2090.61</v>
      </c>
      <c r="C8" s="27">
        <f t="shared" si="0"/>
        <v>6.2389321109788095E-3</v>
      </c>
      <c r="E8" s="25" t="s">
        <v>435</v>
      </c>
      <c r="G8" t="s">
        <v>454</v>
      </c>
      <c r="I8" t="s">
        <v>417</v>
      </c>
      <c r="J8"/>
      <c r="K8" t="s">
        <v>445</v>
      </c>
      <c r="L8"/>
      <c r="M8" t="s">
        <v>552</v>
      </c>
      <c r="N8"/>
      <c r="O8"/>
    </row>
    <row r="9" spans="1:25">
      <c r="A9" s="25" t="s">
        <v>553</v>
      </c>
      <c r="B9" s="26">
        <v>2193.85</v>
      </c>
      <c r="C9" s="27">
        <f t="shared" si="0"/>
        <v>6.547027523866651E-3</v>
      </c>
      <c r="E9" s="25" t="s">
        <v>461</v>
      </c>
      <c r="G9" t="s">
        <v>444</v>
      </c>
      <c r="I9" t="s">
        <v>409</v>
      </c>
      <c r="J9"/>
      <c r="K9" t="s">
        <v>463</v>
      </c>
      <c r="L9"/>
      <c r="M9" t="s">
        <v>554</v>
      </c>
      <c r="N9"/>
      <c r="O9"/>
    </row>
    <row r="10" spans="1:25">
      <c r="A10" s="25" t="s">
        <v>555</v>
      </c>
      <c r="B10" s="26">
        <v>2090.61</v>
      </c>
      <c r="C10" s="27">
        <f t="shared" si="0"/>
        <v>6.2389321109788095E-3</v>
      </c>
      <c r="E10" s="25" t="s">
        <v>556</v>
      </c>
      <c r="G10" t="s">
        <v>416</v>
      </c>
      <c r="I10" t="s">
        <v>415</v>
      </c>
      <c r="J10"/>
      <c r="K10" t="s">
        <v>404</v>
      </c>
      <c r="L10"/>
      <c r="M10" t="s">
        <v>557</v>
      </c>
      <c r="N10"/>
      <c r="O10"/>
    </row>
    <row r="11" spans="1:25">
      <c r="A11" s="25" t="s">
        <v>558</v>
      </c>
      <c r="B11" s="26">
        <v>2090.61</v>
      </c>
      <c r="C11" s="27">
        <f t="shared" si="0"/>
        <v>6.2389321109788095E-3</v>
      </c>
      <c r="E11" s="25" t="s">
        <v>559</v>
      </c>
      <c r="G11" t="s">
        <v>434</v>
      </c>
      <c r="I11" t="s">
        <v>418</v>
      </c>
      <c r="J11"/>
      <c r="K11" t="s">
        <v>448</v>
      </c>
      <c r="L11"/>
      <c r="M11" t="s">
        <v>560</v>
      </c>
      <c r="N11"/>
      <c r="O11"/>
    </row>
    <row r="12" spans="1:25">
      <c r="A12" s="25" t="s">
        <v>561</v>
      </c>
      <c r="B12" s="26">
        <v>2090.61</v>
      </c>
      <c r="C12" s="27">
        <f t="shared" si="0"/>
        <v>6.2389321109788095E-3</v>
      </c>
      <c r="E12" s="25" t="s">
        <v>562</v>
      </c>
      <c r="G12" t="s">
        <v>425</v>
      </c>
      <c r="I12"/>
      <c r="J12"/>
      <c r="K12"/>
      <c r="L12"/>
      <c r="M12" t="s">
        <v>563</v>
      </c>
      <c r="N12"/>
      <c r="O12"/>
    </row>
    <row r="13" spans="1:25">
      <c r="A13" s="25" t="s">
        <v>564</v>
      </c>
      <c r="B13" s="26">
        <v>2090.61</v>
      </c>
      <c r="C13" s="27">
        <f t="shared" si="0"/>
        <v>6.2389321109788095E-3</v>
      </c>
      <c r="E13" s="25" t="s">
        <v>565</v>
      </c>
      <c r="G13" t="s">
        <v>447</v>
      </c>
      <c r="I13"/>
      <c r="J13"/>
      <c r="K13"/>
      <c r="L13"/>
      <c r="M13" t="s">
        <v>566</v>
      </c>
      <c r="N13"/>
      <c r="O13"/>
    </row>
    <row r="14" spans="1:25">
      <c r="A14" s="25" t="s">
        <v>567</v>
      </c>
      <c r="B14" s="26">
        <v>2064.7999999999997</v>
      </c>
      <c r="C14" s="27">
        <f t="shared" si="0"/>
        <v>6.1619082577568469E-3</v>
      </c>
      <c r="E14" s="25" t="s">
        <v>568</v>
      </c>
      <c r="G14" t="s">
        <v>423</v>
      </c>
      <c r="I14"/>
      <c r="J14"/>
      <c r="K14"/>
      <c r="L14"/>
      <c r="M14" t="s">
        <v>462</v>
      </c>
      <c r="N14"/>
      <c r="O14"/>
    </row>
    <row r="15" spans="1:25">
      <c r="A15" s="25" t="s">
        <v>569</v>
      </c>
      <c r="B15" s="26">
        <v>2090.61</v>
      </c>
      <c r="C15" s="27">
        <f t="shared" si="0"/>
        <v>6.2389321109788095E-3</v>
      </c>
      <c r="E15" s="25" t="s">
        <v>570</v>
      </c>
      <c r="G15" t="s">
        <v>428</v>
      </c>
      <c r="I15"/>
      <c r="J15"/>
      <c r="K15"/>
      <c r="L15"/>
      <c r="M15" t="s">
        <v>571</v>
      </c>
      <c r="N15"/>
      <c r="O15"/>
    </row>
    <row r="16" spans="1:25">
      <c r="A16" s="25" t="s">
        <v>572</v>
      </c>
      <c r="B16" s="26">
        <v>2090.61</v>
      </c>
      <c r="C16" s="27">
        <f t="shared" si="0"/>
        <v>6.2389321109788095E-3</v>
      </c>
      <c r="E16" s="25" t="s">
        <v>573</v>
      </c>
      <c r="G16" t="s">
        <v>426</v>
      </c>
      <c r="I16"/>
      <c r="J16"/>
      <c r="K16"/>
      <c r="L16"/>
      <c r="M16" t="s">
        <v>475</v>
      </c>
      <c r="N16"/>
      <c r="O16"/>
    </row>
    <row r="17" spans="1:15">
      <c r="A17" s="25" t="s">
        <v>574</v>
      </c>
      <c r="B17" s="26">
        <v>2090.61</v>
      </c>
      <c r="C17" s="27">
        <f t="shared" si="0"/>
        <v>6.2389321109788095E-3</v>
      </c>
      <c r="E17" s="25" t="s">
        <v>575</v>
      </c>
      <c r="G17" t="s">
        <v>446</v>
      </c>
      <c r="I17"/>
      <c r="J17"/>
      <c r="K17"/>
      <c r="L17"/>
      <c r="M17" t="s">
        <v>431</v>
      </c>
      <c r="N17"/>
      <c r="O17"/>
    </row>
    <row r="18" spans="1:15">
      <c r="A18" s="25" t="s">
        <v>576</v>
      </c>
      <c r="B18" s="26">
        <v>2090.61</v>
      </c>
      <c r="C18" s="27">
        <f t="shared" si="0"/>
        <v>6.2389321109788095E-3</v>
      </c>
      <c r="E18" s="25" t="s">
        <v>577</v>
      </c>
      <c r="G18" t="s">
        <v>439</v>
      </c>
      <c r="I18"/>
      <c r="J18"/>
      <c r="K18"/>
      <c r="L18"/>
      <c r="M18" t="s">
        <v>436</v>
      </c>
      <c r="N18"/>
      <c r="O18"/>
    </row>
    <row r="19" spans="1:15">
      <c r="A19" s="25" t="s">
        <v>578</v>
      </c>
      <c r="B19" s="26">
        <v>2090.61</v>
      </c>
      <c r="C19" s="27">
        <f t="shared" si="0"/>
        <v>6.2389321109788095E-3</v>
      </c>
      <c r="E19" s="25" t="s">
        <v>579</v>
      </c>
      <c r="G19" t="s">
        <v>405</v>
      </c>
      <c r="I19"/>
      <c r="J19"/>
      <c r="K19"/>
      <c r="L19"/>
      <c r="M19" t="s">
        <v>580</v>
      </c>
      <c r="N19"/>
      <c r="O19"/>
    </row>
    <row r="20" spans="1:15">
      <c r="A20" s="25" t="s">
        <v>581</v>
      </c>
      <c r="B20" s="26">
        <v>2090.61</v>
      </c>
      <c r="C20" s="27">
        <f t="shared" si="0"/>
        <v>6.2389321109788095E-3</v>
      </c>
      <c r="E20" s="29" t="s">
        <v>451</v>
      </c>
      <c r="G20" t="s">
        <v>407</v>
      </c>
      <c r="I20"/>
      <c r="J20"/>
      <c r="K20"/>
      <c r="L20"/>
      <c r="M20"/>
      <c r="N20"/>
      <c r="O20"/>
    </row>
    <row r="21" spans="1:15">
      <c r="A21" s="25" t="s">
        <v>582</v>
      </c>
      <c r="B21" s="26">
        <v>2090.61</v>
      </c>
      <c r="C21" s="27">
        <f t="shared" si="0"/>
        <v>6.2389321109788095E-3</v>
      </c>
      <c r="E21" s="25"/>
      <c r="G21" t="s">
        <v>400</v>
      </c>
      <c r="I21"/>
      <c r="J21"/>
      <c r="K21"/>
      <c r="L21"/>
      <c r="M21"/>
      <c r="N21"/>
      <c r="O21"/>
    </row>
    <row r="22" spans="1:15">
      <c r="A22" s="25" t="s">
        <v>583</v>
      </c>
      <c r="B22" s="26">
        <v>2114.1000000000004</v>
      </c>
      <c r="C22" s="27">
        <f t="shared" si="0"/>
        <v>6.3090324717763246E-3</v>
      </c>
      <c r="E22" s="25"/>
      <c r="I22"/>
      <c r="J22"/>
      <c r="K22"/>
      <c r="L22"/>
      <c r="M22"/>
      <c r="N22"/>
      <c r="O22"/>
    </row>
    <row r="23" spans="1:15">
      <c r="A23" s="25" t="s">
        <v>584</v>
      </c>
      <c r="B23" s="26">
        <v>2088.0000000000005</v>
      </c>
      <c r="C23" s="27">
        <f t="shared" si="0"/>
        <v>6.2311431820013087E-3</v>
      </c>
      <c r="E23" s="25"/>
      <c r="I23"/>
      <c r="J23"/>
      <c r="K23"/>
      <c r="L23"/>
      <c r="M23"/>
      <c r="N23"/>
      <c r="O23"/>
    </row>
    <row r="24" spans="1:15">
      <c r="A24" s="25" t="s">
        <v>585</v>
      </c>
      <c r="B24" s="26">
        <v>2114.1000000000004</v>
      </c>
      <c r="C24" s="27">
        <f t="shared" si="0"/>
        <v>6.3090324717763246E-3</v>
      </c>
      <c r="E24" s="25"/>
      <c r="I24"/>
      <c r="J24"/>
      <c r="K24"/>
      <c r="L24"/>
      <c r="M24"/>
      <c r="N24"/>
      <c r="O24"/>
    </row>
    <row r="25" spans="1:15">
      <c r="A25" s="25" t="s">
        <v>586</v>
      </c>
      <c r="B25" s="26">
        <v>2088.0000000000005</v>
      </c>
      <c r="C25" s="27">
        <f t="shared" si="0"/>
        <v>6.2311431820013087E-3</v>
      </c>
      <c r="E25" s="29"/>
      <c r="I25"/>
      <c r="J25"/>
      <c r="K25"/>
      <c r="L25"/>
      <c r="M25"/>
      <c r="N25"/>
      <c r="O25"/>
    </row>
    <row r="26" spans="1:15">
      <c r="A26" s="25" t="s">
        <v>587</v>
      </c>
      <c r="B26" s="26">
        <v>2088.0000000000005</v>
      </c>
      <c r="C26" s="27">
        <f t="shared" si="0"/>
        <v>6.2311431820013087E-3</v>
      </c>
      <c r="E26" s="29"/>
      <c r="I26"/>
      <c r="J26"/>
      <c r="K26"/>
      <c r="L26"/>
      <c r="M26"/>
      <c r="N26"/>
      <c r="O26"/>
    </row>
    <row r="27" spans="1:15">
      <c r="A27" s="25" t="s">
        <v>588</v>
      </c>
      <c r="B27" s="26">
        <v>1879.2000000000003</v>
      </c>
      <c r="C27" s="27">
        <f t="shared" si="0"/>
        <v>5.6080288638011774E-3</v>
      </c>
      <c r="I27"/>
      <c r="J27"/>
      <c r="K27"/>
      <c r="L27"/>
      <c r="M27"/>
      <c r="N27"/>
      <c r="O27"/>
    </row>
    <row r="28" spans="1:15">
      <c r="A28" s="25" t="s">
        <v>589</v>
      </c>
      <c r="B28" s="26">
        <v>2114.1000000000004</v>
      </c>
      <c r="C28" s="27">
        <f t="shared" si="0"/>
        <v>6.3090324717763246E-3</v>
      </c>
      <c r="I28"/>
      <c r="J28"/>
      <c r="K28"/>
      <c r="L28"/>
      <c r="M28"/>
      <c r="N28"/>
      <c r="O28"/>
    </row>
    <row r="29" spans="1:15">
      <c r="A29" s="25" t="s">
        <v>590</v>
      </c>
      <c r="B29" s="26">
        <v>2088.0000000000005</v>
      </c>
      <c r="C29" s="27">
        <f t="shared" si="0"/>
        <v>6.2311431820013087E-3</v>
      </c>
      <c r="I29"/>
      <c r="J29"/>
      <c r="K29"/>
      <c r="L29"/>
      <c r="M29"/>
      <c r="N29"/>
      <c r="O29"/>
    </row>
    <row r="30" spans="1:15">
      <c r="A30" s="25" t="s">
        <v>591</v>
      </c>
      <c r="B30" s="26">
        <v>2114.1000000000004</v>
      </c>
      <c r="C30" s="27">
        <f t="shared" si="0"/>
        <v>6.3090324717763246E-3</v>
      </c>
      <c r="I30"/>
      <c r="J30"/>
      <c r="K30"/>
      <c r="L30"/>
      <c r="M30"/>
      <c r="N30"/>
      <c r="O30"/>
    </row>
    <row r="31" spans="1:15">
      <c r="A31" s="25" t="s">
        <v>592</v>
      </c>
      <c r="B31" s="26">
        <v>2088.0000000000005</v>
      </c>
      <c r="C31" s="27">
        <f t="shared" si="0"/>
        <v>6.2311431820013087E-3</v>
      </c>
      <c r="I31"/>
      <c r="J31"/>
      <c r="K31"/>
      <c r="L31"/>
      <c r="M31"/>
      <c r="N31"/>
      <c r="O31"/>
    </row>
    <row r="32" spans="1:15">
      <c r="A32" s="25" t="s">
        <v>593</v>
      </c>
      <c r="B32" s="26">
        <v>2114.1000000000004</v>
      </c>
      <c r="C32" s="27">
        <f t="shared" si="0"/>
        <v>6.3090324717763246E-3</v>
      </c>
      <c r="I32"/>
      <c r="J32"/>
      <c r="K32"/>
      <c r="L32"/>
      <c r="M32"/>
      <c r="N32"/>
      <c r="O32"/>
    </row>
    <row r="33" spans="1:15">
      <c r="A33" s="25" t="s">
        <v>594</v>
      </c>
      <c r="B33" s="26">
        <v>2061.9</v>
      </c>
      <c r="C33" s="27">
        <f t="shared" si="0"/>
        <v>6.1532538922262911E-3</v>
      </c>
      <c r="I33"/>
      <c r="J33"/>
      <c r="K33"/>
      <c r="L33"/>
      <c r="M33"/>
      <c r="N33"/>
      <c r="O33"/>
    </row>
    <row r="34" spans="1:15">
      <c r="A34" s="25" t="s">
        <v>595</v>
      </c>
      <c r="B34" s="26">
        <v>2090.61</v>
      </c>
      <c r="C34" s="27">
        <f t="shared" si="0"/>
        <v>6.2389321109788095E-3</v>
      </c>
      <c r="I34"/>
      <c r="J34"/>
      <c r="K34"/>
      <c r="L34"/>
      <c r="M34"/>
      <c r="N34"/>
      <c r="O34"/>
    </row>
    <row r="35" spans="1:15">
      <c r="A35" s="25" t="s">
        <v>596</v>
      </c>
      <c r="B35" s="26">
        <v>2090.61</v>
      </c>
      <c r="C35" s="27">
        <f t="shared" si="0"/>
        <v>6.2389321109788095E-3</v>
      </c>
      <c r="I35"/>
      <c r="J35"/>
      <c r="K35"/>
      <c r="L35"/>
      <c r="M35"/>
      <c r="N35"/>
      <c r="O35"/>
    </row>
    <row r="36" spans="1:15">
      <c r="A36" s="25" t="s">
        <v>597</v>
      </c>
      <c r="B36" s="26">
        <v>2090.61</v>
      </c>
      <c r="C36" s="27">
        <f t="shared" si="0"/>
        <v>6.2389321109788095E-3</v>
      </c>
      <c r="I36"/>
      <c r="J36"/>
      <c r="K36"/>
      <c r="L36"/>
      <c r="M36"/>
      <c r="N36"/>
      <c r="O36"/>
    </row>
    <row r="37" spans="1:15">
      <c r="A37" s="25" t="s">
        <v>598</v>
      </c>
      <c r="B37" s="26">
        <v>2090.61</v>
      </c>
      <c r="C37" s="27">
        <f t="shared" si="0"/>
        <v>6.2389321109788095E-3</v>
      </c>
      <c r="I37"/>
      <c r="J37"/>
      <c r="K37"/>
      <c r="L37"/>
      <c r="M37"/>
      <c r="N37"/>
      <c r="O37"/>
    </row>
    <row r="38" spans="1:15">
      <c r="A38" s="25" t="s">
        <v>599</v>
      </c>
      <c r="B38" s="26">
        <v>2090.61</v>
      </c>
      <c r="C38" s="27">
        <f t="shared" si="0"/>
        <v>6.2389321109788095E-3</v>
      </c>
      <c r="I38"/>
      <c r="J38"/>
      <c r="K38"/>
      <c r="L38"/>
      <c r="M38"/>
      <c r="N38"/>
      <c r="O38"/>
    </row>
    <row r="39" spans="1:15">
      <c r="A39" s="25" t="s">
        <v>600</v>
      </c>
      <c r="B39" s="26">
        <v>2090.61</v>
      </c>
      <c r="C39" s="27">
        <f t="shared" si="0"/>
        <v>6.2389321109788095E-3</v>
      </c>
      <c r="I39"/>
      <c r="J39"/>
      <c r="K39"/>
      <c r="L39"/>
      <c r="M39"/>
      <c r="N39"/>
      <c r="O39"/>
    </row>
    <row r="40" spans="1:15">
      <c r="A40" s="25" t="s">
        <v>601</v>
      </c>
      <c r="B40" s="26">
        <v>2090.61</v>
      </c>
      <c r="C40" s="27">
        <f t="shared" si="0"/>
        <v>6.2389321109788095E-3</v>
      </c>
      <c r="I40"/>
      <c r="J40"/>
      <c r="K40"/>
      <c r="L40"/>
      <c r="M40"/>
      <c r="N40"/>
      <c r="O40"/>
    </row>
    <row r="41" spans="1:15">
      <c r="A41" s="25" t="s">
        <v>602</v>
      </c>
      <c r="B41" s="26">
        <v>2090.61</v>
      </c>
      <c r="C41" s="27">
        <f t="shared" si="0"/>
        <v>6.2389321109788095E-3</v>
      </c>
      <c r="I41"/>
      <c r="J41"/>
      <c r="K41"/>
      <c r="L41"/>
      <c r="M41"/>
      <c r="N41"/>
      <c r="O41"/>
    </row>
    <row r="42" spans="1:15">
      <c r="A42" s="25" t="s">
        <v>603</v>
      </c>
      <c r="B42" s="26">
        <v>2234.16</v>
      </c>
      <c r="C42" s="27">
        <f t="shared" si="0"/>
        <v>6.6673232047413985E-3</v>
      </c>
      <c r="I42"/>
      <c r="J42"/>
      <c r="K42"/>
      <c r="L42"/>
      <c r="M42"/>
      <c r="N42"/>
      <c r="O42"/>
    </row>
    <row r="43" spans="1:15">
      <c r="A43" s="25" t="s">
        <v>604</v>
      </c>
      <c r="B43" s="26">
        <v>1985.92</v>
      </c>
      <c r="C43" s="27">
        <f t="shared" si="0"/>
        <v>5.9265095153256874E-3</v>
      </c>
      <c r="I43"/>
      <c r="J43"/>
      <c r="K43"/>
      <c r="L43"/>
      <c r="M43"/>
      <c r="N43"/>
      <c r="O43"/>
    </row>
    <row r="44" spans="1:15">
      <c r="A44" s="25" t="s">
        <v>605</v>
      </c>
      <c r="B44" s="26">
        <v>2203.13</v>
      </c>
      <c r="C44" s="27">
        <f t="shared" si="0"/>
        <v>6.5747214935644354E-3</v>
      </c>
      <c r="I44"/>
      <c r="J44"/>
      <c r="K44"/>
      <c r="L44"/>
      <c r="M44"/>
      <c r="N44"/>
      <c r="O44"/>
    </row>
    <row r="45" spans="1:15">
      <c r="A45" s="25" t="s">
        <v>606</v>
      </c>
      <c r="B45" s="26">
        <v>1985.92</v>
      </c>
      <c r="C45" s="27">
        <f t="shared" si="0"/>
        <v>5.9265095153256874E-3</v>
      </c>
      <c r="I45"/>
      <c r="J45"/>
      <c r="K45"/>
      <c r="L45"/>
      <c r="M45"/>
      <c r="N45"/>
      <c r="O45"/>
    </row>
    <row r="46" spans="1:15">
      <c r="A46" s="25" t="s">
        <v>607</v>
      </c>
      <c r="B46" s="26">
        <v>2192.4</v>
      </c>
      <c r="C46" s="27">
        <f t="shared" si="0"/>
        <v>6.5427003411013731E-3</v>
      </c>
      <c r="I46"/>
      <c r="J46"/>
      <c r="K46"/>
      <c r="L46"/>
      <c r="M46"/>
      <c r="N46"/>
      <c r="O46"/>
    </row>
    <row r="47" spans="1:15">
      <c r="A47" s="25" t="s">
        <v>608</v>
      </c>
      <c r="B47" s="26">
        <v>2380.3200000000002</v>
      </c>
      <c r="C47" s="27">
        <f t="shared" si="0"/>
        <v>7.1035032274814908E-3</v>
      </c>
      <c r="I47"/>
      <c r="J47"/>
      <c r="K47"/>
      <c r="L47"/>
      <c r="M47"/>
      <c r="N47"/>
      <c r="O47"/>
    </row>
    <row r="48" spans="1:15">
      <c r="A48" s="25" t="s">
        <v>609</v>
      </c>
      <c r="B48" s="26">
        <v>2203.13</v>
      </c>
      <c r="C48" s="27">
        <f t="shared" si="0"/>
        <v>6.5747214935644354E-3</v>
      </c>
      <c r="I48"/>
      <c r="J48"/>
      <c r="K48"/>
      <c r="L48"/>
      <c r="M48"/>
      <c r="N48"/>
      <c r="O48"/>
    </row>
    <row r="49" spans="1:15">
      <c r="A49" s="25" t="s">
        <v>610</v>
      </c>
      <c r="B49" s="26">
        <v>1985.92</v>
      </c>
      <c r="C49" s="27">
        <f t="shared" si="0"/>
        <v>5.9265095153256874E-3</v>
      </c>
      <c r="I49"/>
      <c r="J49"/>
      <c r="K49"/>
      <c r="L49"/>
      <c r="M49"/>
      <c r="N49"/>
      <c r="O49"/>
    </row>
    <row r="50" spans="1:15">
      <c r="A50" s="25" t="s">
        <v>611</v>
      </c>
      <c r="B50" s="26">
        <v>1973.1599999999999</v>
      </c>
      <c r="C50" s="27">
        <f t="shared" si="0"/>
        <v>5.8884303069912346E-3</v>
      </c>
      <c r="I50"/>
      <c r="J50"/>
      <c r="K50"/>
      <c r="L50"/>
      <c r="M50"/>
      <c r="N50"/>
      <c r="O50"/>
    </row>
    <row r="51" spans="1:15">
      <c r="A51" s="25" t="s">
        <v>612</v>
      </c>
      <c r="B51" s="26">
        <v>1973.1599999999999</v>
      </c>
      <c r="C51" s="27">
        <f t="shared" si="0"/>
        <v>5.8884303069912346E-3</v>
      </c>
      <c r="I51"/>
      <c r="J51"/>
      <c r="K51"/>
      <c r="L51"/>
      <c r="M51"/>
      <c r="N51"/>
      <c r="O51"/>
    </row>
    <row r="52" spans="1:15">
      <c r="A52" s="25" t="s">
        <v>613</v>
      </c>
      <c r="B52" s="26">
        <v>2098.4399999999996</v>
      </c>
      <c r="C52" s="27">
        <f t="shared" si="0"/>
        <v>6.2622988979113125E-3</v>
      </c>
      <c r="I52"/>
      <c r="J52"/>
      <c r="K52"/>
      <c r="L52"/>
      <c r="M52"/>
      <c r="N52"/>
      <c r="O52"/>
    </row>
    <row r="53" spans="1:15">
      <c r="A53" s="25" t="s">
        <v>614</v>
      </c>
      <c r="B53" s="26">
        <v>2004.4799999999998</v>
      </c>
      <c r="C53" s="27">
        <f t="shared" si="0"/>
        <v>5.9818974547212545E-3</v>
      </c>
      <c r="I53"/>
      <c r="J53"/>
      <c r="K53"/>
      <c r="L53"/>
      <c r="M53"/>
      <c r="N53"/>
      <c r="O53"/>
    </row>
    <row r="54" spans="1:15">
      <c r="A54" s="25" t="s">
        <v>615</v>
      </c>
      <c r="B54" s="26">
        <v>2223.7199999999998</v>
      </c>
      <c r="C54" s="27">
        <f t="shared" si="0"/>
        <v>6.6361674888313913E-3</v>
      </c>
      <c r="I54"/>
      <c r="J54"/>
      <c r="K54"/>
      <c r="L54"/>
      <c r="M54"/>
      <c r="N54"/>
      <c r="O54"/>
    </row>
    <row r="55" spans="1:15">
      <c r="A55" s="25" t="s">
        <v>616</v>
      </c>
      <c r="B55" s="26">
        <v>1973.1599999999999</v>
      </c>
      <c r="C55" s="27">
        <f t="shared" si="0"/>
        <v>5.8884303069912346E-3</v>
      </c>
      <c r="I55"/>
      <c r="J55"/>
      <c r="K55"/>
      <c r="L55"/>
      <c r="M55"/>
      <c r="N55"/>
      <c r="O55"/>
    </row>
    <row r="56" spans="1:15">
      <c r="A56" s="25" t="s">
        <v>617</v>
      </c>
      <c r="B56" s="26">
        <v>2223.7199999999998</v>
      </c>
      <c r="C56" s="27">
        <f t="shared" si="0"/>
        <v>6.6361674888313913E-3</v>
      </c>
      <c r="I56"/>
      <c r="J56"/>
      <c r="K56"/>
      <c r="L56"/>
      <c r="M56"/>
      <c r="N56"/>
      <c r="O56"/>
    </row>
    <row r="57" spans="1:15">
      <c r="A57" s="25" t="s">
        <v>618</v>
      </c>
      <c r="B57" s="26">
        <v>1973.1599999999999</v>
      </c>
      <c r="C57" s="27">
        <f t="shared" si="0"/>
        <v>5.8884303069912346E-3</v>
      </c>
      <c r="I57"/>
      <c r="J57"/>
      <c r="K57"/>
      <c r="L57"/>
      <c r="M57"/>
      <c r="N57"/>
      <c r="O57"/>
    </row>
    <row r="58" spans="1:15">
      <c r="A58" s="25" t="s">
        <v>619</v>
      </c>
      <c r="B58" s="26">
        <v>2004.4799999999998</v>
      </c>
      <c r="C58" s="27">
        <f t="shared" si="0"/>
        <v>5.9818974547212545E-3</v>
      </c>
      <c r="I58"/>
      <c r="J58"/>
      <c r="K58"/>
      <c r="L58"/>
      <c r="M58"/>
      <c r="N58"/>
      <c r="O58"/>
    </row>
    <row r="59" spans="1:15">
      <c r="A59" s="25" t="s">
        <v>620</v>
      </c>
      <c r="B59" s="26">
        <v>2255.04</v>
      </c>
      <c r="C59" s="27">
        <f t="shared" si="0"/>
        <v>6.7296346365614112E-3</v>
      </c>
      <c r="I59"/>
      <c r="J59"/>
      <c r="K59"/>
      <c r="L59"/>
      <c r="M59"/>
      <c r="N59"/>
      <c r="O59"/>
    </row>
    <row r="60" spans="1:15">
      <c r="A60" s="25" t="s">
        <v>621</v>
      </c>
      <c r="B60" s="26">
        <v>2255.04</v>
      </c>
      <c r="C60" s="27">
        <f t="shared" si="0"/>
        <v>6.7296346365614112E-3</v>
      </c>
      <c r="I60"/>
      <c r="J60"/>
      <c r="K60"/>
      <c r="L60"/>
      <c r="M60"/>
      <c r="N60"/>
      <c r="O60"/>
    </row>
    <row r="61" spans="1:15">
      <c r="A61" s="25" t="s">
        <v>622</v>
      </c>
      <c r="B61" s="26">
        <v>2004.4799999999998</v>
      </c>
      <c r="C61" s="27">
        <f t="shared" si="0"/>
        <v>5.9818974547212545E-3</v>
      </c>
      <c r="I61"/>
      <c r="J61"/>
      <c r="K61"/>
      <c r="L61"/>
      <c r="M61"/>
      <c r="N61"/>
      <c r="O61"/>
    </row>
    <row r="62" spans="1:15">
      <c r="A62" s="25" t="s">
        <v>623</v>
      </c>
      <c r="B62" s="26">
        <v>2255.04</v>
      </c>
      <c r="C62" s="27">
        <f t="shared" si="0"/>
        <v>6.7296346365614112E-3</v>
      </c>
      <c r="I62"/>
      <c r="J62"/>
      <c r="K62"/>
      <c r="L62"/>
      <c r="M62"/>
      <c r="N62"/>
      <c r="O62"/>
    </row>
    <row r="63" spans="1:15">
      <c r="A63" s="25" t="s">
        <v>624</v>
      </c>
      <c r="B63" s="26">
        <v>2004.4799999999998</v>
      </c>
      <c r="C63" s="27">
        <f t="shared" si="0"/>
        <v>5.9818974547212545E-3</v>
      </c>
      <c r="I63"/>
      <c r="J63"/>
      <c r="K63"/>
      <c r="L63"/>
      <c r="M63"/>
      <c r="N63"/>
      <c r="O63"/>
    </row>
    <row r="64" spans="1:15">
      <c r="A64" s="25" t="s">
        <v>625</v>
      </c>
      <c r="B64" s="26">
        <v>2088</v>
      </c>
      <c r="C64" s="27">
        <f t="shared" si="0"/>
        <v>6.231143182001307E-3</v>
      </c>
      <c r="I64"/>
      <c r="J64"/>
      <c r="K64"/>
      <c r="L64"/>
      <c r="M64"/>
      <c r="N64"/>
      <c r="O64"/>
    </row>
    <row r="65" spans="1:15">
      <c r="A65" s="25" t="s">
        <v>626</v>
      </c>
      <c r="B65" s="26">
        <v>2061.9</v>
      </c>
      <c r="C65" s="27">
        <f t="shared" si="0"/>
        <v>6.1532538922262911E-3</v>
      </c>
      <c r="I65"/>
      <c r="J65"/>
      <c r="K65"/>
      <c r="L65"/>
      <c r="M65"/>
      <c r="N65"/>
      <c r="O65"/>
    </row>
    <row r="66" spans="1:15">
      <c r="A66" s="25" t="s">
        <v>627</v>
      </c>
      <c r="B66" s="26">
        <v>2102.0650000000001</v>
      </c>
      <c r="C66" s="27">
        <f t="shared" si="0"/>
        <v>6.2731168548245102E-3</v>
      </c>
      <c r="I66"/>
      <c r="J66"/>
      <c r="K66"/>
      <c r="L66"/>
      <c r="M66"/>
      <c r="N66"/>
      <c r="O66"/>
    </row>
    <row r="67" spans="1:15">
      <c r="A67" s="25" t="s">
        <v>628</v>
      </c>
      <c r="B67" s="26">
        <v>2023.0400000000004</v>
      </c>
      <c r="C67" s="27">
        <f t="shared" ref="C67:C105" si="1">IFERROR(B67/$S$2,"")</f>
        <v>6.0372853941168233E-3</v>
      </c>
      <c r="I67"/>
      <c r="J67"/>
      <c r="K67"/>
      <c r="L67"/>
      <c r="M67"/>
      <c r="N67"/>
      <c r="O67"/>
    </row>
    <row r="68" spans="1:15">
      <c r="A68" s="25" t="s">
        <v>629</v>
      </c>
      <c r="B68" s="26">
        <v>2102.0650000000001</v>
      </c>
      <c r="C68" s="27">
        <f t="shared" si="1"/>
        <v>6.2731168548245102E-3</v>
      </c>
      <c r="I68"/>
      <c r="J68"/>
      <c r="K68"/>
      <c r="L68"/>
      <c r="M68"/>
      <c r="N68"/>
      <c r="O68"/>
    </row>
    <row r="69" spans="1:15">
      <c r="A69" s="25" t="s">
        <v>630</v>
      </c>
      <c r="B69" s="26">
        <v>2212.7000000000003</v>
      </c>
      <c r="C69" s="27">
        <f t="shared" si="1"/>
        <v>6.6032808998152748E-3</v>
      </c>
      <c r="I69"/>
      <c r="J69"/>
      <c r="K69"/>
      <c r="L69"/>
      <c r="M69"/>
      <c r="N69"/>
      <c r="O69"/>
    </row>
    <row r="70" spans="1:15">
      <c r="A70" s="25" t="s">
        <v>631</v>
      </c>
      <c r="B70" s="26">
        <v>2275.33</v>
      </c>
      <c r="C70" s="27">
        <f t="shared" si="1"/>
        <v>6.7901853526355525E-3</v>
      </c>
      <c r="I70"/>
      <c r="J70"/>
      <c r="K70"/>
      <c r="L70"/>
      <c r="M70"/>
      <c r="N70"/>
      <c r="O70"/>
    </row>
    <row r="71" spans="1:15">
      <c r="A71" s="25" t="s">
        <v>632</v>
      </c>
      <c r="B71" s="26">
        <v>2023.0400000000004</v>
      </c>
      <c r="C71" s="27">
        <f t="shared" si="1"/>
        <v>6.0372853941168233E-3</v>
      </c>
      <c r="I71"/>
      <c r="J71"/>
      <c r="K71"/>
      <c r="L71"/>
      <c r="M71"/>
      <c r="N71"/>
      <c r="O71"/>
    </row>
    <row r="72" spans="1:15">
      <c r="A72" s="25" t="s">
        <v>633</v>
      </c>
      <c r="B72" s="26">
        <v>2244.3100000000004</v>
      </c>
      <c r="C72" s="27">
        <f t="shared" si="1"/>
        <v>6.6976134840983506E-3</v>
      </c>
    </row>
    <row r="73" spans="1:15">
      <c r="A73" s="25" t="s">
        <v>634</v>
      </c>
      <c r="B73" s="26">
        <v>1959.8200000000002</v>
      </c>
      <c r="C73" s="27">
        <f t="shared" si="1"/>
        <v>5.8486202255506716E-3</v>
      </c>
    </row>
    <row r="74" spans="1:15">
      <c r="A74" s="25" t="s">
        <v>635</v>
      </c>
      <c r="B74" s="26">
        <v>2067.1200000000003</v>
      </c>
      <c r="C74" s="27">
        <f t="shared" si="1"/>
        <v>6.1688317501812952E-3</v>
      </c>
    </row>
    <row r="75" spans="1:15">
      <c r="A75" s="25" t="s">
        <v>636</v>
      </c>
      <c r="B75" s="26">
        <v>2098.4399999999996</v>
      </c>
      <c r="C75" s="27">
        <f t="shared" si="1"/>
        <v>6.2622988979113125E-3</v>
      </c>
    </row>
    <row r="76" spans="1:15">
      <c r="A76" s="25" t="s">
        <v>637</v>
      </c>
      <c r="B76" s="26">
        <v>1973.1599999999999</v>
      </c>
      <c r="C76" s="27">
        <f t="shared" si="1"/>
        <v>5.8884303069912346E-3</v>
      </c>
    </row>
    <row r="77" spans="1:15">
      <c r="A77" s="25" t="s">
        <v>638</v>
      </c>
      <c r="B77" s="26">
        <v>2223.7199999999998</v>
      </c>
      <c r="C77" s="27">
        <f t="shared" si="1"/>
        <v>6.6361674888313913E-3</v>
      </c>
    </row>
    <row r="78" spans="1:15">
      <c r="A78" s="25" t="s">
        <v>639</v>
      </c>
      <c r="B78" s="26">
        <v>1941.84</v>
      </c>
      <c r="C78" s="27">
        <f t="shared" si="1"/>
        <v>5.7949631592612155E-3</v>
      </c>
    </row>
    <row r="79" spans="1:15">
      <c r="A79" s="25" t="s">
        <v>640</v>
      </c>
      <c r="B79" s="26">
        <v>2255.04</v>
      </c>
      <c r="C79" s="27">
        <f t="shared" si="1"/>
        <v>6.7296346365614112E-3</v>
      </c>
    </row>
    <row r="80" spans="1:15">
      <c r="A80" s="25" t="s">
        <v>641</v>
      </c>
      <c r="B80" s="26">
        <v>1973.1599999999999</v>
      </c>
      <c r="C80" s="27">
        <f t="shared" si="1"/>
        <v>5.8884303069912346E-3</v>
      </c>
    </row>
    <row r="81" spans="1:3">
      <c r="A81" s="25" t="s">
        <v>642</v>
      </c>
      <c r="B81" s="26">
        <v>2223.7199999999998</v>
      </c>
      <c r="C81" s="27">
        <f t="shared" si="1"/>
        <v>6.6361674888313913E-3</v>
      </c>
    </row>
    <row r="82" spans="1:3">
      <c r="A82" s="25" t="s">
        <v>643</v>
      </c>
      <c r="B82" s="26">
        <v>2023.0400000000004</v>
      </c>
      <c r="C82" s="27">
        <f t="shared" si="1"/>
        <v>6.0372853941168233E-3</v>
      </c>
    </row>
    <row r="83" spans="1:3">
      <c r="A83" s="25" t="s">
        <v>644</v>
      </c>
      <c r="B83" s="26">
        <v>2212.7000000000003</v>
      </c>
      <c r="C83" s="27">
        <f t="shared" si="1"/>
        <v>6.6032808998152748E-3</v>
      </c>
    </row>
    <row r="84" spans="1:3">
      <c r="A84" s="25" t="s">
        <v>645</v>
      </c>
      <c r="B84" s="26">
        <v>2275.9200000000005</v>
      </c>
      <c r="C84" s="27">
        <f t="shared" si="1"/>
        <v>6.7919460683814265E-3</v>
      </c>
    </row>
    <row r="85" spans="1:3">
      <c r="A85" s="25" t="s">
        <v>646</v>
      </c>
      <c r="B85" s="26">
        <v>2038.845</v>
      </c>
      <c r="C85" s="27">
        <f t="shared" si="1"/>
        <v>6.0844516862583594E-3</v>
      </c>
    </row>
    <row r="86" spans="1:3">
      <c r="A86" s="25" t="s">
        <v>647</v>
      </c>
      <c r="B86" s="26">
        <v>2023.0400000000004</v>
      </c>
      <c r="C86" s="27">
        <f t="shared" si="1"/>
        <v>6.0372853941168233E-3</v>
      </c>
    </row>
    <row r="87" spans="1:3">
      <c r="A87" s="25" t="s">
        <v>648</v>
      </c>
      <c r="B87" s="26">
        <v>2212.7000000000003</v>
      </c>
      <c r="C87" s="27">
        <f t="shared" si="1"/>
        <v>6.6032808998152748E-3</v>
      </c>
    </row>
    <row r="88" spans="1:3">
      <c r="A88" s="25" t="s">
        <v>649</v>
      </c>
      <c r="B88" s="26">
        <v>2023.0400000000004</v>
      </c>
      <c r="C88" s="27">
        <f t="shared" si="1"/>
        <v>6.0372853941168233E-3</v>
      </c>
    </row>
    <row r="89" spans="1:3">
      <c r="A89" s="25" t="s">
        <v>650</v>
      </c>
      <c r="B89" s="26">
        <v>1785.9649999999999</v>
      </c>
      <c r="C89" s="27">
        <f t="shared" si="1"/>
        <v>5.3297910119937571E-3</v>
      </c>
    </row>
    <row r="90" spans="1:3">
      <c r="A90" s="25" t="s">
        <v>651</v>
      </c>
      <c r="B90" s="26">
        <v>2192.3999999999996</v>
      </c>
      <c r="C90" s="27">
        <f t="shared" si="1"/>
        <v>6.5427003411013714E-3</v>
      </c>
    </row>
    <row r="91" spans="1:3">
      <c r="A91" s="25" t="s">
        <v>652</v>
      </c>
      <c r="B91" s="26">
        <v>2114.1000000000004</v>
      </c>
      <c r="C91" s="27">
        <f t="shared" si="1"/>
        <v>6.3090324717763246E-3</v>
      </c>
    </row>
    <row r="92" spans="1:3">
      <c r="A92" s="25" t="s">
        <v>653</v>
      </c>
      <c r="B92" s="26">
        <v>1941.84</v>
      </c>
      <c r="C92" s="27">
        <f t="shared" si="1"/>
        <v>5.7949631592612155E-3</v>
      </c>
    </row>
    <row r="93" spans="1:3">
      <c r="A93" s="25" t="s">
        <v>654</v>
      </c>
      <c r="B93" s="26">
        <v>2255.04</v>
      </c>
      <c r="C93" s="27">
        <f t="shared" si="1"/>
        <v>6.7296346365614112E-3</v>
      </c>
    </row>
    <row r="94" spans="1:3">
      <c r="A94" s="25" t="s">
        <v>655</v>
      </c>
      <c r="B94" s="26">
        <v>2192.3999999999996</v>
      </c>
      <c r="C94" s="27">
        <f t="shared" si="1"/>
        <v>6.5427003411013714E-3</v>
      </c>
    </row>
    <row r="95" spans="1:3">
      <c r="A95" s="25" t="s">
        <v>656</v>
      </c>
      <c r="B95" s="26">
        <v>2004.4799999999998</v>
      </c>
      <c r="C95" s="27">
        <f t="shared" si="1"/>
        <v>5.9818974547212545E-3</v>
      </c>
    </row>
    <row r="96" spans="1:3">
      <c r="A96" s="25" t="s">
        <v>657</v>
      </c>
      <c r="B96" s="26">
        <v>2004.4799999999998</v>
      </c>
      <c r="C96" s="27">
        <f t="shared" si="1"/>
        <v>5.9818974547212545E-3</v>
      </c>
    </row>
    <row r="97" spans="1:3">
      <c r="A97" s="25" t="s">
        <v>658</v>
      </c>
      <c r="B97" s="26">
        <v>2208.06</v>
      </c>
      <c r="C97" s="27">
        <f t="shared" si="1"/>
        <v>6.5894339149663817E-3</v>
      </c>
    </row>
    <row r="98" spans="1:3">
      <c r="A98" s="25" t="s">
        <v>659</v>
      </c>
      <c r="B98" s="26">
        <v>2004.4799999999998</v>
      </c>
      <c r="C98" s="27">
        <f t="shared" si="1"/>
        <v>5.9818974547212545E-3</v>
      </c>
    </row>
    <row r="99" spans="1:3">
      <c r="A99" s="25" t="s">
        <v>660</v>
      </c>
      <c r="B99" s="26">
        <v>2004.4799999999998</v>
      </c>
      <c r="C99" s="27">
        <f t="shared" si="1"/>
        <v>5.9818974547212545E-3</v>
      </c>
    </row>
    <row r="100" spans="1:3">
      <c r="A100" s="25" t="s">
        <v>661</v>
      </c>
      <c r="B100" s="26">
        <v>2192.3999999999996</v>
      </c>
      <c r="C100" s="27">
        <f t="shared" si="1"/>
        <v>6.5427003411013714E-3</v>
      </c>
    </row>
    <row r="101" spans="1:3">
      <c r="A101" s="25" t="s">
        <v>662</v>
      </c>
      <c r="B101" s="26">
        <v>2004.4799999999998</v>
      </c>
      <c r="C101" s="27">
        <f t="shared" si="1"/>
        <v>5.9818974547212545E-3</v>
      </c>
    </row>
    <row r="102" spans="1:3">
      <c r="A102" s="25" t="s">
        <v>663</v>
      </c>
      <c r="B102" s="26">
        <v>2192.4</v>
      </c>
      <c r="C102" s="27">
        <f t="shared" si="1"/>
        <v>6.5427003411013731E-3</v>
      </c>
    </row>
    <row r="103" spans="1:3">
      <c r="A103" s="25" t="s">
        <v>664</v>
      </c>
      <c r="B103" s="26">
        <v>2004.4799999999998</v>
      </c>
      <c r="C103" s="27">
        <f t="shared" si="1"/>
        <v>5.9818974547212545E-3</v>
      </c>
    </row>
    <row r="104" spans="1:3">
      <c r="A104" s="25" t="s">
        <v>665</v>
      </c>
      <c r="B104" s="26">
        <v>2192.3999999999996</v>
      </c>
      <c r="C104" s="27">
        <f t="shared" si="1"/>
        <v>6.5427003411013714E-3</v>
      </c>
    </row>
    <row r="105" spans="1:3">
      <c r="A105" s="25" t="s">
        <v>666</v>
      </c>
      <c r="B105" s="26">
        <v>2004.4799999999998</v>
      </c>
      <c r="C105" s="27">
        <f t="shared" si="1"/>
        <v>5.9818974547212545E-3</v>
      </c>
    </row>
    <row r="106" spans="1:3">
      <c r="A106" s="25" t="s">
        <v>667</v>
      </c>
      <c r="B106" s="28">
        <v>2223.7199999999998</v>
      </c>
      <c r="C106" s="27">
        <f>IFERROR(B106/$S$2,"")</f>
        <v>6.6361674888313913E-3</v>
      </c>
    </row>
    <row r="107" spans="1:3">
      <c r="A107" s="25" t="s">
        <v>668</v>
      </c>
      <c r="B107" s="28">
        <v>1910.5199999999998</v>
      </c>
      <c r="C107" s="27">
        <f t="shared" ref="C107:C170" si="2">IFERROR(B107/$S$2,"")</f>
        <v>5.7014960115311956E-3</v>
      </c>
    </row>
    <row r="108" spans="1:3">
      <c r="A108" s="25" t="s">
        <v>669</v>
      </c>
      <c r="B108" s="28">
        <v>2223.7199999999998</v>
      </c>
      <c r="C108" s="27">
        <f t="shared" si="2"/>
        <v>6.6361674888313913E-3</v>
      </c>
    </row>
    <row r="109" spans="1:3">
      <c r="A109" s="25" t="s">
        <v>670</v>
      </c>
      <c r="B109" s="28">
        <v>2004.4799999999998</v>
      </c>
      <c r="C109" s="27">
        <f t="shared" si="2"/>
        <v>5.9818974547212545E-3</v>
      </c>
    </row>
    <row r="110" spans="1:3">
      <c r="A110" s="25" t="s">
        <v>671</v>
      </c>
      <c r="B110" s="28">
        <v>2192.4</v>
      </c>
      <c r="C110" s="27">
        <f t="shared" si="2"/>
        <v>6.5427003411013731E-3</v>
      </c>
    </row>
    <row r="111" spans="1:3">
      <c r="A111" s="25" t="s">
        <v>672</v>
      </c>
      <c r="B111" s="28">
        <v>2004.4799999999998</v>
      </c>
      <c r="C111" s="27">
        <f t="shared" si="2"/>
        <v>5.9818974547212545E-3</v>
      </c>
    </row>
    <row r="112" spans="1:3">
      <c r="A112" s="25" t="s">
        <v>673</v>
      </c>
      <c r="B112" s="28">
        <v>2192.4</v>
      </c>
      <c r="C112" s="27">
        <f t="shared" si="2"/>
        <v>6.5427003411013731E-3</v>
      </c>
    </row>
    <row r="113" spans="1:3">
      <c r="A113" s="25" t="s">
        <v>674</v>
      </c>
      <c r="B113" s="28">
        <v>2004.4799999999998</v>
      </c>
      <c r="C113" s="27">
        <f t="shared" si="2"/>
        <v>5.9818974547212545E-3</v>
      </c>
    </row>
    <row r="114" spans="1:3">
      <c r="A114" s="25" t="s">
        <v>675</v>
      </c>
      <c r="B114" s="28">
        <v>2004.4799999999998</v>
      </c>
      <c r="C114" s="27">
        <f t="shared" si="2"/>
        <v>5.9818974547212545E-3</v>
      </c>
    </row>
    <row r="115" spans="1:3">
      <c r="A115" s="25" t="s">
        <v>676</v>
      </c>
      <c r="B115" s="28">
        <v>2192.4</v>
      </c>
      <c r="C115" s="27">
        <f t="shared" si="2"/>
        <v>6.5427003411013731E-3</v>
      </c>
    </row>
    <row r="116" spans="1:3">
      <c r="A116" s="25" t="s">
        <v>677</v>
      </c>
      <c r="B116" s="28">
        <v>2004.4799999999998</v>
      </c>
      <c r="C116" s="27">
        <f t="shared" si="2"/>
        <v>5.9818974547212545E-3</v>
      </c>
    </row>
    <row r="117" spans="1:3">
      <c r="A117" s="25" t="s">
        <v>678</v>
      </c>
      <c r="B117" s="28">
        <v>1941.84</v>
      </c>
      <c r="C117" s="27">
        <f t="shared" si="2"/>
        <v>5.7949631592612155E-3</v>
      </c>
    </row>
    <row r="118" spans="1:3">
      <c r="A118" s="25" t="s">
        <v>679</v>
      </c>
      <c r="B118" s="28">
        <v>2223.7199999999998</v>
      </c>
      <c r="C118" s="27">
        <f t="shared" si="2"/>
        <v>6.6361674888313913E-3</v>
      </c>
    </row>
    <row r="119" spans="1:3">
      <c r="A119" s="25" t="s">
        <v>680</v>
      </c>
      <c r="B119" s="28">
        <v>2192.3999999999996</v>
      </c>
      <c r="C119" s="27">
        <f t="shared" si="2"/>
        <v>6.5427003411013714E-3</v>
      </c>
    </row>
    <row r="120" spans="1:3">
      <c r="A120" s="25" t="s">
        <v>681</v>
      </c>
      <c r="B120" s="28">
        <v>2192.4</v>
      </c>
      <c r="C120" s="27">
        <f t="shared" si="2"/>
        <v>6.5427003411013731E-3</v>
      </c>
    </row>
    <row r="121" spans="1:3">
      <c r="A121" s="25" t="s">
        <v>682</v>
      </c>
      <c r="B121" s="28">
        <v>2004.4799999999998</v>
      </c>
      <c r="C121" s="27">
        <f t="shared" si="2"/>
        <v>5.9818974547212545E-3</v>
      </c>
    </row>
    <row r="122" spans="1:3">
      <c r="A122" s="25" t="s">
        <v>683</v>
      </c>
      <c r="B122" s="28">
        <v>2192.4</v>
      </c>
      <c r="C122" s="27">
        <f t="shared" si="2"/>
        <v>6.5427003411013731E-3</v>
      </c>
    </row>
    <row r="123" spans="1:3">
      <c r="A123" s="25" t="s">
        <v>684</v>
      </c>
      <c r="B123" s="28">
        <v>2004.4799999999998</v>
      </c>
      <c r="C123" s="27">
        <f t="shared" si="2"/>
        <v>5.9818974547212545E-3</v>
      </c>
    </row>
    <row r="124" spans="1:3">
      <c r="A124" s="25" t="s">
        <v>685</v>
      </c>
      <c r="B124" s="28">
        <v>2161.08</v>
      </c>
      <c r="C124" s="27">
        <f t="shared" si="2"/>
        <v>6.4492331933713523E-3</v>
      </c>
    </row>
    <row r="125" spans="1:3">
      <c r="A125" s="25" t="s">
        <v>686</v>
      </c>
      <c r="B125" s="28">
        <v>2004.4799999999998</v>
      </c>
      <c r="C125" s="27">
        <f t="shared" si="2"/>
        <v>5.9818974547212545E-3</v>
      </c>
    </row>
    <row r="126" spans="1:3">
      <c r="A126" s="25" t="s">
        <v>687</v>
      </c>
      <c r="B126" s="28">
        <v>2129.7599999999998</v>
      </c>
      <c r="C126" s="27">
        <f t="shared" si="2"/>
        <v>6.3557660456413324E-3</v>
      </c>
    </row>
    <row r="127" spans="1:3">
      <c r="A127" s="25" t="s">
        <v>688</v>
      </c>
      <c r="B127" s="28">
        <v>1879.1999999999998</v>
      </c>
      <c r="C127" s="27">
        <f t="shared" si="2"/>
        <v>5.6080288638011757E-3</v>
      </c>
    </row>
    <row r="128" spans="1:3">
      <c r="A128" s="25" t="s">
        <v>689</v>
      </c>
      <c r="B128" s="28">
        <v>2129.7599999999998</v>
      </c>
      <c r="C128" s="27">
        <f t="shared" si="2"/>
        <v>6.3557660456413324E-3</v>
      </c>
    </row>
    <row r="129" spans="1:3">
      <c r="A129" s="25" t="s">
        <v>690</v>
      </c>
      <c r="B129" s="28">
        <v>1973.1599999999999</v>
      </c>
      <c r="C129" s="27">
        <f t="shared" si="2"/>
        <v>5.8884303069912346E-3</v>
      </c>
    </row>
    <row r="130" spans="1:3">
      <c r="A130" s="25" t="s">
        <v>691</v>
      </c>
      <c r="B130" s="28">
        <v>1973.1599999999999</v>
      </c>
      <c r="C130" s="27">
        <f t="shared" si="2"/>
        <v>5.8884303069912346E-3</v>
      </c>
    </row>
    <row r="131" spans="1:3">
      <c r="A131" s="25" t="s">
        <v>692</v>
      </c>
      <c r="B131" s="28">
        <v>2004.4799999999998</v>
      </c>
      <c r="C131" s="27">
        <f t="shared" si="2"/>
        <v>5.9818974547212545E-3</v>
      </c>
    </row>
    <row r="132" spans="1:3">
      <c r="A132" s="25" t="s">
        <v>693</v>
      </c>
      <c r="B132" s="28">
        <v>2004.4799999999998</v>
      </c>
      <c r="C132" s="27">
        <f t="shared" si="2"/>
        <v>5.9818974547212545E-3</v>
      </c>
    </row>
    <row r="133" spans="1:3">
      <c r="A133" s="25" t="s">
        <v>694</v>
      </c>
      <c r="B133" s="28">
        <v>1753.9199999999998</v>
      </c>
      <c r="C133" s="27">
        <f t="shared" si="2"/>
        <v>5.2341602728810978E-3</v>
      </c>
    </row>
    <row r="134" spans="1:3">
      <c r="A134" s="25" t="s">
        <v>695</v>
      </c>
      <c r="B134" s="28">
        <v>1957.5</v>
      </c>
      <c r="C134" s="27">
        <f t="shared" si="2"/>
        <v>5.841696733126225E-3</v>
      </c>
    </row>
    <row r="135" spans="1:3">
      <c r="A135" s="25" t="s">
        <v>696</v>
      </c>
      <c r="B135" s="28">
        <v>1753.9199999999998</v>
      </c>
      <c r="C135" s="27">
        <f t="shared" si="2"/>
        <v>5.2341602728810978E-3</v>
      </c>
    </row>
    <row r="136" spans="1:3">
      <c r="A136" s="25" t="s">
        <v>697</v>
      </c>
      <c r="B136" s="28">
        <v>2004.4799999999998</v>
      </c>
      <c r="C136" s="27">
        <f t="shared" si="2"/>
        <v>5.9818974547212545E-3</v>
      </c>
    </row>
    <row r="137" spans="1:3">
      <c r="A137" s="25" t="s">
        <v>698</v>
      </c>
      <c r="B137" s="28">
        <v>2004.4799999999998</v>
      </c>
      <c r="C137" s="27">
        <f t="shared" si="2"/>
        <v>5.9818974547212545E-3</v>
      </c>
    </row>
    <row r="138" spans="1:3">
      <c r="A138" s="25" t="s">
        <v>699</v>
      </c>
      <c r="B138" s="28">
        <v>2255.04</v>
      </c>
      <c r="C138" s="27">
        <f t="shared" si="2"/>
        <v>6.7296346365614112E-3</v>
      </c>
    </row>
    <row r="139" spans="1:3">
      <c r="A139" s="25" t="s">
        <v>700</v>
      </c>
      <c r="B139" s="28">
        <v>1973.1599999999999</v>
      </c>
      <c r="C139" s="27">
        <f t="shared" si="2"/>
        <v>5.8884303069912346E-3</v>
      </c>
    </row>
    <row r="140" spans="1:3">
      <c r="A140" s="25" t="s">
        <v>701</v>
      </c>
      <c r="B140" s="28">
        <v>2255.04</v>
      </c>
      <c r="C140" s="27">
        <f t="shared" si="2"/>
        <v>6.7296346365614112E-3</v>
      </c>
    </row>
    <row r="141" spans="1:3">
      <c r="A141" s="25" t="s">
        <v>702</v>
      </c>
      <c r="B141" s="28">
        <v>1973.1599999999999</v>
      </c>
      <c r="C141" s="27">
        <f t="shared" si="2"/>
        <v>5.8884303069912346E-3</v>
      </c>
    </row>
    <row r="142" spans="1:3">
      <c r="A142" s="25" t="s">
        <v>703</v>
      </c>
      <c r="B142" s="28">
        <v>2223.7199999999998</v>
      </c>
      <c r="C142" s="27">
        <f t="shared" si="2"/>
        <v>6.6361674888313913E-3</v>
      </c>
    </row>
    <row r="143" spans="1:3">
      <c r="A143" s="25" t="s">
        <v>704</v>
      </c>
      <c r="B143" s="28">
        <v>1973.1599999999999</v>
      </c>
      <c r="C143" s="27">
        <f t="shared" si="2"/>
        <v>5.8884303069912346E-3</v>
      </c>
    </row>
    <row r="144" spans="1:3">
      <c r="A144" s="25" t="s">
        <v>705</v>
      </c>
      <c r="B144" s="28">
        <v>2004.4799999999998</v>
      </c>
      <c r="C144" s="27">
        <f t="shared" si="2"/>
        <v>5.9818974547212545E-3</v>
      </c>
    </row>
    <row r="145" spans="1:3">
      <c r="A145" s="25" t="s">
        <v>706</v>
      </c>
      <c r="B145" s="28">
        <v>2004.4799999999998</v>
      </c>
      <c r="C145" s="27">
        <f t="shared" si="2"/>
        <v>5.9818974547212545E-3</v>
      </c>
    </row>
    <row r="146" spans="1:3">
      <c r="A146" s="25" t="s">
        <v>707</v>
      </c>
      <c r="B146" s="28">
        <v>2161.08</v>
      </c>
      <c r="C146" s="27">
        <f t="shared" si="2"/>
        <v>6.4492331933713523E-3</v>
      </c>
    </row>
    <row r="147" spans="1:3">
      <c r="A147" s="25" t="s">
        <v>708</v>
      </c>
      <c r="B147" s="28">
        <v>2255.04</v>
      </c>
      <c r="C147" s="27">
        <f t="shared" si="2"/>
        <v>6.7296346365614112E-3</v>
      </c>
    </row>
    <row r="148" spans="1:3">
      <c r="A148" s="25" t="s">
        <v>709</v>
      </c>
      <c r="B148" s="28">
        <v>2223.7199999999998</v>
      </c>
      <c r="C148" s="27">
        <f t="shared" si="2"/>
        <v>6.6361674888313913E-3</v>
      </c>
    </row>
    <row r="149" spans="1:3">
      <c r="A149" s="25" t="s">
        <v>710</v>
      </c>
      <c r="B149" s="28">
        <v>2223.7199999999998</v>
      </c>
      <c r="C149" s="27">
        <f t="shared" si="2"/>
        <v>6.6361674888313913E-3</v>
      </c>
    </row>
    <row r="150" spans="1:3">
      <c r="A150" s="25" t="s">
        <v>711</v>
      </c>
      <c r="B150" s="28">
        <v>2223.7199999999998</v>
      </c>
      <c r="C150" s="27">
        <f t="shared" si="2"/>
        <v>6.6361674888313913E-3</v>
      </c>
    </row>
    <row r="151" spans="1:3">
      <c r="A151" s="25" t="s">
        <v>712</v>
      </c>
      <c r="B151" s="28">
        <v>2255.04</v>
      </c>
      <c r="C151" s="27">
        <f t="shared" si="2"/>
        <v>6.7296346365614112E-3</v>
      </c>
    </row>
    <row r="152" spans="1:3">
      <c r="A152" s="25" t="s">
        <v>713</v>
      </c>
      <c r="B152" s="28">
        <v>2004.4799999999998</v>
      </c>
      <c r="C152" s="27">
        <f t="shared" si="2"/>
        <v>5.9818974547212545E-3</v>
      </c>
    </row>
    <row r="153" spans="1:3">
      <c r="A153" s="25" t="s">
        <v>714</v>
      </c>
      <c r="B153" s="28">
        <v>2223.7199999999998</v>
      </c>
      <c r="C153" s="27">
        <f t="shared" si="2"/>
        <v>6.6361674888313913E-3</v>
      </c>
    </row>
    <row r="154" spans="1:3">
      <c r="A154" s="25" t="s">
        <v>715</v>
      </c>
      <c r="B154" s="28">
        <v>2255.04</v>
      </c>
      <c r="C154" s="27">
        <f t="shared" si="2"/>
        <v>6.7296346365614112E-3</v>
      </c>
    </row>
    <row r="155" spans="1:3">
      <c r="A155" s="25" t="s">
        <v>716</v>
      </c>
      <c r="B155" s="28">
        <v>2255.04</v>
      </c>
      <c r="C155" s="27">
        <f t="shared" si="2"/>
        <v>6.7296346365614112E-3</v>
      </c>
    </row>
    <row r="156" spans="1:3">
      <c r="A156" s="25" t="s">
        <v>717</v>
      </c>
      <c r="B156" s="28">
        <v>2255.04</v>
      </c>
      <c r="C156" s="27">
        <f t="shared" si="2"/>
        <v>6.7296346365614112E-3</v>
      </c>
    </row>
    <row r="157" spans="1:3">
      <c r="A157" s="25" t="s">
        <v>718</v>
      </c>
      <c r="B157" s="28">
        <v>2255.04</v>
      </c>
      <c r="C157" s="27">
        <f t="shared" si="2"/>
        <v>6.7296346365614112E-3</v>
      </c>
    </row>
    <row r="158" spans="1:3">
      <c r="A158" s="25" t="s">
        <v>719</v>
      </c>
      <c r="B158" s="28">
        <v>2255.04</v>
      </c>
      <c r="C158" s="27">
        <f t="shared" si="2"/>
        <v>6.7296346365614112E-3</v>
      </c>
    </row>
    <row r="159" spans="1:3">
      <c r="A159" s="25" t="s">
        <v>720</v>
      </c>
      <c r="B159" s="28">
        <v>2004.4799999999998</v>
      </c>
      <c r="C159" s="27">
        <f t="shared" si="2"/>
        <v>5.9818974547212545E-3</v>
      </c>
    </row>
    <row r="160" spans="1:3">
      <c r="A160" s="25" t="s">
        <v>721</v>
      </c>
      <c r="B160" s="28">
        <v>2255.04</v>
      </c>
      <c r="C160" s="27">
        <f t="shared" si="2"/>
        <v>6.7296346365614112E-3</v>
      </c>
    </row>
    <row r="161" spans="1:3">
      <c r="A161" s="25" t="s">
        <v>722</v>
      </c>
      <c r="B161" s="28">
        <v>2004.4799999999998</v>
      </c>
      <c r="C161" s="27">
        <f t="shared" si="2"/>
        <v>5.9818974547212545E-3</v>
      </c>
    </row>
    <row r="162" spans="1:3">
      <c r="A162" s="25" t="s">
        <v>723</v>
      </c>
      <c r="B162" s="28">
        <v>232.29</v>
      </c>
      <c r="C162" s="27">
        <f t="shared" si="2"/>
        <v>6.9321467899764538E-4</v>
      </c>
    </row>
    <row r="163" spans="1:3">
      <c r="A163" s="25" t="s">
        <v>724</v>
      </c>
      <c r="B163" s="28">
        <v>232.29</v>
      </c>
      <c r="C163" s="27">
        <f t="shared" si="2"/>
        <v>6.9321467899764538E-4</v>
      </c>
    </row>
    <row r="164" spans="1:3">
      <c r="A164" s="25" t="s">
        <v>725</v>
      </c>
      <c r="B164" s="28">
        <v>232.29</v>
      </c>
      <c r="C164" s="27">
        <f t="shared" si="2"/>
        <v>6.9321467899764538E-4</v>
      </c>
    </row>
    <row r="165" spans="1:3">
      <c r="A165" s="25" t="s">
        <v>726</v>
      </c>
      <c r="B165" s="28">
        <v>232.29</v>
      </c>
      <c r="C165" s="27">
        <f t="shared" si="2"/>
        <v>6.9321467899764538E-4</v>
      </c>
    </row>
    <row r="166" spans="1:3">
      <c r="A166" s="25" t="s">
        <v>727</v>
      </c>
      <c r="B166" s="28">
        <v>206.48</v>
      </c>
      <c r="C166" s="27">
        <f t="shared" si="2"/>
        <v>6.1619082577568478E-4</v>
      </c>
    </row>
    <row r="167" spans="1:3">
      <c r="A167" s="25" t="s">
        <v>728</v>
      </c>
      <c r="B167" s="28">
        <v>232.29</v>
      </c>
      <c r="C167" s="27">
        <f t="shared" si="2"/>
        <v>6.9321467899764538E-4</v>
      </c>
    </row>
    <row r="168" spans="1:3">
      <c r="A168" s="25" t="s">
        <v>729</v>
      </c>
      <c r="B168" s="28">
        <v>232.29</v>
      </c>
      <c r="C168" s="27">
        <f t="shared" si="2"/>
        <v>6.9321467899764538E-4</v>
      </c>
    </row>
    <row r="169" spans="1:3">
      <c r="A169" s="25" t="s">
        <v>730</v>
      </c>
      <c r="B169" s="28">
        <v>232.29</v>
      </c>
      <c r="C169" s="27">
        <f t="shared" si="2"/>
        <v>6.9321467899764538E-4</v>
      </c>
    </row>
    <row r="170" spans="1:3">
      <c r="A170" s="25" t="s">
        <v>731</v>
      </c>
      <c r="B170" s="28">
        <v>232.29</v>
      </c>
      <c r="C170" s="27">
        <f t="shared" si="2"/>
        <v>6.9321467899764538E-4</v>
      </c>
    </row>
    <row r="171" spans="1:3">
      <c r="A171" s="25" t="s">
        <v>732</v>
      </c>
      <c r="B171" s="28">
        <v>0</v>
      </c>
      <c r="C171" s="27">
        <f t="shared" ref="C171:C234" si="3">IFERROR(B171/$S$2,"")</f>
        <v>0</v>
      </c>
    </row>
    <row r="172" spans="1:3">
      <c r="A172" s="25" t="s">
        <v>733</v>
      </c>
      <c r="B172" s="28">
        <v>232.29</v>
      </c>
      <c r="C172" s="27">
        <f t="shared" si="3"/>
        <v>6.9321467899764538E-4</v>
      </c>
    </row>
    <row r="173" spans="1:3">
      <c r="A173" s="25" t="s">
        <v>734</v>
      </c>
      <c r="B173" s="28">
        <v>232.29</v>
      </c>
      <c r="C173" s="27">
        <f t="shared" si="3"/>
        <v>6.9321467899764538E-4</v>
      </c>
    </row>
    <row r="174" spans="1:3">
      <c r="A174" s="25" t="s">
        <v>735</v>
      </c>
      <c r="B174" s="28">
        <v>232.29</v>
      </c>
      <c r="C174" s="27">
        <f t="shared" si="3"/>
        <v>6.9321467899764538E-4</v>
      </c>
    </row>
    <row r="175" spans="1:3">
      <c r="A175" s="25" t="s">
        <v>736</v>
      </c>
      <c r="B175" s="28">
        <v>232.29</v>
      </c>
      <c r="C175" s="27">
        <f t="shared" si="3"/>
        <v>6.9321467899764538E-4</v>
      </c>
    </row>
    <row r="176" spans="1:3">
      <c r="A176" s="25" t="s">
        <v>737</v>
      </c>
      <c r="B176" s="28">
        <v>232.29</v>
      </c>
      <c r="C176" s="27">
        <f t="shared" si="3"/>
        <v>6.9321467899764538E-4</v>
      </c>
    </row>
    <row r="177" spans="1:3">
      <c r="A177" s="25" t="s">
        <v>738</v>
      </c>
      <c r="B177" s="28">
        <v>232.29</v>
      </c>
      <c r="C177" s="27">
        <f t="shared" si="3"/>
        <v>6.9321467899764538E-4</v>
      </c>
    </row>
    <row r="178" spans="1:3">
      <c r="A178" s="25" t="s">
        <v>739</v>
      </c>
      <c r="B178" s="28">
        <v>232.29</v>
      </c>
      <c r="C178" s="27">
        <f t="shared" si="3"/>
        <v>6.9321467899764538E-4</v>
      </c>
    </row>
    <row r="179" spans="1:3">
      <c r="A179" s="25" t="s">
        <v>740</v>
      </c>
      <c r="B179" s="28">
        <v>232.29</v>
      </c>
      <c r="C179" s="27">
        <f t="shared" si="3"/>
        <v>6.9321467899764538E-4</v>
      </c>
    </row>
    <row r="180" spans="1:3">
      <c r="A180" s="25" t="s">
        <v>741</v>
      </c>
      <c r="B180" s="28">
        <v>232.29</v>
      </c>
      <c r="C180" s="27">
        <f t="shared" si="3"/>
        <v>6.9321467899764538E-4</v>
      </c>
    </row>
    <row r="181" spans="1:3">
      <c r="A181" s="25" t="s">
        <v>742</v>
      </c>
      <c r="B181" s="28">
        <v>0</v>
      </c>
      <c r="C181" s="27">
        <f t="shared" si="3"/>
        <v>0</v>
      </c>
    </row>
    <row r="182" spans="1:3">
      <c r="A182" s="25" t="s">
        <v>743</v>
      </c>
      <c r="B182" s="28">
        <v>232.29</v>
      </c>
      <c r="C182" s="27">
        <f t="shared" si="3"/>
        <v>6.9321467899764538E-4</v>
      </c>
    </row>
    <row r="183" spans="1:3">
      <c r="A183" s="25" t="s">
        <v>744</v>
      </c>
      <c r="B183" s="28">
        <v>232.29</v>
      </c>
      <c r="C183" s="27">
        <f t="shared" si="3"/>
        <v>6.9321467899764538E-4</v>
      </c>
    </row>
    <row r="184" spans="1:3">
      <c r="A184" s="25" t="s">
        <v>745</v>
      </c>
      <c r="B184" s="28">
        <v>232.29</v>
      </c>
      <c r="C184" s="27">
        <f t="shared" si="3"/>
        <v>6.9321467899764538E-4</v>
      </c>
    </row>
    <row r="185" spans="1:3">
      <c r="A185" s="25" t="s">
        <v>746</v>
      </c>
      <c r="B185" s="28">
        <v>232.29</v>
      </c>
      <c r="C185" s="27">
        <f t="shared" si="3"/>
        <v>6.9321467899764538E-4</v>
      </c>
    </row>
    <row r="186" spans="1:3">
      <c r="A186" s="25" t="s">
        <v>747</v>
      </c>
      <c r="B186" s="28">
        <v>232.29</v>
      </c>
      <c r="C186" s="27">
        <f t="shared" si="3"/>
        <v>6.9321467899764538E-4</v>
      </c>
    </row>
    <row r="187" spans="1:3">
      <c r="A187" s="25" t="s">
        <v>748</v>
      </c>
      <c r="B187" s="28">
        <v>232.29</v>
      </c>
      <c r="C187" s="27">
        <f t="shared" si="3"/>
        <v>6.9321467899764538E-4</v>
      </c>
    </row>
    <row r="188" spans="1:3">
      <c r="A188" s="25" t="s">
        <v>749</v>
      </c>
      <c r="B188" s="28">
        <v>232.29</v>
      </c>
      <c r="C188" s="27">
        <f t="shared" si="3"/>
        <v>6.9321467899764538E-4</v>
      </c>
    </row>
    <row r="189" spans="1:3">
      <c r="A189" s="25" t="s">
        <v>750</v>
      </c>
      <c r="B189" s="28">
        <v>232.29</v>
      </c>
      <c r="C189" s="27">
        <f t="shared" si="3"/>
        <v>6.9321467899764538E-4</v>
      </c>
    </row>
    <row r="190" spans="1:3">
      <c r="A190" s="25" t="s">
        <v>751</v>
      </c>
      <c r="B190" s="28">
        <v>232.29</v>
      </c>
      <c r="C190" s="27">
        <f t="shared" si="3"/>
        <v>6.9321467899764538E-4</v>
      </c>
    </row>
    <row r="191" spans="1:3">
      <c r="A191" s="25" t="s">
        <v>752</v>
      </c>
      <c r="B191" s="28">
        <v>0</v>
      </c>
      <c r="C191" s="27">
        <f t="shared" si="3"/>
        <v>0</v>
      </c>
    </row>
    <row r="192" spans="1:3">
      <c r="A192" s="25" t="s">
        <v>753</v>
      </c>
      <c r="B192" s="28">
        <v>232.29</v>
      </c>
      <c r="C192" s="27">
        <f t="shared" si="3"/>
        <v>6.9321467899764538E-4</v>
      </c>
    </row>
    <row r="193" spans="1:3">
      <c r="A193" s="25" t="s">
        <v>754</v>
      </c>
      <c r="B193" s="28">
        <v>232.29</v>
      </c>
      <c r="C193" s="27">
        <f t="shared" si="3"/>
        <v>6.9321467899764538E-4</v>
      </c>
    </row>
    <row r="194" spans="1:3">
      <c r="A194" s="25" t="s">
        <v>755</v>
      </c>
      <c r="B194" s="28">
        <v>232.29</v>
      </c>
      <c r="C194" s="27">
        <f t="shared" si="3"/>
        <v>6.9321467899764538E-4</v>
      </c>
    </row>
    <row r="195" spans="1:3">
      <c r="A195" s="25" t="s">
        <v>756</v>
      </c>
      <c r="B195" s="28">
        <v>232.29</v>
      </c>
      <c r="C195" s="27">
        <f t="shared" si="3"/>
        <v>6.9321467899764538E-4</v>
      </c>
    </row>
    <row r="196" spans="1:3">
      <c r="A196" s="25" t="s">
        <v>757</v>
      </c>
      <c r="B196" s="28">
        <v>232.29</v>
      </c>
      <c r="C196" s="27">
        <f t="shared" si="3"/>
        <v>6.9321467899764538E-4</v>
      </c>
    </row>
    <row r="197" spans="1:3">
      <c r="A197" s="25" t="s">
        <v>758</v>
      </c>
      <c r="B197" s="28">
        <v>219.38499999999999</v>
      </c>
      <c r="C197" s="27">
        <f t="shared" si="3"/>
        <v>6.5470275238666508E-4</v>
      </c>
    </row>
    <row r="198" spans="1:3">
      <c r="A198" s="25" t="s">
        <v>759</v>
      </c>
      <c r="B198" s="28">
        <v>232.29</v>
      </c>
      <c r="C198" s="27">
        <f t="shared" si="3"/>
        <v>6.9321467899764538E-4</v>
      </c>
    </row>
    <row r="199" spans="1:3">
      <c r="A199" s="25" t="s">
        <v>760</v>
      </c>
      <c r="B199" s="28">
        <v>232.29</v>
      </c>
      <c r="C199" s="27">
        <f t="shared" si="3"/>
        <v>6.9321467899764538E-4</v>
      </c>
    </row>
    <row r="200" spans="1:3">
      <c r="A200" s="25" t="s">
        <v>761</v>
      </c>
      <c r="B200" s="28">
        <v>232.29</v>
      </c>
      <c r="C200" s="27">
        <f t="shared" si="3"/>
        <v>6.9321467899764538E-4</v>
      </c>
    </row>
    <row r="201" spans="1:3">
      <c r="A201" s="25" t="s">
        <v>762</v>
      </c>
      <c r="B201" s="28">
        <v>0</v>
      </c>
      <c r="C201" s="27">
        <f t="shared" si="3"/>
        <v>0</v>
      </c>
    </row>
    <row r="202" spans="1:3">
      <c r="A202" s="25" t="s">
        <v>763</v>
      </c>
      <c r="B202" s="28">
        <v>232.29</v>
      </c>
      <c r="C202" s="27">
        <f t="shared" si="3"/>
        <v>6.9321467899764538E-4</v>
      </c>
    </row>
    <row r="203" spans="1:3">
      <c r="A203" s="25" t="s">
        <v>764</v>
      </c>
      <c r="B203" s="28">
        <v>232.29</v>
      </c>
      <c r="C203" s="27">
        <f t="shared" si="3"/>
        <v>6.9321467899764538E-4</v>
      </c>
    </row>
    <row r="204" spans="1:3">
      <c r="A204" s="25" t="s">
        <v>765</v>
      </c>
      <c r="B204" s="28">
        <v>232.29</v>
      </c>
      <c r="C204" s="27">
        <f t="shared" si="3"/>
        <v>6.9321467899764538E-4</v>
      </c>
    </row>
    <row r="205" spans="1:3">
      <c r="A205" s="25" t="s">
        <v>766</v>
      </c>
      <c r="B205" s="28">
        <v>232.29</v>
      </c>
      <c r="C205" s="27">
        <f t="shared" si="3"/>
        <v>6.9321467899764538E-4</v>
      </c>
    </row>
    <row r="206" spans="1:3">
      <c r="A206" s="25" t="s">
        <v>767</v>
      </c>
      <c r="B206" s="28">
        <v>232.29</v>
      </c>
      <c r="C206" s="27">
        <f t="shared" si="3"/>
        <v>6.9321467899764538E-4</v>
      </c>
    </row>
    <row r="207" spans="1:3">
      <c r="A207" s="25" t="s">
        <v>768</v>
      </c>
      <c r="B207" s="28">
        <v>232.29</v>
      </c>
      <c r="C207" s="27">
        <f t="shared" si="3"/>
        <v>6.9321467899764538E-4</v>
      </c>
    </row>
    <row r="208" spans="1:3">
      <c r="A208" s="25" t="s">
        <v>769</v>
      </c>
      <c r="B208" s="28">
        <v>232.29</v>
      </c>
      <c r="C208" s="27">
        <f t="shared" si="3"/>
        <v>6.9321467899764538E-4</v>
      </c>
    </row>
    <row r="209" spans="1:3">
      <c r="A209" s="25" t="s">
        <v>770</v>
      </c>
      <c r="B209" s="28">
        <v>232.29</v>
      </c>
      <c r="C209" s="27">
        <f t="shared" si="3"/>
        <v>6.9321467899764538E-4</v>
      </c>
    </row>
    <row r="210" spans="1:3">
      <c r="A210" s="25" t="s">
        <v>771</v>
      </c>
      <c r="B210" s="28">
        <v>232.29</v>
      </c>
      <c r="C210" s="27">
        <f t="shared" si="3"/>
        <v>6.9321467899764538E-4</v>
      </c>
    </row>
    <row r="211" spans="1:3">
      <c r="A211" s="25" t="s">
        <v>772</v>
      </c>
      <c r="B211" s="28">
        <v>0</v>
      </c>
      <c r="C211" s="27">
        <f t="shared" si="3"/>
        <v>0</v>
      </c>
    </row>
    <row r="212" spans="1:3">
      <c r="A212" s="25" t="s">
        <v>773</v>
      </c>
      <c r="B212" s="28">
        <v>232.29</v>
      </c>
      <c r="C212" s="27">
        <f t="shared" si="3"/>
        <v>6.9321467899764538E-4</v>
      </c>
    </row>
    <row r="213" spans="1:3">
      <c r="A213" s="25" t="s">
        <v>774</v>
      </c>
      <c r="B213" s="28">
        <v>232.29</v>
      </c>
      <c r="C213" s="27">
        <f t="shared" si="3"/>
        <v>6.9321467899764538E-4</v>
      </c>
    </row>
    <row r="214" spans="1:3">
      <c r="A214" s="25" t="s">
        <v>775</v>
      </c>
      <c r="B214" s="28">
        <v>232.29</v>
      </c>
      <c r="C214" s="27">
        <f t="shared" si="3"/>
        <v>6.9321467899764538E-4</v>
      </c>
    </row>
    <row r="215" spans="1:3">
      <c r="A215" s="25" t="s">
        <v>776</v>
      </c>
      <c r="B215" s="28">
        <v>232.29</v>
      </c>
      <c r="C215" s="27">
        <f t="shared" si="3"/>
        <v>6.9321467899764538E-4</v>
      </c>
    </row>
    <row r="216" spans="1:3">
      <c r="A216" s="25" t="s">
        <v>777</v>
      </c>
      <c r="B216" s="28">
        <v>232.29</v>
      </c>
      <c r="C216" s="27">
        <f t="shared" si="3"/>
        <v>6.9321467899764538E-4</v>
      </c>
    </row>
    <row r="217" spans="1:3">
      <c r="A217" s="25" t="s">
        <v>778</v>
      </c>
      <c r="B217" s="28">
        <v>232.29</v>
      </c>
      <c r="C217" s="27">
        <f t="shared" si="3"/>
        <v>6.9321467899764538E-4</v>
      </c>
    </row>
    <row r="218" spans="1:3">
      <c r="A218" s="25" t="s">
        <v>779</v>
      </c>
      <c r="B218" s="28">
        <v>232.29</v>
      </c>
      <c r="C218" s="27">
        <f t="shared" si="3"/>
        <v>6.9321467899764538E-4</v>
      </c>
    </row>
    <row r="219" spans="1:3">
      <c r="A219" s="25" t="s">
        <v>780</v>
      </c>
      <c r="B219" s="28">
        <v>232.29</v>
      </c>
      <c r="C219" s="27">
        <f t="shared" si="3"/>
        <v>6.9321467899764538E-4</v>
      </c>
    </row>
    <row r="220" spans="1:3">
      <c r="A220" s="25" t="s">
        <v>781</v>
      </c>
      <c r="B220" s="28">
        <v>232.29</v>
      </c>
      <c r="C220" s="27">
        <f t="shared" si="3"/>
        <v>6.9321467899764538E-4</v>
      </c>
    </row>
    <row r="221" spans="1:3">
      <c r="A221" s="25" t="s">
        <v>782</v>
      </c>
      <c r="B221" s="28">
        <v>0</v>
      </c>
      <c r="C221" s="27">
        <f t="shared" si="3"/>
        <v>0</v>
      </c>
    </row>
    <row r="222" spans="1:3">
      <c r="A222" s="25" t="s">
        <v>783</v>
      </c>
      <c r="B222" s="28">
        <v>232.29</v>
      </c>
      <c r="C222" s="27">
        <f t="shared" si="3"/>
        <v>6.9321467899764538E-4</v>
      </c>
    </row>
    <row r="223" spans="1:3">
      <c r="A223" s="25" t="s">
        <v>784</v>
      </c>
      <c r="B223" s="28">
        <v>232.29</v>
      </c>
      <c r="C223" s="27">
        <f t="shared" si="3"/>
        <v>6.9321467899764538E-4</v>
      </c>
    </row>
    <row r="224" spans="1:3">
      <c r="A224" s="25" t="s">
        <v>785</v>
      </c>
      <c r="B224" s="28">
        <v>232.29</v>
      </c>
      <c r="C224" s="27">
        <f t="shared" si="3"/>
        <v>6.9321467899764538E-4</v>
      </c>
    </row>
    <row r="225" spans="1:3">
      <c r="A225" s="25" t="s">
        <v>786</v>
      </c>
      <c r="B225" s="28">
        <v>232.29</v>
      </c>
      <c r="C225" s="27">
        <f t="shared" si="3"/>
        <v>6.9321467899764538E-4</v>
      </c>
    </row>
    <row r="226" spans="1:3">
      <c r="A226" s="25" t="s">
        <v>787</v>
      </c>
      <c r="B226" s="28">
        <v>232.29</v>
      </c>
      <c r="C226" s="27">
        <f t="shared" si="3"/>
        <v>6.9321467899764538E-4</v>
      </c>
    </row>
    <row r="227" spans="1:3">
      <c r="A227" s="25" t="s">
        <v>788</v>
      </c>
      <c r="B227" s="28">
        <v>232.29</v>
      </c>
      <c r="C227" s="27">
        <f t="shared" si="3"/>
        <v>6.9321467899764538E-4</v>
      </c>
    </row>
    <row r="228" spans="1:3">
      <c r="A228" s="25" t="s">
        <v>789</v>
      </c>
      <c r="B228" s="28">
        <v>232.29</v>
      </c>
      <c r="C228" s="27">
        <f t="shared" si="3"/>
        <v>6.9321467899764538E-4</v>
      </c>
    </row>
    <row r="229" spans="1:3">
      <c r="A229" s="25" t="s">
        <v>790</v>
      </c>
      <c r="B229" s="28">
        <v>232.29</v>
      </c>
      <c r="C229" s="27">
        <f t="shared" si="3"/>
        <v>6.9321467899764538E-4</v>
      </c>
    </row>
    <row r="230" spans="1:3">
      <c r="A230" s="25" t="s">
        <v>791</v>
      </c>
      <c r="B230" s="28">
        <v>232.29</v>
      </c>
      <c r="C230" s="27">
        <f t="shared" si="3"/>
        <v>6.9321467899764538E-4</v>
      </c>
    </row>
    <row r="231" spans="1:3">
      <c r="A231" s="25" t="s">
        <v>792</v>
      </c>
      <c r="B231" s="28">
        <v>0</v>
      </c>
      <c r="C231" s="27">
        <f t="shared" si="3"/>
        <v>0</v>
      </c>
    </row>
    <row r="232" spans="1:3">
      <c r="A232" s="25" t="s">
        <v>793</v>
      </c>
      <c r="B232" s="28">
        <v>232.29</v>
      </c>
      <c r="C232" s="27">
        <f t="shared" si="3"/>
        <v>6.9321467899764538E-4</v>
      </c>
    </row>
    <row r="233" spans="1:3">
      <c r="A233" s="25" t="s">
        <v>794</v>
      </c>
      <c r="B233" s="28">
        <v>232.29</v>
      </c>
      <c r="C233" s="27">
        <f t="shared" si="3"/>
        <v>6.9321467899764538E-4</v>
      </c>
    </row>
    <row r="234" spans="1:3">
      <c r="A234" s="25" t="s">
        <v>795</v>
      </c>
      <c r="B234" s="28">
        <v>232.29</v>
      </c>
      <c r="C234" s="27">
        <f t="shared" si="3"/>
        <v>6.9321467899764538E-4</v>
      </c>
    </row>
    <row r="235" spans="1:3">
      <c r="A235" s="25" t="s">
        <v>796</v>
      </c>
      <c r="B235" s="28">
        <v>232.29</v>
      </c>
      <c r="C235" s="27">
        <f t="shared" ref="C235:C298" si="4">IFERROR(B235/$S$2,"")</f>
        <v>6.9321467899764538E-4</v>
      </c>
    </row>
    <row r="236" spans="1:3">
      <c r="A236" s="25" t="s">
        <v>797</v>
      </c>
      <c r="B236" s="28">
        <v>206.48</v>
      </c>
      <c r="C236" s="27">
        <f t="shared" si="4"/>
        <v>6.1619082577568478E-4</v>
      </c>
    </row>
    <row r="237" spans="1:3">
      <c r="A237" s="25" t="s">
        <v>798</v>
      </c>
      <c r="B237" s="28">
        <v>206.48</v>
      </c>
      <c r="C237" s="27">
        <f t="shared" si="4"/>
        <v>6.1619082577568478E-4</v>
      </c>
    </row>
    <row r="238" spans="1:3">
      <c r="A238" s="25" t="s">
        <v>799</v>
      </c>
      <c r="B238" s="28">
        <v>206.48</v>
      </c>
      <c r="C238" s="27">
        <f t="shared" si="4"/>
        <v>6.1619082577568478E-4</v>
      </c>
    </row>
    <row r="239" spans="1:3">
      <c r="A239" s="25" t="s">
        <v>800</v>
      </c>
      <c r="B239" s="28">
        <v>232.29</v>
      </c>
      <c r="C239" s="27">
        <f t="shared" si="4"/>
        <v>6.9321467899764538E-4</v>
      </c>
    </row>
    <row r="240" spans="1:3">
      <c r="A240" s="25" t="s">
        <v>801</v>
      </c>
      <c r="B240" s="28">
        <v>206.48</v>
      </c>
      <c r="C240" s="27">
        <f t="shared" si="4"/>
        <v>6.1619082577568478E-4</v>
      </c>
    </row>
    <row r="241" spans="1:3">
      <c r="A241" s="25" t="s">
        <v>802</v>
      </c>
      <c r="B241" s="28">
        <v>206.48</v>
      </c>
      <c r="C241" s="27">
        <f t="shared" si="4"/>
        <v>6.1619082577568478E-4</v>
      </c>
    </row>
    <row r="242" spans="1:3">
      <c r="A242" s="25" t="s">
        <v>803</v>
      </c>
      <c r="B242" s="28">
        <v>232.29</v>
      </c>
      <c r="C242" s="27">
        <f t="shared" si="4"/>
        <v>6.9321467899764538E-4</v>
      </c>
    </row>
    <row r="243" spans="1:3">
      <c r="A243" s="25" t="s">
        <v>804</v>
      </c>
      <c r="B243" s="28">
        <v>232.29</v>
      </c>
      <c r="C243" s="27">
        <f t="shared" si="4"/>
        <v>6.9321467899764538E-4</v>
      </c>
    </row>
    <row r="244" spans="1:3">
      <c r="A244" s="25" t="s">
        <v>805</v>
      </c>
      <c r="B244" s="28">
        <v>232.29</v>
      </c>
      <c r="C244" s="27">
        <f t="shared" si="4"/>
        <v>6.9321467899764538E-4</v>
      </c>
    </row>
    <row r="245" spans="1:3">
      <c r="A245" s="25" t="s">
        <v>806</v>
      </c>
      <c r="B245" s="28">
        <v>232.29</v>
      </c>
      <c r="C245" s="27">
        <f t="shared" si="4"/>
        <v>6.9321467899764538E-4</v>
      </c>
    </row>
    <row r="246" spans="1:3">
      <c r="A246" s="25" t="s">
        <v>807</v>
      </c>
      <c r="B246" s="28">
        <v>232.29</v>
      </c>
      <c r="C246" s="27">
        <f t="shared" si="4"/>
        <v>6.9321467899764538E-4</v>
      </c>
    </row>
    <row r="247" spans="1:3">
      <c r="A247" s="25" t="s">
        <v>808</v>
      </c>
      <c r="B247" s="28">
        <v>232.29</v>
      </c>
      <c r="C247" s="27">
        <f t="shared" si="4"/>
        <v>6.9321467899764538E-4</v>
      </c>
    </row>
    <row r="248" spans="1:3">
      <c r="A248" s="25" t="s">
        <v>809</v>
      </c>
      <c r="B248" s="28">
        <v>232.29</v>
      </c>
      <c r="C248" s="27">
        <f t="shared" si="4"/>
        <v>6.9321467899764538E-4</v>
      </c>
    </row>
    <row r="249" spans="1:3">
      <c r="A249" s="25" t="s">
        <v>810</v>
      </c>
      <c r="B249" s="28">
        <v>232.29</v>
      </c>
      <c r="C249" s="27">
        <f t="shared" si="4"/>
        <v>6.9321467899764538E-4</v>
      </c>
    </row>
    <row r="250" spans="1:3">
      <c r="A250" s="25" t="s">
        <v>811</v>
      </c>
      <c r="B250" s="28">
        <v>232.29</v>
      </c>
      <c r="C250" s="27">
        <f t="shared" si="4"/>
        <v>6.9321467899764538E-4</v>
      </c>
    </row>
    <row r="251" spans="1:3">
      <c r="A251" s="25" t="s">
        <v>812</v>
      </c>
      <c r="B251" s="28">
        <v>0</v>
      </c>
      <c r="C251" s="27">
        <f t="shared" si="4"/>
        <v>0</v>
      </c>
    </row>
    <row r="252" spans="1:3">
      <c r="A252" s="25" t="s">
        <v>813</v>
      </c>
      <c r="B252" s="28">
        <v>232.29</v>
      </c>
      <c r="C252" s="27">
        <f t="shared" si="4"/>
        <v>6.9321467899764538E-4</v>
      </c>
    </row>
    <row r="253" spans="1:3">
      <c r="A253" s="25" t="s">
        <v>814</v>
      </c>
      <c r="B253" s="28">
        <v>232.29</v>
      </c>
      <c r="C253" s="27">
        <f t="shared" si="4"/>
        <v>6.9321467899764538E-4</v>
      </c>
    </row>
    <row r="254" spans="1:3">
      <c r="A254" s="25" t="s">
        <v>815</v>
      </c>
      <c r="B254" s="28">
        <v>232.29</v>
      </c>
      <c r="C254" s="27">
        <f t="shared" si="4"/>
        <v>6.9321467899764538E-4</v>
      </c>
    </row>
    <row r="255" spans="1:3">
      <c r="A255" s="25" t="s">
        <v>816</v>
      </c>
      <c r="B255" s="28">
        <v>232.29</v>
      </c>
      <c r="C255" s="27">
        <f t="shared" si="4"/>
        <v>6.9321467899764538E-4</v>
      </c>
    </row>
    <row r="256" spans="1:3">
      <c r="A256" s="25" t="s">
        <v>817</v>
      </c>
      <c r="B256" s="28">
        <v>232.29</v>
      </c>
      <c r="C256" s="27">
        <f t="shared" si="4"/>
        <v>6.9321467899764538E-4</v>
      </c>
    </row>
    <row r="257" spans="1:3">
      <c r="A257" s="25" t="s">
        <v>818</v>
      </c>
      <c r="B257" s="28">
        <v>232.29</v>
      </c>
      <c r="C257" s="27">
        <f t="shared" si="4"/>
        <v>6.9321467899764538E-4</v>
      </c>
    </row>
    <row r="258" spans="1:3">
      <c r="A258" s="25" t="s">
        <v>819</v>
      </c>
      <c r="B258" s="28">
        <v>232.29</v>
      </c>
      <c r="C258" s="27">
        <f t="shared" si="4"/>
        <v>6.9321467899764538E-4</v>
      </c>
    </row>
    <row r="259" spans="1:3">
      <c r="A259" s="25" t="s">
        <v>820</v>
      </c>
      <c r="B259" s="28">
        <v>232.29</v>
      </c>
      <c r="C259" s="27">
        <f t="shared" si="4"/>
        <v>6.9321467899764538E-4</v>
      </c>
    </row>
    <row r="260" spans="1:3">
      <c r="A260" s="25" t="s">
        <v>821</v>
      </c>
      <c r="B260" s="28">
        <v>232.29</v>
      </c>
      <c r="C260" s="27">
        <f t="shared" si="4"/>
        <v>6.9321467899764538E-4</v>
      </c>
    </row>
    <row r="261" spans="1:3">
      <c r="A261" s="25" t="s">
        <v>822</v>
      </c>
      <c r="B261" s="28">
        <v>0</v>
      </c>
      <c r="C261" s="27">
        <f t="shared" si="4"/>
        <v>0</v>
      </c>
    </row>
    <row r="262" spans="1:3">
      <c r="A262" s="25" t="s">
        <v>823</v>
      </c>
      <c r="B262" s="28">
        <v>232.29</v>
      </c>
      <c r="C262" s="27">
        <f t="shared" si="4"/>
        <v>6.9321467899764538E-4</v>
      </c>
    </row>
    <row r="263" spans="1:3">
      <c r="A263" s="25" t="s">
        <v>824</v>
      </c>
      <c r="B263" s="28">
        <v>232.29</v>
      </c>
      <c r="C263" s="27">
        <f t="shared" si="4"/>
        <v>6.9321467899764538E-4</v>
      </c>
    </row>
    <row r="264" spans="1:3">
      <c r="A264" s="25" t="s">
        <v>825</v>
      </c>
      <c r="B264" s="28">
        <v>232.29</v>
      </c>
      <c r="C264" s="27">
        <f t="shared" si="4"/>
        <v>6.9321467899764538E-4</v>
      </c>
    </row>
    <row r="265" spans="1:3">
      <c r="A265" s="25" t="s">
        <v>826</v>
      </c>
      <c r="B265" s="28">
        <v>232.29</v>
      </c>
      <c r="C265" s="27">
        <f t="shared" si="4"/>
        <v>6.9321467899764538E-4</v>
      </c>
    </row>
    <row r="266" spans="1:3">
      <c r="A266" s="25" t="s">
        <v>827</v>
      </c>
      <c r="B266" s="28">
        <v>232.29</v>
      </c>
      <c r="C266" s="27">
        <f t="shared" si="4"/>
        <v>6.9321467899764538E-4</v>
      </c>
    </row>
    <row r="267" spans="1:3">
      <c r="A267" s="25" t="s">
        <v>828</v>
      </c>
      <c r="B267" s="28">
        <v>232.29</v>
      </c>
      <c r="C267" s="27">
        <f t="shared" si="4"/>
        <v>6.9321467899764538E-4</v>
      </c>
    </row>
    <row r="268" spans="1:3">
      <c r="A268" s="25" t="s">
        <v>829</v>
      </c>
      <c r="B268" s="28">
        <v>232.29</v>
      </c>
      <c r="C268" s="27">
        <f t="shared" si="4"/>
        <v>6.9321467899764538E-4</v>
      </c>
    </row>
    <row r="269" spans="1:3">
      <c r="A269" s="25" t="s">
        <v>830</v>
      </c>
      <c r="B269" s="28">
        <v>232.29</v>
      </c>
      <c r="C269" s="27">
        <f t="shared" si="4"/>
        <v>6.9321467899764538E-4</v>
      </c>
    </row>
    <row r="270" spans="1:3">
      <c r="A270" s="25" t="s">
        <v>831</v>
      </c>
      <c r="B270" s="28">
        <v>232.29</v>
      </c>
      <c r="C270" s="27">
        <f t="shared" si="4"/>
        <v>6.9321467899764538E-4</v>
      </c>
    </row>
    <row r="271" spans="1:3">
      <c r="A271" s="25" t="s">
        <v>832</v>
      </c>
      <c r="B271" s="28">
        <v>0</v>
      </c>
      <c r="C271" s="27">
        <f t="shared" si="4"/>
        <v>0</v>
      </c>
    </row>
    <row r="272" spans="1:3">
      <c r="A272" s="25" t="s">
        <v>833</v>
      </c>
      <c r="B272" s="28">
        <v>232.29</v>
      </c>
      <c r="C272" s="27">
        <f t="shared" si="4"/>
        <v>6.9321467899764538E-4</v>
      </c>
    </row>
    <row r="273" spans="1:3">
      <c r="A273" s="25" t="s">
        <v>834</v>
      </c>
      <c r="B273" s="28">
        <v>232.29</v>
      </c>
      <c r="C273" s="27">
        <f t="shared" si="4"/>
        <v>6.9321467899764538E-4</v>
      </c>
    </row>
    <row r="274" spans="1:3">
      <c r="A274" s="25" t="s">
        <v>835</v>
      </c>
      <c r="B274" s="28">
        <v>232.29</v>
      </c>
      <c r="C274" s="27">
        <f t="shared" si="4"/>
        <v>6.9321467899764538E-4</v>
      </c>
    </row>
    <row r="275" spans="1:3">
      <c r="A275" s="25" t="s">
        <v>836</v>
      </c>
      <c r="B275" s="28">
        <v>232.29</v>
      </c>
      <c r="C275" s="27">
        <f t="shared" si="4"/>
        <v>6.9321467899764538E-4</v>
      </c>
    </row>
    <row r="276" spans="1:3">
      <c r="A276" s="25" t="s">
        <v>837</v>
      </c>
      <c r="B276" s="28">
        <v>232.29</v>
      </c>
      <c r="C276" s="27">
        <f t="shared" si="4"/>
        <v>6.9321467899764538E-4</v>
      </c>
    </row>
    <row r="277" spans="1:3">
      <c r="A277" s="25" t="s">
        <v>838</v>
      </c>
      <c r="B277" s="28">
        <v>232.29</v>
      </c>
      <c r="C277" s="27">
        <f t="shared" si="4"/>
        <v>6.9321467899764538E-4</v>
      </c>
    </row>
    <row r="278" spans="1:3">
      <c r="A278" s="25" t="s">
        <v>839</v>
      </c>
      <c r="B278" s="28">
        <v>232.29</v>
      </c>
      <c r="C278" s="27">
        <f t="shared" si="4"/>
        <v>6.9321467899764538E-4</v>
      </c>
    </row>
    <row r="279" spans="1:3">
      <c r="A279" s="25" t="s">
        <v>840</v>
      </c>
      <c r="B279" s="28">
        <v>232.29</v>
      </c>
      <c r="C279" s="27">
        <f t="shared" si="4"/>
        <v>6.9321467899764538E-4</v>
      </c>
    </row>
    <row r="280" spans="1:3">
      <c r="A280" s="25" t="s">
        <v>841</v>
      </c>
      <c r="B280" s="28">
        <v>232.29</v>
      </c>
      <c r="C280" s="27">
        <f t="shared" si="4"/>
        <v>6.9321467899764538E-4</v>
      </c>
    </row>
    <row r="281" spans="1:3">
      <c r="A281" s="25" t="s">
        <v>842</v>
      </c>
      <c r="B281" s="28">
        <v>0</v>
      </c>
      <c r="C281" s="27">
        <f t="shared" si="4"/>
        <v>0</v>
      </c>
    </row>
    <row r="282" spans="1:3">
      <c r="A282" s="25" t="s">
        <v>843</v>
      </c>
      <c r="B282" s="28">
        <v>232.29</v>
      </c>
      <c r="C282" s="27">
        <f t="shared" si="4"/>
        <v>6.9321467899764538E-4</v>
      </c>
    </row>
    <row r="283" spans="1:3">
      <c r="A283" s="25" t="s">
        <v>844</v>
      </c>
      <c r="B283" s="28">
        <v>232.29</v>
      </c>
      <c r="C283" s="27">
        <f t="shared" si="4"/>
        <v>6.9321467899764538E-4</v>
      </c>
    </row>
    <row r="284" spans="1:3">
      <c r="A284" s="25" t="s">
        <v>845</v>
      </c>
      <c r="B284" s="28">
        <v>232.29</v>
      </c>
      <c r="C284" s="27">
        <f t="shared" si="4"/>
        <v>6.9321467899764538E-4</v>
      </c>
    </row>
    <row r="285" spans="1:3">
      <c r="A285" s="25" t="s">
        <v>846</v>
      </c>
      <c r="B285" s="28">
        <v>232.29</v>
      </c>
      <c r="C285" s="27">
        <f t="shared" si="4"/>
        <v>6.9321467899764538E-4</v>
      </c>
    </row>
    <row r="286" spans="1:3">
      <c r="A286" s="25" t="s">
        <v>847</v>
      </c>
      <c r="B286" s="28">
        <v>206.48</v>
      </c>
      <c r="C286" s="27">
        <f t="shared" si="4"/>
        <v>6.1619082577568478E-4</v>
      </c>
    </row>
    <row r="287" spans="1:3">
      <c r="A287" s="25" t="s">
        <v>848</v>
      </c>
      <c r="B287" s="28">
        <v>232.29</v>
      </c>
      <c r="C287" s="27">
        <f t="shared" si="4"/>
        <v>6.9321467899764538E-4</v>
      </c>
    </row>
    <row r="288" spans="1:3">
      <c r="A288" s="25" t="s">
        <v>849</v>
      </c>
      <c r="B288" s="28">
        <v>232.29</v>
      </c>
      <c r="C288" s="27">
        <f t="shared" si="4"/>
        <v>6.9321467899764538E-4</v>
      </c>
    </row>
    <row r="289" spans="1:3">
      <c r="A289" s="25" t="s">
        <v>850</v>
      </c>
      <c r="B289" s="28">
        <v>232.29</v>
      </c>
      <c r="C289" s="27">
        <f t="shared" si="4"/>
        <v>6.9321467899764538E-4</v>
      </c>
    </row>
    <row r="290" spans="1:3">
      <c r="A290" s="25" t="s">
        <v>851</v>
      </c>
      <c r="B290" s="28">
        <v>232.29</v>
      </c>
      <c r="C290" s="27">
        <f t="shared" si="4"/>
        <v>6.9321467899764538E-4</v>
      </c>
    </row>
    <row r="291" spans="1:3">
      <c r="A291" s="25" t="s">
        <v>852</v>
      </c>
      <c r="B291" s="28">
        <v>0</v>
      </c>
      <c r="C291" s="27">
        <f t="shared" si="4"/>
        <v>0</v>
      </c>
    </row>
    <row r="292" spans="1:3">
      <c r="A292" s="25" t="s">
        <v>853</v>
      </c>
      <c r="B292" s="28">
        <v>232.29</v>
      </c>
      <c r="C292" s="27">
        <f t="shared" si="4"/>
        <v>6.9321467899764538E-4</v>
      </c>
    </row>
    <row r="293" spans="1:3">
      <c r="A293" s="25" t="s">
        <v>854</v>
      </c>
      <c r="B293" s="28">
        <v>232.29</v>
      </c>
      <c r="C293" s="27">
        <f t="shared" si="4"/>
        <v>6.9321467899764538E-4</v>
      </c>
    </row>
    <row r="294" spans="1:3">
      <c r="A294" s="25" t="s">
        <v>855</v>
      </c>
      <c r="B294" s="28">
        <v>232.29</v>
      </c>
      <c r="C294" s="27">
        <f t="shared" si="4"/>
        <v>6.9321467899764538E-4</v>
      </c>
    </row>
    <row r="295" spans="1:3">
      <c r="A295" s="25" t="s">
        <v>856</v>
      </c>
      <c r="B295" s="28">
        <v>232.29</v>
      </c>
      <c r="C295" s="27">
        <f t="shared" si="4"/>
        <v>6.9321467899764538E-4</v>
      </c>
    </row>
    <row r="296" spans="1:3">
      <c r="A296" s="25" t="s">
        <v>857</v>
      </c>
      <c r="B296" s="28">
        <v>232.29</v>
      </c>
      <c r="C296" s="27">
        <f t="shared" si="4"/>
        <v>6.9321467899764538E-4</v>
      </c>
    </row>
    <row r="297" spans="1:3">
      <c r="A297" s="25" t="s">
        <v>858</v>
      </c>
      <c r="B297" s="28">
        <v>232.29</v>
      </c>
      <c r="C297" s="27">
        <f t="shared" si="4"/>
        <v>6.9321467899764538E-4</v>
      </c>
    </row>
    <row r="298" spans="1:3">
      <c r="A298" s="25" t="s">
        <v>859</v>
      </c>
      <c r="B298" s="28">
        <v>232.29</v>
      </c>
      <c r="C298" s="27">
        <f t="shared" si="4"/>
        <v>6.9321467899764538E-4</v>
      </c>
    </row>
    <row r="299" spans="1:3">
      <c r="A299" s="25" t="s">
        <v>860</v>
      </c>
      <c r="B299" s="28">
        <v>232.29</v>
      </c>
      <c r="C299" s="27">
        <f t="shared" ref="C299:C362" si="5">IFERROR(B299/$S$2,"")</f>
        <v>6.9321467899764538E-4</v>
      </c>
    </row>
    <row r="300" spans="1:3">
      <c r="A300" s="25" t="s">
        <v>861</v>
      </c>
      <c r="B300" s="28">
        <v>232.29</v>
      </c>
      <c r="C300" s="27">
        <f t="shared" si="5"/>
        <v>6.9321467899764538E-4</v>
      </c>
    </row>
    <row r="301" spans="1:3">
      <c r="A301" s="25" t="s">
        <v>862</v>
      </c>
      <c r="B301" s="28">
        <v>0</v>
      </c>
      <c r="C301" s="27">
        <f t="shared" si="5"/>
        <v>0</v>
      </c>
    </row>
    <row r="302" spans="1:3">
      <c r="A302" s="25" t="s">
        <v>863</v>
      </c>
      <c r="B302" s="28">
        <v>232.29</v>
      </c>
      <c r="C302" s="27">
        <f t="shared" si="5"/>
        <v>6.9321467899764538E-4</v>
      </c>
    </row>
    <row r="303" spans="1:3">
      <c r="A303" s="25" t="s">
        <v>864</v>
      </c>
      <c r="B303" s="28">
        <v>232.29</v>
      </c>
      <c r="C303" s="27">
        <f t="shared" si="5"/>
        <v>6.9321467899764538E-4</v>
      </c>
    </row>
    <row r="304" spans="1:3">
      <c r="A304" s="25" t="s">
        <v>865</v>
      </c>
      <c r="B304" s="28">
        <v>232.29</v>
      </c>
      <c r="C304" s="27">
        <f t="shared" si="5"/>
        <v>6.9321467899764538E-4</v>
      </c>
    </row>
    <row r="305" spans="1:3">
      <c r="A305" s="25" t="s">
        <v>866</v>
      </c>
      <c r="B305" s="28">
        <v>232.29</v>
      </c>
      <c r="C305" s="27">
        <f t="shared" si="5"/>
        <v>6.9321467899764538E-4</v>
      </c>
    </row>
    <row r="306" spans="1:3">
      <c r="A306" s="25" t="s">
        <v>867</v>
      </c>
      <c r="B306" s="28">
        <v>232.29</v>
      </c>
      <c r="C306" s="27">
        <f t="shared" si="5"/>
        <v>6.9321467899764538E-4</v>
      </c>
    </row>
    <row r="307" spans="1:3">
      <c r="A307" s="25" t="s">
        <v>868</v>
      </c>
      <c r="B307" s="28">
        <v>232.29</v>
      </c>
      <c r="C307" s="27">
        <f t="shared" si="5"/>
        <v>6.9321467899764538E-4</v>
      </c>
    </row>
    <row r="308" spans="1:3">
      <c r="A308" s="25" t="s">
        <v>869</v>
      </c>
      <c r="B308" s="28">
        <v>232.29</v>
      </c>
      <c r="C308" s="27">
        <f t="shared" si="5"/>
        <v>6.9321467899764538E-4</v>
      </c>
    </row>
    <row r="309" spans="1:3">
      <c r="A309" s="25" t="s">
        <v>870</v>
      </c>
      <c r="B309" s="28">
        <v>232.29</v>
      </c>
      <c r="C309" s="27">
        <f t="shared" si="5"/>
        <v>6.9321467899764538E-4</v>
      </c>
    </row>
    <row r="310" spans="1:3">
      <c r="A310" s="25" t="s">
        <v>871</v>
      </c>
      <c r="B310" s="28">
        <v>232.29</v>
      </c>
      <c r="C310" s="27">
        <f t="shared" si="5"/>
        <v>6.9321467899764538E-4</v>
      </c>
    </row>
    <row r="311" spans="1:3">
      <c r="A311" s="25" t="s">
        <v>872</v>
      </c>
      <c r="B311" s="28">
        <v>0</v>
      </c>
      <c r="C311" s="27">
        <f t="shared" si="5"/>
        <v>0</v>
      </c>
    </row>
    <row r="312" spans="1:3">
      <c r="A312" s="25" t="s">
        <v>873</v>
      </c>
      <c r="B312" s="28">
        <v>232.29</v>
      </c>
      <c r="C312" s="27">
        <f t="shared" si="5"/>
        <v>6.9321467899764538E-4</v>
      </c>
    </row>
    <row r="313" spans="1:3">
      <c r="A313" s="25" t="s">
        <v>874</v>
      </c>
      <c r="B313" s="28">
        <v>232.29</v>
      </c>
      <c r="C313" s="27">
        <f t="shared" si="5"/>
        <v>6.9321467899764538E-4</v>
      </c>
    </row>
    <row r="314" spans="1:3">
      <c r="A314" s="25" t="s">
        <v>875</v>
      </c>
      <c r="B314" s="28">
        <v>232.29</v>
      </c>
      <c r="C314" s="27">
        <f t="shared" si="5"/>
        <v>6.9321467899764538E-4</v>
      </c>
    </row>
    <row r="315" spans="1:3">
      <c r="A315" s="25" t="s">
        <v>876</v>
      </c>
      <c r="B315" s="28">
        <v>232.29</v>
      </c>
      <c r="C315" s="27">
        <f t="shared" si="5"/>
        <v>6.9321467899764538E-4</v>
      </c>
    </row>
    <row r="316" spans="1:3">
      <c r="A316" s="25" t="s">
        <v>877</v>
      </c>
      <c r="B316" s="28">
        <v>232.29</v>
      </c>
      <c r="C316" s="27">
        <f t="shared" si="5"/>
        <v>6.9321467899764538E-4</v>
      </c>
    </row>
    <row r="317" spans="1:3">
      <c r="A317" s="25" t="s">
        <v>878</v>
      </c>
      <c r="B317" s="28">
        <v>232.29</v>
      </c>
      <c r="C317" s="27">
        <f t="shared" si="5"/>
        <v>6.9321467899764538E-4</v>
      </c>
    </row>
    <row r="318" spans="1:3">
      <c r="A318" s="25" t="s">
        <v>879</v>
      </c>
      <c r="B318" s="28">
        <v>232.29</v>
      </c>
      <c r="C318" s="27">
        <f t="shared" si="5"/>
        <v>6.9321467899764538E-4</v>
      </c>
    </row>
    <row r="319" spans="1:3">
      <c r="A319" s="25" t="s">
        <v>880</v>
      </c>
      <c r="B319" s="28">
        <v>232.29</v>
      </c>
      <c r="C319" s="27">
        <f t="shared" si="5"/>
        <v>6.9321467899764538E-4</v>
      </c>
    </row>
    <row r="320" spans="1:3">
      <c r="A320" s="25" t="s">
        <v>881</v>
      </c>
      <c r="B320" s="28">
        <v>232.29</v>
      </c>
      <c r="C320" s="27">
        <f t="shared" si="5"/>
        <v>6.9321467899764538E-4</v>
      </c>
    </row>
    <row r="321" spans="1:3">
      <c r="A321" s="25" t="s">
        <v>882</v>
      </c>
      <c r="B321" s="28">
        <v>0</v>
      </c>
      <c r="C321" s="27">
        <f t="shared" si="5"/>
        <v>0</v>
      </c>
    </row>
    <row r="322" spans="1:3">
      <c r="A322" s="25" t="s">
        <v>883</v>
      </c>
      <c r="B322" s="28">
        <v>232.29</v>
      </c>
      <c r="C322" s="27">
        <f t="shared" si="5"/>
        <v>6.9321467899764538E-4</v>
      </c>
    </row>
    <row r="323" spans="1:3">
      <c r="A323" s="25" t="s">
        <v>884</v>
      </c>
      <c r="B323" s="28">
        <v>232.29</v>
      </c>
      <c r="C323" s="27">
        <f t="shared" si="5"/>
        <v>6.9321467899764538E-4</v>
      </c>
    </row>
    <row r="324" spans="1:3">
      <c r="A324" s="25" t="s">
        <v>885</v>
      </c>
      <c r="B324" s="28">
        <v>232.29</v>
      </c>
      <c r="C324" s="27">
        <f t="shared" si="5"/>
        <v>6.9321467899764538E-4</v>
      </c>
    </row>
    <row r="325" spans="1:3">
      <c r="A325" s="25" t="s">
        <v>886</v>
      </c>
      <c r="B325" s="28">
        <v>232.29</v>
      </c>
      <c r="C325" s="27">
        <f t="shared" si="5"/>
        <v>6.9321467899764538E-4</v>
      </c>
    </row>
    <row r="326" spans="1:3">
      <c r="A326" s="25" t="s">
        <v>887</v>
      </c>
      <c r="B326" s="28">
        <v>232.29</v>
      </c>
      <c r="C326" s="27">
        <f t="shared" si="5"/>
        <v>6.9321467899764538E-4</v>
      </c>
    </row>
    <row r="327" spans="1:3">
      <c r="A327" s="25" t="s">
        <v>888</v>
      </c>
      <c r="B327" s="28">
        <v>232.29</v>
      </c>
      <c r="C327" s="27">
        <f t="shared" si="5"/>
        <v>6.9321467899764538E-4</v>
      </c>
    </row>
    <row r="328" spans="1:3">
      <c r="A328" s="25" t="s">
        <v>889</v>
      </c>
      <c r="B328" s="28">
        <v>232.29</v>
      </c>
      <c r="C328" s="27">
        <f t="shared" si="5"/>
        <v>6.9321467899764538E-4</v>
      </c>
    </row>
    <row r="329" spans="1:3">
      <c r="A329" s="25" t="s">
        <v>890</v>
      </c>
      <c r="B329" s="28">
        <v>232.29</v>
      </c>
      <c r="C329" s="27">
        <f t="shared" si="5"/>
        <v>6.9321467899764538E-4</v>
      </c>
    </row>
    <row r="330" spans="1:3">
      <c r="A330" s="25" t="s">
        <v>891</v>
      </c>
      <c r="B330" s="28">
        <v>232.29</v>
      </c>
      <c r="C330" s="27">
        <f t="shared" si="5"/>
        <v>6.9321467899764538E-4</v>
      </c>
    </row>
    <row r="331" spans="1:3">
      <c r="A331" s="25" t="s">
        <v>892</v>
      </c>
      <c r="B331" s="28">
        <v>0</v>
      </c>
      <c r="C331" s="27">
        <f t="shared" si="5"/>
        <v>0</v>
      </c>
    </row>
    <row r="332" spans="1:3">
      <c r="A332" s="25" t="s">
        <v>893</v>
      </c>
      <c r="B332" s="28">
        <v>232.29</v>
      </c>
      <c r="C332" s="27">
        <f t="shared" si="5"/>
        <v>6.9321467899764538E-4</v>
      </c>
    </row>
    <row r="333" spans="1:3">
      <c r="A333" s="25" t="s">
        <v>894</v>
      </c>
      <c r="B333" s="28">
        <v>232.29</v>
      </c>
      <c r="C333" s="27">
        <f t="shared" si="5"/>
        <v>6.9321467899764538E-4</v>
      </c>
    </row>
    <row r="334" spans="1:3">
      <c r="A334" s="25" t="s">
        <v>895</v>
      </c>
      <c r="B334" s="28">
        <v>232.29</v>
      </c>
      <c r="C334" s="27">
        <f t="shared" si="5"/>
        <v>6.9321467899764538E-4</v>
      </c>
    </row>
    <row r="335" spans="1:3">
      <c r="A335" s="25" t="s">
        <v>896</v>
      </c>
      <c r="B335" s="28">
        <v>232.29</v>
      </c>
      <c r="C335" s="27">
        <f t="shared" si="5"/>
        <v>6.9321467899764538E-4</v>
      </c>
    </row>
    <row r="336" spans="1:3">
      <c r="A336" s="25" t="s">
        <v>897</v>
      </c>
      <c r="B336" s="28">
        <v>232.29</v>
      </c>
      <c r="C336" s="27">
        <f t="shared" si="5"/>
        <v>6.9321467899764538E-4</v>
      </c>
    </row>
    <row r="337" spans="1:3">
      <c r="A337" s="25" t="s">
        <v>898</v>
      </c>
      <c r="B337" s="28">
        <v>232.29</v>
      </c>
      <c r="C337" s="27">
        <f t="shared" si="5"/>
        <v>6.9321467899764538E-4</v>
      </c>
    </row>
    <row r="338" spans="1:3">
      <c r="A338" s="25" t="s">
        <v>899</v>
      </c>
      <c r="B338" s="28">
        <v>232.29</v>
      </c>
      <c r="C338" s="27">
        <f t="shared" si="5"/>
        <v>6.9321467899764538E-4</v>
      </c>
    </row>
    <row r="339" spans="1:3">
      <c r="A339" s="25" t="s">
        <v>900</v>
      </c>
      <c r="B339" s="28">
        <v>232.29</v>
      </c>
      <c r="C339" s="27">
        <f t="shared" si="5"/>
        <v>6.9321467899764538E-4</v>
      </c>
    </row>
    <row r="340" spans="1:3">
      <c r="A340" s="25" t="s">
        <v>901</v>
      </c>
      <c r="B340" s="28">
        <v>232.29</v>
      </c>
      <c r="C340" s="27">
        <f t="shared" si="5"/>
        <v>6.9321467899764538E-4</v>
      </c>
    </row>
    <row r="341" spans="1:3">
      <c r="A341" s="25" t="s">
        <v>902</v>
      </c>
      <c r="B341" s="28">
        <v>0</v>
      </c>
      <c r="C341" s="27">
        <f t="shared" si="5"/>
        <v>0</v>
      </c>
    </row>
    <row r="342" spans="1:3">
      <c r="A342" s="25" t="s">
        <v>903</v>
      </c>
      <c r="B342" s="28">
        <v>232.29</v>
      </c>
      <c r="C342" s="27">
        <f t="shared" si="5"/>
        <v>6.9321467899764538E-4</v>
      </c>
    </row>
    <row r="343" spans="1:3">
      <c r="A343" s="25" t="s">
        <v>904</v>
      </c>
      <c r="B343" s="28">
        <v>232.29</v>
      </c>
      <c r="C343" s="27">
        <f t="shared" si="5"/>
        <v>6.9321467899764538E-4</v>
      </c>
    </row>
    <row r="344" spans="1:3">
      <c r="A344" s="25" t="s">
        <v>905</v>
      </c>
      <c r="B344" s="28">
        <v>232.29</v>
      </c>
      <c r="C344" s="27">
        <f t="shared" si="5"/>
        <v>6.9321467899764538E-4</v>
      </c>
    </row>
    <row r="345" spans="1:3">
      <c r="A345" s="25" t="s">
        <v>906</v>
      </c>
      <c r="B345" s="28">
        <v>232.29</v>
      </c>
      <c r="C345" s="27">
        <f t="shared" si="5"/>
        <v>6.9321467899764538E-4</v>
      </c>
    </row>
    <row r="346" spans="1:3">
      <c r="A346" s="25" t="s">
        <v>907</v>
      </c>
      <c r="B346" s="28">
        <v>232.29</v>
      </c>
      <c r="C346" s="27">
        <f t="shared" si="5"/>
        <v>6.9321467899764538E-4</v>
      </c>
    </row>
    <row r="347" spans="1:3">
      <c r="A347" s="25" t="s">
        <v>908</v>
      </c>
      <c r="B347" s="28">
        <v>232.29</v>
      </c>
      <c r="C347" s="27">
        <f t="shared" si="5"/>
        <v>6.9321467899764538E-4</v>
      </c>
    </row>
    <row r="348" spans="1:3">
      <c r="A348" s="25" t="s">
        <v>909</v>
      </c>
      <c r="B348" s="28">
        <v>232.29</v>
      </c>
      <c r="C348" s="27">
        <f t="shared" si="5"/>
        <v>6.9321467899764538E-4</v>
      </c>
    </row>
    <row r="349" spans="1:3">
      <c r="A349" s="25" t="s">
        <v>910</v>
      </c>
      <c r="B349" s="28">
        <v>232.29</v>
      </c>
      <c r="C349" s="27">
        <f t="shared" si="5"/>
        <v>6.9321467899764538E-4</v>
      </c>
    </row>
    <row r="350" spans="1:3">
      <c r="A350" s="25" t="s">
        <v>911</v>
      </c>
      <c r="B350" s="28">
        <v>232.29</v>
      </c>
      <c r="C350" s="27">
        <f t="shared" si="5"/>
        <v>6.9321467899764538E-4</v>
      </c>
    </row>
    <row r="351" spans="1:3">
      <c r="A351" s="25" t="s">
        <v>912</v>
      </c>
      <c r="B351" s="28">
        <v>0</v>
      </c>
      <c r="C351" s="27">
        <f t="shared" si="5"/>
        <v>0</v>
      </c>
    </row>
    <row r="352" spans="1:3">
      <c r="A352" s="25" t="s">
        <v>913</v>
      </c>
      <c r="B352" s="28">
        <v>232.29</v>
      </c>
      <c r="C352" s="27">
        <f t="shared" si="5"/>
        <v>6.9321467899764538E-4</v>
      </c>
    </row>
    <row r="353" spans="1:3">
      <c r="A353" s="25" t="s">
        <v>914</v>
      </c>
      <c r="B353" s="28">
        <v>232.29</v>
      </c>
      <c r="C353" s="27">
        <f t="shared" si="5"/>
        <v>6.9321467899764538E-4</v>
      </c>
    </row>
    <row r="354" spans="1:3">
      <c r="A354" s="25" t="s">
        <v>915</v>
      </c>
      <c r="B354" s="28">
        <v>232.29</v>
      </c>
      <c r="C354" s="27">
        <f t="shared" si="5"/>
        <v>6.9321467899764538E-4</v>
      </c>
    </row>
    <row r="355" spans="1:3">
      <c r="A355" s="25" t="s">
        <v>916</v>
      </c>
      <c r="B355" s="28">
        <v>232.29</v>
      </c>
      <c r="C355" s="27">
        <f t="shared" si="5"/>
        <v>6.9321467899764538E-4</v>
      </c>
    </row>
    <row r="356" spans="1:3">
      <c r="A356" s="25" t="s">
        <v>917</v>
      </c>
      <c r="B356" s="28">
        <v>232.29</v>
      </c>
      <c r="C356" s="27">
        <f t="shared" si="5"/>
        <v>6.9321467899764538E-4</v>
      </c>
    </row>
    <row r="357" spans="1:3">
      <c r="A357" s="25" t="s">
        <v>918</v>
      </c>
      <c r="B357" s="28">
        <v>232.29</v>
      </c>
      <c r="C357" s="27">
        <f t="shared" si="5"/>
        <v>6.9321467899764538E-4</v>
      </c>
    </row>
    <row r="358" spans="1:3">
      <c r="A358" s="25" t="s">
        <v>919</v>
      </c>
      <c r="B358" s="28">
        <v>232.29</v>
      </c>
      <c r="C358" s="27">
        <f t="shared" si="5"/>
        <v>6.9321467899764538E-4</v>
      </c>
    </row>
    <row r="359" spans="1:3">
      <c r="A359" s="25" t="s">
        <v>920</v>
      </c>
      <c r="B359" s="28">
        <v>232.29</v>
      </c>
      <c r="C359" s="27">
        <f t="shared" si="5"/>
        <v>6.9321467899764538E-4</v>
      </c>
    </row>
    <row r="360" spans="1:3">
      <c r="A360" s="25" t="s">
        <v>921</v>
      </c>
      <c r="B360" s="28">
        <v>232.29</v>
      </c>
      <c r="C360" s="27">
        <f t="shared" si="5"/>
        <v>6.9321467899764538E-4</v>
      </c>
    </row>
    <row r="361" spans="1:3">
      <c r="A361" s="25" t="s">
        <v>922</v>
      </c>
      <c r="B361" s="28">
        <v>0</v>
      </c>
      <c r="C361" s="27">
        <f t="shared" si="5"/>
        <v>0</v>
      </c>
    </row>
    <row r="362" spans="1:3">
      <c r="A362" s="25" t="s">
        <v>923</v>
      </c>
      <c r="B362" s="28">
        <v>234.9</v>
      </c>
      <c r="C362" s="27">
        <f t="shared" si="5"/>
        <v>7.0100360797514707E-4</v>
      </c>
    </row>
    <row r="363" spans="1:3">
      <c r="A363" s="25" t="s">
        <v>924</v>
      </c>
      <c r="B363" s="28">
        <v>234.9</v>
      </c>
      <c r="C363" s="27">
        <f t="shared" ref="C363:C426" si="6">IFERROR(B363/$S$2,"")</f>
        <v>7.0100360797514707E-4</v>
      </c>
    </row>
    <row r="364" spans="1:3">
      <c r="A364" s="25" t="s">
        <v>925</v>
      </c>
      <c r="B364" s="28">
        <v>234.9</v>
      </c>
      <c r="C364" s="27">
        <f t="shared" si="6"/>
        <v>7.0100360797514707E-4</v>
      </c>
    </row>
    <row r="365" spans="1:3">
      <c r="A365" s="25" t="s">
        <v>926</v>
      </c>
      <c r="B365" s="28">
        <v>234.9</v>
      </c>
      <c r="C365" s="27">
        <f t="shared" si="6"/>
        <v>7.0100360797514707E-4</v>
      </c>
    </row>
    <row r="366" spans="1:3">
      <c r="A366" s="25" t="s">
        <v>927</v>
      </c>
      <c r="B366" s="28">
        <v>234.9</v>
      </c>
      <c r="C366" s="27">
        <f t="shared" si="6"/>
        <v>7.0100360797514707E-4</v>
      </c>
    </row>
    <row r="367" spans="1:3">
      <c r="A367" s="25" t="s">
        <v>928</v>
      </c>
      <c r="B367" s="28">
        <v>234.9</v>
      </c>
      <c r="C367" s="27">
        <f t="shared" si="6"/>
        <v>7.0100360797514707E-4</v>
      </c>
    </row>
    <row r="368" spans="1:3">
      <c r="A368" s="25" t="s">
        <v>929</v>
      </c>
      <c r="B368" s="28">
        <v>234.9</v>
      </c>
      <c r="C368" s="27">
        <f t="shared" si="6"/>
        <v>7.0100360797514707E-4</v>
      </c>
    </row>
    <row r="369" spans="1:3">
      <c r="A369" s="25" t="s">
        <v>930</v>
      </c>
      <c r="B369" s="28">
        <v>234.9</v>
      </c>
      <c r="C369" s="27">
        <f t="shared" si="6"/>
        <v>7.0100360797514707E-4</v>
      </c>
    </row>
    <row r="370" spans="1:3">
      <c r="A370" s="25" t="s">
        <v>931</v>
      </c>
      <c r="B370" s="28">
        <v>234.9</v>
      </c>
      <c r="C370" s="27">
        <f t="shared" si="6"/>
        <v>7.0100360797514707E-4</v>
      </c>
    </row>
    <row r="371" spans="1:3">
      <c r="A371" s="25" t="s">
        <v>932</v>
      </c>
      <c r="B371" s="28">
        <v>0</v>
      </c>
      <c r="C371" s="27">
        <f t="shared" si="6"/>
        <v>0</v>
      </c>
    </row>
    <row r="372" spans="1:3">
      <c r="A372" s="25" t="s">
        <v>933</v>
      </c>
      <c r="B372" s="28">
        <v>234.9</v>
      </c>
      <c r="C372" s="27">
        <f t="shared" si="6"/>
        <v>7.0100360797514707E-4</v>
      </c>
    </row>
    <row r="373" spans="1:3">
      <c r="A373" s="25" t="s">
        <v>934</v>
      </c>
      <c r="B373" s="28">
        <v>234.9</v>
      </c>
      <c r="C373" s="27">
        <f t="shared" si="6"/>
        <v>7.0100360797514707E-4</v>
      </c>
    </row>
    <row r="374" spans="1:3">
      <c r="A374" s="25" t="s">
        <v>935</v>
      </c>
      <c r="B374" s="28">
        <v>234.9</v>
      </c>
      <c r="C374" s="27">
        <f t="shared" si="6"/>
        <v>7.0100360797514707E-4</v>
      </c>
    </row>
    <row r="375" spans="1:3">
      <c r="A375" s="25" t="s">
        <v>936</v>
      </c>
      <c r="B375" s="28">
        <v>234.9</v>
      </c>
      <c r="C375" s="27">
        <f t="shared" si="6"/>
        <v>7.0100360797514707E-4</v>
      </c>
    </row>
    <row r="376" spans="1:3">
      <c r="A376" s="25" t="s">
        <v>937</v>
      </c>
      <c r="B376" s="28">
        <v>234.9</v>
      </c>
      <c r="C376" s="27">
        <f t="shared" si="6"/>
        <v>7.0100360797514707E-4</v>
      </c>
    </row>
    <row r="377" spans="1:3">
      <c r="A377" s="25" t="s">
        <v>938</v>
      </c>
      <c r="B377" s="28">
        <v>234.9</v>
      </c>
      <c r="C377" s="27">
        <f t="shared" si="6"/>
        <v>7.0100360797514707E-4</v>
      </c>
    </row>
    <row r="378" spans="1:3">
      <c r="A378" s="25" t="s">
        <v>939</v>
      </c>
      <c r="B378" s="28">
        <v>234.9</v>
      </c>
      <c r="C378" s="27">
        <f t="shared" si="6"/>
        <v>7.0100360797514707E-4</v>
      </c>
    </row>
    <row r="379" spans="1:3">
      <c r="A379" s="25" t="s">
        <v>940</v>
      </c>
      <c r="B379" s="28">
        <v>234.9</v>
      </c>
      <c r="C379" s="27">
        <f t="shared" si="6"/>
        <v>7.0100360797514707E-4</v>
      </c>
    </row>
    <row r="380" spans="1:3">
      <c r="A380" s="25" t="s">
        <v>941</v>
      </c>
      <c r="B380" s="28">
        <v>208.8</v>
      </c>
      <c r="C380" s="27">
        <f t="shared" si="6"/>
        <v>6.2311431820013077E-4</v>
      </c>
    </row>
    <row r="381" spans="1:3">
      <c r="A381" s="25" t="s">
        <v>942</v>
      </c>
      <c r="B381" s="28">
        <v>0</v>
      </c>
      <c r="C381" s="27">
        <f t="shared" si="6"/>
        <v>0</v>
      </c>
    </row>
    <row r="382" spans="1:3">
      <c r="A382" s="25" t="s">
        <v>943</v>
      </c>
      <c r="B382" s="28">
        <v>234.9</v>
      </c>
      <c r="C382" s="27">
        <f t="shared" si="6"/>
        <v>7.0100360797514707E-4</v>
      </c>
    </row>
    <row r="383" spans="1:3">
      <c r="A383" s="25" t="s">
        <v>944</v>
      </c>
      <c r="B383" s="28">
        <v>234.9</v>
      </c>
      <c r="C383" s="27">
        <f t="shared" si="6"/>
        <v>7.0100360797514707E-4</v>
      </c>
    </row>
    <row r="384" spans="1:3">
      <c r="A384" s="25" t="s">
        <v>945</v>
      </c>
      <c r="B384" s="28">
        <v>234.9</v>
      </c>
      <c r="C384" s="27">
        <f t="shared" si="6"/>
        <v>7.0100360797514707E-4</v>
      </c>
    </row>
    <row r="385" spans="1:3">
      <c r="A385" s="25" t="s">
        <v>946</v>
      </c>
      <c r="B385" s="28">
        <v>234.9</v>
      </c>
      <c r="C385" s="27">
        <f t="shared" si="6"/>
        <v>7.0100360797514707E-4</v>
      </c>
    </row>
    <row r="386" spans="1:3">
      <c r="A386" s="25" t="s">
        <v>947</v>
      </c>
      <c r="B386" s="28">
        <v>234.9</v>
      </c>
      <c r="C386" s="27">
        <f t="shared" si="6"/>
        <v>7.0100360797514707E-4</v>
      </c>
    </row>
    <row r="387" spans="1:3">
      <c r="A387" s="25" t="s">
        <v>948</v>
      </c>
      <c r="B387" s="28">
        <v>234.9</v>
      </c>
      <c r="C387" s="27">
        <f t="shared" si="6"/>
        <v>7.0100360797514707E-4</v>
      </c>
    </row>
    <row r="388" spans="1:3">
      <c r="A388" s="25" t="s">
        <v>949</v>
      </c>
      <c r="B388" s="28">
        <v>234.9</v>
      </c>
      <c r="C388" s="27">
        <f t="shared" si="6"/>
        <v>7.0100360797514707E-4</v>
      </c>
    </row>
    <row r="389" spans="1:3">
      <c r="A389" s="25" t="s">
        <v>950</v>
      </c>
      <c r="B389" s="28">
        <v>234.9</v>
      </c>
      <c r="C389" s="27">
        <f t="shared" si="6"/>
        <v>7.0100360797514707E-4</v>
      </c>
    </row>
    <row r="390" spans="1:3">
      <c r="A390" s="25" t="s">
        <v>951</v>
      </c>
      <c r="B390" s="28">
        <v>234.9</v>
      </c>
      <c r="C390" s="27">
        <f t="shared" si="6"/>
        <v>7.0100360797514707E-4</v>
      </c>
    </row>
    <row r="391" spans="1:3">
      <c r="A391" s="25" t="s">
        <v>952</v>
      </c>
      <c r="B391" s="28">
        <v>0</v>
      </c>
      <c r="C391" s="27">
        <f t="shared" si="6"/>
        <v>0</v>
      </c>
    </row>
    <row r="392" spans="1:3">
      <c r="A392" s="25" t="s">
        <v>953</v>
      </c>
      <c r="B392" s="28">
        <v>234.9</v>
      </c>
      <c r="C392" s="27">
        <f t="shared" si="6"/>
        <v>7.0100360797514707E-4</v>
      </c>
    </row>
    <row r="393" spans="1:3">
      <c r="A393" s="25" t="s">
        <v>954</v>
      </c>
      <c r="B393" s="28">
        <v>234.9</v>
      </c>
      <c r="C393" s="27">
        <f t="shared" si="6"/>
        <v>7.0100360797514707E-4</v>
      </c>
    </row>
    <row r="394" spans="1:3">
      <c r="A394" s="25" t="s">
        <v>955</v>
      </c>
      <c r="B394" s="28">
        <v>234.9</v>
      </c>
      <c r="C394" s="27">
        <f t="shared" si="6"/>
        <v>7.0100360797514707E-4</v>
      </c>
    </row>
    <row r="395" spans="1:3">
      <c r="A395" s="25" t="s">
        <v>956</v>
      </c>
      <c r="B395" s="28">
        <v>234.9</v>
      </c>
      <c r="C395" s="27">
        <f t="shared" si="6"/>
        <v>7.0100360797514707E-4</v>
      </c>
    </row>
    <row r="396" spans="1:3">
      <c r="A396" s="25" t="s">
        <v>957</v>
      </c>
      <c r="B396" s="28">
        <v>234.9</v>
      </c>
      <c r="C396" s="27">
        <f t="shared" si="6"/>
        <v>7.0100360797514707E-4</v>
      </c>
    </row>
    <row r="397" spans="1:3">
      <c r="A397" s="25" t="s">
        <v>958</v>
      </c>
      <c r="B397" s="28">
        <v>234.9</v>
      </c>
      <c r="C397" s="27">
        <f t="shared" si="6"/>
        <v>7.0100360797514707E-4</v>
      </c>
    </row>
    <row r="398" spans="1:3">
      <c r="A398" s="25" t="s">
        <v>959</v>
      </c>
      <c r="B398" s="28">
        <v>234.9</v>
      </c>
      <c r="C398" s="27">
        <f t="shared" si="6"/>
        <v>7.0100360797514707E-4</v>
      </c>
    </row>
    <row r="399" spans="1:3">
      <c r="A399" s="25" t="s">
        <v>960</v>
      </c>
      <c r="B399" s="28">
        <v>234.9</v>
      </c>
      <c r="C399" s="27">
        <f t="shared" si="6"/>
        <v>7.0100360797514707E-4</v>
      </c>
    </row>
    <row r="400" spans="1:3">
      <c r="A400" s="25" t="s">
        <v>961</v>
      </c>
      <c r="B400" s="28">
        <v>208.8</v>
      </c>
      <c r="C400" s="27">
        <f t="shared" si="6"/>
        <v>6.2311431820013077E-4</v>
      </c>
    </row>
    <row r="401" spans="1:3">
      <c r="A401" s="25" t="s">
        <v>962</v>
      </c>
      <c r="B401" s="28">
        <v>0</v>
      </c>
      <c r="C401" s="27">
        <f t="shared" si="6"/>
        <v>0</v>
      </c>
    </row>
    <row r="402" spans="1:3">
      <c r="A402" s="25" t="s">
        <v>963</v>
      </c>
      <c r="B402" s="28">
        <v>234.9</v>
      </c>
      <c r="C402" s="27">
        <f t="shared" si="6"/>
        <v>7.0100360797514707E-4</v>
      </c>
    </row>
    <row r="403" spans="1:3">
      <c r="A403" s="25" t="s">
        <v>964</v>
      </c>
      <c r="B403" s="28">
        <v>234.9</v>
      </c>
      <c r="C403" s="27">
        <f t="shared" si="6"/>
        <v>7.0100360797514707E-4</v>
      </c>
    </row>
    <row r="404" spans="1:3">
      <c r="A404" s="25" t="s">
        <v>965</v>
      </c>
      <c r="B404" s="28">
        <v>234.9</v>
      </c>
      <c r="C404" s="27">
        <f t="shared" si="6"/>
        <v>7.0100360797514707E-4</v>
      </c>
    </row>
    <row r="405" spans="1:3">
      <c r="A405" s="25" t="s">
        <v>966</v>
      </c>
      <c r="B405" s="28">
        <v>208.8</v>
      </c>
      <c r="C405" s="27">
        <f t="shared" si="6"/>
        <v>6.2311431820013077E-4</v>
      </c>
    </row>
    <row r="406" spans="1:3">
      <c r="A406" s="25" t="s">
        <v>967</v>
      </c>
      <c r="B406" s="28">
        <v>234.9</v>
      </c>
      <c r="C406" s="27">
        <f t="shared" si="6"/>
        <v>7.0100360797514707E-4</v>
      </c>
    </row>
    <row r="407" spans="1:3">
      <c r="A407" s="25" t="s">
        <v>968</v>
      </c>
      <c r="B407" s="28">
        <v>234.9</v>
      </c>
      <c r="C407" s="27">
        <f t="shared" si="6"/>
        <v>7.0100360797514707E-4</v>
      </c>
    </row>
    <row r="408" spans="1:3">
      <c r="A408" s="25" t="s">
        <v>969</v>
      </c>
      <c r="B408" s="28">
        <v>234.9</v>
      </c>
      <c r="C408" s="27">
        <f t="shared" si="6"/>
        <v>7.0100360797514707E-4</v>
      </c>
    </row>
    <row r="409" spans="1:3">
      <c r="A409" s="25" t="s">
        <v>970</v>
      </c>
      <c r="B409" s="28">
        <v>234.9</v>
      </c>
      <c r="C409" s="27">
        <f t="shared" si="6"/>
        <v>7.0100360797514707E-4</v>
      </c>
    </row>
    <row r="410" spans="1:3">
      <c r="A410" s="25" t="s">
        <v>971</v>
      </c>
      <c r="B410" s="28">
        <v>234.9</v>
      </c>
      <c r="C410" s="27">
        <f t="shared" si="6"/>
        <v>7.0100360797514707E-4</v>
      </c>
    </row>
    <row r="411" spans="1:3">
      <c r="A411" s="25" t="s">
        <v>972</v>
      </c>
      <c r="B411" s="28">
        <v>0</v>
      </c>
      <c r="C411" s="27">
        <f t="shared" si="6"/>
        <v>0</v>
      </c>
    </row>
    <row r="412" spans="1:3">
      <c r="A412" s="25" t="s">
        <v>973</v>
      </c>
      <c r="B412" s="28">
        <v>234.9</v>
      </c>
      <c r="C412" s="27">
        <f t="shared" si="6"/>
        <v>7.0100360797514707E-4</v>
      </c>
    </row>
    <row r="413" spans="1:3">
      <c r="A413" s="25" t="s">
        <v>974</v>
      </c>
      <c r="B413" s="28">
        <v>234.9</v>
      </c>
      <c r="C413" s="27">
        <f t="shared" si="6"/>
        <v>7.0100360797514707E-4</v>
      </c>
    </row>
    <row r="414" spans="1:3">
      <c r="A414" s="25" t="s">
        <v>975</v>
      </c>
      <c r="B414" s="28">
        <v>234.9</v>
      </c>
      <c r="C414" s="27">
        <f t="shared" si="6"/>
        <v>7.0100360797514707E-4</v>
      </c>
    </row>
    <row r="415" spans="1:3">
      <c r="A415" s="25" t="s">
        <v>976</v>
      </c>
      <c r="B415" s="28">
        <v>0</v>
      </c>
      <c r="C415" s="27">
        <f t="shared" si="6"/>
        <v>0</v>
      </c>
    </row>
    <row r="416" spans="1:3">
      <c r="A416" s="25" t="s">
        <v>977</v>
      </c>
      <c r="B416" s="28">
        <v>234.9</v>
      </c>
      <c r="C416" s="27">
        <f t="shared" si="6"/>
        <v>7.0100360797514707E-4</v>
      </c>
    </row>
    <row r="417" spans="1:3">
      <c r="A417" s="25" t="s">
        <v>978</v>
      </c>
      <c r="B417" s="28">
        <v>234.9</v>
      </c>
      <c r="C417" s="27">
        <f t="shared" si="6"/>
        <v>7.0100360797514707E-4</v>
      </c>
    </row>
    <row r="418" spans="1:3">
      <c r="A418" s="25" t="s">
        <v>979</v>
      </c>
      <c r="B418" s="28">
        <v>234.9</v>
      </c>
      <c r="C418" s="27">
        <f t="shared" si="6"/>
        <v>7.0100360797514707E-4</v>
      </c>
    </row>
    <row r="419" spans="1:3">
      <c r="A419" s="25" t="s">
        <v>980</v>
      </c>
      <c r="B419" s="28">
        <v>234.9</v>
      </c>
      <c r="C419" s="27">
        <f t="shared" si="6"/>
        <v>7.0100360797514707E-4</v>
      </c>
    </row>
    <row r="420" spans="1:3">
      <c r="A420" s="25" t="s">
        <v>981</v>
      </c>
      <c r="B420" s="28">
        <v>234.9</v>
      </c>
      <c r="C420" s="27">
        <f t="shared" si="6"/>
        <v>7.0100360797514707E-4</v>
      </c>
    </row>
    <row r="421" spans="1:3">
      <c r="A421" s="25" t="s">
        <v>982</v>
      </c>
      <c r="B421" s="28">
        <v>0</v>
      </c>
      <c r="C421" s="27">
        <f t="shared" si="6"/>
        <v>0</v>
      </c>
    </row>
    <row r="422" spans="1:3">
      <c r="A422" s="25" t="s">
        <v>983</v>
      </c>
      <c r="B422" s="28">
        <v>234.9</v>
      </c>
      <c r="C422" s="27">
        <f t="shared" si="6"/>
        <v>7.0100360797514707E-4</v>
      </c>
    </row>
    <row r="423" spans="1:3">
      <c r="A423" s="25" t="s">
        <v>984</v>
      </c>
      <c r="B423" s="28">
        <v>234.9</v>
      </c>
      <c r="C423" s="27">
        <f t="shared" si="6"/>
        <v>7.0100360797514707E-4</v>
      </c>
    </row>
    <row r="424" spans="1:3">
      <c r="A424" s="25" t="s">
        <v>985</v>
      </c>
      <c r="B424" s="28">
        <v>234.9</v>
      </c>
      <c r="C424" s="27">
        <f t="shared" si="6"/>
        <v>7.0100360797514707E-4</v>
      </c>
    </row>
    <row r="425" spans="1:3">
      <c r="A425" s="25" t="s">
        <v>986</v>
      </c>
      <c r="B425" s="28">
        <v>234.9</v>
      </c>
      <c r="C425" s="27">
        <f t="shared" si="6"/>
        <v>7.0100360797514707E-4</v>
      </c>
    </row>
    <row r="426" spans="1:3">
      <c r="A426" s="25" t="s">
        <v>987</v>
      </c>
      <c r="B426" s="28">
        <v>234.9</v>
      </c>
      <c r="C426" s="27">
        <f t="shared" si="6"/>
        <v>7.0100360797514707E-4</v>
      </c>
    </row>
    <row r="427" spans="1:3">
      <c r="A427" s="25" t="s">
        <v>988</v>
      </c>
      <c r="B427" s="28">
        <v>234.9</v>
      </c>
      <c r="C427" s="27">
        <f t="shared" ref="C427:C490" si="7">IFERROR(B427/$S$2,"")</f>
        <v>7.0100360797514707E-4</v>
      </c>
    </row>
    <row r="428" spans="1:3">
      <c r="A428" s="25" t="s">
        <v>989</v>
      </c>
      <c r="B428" s="28">
        <v>234.9</v>
      </c>
      <c r="C428" s="27">
        <f t="shared" si="7"/>
        <v>7.0100360797514707E-4</v>
      </c>
    </row>
    <row r="429" spans="1:3">
      <c r="A429" s="25" t="s">
        <v>990</v>
      </c>
      <c r="B429" s="28">
        <v>234.9</v>
      </c>
      <c r="C429" s="27">
        <f t="shared" si="7"/>
        <v>7.0100360797514707E-4</v>
      </c>
    </row>
    <row r="430" spans="1:3">
      <c r="A430" s="25" t="s">
        <v>991</v>
      </c>
      <c r="B430" s="28">
        <v>234.9</v>
      </c>
      <c r="C430" s="27">
        <f t="shared" si="7"/>
        <v>7.0100360797514707E-4</v>
      </c>
    </row>
    <row r="431" spans="1:3">
      <c r="A431" s="25" t="s">
        <v>992</v>
      </c>
      <c r="B431" s="28">
        <v>0</v>
      </c>
      <c r="C431" s="27">
        <f t="shared" si="7"/>
        <v>0</v>
      </c>
    </row>
    <row r="432" spans="1:3">
      <c r="A432" s="25" t="s">
        <v>993</v>
      </c>
      <c r="B432" s="28">
        <v>234.9</v>
      </c>
      <c r="C432" s="27">
        <f t="shared" si="7"/>
        <v>7.0100360797514707E-4</v>
      </c>
    </row>
    <row r="433" spans="1:3">
      <c r="A433" s="25" t="s">
        <v>994</v>
      </c>
      <c r="B433" s="28">
        <v>234.9</v>
      </c>
      <c r="C433" s="27">
        <f t="shared" si="7"/>
        <v>7.0100360797514707E-4</v>
      </c>
    </row>
    <row r="434" spans="1:3">
      <c r="A434" s="25" t="s">
        <v>995</v>
      </c>
      <c r="B434" s="28">
        <v>234.9</v>
      </c>
      <c r="C434" s="27">
        <f t="shared" si="7"/>
        <v>7.0100360797514707E-4</v>
      </c>
    </row>
    <row r="435" spans="1:3">
      <c r="A435" s="25" t="s">
        <v>996</v>
      </c>
      <c r="B435" s="28">
        <v>234.9</v>
      </c>
      <c r="C435" s="27">
        <f t="shared" si="7"/>
        <v>7.0100360797514707E-4</v>
      </c>
    </row>
    <row r="436" spans="1:3">
      <c r="A436" s="25" t="s">
        <v>997</v>
      </c>
      <c r="B436" s="28">
        <v>234.9</v>
      </c>
      <c r="C436" s="27">
        <f t="shared" si="7"/>
        <v>7.0100360797514707E-4</v>
      </c>
    </row>
    <row r="437" spans="1:3">
      <c r="A437" s="25" t="s">
        <v>998</v>
      </c>
      <c r="B437" s="28">
        <v>234.9</v>
      </c>
      <c r="C437" s="27">
        <f t="shared" si="7"/>
        <v>7.0100360797514707E-4</v>
      </c>
    </row>
    <row r="438" spans="1:3">
      <c r="A438" s="25" t="s">
        <v>999</v>
      </c>
      <c r="B438" s="28">
        <v>234.9</v>
      </c>
      <c r="C438" s="27">
        <f t="shared" si="7"/>
        <v>7.0100360797514707E-4</v>
      </c>
    </row>
    <row r="439" spans="1:3">
      <c r="A439" s="25" t="s">
        <v>1000</v>
      </c>
      <c r="B439" s="28">
        <v>234.9</v>
      </c>
      <c r="C439" s="27">
        <f t="shared" si="7"/>
        <v>7.0100360797514707E-4</v>
      </c>
    </row>
    <row r="440" spans="1:3">
      <c r="A440" s="25" t="s">
        <v>1001</v>
      </c>
      <c r="B440" s="28">
        <v>208.8</v>
      </c>
      <c r="C440" s="27">
        <f t="shared" si="7"/>
        <v>6.2311431820013077E-4</v>
      </c>
    </row>
    <row r="441" spans="1:3">
      <c r="A441" s="25" t="s">
        <v>1002</v>
      </c>
      <c r="B441" s="28">
        <v>0</v>
      </c>
      <c r="C441" s="27">
        <f t="shared" si="7"/>
        <v>0</v>
      </c>
    </row>
    <row r="442" spans="1:3">
      <c r="A442" s="25" t="s">
        <v>1003</v>
      </c>
      <c r="B442" s="28">
        <v>234.9</v>
      </c>
      <c r="C442" s="27">
        <f t="shared" si="7"/>
        <v>7.0100360797514707E-4</v>
      </c>
    </row>
    <row r="443" spans="1:3">
      <c r="A443" s="25" t="s">
        <v>1004</v>
      </c>
      <c r="B443" s="28">
        <v>234.9</v>
      </c>
      <c r="C443" s="27">
        <f t="shared" si="7"/>
        <v>7.0100360797514707E-4</v>
      </c>
    </row>
    <row r="444" spans="1:3">
      <c r="A444" s="25" t="s">
        <v>1005</v>
      </c>
      <c r="B444" s="28">
        <v>234.9</v>
      </c>
      <c r="C444" s="27">
        <f t="shared" si="7"/>
        <v>7.0100360797514707E-4</v>
      </c>
    </row>
    <row r="445" spans="1:3">
      <c r="A445" s="25" t="s">
        <v>1006</v>
      </c>
      <c r="B445" s="28">
        <v>234.9</v>
      </c>
      <c r="C445" s="27">
        <f t="shared" si="7"/>
        <v>7.0100360797514707E-4</v>
      </c>
    </row>
    <row r="446" spans="1:3">
      <c r="A446" s="25" t="s">
        <v>1007</v>
      </c>
      <c r="B446" s="28">
        <v>234.9</v>
      </c>
      <c r="C446" s="27">
        <f t="shared" si="7"/>
        <v>7.0100360797514707E-4</v>
      </c>
    </row>
    <row r="447" spans="1:3">
      <c r="A447" s="25" t="s">
        <v>1008</v>
      </c>
      <c r="B447" s="28">
        <v>234.9</v>
      </c>
      <c r="C447" s="27">
        <f t="shared" si="7"/>
        <v>7.0100360797514707E-4</v>
      </c>
    </row>
    <row r="448" spans="1:3">
      <c r="A448" s="25" t="s">
        <v>1009</v>
      </c>
      <c r="B448" s="28">
        <v>234.9</v>
      </c>
      <c r="C448" s="27">
        <f t="shared" si="7"/>
        <v>7.0100360797514707E-4</v>
      </c>
    </row>
    <row r="449" spans="1:3">
      <c r="A449" s="25" t="s">
        <v>1010</v>
      </c>
      <c r="B449" s="28">
        <v>234.9</v>
      </c>
      <c r="C449" s="27">
        <f t="shared" si="7"/>
        <v>7.0100360797514707E-4</v>
      </c>
    </row>
    <row r="450" spans="1:3">
      <c r="A450" s="25" t="s">
        <v>1011</v>
      </c>
      <c r="B450" s="28">
        <v>234.9</v>
      </c>
      <c r="C450" s="27">
        <f t="shared" si="7"/>
        <v>7.0100360797514707E-4</v>
      </c>
    </row>
    <row r="451" spans="1:3">
      <c r="A451" s="25" t="s">
        <v>1012</v>
      </c>
      <c r="B451" s="28">
        <v>0</v>
      </c>
      <c r="C451" s="27">
        <f t="shared" si="7"/>
        <v>0</v>
      </c>
    </row>
    <row r="452" spans="1:3">
      <c r="A452" s="25" t="s">
        <v>1013</v>
      </c>
      <c r="B452" s="28">
        <v>234.9</v>
      </c>
      <c r="C452" s="27">
        <f t="shared" si="7"/>
        <v>7.0100360797514707E-4</v>
      </c>
    </row>
    <row r="453" spans="1:3">
      <c r="A453" s="25" t="s">
        <v>1014</v>
      </c>
      <c r="B453" s="28">
        <v>234.9</v>
      </c>
      <c r="C453" s="27">
        <f t="shared" si="7"/>
        <v>7.0100360797514707E-4</v>
      </c>
    </row>
    <row r="454" spans="1:3">
      <c r="A454" s="25" t="s">
        <v>1015</v>
      </c>
      <c r="B454" s="28">
        <v>234.9</v>
      </c>
      <c r="C454" s="27">
        <f t="shared" si="7"/>
        <v>7.0100360797514707E-4</v>
      </c>
    </row>
    <row r="455" spans="1:3">
      <c r="A455" s="25" t="s">
        <v>1016</v>
      </c>
      <c r="B455" s="28">
        <v>208.8</v>
      </c>
      <c r="C455" s="27">
        <f t="shared" si="7"/>
        <v>6.2311431820013077E-4</v>
      </c>
    </row>
    <row r="456" spans="1:3">
      <c r="A456" s="25" t="s">
        <v>1017</v>
      </c>
      <c r="B456" s="28">
        <v>234.9</v>
      </c>
      <c r="C456" s="27">
        <f t="shared" si="7"/>
        <v>7.0100360797514707E-4</v>
      </c>
    </row>
    <row r="457" spans="1:3">
      <c r="A457" s="25" t="s">
        <v>1018</v>
      </c>
      <c r="B457" s="28">
        <v>234.9</v>
      </c>
      <c r="C457" s="27">
        <f t="shared" si="7"/>
        <v>7.0100360797514707E-4</v>
      </c>
    </row>
    <row r="458" spans="1:3">
      <c r="A458" s="25" t="s">
        <v>1019</v>
      </c>
      <c r="B458" s="28">
        <v>234.9</v>
      </c>
      <c r="C458" s="27">
        <f t="shared" si="7"/>
        <v>7.0100360797514707E-4</v>
      </c>
    </row>
    <row r="459" spans="1:3">
      <c r="A459" s="25" t="s">
        <v>1020</v>
      </c>
      <c r="B459" s="28">
        <v>234.9</v>
      </c>
      <c r="C459" s="27">
        <f t="shared" si="7"/>
        <v>7.0100360797514707E-4</v>
      </c>
    </row>
    <row r="460" spans="1:3">
      <c r="A460" s="25" t="s">
        <v>1021</v>
      </c>
      <c r="B460" s="28">
        <v>234.9</v>
      </c>
      <c r="C460" s="27">
        <f t="shared" si="7"/>
        <v>7.0100360797514707E-4</v>
      </c>
    </row>
    <row r="461" spans="1:3">
      <c r="A461" s="25" t="s">
        <v>1022</v>
      </c>
      <c r="B461" s="28">
        <v>0</v>
      </c>
      <c r="C461" s="27">
        <f t="shared" si="7"/>
        <v>0</v>
      </c>
    </row>
    <row r="462" spans="1:3">
      <c r="A462" s="25" t="s">
        <v>1023</v>
      </c>
      <c r="B462" s="28">
        <v>234.9</v>
      </c>
      <c r="C462" s="27">
        <f t="shared" si="7"/>
        <v>7.0100360797514707E-4</v>
      </c>
    </row>
    <row r="463" spans="1:3">
      <c r="A463" s="25" t="s">
        <v>1024</v>
      </c>
      <c r="B463" s="28">
        <v>234.9</v>
      </c>
      <c r="C463" s="27">
        <f t="shared" si="7"/>
        <v>7.0100360797514707E-4</v>
      </c>
    </row>
    <row r="464" spans="1:3">
      <c r="A464" s="25" t="s">
        <v>1025</v>
      </c>
      <c r="B464" s="28">
        <v>234.9</v>
      </c>
      <c r="C464" s="27">
        <f t="shared" si="7"/>
        <v>7.0100360797514707E-4</v>
      </c>
    </row>
    <row r="465" spans="1:3">
      <c r="A465" s="25" t="s">
        <v>1026</v>
      </c>
      <c r="B465" s="28">
        <v>234.9</v>
      </c>
      <c r="C465" s="27">
        <f t="shared" si="7"/>
        <v>7.0100360797514707E-4</v>
      </c>
    </row>
    <row r="466" spans="1:3">
      <c r="A466" s="25" t="s">
        <v>1027</v>
      </c>
      <c r="B466" s="28">
        <v>234.9</v>
      </c>
      <c r="C466" s="27">
        <f t="shared" si="7"/>
        <v>7.0100360797514707E-4</v>
      </c>
    </row>
    <row r="467" spans="1:3">
      <c r="A467" s="25" t="s">
        <v>1028</v>
      </c>
      <c r="B467" s="28">
        <v>234.9</v>
      </c>
      <c r="C467" s="27">
        <f t="shared" si="7"/>
        <v>7.0100360797514707E-4</v>
      </c>
    </row>
    <row r="468" spans="1:3">
      <c r="A468" s="25" t="s">
        <v>1029</v>
      </c>
      <c r="B468" s="28">
        <v>234.9</v>
      </c>
      <c r="C468" s="27">
        <f t="shared" si="7"/>
        <v>7.0100360797514707E-4</v>
      </c>
    </row>
    <row r="469" spans="1:3">
      <c r="A469" s="25" t="s">
        <v>1030</v>
      </c>
      <c r="B469" s="28">
        <v>234.9</v>
      </c>
      <c r="C469" s="27">
        <f t="shared" si="7"/>
        <v>7.0100360797514707E-4</v>
      </c>
    </row>
    <row r="470" spans="1:3">
      <c r="A470" s="25" t="s">
        <v>1031</v>
      </c>
      <c r="B470" s="28">
        <v>234.9</v>
      </c>
      <c r="C470" s="27">
        <f t="shared" si="7"/>
        <v>7.0100360797514707E-4</v>
      </c>
    </row>
    <row r="471" spans="1:3">
      <c r="A471" s="25" t="s">
        <v>1032</v>
      </c>
      <c r="B471" s="28">
        <v>0</v>
      </c>
      <c r="C471" s="27">
        <f t="shared" si="7"/>
        <v>0</v>
      </c>
    </row>
    <row r="472" spans="1:3">
      <c r="A472" s="25" t="s">
        <v>1033</v>
      </c>
      <c r="B472" s="28">
        <v>234.9</v>
      </c>
      <c r="C472" s="27">
        <f t="shared" si="7"/>
        <v>7.0100360797514707E-4</v>
      </c>
    </row>
    <row r="473" spans="1:3">
      <c r="A473" s="25" t="s">
        <v>1034</v>
      </c>
      <c r="B473" s="28">
        <v>234.9</v>
      </c>
      <c r="C473" s="27">
        <f t="shared" si="7"/>
        <v>7.0100360797514707E-4</v>
      </c>
    </row>
    <row r="474" spans="1:3">
      <c r="A474" s="25" t="s">
        <v>1035</v>
      </c>
      <c r="B474" s="28">
        <v>234.9</v>
      </c>
      <c r="C474" s="27">
        <f t="shared" si="7"/>
        <v>7.0100360797514707E-4</v>
      </c>
    </row>
    <row r="475" spans="1:3">
      <c r="A475" s="25" t="s">
        <v>1036</v>
      </c>
      <c r="B475" s="28">
        <v>234.9</v>
      </c>
      <c r="C475" s="27">
        <f t="shared" si="7"/>
        <v>7.0100360797514707E-4</v>
      </c>
    </row>
    <row r="476" spans="1:3">
      <c r="A476" s="25" t="s">
        <v>1037</v>
      </c>
      <c r="B476" s="28">
        <v>208.8</v>
      </c>
      <c r="C476" s="27">
        <f t="shared" si="7"/>
        <v>6.2311431820013077E-4</v>
      </c>
    </row>
    <row r="477" spans="1:3">
      <c r="A477" s="25" t="s">
        <v>1038</v>
      </c>
      <c r="B477" s="28">
        <v>234.9</v>
      </c>
      <c r="C477" s="27">
        <f t="shared" si="7"/>
        <v>7.0100360797514707E-4</v>
      </c>
    </row>
    <row r="478" spans="1:3">
      <c r="A478" s="25" t="s">
        <v>1039</v>
      </c>
      <c r="B478" s="28">
        <v>234.9</v>
      </c>
      <c r="C478" s="27">
        <f t="shared" si="7"/>
        <v>7.0100360797514707E-4</v>
      </c>
    </row>
    <row r="479" spans="1:3">
      <c r="A479" s="25" t="s">
        <v>1040</v>
      </c>
      <c r="B479" s="28">
        <v>208.8</v>
      </c>
      <c r="C479" s="27">
        <f t="shared" si="7"/>
        <v>6.2311431820013077E-4</v>
      </c>
    </row>
    <row r="480" spans="1:3">
      <c r="A480" s="25" t="s">
        <v>1041</v>
      </c>
      <c r="B480" s="28">
        <v>234.9</v>
      </c>
      <c r="C480" s="27">
        <f t="shared" si="7"/>
        <v>7.0100360797514707E-4</v>
      </c>
    </row>
    <row r="481" spans="1:3">
      <c r="A481" s="25" t="s">
        <v>1042</v>
      </c>
      <c r="B481" s="28">
        <v>0</v>
      </c>
      <c r="C481" s="27">
        <f t="shared" si="7"/>
        <v>0</v>
      </c>
    </row>
    <row r="482" spans="1:3">
      <c r="A482" s="25" t="s">
        <v>1043</v>
      </c>
      <c r="B482" s="28">
        <v>232.29</v>
      </c>
      <c r="C482" s="27">
        <f t="shared" si="7"/>
        <v>6.9321467899764538E-4</v>
      </c>
    </row>
    <row r="483" spans="1:3">
      <c r="A483" s="25" t="s">
        <v>1044</v>
      </c>
      <c r="B483" s="28">
        <v>232.29</v>
      </c>
      <c r="C483" s="27">
        <f t="shared" si="7"/>
        <v>6.9321467899764538E-4</v>
      </c>
    </row>
    <row r="484" spans="1:3">
      <c r="A484" s="25" t="s">
        <v>1045</v>
      </c>
      <c r="B484" s="28">
        <v>232.29</v>
      </c>
      <c r="C484" s="27">
        <f t="shared" si="7"/>
        <v>6.9321467899764538E-4</v>
      </c>
    </row>
    <row r="485" spans="1:3">
      <c r="A485" s="25" t="s">
        <v>1046</v>
      </c>
      <c r="B485" s="28">
        <v>232.29</v>
      </c>
      <c r="C485" s="27">
        <f t="shared" si="7"/>
        <v>6.9321467899764538E-4</v>
      </c>
    </row>
    <row r="486" spans="1:3">
      <c r="A486" s="25" t="s">
        <v>1047</v>
      </c>
      <c r="B486" s="28">
        <v>232.29</v>
      </c>
      <c r="C486" s="27">
        <f t="shared" si="7"/>
        <v>6.9321467899764538E-4</v>
      </c>
    </row>
    <row r="487" spans="1:3">
      <c r="A487" s="25" t="s">
        <v>1048</v>
      </c>
      <c r="B487" s="28">
        <v>232.29</v>
      </c>
      <c r="C487" s="27">
        <f t="shared" si="7"/>
        <v>6.9321467899764538E-4</v>
      </c>
    </row>
    <row r="488" spans="1:3">
      <c r="A488" s="25" t="s">
        <v>1049</v>
      </c>
      <c r="B488" s="28">
        <v>232.29</v>
      </c>
      <c r="C488" s="27">
        <f t="shared" si="7"/>
        <v>6.9321467899764538E-4</v>
      </c>
    </row>
    <row r="489" spans="1:3">
      <c r="A489" s="25" t="s">
        <v>1050</v>
      </c>
      <c r="B489" s="28">
        <v>232.29</v>
      </c>
      <c r="C489" s="27">
        <f t="shared" si="7"/>
        <v>6.9321467899764538E-4</v>
      </c>
    </row>
    <row r="490" spans="1:3">
      <c r="A490" s="25" t="s">
        <v>1051</v>
      </c>
      <c r="B490" s="28">
        <v>232.29</v>
      </c>
      <c r="C490" s="27">
        <f t="shared" si="7"/>
        <v>6.9321467899764538E-4</v>
      </c>
    </row>
    <row r="491" spans="1:3">
      <c r="A491" s="25" t="s">
        <v>1052</v>
      </c>
      <c r="B491" s="28">
        <v>0</v>
      </c>
      <c r="C491" s="27">
        <f t="shared" ref="C491:C554" si="8">IFERROR(B491/$S$2,"")</f>
        <v>0</v>
      </c>
    </row>
    <row r="492" spans="1:3">
      <c r="A492" s="25" t="s">
        <v>1053</v>
      </c>
      <c r="B492" s="28">
        <v>232.29</v>
      </c>
      <c r="C492" s="27">
        <f t="shared" si="8"/>
        <v>6.9321467899764538E-4</v>
      </c>
    </row>
    <row r="493" spans="1:3">
      <c r="A493" s="25" t="s">
        <v>1054</v>
      </c>
      <c r="B493" s="28">
        <v>232.29</v>
      </c>
      <c r="C493" s="27">
        <f t="shared" si="8"/>
        <v>6.9321467899764538E-4</v>
      </c>
    </row>
    <row r="494" spans="1:3">
      <c r="A494" s="25" t="s">
        <v>1055</v>
      </c>
      <c r="B494" s="28">
        <v>232.29</v>
      </c>
      <c r="C494" s="27">
        <f t="shared" si="8"/>
        <v>6.9321467899764538E-4</v>
      </c>
    </row>
    <row r="495" spans="1:3">
      <c r="A495" s="25" t="s">
        <v>1056</v>
      </c>
      <c r="B495" s="28">
        <v>232.29</v>
      </c>
      <c r="C495" s="27">
        <f t="shared" si="8"/>
        <v>6.9321467899764538E-4</v>
      </c>
    </row>
    <row r="496" spans="1:3">
      <c r="A496" s="25" t="s">
        <v>1057</v>
      </c>
      <c r="B496" s="28">
        <v>232.29</v>
      </c>
      <c r="C496" s="27">
        <f t="shared" si="8"/>
        <v>6.9321467899764538E-4</v>
      </c>
    </row>
    <row r="497" spans="1:3">
      <c r="A497" s="25" t="s">
        <v>1058</v>
      </c>
      <c r="B497" s="28">
        <v>232.29</v>
      </c>
      <c r="C497" s="27">
        <f t="shared" si="8"/>
        <v>6.9321467899764538E-4</v>
      </c>
    </row>
    <row r="498" spans="1:3">
      <c r="A498" s="25" t="s">
        <v>1059</v>
      </c>
      <c r="B498" s="28">
        <v>232.29</v>
      </c>
      <c r="C498" s="27">
        <f t="shared" si="8"/>
        <v>6.9321467899764538E-4</v>
      </c>
    </row>
    <row r="499" spans="1:3">
      <c r="A499" s="25" t="s">
        <v>1060</v>
      </c>
      <c r="B499" s="28">
        <v>232.29</v>
      </c>
      <c r="C499" s="27">
        <f t="shared" si="8"/>
        <v>6.9321467899764538E-4</v>
      </c>
    </row>
    <row r="500" spans="1:3">
      <c r="A500" s="25" t="s">
        <v>1061</v>
      </c>
      <c r="B500" s="28">
        <v>232.29</v>
      </c>
      <c r="C500" s="27">
        <f t="shared" si="8"/>
        <v>6.9321467899764538E-4</v>
      </c>
    </row>
    <row r="501" spans="1:3">
      <c r="A501" s="25" t="s">
        <v>1062</v>
      </c>
      <c r="B501" s="28">
        <v>0</v>
      </c>
      <c r="C501" s="27">
        <f t="shared" si="8"/>
        <v>0</v>
      </c>
    </row>
    <row r="502" spans="1:3">
      <c r="A502" s="25" t="s">
        <v>1063</v>
      </c>
      <c r="B502" s="28">
        <v>232.29</v>
      </c>
      <c r="C502" s="27">
        <f t="shared" si="8"/>
        <v>6.9321467899764538E-4</v>
      </c>
    </row>
    <row r="503" spans="1:3">
      <c r="A503" s="25" t="s">
        <v>1064</v>
      </c>
      <c r="B503" s="28">
        <v>232.29</v>
      </c>
      <c r="C503" s="27">
        <f t="shared" si="8"/>
        <v>6.9321467899764538E-4</v>
      </c>
    </row>
    <row r="504" spans="1:3">
      <c r="A504" s="25" t="s">
        <v>1065</v>
      </c>
      <c r="B504" s="28">
        <v>232.29</v>
      </c>
      <c r="C504" s="27">
        <f t="shared" si="8"/>
        <v>6.9321467899764538E-4</v>
      </c>
    </row>
    <row r="505" spans="1:3">
      <c r="A505" s="25" t="s">
        <v>1066</v>
      </c>
      <c r="B505" s="28">
        <v>232.29</v>
      </c>
      <c r="C505" s="27">
        <f t="shared" si="8"/>
        <v>6.9321467899764538E-4</v>
      </c>
    </row>
    <row r="506" spans="1:3">
      <c r="A506" s="25" t="s">
        <v>1067</v>
      </c>
      <c r="B506" s="28">
        <v>232.29</v>
      </c>
      <c r="C506" s="27">
        <f t="shared" si="8"/>
        <v>6.9321467899764538E-4</v>
      </c>
    </row>
    <row r="507" spans="1:3">
      <c r="A507" s="25" t="s">
        <v>1068</v>
      </c>
      <c r="B507" s="28">
        <v>232.29</v>
      </c>
      <c r="C507" s="27">
        <f t="shared" si="8"/>
        <v>6.9321467899764538E-4</v>
      </c>
    </row>
    <row r="508" spans="1:3">
      <c r="A508" s="25" t="s">
        <v>1069</v>
      </c>
      <c r="B508" s="28">
        <v>232.29</v>
      </c>
      <c r="C508" s="27">
        <f t="shared" si="8"/>
        <v>6.9321467899764538E-4</v>
      </c>
    </row>
    <row r="509" spans="1:3">
      <c r="A509" s="25" t="s">
        <v>1070</v>
      </c>
      <c r="B509" s="28">
        <v>232.29</v>
      </c>
      <c r="C509" s="27">
        <f t="shared" si="8"/>
        <v>6.9321467899764538E-4</v>
      </c>
    </row>
    <row r="510" spans="1:3">
      <c r="A510" s="25" t="s">
        <v>1071</v>
      </c>
      <c r="B510" s="28">
        <v>232.29</v>
      </c>
      <c r="C510" s="27">
        <f t="shared" si="8"/>
        <v>6.9321467899764538E-4</v>
      </c>
    </row>
    <row r="511" spans="1:3">
      <c r="A511" s="25" t="s">
        <v>1072</v>
      </c>
      <c r="B511" s="28">
        <v>0</v>
      </c>
      <c r="C511" s="27">
        <f t="shared" si="8"/>
        <v>0</v>
      </c>
    </row>
    <row r="512" spans="1:3">
      <c r="A512" s="25" t="s">
        <v>1073</v>
      </c>
      <c r="B512" s="28">
        <v>232.29</v>
      </c>
      <c r="C512" s="27">
        <f t="shared" si="8"/>
        <v>6.9321467899764538E-4</v>
      </c>
    </row>
    <row r="513" spans="1:3">
      <c r="A513" s="25" t="s">
        <v>1074</v>
      </c>
      <c r="B513" s="28">
        <v>232.29</v>
      </c>
      <c r="C513" s="27">
        <f t="shared" si="8"/>
        <v>6.9321467899764538E-4</v>
      </c>
    </row>
    <row r="514" spans="1:3">
      <c r="A514" s="25" t="s">
        <v>1075</v>
      </c>
      <c r="B514" s="28">
        <v>232.29</v>
      </c>
      <c r="C514" s="27">
        <f t="shared" si="8"/>
        <v>6.9321467899764538E-4</v>
      </c>
    </row>
    <row r="515" spans="1:3">
      <c r="A515" s="25" t="s">
        <v>1076</v>
      </c>
      <c r="B515" s="28">
        <v>232.29</v>
      </c>
      <c r="C515" s="27">
        <f t="shared" si="8"/>
        <v>6.9321467899764538E-4</v>
      </c>
    </row>
    <row r="516" spans="1:3">
      <c r="A516" s="25" t="s">
        <v>1077</v>
      </c>
      <c r="B516" s="28">
        <v>232.29</v>
      </c>
      <c r="C516" s="27">
        <f t="shared" si="8"/>
        <v>6.9321467899764538E-4</v>
      </c>
    </row>
    <row r="517" spans="1:3">
      <c r="A517" s="25" t="s">
        <v>1078</v>
      </c>
      <c r="B517" s="28">
        <v>232.29</v>
      </c>
      <c r="C517" s="27">
        <f t="shared" si="8"/>
        <v>6.9321467899764538E-4</v>
      </c>
    </row>
    <row r="518" spans="1:3">
      <c r="A518" s="25" t="s">
        <v>1079</v>
      </c>
      <c r="B518" s="28">
        <v>232.29</v>
      </c>
      <c r="C518" s="27">
        <f t="shared" si="8"/>
        <v>6.9321467899764538E-4</v>
      </c>
    </row>
    <row r="519" spans="1:3">
      <c r="A519" s="25" t="s">
        <v>1080</v>
      </c>
      <c r="B519" s="28">
        <v>232.29</v>
      </c>
      <c r="C519" s="27">
        <f t="shared" si="8"/>
        <v>6.9321467899764538E-4</v>
      </c>
    </row>
    <row r="520" spans="1:3">
      <c r="A520" s="25" t="s">
        <v>1081</v>
      </c>
      <c r="B520" s="28">
        <v>232.29</v>
      </c>
      <c r="C520" s="27">
        <f t="shared" si="8"/>
        <v>6.9321467899764538E-4</v>
      </c>
    </row>
    <row r="521" spans="1:3">
      <c r="A521" s="25" t="s">
        <v>1082</v>
      </c>
      <c r="B521" s="28">
        <v>0</v>
      </c>
      <c r="C521" s="27">
        <f t="shared" si="8"/>
        <v>0</v>
      </c>
    </row>
    <row r="522" spans="1:3">
      <c r="A522" s="25" t="s">
        <v>1083</v>
      </c>
      <c r="B522" s="28">
        <v>232.29</v>
      </c>
      <c r="C522" s="27">
        <f t="shared" si="8"/>
        <v>6.9321467899764538E-4</v>
      </c>
    </row>
    <row r="523" spans="1:3">
      <c r="A523" s="25" t="s">
        <v>1084</v>
      </c>
      <c r="B523" s="28">
        <v>232.29</v>
      </c>
      <c r="C523" s="27">
        <f t="shared" si="8"/>
        <v>6.9321467899764538E-4</v>
      </c>
    </row>
    <row r="524" spans="1:3">
      <c r="A524" s="25" t="s">
        <v>1085</v>
      </c>
      <c r="B524" s="28">
        <v>232.29</v>
      </c>
      <c r="C524" s="27">
        <f t="shared" si="8"/>
        <v>6.9321467899764538E-4</v>
      </c>
    </row>
    <row r="525" spans="1:3">
      <c r="A525" s="25" t="s">
        <v>1086</v>
      </c>
      <c r="B525" s="28">
        <v>232.29</v>
      </c>
      <c r="C525" s="27">
        <f t="shared" si="8"/>
        <v>6.9321467899764538E-4</v>
      </c>
    </row>
    <row r="526" spans="1:3">
      <c r="A526" s="25" t="s">
        <v>1087</v>
      </c>
      <c r="B526" s="28">
        <v>232.29</v>
      </c>
      <c r="C526" s="27">
        <f t="shared" si="8"/>
        <v>6.9321467899764538E-4</v>
      </c>
    </row>
    <row r="527" spans="1:3">
      <c r="A527" s="25" t="s">
        <v>1088</v>
      </c>
      <c r="B527" s="28">
        <v>232.29</v>
      </c>
      <c r="C527" s="27">
        <f t="shared" si="8"/>
        <v>6.9321467899764538E-4</v>
      </c>
    </row>
    <row r="528" spans="1:3">
      <c r="A528" s="25" t="s">
        <v>1089</v>
      </c>
      <c r="B528" s="28">
        <v>232.29</v>
      </c>
      <c r="C528" s="27">
        <f t="shared" si="8"/>
        <v>6.9321467899764538E-4</v>
      </c>
    </row>
    <row r="529" spans="1:3">
      <c r="A529" s="25" t="s">
        <v>1090</v>
      </c>
      <c r="B529" s="28">
        <v>232.29</v>
      </c>
      <c r="C529" s="27">
        <f t="shared" si="8"/>
        <v>6.9321467899764538E-4</v>
      </c>
    </row>
    <row r="530" spans="1:3">
      <c r="A530" s="25" t="s">
        <v>1091</v>
      </c>
      <c r="B530" s="28">
        <v>232.29</v>
      </c>
      <c r="C530" s="27">
        <f t="shared" si="8"/>
        <v>6.9321467899764538E-4</v>
      </c>
    </row>
    <row r="531" spans="1:3">
      <c r="A531" s="25" t="s">
        <v>1092</v>
      </c>
      <c r="B531" s="28">
        <v>0</v>
      </c>
      <c r="C531" s="27">
        <f t="shared" si="8"/>
        <v>0</v>
      </c>
    </row>
    <row r="532" spans="1:3">
      <c r="A532" s="25" t="s">
        <v>1093</v>
      </c>
      <c r="B532" s="28">
        <v>232.29</v>
      </c>
      <c r="C532" s="27">
        <f t="shared" si="8"/>
        <v>6.9321467899764538E-4</v>
      </c>
    </row>
    <row r="533" spans="1:3">
      <c r="A533" s="25" t="s">
        <v>1094</v>
      </c>
      <c r="B533" s="28">
        <v>232.29</v>
      </c>
      <c r="C533" s="27">
        <f t="shared" si="8"/>
        <v>6.9321467899764538E-4</v>
      </c>
    </row>
    <row r="534" spans="1:3">
      <c r="A534" s="25" t="s">
        <v>1095</v>
      </c>
      <c r="B534" s="28">
        <v>232.29</v>
      </c>
      <c r="C534" s="27">
        <f t="shared" si="8"/>
        <v>6.9321467899764538E-4</v>
      </c>
    </row>
    <row r="535" spans="1:3">
      <c r="A535" s="25" t="s">
        <v>1096</v>
      </c>
      <c r="B535" s="28">
        <v>232.29</v>
      </c>
      <c r="C535" s="27">
        <f t="shared" si="8"/>
        <v>6.9321467899764538E-4</v>
      </c>
    </row>
    <row r="536" spans="1:3">
      <c r="A536" s="25" t="s">
        <v>1097</v>
      </c>
      <c r="B536" s="28">
        <v>232.29</v>
      </c>
      <c r="C536" s="27">
        <f t="shared" si="8"/>
        <v>6.9321467899764538E-4</v>
      </c>
    </row>
    <row r="537" spans="1:3">
      <c r="A537" s="25" t="s">
        <v>1098</v>
      </c>
      <c r="B537" s="28">
        <v>232.29</v>
      </c>
      <c r="C537" s="27">
        <f t="shared" si="8"/>
        <v>6.9321467899764538E-4</v>
      </c>
    </row>
    <row r="538" spans="1:3">
      <c r="A538" s="25" t="s">
        <v>1099</v>
      </c>
      <c r="B538" s="28">
        <v>232.29</v>
      </c>
      <c r="C538" s="27">
        <f t="shared" si="8"/>
        <v>6.9321467899764538E-4</v>
      </c>
    </row>
    <row r="539" spans="1:3">
      <c r="A539" s="25" t="s">
        <v>1100</v>
      </c>
      <c r="B539" s="28">
        <v>232.29</v>
      </c>
      <c r="C539" s="27">
        <f t="shared" si="8"/>
        <v>6.9321467899764538E-4</v>
      </c>
    </row>
    <row r="540" spans="1:3">
      <c r="A540" s="25" t="s">
        <v>1101</v>
      </c>
      <c r="B540" s="28">
        <v>232.29</v>
      </c>
      <c r="C540" s="27">
        <f t="shared" si="8"/>
        <v>6.9321467899764538E-4</v>
      </c>
    </row>
    <row r="541" spans="1:3">
      <c r="A541" s="25" t="s">
        <v>1102</v>
      </c>
      <c r="B541" s="28">
        <v>0</v>
      </c>
      <c r="C541" s="27">
        <f t="shared" si="8"/>
        <v>0</v>
      </c>
    </row>
    <row r="542" spans="1:3">
      <c r="A542" s="25" t="s">
        <v>1103</v>
      </c>
      <c r="B542" s="28">
        <v>232.29</v>
      </c>
      <c r="C542" s="27">
        <f t="shared" si="8"/>
        <v>6.9321467899764538E-4</v>
      </c>
    </row>
    <row r="543" spans="1:3">
      <c r="A543" s="25" t="s">
        <v>1104</v>
      </c>
      <c r="B543" s="28">
        <v>232.29</v>
      </c>
      <c r="C543" s="27">
        <f t="shared" si="8"/>
        <v>6.9321467899764538E-4</v>
      </c>
    </row>
    <row r="544" spans="1:3">
      <c r="A544" s="25" t="s">
        <v>1105</v>
      </c>
      <c r="B544" s="28">
        <v>232.29</v>
      </c>
      <c r="C544" s="27">
        <f t="shared" si="8"/>
        <v>6.9321467899764538E-4</v>
      </c>
    </row>
    <row r="545" spans="1:3">
      <c r="A545" s="25" t="s">
        <v>1106</v>
      </c>
      <c r="B545" s="28">
        <v>232.29</v>
      </c>
      <c r="C545" s="27">
        <f t="shared" si="8"/>
        <v>6.9321467899764538E-4</v>
      </c>
    </row>
    <row r="546" spans="1:3">
      <c r="A546" s="25" t="s">
        <v>1107</v>
      </c>
      <c r="B546" s="28">
        <v>232.29</v>
      </c>
      <c r="C546" s="27">
        <f t="shared" si="8"/>
        <v>6.9321467899764538E-4</v>
      </c>
    </row>
    <row r="547" spans="1:3">
      <c r="A547" s="25" t="s">
        <v>1108</v>
      </c>
      <c r="B547" s="28">
        <v>232.29</v>
      </c>
      <c r="C547" s="27">
        <f t="shared" si="8"/>
        <v>6.9321467899764538E-4</v>
      </c>
    </row>
    <row r="548" spans="1:3">
      <c r="A548" s="25" t="s">
        <v>1109</v>
      </c>
      <c r="B548" s="28">
        <v>232.29</v>
      </c>
      <c r="C548" s="27">
        <f t="shared" si="8"/>
        <v>6.9321467899764538E-4</v>
      </c>
    </row>
    <row r="549" spans="1:3">
      <c r="A549" s="25" t="s">
        <v>1110</v>
      </c>
      <c r="B549" s="28">
        <v>232.29</v>
      </c>
      <c r="C549" s="27">
        <f t="shared" si="8"/>
        <v>6.9321467899764538E-4</v>
      </c>
    </row>
    <row r="550" spans="1:3">
      <c r="A550" s="25" t="s">
        <v>1111</v>
      </c>
      <c r="B550" s="28">
        <v>232.29</v>
      </c>
      <c r="C550" s="27">
        <f t="shared" si="8"/>
        <v>6.9321467899764538E-4</v>
      </c>
    </row>
    <row r="551" spans="1:3">
      <c r="A551" s="25" t="s">
        <v>1112</v>
      </c>
      <c r="B551" s="28">
        <v>0</v>
      </c>
      <c r="C551" s="27">
        <f t="shared" si="8"/>
        <v>0</v>
      </c>
    </row>
    <row r="552" spans="1:3">
      <c r="A552" s="25" t="s">
        <v>1113</v>
      </c>
      <c r="B552" s="28">
        <v>232.29</v>
      </c>
      <c r="C552" s="27">
        <f t="shared" si="8"/>
        <v>6.9321467899764538E-4</v>
      </c>
    </row>
    <row r="553" spans="1:3">
      <c r="A553" s="25" t="s">
        <v>1114</v>
      </c>
      <c r="B553" s="28">
        <v>232.29</v>
      </c>
      <c r="C553" s="27">
        <f t="shared" si="8"/>
        <v>6.9321467899764538E-4</v>
      </c>
    </row>
    <row r="554" spans="1:3">
      <c r="A554" s="25" t="s">
        <v>1115</v>
      </c>
      <c r="B554" s="28">
        <v>232.29</v>
      </c>
      <c r="C554" s="27">
        <f t="shared" si="8"/>
        <v>6.9321467899764538E-4</v>
      </c>
    </row>
    <row r="555" spans="1:3">
      <c r="A555" s="25" t="s">
        <v>1116</v>
      </c>
      <c r="B555" s="28">
        <v>232.29</v>
      </c>
      <c r="C555" s="27">
        <f t="shared" ref="C555:C618" si="9">IFERROR(B555/$S$2,"")</f>
        <v>6.9321467899764538E-4</v>
      </c>
    </row>
    <row r="556" spans="1:3">
      <c r="A556" s="25" t="s">
        <v>1117</v>
      </c>
      <c r="B556" s="28">
        <v>232.29</v>
      </c>
      <c r="C556" s="27">
        <f t="shared" si="9"/>
        <v>6.9321467899764538E-4</v>
      </c>
    </row>
    <row r="557" spans="1:3">
      <c r="A557" s="25" t="s">
        <v>1118</v>
      </c>
      <c r="B557" s="28">
        <v>232.29</v>
      </c>
      <c r="C557" s="27">
        <f t="shared" si="9"/>
        <v>6.9321467899764538E-4</v>
      </c>
    </row>
    <row r="558" spans="1:3">
      <c r="A558" s="25" t="s">
        <v>1119</v>
      </c>
      <c r="B558" s="28">
        <v>232.29</v>
      </c>
      <c r="C558" s="27">
        <f t="shared" si="9"/>
        <v>6.9321467899764538E-4</v>
      </c>
    </row>
    <row r="559" spans="1:3">
      <c r="A559" s="25" t="s">
        <v>1120</v>
      </c>
      <c r="B559" s="28">
        <v>232.29</v>
      </c>
      <c r="C559" s="27">
        <f t="shared" si="9"/>
        <v>6.9321467899764538E-4</v>
      </c>
    </row>
    <row r="560" spans="1:3">
      <c r="A560" s="25" t="s">
        <v>1121</v>
      </c>
      <c r="B560" s="28">
        <v>232.29</v>
      </c>
      <c r="C560" s="27">
        <f t="shared" si="9"/>
        <v>6.9321467899764538E-4</v>
      </c>
    </row>
    <row r="561" spans="1:3">
      <c r="A561" s="25" t="s">
        <v>1122</v>
      </c>
      <c r="B561" s="28">
        <v>0</v>
      </c>
      <c r="C561" s="27">
        <f t="shared" si="9"/>
        <v>0</v>
      </c>
    </row>
    <row r="562" spans="1:3">
      <c r="A562" s="25" t="s">
        <v>1123</v>
      </c>
      <c r="B562" s="28">
        <v>248.24</v>
      </c>
      <c r="C562" s="27">
        <f t="shared" si="9"/>
        <v>7.4081368941571093E-4</v>
      </c>
    </row>
    <row r="563" spans="1:3">
      <c r="A563" s="25" t="s">
        <v>1124</v>
      </c>
      <c r="B563" s="28">
        <v>248.24</v>
      </c>
      <c r="C563" s="27">
        <f t="shared" si="9"/>
        <v>7.4081368941571093E-4</v>
      </c>
    </row>
    <row r="564" spans="1:3">
      <c r="A564" s="25" t="s">
        <v>1125</v>
      </c>
      <c r="B564" s="28">
        <v>248.24</v>
      </c>
      <c r="C564" s="27">
        <f t="shared" si="9"/>
        <v>7.4081368941571093E-4</v>
      </c>
    </row>
    <row r="565" spans="1:3">
      <c r="A565" s="25" t="s">
        <v>1126</v>
      </c>
      <c r="B565" s="28">
        <v>248.24</v>
      </c>
      <c r="C565" s="27">
        <f t="shared" si="9"/>
        <v>7.4081368941571093E-4</v>
      </c>
    </row>
    <row r="566" spans="1:3">
      <c r="A566" s="25" t="s">
        <v>1127</v>
      </c>
      <c r="B566" s="28">
        <v>248.24</v>
      </c>
      <c r="C566" s="27">
        <f t="shared" si="9"/>
        <v>7.4081368941571093E-4</v>
      </c>
    </row>
    <row r="567" spans="1:3">
      <c r="A567" s="25" t="s">
        <v>1128</v>
      </c>
      <c r="B567" s="28">
        <v>248.24</v>
      </c>
      <c r="C567" s="27">
        <f t="shared" si="9"/>
        <v>7.4081368941571093E-4</v>
      </c>
    </row>
    <row r="568" spans="1:3">
      <c r="A568" s="25" t="s">
        <v>1129</v>
      </c>
      <c r="B568" s="28">
        <v>248.24</v>
      </c>
      <c r="C568" s="27">
        <f t="shared" si="9"/>
        <v>7.4081368941571093E-4</v>
      </c>
    </row>
    <row r="569" spans="1:3">
      <c r="A569" s="25" t="s">
        <v>1130</v>
      </c>
      <c r="B569" s="28">
        <v>248.24</v>
      </c>
      <c r="C569" s="27">
        <f t="shared" si="9"/>
        <v>7.4081368941571093E-4</v>
      </c>
    </row>
    <row r="570" spans="1:3">
      <c r="A570" s="25" t="s">
        <v>1131</v>
      </c>
      <c r="B570" s="28">
        <v>248.24</v>
      </c>
      <c r="C570" s="27">
        <f t="shared" si="9"/>
        <v>7.4081368941571093E-4</v>
      </c>
    </row>
    <row r="571" spans="1:3">
      <c r="A571" s="25" t="s">
        <v>1132</v>
      </c>
      <c r="B571" s="28">
        <v>0</v>
      </c>
      <c r="C571" s="27">
        <f t="shared" si="9"/>
        <v>0</v>
      </c>
    </row>
    <row r="572" spans="1:3">
      <c r="A572" s="25" t="s">
        <v>1133</v>
      </c>
      <c r="B572" s="28">
        <v>248.24</v>
      </c>
      <c r="C572" s="27">
        <f t="shared" si="9"/>
        <v>7.4081368941571093E-4</v>
      </c>
    </row>
    <row r="573" spans="1:3">
      <c r="A573" s="25" t="s">
        <v>1134</v>
      </c>
      <c r="B573" s="28">
        <v>248.24</v>
      </c>
      <c r="C573" s="27">
        <f t="shared" si="9"/>
        <v>7.4081368941571093E-4</v>
      </c>
    </row>
    <row r="574" spans="1:3">
      <c r="A574" s="25" t="s">
        <v>1135</v>
      </c>
      <c r="B574" s="28">
        <v>248.24</v>
      </c>
      <c r="C574" s="27">
        <f t="shared" si="9"/>
        <v>7.4081368941571093E-4</v>
      </c>
    </row>
    <row r="575" spans="1:3">
      <c r="A575" s="25" t="s">
        <v>1136</v>
      </c>
      <c r="B575" s="28">
        <v>248.24</v>
      </c>
      <c r="C575" s="27">
        <f t="shared" si="9"/>
        <v>7.4081368941571093E-4</v>
      </c>
    </row>
    <row r="576" spans="1:3">
      <c r="A576" s="25" t="s">
        <v>1137</v>
      </c>
      <c r="B576" s="28">
        <v>248.24</v>
      </c>
      <c r="C576" s="27">
        <f t="shared" si="9"/>
        <v>7.4081368941571093E-4</v>
      </c>
    </row>
    <row r="577" spans="1:3">
      <c r="A577" s="25" t="s">
        <v>1138</v>
      </c>
      <c r="B577" s="28">
        <v>248.24</v>
      </c>
      <c r="C577" s="27">
        <f t="shared" si="9"/>
        <v>7.4081368941571093E-4</v>
      </c>
    </row>
    <row r="578" spans="1:3">
      <c r="A578" s="25" t="s">
        <v>1139</v>
      </c>
      <c r="B578" s="28">
        <v>248.24</v>
      </c>
      <c r="C578" s="27">
        <f t="shared" si="9"/>
        <v>7.4081368941571093E-4</v>
      </c>
    </row>
    <row r="579" spans="1:3">
      <c r="A579" s="25" t="s">
        <v>1140</v>
      </c>
      <c r="B579" s="28">
        <v>248.24</v>
      </c>
      <c r="C579" s="27">
        <f t="shared" si="9"/>
        <v>7.4081368941571093E-4</v>
      </c>
    </row>
    <row r="580" spans="1:3">
      <c r="A580" s="25" t="s">
        <v>1141</v>
      </c>
      <c r="B580" s="28">
        <v>0</v>
      </c>
      <c r="C580" s="27">
        <f t="shared" si="9"/>
        <v>0</v>
      </c>
    </row>
    <row r="581" spans="1:3">
      <c r="A581" s="25" t="s">
        <v>1142</v>
      </c>
      <c r="B581" s="28">
        <v>0</v>
      </c>
      <c r="C581" s="27">
        <f t="shared" si="9"/>
        <v>0</v>
      </c>
    </row>
    <row r="582" spans="1:3">
      <c r="A582" s="25" t="s">
        <v>1143</v>
      </c>
      <c r="B582" s="28">
        <v>217.21</v>
      </c>
      <c r="C582" s="27">
        <f t="shared" si="9"/>
        <v>6.4821197823874716E-4</v>
      </c>
    </row>
    <row r="583" spans="1:3">
      <c r="A583" s="25" t="s">
        <v>1144</v>
      </c>
      <c r="B583" s="28">
        <v>248.24</v>
      </c>
      <c r="C583" s="27">
        <f t="shared" si="9"/>
        <v>7.4081368941571093E-4</v>
      </c>
    </row>
    <row r="584" spans="1:3">
      <c r="A584" s="25" t="s">
        <v>1145</v>
      </c>
      <c r="B584" s="28">
        <v>248.24</v>
      </c>
      <c r="C584" s="27">
        <f t="shared" si="9"/>
        <v>7.4081368941571093E-4</v>
      </c>
    </row>
    <row r="585" spans="1:3">
      <c r="A585" s="25" t="s">
        <v>1146</v>
      </c>
      <c r="B585" s="28">
        <v>248.24</v>
      </c>
      <c r="C585" s="27">
        <f t="shared" si="9"/>
        <v>7.4081368941571093E-4</v>
      </c>
    </row>
    <row r="586" spans="1:3">
      <c r="A586" s="25" t="s">
        <v>1147</v>
      </c>
      <c r="B586" s="28">
        <v>248.24</v>
      </c>
      <c r="C586" s="27">
        <f t="shared" si="9"/>
        <v>7.4081368941571093E-4</v>
      </c>
    </row>
    <row r="587" spans="1:3">
      <c r="A587" s="25" t="s">
        <v>1148</v>
      </c>
      <c r="B587" s="28">
        <v>248.24</v>
      </c>
      <c r="C587" s="27">
        <f t="shared" si="9"/>
        <v>7.4081368941571093E-4</v>
      </c>
    </row>
    <row r="588" spans="1:3">
      <c r="A588" s="25" t="s">
        <v>1149</v>
      </c>
      <c r="B588" s="28">
        <v>248.24</v>
      </c>
      <c r="C588" s="27">
        <f t="shared" si="9"/>
        <v>7.4081368941571093E-4</v>
      </c>
    </row>
    <row r="589" spans="1:3">
      <c r="A589" s="25" t="s">
        <v>1150</v>
      </c>
      <c r="B589" s="28">
        <v>248.24</v>
      </c>
      <c r="C589" s="27">
        <f t="shared" si="9"/>
        <v>7.4081368941571093E-4</v>
      </c>
    </row>
    <row r="590" spans="1:3">
      <c r="A590" s="25" t="s">
        <v>1151</v>
      </c>
      <c r="B590" s="28">
        <v>248.24</v>
      </c>
      <c r="C590" s="27">
        <f t="shared" si="9"/>
        <v>7.4081368941571093E-4</v>
      </c>
    </row>
    <row r="591" spans="1:3">
      <c r="A591" s="25" t="s">
        <v>1152</v>
      </c>
      <c r="B591" s="28">
        <v>0</v>
      </c>
      <c r="C591" s="27">
        <f t="shared" si="9"/>
        <v>0</v>
      </c>
    </row>
    <row r="592" spans="1:3">
      <c r="A592" s="25" t="s">
        <v>1153</v>
      </c>
      <c r="B592" s="28">
        <v>248.24</v>
      </c>
      <c r="C592" s="27">
        <f t="shared" si="9"/>
        <v>7.4081368941571093E-4</v>
      </c>
    </row>
    <row r="593" spans="1:3">
      <c r="A593" s="25" t="s">
        <v>1154</v>
      </c>
      <c r="B593" s="28">
        <v>248.24</v>
      </c>
      <c r="C593" s="27">
        <f t="shared" si="9"/>
        <v>7.4081368941571093E-4</v>
      </c>
    </row>
    <row r="594" spans="1:3">
      <c r="A594" s="25" t="s">
        <v>1155</v>
      </c>
      <c r="B594" s="28">
        <v>248.24</v>
      </c>
      <c r="C594" s="27">
        <f t="shared" si="9"/>
        <v>7.4081368941571093E-4</v>
      </c>
    </row>
    <row r="595" spans="1:3">
      <c r="A595" s="25" t="s">
        <v>1156</v>
      </c>
      <c r="B595" s="28">
        <v>248.24</v>
      </c>
      <c r="C595" s="27">
        <f t="shared" si="9"/>
        <v>7.4081368941571093E-4</v>
      </c>
    </row>
    <row r="596" spans="1:3">
      <c r="A596" s="25" t="s">
        <v>1157</v>
      </c>
      <c r="B596" s="28">
        <v>248.24</v>
      </c>
      <c r="C596" s="27">
        <f t="shared" si="9"/>
        <v>7.4081368941571093E-4</v>
      </c>
    </row>
    <row r="597" spans="1:3">
      <c r="A597" s="25" t="s">
        <v>1158</v>
      </c>
      <c r="B597" s="28">
        <v>248.24</v>
      </c>
      <c r="C597" s="27">
        <f t="shared" si="9"/>
        <v>7.4081368941571093E-4</v>
      </c>
    </row>
    <row r="598" spans="1:3">
      <c r="A598" s="25" t="s">
        <v>1159</v>
      </c>
      <c r="B598" s="28">
        <v>248.24</v>
      </c>
      <c r="C598" s="27">
        <f t="shared" si="9"/>
        <v>7.4081368941571093E-4</v>
      </c>
    </row>
    <row r="599" spans="1:3">
      <c r="A599" s="25" t="s">
        <v>1160</v>
      </c>
      <c r="B599" s="28">
        <v>248.24</v>
      </c>
      <c r="C599" s="27">
        <f t="shared" si="9"/>
        <v>7.4081368941571093E-4</v>
      </c>
    </row>
    <row r="600" spans="1:3">
      <c r="A600" s="25" t="s">
        <v>1161</v>
      </c>
      <c r="B600" s="28">
        <v>0</v>
      </c>
      <c r="C600" s="27">
        <f t="shared" si="9"/>
        <v>0</v>
      </c>
    </row>
    <row r="601" spans="1:3">
      <c r="A601" s="25" t="s">
        <v>1162</v>
      </c>
      <c r="B601" s="28">
        <v>0</v>
      </c>
      <c r="C601" s="27">
        <f t="shared" si="9"/>
        <v>0</v>
      </c>
    </row>
    <row r="602" spans="1:3">
      <c r="A602" s="25" t="s">
        <v>1163</v>
      </c>
      <c r="B602" s="28">
        <v>250.56</v>
      </c>
      <c r="C602" s="27">
        <f t="shared" si="9"/>
        <v>7.4773718184015681E-4</v>
      </c>
    </row>
    <row r="603" spans="1:3">
      <c r="A603" s="25" t="s">
        <v>1164</v>
      </c>
      <c r="B603" s="28">
        <v>250.56</v>
      </c>
      <c r="C603" s="27">
        <f t="shared" si="9"/>
        <v>7.4773718184015681E-4</v>
      </c>
    </row>
    <row r="604" spans="1:3">
      <c r="A604" s="25" t="s">
        <v>1165</v>
      </c>
      <c r="B604" s="28">
        <v>250.56</v>
      </c>
      <c r="C604" s="27">
        <f t="shared" si="9"/>
        <v>7.4773718184015681E-4</v>
      </c>
    </row>
    <row r="605" spans="1:3">
      <c r="A605" s="25" t="s">
        <v>1166</v>
      </c>
      <c r="B605" s="28">
        <v>219.24</v>
      </c>
      <c r="C605" s="27">
        <f t="shared" si="9"/>
        <v>6.5427003411013722E-4</v>
      </c>
    </row>
    <row r="606" spans="1:3">
      <c r="A606" s="25" t="s">
        <v>1167</v>
      </c>
      <c r="B606" s="28">
        <v>219.24</v>
      </c>
      <c r="C606" s="27">
        <f t="shared" si="9"/>
        <v>6.5427003411013722E-4</v>
      </c>
    </row>
    <row r="607" spans="1:3">
      <c r="A607" s="25" t="s">
        <v>1168</v>
      </c>
      <c r="B607" s="28">
        <v>250.56</v>
      </c>
      <c r="C607" s="27">
        <f t="shared" si="9"/>
        <v>7.4773718184015681E-4</v>
      </c>
    </row>
    <row r="608" spans="1:3">
      <c r="A608" s="25" t="s">
        <v>1169</v>
      </c>
      <c r="B608" s="28">
        <v>250.56</v>
      </c>
      <c r="C608" s="27">
        <f t="shared" si="9"/>
        <v>7.4773718184015681E-4</v>
      </c>
    </row>
    <row r="609" spans="1:3">
      <c r="A609" s="25" t="s">
        <v>1170</v>
      </c>
      <c r="B609" s="28">
        <v>250.56</v>
      </c>
      <c r="C609" s="27">
        <f t="shared" si="9"/>
        <v>7.4773718184015681E-4</v>
      </c>
    </row>
    <row r="610" spans="1:3">
      <c r="A610" s="25" t="s">
        <v>1171</v>
      </c>
      <c r="B610" s="28">
        <v>250.56</v>
      </c>
      <c r="C610" s="27">
        <f t="shared" si="9"/>
        <v>7.4773718184015681E-4</v>
      </c>
    </row>
    <row r="611" spans="1:3">
      <c r="A611" s="25" t="s">
        <v>1172</v>
      </c>
      <c r="B611" s="28">
        <v>0</v>
      </c>
      <c r="C611" s="27">
        <f t="shared" si="9"/>
        <v>0</v>
      </c>
    </row>
    <row r="612" spans="1:3">
      <c r="A612" s="25" t="s">
        <v>1173</v>
      </c>
      <c r="B612" s="28">
        <v>250.56</v>
      </c>
      <c r="C612" s="27">
        <f t="shared" si="9"/>
        <v>7.4773718184015681E-4</v>
      </c>
    </row>
    <row r="613" spans="1:3">
      <c r="A613" s="25" t="s">
        <v>1174</v>
      </c>
      <c r="B613" s="28">
        <v>250.56</v>
      </c>
      <c r="C613" s="27">
        <f t="shared" si="9"/>
        <v>7.4773718184015681E-4</v>
      </c>
    </row>
    <row r="614" spans="1:3">
      <c r="A614" s="25" t="s">
        <v>1175</v>
      </c>
      <c r="B614" s="28">
        <v>219.24</v>
      </c>
      <c r="C614" s="27">
        <f t="shared" si="9"/>
        <v>6.5427003411013722E-4</v>
      </c>
    </row>
    <row r="615" spans="1:3">
      <c r="A615" s="25" t="s">
        <v>1176</v>
      </c>
      <c r="B615" s="28">
        <v>219.24</v>
      </c>
      <c r="C615" s="27">
        <f t="shared" si="9"/>
        <v>6.5427003411013722E-4</v>
      </c>
    </row>
    <row r="616" spans="1:3">
      <c r="A616" s="25" t="s">
        <v>1177</v>
      </c>
      <c r="B616" s="28">
        <v>219.24</v>
      </c>
      <c r="C616" s="27">
        <f t="shared" si="9"/>
        <v>6.5427003411013722E-4</v>
      </c>
    </row>
    <row r="617" spans="1:3">
      <c r="A617" s="25" t="s">
        <v>1178</v>
      </c>
      <c r="B617" s="28">
        <v>219.24</v>
      </c>
      <c r="C617" s="27">
        <f t="shared" si="9"/>
        <v>6.5427003411013722E-4</v>
      </c>
    </row>
    <row r="618" spans="1:3">
      <c r="A618" s="25" t="s">
        <v>1179</v>
      </c>
      <c r="B618" s="28">
        <v>250.56</v>
      </c>
      <c r="C618" s="27">
        <f t="shared" si="9"/>
        <v>7.4773718184015681E-4</v>
      </c>
    </row>
    <row r="619" spans="1:3">
      <c r="A619" s="25" t="s">
        <v>1180</v>
      </c>
      <c r="B619" s="28">
        <v>250.56</v>
      </c>
      <c r="C619" s="27">
        <f t="shared" ref="C619:C682" si="10">IFERROR(B619/$S$2,"")</f>
        <v>7.4773718184015681E-4</v>
      </c>
    </row>
    <row r="620" spans="1:3">
      <c r="A620" s="25" t="s">
        <v>1181</v>
      </c>
      <c r="B620" s="28">
        <v>250.56</v>
      </c>
      <c r="C620" s="27">
        <f t="shared" si="10"/>
        <v>7.4773718184015681E-4</v>
      </c>
    </row>
    <row r="621" spans="1:3">
      <c r="A621" s="25" t="s">
        <v>1182</v>
      </c>
      <c r="B621" s="28">
        <v>250.56</v>
      </c>
      <c r="C621" s="27">
        <f t="shared" si="10"/>
        <v>7.4773718184015681E-4</v>
      </c>
    </row>
    <row r="622" spans="1:3">
      <c r="A622" s="25" t="s">
        <v>1183</v>
      </c>
      <c r="B622" s="28">
        <v>248.24</v>
      </c>
      <c r="C622" s="27">
        <f t="shared" si="10"/>
        <v>7.4081368941571093E-4</v>
      </c>
    </row>
    <row r="623" spans="1:3">
      <c r="A623" s="25" t="s">
        <v>1184</v>
      </c>
      <c r="B623" s="28">
        <v>248.24</v>
      </c>
      <c r="C623" s="27">
        <f t="shared" si="10"/>
        <v>7.4081368941571093E-4</v>
      </c>
    </row>
    <row r="624" spans="1:3">
      <c r="A624" s="25" t="s">
        <v>1185</v>
      </c>
      <c r="B624" s="28">
        <v>248.24</v>
      </c>
      <c r="C624" s="27">
        <f t="shared" si="10"/>
        <v>7.4081368941571093E-4</v>
      </c>
    </row>
    <row r="625" spans="1:3">
      <c r="A625" s="25" t="s">
        <v>1186</v>
      </c>
      <c r="B625" s="28">
        <v>248.24</v>
      </c>
      <c r="C625" s="27">
        <f t="shared" si="10"/>
        <v>7.4081368941571093E-4</v>
      </c>
    </row>
    <row r="626" spans="1:3">
      <c r="A626" s="25" t="s">
        <v>1187</v>
      </c>
      <c r="B626" s="28">
        <v>248.24</v>
      </c>
      <c r="C626" s="27">
        <f t="shared" si="10"/>
        <v>7.4081368941571093E-4</v>
      </c>
    </row>
    <row r="627" spans="1:3">
      <c r="A627" s="25" t="s">
        <v>1188</v>
      </c>
      <c r="B627" s="28">
        <v>248.24</v>
      </c>
      <c r="C627" s="27">
        <f t="shared" si="10"/>
        <v>7.4081368941571093E-4</v>
      </c>
    </row>
    <row r="628" spans="1:3">
      <c r="A628" s="25" t="s">
        <v>1189</v>
      </c>
      <c r="B628" s="28">
        <v>248.24</v>
      </c>
      <c r="C628" s="27">
        <f t="shared" si="10"/>
        <v>7.4081368941571093E-4</v>
      </c>
    </row>
    <row r="629" spans="1:3">
      <c r="A629" s="25" t="s">
        <v>1190</v>
      </c>
      <c r="B629" s="28">
        <v>248.24</v>
      </c>
      <c r="C629" s="27">
        <f t="shared" si="10"/>
        <v>7.4081368941571093E-4</v>
      </c>
    </row>
    <row r="630" spans="1:3">
      <c r="A630" s="25" t="s">
        <v>1191</v>
      </c>
      <c r="B630" s="28">
        <v>217.21</v>
      </c>
      <c r="C630" s="27">
        <f t="shared" si="10"/>
        <v>6.4821197823874716E-4</v>
      </c>
    </row>
    <row r="631" spans="1:3">
      <c r="A631" s="25" t="s">
        <v>1192</v>
      </c>
      <c r="B631" s="28">
        <v>0</v>
      </c>
      <c r="C631" s="27">
        <f t="shared" si="10"/>
        <v>0</v>
      </c>
    </row>
    <row r="632" spans="1:3">
      <c r="A632" s="25" t="s">
        <v>1193</v>
      </c>
      <c r="B632" s="28">
        <v>248.24</v>
      </c>
      <c r="C632" s="27">
        <f t="shared" si="10"/>
        <v>7.4081368941571093E-4</v>
      </c>
    </row>
    <row r="633" spans="1:3">
      <c r="A633" s="25" t="s">
        <v>1194</v>
      </c>
      <c r="B633" s="28">
        <v>248.24</v>
      </c>
      <c r="C633" s="27">
        <f t="shared" si="10"/>
        <v>7.4081368941571093E-4</v>
      </c>
    </row>
    <row r="634" spans="1:3">
      <c r="A634" s="25" t="s">
        <v>1195</v>
      </c>
      <c r="B634" s="28">
        <v>248.24</v>
      </c>
      <c r="C634" s="27">
        <f t="shared" si="10"/>
        <v>7.4081368941571093E-4</v>
      </c>
    </row>
    <row r="635" spans="1:3">
      <c r="A635" s="25" t="s">
        <v>1196</v>
      </c>
      <c r="B635" s="28">
        <v>248.24</v>
      </c>
      <c r="C635" s="27">
        <f t="shared" si="10"/>
        <v>7.4081368941571093E-4</v>
      </c>
    </row>
    <row r="636" spans="1:3">
      <c r="A636" s="25" t="s">
        <v>1197</v>
      </c>
      <c r="B636" s="28">
        <v>248.24</v>
      </c>
      <c r="C636" s="27">
        <f t="shared" si="10"/>
        <v>7.4081368941571093E-4</v>
      </c>
    </row>
    <row r="637" spans="1:3">
      <c r="A637" s="25" t="s">
        <v>1198</v>
      </c>
      <c r="B637" s="28">
        <v>248.24</v>
      </c>
      <c r="C637" s="27">
        <f t="shared" si="10"/>
        <v>7.4081368941571093E-4</v>
      </c>
    </row>
    <row r="638" spans="1:3">
      <c r="A638" s="25" t="s">
        <v>1199</v>
      </c>
      <c r="B638" s="28">
        <v>248.24</v>
      </c>
      <c r="C638" s="27">
        <f t="shared" si="10"/>
        <v>7.4081368941571093E-4</v>
      </c>
    </row>
    <row r="639" spans="1:3">
      <c r="A639" s="25" t="s">
        <v>1200</v>
      </c>
      <c r="B639" s="28">
        <v>248.24</v>
      </c>
      <c r="C639" s="27">
        <f t="shared" si="10"/>
        <v>7.4081368941571093E-4</v>
      </c>
    </row>
    <row r="640" spans="1:3">
      <c r="A640" s="25" t="s">
        <v>1201</v>
      </c>
      <c r="B640" s="28">
        <v>0</v>
      </c>
      <c r="C640" s="27">
        <f t="shared" si="10"/>
        <v>0</v>
      </c>
    </row>
    <row r="641" spans="1:3">
      <c r="A641" s="25" t="s">
        <v>1202</v>
      </c>
      <c r="B641" s="28">
        <v>0</v>
      </c>
      <c r="C641" s="27">
        <f t="shared" si="10"/>
        <v>0</v>
      </c>
    </row>
    <row r="642" spans="1:3">
      <c r="A642" s="25" t="s">
        <v>1203</v>
      </c>
      <c r="B642" s="28">
        <v>250.56</v>
      </c>
      <c r="C642" s="27">
        <f t="shared" si="10"/>
        <v>7.4773718184015681E-4</v>
      </c>
    </row>
    <row r="643" spans="1:3">
      <c r="A643" s="25" t="s">
        <v>1204</v>
      </c>
      <c r="B643" s="28">
        <v>250.56</v>
      </c>
      <c r="C643" s="27">
        <f t="shared" si="10"/>
        <v>7.4773718184015681E-4</v>
      </c>
    </row>
    <row r="644" spans="1:3">
      <c r="A644" s="25" t="s">
        <v>1205</v>
      </c>
      <c r="B644" s="28">
        <v>250.56</v>
      </c>
      <c r="C644" s="27">
        <f t="shared" si="10"/>
        <v>7.4773718184015681E-4</v>
      </c>
    </row>
    <row r="645" spans="1:3">
      <c r="A645" s="25" t="s">
        <v>1206</v>
      </c>
      <c r="B645" s="28">
        <v>250.56</v>
      </c>
      <c r="C645" s="27">
        <f t="shared" si="10"/>
        <v>7.4773718184015681E-4</v>
      </c>
    </row>
    <row r="646" spans="1:3">
      <c r="A646" s="25" t="s">
        <v>1207</v>
      </c>
      <c r="B646" s="28">
        <v>250.56</v>
      </c>
      <c r="C646" s="27">
        <f t="shared" si="10"/>
        <v>7.4773718184015681E-4</v>
      </c>
    </row>
    <row r="647" spans="1:3">
      <c r="A647" s="25" t="s">
        <v>1208</v>
      </c>
      <c r="B647" s="28">
        <v>250.56</v>
      </c>
      <c r="C647" s="27">
        <f t="shared" si="10"/>
        <v>7.4773718184015681E-4</v>
      </c>
    </row>
    <row r="648" spans="1:3">
      <c r="A648" s="25" t="s">
        <v>1209</v>
      </c>
      <c r="B648" s="28">
        <v>250.56</v>
      </c>
      <c r="C648" s="27">
        <f t="shared" si="10"/>
        <v>7.4773718184015681E-4</v>
      </c>
    </row>
    <row r="649" spans="1:3">
      <c r="A649" s="25" t="s">
        <v>1210</v>
      </c>
      <c r="B649" s="28">
        <v>219.24</v>
      </c>
      <c r="C649" s="27">
        <f t="shared" si="10"/>
        <v>6.5427003411013722E-4</v>
      </c>
    </row>
    <row r="650" spans="1:3">
      <c r="A650" s="25" t="s">
        <v>1211</v>
      </c>
      <c r="B650" s="28">
        <v>0</v>
      </c>
      <c r="C650" s="27">
        <f t="shared" si="10"/>
        <v>0</v>
      </c>
    </row>
    <row r="651" spans="1:3">
      <c r="A651" s="25" t="s">
        <v>1212</v>
      </c>
      <c r="B651" s="28">
        <v>0</v>
      </c>
      <c r="C651" s="27">
        <f t="shared" si="10"/>
        <v>0</v>
      </c>
    </row>
    <row r="652" spans="1:3">
      <c r="A652" s="25" t="s">
        <v>1213</v>
      </c>
      <c r="B652" s="28">
        <v>250.56</v>
      </c>
      <c r="C652" s="27">
        <f t="shared" si="10"/>
        <v>7.4773718184015681E-4</v>
      </c>
    </row>
    <row r="653" spans="1:3">
      <c r="A653" s="25" t="s">
        <v>1214</v>
      </c>
      <c r="B653" s="28">
        <v>250.56</v>
      </c>
      <c r="C653" s="27">
        <f t="shared" si="10"/>
        <v>7.4773718184015681E-4</v>
      </c>
    </row>
    <row r="654" spans="1:3">
      <c r="A654" s="25" t="s">
        <v>1215</v>
      </c>
      <c r="B654" s="28">
        <v>250.56</v>
      </c>
      <c r="C654" s="27">
        <f t="shared" si="10"/>
        <v>7.4773718184015681E-4</v>
      </c>
    </row>
    <row r="655" spans="1:3">
      <c r="A655" s="25" t="s">
        <v>1216</v>
      </c>
      <c r="B655" s="28">
        <v>250.56</v>
      </c>
      <c r="C655" s="27">
        <f t="shared" si="10"/>
        <v>7.4773718184015681E-4</v>
      </c>
    </row>
    <row r="656" spans="1:3">
      <c r="A656" s="25" t="s">
        <v>1217</v>
      </c>
      <c r="B656" s="28">
        <v>250.56</v>
      </c>
      <c r="C656" s="27">
        <f t="shared" si="10"/>
        <v>7.4773718184015681E-4</v>
      </c>
    </row>
    <row r="657" spans="1:3">
      <c r="A657" s="25" t="s">
        <v>1218</v>
      </c>
      <c r="B657" s="28">
        <v>250.56</v>
      </c>
      <c r="C657" s="27">
        <f t="shared" si="10"/>
        <v>7.4773718184015681E-4</v>
      </c>
    </row>
    <row r="658" spans="1:3">
      <c r="A658" s="25" t="s">
        <v>1219</v>
      </c>
      <c r="B658" s="28">
        <v>219.24</v>
      </c>
      <c r="C658" s="27">
        <f t="shared" si="10"/>
        <v>6.5427003411013722E-4</v>
      </c>
    </row>
    <row r="659" spans="1:3">
      <c r="A659" s="25" t="s">
        <v>1220</v>
      </c>
      <c r="B659" s="28">
        <v>250.56</v>
      </c>
      <c r="C659" s="27">
        <f t="shared" si="10"/>
        <v>7.4773718184015681E-4</v>
      </c>
    </row>
    <row r="660" spans="1:3">
      <c r="A660" s="25" t="s">
        <v>1221</v>
      </c>
      <c r="B660" s="28">
        <v>0</v>
      </c>
      <c r="C660" s="27">
        <f t="shared" si="10"/>
        <v>0</v>
      </c>
    </row>
    <row r="661" spans="1:3">
      <c r="A661" s="25" t="s">
        <v>1222</v>
      </c>
      <c r="B661" s="28">
        <v>0</v>
      </c>
      <c r="C661" s="27">
        <f t="shared" si="10"/>
        <v>0</v>
      </c>
    </row>
    <row r="662" spans="1:3">
      <c r="A662" s="25" t="s">
        <v>1223</v>
      </c>
      <c r="B662" s="28">
        <v>125.28</v>
      </c>
      <c r="C662" s="27">
        <f t="shared" si="10"/>
        <v>3.7386859092007841E-4</v>
      </c>
    </row>
    <row r="663" spans="1:3">
      <c r="A663" s="25" t="s">
        <v>1224</v>
      </c>
      <c r="B663" s="28">
        <v>250.56</v>
      </c>
      <c r="C663" s="27">
        <f t="shared" si="10"/>
        <v>7.4773718184015681E-4</v>
      </c>
    </row>
    <row r="664" spans="1:3">
      <c r="A664" s="25" t="s">
        <v>1225</v>
      </c>
      <c r="B664" s="28">
        <v>250.56</v>
      </c>
      <c r="C664" s="27">
        <f t="shared" si="10"/>
        <v>7.4773718184015681E-4</v>
      </c>
    </row>
    <row r="665" spans="1:3">
      <c r="A665" s="25" t="s">
        <v>1226</v>
      </c>
      <c r="B665" s="28">
        <v>250.56</v>
      </c>
      <c r="C665" s="27">
        <f t="shared" si="10"/>
        <v>7.4773718184015681E-4</v>
      </c>
    </row>
    <row r="666" spans="1:3">
      <c r="A666" s="25" t="s">
        <v>1227</v>
      </c>
      <c r="B666" s="28">
        <v>250.56</v>
      </c>
      <c r="C666" s="27">
        <f t="shared" si="10"/>
        <v>7.4773718184015681E-4</v>
      </c>
    </row>
    <row r="667" spans="1:3">
      <c r="A667" s="25" t="s">
        <v>1228</v>
      </c>
      <c r="B667" s="28">
        <v>250.56</v>
      </c>
      <c r="C667" s="27">
        <f t="shared" si="10"/>
        <v>7.4773718184015681E-4</v>
      </c>
    </row>
    <row r="668" spans="1:3">
      <c r="A668" s="25" t="s">
        <v>1229</v>
      </c>
      <c r="B668" s="28">
        <v>250.56</v>
      </c>
      <c r="C668" s="27">
        <f t="shared" si="10"/>
        <v>7.4773718184015681E-4</v>
      </c>
    </row>
    <row r="669" spans="1:3">
      <c r="A669" s="25" t="s">
        <v>1230</v>
      </c>
      <c r="B669" s="28">
        <v>250.56</v>
      </c>
      <c r="C669" s="27">
        <f t="shared" si="10"/>
        <v>7.4773718184015681E-4</v>
      </c>
    </row>
    <row r="670" spans="1:3">
      <c r="A670" s="25" t="s">
        <v>1231</v>
      </c>
      <c r="B670" s="28">
        <v>219.24</v>
      </c>
      <c r="C670" s="27">
        <f t="shared" si="10"/>
        <v>6.5427003411013722E-4</v>
      </c>
    </row>
    <row r="671" spans="1:3">
      <c r="A671" s="25" t="s">
        <v>1232</v>
      </c>
      <c r="B671" s="28">
        <v>0</v>
      </c>
      <c r="C671" s="27">
        <f t="shared" si="10"/>
        <v>0</v>
      </c>
    </row>
    <row r="672" spans="1:3">
      <c r="A672" s="25" t="s">
        <v>1233</v>
      </c>
      <c r="B672" s="28">
        <v>250.56</v>
      </c>
      <c r="C672" s="27">
        <f t="shared" si="10"/>
        <v>7.4773718184015681E-4</v>
      </c>
    </row>
    <row r="673" spans="1:3">
      <c r="A673" s="25" t="s">
        <v>1234</v>
      </c>
      <c r="B673" s="28">
        <v>250.56</v>
      </c>
      <c r="C673" s="27">
        <f t="shared" si="10"/>
        <v>7.4773718184015681E-4</v>
      </c>
    </row>
    <row r="674" spans="1:3">
      <c r="A674" s="25" t="s">
        <v>1235</v>
      </c>
      <c r="B674" s="28">
        <v>250.56</v>
      </c>
      <c r="C674" s="27">
        <f t="shared" si="10"/>
        <v>7.4773718184015681E-4</v>
      </c>
    </row>
    <row r="675" spans="1:3">
      <c r="A675" s="25" t="s">
        <v>1236</v>
      </c>
      <c r="B675" s="28">
        <v>250.56</v>
      </c>
      <c r="C675" s="27">
        <f t="shared" si="10"/>
        <v>7.4773718184015681E-4</v>
      </c>
    </row>
    <row r="676" spans="1:3">
      <c r="A676" s="25" t="s">
        <v>1237</v>
      </c>
      <c r="B676" s="28">
        <v>250.56</v>
      </c>
      <c r="C676" s="27">
        <f t="shared" si="10"/>
        <v>7.4773718184015681E-4</v>
      </c>
    </row>
    <row r="677" spans="1:3">
      <c r="A677" s="25" t="s">
        <v>1238</v>
      </c>
      <c r="B677" s="28">
        <v>250.56</v>
      </c>
      <c r="C677" s="27">
        <f t="shared" si="10"/>
        <v>7.4773718184015681E-4</v>
      </c>
    </row>
    <row r="678" spans="1:3">
      <c r="A678" s="25" t="s">
        <v>1239</v>
      </c>
      <c r="B678" s="28">
        <v>250.56</v>
      </c>
      <c r="C678" s="27">
        <f t="shared" si="10"/>
        <v>7.4773718184015681E-4</v>
      </c>
    </row>
    <row r="679" spans="1:3">
      <c r="A679" s="25" t="s">
        <v>1240</v>
      </c>
      <c r="B679" s="28">
        <v>250.56</v>
      </c>
      <c r="C679" s="27">
        <f t="shared" si="10"/>
        <v>7.4773718184015681E-4</v>
      </c>
    </row>
    <row r="680" spans="1:3">
      <c r="A680" s="25" t="s">
        <v>1241</v>
      </c>
      <c r="B680" s="28">
        <v>0</v>
      </c>
      <c r="C680" s="27">
        <f t="shared" si="10"/>
        <v>0</v>
      </c>
    </row>
    <row r="681" spans="1:3">
      <c r="A681" s="25" t="s">
        <v>1242</v>
      </c>
      <c r="B681" s="28">
        <v>0</v>
      </c>
      <c r="C681" s="27">
        <f t="shared" si="10"/>
        <v>0</v>
      </c>
    </row>
    <row r="682" spans="1:3">
      <c r="A682" s="25" t="s">
        <v>1243</v>
      </c>
      <c r="B682" s="28">
        <v>250.56</v>
      </c>
      <c r="C682" s="27">
        <f t="shared" si="10"/>
        <v>7.4773718184015681E-4</v>
      </c>
    </row>
    <row r="683" spans="1:3">
      <c r="A683" s="25" t="s">
        <v>1244</v>
      </c>
      <c r="B683" s="28">
        <v>250.56</v>
      </c>
      <c r="C683" s="27">
        <f t="shared" ref="C683:C746" si="11">IFERROR(B683/$S$2,"")</f>
        <v>7.4773718184015681E-4</v>
      </c>
    </row>
    <row r="684" spans="1:3">
      <c r="A684" s="25" t="s">
        <v>1245</v>
      </c>
      <c r="B684" s="28">
        <v>250.56</v>
      </c>
      <c r="C684" s="27">
        <f t="shared" si="11"/>
        <v>7.4773718184015681E-4</v>
      </c>
    </row>
    <row r="685" spans="1:3">
      <c r="A685" s="25" t="s">
        <v>1246</v>
      </c>
      <c r="B685" s="28">
        <v>250.56</v>
      </c>
      <c r="C685" s="27">
        <f t="shared" si="11"/>
        <v>7.4773718184015681E-4</v>
      </c>
    </row>
    <row r="686" spans="1:3">
      <c r="A686" s="25" t="s">
        <v>1247</v>
      </c>
      <c r="B686" s="28">
        <v>250.56</v>
      </c>
      <c r="C686" s="27">
        <f t="shared" si="11"/>
        <v>7.4773718184015681E-4</v>
      </c>
    </row>
    <row r="687" spans="1:3">
      <c r="A687" s="25" t="s">
        <v>1248</v>
      </c>
      <c r="B687" s="28">
        <v>250.56</v>
      </c>
      <c r="C687" s="27">
        <f t="shared" si="11"/>
        <v>7.4773718184015681E-4</v>
      </c>
    </row>
    <row r="688" spans="1:3">
      <c r="A688" s="25" t="s">
        <v>1249</v>
      </c>
      <c r="B688" s="28">
        <v>250.56</v>
      </c>
      <c r="C688" s="27">
        <f t="shared" si="11"/>
        <v>7.4773718184015681E-4</v>
      </c>
    </row>
    <row r="689" spans="1:3">
      <c r="A689" s="25" t="s">
        <v>1250</v>
      </c>
      <c r="B689" s="28">
        <v>250.56</v>
      </c>
      <c r="C689" s="27">
        <f t="shared" si="11"/>
        <v>7.4773718184015681E-4</v>
      </c>
    </row>
    <row r="690" spans="1:3">
      <c r="A690" s="25" t="s">
        <v>1251</v>
      </c>
      <c r="B690" s="28">
        <v>219.24</v>
      </c>
      <c r="C690" s="27">
        <f t="shared" si="11"/>
        <v>6.5427003411013722E-4</v>
      </c>
    </row>
    <row r="691" spans="1:3">
      <c r="A691" s="25" t="s">
        <v>1252</v>
      </c>
      <c r="B691" s="28">
        <v>0</v>
      </c>
      <c r="C691" s="27">
        <f t="shared" si="11"/>
        <v>0</v>
      </c>
    </row>
    <row r="692" spans="1:3">
      <c r="A692" s="25" t="s">
        <v>1253</v>
      </c>
      <c r="B692" s="28">
        <v>219.24</v>
      </c>
      <c r="C692" s="27">
        <f t="shared" si="11"/>
        <v>6.5427003411013722E-4</v>
      </c>
    </row>
    <row r="693" spans="1:3">
      <c r="A693" s="25" t="s">
        <v>1254</v>
      </c>
      <c r="B693" s="28">
        <v>250.56</v>
      </c>
      <c r="C693" s="27">
        <f t="shared" si="11"/>
        <v>7.4773718184015681E-4</v>
      </c>
    </row>
    <row r="694" spans="1:3">
      <c r="A694" s="25" t="s">
        <v>1255</v>
      </c>
      <c r="B694" s="28">
        <v>250.56</v>
      </c>
      <c r="C694" s="27">
        <f t="shared" si="11"/>
        <v>7.4773718184015681E-4</v>
      </c>
    </row>
    <row r="695" spans="1:3">
      <c r="A695" s="25" t="s">
        <v>1256</v>
      </c>
      <c r="B695" s="28">
        <v>250.56</v>
      </c>
      <c r="C695" s="27">
        <f t="shared" si="11"/>
        <v>7.4773718184015681E-4</v>
      </c>
    </row>
    <row r="696" spans="1:3">
      <c r="A696" s="25" t="s">
        <v>1257</v>
      </c>
      <c r="B696" s="28">
        <v>250.56</v>
      </c>
      <c r="C696" s="27">
        <f t="shared" si="11"/>
        <v>7.4773718184015681E-4</v>
      </c>
    </row>
    <row r="697" spans="1:3">
      <c r="A697" s="25" t="s">
        <v>1258</v>
      </c>
      <c r="B697" s="28">
        <v>250.56</v>
      </c>
      <c r="C697" s="27">
        <f t="shared" si="11"/>
        <v>7.4773718184015681E-4</v>
      </c>
    </row>
    <row r="698" spans="1:3">
      <c r="A698" s="25" t="s">
        <v>1259</v>
      </c>
      <c r="B698" s="28">
        <v>250.56</v>
      </c>
      <c r="C698" s="27">
        <f t="shared" si="11"/>
        <v>7.4773718184015681E-4</v>
      </c>
    </row>
    <row r="699" spans="1:3">
      <c r="A699" s="25" t="s">
        <v>1260</v>
      </c>
      <c r="B699" s="28">
        <v>250.56</v>
      </c>
      <c r="C699" s="27">
        <f t="shared" si="11"/>
        <v>7.4773718184015681E-4</v>
      </c>
    </row>
    <row r="700" spans="1:3">
      <c r="A700" s="25" t="s">
        <v>1261</v>
      </c>
      <c r="B700" s="28">
        <v>0</v>
      </c>
      <c r="C700" s="27">
        <f t="shared" si="11"/>
        <v>0</v>
      </c>
    </row>
    <row r="701" spans="1:3">
      <c r="A701" s="25" t="s">
        <v>1262</v>
      </c>
      <c r="B701" s="28">
        <v>0</v>
      </c>
      <c r="C701" s="27">
        <f t="shared" si="11"/>
        <v>0</v>
      </c>
    </row>
    <row r="702" spans="1:3">
      <c r="A702" s="25" t="s">
        <v>1263</v>
      </c>
      <c r="B702" s="28">
        <v>250.56</v>
      </c>
      <c r="C702" s="27">
        <f t="shared" si="11"/>
        <v>7.4773718184015681E-4</v>
      </c>
    </row>
    <row r="703" spans="1:3">
      <c r="A703" s="25" t="s">
        <v>1264</v>
      </c>
      <c r="B703" s="28">
        <v>250.56</v>
      </c>
      <c r="C703" s="27">
        <f t="shared" si="11"/>
        <v>7.4773718184015681E-4</v>
      </c>
    </row>
    <row r="704" spans="1:3">
      <c r="A704" s="25" t="s">
        <v>1265</v>
      </c>
      <c r="B704" s="28">
        <v>250.56</v>
      </c>
      <c r="C704" s="27">
        <f t="shared" si="11"/>
        <v>7.4773718184015681E-4</v>
      </c>
    </row>
    <row r="705" spans="1:3">
      <c r="A705" s="25" t="s">
        <v>1266</v>
      </c>
      <c r="B705" s="28">
        <v>250.56</v>
      </c>
      <c r="C705" s="27">
        <f t="shared" si="11"/>
        <v>7.4773718184015681E-4</v>
      </c>
    </row>
    <row r="706" spans="1:3">
      <c r="A706" s="25" t="s">
        <v>1267</v>
      </c>
      <c r="B706" s="28">
        <v>219.24</v>
      </c>
      <c r="C706" s="27">
        <f t="shared" si="11"/>
        <v>6.5427003411013722E-4</v>
      </c>
    </row>
    <row r="707" spans="1:3">
      <c r="A707" s="25" t="s">
        <v>1268</v>
      </c>
      <c r="B707" s="28">
        <v>250.56</v>
      </c>
      <c r="C707" s="27">
        <f t="shared" si="11"/>
        <v>7.4773718184015681E-4</v>
      </c>
    </row>
    <row r="708" spans="1:3">
      <c r="A708" s="25" t="s">
        <v>1269</v>
      </c>
      <c r="B708" s="28">
        <v>250.56</v>
      </c>
      <c r="C708" s="27">
        <f t="shared" si="11"/>
        <v>7.4773718184015681E-4</v>
      </c>
    </row>
    <row r="709" spans="1:3">
      <c r="A709" s="25" t="s">
        <v>1270</v>
      </c>
      <c r="B709" s="28">
        <v>250.56</v>
      </c>
      <c r="C709" s="27">
        <f t="shared" si="11"/>
        <v>7.4773718184015681E-4</v>
      </c>
    </row>
    <row r="710" spans="1:3">
      <c r="A710" s="25" t="s">
        <v>1271</v>
      </c>
      <c r="B710" s="28">
        <v>250.56</v>
      </c>
      <c r="C710" s="27">
        <f t="shared" si="11"/>
        <v>7.4773718184015681E-4</v>
      </c>
    </row>
    <row r="711" spans="1:3">
      <c r="A711" s="25" t="s">
        <v>1272</v>
      </c>
      <c r="B711" s="28">
        <v>0</v>
      </c>
      <c r="C711" s="27">
        <f t="shared" si="11"/>
        <v>0</v>
      </c>
    </row>
    <row r="712" spans="1:3">
      <c r="A712" s="25" t="s">
        <v>1273</v>
      </c>
      <c r="B712" s="28">
        <v>250.56</v>
      </c>
      <c r="C712" s="27">
        <f t="shared" si="11"/>
        <v>7.4773718184015681E-4</v>
      </c>
    </row>
    <row r="713" spans="1:3">
      <c r="A713" s="25" t="s">
        <v>1274</v>
      </c>
      <c r="B713" s="28">
        <v>219.24</v>
      </c>
      <c r="C713" s="27">
        <f t="shared" si="11"/>
        <v>6.5427003411013722E-4</v>
      </c>
    </row>
    <row r="714" spans="1:3">
      <c r="A714" s="25" t="s">
        <v>1275</v>
      </c>
      <c r="B714" s="28">
        <v>250.56</v>
      </c>
      <c r="C714" s="27">
        <f t="shared" si="11"/>
        <v>7.4773718184015681E-4</v>
      </c>
    </row>
    <row r="715" spans="1:3">
      <c r="A715" s="25" t="s">
        <v>1276</v>
      </c>
      <c r="B715" s="28">
        <v>250.56</v>
      </c>
      <c r="C715" s="27">
        <f t="shared" si="11"/>
        <v>7.4773718184015681E-4</v>
      </c>
    </row>
    <row r="716" spans="1:3">
      <c r="A716" s="25" t="s">
        <v>1277</v>
      </c>
      <c r="B716" s="28">
        <v>250.56</v>
      </c>
      <c r="C716" s="27">
        <f t="shared" si="11"/>
        <v>7.4773718184015681E-4</v>
      </c>
    </row>
    <row r="717" spans="1:3">
      <c r="A717" s="25" t="s">
        <v>1278</v>
      </c>
      <c r="B717" s="28">
        <v>250.56</v>
      </c>
      <c r="C717" s="27">
        <f t="shared" si="11"/>
        <v>7.4773718184015681E-4</v>
      </c>
    </row>
    <row r="718" spans="1:3">
      <c r="A718" s="25" t="s">
        <v>1279</v>
      </c>
      <c r="B718" s="28">
        <v>250.56</v>
      </c>
      <c r="C718" s="27">
        <f t="shared" si="11"/>
        <v>7.4773718184015681E-4</v>
      </c>
    </row>
    <row r="719" spans="1:3">
      <c r="A719" s="25" t="s">
        <v>1280</v>
      </c>
      <c r="B719" s="28">
        <v>250.56</v>
      </c>
      <c r="C719" s="27">
        <f t="shared" si="11"/>
        <v>7.4773718184015681E-4</v>
      </c>
    </row>
    <row r="720" spans="1:3">
      <c r="A720" s="25" t="s">
        <v>1281</v>
      </c>
      <c r="B720" s="28">
        <v>0</v>
      </c>
      <c r="C720" s="27">
        <f t="shared" si="11"/>
        <v>0</v>
      </c>
    </row>
    <row r="721" spans="1:3">
      <c r="A721" s="25" t="s">
        <v>1282</v>
      </c>
      <c r="B721" s="28">
        <v>0</v>
      </c>
      <c r="C721" s="27">
        <f t="shared" si="11"/>
        <v>0</v>
      </c>
    </row>
    <row r="722" spans="1:3">
      <c r="A722" s="25" t="s">
        <v>1283</v>
      </c>
      <c r="B722" s="28">
        <v>250.56</v>
      </c>
      <c r="C722" s="27">
        <f t="shared" si="11"/>
        <v>7.4773718184015681E-4</v>
      </c>
    </row>
    <row r="723" spans="1:3">
      <c r="A723" s="25" t="s">
        <v>1284</v>
      </c>
      <c r="B723" s="28">
        <v>250.56</v>
      </c>
      <c r="C723" s="27">
        <f t="shared" si="11"/>
        <v>7.4773718184015681E-4</v>
      </c>
    </row>
    <row r="724" spans="1:3">
      <c r="A724" s="25" t="s">
        <v>1285</v>
      </c>
      <c r="B724" s="28">
        <v>250.56</v>
      </c>
      <c r="C724" s="27">
        <f t="shared" si="11"/>
        <v>7.4773718184015681E-4</v>
      </c>
    </row>
    <row r="725" spans="1:3">
      <c r="A725" s="25" t="s">
        <v>1286</v>
      </c>
      <c r="B725" s="28">
        <v>250.56</v>
      </c>
      <c r="C725" s="27">
        <f t="shared" si="11"/>
        <v>7.4773718184015681E-4</v>
      </c>
    </row>
    <row r="726" spans="1:3">
      <c r="A726" s="25" t="s">
        <v>1287</v>
      </c>
      <c r="B726" s="28">
        <v>250.56</v>
      </c>
      <c r="C726" s="27">
        <f t="shared" si="11"/>
        <v>7.4773718184015681E-4</v>
      </c>
    </row>
    <row r="727" spans="1:3">
      <c r="A727" s="25" t="s">
        <v>1288</v>
      </c>
      <c r="B727" s="28">
        <v>250.56</v>
      </c>
      <c r="C727" s="27">
        <f t="shared" si="11"/>
        <v>7.4773718184015681E-4</v>
      </c>
    </row>
    <row r="728" spans="1:3">
      <c r="A728" s="25" t="s">
        <v>1289</v>
      </c>
      <c r="B728" s="28">
        <v>250.56</v>
      </c>
      <c r="C728" s="27">
        <f t="shared" si="11"/>
        <v>7.4773718184015681E-4</v>
      </c>
    </row>
    <row r="729" spans="1:3">
      <c r="A729" s="25" t="s">
        <v>1290</v>
      </c>
      <c r="B729" s="28">
        <v>250.56</v>
      </c>
      <c r="C729" s="27">
        <f t="shared" si="11"/>
        <v>7.4773718184015681E-4</v>
      </c>
    </row>
    <row r="730" spans="1:3">
      <c r="A730" s="25" t="s">
        <v>1291</v>
      </c>
      <c r="B730" s="28">
        <v>0</v>
      </c>
      <c r="C730" s="27">
        <f t="shared" si="11"/>
        <v>0</v>
      </c>
    </row>
    <row r="731" spans="1:3">
      <c r="A731" s="25" t="s">
        <v>1292</v>
      </c>
      <c r="B731" s="28">
        <v>0</v>
      </c>
      <c r="C731" s="27">
        <f t="shared" si="11"/>
        <v>0</v>
      </c>
    </row>
    <row r="732" spans="1:3">
      <c r="A732" s="25" t="s">
        <v>1293</v>
      </c>
      <c r="B732" s="28">
        <v>250.56</v>
      </c>
      <c r="C732" s="27">
        <f t="shared" si="11"/>
        <v>7.4773718184015681E-4</v>
      </c>
    </row>
    <row r="733" spans="1:3">
      <c r="A733" s="25" t="s">
        <v>1294</v>
      </c>
      <c r="B733" s="28">
        <v>250.56</v>
      </c>
      <c r="C733" s="27">
        <f t="shared" si="11"/>
        <v>7.4773718184015681E-4</v>
      </c>
    </row>
    <row r="734" spans="1:3">
      <c r="A734" s="25" t="s">
        <v>1295</v>
      </c>
      <c r="B734" s="28">
        <v>250.56</v>
      </c>
      <c r="C734" s="27">
        <f t="shared" si="11"/>
        <v>7.4773718184015681E-4</v>
      </c>
    </row>
    <row r="735" spans="1:3">
      <c r="A735" s="25" t="s">
        <v>1296</v>
      </c>
      <c r="B735" s="28">
        <v>250.56</v>
      </c>
      <c r="C735" s="27">
        <f t="shared" si="11"/>
        <v>7.4773718184015681E-4</v>
      </c>
    </row>
    <row r="736" spans="1:3">
      <c r="A736" s="25" t="s">
        <v>1297</v>
      </c>
      <c r="B736" s="28">
        <v>250.56</v>
      </c>
      <c r="C736" s="27">
        <f t="shared" si="11"/>
        <v>7.4773718184015681E-4</v>
      </c>
    </row>
    <row r="737" spans="1:3">
      <c r="A737" s="25" t="s">
        <v>1298</v>
      </c>
      <c r="B737" s="28">
        <v>250.56</v>
      </c>
      <c r="C737" s="27">
        <f t="shared" si="11"/>
        <v>7.4773718184015681E-4</v>
      </c>
    </row>
    <row r="738" spans="1:3">
      <c r="A738" s="25" t="s">
        <v>1299</v>
      </c>
      <c r="B738" s="28">
        <v>250.56</v>
      </c>
      <c r="C738" s="27">
        <f t="shared" si="11"/>
        <v>7.4773718184015681E-4</v>
      </c>
    </row>
    <row r="739" spans="1:3">
      <c r="A739" s="25" t="s">
        <v>1300</v>
      </c>
      <c r="B739" s="28">
        <v>250.56</v>
      </c>
      <c r="C739" s="27">
        <f t="shared" si="11"/>
        <v>7.4773718184015681E-4</v>
      </c>
    </row>
    <row r="740" spans="1:3">
      <c r="A740" s="25" t="s">
        <v>1301</v>
      </c>
      <c r="B740" s="28">
        <v>250.56</v>
      </c>
      <c r="C740" s="27">
        <f t="shared" si="11"/>
        <v>7.4773718184015681E-4</v>
      </c>
    </row>
    <row r="741" spans="1:3">
      <c r="A741" s="25" t="s">
        <v>1302</v>
      </c>
      <c r="B741" s="28">
        <v>0</v>
      </c>
      <c r="C741" s="27">
        <f t="shared" si="11"/>
        <v>0</v>
      </c>
    </row>
    <row r="742" spans="1:3">
      <c r="A742" s="25" t="s">
        <v>1303</v>
      </c>
      <c r="B742" s="28">
        <v>250.56</v>
      </c>
      <c r="C742" s="27">
        <f t="shared" si="11"/>
        <v>7.4773718184015681E-4</v>
      </c>
    </row>
    <row r="743" spans="1:3">
      <c r="A743" s="25" t="s">
        <v>1304</v>
      </c>
      <c r="B743" s="28">
        <v>250.56</v>
      </c>
      <c r="C743" s="27">
        <f t="shared" si="11"/>
        <v>7.4773718184015681E-4</v>
      </c>
    </row>
    <row r="744" spans="1:3">
      <c r="A744" s="25" t="s">
        <v>1305</v>
      </c>
      <c r="B744" s="28">
        <v>250.56</v>
      </c>
      <c r="C744" s="27">
        <f t="shared" si="11"/>
        <v>7.4773718184015681E-4</v>
      </c>
    </row>
    <row r="745" spans="1:3">
      <c r="A745" s="25" t="s">
        <v>1306</v>
      </c>
      <c r="B745" s="28">
        <v>250.56</v>
      </c>
      <c r="C745" s="27">
        <f t="shared" si="11"/>
        <v>7.4773718184015681E-4</v>
      </c>
    </row>
    <row r="746" spans="1:3">
      <c r="A746" s="25" t="s">
        <v>1307</v>
      </c>
      <c r="B746" s="28">
        <v>250.56</v>
      </c>
      <c r="C746" s="27">
        <f t="shared" si="11"/>
        <v>7.4773718184015681E-4</v>
      </c>
    </row>
    <row r="747" spans="1:3">
      <c r="A747" s="25" t="s">
        <v>1308</v>
      </c>
      <c r="B747" s="28">
        <v>250.56</v>
      </c>
      <c r="C747" s="27">
        <f t="shared" ref="C747:C810" si="12">IFERROR(B747/$S$2,"")</f>
        <v>7.4773718184015681E-4</v>
      </c>
    </row>
    <row r="748" spans="1:3">
      <c r="A748" s="25" t="s">
        <v>1309</v>
      </c>
      <c r="B748" s="28">
        <v>250.56</v>
      </c>
      <c r="C748" s="27">
        <f t="shared" si="12"/>
        <v>7.4773718184015681E-4</v>
      </c>
    </row>
    <row r="749" spans="1:3">
      <c r="A749" s="25" t="s">
        <v>1310</v>
      </c>
      <c r="B749" s="28">
        <v>250.56</v>
      </c>
      <c r="C749" s="27">
        <f t="shared" si="12"/>
        <v>7.4773718184015681E-4</v>
      </c>
    </row>
    <row r="750" spans="1:3">
      <c r="A750" s="25" t="s">
        <v>1311</v>
      </c>
      <c r="B750" s="28">
        <v>250.56</v>
      </c>
      <c r="C750" s="27">
        <f t="shared" si="12"/>
        <v>7.4773718184015681E-4</v>
      </c>
    </row>
    <row r="751" spans="1:3">
      <c r="A751" s="25" t="s">
        <v>1312</v>
      </c>
      <c r="B751" s="28">
        <v>0</v>
      </c>
      <c r="C751" s="27">
        <f t="shared" si="12"/>
        <v>0</v>
      </c>
    </row>
    <row r="752" spans="1:3">
      <c r="A752" s="25" t="s">
        <v>1313</v>
      </c>
      <c r="B752" s="28">
        <v>250.56</v>
      </c>
      <c r="C752" s="27">
        <f t="shared" si="12"/>
        <v>7.4773718184015681E-4</v>
      </c>
    </row>
    <row r="753" spans="1:3">
      <c r="A753" s="25" t="s">
        <v>1314</v>
      </c>
      <c r="B753" s="28">
        <v>250.56</v>
      </c>
      <c r="C753" s="27">
        <f t="shared" si="12"/>
        <v>7.4773718184015681E-4</v>
      </c>
    </row>
    <row r="754" spans="1:3">
      <c r="A754" s="25" t="s">
        <v>1315</v>
      </c>
      <c r="B754" s="28">
        <v>250.56</v>
      </c>
      <c r="C754" s="27">
        <f t="shared" si="12"/>
        <v>7.4773718184015681E-4</v>
      </c>
    </row>
    <row r="755" spans="1:3">
      <c r="A755" s="25" t="s">
        <v>1316</v>
      </c>
      <c r="B755" s="28">
        <v>250.56</v>
      </c>
      <c r="C755" s="27">
        <f t="shared" si="12"/>
        <v>7.4773718184015681E-4</v>
      </c>
    </row>
    <row r="756" spans="1:3">
      <c r="A756" s="25" t="s">
        <v>1317</v>
      </c>
      <c r="B756" s="28">
        <v>250.56</v>
      </c>
      <c r="C756" s="27">
        <f t="shared" si="12"/>
        <v>7.4773718184015681E-4</v>
      </c>
    </row>
    <row r="757" spans="1:3">
      <c r="A757" s="25" t="s">
        <v>1318</v>
      </c>
      <c r="B757" s="28">
        <v>250.56</v>
      </c>
      <c r="C757" s="27">
        <f t="shared" si="12"/>
        <v>7.4773718184015681E-4</v>
      </c>
    </row>
    <row r="758" spans="1:3">
      <c r="A758" s="25" t="s">
        <v>1319</v>
      </c>
      <c r="B758" s="28">
        <v>250.56</v>
      </c>
      <c r="C758" s="27">
        <f t="shared" si="12"/>
        <v>7.4773718184015681E-4</v>
      </c>
    </row>
    <row r="759" spans="1:3">
      <c r="A759" s="25" t="s">
        <v>1320</v>
      </c>
      <c r="B759" s="28">
        <v>250.56</v>
      </c>
      <c r="C759" s="27">
        <f t="shared" si="12"/>
        <v>7.4773718184015681E-4</v>
      </c>
    </row>
    <row r="760" spans="1:3">
      <c r="A760" s="25" t="s">
        <v>1321</v>
      </c>
      <c r="B760" s="28">
        <v>0</v>
      </c>
      <c r="C760" s="27">
        <f t="shared" si="12"/>
        <v>0</v>
      </c>
    </row>
    <row r="761" spans="1:3">
      <c r="A761" s="25" t="s">
        <v>1322</v>
      </c>
      <c r="B761" s="28">
        <v>0</v>
      </c>
      <c r="C761" s="27">
        <f t="shared" si="12"/>
        <v>0</v>
      </c>
    </row>
    <row r="762" spans="1:3">
      <c r="A762" s="25" t="s">
        <v>1323</v>
      </c>
      <c r="B762" s="28">
        <v>250.56</v>
      </c>
      <c r="C762" s="27">
        <f t="shared" si="12"/>
        <v>7.4773718184015681E-4</v>
      </c>
    </row>
    <row r="763" spans="1:3">
      <c r="A763" s="25" t="s">
        <v>1324</v>
      </c>
      <c r="B763" s="28">
        <v>250.56</v>
      </c>
      <c r="C763" s="27">
        <f t="shared" si="12"/>
        <v>7.4773718184015681E-4</v>
      </c>
    </row>
    <row r="764" spans="1:3">
      <c r="A764" s="25" t="s">
        <v>1325</v>
      </c>
      <c r="B764" s="28">
        <v>250.56</v>
      </c>
      <c r="C764" s="27">
        <f t="shared" si="12"/>
        <v>7.4773718184015681E-4</v>
      </c>
    </row>
    <row r="765" spans="1:3">
      <c r="A765" s="25" t="s">
        <v>1326</v>
      </c>
      <c r="B765" s="28">
        <v>250.56</v>
      </c>
      <c r="C765" s="27">
        <f t="shared" si="12"/>
        <v>7.4773718184015681E-4</v>
      </c>
    </row>
    <row r="766" spans="1:3">
      <c r="A766" s="25" t="s">
        <v>1327</v>
      </c>
      <c r="B766" s="28">
        <v>250.56</v>
      </c>
      <c r="C766" s="27">
        <f t="shared" si="12"/>
        <v>7.4773718184015681E-4</v>
      </c>
    </row>
    <row r="767" spans="1:3">
      <c r="A767" s="25" t="s">
        <v>1328</v>
      </c>
      <c r="B767" s="28">
        <v>250.56</v>
      </c>
      <c r="C767" s="27">
        <f t="shared" si="12"/>
        <v>7.4773718184015681E-4</v>
      </c>
    </row>
    <row r="768" spans="1:3">
      <c r="A768" s="25" t="s">
        <v>1329</v>
      </c>
      <c r="B768" s="28">
        <v>250.56</v>
      </c>
      <c r="C768" s="27">
        <f t="shared" si="12"/>
        <v>7.4773718184015681E-4</v>
      </c>
    </row>
    <row r="769" spans="1:3">
      <c r="A769" s="25" t="s">
        <v>1330</v>
      </c>
      <c r="B769" s="28">
        <v>250.56</v>
      </c>
      <c r="C769" s="27">
        <f t="shared" si="12"/>
        <v>7.4773718184015681E-4</v>
      </c>
    </row>
    <row r="770" spans="1:3">
      <c r="A770" s="25" t="s">
        <v>1331</v>
      </c>
      <c r="B770" s="28">
        <v>250.56</v>
      </c>
      <c r="C770" s="27">
        <f t="shared" si="12"/>
        <v>7.4773718184015681E-4</v>
      </c>
    </row>
    <row r="771" spans="1:3">
      <c r="A771" s="25" t="s">
        <v>1332</v>
      </c>
      <c r="B771" s="28">
        <v>0</v>
      </c>
      <c r="C771" s="27">
        <f t="shared" si="12"/>
        <v>0</v>
      </c>
    </row>
    <row r="772" spans="1:3">
      <c r="A772" s="25" t="s">
        <v>1333</v>
      </c>
      <c r="B772" s="28">
        <v>250.56</v>
      </c>
      <c r="C772" s="27">
        <f t="shared" si="12"/>
        <v>7.4773718184015681E-4</v>
      </c>
    </row>
    <row r="773" spans="1:3">
      <c r="A773" s="25" t="s">
        <v>1334</v>
      </c>
      <c r="B773" s="28">
        <v>250.56</v>
      </c>
      <c r="C773" s="27">
        <f t="shared" si="12"/>
        <v>7.4773718184015681E-4</v>
      </c>
    </row>
    <row r="774" spans="1:3">
      <c r="A774" s="25" t="s">
        <v>1335</v>
      </c>
      <c r="B774" s="28">
        <v>250.56</v>
      </c>
      <c r="C774" s="27">
        <f t="shared" si="12"/>
        <v>7.4773718184015681E-4</v>
      </c>
    </row>
    <row r="775" spans="1:3">
      <c r="A775" s="25" t="s">
        <v>1336</v>
      </c>
      <c r="B775" s="28">
        <v>250.56</v>
      </c>
      <c r="C775" s="27">
        <f t="shared" si="12"/>
        <v>7.4773718184015681E-4</v>
      </c>
    </row>
    <row r="776" spans="1:3">
      <c r="A776" s="25" t="s">
        <v>1337</v>
      </c>
      <c r="B776" s="28">
        <v>250.56</v>
      </c>
      <c r="C776" s="27">
        <f t="shared" si="12"/>
        <v>7.4773718184015681E-4</v>
      </c>
    </row>
    <row r="777" spans="1:3">
      <c r="A777" s="25" t="s">
        <v>1338</v>
      </c>
      <c r="B777" s="28">
        <v>250.56</v>
      </c>
      <c r="C777" s="27">
        <f t="shared" si="12"/>
        <v>7.4773718184015681E-4</v>
      </c>
    </row>
    <row r="778" spans="1:3">
      <c r="A778" s="25" t="s">
        <v>1339</v>
      </c>
      <c r="B778" s="28">
        <v>250.56</v>
      </c>
      <c r="C778" s="27">
        <f t="shared" si="12"/>
        <v>7.4773718184015681E-4</v>
      </c>
    </row>
    <row r="779" spans="1:3">
      <c r="A779" s="25" t="s">
        <v>1340</v>
      </c>
      <c r="B779" s="28">
        <v>250.56</v>
      </c>
      <c r="C779" s="27">
        <f t="shared" si="12"/>
        <v>7.4773718184015681E-4</v>
      </c>
    </row>
    <row r="780" spans="1:3">
      <c r="A780" s="25" t="s">
        <v>1341</v>
      </c>
      <c r="B780" s="28">
        <v>0</v>
      </c>
      <c r="C780" s="27">
        <f t="shared" si="12"/>
        <v>0</v>
      </c>
    </row>
    <row r="781" spans="1:3">
      <c r="A781" s="25" t="s">
        <v>1342</v>
      </c>
      <c r="B781" s="28">
        <v>0</v>
      </c>
      <c r="C781" s="27">
        <f t="shared" si="12"/>
        <v>0</v>
      </c>
    </row>
    <row r="782" spans="1:3">
      <c r="A782" s="25" t="s">
        <v>1343</v>
      </c>
      <c r="B782" s="28">
        <v>234.9</v>
      </c>
      <c r="C782" s="27">
        <f t="shared" si="12"/>
        <v>7.0100360797514707E-4</v>
      </c>
    </row>
    <row r="783" spans="1:3">
      <c r="A783" s="25" t="s">
        <v>1344</v>
      </c>
      <c r="B783" s="28">
        <v>234.9</v>
      </c>
      <c r="C783" s="27">
        <f t="shared" si="12"/>
        <v>7.0100360797514707E-4</v>
      </c>
    </row>
    <row r="784" spans="1:3">
      <c r="A784" s="25" t="s">
        <v>1345</v>
      </c>
      <c r="B784" s="28">
        <v>234.9</v>
      </c>
      <c r="C784" s="27">
        <f t="shared" si="12"/>
        <v>7.0100360797514707E-4</v>
      </c>
    </row>
    <row r="785" spans="1:3">
      <c r="A785" s="25" t="s">
        <v>1346</v>
      </c>
      <c r="B785" s="28">
        <v>234.9</v>
      </c>
      <c r="C785" s="27">
        <f t="shared" si="12"/>
        <v>7.0100360797514707E-4</v>
      </c>
    </row>
    <row r="786" spans="1:3">
      <c r="A786" s="25" t="s">
        <v>1347</v>
      </c>
      <c r="B786" s="28">
        <v>130.5</v>
      </c>
      <c r="C786" s="27">
        <f t="shared" si="12"/>
        <v>3.8944644887508169E-4</v>
      </c>
    </row>
    <row r="787" spans="1:3">
      <c r="A787" s="25" t="s">
        <v>1348</v>
      </c>
      <c r="B787" s="28">
        <v>156.6</v>
      </c>
      <c r="C787" s="27">
        <f t="shared" si="12"/>
        <v>4.6733573865009799E-4</v>
      </c>
    </row>
    <row r="788" spans="1:3">
      <c r="A788" s="25" t="s">
        <v>1349</v>
      </c>
      <c r="B788" s="28">
        <v>182.7</v>
      </c>
      <c r="C788" s="27">
        <f t="shared" si="12"/>
        <v>5.4522502842511435E-4</v>
      </c>
    </row>
    <row r="789" spans="1:3">
      <c r="A789" s="25" t="s">
        <v>1350</v>
      </c>
      <c r="B789" s="28">
        <v>234.9</v>
      </c>
      <c r="C789" s="27">
        <f t="shared" si="12"/>
        <v>7.0100360797514707E-4</v>
      </c>
    </row>
    <row r="790" spans="1:3">
      <c r="A790" s="25" t="s">
        <v>1351</v>
      </c>
      <c r="B790" s="28">
        <v>208.8</v>
      </c>
      <c r="C790" s="27">
        <f t="shared" si="12"/>
        <v>6.2311431820013077E-4</v>
      </c>
    </row>
    <row r="791" spans="1:3">
      <c r="A791" s="25" t="s">
        <v>1352</v>
      </c>
      <c r="B791" s="28">
        <v>234.9</v>
      </c>
      <c r="C791" s="27">
        <f t="shared" si="12"/>
        <v>7.0100360797514707E-4</v>
      </c>
    </row>
    <row r="792" spans="1:3">
      <c r="A792" s="25" t="s">
        <v>1353</v>
      </c>
      <c r="B792" s="28">
        <v>234.9</v>
      </c>
      <c r="C792" s="27">
        <f t="shared" si="12"/>
        <v>7.0100360797514707E-4</v>
      </c>
    </row>
    <row r="793" spans="1:3">
      <c r="A793" s="25" t="s">
        <v>1354</v>
      </c>
      <c r="B793" s="28">
        <v>234.9</v>
      </c>
      <c r="C793" s="27">
        <f t="shared" si="12"/>
        <v>7.0100360797514707E-4</v>
      </c>
    </row>
    <row r="794" spans="1:3">
      <c r="A794" s="25" t="s">
        <v>1355</v>
      </c>
      <c r="B794" s="28">
        <v>234.9</v>
      </c>
      <c r="C794" s="27">
        <f t="shared" si="12"/>
        <v>7.0100360797514707E-4</v>
      </c>
    </row>
    <row r="795" spans="1:3">
      <c r="A795" s="25" t="s">
        <v>1356</v>
      </c>
      <c r="B795" s="28">
        <v>234.9</v>
      </c>
      <c r="C795" s="27">
        <f t="shared" si="12"/>
        <v>7.0100360797514707E-4</v>
      </c>
    </row>
    <row r="796" spans="1:3">
      <c r="A796" s="25" t="s">
        <v>1357</v>
      </c>
      <c r="B796" s="28">
        <v>234.9</v>
      </c>
      <c r="C796" s="27">
        <f t="shared" si="12"/>
        <v>7.0100360797514707E-4</v>
      </c>
    </row>
    <row r="797" spans="1:3">
      <c r="A797" s="25" t="s">
        <v>1358</v>
      </c>
      <c r="B797" s="28">
        <v>208.8</v>
      </c>
      <c r="C797" s="27">
        <f t="shared" si="12"/>
        <v>6.2311431820013077E-4</v>
      </c>
    </row>
    <row r="798" spans="1:3">
      <c r="A798" s="25" t="s">
        <v>1359</v>
      </c>
      <c r="B798" s="28">
        <v>234.9</v>
      </c>
      <c r="C798" s="27">
        <f t="shared" si="12"/>
        <v>7.0100360797514707E-4</v>
      </c>
    </row>
    <row r="799" spans="1:3">
      <c r="A799" s="25" t="s">
        <v>1360</v>
      </c>
      <c r="B799" s="28">
        <v>234.9</v>
      </c>
      <c r="C799" s="27">
        <f t="shared" si="12"/>
        <v>7.0100360797514707E-4</v>
      </c>
    </row>
    <row r="800" spans="1:3">
      <c r="A800" s="25" t="s">
        <v>1361</v>
      </c>
      <c r="B800" s="28">
        <v>208.8</v>
      </c>
      <c r="C800" s="27">
        <f t="shared" si="12"/>
        <v>6.2311431820013077E-4</v>
      </c>
    </row>
    <row r="801" spans="1:3">
      <c r="A801" s="25" t="s">
        <v>1362</v>
      </c>
      <c r="B801" s="28">
        <v>0</v>
      </c>
      <c r="C801" s="27">
        <f t="shared" si="12"/>
        <v>0</v>
      </c>
    </row>
    <row r="802" spans="1:3">
      <c r="A802" s="25" t="s">
        <v>1363</v>
      </c>
      <c r="B802" s="28">
        <v>268.685</v>
      </c>
      <c r="C802" s="27">
        <f t="shared" si="12"/>
        <v>8.0182696640614039E-4</v>
      </c>
    </row>
    <row r="803" spans="1:3">
      <c r="A803" s="25" t="s">
        <v>1364</v>
      </c>
      <c r="B803" s="28">
        <v>268.685</v>
      </c>
      <c r="C803" s="27">
        <f t="shared" si="12"/>
        <v>8.0182696640614039E-4</v>
      </c>
    </row>
    <row r="804" spans="1:3">
      <c r="A804" s="25" t="s">
        <v>1365</v>
      </c>
      <c r="B804" s="28">
        <v>0</v>
      </c>
      <c r="C804" s="27">
        <f t="shared" si="12"/>
        <v>0</v>
      </c>
    </row>
    <row r="805" spans="1:3">
      <c r="A805" s="25" t="s">
        <v>1366</v>
      </c>
      <c r="B805" s="28">
        <v>268.685</v>
      </c>
      <c r="C805" s="27">
        <f t="shared" si="12"/>
        <v>8.0182696640614039E-4</v>
      </c>
    </row>
    <row r="806" spans="1:3">
      <c r="A806" s="25" t="s">
        <v>1367</v>
      </c>
      <c r="B806" s="28">
        <v>268.685</v>
      </c>
      <c r="C806" s="27">
        <f t="shared" si="12"/>
        <v>8.0182696640614039E-4</v>
      </c>
    </row>
    <row r="807" spans="1:3">
      <c r="A807" s="25" t="s">
        <v>1368</v>
      </c>
      <c r="B807" s="28">
        <v>268.685</v>
      </c>
      <c r="C807" s="27">
        <f t="shared" si="12"/>
        <v>8.0182696640614039E-4</v>
      </c>
    </row>
    <row r="808" spans="1:3">
      <c r="A808" s="25" t="s">
        <v>1369</v>
      </c>
      <c r="B808" s="28">
        <v>252.88</v>
      </c>
      <c r="C808" s="27">
        <f t="shared" si="12"/>
        <v>7.5466067426460269E-4</v>
      </c>
    </row>
    <row r="809" spans="1:3">
      <c r="A809" s="25" t="s">
        <v>1370</v>
      </c>
      <c r="B809" s="28">
        <v>252.88</v>
      </c>
      <c r="C809" s="27">
        <f t="shared" si="12"/>
        <v>7.5466067426460269E-4</v>
      </c>
    </row>
    <row r="810" spans="1:3">
      <c r="A810" s="25" t="s">
        <v>1371</v>
      </c>
      <c r="B810" s="28">
        <v>252.88</v>
      </c>
      <c r="C810" s="27">
        <f t="shared" si="12"/>
        <v>7.5466067426460269E-4</v>
      </c>
    </row>
    <row r="811" spans="1:3">
      <c r="A811" s="25" t="s">
        <v>1372</v>
      </c>
      <c r="B811" s="28">
        <v>0</v>
      </c>
      <c r="C811" s="27">
        <f t="shared" ref="C811:C874" si="13">IFERROR(B811/$S$2,"")</f>
        <v>0</v>
      </c>
    </row>
    <row r="812" spans="1:3">
      <c r="A812" s="25" t="s">
        <v>1373</v>
      </c>
      <c r="B812" s="28">
        <v>252.88</v>
      </c>
      <c r="C812" s="27">
        <f t="shared" si="13"/>
        <v>7.5466067426460269E-4</v>
      </c>
    </row>
    <row r="813" spans="1:3">
      <c r="A813" s="25" t="s">
        <v>1374</v>
      </c>
      <c r="B813" s="28">
        <v>252.88</v>
      </c>
      <c r="C813" s="27">
        <f t="shared" si="13"/>
        <v>7.5466067426460269E-4</v>
      </c>
    </row>
    <row r="814" spans="1:3">
      <c r="A814" s="25" t="s">
        <v>1375</v>
      </c>
      <c r="B814" s="28">
        <v>252.88</v>
      </c>
      <c r="C814" s="27">
        <f t="shared" si="13"/>
        <v>7.5466067426460269E-4</v>
      </c>
    </row>
    <row r="815" spans="1:3">
      <c r="A815" s="25" t="s">
        <v>1376</v>
      </c>
      <c r="B815" s="28">
        <v>252.88</v>
      </c>
      <c r="C815" s="27">
        <f t="shared" si="13"/>
        <v>7.5466067426460269E-4</v>
      </c>
    </row>
    <row r="816" spans="1:3">
      <c r="A816" s="25" t="s">
        <v>1377</v>
      </c>
      <c r="B816" s="28">
        <v>252.88</v>
      </c>
      <c r="C816" s="27">
        <f t="shared" si="13"/>
        <v>7.5466067426460269E-4</v>
      </c>
    </row>
    <row r="817" spans="1:3">
      <c r="A817" s="25" t="s">
        <v>1378</v>
      </c>
      <c r="B817" s="28">
        <v>252.88</v>
      </c>
      <c r="C817" s="27">
        <f t="shared" si="13"/>
        <v>7.5466067426460269E-4</v>
      </c>
    </row>
    <row r="818" spans="1:3">
      <c r="A818" s="25" t="s">
        <v>1379</v>
      </c>
      <c r="B818" s="28">
        <v>252.88</v>
      </c>
      <c r="C818" s="27">
        <f t="shared" si="13"/>
        <v>7.5466067426460269E-4</v>
      </c>
    </row>
    <row r="819" spans="1:3">
      <c r="A819" s="25" t="s">
        <v>1380</v>
      </c>
      <c r="B819" s="28">
        <v>252.88</v>
      </c>
      <c r="C819" s="27">
        <f t="shared" si="13"/>
        <v>7.5466067426460269E-4</v>
      </c>
    </row>
    <row r="820" spans="1:3">
      <c r="A820" s="25" t="s">
        <v>1381</v>
      </c>
      <c r="B820" s="28">
        <v>0</v>
      </c>
      <c r="C820" s="27">
        <f t="shared" si="13"/>
        <v>0</v>
      </c>
    </row>
    <row r="821" spans="1:3">
      <c r="A821" s="25" t="s">
        <v>1382</v>
      </c>
      <c r="B821" s="28">
        <v>0</v>
      </c>
      <c r="C821" s="27">
        <f t="shared" si="13"/>
        <v>0</v>
      </c>
    </row>
    <row r="822" spans="1:3">
      <c r="A822" s="25" t="s">
        <v>1383</v>
      </c>
      <c r="B822" s="28">
        <v>268.685</v>
      </c>
      <c r="C822" s="27">
        <f t="shared" si="13"/>
        <v>8.0182696640614039E-4</v>
      </c>
    </row>
    <row r="823" spans="1:3">
      <c r="A823" s="25" t="s">
        <v>1384</v>
      </c>
      <c r="B823" s="28">
        <v>268.685</v>
      </c>
      <c r="C823" s="27">
        <f t="shared" si="13"/>
        <v>8.0182696640614039E-4</v>
      </c>
    </row>
    <row r="824" spans="1:3">
      <c r="A824" s="25" t="s">
        <v>1385</v>
      </c>
      <c r="B824" s="28">
        <v>268.685</v>
      </c>
      <c r="C824" s="27">
        <f t="shared" si="13"/>
        <v>8.0182696640614039E-4</v>
      </c>
    </row>
    <row r="825" spans="1:3">
      <c r="A825" s="25" t="s">
        <v>1386</v>
      </c>
      <c r="B825" s="28">
        <v>268.685</v>
      </c>
      <c r="C825" s="27">
        <f t="shared" si="13"/>
        <v>8.0182696640614039E-4</v>
      </c>
    </row>
    <row r="826" spans="1:3">
      <c r="A826" s="25" t="s">
        <v>1387</v>
      </c>
      <c r="B826" s="28">
        <v>268.685</v>
      </c>
      <c r="C826" s="27">
        <f t="shared" si="13"/>
        <v>8.0182696640614039E-4</v>
      </c>
    </row>
    <row r="827" spans="1:3">
      <c r="A827" s="25" t="s">
        <v>1388</v>
      </c>
      <c r="B827" s="28">
        <v>252.88</v>
      </c>
      <c r="C827" s="27">
        <f t="shared" si="13"/>
        <v>7.5466067426460269E-4</v>
      </c>
    </row>
    <row r="828" spans="1:3">
      <c r="A828" s="25" t="s">
        <v>1389</v>
      </c>
      <c r="B828" s="28">
        <v>252.88</v>
      </c>
      <c r="C828" s="27">
        <f t="shared" si="13"/>
        <v>7.5466067426460269E-4</v>
      </c>
    </row>
    <row r="829" spans="1:3">
      <c r="A829" s="25" t="s">
        <v>1390</v>
      </c>
      <c r="B829" s="28">
        <v>252.88</v>
      </c>
      <c r="C829" s="27">
        <f t="shared" si="13"/>
        <v>7.5466067426460269E-4</v>
      </c>
    </row>
    <row r="830" spans="1:3">
      <c r="A830" s="25" t="s">
        <v>1391</v>
      </c>
      <c r="B830" s="28">
        <v>0</v>
      </c>
      <c r="C830" s="27">
        <f t="shared" si="13"/>
        <v>0</v>
      </c>
    </row>
    <row r="831" spans="1:3">
      <c r="A831" s="25" t="s">
        <v>1392</v>
      </c>
      <c r="B831" s="28">
        <v>0</v>
      </c>
      <c r="C831" s="27">
        <f t="shared" si="13"/>
        <v>0</v>
      </c>
    </row>
    <row r="832" spans="1:3">
      <c r="A832" s="25" t="s">
        <v>1393</v>
      </c>
      <c r="B832" s="28">
        <v>252.88</v>
      </c>
      <c r="C832" s="27">
        <f t="shared" si="13"/>
        <v>7.5466067426460269E-4</v>
      </c>
    </row>
    <row r="833" spans="1:3">
      <c r="A833" s="25" t="s">
        <v>1394</v>
      </c>
      <c r="B833" s="28">
        <v>252.88</v>
      </c>
      <c r="C833" s="27">
        <f t="shared" si="13"/>
        <v>7.5466067426460269E-4</v>
      </c>
    </row>
    <row r="834" spans="1:3">
      <c r="A834" s="25" t="s">
        <v>1395</v>
      </c>
      <c r="B834" s="28">
        <v>252.88</v>
      </c>
      <c r="C834" s="27">
        <f t="shared" si="13"/>
        <v>7.5466067426460269E-4</v>
      </c>
    </row>
    <row r="835" spans="1:3">
      <c r="A835" s="25" t="s">
        <v>1396</v>
      </c>
      <c r="B835" s="28">
        <v>252.88</v>
      </c>
      <c r="C835" s="27">
        <f t="shared" si="13"/>
        <v>7.5466067426460269E-4</v>
      </c>
    </row>
    <row r="836" spans="1:3">
      <c r="A836" s="25" t="s">
        <v>1397</v>
      </c>
      <c r="B836" s="28">
        <v>221.27</v>
      </c>
      <c r="C836" s="27">
        <f t="shared" si="13"/>
        <v>6.6032808998152739E-4</v>
      </c>
    </row>
    <row r="837" spans="1:3">
      <c r="A837" s="25" t="s">
        <v>1398</v>
      </c>
      <c r="B837" s="28">
        <v>221.27</v>
      </c>
      <c r="C837" s="27">
        <f t="shared" si="13"/>
        <v>6.6032808998152739E-4</v>
      </c>
    </row>
    <row r="838" spans="1:3">
      <c r="A838" s="25" t="s">
        <v>1399</v>
      </c>
      <c r="B838" s="28">
        <v>252.88</v>
      </c>
      <c r="C838" s="27">
        <f t="shared" si="13"/>
        <v>7.5466067426460269E-4</v>
      </c>
    </row>
    <row r="839" spans="1:3">
      <c r="A839" s="25" t="s">
        <v>1400</v>
      </c>
      <c r="B839" s="28">
        <v>252.88</v>
      </c>
      <c r="C839" s="27">
        <f t="shared" si="13"/>
        <v>7.5466067426460269E-4</v>
      </c>
    </row>
    <row r="840" spans="1:3">
      <c r="A840" s="25" t="s">
        <v>1401</v>
      </c>
      <c r="B840" s="28">
        <v>252.88</v>
      </c>
      <c r="C840" s="27">
        <f t="shared" si="13"/>
        <v>7.5466067426460269E-4</v>
      </c>
    </row>
    <row r="841" spans="1:3">
      <c r="A841" s="25" t="s">
        <v>1402</v>
      </c>
      <c r="B841" s="28">
        <v>0</v>
      </c>
      <c r="C841" s="27">
        <f t="shared" si="13"/>
        <v>0</v>
      </c>
    </row>
    <row r="842" spans="1:3">
      <c r="A842" s="25" t="s">
        <v>1403</v>
      </c>
      <c r="B842" s="28">
        <v>268.685</v>
      </c>
      <c r="C842" s="27">
        <f t="shared" si="13"/>
        <v>8.0182696640614039E-4</v>
      </c>
    </row>
    <row r="843" spans="1:3">
      <c r="A843" s="25" t="s">
        <v>1404</v>
      </c>
      <c r="B843" s="28">
        <v>252.88</v>
      </c>
      <c r="C843" s="27">
        <f t="shared" si="13"/>
        <v>7.5466067426460269E-4</v>
      </c>
    </row>
    <row r="844" spans="1:3">
      <c r="A844" s="25" t="s">
        <v>1405</v>
      </c>
      <c r="B844" s="28">
        <v>268.685</v>
      </c>
      <c r="C844" s="27">
        <f t="shared" si="13"/>
        <v>8.0182696640614039E-4</v>
      </c>
    </row>
    <row r="845" spans="1:3">
      <c r="A845" s="25" t="s">
        <v>1406</v>
      </c>
      <c r="B845" s="28">
        <v>252.88</v>
      </c>
      <c r="C845" s="27">
        <f t="shared" si="13"/>
        <v>7.5466067426460269E-4</v>
      </c>
    </row>
    <row r="846" spans="1:3">
      <c r="A846" s="25" t="s">
        <v>1407</v>
      </c>
      <c r="B846" s="28">
        <v>252.88</v>
      </c>
      <c r="C846" s="27">
        <f t="shared" si="13"/>
        <v>7.5466067426460269E-4</v>
      </c>
    </row>
    <row r="847" spans="1:3">
      <c r="A847" s="25" t="s">
        <v>1408</v>
      </c>
      <c r="B847" s="28">
        <v>252.88</v>
      </c>
      <c r="C847" s="27">
        <f t="shared" si="13"/>
        <v>7.5466067426460269E-4</v>
      </c>
    </row>
    <row r="848" spans="1:3">
      <c r="A848" s="25" t="s">
        <v>1409</v>
      </c>
      <c r="B848" s="28">
        <v>221.27</v>
      </c>
      <c r="C848" s="27">
        <f t="shared" si="13"/>
        <v>6.6032808998152739E-4</v>
      </c>
    </row>
    <row r="849" spans="1:3">
      <c r="A849" s="25" t="s">
        <v>1410</v>
      </c>
      <c r="B849" s="28">
        <v>252.88</v>
      </c>
      <c r="C849" s="27">
        <f t="shared" si="13"/>
        <v>7.5466067426460269E-4</v>
      </c>
    </row>
    <row r="850" spans="1:3">
      <c r="A850" s="25" t="s">
        <v>1411</v>
      </c>
      <c r="B850" s="28">
        <v>252.88</v>
      </c>
      <c r="C850" s="27">
        <f t="shared" si="13"/>
        <v>7.5466067426460269E-4</v>
      </c>
    </row>
    <row r="851" spans="1:3">
      <c r="A851" s="25" t="s">
        <v>1412</v>
      </c>
      <c r="B851" s="28">
        <v>0</v>
      </c>
      <c r="C851" s="27">
        <f t="shared" si="13"/>
        <v>0</v>
      </c>
    </row>
    <row r="852" spans="1:3">
      <c r="A852" s="25" t="s">
        <v>1413</v>
      </c>
      <c r="B852" s="28">
        <v>252.88</v>
      </c>
      <c r="C852" s="27">
        <f t="shared" si="13"/>
        <v>7.5466067426460269E-4</v>
      </c>
    </row>
    <row r="853" spans="1:3">
      <c r="A853" s="25" t="s">
        <v>1414</v>
      </c>
      <c r="B853" s="28">
        <v>252.88</v>
      </c>
      <c r="C853" s="27">
        <f t="shared" si="13"/>
        <v>7.5466067426460269E-4</v>
      </c>
    </row>
    <row r="854" spans="1:3">
      <c r="A854" s="25" t="s">
        <v>1415</v>
      </c>
      <c r="B854" s="28">
        <v>252.88</v>
      </c>
      <c r="C854" s="27">
        <f t="shared" si="13"/>
        <v>7.5466067426460269E-4</v>
      </c>
    </row>
    <row r="855" spans="1:3">
      <c r="A855" s="25" t="s">
        <v>1416</v>
      </c>
      <c r="B855" s="28">
        <v>252.88</v>
      </c>
      <c r="C855" s="27">
        <f t="shared" si="13"/>
        <v>7.5466067426460269E-4</v>
      </c>
    </row>
    <row r="856" spans="1:3">
      <c r="A856" s="25" t="s">
        <v>1417</v>
      </c>
      <c r="B856" s="28">
        <v>252.88</v>
      </c>
      <c r="C856" s="27">
        <f t="shared" si="13"/>
        <v>7.5466067426460269E-4</v>
      </c>
    </row>
    <row r="857" spans="1:3">
      <c r="A857" s="25" t="s">
        <v>1418</v>
      </c>
      <c r="B857" s="28">
        <v>252.88</v>
      </c>
      <c r="C857" s="27">
        <f t="shared" si="13"/>
        <v>7.5466067426460269E-4</v>
      </c>
    </row>
    <row r="858" spans="1:3">
      <c r="A858" s="25" t="s">
        <v>1419</v>
      </c>
      <c r="B858" s="28">
        <v>252.88</v>
      </c>
      <c r="C858" s="27">
        <f t="shared" si="13"/>
        <v>7.5466067426460269E-4</v>
      </c>
    </row>
    <row r="859" spans="1:3">
      <c r="A859" s="25" t="s">
        <v>1420</v>
      </c>
      <c r="B859" s="28">
        <v>252.88</v>
      </c>
      <c r="C859" s="27">
        <f t="shared" si="13"/>
        <v>7.5466067426460269E-4</v>
      </c>
    </row>
    <row r="860" spans="1:3">
      <c r="A860" s="25" t="s">
        <v>1421</v>
      </c>
      <c r="B860" s="28">
        <v>0</v>
      </c>
      <c r="C860" s="27">
        <f t="shared" si="13"/>
        <v>0</v>
      </c>
    </row>
    <row r="861" spans="1:3">
      <c r="A861" s="25" t="s">
        <v>1422</v>
      </c>
      <c r="B861" s="28">
        <v>0</v>
      </c>
      <c r="C861" s="27">
        <f t="shared" si="13"/>
        <v>0</v>
      </c>
    </row>
    <row r="862" spans="1:3">
      <c r="A862" s="25" t="s">
        <v>1423</v>
      </c>
      <c r="B862" s="28">
        <v>221.27</v>
      </c>
      <c r="C862" s="27">
        <f t="shared" si="13"/>
        <v>6.6032808998152739E-4</v>
      </c>
    </row>
    <row r="863" spans="1:3">
      <c r="A863" s="25" t="s">
        <v>1424</v>
      </c>
      <c r="B863" s="28">
        <v>252.88</v>
      </c>
      <c r="C863" s="27">
        <f t="shared" si="13"/>
        <v>7.5466067426460269E-4</v>
      </c>
    </row>
    <row r="864" spans="1:3">
      <c r="A864" s="25" t="s">
        <v>1425</v>
      </c>
      <c r="B864" s="28">
        <v>252.88</v>
      </c>
      <c r="C864" s="27">
        <f t="shared" si="13"/>
        <v>7.5466067426460269E-4</v>
      </c>
    </row>
    <row r="865" spans="1:3">
      <c r="A865" s="25" t="s">
        <v>1426</v>
      </c>
      <c r="B865" s="28">
        <v>252.88</v>
      </c>
      <c r="C865" s="27">
        <f t="shared" si="13"/>
        <v>7.5466067426460269E-4</v>
      </c>
    </row>
    <row r="866" spans="1:3">
      <c r="A866" s="25" t="s">
        <v>1427</v>
      </c>
      <c r="B866" s="28">
        <v>252.88</v>
      </c>
      <c r="C866" s="27">
        <f t="shared" si="13"/>
        <v>7.5466067426460269E-4</v>
      </c>
    </row>
    <row r="867" spans="1:3">
      <c r="A867" s="25" t="s">
        <v>1428</v>
      </c>
      <c r="B867" s="28">
        <v>252.88</v>
      </c>
      <c r="C867" s="27">
        <f t="shared" si="13"/>
        <v>7.5466067426460269E-4</v>
      </c>
    </row>
    <row r="868" spans="1:3">
      <c r="A868" s="25" t="s">
        <v>1429</v>
      </c>
      <c r="B868" s="28">
        <v>252.88</v>
      </c>
      <c r="C868" s="27">
        <f t="shared" si="13"/>
        <v>7.5466067426460269E-4</v>
      </c>
    </row>
    <row r="869" spans="1:3">
      <c r="A869" s="25" t="s">
        <v>1430</v>
      </c>
      <c r="B869" s="28">
        <v>252.88</v>
      </c>
      <c r="C869" s="27">
        <f t="shared" si="13"/>
        <v>7.5466067426460269E-4</v>
      </c>
    </row>
    <row r="870" spans="1:3">
      <c r="A870" s="25" t="s">
        <v>1431</v>
      </c>
      <c r="B870" s="28">
        <v>252.88</v>
      </c>
      <c r="C870" s="27">
        <f t="shared" si="13"/>
        <v>7.5466067426460269E-4</v>
      </c>
    </row>
    <row r="871" spans="1:3">
      <c r="A871" s="25" t="s">
        <v>1432</v>
      </c>
      <c r="B871" s="28">
        <v>0</v>
      </c>
      <c r="C871" s="27">
        <f t="shared" si="13"/>
        <v>0</v>
      </c>
    </row>
    <row r="872" spans="1:3">
      <c r="A872" s="25" t="s">
        <v>1433</v>
      </c>
      <c r="B872" s="28">
        <v>252.88</v>
      </c>
      <c r="C872" s="27">
        <f t="shared" si="13"/>
        <v>7.5466067426460269E-4</v>
      </c>
    </row>
    <row r="873" spans="1:3">
      <c r="A873" s="25" t="s">
        <v>1434</v>
      </c>
      <c r="B873" s="28">
        <v>252.88</v>
      </c>
      <c r="C873" s="27">
        <f t="shared" si="13"/>
        <v>7.5466067426460269E-4</v>
      </c>
    </row>
    <row r="874" spans="1:3">
      <c r="A874" s="25" t="s">
        <v>1435</v>
      </c>
      <c r="B874" s="28">
        <v>252.88</v>
      </c>
      <c r="C874" s="27">
        <f t="shared" si="13"/>
        <v>7.5466067426460269E-4</v>
      </c>
    </row>
    <row r="875" spans="1:3">
      <c r="A875" s="25" t="s">
        <v>1436</v>
      </c>
      <c r="B875" s="28">
        <v>252.88</v>
      </c>
      <c r="C875" s="27">
        <f t="shared" ref="C875:C938" si="14">IFERROR(B875/$S$2,"")</f>
        <v>7.5466067426460269E-4</v>
      </c>
    </row>
    <row r="876" spans="1:3">
      <c r="A876" s="25" t="s">
        <v>1437</v>
      </c>
      <c r="B876" s="28">
        <v>252.88</v>
      </c>
      <c r="C876" s="27">
        <f t="shared" si="14"/>
        <v>7.5466067426460269E-4</v>
      </c>
    </row>
    <row r="877" spans="1:3">
      <c r="A877" s="25" t="s">
        <v>1438</v>
      </c>
      <c r="B877" s="28">
        <v>221.27</v>
      </c>
      <c r="C877" s="27">
        <f t="shared" si="14"/>
        <v>6.6032808998152739E-4</v>
      </c>
    </row>
    <row r="878" spans="1:3">
      <c r="A878" s="25" t="s">
        <v>1439</v>
      </c>
      <c r="B878" s="28">
        <v>252.88</v>
      </c>
      <c r="C878" s="27">
        <f t="shared" si="14"/>
        <v>7.5466067426460269E-4</v>
      </c>
    </row>
    <row r="879" spans="1:3">
      <c r="A879" s="25" t="s">
        <v>1440</v>
      </c>
      <c r="B879" s="28">
        <v>221.27</v>
      </c>
      <c r="C879" s="27">
        <f t="shared" si="14"/>
        <v>6.6032808998152739E-4</v>
      </c>
    </row>
    <row r="880" spans="1:3">
      <c r="A880" s="25" t="s">
        <v>1441</v>
      </c>
      <c r="B880" s="28">
        <v>0</v>
      </c>
      <c r="C880" s="27">
        <f t="shared" si="14"/>
        <v>0</v>
      </c>
    </row>
    <row r="881" spans="1:3">
      <c r="A881" s="25" t="s">
        <v>1442</v>
      </c>
      <c r="B881" s="28">
        <v>0</v>
      </c>
      <c r="C881" s="27">
        <f t="shared" si="14"/>
        <v>0</v>
      </c>
    </row>
    <row r="882" spans="1:3">
      <c r="A882" s="25" t="s">
        <v>1443</v>
      </c>
      <c r="B882" s="28">
        <v>250.56</v>
      </c>
      <c r="C882" s="27">
        <f t="shared" si="14"/>
        <v>7.4773718184015681E-4</v>
      </c>
    </row>
    <row r="883" spans="1:3">
      <c r="A883" s="25" t="s">
        <v>1444</v>
      </c>
      <c r="B883" s="28">
        <v>250.56</v>
      </c>
      <c r="C883" s="27">
        <f t="shared" si="14"/>
        <v>7.4773718184015681E-4</v>
      </c>
    </row>
    <row r="884" spans="1:3">
      <c r="A884" s="25" t="s">
        <v>1445</v>
      </c>
      <c r="B884" s="28">
        <v>219.24</v>
      </c>
      <c r="C884" s="27">
        <f t="shared" si="14"/>
        <v>6.5427003411013722E-4</v>
      </c>
    </row>
    <row r="885" spans="1:3">
      <c r="A885" s="25" t="s">
        <v>1446</v>
      </c>
      <c r="B885" s="28">
        <v>219.24</v>
      </c>
      <c r="C885" s="27">
        <f t="shared" si="14"/>
        <v>6.5427003411013722E-4</v>
      </c>
    </row>
    <row r="886" spans="1:3">
      <c r="A886" s="25" t="s">
        <v>1447</v>
      </c>
      <c r="B886" s="28">
        <v>281.88</v>
      </c>
      <c r="C886" s="27">
        <f t="shared" si="14"/>
        <v>8.412043295701764E-4</v>
      </c>
    </row>
    <row r="887" spans="1:3">
      <c r="A887" s="25" t="s">
        <v>1448</v>
      </c>
      <c r="B887" s="28">
        <v>281.88</v>
      </c>
      <c r="C887" s="27">
        <f t="shared" si="14"/>
        <v>8.412043295701764E-4</v>
      </c>
    </row>
    <row r="888" spans="1:3">
      <c r="A888" s="25" t="s">
        <v>1449</v>
      </c>
      <c r="B888" s="28">
        <v>281.88</v>
      </c>
      <c r="C888" s="27">
        <f t="shared" si="14"/>
        <v>8.412043295701764E-4</v>
      </c>
    </row>
    <row r="889" spans="1:3">
      <c r="A889" s="25" t="s">
        <v>1450</v>
      </c>
      <c r="B889" s="28">
        <v>281.88</v>
      </c>
      <c r="C889" s="27">
        <f t="shared" si="14"/>
        <v>8.412043295701764E-4</v>
      </c>
    </row>
    <row r="890" spans="1:3">
      <c r="A890" s="25" t="s">
        <v>1451</v>
      </c>
      <c r="B890" s="28">
        <v>0</v>
      </c>
      <c r="C890" s="27">
        <f t="shared" si="14"/>
        <v>0</v>
      </c>
    </row>
    <row r="891" spans="1:3">
      <c r="A891" s="25" t="s">
        <v>1452</v>
      </c>
      <c r="B891" s="28">
        <v>0</v>
      </c>
      <c r="C891" s="27">
        <f t="shared" si="14"/>
        <v>0</v>
      </c>
    </row>
    <row r="892" spans="1:3">
      <c r="A892" s="25" t="s">
        <v>1453</v>
      </c>
      <c r="B892" s="28">
        <v>93.96</v>
      </c>
      <c r="C892" s="27">
        <f t="shared" si="14"/>
        <v>2.8040144319005882E-4</v>
      </c>
    </row>
    <row r="893" spans="1:3">
      <c r="A893" s="25" t="s">
        <v>1454</v>
      </c>
      <c r="B893" s="28">
        <v>250.56</v>
      </c>
      <c r="C893" s="27">
        <f t="shared" si="14"/>
        <v>7.4773718184015681E-4</v>
      </c>
    </row>
    <row r="894" spans="1:3">
      <c r="A894" s="25" t="s">
        <v>1455</v>
      </c>
      <c r="B894" s="28">
        <v>250.56</v>
      </c>
      <c r="C894" s="27">
        <f t="shared" si="14"/>
        <v>7.4773718184015681E-4</v>
      </c>
    </row>
    <row r="895" spans="1:3">
      <c r="A895" s="25" t="s">
        <v>1456</v>
      </c>
      <c r="B895" s="28">
        <v>250.56</v>
      </c>
      <c r="C895" s="27">
        <f t="shared" si="14"/>
        <v>7.4773718184015681E-4</v>
      </c>
    </row>
    <row r="896" spans="1:3">
      <c r="A896" s="25" t="s">
        <v>1457</v>
      </c>
      <c r="B896" s="28">
        <v>250.56</v>
      </c>
      <c r="C896" s="27">
        <f t="shared" si="14"/>
        <v>7.4773718184015681E-4</v>
      </c>
    </row>
    <row r="897" spans="1:3">
      <c r="A897" s="25" t="s">
        <v>1458</v>
      </c>
      <c r="B897" s="28">
        <v>250.56</v>
      </c>
      <c r="C897" s="27">
        <f t="shared" si="14"/>
        <v>7.4773718184015681E-4</v>
      </c>
    </row>
    <row r="898" spans="1:3">
      <c r="A898" s="25" t="s">
        <v>1459</v>
      </c>
      <c r="B898" s="28">
        <v>250.56</v>
      </c>
      <c r="C898" s="27">
        <f t="shared" si="14"/>
        <v>7.4773718184015681E-4</v>
      </c>
    </row>
    <row r="899" spans="1:3">
      <c r="A899" s="25" t="s">
        <v>1460</v>
      </c>
      <c r="B899" s="28">
        <v>250.56</v>
      </c>
      <c r="C899" s="27">
        <f t="shared" si="14"/>
        <v>7.4773718184015681E-4</v>
      </c>
    </row>
    <row r="900" spans="1:3">
      <c r="A900" s="25" t="s">
        <v>1461</v>
      </c>
      <c r="B900" s="28">
        <v>250.56</v>
      </c>
      <c r="C900" s="27">
        <f t="shared" si="14"/>
        <v>7.4773718184015681E-4</v>
      </c>
    </row>
    <row r="901" spans="1:3">
      <c r="A901" s="25" t="s">
        <v>1462</v>
      </c>
      <c r="B901" s="28">
        <v>0</v>
      </c>
      <c r="C901" s="27">
        <f t="shared" si="14"/>
        <v>0</v>
      </c>
    </row>
    <row r="902" spans="1:3">
      <c r="A902" s="25" t="s">
        <v>1463</v>
      </c>
      <c r="B902" s="28">
        <v>250.56</v>
      </c>
      <c r="C902" s="27">
        <f t="shared" si="14"/>
        <v>7.4773718184015681E-4</v>
      </c>
    </row>
    <row r="903" spans="1:3">
      <c r="A903" s="25" t="s">
        <v>1464</v>
      </c>
      <c r="B903" s="28">
        <v>250.56</v>
      </c>
      <c r="C903" s="27">
        <f t="shared" si="14"/>
        <v>7.4773718184015681E-4</v>
      </c>
    </row>
    <row r="904" spans="1:3">
      <c r="A904" s="25" t="s">
        <v>1465</v>
      </c>
      <c r="B904" s="28">
        <v>250.56</v>
      </c>
      <c r="C904" s="27">
        <f t="shared" si="14"/>
        <v>7.4773718184015681E-4</v>
      </c>
    </row>
    <row r="905" spans="1:3">
      <c r="A905" s="25" t="s">
        <v>1466</v>
      </c>
      <c r="B905" s="28">
        <v>250.56</v>
      </c>
      <c r="C905" s="27">
        <f t="shared" si="14"/>
        <v>7.4773718184015681E-4</v>
      </c>
    </row>
    <row r="906" spans="1:3">
      <c r="A906" s="25" t="s">
        <v>1467</v>
      </c>
      <c r="B906" s="28">
        <v>250.56</v>
      </c>
      <c r="C906" s="27">
        <f t="shared" si="14"/>
        <v>7.4773718184015681E-4</v>
      </c>
    </row>
    <row r="907" spans="1:3">
      <c r="A907" s="25" t="s">
        <v>1468</v>
      </c>
      <c r="B907" s="28">
        <v>250.56</v>
      </c>
      <c r="C907" s="27">
        <f t="shared" si="14"/>
        <v>7.4773718184015681E-4</v>
      </c>
    </row>
    <row r="908" spans="1:3">
      <c r="A908" s="25" t="s">
        <v>1469</v>
      </c>
      <c r="B908" s="28">
        <v>219.24</v>
      </c>
      <c r="C908" s="27">
        <f t="shared" si="14"/>
        <v>6.5427003411013722E-4</v>
      </c>
    </row>
    <row r="909" spans="1:3">
      <c r="A909" s="25" t="s">
        <v>1470</v>
      </c>
      <c r="B909" s="28">
        <v>250.56</v>
      </c>
      <c r="C909" s="27">
        <f t="shared" si="14"/>
        <v>7.4773718184015681E-4</v>
      </c>
    </row>
    <row r="910" spans="1:3">
      <c r="A910" s="25" t="s">
        <v>1471</v>
      </c>
      <c r="B910" s="28">
        <v>0</v>
      </c>
      <c r="C910" s="27">
        <f t="shared" si="14"/>
        <v>0</v>
      </c>
    </row>
    <row r="911" spans="1:3">
      <c r="A911" s="25" t="s">
        <v>1472</v>
      </c>
      <c r="B911" s="28">
        <v>0</v>
      </c>
      <c r="C911" s="27">
        <f t="shared" si="14"/>
        <v>0</v>
      </c>
    </row>
    <row r="912" spans="1:3">
      <c r="A912" s="25" t="s">
        <v>1473</v>
      </c>
      <c r="B912" s="28">
        <v>250.56</v>
      </c>
      <c r="C912" s="27">
        <f t="shared" si="14"/>
        <v>7.4773718184015681E-4</v>
      </c>
    </row>
    <row r="913" spans="1:3">
      <c r="A913" s="25" t="s">
        <v>1474</v>
      </c>
      <c r="B913" s="28">
        <v>250.56</v>
      </c>
      <c r="C913" s="27">
        <f t="shared" si="14"/>
        <v>7.4773718184015681E-4</v>
      </c>
    </row>
    <row r="914" spans="1:3">
      <c r="A914" s="25" t="s">
        <v>1475</v>
      </c>
      <c r="B914" s="28">
        <v>250.56</v>
      </c>
      <c r="C914" s="27">
        <f t="shared" si="14"/>
        <v>7.4773718184015681E-4</v>
      </c>
    </row>
    <row r="915" spans="1:3">
      <c r="A915" s="25" t="s">
        <v>1476</v>
      </c>
      <c r="B915" s="28">
        <v>219.24</v>
      </c>
      <c r="C915" s="27">
        <f t="shared" si="14"/>
        <v>6.5427003411013722E-4</v>
      </c>
    </row>
    <row r="916" spans="1:3">
      <c r="A916" s="25" t="s">
        <v>1477</v>
      </c>
      <c r="B916" s="28">
        <v>250.56</v>
      </c>
      <c r="C916" s="27">
        <f t="shared" si="14"/>
        <v>7.4773718184015681E-4</v>
      </c>
    </row>
    <row r="917" spans="1:3">
      <c r="A917" s="25" t="s">
        <v>1478</v>
      </c>
      <c r="B917" s="28">
        <v>250.56</v>
      </c>
      <c r="C917" s="27">
        <f t="shared" si="14"/>
        <v>7.4773718184015681E-4</v>
      </c>
    </row>
    <row r="918" spans="1:3">
      <c r="A918" s="25" t="s">
        <v>1479</v>
      </c>
      <c r="B918" s="28">
        <v>250.56</v>
      </c>
      <c r="C918" s="27">
        <f t="shared" si="14"/>
        <v>7.4773718184015681E-4</v>
      </c>
    </row>
    <row r="919" spans="1:3">
      <c r="A919" s="25" t="s">
        <v>1480</v>
      </c>
      <c r="B919" s="28">
        <v>250.56</v>
      </c>
      <c r="C919" s="27">
        <f t="shared" si="14"/>
        <v>7.4773718184015681E-4</v>
      </c>
    </row>
    <row r="920" spans="1:3">
      <c r="A920" s="25" t="s">
        <v>1481</v>
      </c>
      <c r="B920" s="28">
        <v>250.56</v>
      </c>
      <c r="C920" s="27">
        <f t="shared" si="14"/>
        <v>7.4773718184015681E-4</v>
      </c>
    </row>
    <row r="921" spans="1:3">
      <c r="A921" s="25" t="s">
        <v>1482</v>
      </c>
      <c r="B921" s="28">
        <v>0</v>
      </c>
      <c r="C921" s="27">
        <f t="shared" si="14"/>
        <v>0</v>
      </c>
    </row>
    <row r="922" spans="1:3">
      <c r="A922" s="25" t="s">
        <v>1483</v>
      </c>
      <c r="B922" s="28">
        <v>250.56</v>
      </c>
      <c r="C922" s="27">
        <f t="shared" si="14"/>
        <v>7.4773718184015681E-4</v>
      </c>
    </row>
    <row r="923" spans="1:3">
      <c r="A923" s="25" t="s">
        <v>1484</v>
      </c>
      <c r="B923" s="28">
        <v>250.56</v>
      </c>
      <c r="C923" s="27">
        <f t="shared" si="14"/>
        <v>7.4773718184015681E-4</v>
      </c>
    </row>
    <row r="924" spans="1:3">
      <c r="A924" s="25" t="s">
        <v>1485</v>
      </c>
      <c r="B924" s="28">
        <v>250.56</v>
      </c>
      <c r="C924" s="27">
        <f t="shared" si="14"/>
        <v>7.4773718184015681E-4</v>
      </c>
    </row>
    <row r="925" spans="1:3">
      <c r="A925" s="25" t="s">
        <v>1486</v>
      </c>
      <c r="B925" s="28">
        <v>250.56</v>
      </c>
      <c r="C925" s="27">
        <f t="shared" si="14"/>
        <v>7.4773718184015681E-4</v>
      </c>
    </row>
    <row r="926" spans="1:3">
      <c r="A926" s="25" t="s">
        <v>1487</v>
      </c>
      <c r="B926" s="28">
        <v>219.24</v>
      </c>
      <c r="C926" s="27">
        <f t="shared" si="14"/>
        <v>6.5427003411013722E-4</v>
      </c>
    </row>
    <row r="927" spans="1:3">
      <c r="A927" s="25" t="s">
        <v>1488</v>
      </c>
      <c r="B927" s="28">
        <v>250.56</v>
      </c>
      <c r="C927" s="27">
        <f t="shared" si="14"/>
        <v>7.4773718184015681E-4</v>
      </c>
    </row>
    <row r="928" spans="1:3">
      <c r="A928" s="25" t="s">
        <v>1489</v>
      </c>
      <c r="B928" s="28">
        <v>219.24</v>
      </c>
      <c r="C928" s="27">
        <f t="shared" si="14"/>
        <v>6.5427003411013722E-4</v>
      </c>
    </row>
    <row r="929" spans="1:3">
      <c r="A929" s="25" t="s">
        <v>1490</v>
      </c>
      <c r="B929" s="28">
        <v>250.56</v>
      </c>
      <c r="C929" s="27">
        <f t="shared" si="14"/>
        <v>7.4773718184015681E-4</v>
      </c>
    </row>
    <row r="930" spans="1:3">
      <c r="A930" s="25" t="s">
        <v>1491</v>
      </c>
      <c r="B930" s="28">
        <v>0</v>
      </c>
      <c r="C930" s="27">
        <f t="shared" si="14"/>
        <v>0</v>
      </c>
    </row>
    <row r="931" spans="1:3">
      <c r="A931" s="25" t="s">
        <v>1492</v>
      </c>
      <c r="B931" s="28">
        <v>0</v>
      </c>
      <c r="C931" s="27">
        <f t="shared" si="14"/>
        <v>0</v>
      </c>
    </row>
    <row r="932" spans="1:3">
      <c r="A932" s="25" t="s">
        <v>1493</v>
      </c>
      <c r="B932" s="28">
        <v>250.56</v>
      </c>
      <c r="C932" s="27">
        <f t="shared" si="14"/>
        <v>7.4773718184015681E-4</v>
      </c>
    </row>
    <row r="933" spans="1:3">
      <c r="A933" s="25" t="s">
        <v>1494</v>
      </c>
      <c r="B933" s="28">
        <v>250.56</v>
      </c>
      <c r="C933" s="27">
        <f t="shared" si="14"/>
        <v>7.4773718184015681E-4</v>
      </c>
    </row>
    <row r="934" spans="1:3">
      <c r="A934" s="25" t="s">
        <v>1495</v>
      </c>
      <c r="B934" s="28">
        <v>250.56</v>
      </c>
      <c r="C934" s="27">
        <f t="shared" si="14"/>
        <v>7.4773718184015681E-4</v>
      </c>
    </row>
    <row r="935" spans="1:3">
      <c r="A935" s="25" t="s">
        <v>1496</v>
      </c>
      <c r="B935" s="28">
        <v>250.56</v>
      </c>
      <c r="C935" s="27">
        <f t="shared" si="14"/>
        <v>7.4773718184015681E-4</v>
      </c>
    </row>
    <row r="936" spans="1:3">
      <c r="A936" s="25" t="s">
        <v>1497</v>
      </c>
      <c r="B936" s="28">
        <v>250.56</v>
      </c>
      <c r="C936" s="27">
        <f t="shared" si="14"/>
        <v>7.4773718184015681E-4</v>
      </c>
    </row>
    <row r="937" spans="1:3">
      <c r="A937" s="25" t="s">
        <v>1498</v>
      </c>
      <c r="B937" s="28">
        <v>250.56</v>
      </c>
      <c r="C937" s="27">
        <f t="shared" si="14"/>
        <v>7.4773718184015681E-4</v>
      </c>
    </row>
    <row r="938" spans="1:3">
      <c r="A938" s="25" t="s">
        <v>1499</v>
      </c>
      <c r="B938" s="28">
        <v>250.56</v>
      </c>
      <c r="C938" s="27">
        <f t="shared" si="14"/>
        <v>7.4773718184015681E-4</v>
      </c>
    </row>
    <row r="939" spans="1:3">
      <c r="A939" s="25" t="s">
        <v>1500</v>
      </c>
      <c r="B939" s="28">
        <v>250.56</v>
      </c>
      <c r="C939" s="27">
        <f t="shared" ref="C939:C1002" si="15">IFERROR(B939/$S$2,"")</f>
        <v>7.4773718184015681E-4</v>
      </c>
    </row>
    <row r="940" spans="1:3">
      <c r="A940" s="25" t="s">
        <v>1501</v>
      </c>
      <c r="B940" s="28">
        <v>250.56</v>
      </c>
      <c r="C940" s="27">
        <f t="shared" si="15"/>
        <v>7.4773718184015681E-4</v>
      </c>
    </row>
    <row r="941" spans="1:3">
      <c r="A941" s="25" t="s">
        <v>1502</v>
      </c>
      <c r="B941" s="28">
        <v>0</v>
      </c>
      <c r="C941" s="27">
        <f t="shared" si="15"/>
        <v>0</v>
      </c>
    </row>
    <row r="942" spans="1:3">
      <c r="A942" s="25" t="s">
        <v>1503</v>
      </c>
      <c r="B942" s="28">
        <v>250.56</v>
      </c>
      <c r="C942" s="27">
        <f t="shared" si="15"/>
        <v>7.4773718184015681E-4</v>
      </c>
    </row>
    <row r="943" spans="1:3">
      <c r="A943" s="25" t="s">
        <v>1504</v>
      </c>
      <c r="B943" s="28">
        <v>250.56</v>
      </c>
      <c r="C943" s="27">
        <f t="shared" si="15"/>
        <v>7.4773718184015681E-4</v>
      </c>
    </row>
    <row r="944" spans="1:3">
      <c r="A944" s="25" t="s">
        <v>1505</v>
      </c>
      <c r="B944" s="28">
        <v>250.56</v>
      </c>
      <c r="C944" s="27">
        <f t="shared" si="15"/>
        <v>7.4773718184015681E-4</v>
      </c>
    </row>
    <row r="945" spans="1:3">
      <c r="A945" s="25" t="s">
        <v>1506</v>
      </c>
      <c r="B945" s="28">
        <v>250.56</v>
      </c>
      <c r="C945" s="27">
        <f t="shared" si="15"/>
        <v>7.4773718184015681E-4</v>
      </c>
    </row>
    <row r="946" spans="1:3">
      <c r="A946" s="25" t="s">
        <v>1507</v>
      </c>
      <c r="B946" s="28">
        <v>250.56</v>
      </c>
      <c r="C946" s="27">
        <f t="shared" si="15"/>
        <v>7.4773718184015681E-4</v>
      </c>
    </row>
    <row r="947" spans="1:3">
      <c r="A947" s="25" t="s">
        <v>1508</v>
      </c>
      <c r="B947" s="28">
        <v>250.56</v>
      </c>
      <c r="C947" s="27">
        <f t="shared" si="15"/>
        <v>7.4773718184015681E-4</v>
      </c>
    </row>
    <row r="948" spans="1:3">
      <c r="A948" s="25" t="s">
        <v>1509</v>
      </c>
      <c r="B948" s="28">
        <v>250.56</v>
      </c>
      <c r="C948" s="27">
        <f t="shared" si="15"/>
        <v>7.4773718184015681E-4</v>
      </c>
    </row>
    <row r="949" spans="1:3">
      <c r="A949" s="25" t="s">
        <v>1510</v>
      </c>
      <c r="B949" s="28">
        <v>219.24</v>
      </c>
      <c r="C949" s="27">
        <f t="shared" si="15"/>
        <v>6.5427003411013722E-4</v>
      </c>
    </row>
    <row r="950" spans="1:3">
      <c r="A950" s="25" t="s">
        <v>1511</v>
      </c>
      <c r="B950" s="28">
        <v>0</v>
      </c>
      <c r="C950" s="27">
        <f t="shared" si="15"/>
        <v>0</v>
      </c>
    </row>
    <row r="951" spans="1:3">
      <c r="A951" s="25" t="s">
        <v>1512</v>
      </c>
      <c r="B951" s="28">
        <v>0</v>
      </c>
      <c r="C951" s="27">
        <f t="shared" si="15"/>
        <v>0</v>
      </c>
    </row>
    <row r="952" spans="1:3">
      <c r="A952" s="25" t="s">
        <v>1513</v>
      </c>
      <c r="B952" s="28">
        <v>250.56</v>
      </c>
      <c r="C952" s="27">
        <f t="shared" si="15"/>
        <v>7.4773718184015681E-4</v>
      </c>
    </row>
    <row r="953" spans="1:3">
      <c r="A953" s="25" t="s">
        <v>1514</v>
      </c>
      <c r="B953" s="28">
        <v>250.56</v>
      </c>
      <c r="C953" s="27">
        <f t="shared" si="15"/>
        <v>7.4773718184015681E-4</v>
      </c>
    </row>
    <row r="954" spans="1:3">
      <c r="A954" s="25" t="s">
        <v>1515</v>
      </c>
      <c r="B954" s="28">
        <v>250.56</v>
      </c>
      <c r="C954" s="27">
        <f t="shared" si="15"/>
        <v>7.4773718184015681E-4</v>
      </c>
    </row>
    <row r="955" spans="1:3">
      <c r="A955" s="25" t="s">
        <v>1516</v>
      </c>
      <c r="B955" s="28">
        <v>250.56</v>
      </c>
      <c r="C955" s="27">
        <f t="shared" si="15"/>
        <v>7.4773718184015681E-4</v>
      </c>
    </row>
    <row r="956" spans="1:3">
      <c r="A956" s="25" t="s">
        <v>1517</v>
      </c>
      <c r="B956" s="28">
        <v>250.56</v>
      </c>
      <c r="C956" s="27">
        <f t="shared" si="15"/>
        <v>7.4773718184015681E-4</v>
      </c>
    </row>
    <row r="957" spans="1:3">
      <c r="A957" s="25" t="s">
        <v>1518</v>
      </c>
      <c r="B957" s="28">
        <v>250.56</v>
      </c>
      <c r="C957" s="27">
        <f t="shared" si="15"/>
        <v>7.4773718184015681E-4</v>
      </c>
    </row>
    <row r="958" spans="1:3">
      <c r="A958" s="25" t="s">
        <v>1519</v>
      </c>
      <c r="B958" s="28">
        <v>250.56</v>
      </c>
      <c r="C958" s="27">
        <f t="shared" si="15"/>
        <v>7.4773718184015681E-4</v>
      </c>
    </row>
    <row r="959" spans="1:3">
      <c r="A959" s="25" t="s">
        <v>1520</v>
      </c>
      <c r="B959" s="28">
        <v>250.56</v>
      </c>
      <c r="C959" s="27">
        <f t="shared" si="15"/>
        <v>7.4773718184015681E-4</v>
      </c>
    </row>
    <row r="960" spans="1:3">
      <c r="A960" s="25" t="s">
        <v>1521</v>
      </c>
      <c r="B960" s="28">
        <v>219.24</v>
      </c>
      <c r="C960" s="27">
        <f t="shared" si="15"/>
        <v>6.5427003411013722E-4</v>
      </c>
    </row>
    <row r="961" spans="1:3">
      <c r="A961" s="25" t="s">
        <v>1522</v>
      </c>
      <c r="B961" s="28">
        <v>0</v>
      </c>
      <c r="C961" s="27">
        <f t="shared" si="15"/>
        <v>0</v>
      </c>
    </row>
    <row r="962" spans="1:3">
      <c r="A962" s="25" t="s">
        <v>1523</v>
      </c>
      <c r="B962" s="28">
        <v>252.88</v>
      </c>
      <c r="C962" s="27">
        <f t="shared" si="15"/>
        <v>7.5466067426460269E-4</v>
      </c>
    </row>
    <row r="963" spans="1:3">
      <c r="A963" s="25" t="s">
        <v>1524</v>
      </c>
      <c r="B963" s="28">
        <v>252.88</v>
      </c>
      <c r="C963" s="27">
        <f t="shared" si="15"/>
        <v>7.5466067426460269E-4</v>
      </c>
    </row>
    <row r="964" spans="1:3">
      <c r="A964" s="25" t="s">
        <v>1525</v>
      </c>
      <c r="B964" s="28">
        <v>252.88</v>
      </c>
      <c r="C964" s="27">
        <f t="shared" si="15"/>
        <v>7.5466067426460269E-4</v>
      </c>
    </row>
    <row r="965" spans="1:3">
      <c r="A965" s="25" t="s">
        <v>1526</v>
      </c>
      <c r="B965" s="28">
        <v>252.88</v>
      </c>
      <c r="C965" s="27">
        <f t="shared" si="15"/>
        <v>7.5466067426460269E-4</v>
      </c>
    </row>
    <row r="966" spans="1:3">
      <c r="A966" s="25" t="s">
        <v>1527</v>
      </c>
      <c r="B966" s="28">
        <v>252.88</v>
      </c>
      <c r="C966" s="27">
        <f t="shared" si="15"/>
        <v>7.5466067426460269E-4</v>
      </c>
    </row>
    <row r="967" spans="1:3">
      <c r="A967" s="25" t="s">
        <v>1528</v>
      </c>
      <c r="B967" s="28">
        <v>252.88</v>
      </c>
      <c r="C967" s="27">
        <f t="shared" si="15"/>
        <v>7.5466067426460269E-4</v>
      </c>
    </row>
    <row r="968" spans="1:3">
      <c r="A968" s="25" t="s">
        <v>1529</v>
      </c>
      <c r="B968" s="28">
        <v>252.88</v>
      </c>
      <c r="C968" s="27">
        <f t="shared" si="15"/>
        <v>7.5466067426460269E-4</v>
      </c>
    </row>
    <row r="969" spans="1:3">
      <c r="A969" s="25" t="s">
        <v>1530</v>
      </c>
      <c r="B969" s="28">
        <v>252.88</v>
      </c>
      <c r="C969" s="27">
        <f t="shared" si="15"/>
        <v>7.5466067426460269E-4</v>
      </c>
    </row>
    <row r="970" spans="1:3">
      <c r="A970" s="25" t="s">
        <v>1531</v>
      </c>
      <c r="B970" s="28">
        <v>0</v>
      </c>
      <c r="C970" s="27">
        <f t="shared" si="15"/>
        <v>0</v>
      </c>
    </row>
    <row r="971" spans="1:3">
      <c r="A971" s="25" t="s">
        <v>1532</v>
      </c>
      <c r="B971" s="28">
        <v>0</v>
      </c>
      <c r="C971" s="27">
        <f t="shared" si="15"/>
        <v>0</v>
      </c>
    </row>
    <row r="972" spans="1:3">
      <c r="A972" s="25" t="s">
        <v>1533</v>
      </c>
      <c r="B972" s="28">
        <v>268.685</v>
      </c>
      <c r="C972" s="27">
        <f t="shared" si="15"/>
        <v>8.0182696640614039E-4</v>
      </c>
    </row>
    <row r="973" spans="1:3">
      <c r="A973" s="25" t="s">
        <v>1534</v>
      </c>
      <c r="B973" s="28">
        <v>268.685</v>
      </c>
      <c r="C973" s="27">
        <f t="shared" si="15"/>
        <v>8.0182696640614039E-4</v>
      </c>
    </row>
    <row r="974" spans="1:3">
      <c r="A974" s="25" t="s">
        <v>1535</v>
      </c>
      <c r="B974" s="28">
        <v>252.88</v>
      </c>
      <c r="C974" s="27">
        <f t="shared" si="15"/>
        <v>7.5466067426460269E-4</v>
      </c>
    </row>
    <row r="975" spans="1:3">
      <c r="A975" s="25" t="s">
        <v>1536</v>
      </c>
      <c r="B975" s="28">
        <v>252.88</v>
      </c>
      <c r="C975" s="27">
        <f t="shared" si="15"/>
        <v>7.5466067426460269E-4</v>
      </c>
    </row>
    <row r="976" spans="1:3">
      <c r="A976" s="25" t="s">
        <v>1537</v>
      </c>
      <c r="B976" s="28">
        <v>221.27</v>
      </c>
      <c r="C976" s="27">
        <f t="shared" si="15"/>
        <v>6.6032808998152739E-4</v>
      </c>
    </row>
    <row r="977" spans="1:3">
      <c r="A977" s="25" t="s">
        <v>1538</v>
      </c>
      <c r="B977" s="28">
        <v>221.27</v>
      </c>
      <c r="C977" s="27">
        <f t="shared" si="15"/>
        <v>6.6032808998152739E-4</v>
      </c>
    </row>
    <row r="978" spans="1:3">
      <c r="A978" s="25" t="s">
        <v>1539</v>
      </c>
      <c r="B978" s="28">
        <v>252.88</v>
      </c>
      <c r="C978" s="27">
        <f t="shared" si="15"/>
        <v>7.5466067426460269E-4</v>
      </c>
    </row>
    <row r="979" spans="1:3">
      <c r="A979" s="25" t="s">
        <v>1540</v>
      </c>
      <c r="B979" s="28">
        <v>252.88</v>
      </c>
      <c r="C979" s="27">
        <f t="shared" si="15"/>
        <v>7.5466067426460269E-4</v>
      </c>
    </row>
    <row r="980" spans="1:3">
      <c r="A980" s="25" t="s">
        <v>1541</v>
      </c>
      <c r="B980" s="28">
        <v>221.27</v>
      </c>
      <c r="C980" s="27">
        <f t="shared" si="15"/>
        <v>6.6032808998152739E-4</v>
      </c>
    </row>
    <row r="981" spans="1:3">
      <c r="A981" s="25" t="s">
        <v>1542</v>
      </c>
      <c r="B981" s="28">
        <v>0</v>
      </c>
      <c r="C981" s="27">
        <f t="shared" si="15"/>
        <v>0</v>
      </c>
    </row>
    <row r="982" spans="1:3">
      <c r="A982" s="25" t="s">
        <v>1543</v>
      </c>
      <c r="B982" s="28">
        <v>252.88</v>
      </c>
      <c r="C982" s="27">
        <f t="shared" si="15"/>
        <v>7.5466067426460269E-4</v>
      </c>
    </row>
    <row r="983" spans="1:3">
      <c r="A983" s="25" t="s">
        <v>1544</v>
      </c>
      <c r="B983" s="28">
        <v>252.88</v>
      </c>
      <c r="C983" s="27">
        <f t="shared" si="15"/>
        <v>7.5466067426460269E-4</v>
      </c>
    </row>
    <row r="984" spans="1:3">
      <c r="A984" s="25" t="s">
        <v>1545</v>
      </c>
      <c r="B984" s="28">
        <v>252.88</v>
      </c>
      <c r="C984" s="27">
        <f t="shared" si="15"/>
        <v>7.5466067426460269E-4</v>
      </c>
    </row>
    <row r="985" spans="1:3">
      <c r="A985" s="25" t="s">
        <v>1546</v>
      </c>
      <c r="B985" s="28">
        <v>252.88</v>
      </c>
      <c r="C985" s="27">
        <f t="shared" si="15"/>
        <v>7.5466067426460269E-4</v>
      </c>
    </row>
    <row r="986" spans="1:3">
      <c r="A986" s="25" t="s">
        <v>1547</v>
      </c>
      <c r="B986" s="28">
        <v>252.88</v>
      </c>
      <c r="C986" s="27">
        <f t="shared" si="15"/>
        <v>7.5466067426460269E-4</v>
      </c>
    </row>
    <row r="987" spans="1:3">
      <c r="A987" s="25" t="s">
        <v>1548</v>
      </c>
      <c r="B987" s="28">
        <v>252.88</v>
      </c>
      <c r="C987" s="27">
        <f t="shared" si="15"/>
        <v>7.5466067426460269E-4</v>
      </c>
    </row>
    <row r="988" spans="1:3">
      <c r="A988" s="25" t="s">
        <v>1549</v>
      </c>
      <c r="B988" s="28">
        <v>252.88</v>
      </c>
      <c r="C988" s="27">
        <f t="shared" si="15"/>
        <v>7.5466067426460269E-4</v>
      </c>
    </row>
    <row r="989" spans="1:3">
      <c r="A989" s="25" t="s">
        <v>1550</v>
      </c>
      <c r="B989" s="28">
        <v>252.88</v>
      </c>
      <c r="C989" s="27">
        <f t="shared" si="15"/>
        <v>7.5466067426460269E-4</v>
      </c>
    </row>
    <row r="990" spans="1:3">
      <c r="A990" s="25" t="s">
        <v>1551</v>
      </c>
      <c r="B990" s="28">
        <v>252.88</v>
      </c>
      <c r="C990" s="27">
        <f t="shared" si="15"/>
        <v>7.5466067426460269E-4</v>
      </c>
    </row>
    <row r="991" spans="1:3">
      <c r="A991" s="25" t="s">
        <v>1552</v>
      </c>
      <c r="B991" s="28">
        <v>0</v>
      </c>
      <c r="C991" s="27">
        <f t="shared" si="15"/>
        <v>0</v>
      </c>
    </row>
    <row r="992" spans="1:3">
      <c r="A992" s="25" t="s">
        <v>1553</v>
      </c>
      <c r="B992" s="28">
        <v>252.88</v>
      </c>
      <c r="C992" s="27">
        <f t="shared" si="15"/>
        <v>7.5466067426460269E-4</v>
      </c>
    </row>
    <row r="993" spans="1:3">
      <c r="A993" s="25" t="s">
        <v>1554</v>
      </c>
      <c r="B993" s="28">
        <v>252.88</v>
      </c>
      <c r="C993" s="27">
        <f t="shared" si="15"/>
        <v>7.5466067426460269E-4</v>
      </c>
    </row>
    <row r="994" spans="1:3">
      <c r="A994" s="25" t="s">
        <v>1555</v>
      </c>
      <c r="B994" s="28">
        <v>268.685</v>
      </c>
      <c r="C994" s="27">
        <f t="shared" si="15"/>
        <v>8.0182696640614039E-4</v>
      </c>
    </row>
    <row r="995" spans="1:3">
      <c r="A995" s="25" t="s">
        <v>1556</v>
      </c>
      <c r="B995" s="28">
        <v>252.88</v>
      </c>
      <c r="C995" s="27">
        <f t="shared" si="15"/>
        <v>7.5466067426460269E-4</v>
      </c>
    </row>
    <row r="996" spans="1:3">
      <c r="A996" s="25" t="s">
        <v>1557</v>
      </c>
      <c r="B996" s="28">
        <v>268.685</v>
      </c>
      <c r="C996" s="27">
        <f t="shared" si="15"/>
        <v>8.0182696640614039E-4</v>
      </c>
    </row>
    <row r="997" spans="1:3">
      <c r="A997" s="25" t="s">
        <v>1558</v>
      </c>
      <c r="B997" s="28">
        <v>252.88</v>
      </c>
      <c r="C997" s="27">
        <f t="shared" si="15"/>
        <v>7.5466067426460269E-4</v>
      </c>
    </row>
    <row r="998" spans="1:3">
      <c r="A998" s="25" t="s">
        <v>1559</v>
      </c>
      <c r="B998" s="28">
        <v>252.88</v>
      </c>
      <c r="C998" s="27">
        <f t="shared" si="15"/>
        <v>7.5466067426460269E-4</v>
      </c>
    </row>
    <row r="999" spans="1:3">
      <c r="A999" s="25" t="s">
        <v>1560</v>
      </c>
      <c r="B999" s="28">
        <v>237.07499999999999</v>
      </c>
      <c r="C999" s="27">
        <f t="shared" si="15"/>
        <v>7.074943821230651E-4</v>
      </c>
    </row>
    <row r="1000" spans="1:3">
      <c r="A1000" s="25" t="s">
        <v>1561</v>
      </c>
      <c r="B1000" s="28">
        <v>0</v>
      </c>
      <c r="C1000" s="27">
        <f t="shared" si="15"/>
        <v>0</v>
      </c>
    </row>
    <row r="1001" spans="1:3">
      <c r="A1001" s="25" t="s">
        <v>1562</v>
      </c>
      <c r="B1001" s="28">
        <v>0</v>
      </c>
      <c r="C1001" s="27">
        <f t="shared" si="15"/>
        <v>0</v>
      </c>
    </row>
    <row r="1002" spans="1:3">
      <c r="A1002" s="25" t="s">
        <v>1563</v>
      </c>
      <c r="B1002" s="28">
        <v>252.88</v>
      </c>
      <c r="C1002" s="27">
        <f t="shared" si="15"/>
        <v>7.5466067426460269E-4</v>
      </c>
    </row>
    <row r="1003" spans="1:3">
      <c r="A1003" s="25" t="s">
        <v>1564</v>
      </c>
      <c r="B1003" s="28">
        <v>252.88</v>
      </c>
      <c r="C1003" s="27">
        <f t="shared" ref="C1003:C1066" si="16">IFERROR(B1003/$S$2,"")</f>
        <v>7.5466067426460269E-4</v>
      </c>
    </row>
    <row r="1004" spans="1:3">
      <c r="A1004" s="25" t="s">
        <v>1565</v>
      </c>
      <c r="B1004" s="28">
        <v>252.88</v>
      </c>
      <c r="C1004" s="27">
        <f t="shared" si="16"/>
        <v>7.5466067426460269E-4</v>
      </c>
    </row>
    <row r="1005" spans="1:3">
      <c r="A1005" s="25" t="s">
        <v>1566</v>
      </c>
      <c r="B1005" s="28">
        <v>252.88</v>
      </c>
      <c r="C1005" s="27">
        <f t="shared" si="16"/>
        <v>7.5466067426460269E-4</v>
      </c>
    </row>
    <row r="1006" spans="1:3">
      <c r="A1006" s="25" t="s">
        <v>1567</v>
      </c>
      <c r="B1006" s="28">
        <v>252.88</v>
      </c>
      <c r="C1006" s="27">
        <f t="shared" si="16"/>
        <v>7.5466067426460269E-4</v>
      </c>
    </row>
    <row r="1007" spans="1:3">
      <c r="A1007" s="25" t="s">
        <v>1568</v>
      </c>
      <c r="B1007" s="28">
        <v>252.88</v>
      </c>
      <c r="C1007" s="27">
        <f t="shared" si="16"/>
        <v>7.5466067426460269E-4</v>
      </c>
    </row>
    <row r="1008" spans="1:3">
      <c r="A1008" s="25" t="s">
        <v>1569</v>
      </c>
      <c r="B1008" s="28">
        <v>252.88</v>
      </c>
      <c r="C1008" s="27">
        <f t="shared" si="16"/>
        <v>7.5466067426460269E-4</v>
      </c>
    </row>
    <row r="1009" spans="1:3">
      <c r="A1009" s="25" t="s">
        <v>1570</v>
      </c>
      <c r="B1009" s="28">
        <v>252.88</v>
      </c>
      <c r="C1009" s="27">
        <f t="shared" si="16"/>
        <v>7.5466067426460269E-4</v>
      </c>
    </row>
    <row r="1010" spans="1:3">
      <c r="A1010" s="25" t="s">
        <v>1571</v>
      </c>
      <c r="B1010" s="28">
        <v>0</v>
      </c>
      <c r="C1010" s="27">
        <f t="shared" si="16"/>
        <v>0</v>
      </c>
    </row>
    <row r="1011" spans="1:3">
      <c r="A1011" s="25" t="s">
        <v>1572</v>
      </c>
      <c r="B1011" s="28">
        <v>0</v>
      </c>
      <c r="C1011" s="27">
        <f t="shared" si="16"/>
        <v>0</v>
      </c>
    </row>
    <row r="1012" spans="1:3">
      <c r="A1012" s="25" t="s">
        <v>1573</v>
      </c>
      <c r="B1012" s="28">
        <v>252.88</v>
      </c>
      <c r="C1012" s="27">
        <f t="shared" si="16"/>
        <v>7.5466067426460269E-4</v>
      </c>
    </row>
    <row r="1013" spans="1:3">
      <c r="A1013" s="25" t="s">
        <v>1574</v>
      </c>
      <c r="B1013" s="28">
        <v>252.88</v>
      </c>
      <c r="C1013" s="27">
        <f t="shared" si="16"/>
        <v>7.5466067426460269E-4</v>
      </c>
    </row>
    <row r="1014" spans="1:3">
      <c r="A1014" s="25" t="s">
        <v>1575</v>
      </c>
      <c r="B1014" s="28">
        <v>221.27</v>
      </c>
      <c r="C1014" s="27">
        <f t="shared" si="16"/>
        <v>6.6032808998152739E-4</v>
      </c>
    </row>
    <row r="1015" spans="1:3">
      <c r="A1015" s="25" t="s">
        <v>1576</v>
      </c>
      <c r="B1015" s="28">
        <v>252.88</v>
      </c>
      <c r="C1015" s="27">
        <f t="shared" si="16"/>
        <v>7.5466067426460269E-4</v>
      </c>
    </row>
    <row r="1016" spans="1:3">
      <c r="A1016" s="25" t="s">
        <v>1577</v>
      </c>
      <c r="B1016" s="28">
        <v>252.88</v>
      </c>
      <c r="C1016" s="27">
        <f t="shared" si="16"/>
        <v>7.5466067426460269E-4</v>
      </c>
    </row>
    <row r="1017" spans="1:3">
      <c r="A1017" s="25" t="s">
        <v>1578</v>
      </c>
      <c r="B1017" s="28">
        <v>221.27</v>
      </c>
      <c r="C1017" s="27">
        <f t="shared" si="16"/>
        <v>6.6032808998152739E-4</v>
      </c>
    </row>
    <row r="1018" spans="1:3">
      <c r="A1018" s="25" t="s">
        <v>1579</v>
      </c>
      <c r="B1018" s="28">
        <v>252.88</v>
      </c>
      <c r="C1018" s="27">
        <f t="shared" si="16"/>
        <v>7.5466067426460269E-4</v>
      </c>
    </row>
    <row r="1019" spans="1:3">
      <c r="A1019" s="25" t="s">
        <v>1580</v>
      </c>
      <c r="B1019" s="28">
        <v>252.88</v>
      </c>
      <c r="C1019" s="27">
        <f t="shared" si="16"/>
        <v>7.5466067426460269E-4</v>
      </c>
    </row>
    <row r="1020" spans="1:3">
      <c r="A1020" s="25" t="s">
        <v>1581</v>
      </c>
      <c r="B1020" s="28">
        <v>252.88</v>
      </c>
      <c r="C1020" s="27">
        <f t="shared" si="16"/>
        <v>7.5466067426460269E-4</v>
      </c>
    </row>
    <row r="1021" spans="1:3">
      <c r="A1021" s="25" t="s">
        <v>1582</v>
      </c>
      <c r="B1021" s="28">
        <v>0</v>
      </c>
      <c r="C1021" s="27">
        <f t="shared" si="16"/>
        <v>0</v>
      </c>
    </row>
    <row r="1022" spans="1:3">
      <c r="A1022" s="25" t="s">
        <v>1583</v>
      </c>
      <c r="B1022" s="28">
        <v>252.88</v>
      </c>
      <c r="C1022" s="27">
        <f t="shared" si="16"/>
        <v>7.5466067426460269E-4</v>
      </c>
    </row>
    <row r="1023" spans="1:3">
      <c r="A1023" s="25" t="s">
        <v>1584</v>
      </c>
      <c r="B1023" s="28">
        <v>252.88</v>
      </c>
      <c r="C1023" s="27">
        <f t="shared" si="16"/>
        <v>7.5466067426460269E-4</v>
      </c>
    </row>
    <row r="1024" spans="1:3">
      <c r="A1024" s="25" t="s">
        <v>1585</v>
      </c>
      <c r="B1024" s="28">
        <v>252.88</v>
      </c>
      <c r="C1024" s="27">
        <f t="shared" si="16"/>
        <v>7.5466067426460269E-4</v>
      </c>
    </row>
    <row r="1025" spans="1:3">
      <c r="A1025" s="25" t="s">
        <v>1586</v>
      </c>
      <c r="B1025" s="28">
        <v>252.88</v>
      </c>
      <c r="C1025" s="27">
        <f t="shared" si="16"/>
        <v>7.5466067426460269E-4</v>
      </c>
    </row>
    <row r="1026" spans="1:3">
      <c r="A1026" s="25" t="s">
        <v>1587</v>
      </c>
      <c r="B1026" s="28">
        <v>252.88</v>
      </c>
      <c r="C1026" s="27">
        <f t="shared" si="16"/>
        <v>7.5466067426460269E-4</v>
      </c>
    </row>
    <row r="1027" spans="1:3">
      <c r="A1027" s="25" t="s">
        <v>1588</v>
      </c>
      <c r="B1027" s="28">
        <v>252.88</v>
      </c>
      <c r="C1027" s="27">
        <f t="shared" si="16"/>
        <v>7.5466067426460269E-4</v>
      </c>
    </row>
    <row r="1028" spans="1:3">
      <c r="A1028" s="25" t="s">
        <v>1589</v>
      </c>
      <c r="B1028" s="28">
        <v>252.88</v>
      </c>
      <c r="C1028" s="27">
        <f t="shared" si="16"/>
        <v>7.5466067426460269E-4</v>
      </c>
    </row>
    <row r="1029" spans="1:3">
      <c r="A1029" s="25" t="s">
        <v>1590</v>
      </c>
      <c r="B1029" s="28">
        <v>252.88</v>
      </c>
      <c r="C1029" s="27">
        <f t="shared" si="16"/>
        <v>7.5466067426460269E-4</v>
      </c>
    </row>
    <row r="1030" spans="1:3">
      <c r="A1030" s="25" t="s">
        <v>1591</v>
      </c>
      <c r="B1030" s="28">
        <v>0</v>
      </c>
      <c r="C1030" s="27">
        <f t="shared" si="16"/>
        <v>0</v>
      </c>
    </row>
    <row r="1031" spans="1:3">
      <c r="A1031" s="25" t="s">
        <v>1592</v>
      </c>
      <c r="B1031" s="28">
        <v>0</v>
      </c>
      <c r="C1031" s="27">
        <f t="shared" si="16"/>
        <v>0</v>
      </c>
    </row>
    <row r="1032" spans="1:3">
      <c r="A1032" s="25" t="s">
        <v>1593</v>
      </c>
      <c r="B1032" s="28">
        <v>252.88</v>
      </c>
      <c r="C1032" s="27">
        <f t="shared" si="16"/>
        <v>7.5466067426460269E-4</v>
      </c>
    </row>
    <row r="1033" spans="1:3">
      <c r="A1033" s="25" t="s">
        <v>1594</v>
      </c>
      <c r="B1033" s="28">
        <v>252.88</v>
      </c>
      <c r="C1033" s="27">
        <f t="shared" si="16"/>
        <v>7.5466067426460269E-4</v>
      </c>
    </row>
    <row r="1034" spans="1:3">
      <c r="A1034" s="25" t="s">
        <v>1595</v>
      </c>
      <c r="B1034" s="28">
        <v>221.27</v>
      </c>
      <c r="C1034" s="27">
        <f t="shared" si="16"/>
        <v>6.6032808998152739E-4</v>
      </c>
    </row>
    <row r="1035" spans="1:3">
      <c r="A1035" s="25" t="s">
        <v>1596</v>
      </c>
      <c r="B1035" s="28">
        <v>221.27</v>
      </c>
      <c r="C1035" s="27">
        <f t="shared" si="16"/>
        <v>6.6032808998152739E-4</v>
      </c>
    </row>
    <row r="1036" spans="1:3">
      <c r="A1036" s="25" t="s">
        <v>1597</v>
      </c>
      <c r="B1036" s="28">
        <v>221.27</v>
      </c>
      <c r="C1036" s="27">
        <f t="shared" si="16"/>
        <v>6.6032808998152739E-4</v>
      </c>
    </row>
    <row r="1037" spans="1:3">
      <c r="A1037" s="25" t="s">
        <v>1598</v>
      </c>
      <c r="B1037" s="28">
        <v>205.465</v>
      </c>
      <c r="C1037" s="27">
        <f t="shared" si="16"/>
        <v>6.1316179783998969E-4</v>
      </c>
    </row>
    <row r="1038" spans="1:3">
      <c r="A1038" s="25" t="s">
        <v>1599</v>
      </c>
      <c r="B1038" s="28">
        <v>252.88</v>
      </c>
      <c r="C1038" s="27">
        <f t="shared" si="16"/>
        <v>7.5466067426460269E-4</v>
      </c>
    </row>
    <row r="1039" spans="1:3">
      <c r="A1039" s="25" t="s">
        <v>1600</v>
      </c>
      <c r="B1039" s="28">
        <v>158.05000000000001</v>
      </c>
      <c r="C1039" s="27">
        <f t="shared" si="16"/>
        <v>4.7166292141537675E-4</v>
      </c>
    </row>
    <row r="1040" spans="1:3">
      <c r="A1040" s="25" t="s">
        <v>1601</v>
      </c>
      <c r="B1040" s="28">
        <v>0</v>
      </c>
      <c r="C1040" s="27">
        <f t="shared" si="16"/>
        <v>0</v>
      </c>
    </row>
    <row r="1041" spans="1:3">
      <c r="A1041" s="25" t="s">
        <v>1602</v>
      </c>
      <c r="B1041" s="28">
        <v>0</v>
      </c>
      <c r="C1041" s="27">
        <f t="shared" si="16"/>
        <v>0</v>
      </c>
    </row>
    <row r="1042" spans="1:3">
      <c r="A1042" s="25" t="s">
        <v>1603</v>
      </c>
      <c r="B1042" s="28">
        <v>266.22000000000003</v>
      </c>
      <c r="C1042" s="27">
        <f t="shared" si="16"/>
        <v>7.9447075570516677E-4</v>
      </c>
    </row>
    <row r="1043" spans="1:3">
      <c r="A1043" s="25" t="s">
        <v>1604</v>
      </c>
      <c r="B1043" s="28">
        <v>266.22000000000003</v>
      </c>
      <c r="C1043" s="27">
        <f t="shared" si="16"/>
        <v>7.9447075570516677E-4</v>
      </c>
    </row>
    <row r="1044" spans="1:3">
      <c r="A1044" s="25" t="s">
        <v>1605</v>
      </c>
      <c r="B1044" s="28">
        <v>250.56</v>
      </c>
      <c r="C1044" s="27">
        <f t="shared" si="16"/>
        <v>7.4773718184015681E-4</v>
      </c>
    </row>
    <row r="1045" spans="1:3">
      <c r="A1045" s="25" t="s">
        <v>1606</v>
      </c>
      <c r="B1045" s="28">
        <v>250.56</v>
      </c>
      <c r="C1045" s="27">
        <f t="shared" si="16"/>
        <v>7.4773718184015681E-4</v>
      </c>
    </row>
    <row r="1046" spans="1:3">
      <c r="A1046" s="25" t="s">
        <v>1607</v>
      </c>
      <c r="B1046" s="28">
        <v>250.56</v>
      </c>
      <c r="C1046" s="27">
        <f t="shared" si="16"/>
        <v>7.4773718184015681E-4</v>
      </c>
    </row>
    <row r="1047" spans="1:3">
      <c r="A1047" s="25" t="s">
        <v>1608</v>
      </c>
      <c r="B1047" s="28">
        <v>250.56</v>
      </c>
      <c r="C1047" s="27">
        <f t="shared" si="16"/>
        <v>7.4773718184015681E-4</v>
      </c>
    </row>
    <row r="1048" spans="1:3">
      <c r="A1048" s="25" t="s">
        <v>1609</v>
      </c>
      <c r="B1048" s="28">
        <v>250.56</v>
      </c>
      <c r="C1048" s="27">
        <f t="shared" si="16"/>
        <v>7.4773718184015681E-4</v>
      </c>
    </row>
    <row r="1049" spans="1:3">
      <c r="A1049" s="25" t="s">
        <v>1610</v>
      </c>
      <c r="B1049" s="28">
        <v>156.6</v>
      </c>
      <c r="C1049" s="27">
        <f t="shared" si="16"/>
        <v>4.6733573865009799E-4</v>
      </c>
    </row>
    <row r="1050" spans="1:3">
      <c r="A1050" s="25" t="s">
        <v>1611</v>
      </c>
      <c r="B1050" s="28">
        <v>250.56</v>
      </c>
      <c r="C1050" s="27">
        <f t="shared" si="16"/>
        <v>7.4773718184015681E-4</v>
      </c>
    </row>
    <row r="1051" spans="1:3">
      <c r="A1051" s="25" t="s">
        <v>1612</v>
      </c>
      <c r="B1051" s="28">
        <v>0</v>
      </c>
      <c r="C1051" s="27">
        <f t="shared" si="16"/>
        <v>0</v>
      </c>
    </row>
    <row r="1052" spans="1:3">
      <c r="A1052" s="25" t="s">
        <v>1613</v>
      </c>
      <c r="B1052" s="28">
        <v>266.22000000000003</v>
      </c>
      <c r="C1052" s="27">
        <f t="shared" si="16"/>
        <v>7.9447075570516677E-4</v>
      </c>
    </row>
    <row r="1053" spans="1:3">
      <c r="A1053" s="25" t="s">
        <v>1614</v>
      </c>
      <c r="B1053" s="28">
        <v>266.22000000000003</v>
      </c>
      <c r="C1053" s="27">
        <f t="shared" si="16"/>
        <v>7.9447075570516677E-4</v>
      </c>
    </row>
    <row r="1054" spans="1:3">
      <c r="A1054" s="25" t="s">
        <v>1615</v>
      </c>
      <c r="B1054" s="28">
        <v>266.22000000000003</v>
      </c>
      <c r="C1054" s="27">
        <f t="shared" si="16"/>
        <v>7.9447075570516677E-4</v>
      </c>
    </row>
    <row r="1055" spans="1:3">
      <c r="A1055" s="25" t="s">
        <v>1616</v>
      </c>
      <c r="B1055" s="28">
        <v>266.22000000000003</v>
      </c>
      <c r="C1055" s="27">
        <f t="shared" si="16"/>
        <v>7.9447075570516677E-4</v>
      </c>
    </row>
    <row r="1056" spans="1:3">
      <c r="A1056" s="25" t="s">
        <v>1617</v>
      </c>
      <c r="B1056" s="28">
        <v>266.22000000000003</v>
      </c>
      <c r="C1056" s="27">
        <f t="shared" si="16"/>
        <v>7.9447075570516677E-4</v>
      </c>
    </row>
    <row r="1057" spans="1:3">
      <c r="A1057" s="25" t="s">
        <v>1618</v>
      </c>
      <c r="B1057" s="28">
        <v>266.22000000000003</v>
      </c>
      <c r="C1057" s="27">
        <f t="shared" si="16"/>
        <v>7.9447075570516677E-4</v>
      </c>
    </row>
    <row r="1058" spans="1:3">
      <c r="A1058" s="25" t="s">
        <v>1619</v>
      </c>
      <c r="B1058" s="28">
        <v>266.22000000000003</v>
      </c>
      <c r="C1058" s="27">
        <f t="shared" si="16"/>
        <v>7.9447075570516677E-4</v>
      </c>
    </row>
    <row r="1059" spans="1:3">
      <c r="A1059" s="25" t="s">
        <v>1620</v>
      </c>
      <c r="B1059" s="28">
        <v>250.56</v>
      </c>
      <c r="C1059" s="27">
        <f t="shared" si="16"/>
        <v>7.4773718184015681E-4</v>
      </c>
    </row>
    <row r="1060" spans="1:3">
      <c r="A1060" s="25" t="s">
        <v>1621</v>
      </c>
      <c r="B1060" s="28">
        <v>0</v>
      </c>
      <c r="C1060" s="27">
        <f t="shared" si="16"/>
        <v>0</v>
      </c>
    </row>
    <row r="1061" spans="1:3">
      <c r="A1061" s="25" t="s">
        <v>1622</v>
      </c>
      <c r="B1061" s="28">
        <v>0</v>
      </c>
      <c r="C1061" s="27">
        <f t="shared" si="16"/>
        <v>0</v>
      </c>
    </row>
    <row r="1062" spans="1:3">
      <c r="A1062" s="25" t="s">
        <v>1623</v>
      </c>
      <c r="B1062" s="28">
        <v>219.24</v>
      </c>
      <c r="C1062" s="27">
        <f t="shared" si="16"/>
        <v>6.5427003411013722E-4</v>
      </c>
    </row>
    <row r="1063" spans="1:3">
      <c r="A1063" s="25" t="s">
        <v>1624</v>
      </c>
      <c r="B1063" s="28">
        <v>250.56</v>
      </c>
      <c r="C1063" s="27">
        <f t="shared" si="16"/>
        <v>7.4773718184015681E-4</v>
      </c>
    </row>
    <row r="1064" spans="1:3">
      <c r="A1064" s="25" t="s">
        <v>1625</v>
      </c>
      <c r="B1064" s="28">
        <v>250.56</v>
      </c>
      <c r="C1064" s="27">
        <f t="shared" si="16"/>
        <v>7.4773718184015681E-4</v>
      </c>
    </row>
    <row r="1065" spans="1:3">
      <c r="A1065" s="25" t="s">
        <v>1626</v>
      </c>
      <c r="B1065" s="28">
        <v>250.56</v>
      </c>
      <c r="C1065" s="27">
        <f t="shared" si="16"/>
        <v>7.4773718184015681E-4</v>
      </c>
    </row>
    <row r="1066" spans="1:3">
      <c r="A1066" s="25" t="s">
        <v>1627</v>
      </c>
      <c r="B1066" s="28">
        <v>219.24</v>
      </c>
      <c r="C1066" s="27">
        <f t="shared" si="16"/>
        <v>6.5427003411013722E-4</v>
      </c>
    </row>
    <row r="1067" spans="1:3">
      <c r="A1067" s="25" t="s">
        <v>1628</v>
      </c>
      <c r="B1067" s="28">
        <v>250.56</v>
      </c>
      <c r="C1067" s="27">
        <f t="shared" ref="C1067:C1130" si="17">IFERROR(B1067/$S$2,"")</f>
        <v>7.4773718184015681E-4</v>
      </c>
    </row>
    <row r="1068" spans="1:3">
      <c r="A1068" s="25" t="s">
        <v>1629</v>
      </c>
      <c r="B1068" s="28">
        <v>250.56</v>
      </c>
      <c r="C1068" s="27">
        <f t="shared" si="17"/>
        <v>7.4773718184015681E-4</v>
      </c>
    </row>
    <row r="1069" spans="1:3">
      <c r="A1069" s="25" t="s">
        <v>1630</v>
      </c>
      <c r="B1069" s="28">
        <v>250.56</v>
      </c>
      <c r="C1069" s="27">
        <f t="shared" si="17"/>
        <v>7.4773718184015681E-4</v>
      </c>
    </row>
    <row r="1070" spans="1:3">
      <c r="A1070" s="25" t="s">
        <v>1631</v>
      </c>
      <c r="B1070" s="28">
        <v>0</v>
      </c>
      <c r="C1070" s="27">
        <f t="shared" si="17"/>
        <v>0</v>
      </c>
    </row>
    <row r="1071" spans="1:3">
      <c r="A1071" s="25" t="s">
        <v>1632</v>
      </c>
      <c r="B1071" s="28">
        <v>0</v>
      </c>
      <c r="C1071" s="27">
        <f t="shared" si="17"/>
        <v>0</v>
      </c>
    </row>
    <row r="1072" spans="1:3">
      <c r="A1072" s="25" t="s">
        <v>1633</v>
      </c>
      <c r="B1072" s="28">
        <v>250.56</v>
      </c>
      <c r="C1072" s="27">
        <f t="shared" si="17"/>
        <v>7.4773718184015681E-4</v>
      </c>
    </row>
    <row r="1073" spans="1:3">
      <c r="A1073" s="25" t="s">
        <v>1634</v>
      </c>
      <c r="B1073" s="28">
        <v>250.56</v>
      </c>
      <c r="C1073" s="27">
        <f t="shared" si="17"/>
        <v>7.4773718184015681E-4</v>
      </c>
    </row>
    <row r="1074" spans="1:3">
      <c r="A1074" s="25" t="s">
        <v>1635</v>
      </c>
      <c r="B1074" s="28">
        <v>250.56</v>
      </c>
      <c r="C1074" s="27">
        <f t="shared" si="17"/>
        <v>7.4773718184015681E-4</v>
      </c>
    </row>
    <row r="1075" spans="1:3">
      <c r="A1075" s="25" t="s">
        <v>1636</v>
      </c>
      <c r="B1075" s="28">
        <v>250.56</v>
      </c>
      <c r="C1075" s="27">
        <f t="shared" si="17"/>
        <v>7.4773718184015681E-4</v>
      </c>
    </row>
    <row r="1076" spans="1:3">
      <c r="A1076" s="25" t="s">
        <v>1637</v>
      </c>
      <c r="B1076" s="28">
        <v>250.56</v>
      </c>
      <c r="C1076" s="27">
        <f t="shared" si="17"/>
        <v>7.4773718184015681E-4</v>
      </c>
    </row>
    <row r="1077" spans="1:3">
      <c r="A1077" s="25" t="s">
        <v>1638</v>
      </c>
      <c r="B1077" s="28">
        <v>250.56</v>
      </c>
      <c r="C1077" s="27">
        <f t="shared" si="17"/>
        <v>7.4773718184015681E-4</v>
      </c>
    </row>
    <row r="1078" spans="1:3">
      <c r="A1078" s="25" t="s">
        <v>1639</v>
      </c>
      <c r="B1078" s="28">
        <v>250.56</v>
      </c>
      <c r="C1078" s="27">
        <f t="shared" si="17"/>
        <v>7.4773718184015681E-4</v>
      </c>
    </row>
    <row r="1079" spans="1:3">
      <c r="A1079" s="25" t="s">
        <v>1640</v>
      </c>
      <c r="B1079" s="28">
        <v>250.56</v>
      </c>
      <c r="C1079" s="27">
        <f t="shared" si="17"/>
        <v>7.4773718184015681E-4</v>
      </c>
    </row>
    <row r="1080" spans="1:3">
      <c r="A1080" s="25" t="s">
        <v>1641</v>
      </c>
      <c r="B1080" s="28">
        <v>250.56</v>
      </c>
      <c r="C1080" s="27">
        <f t="shared" si="17"/>
        <v>7.4773718184015681E-4</v>
      </c>
    </row>
    <row r="1081" spans="1:3">
      <c r="A1081" s="25" t="s">
        <v>1642</v>
      </c>
      <c r="B1081" s="28">
        <v>0</v>
      </c>
      <c r="C1081" s="27">
        <f t="shared" si="17"/>
        <v>0</v>
      </c>
    </row>
    <row r="1082" spans="1:3">
      <c r="A1082" s="25" t="s">
        <v>1643</v>
      </c>
      <c r="B1082" s="28">
        <v>250.56</v>
      </c>
      <c r="C1082" s="27">
        <f t="shared" si="17"/>
        <v>7.4773718184015681E-4</v>
      </c>
    </row>
    <row r="1083" spans="1:3">
      <c r="A1083" s="25" t="s">
        <v>1644</v>
      </c>
      <c r="B1083" s="28">
        <v>219.24</v>
      </c>
      <c r="C1083" s="27">
        <f t="shared" si="17"/>
        <v>6.5427003411013722E-4</v>
      </c>
    </row>
    <row r="1084" spans="1:3">
      <c r="A1084" s="25" t="s">
        <v>1645</v>
      </c>
      <c r="B1084" s="28">
        <v>219.24</v>
      </c>
      <c r="C1084" s="27">
        <f t="shared" si="17"/>
        <v>6.5427003411013722E-4</v>
      </c>
    </row>
    <row r="1085" spans="1:3">
      <c r="A1085" s="25" t="s">
        <v>1646</v>
      </c>
      <c r="B1085" s="28">
        <v>250.56</v>
      </c>
      <c r="C1085" s="27">
        <f t="shared" si="17"/>
        <v>7.4773718184015681E-4</v>
      </c>
    </row>
    <row r="1086" spans="1:3">
      <c r="A1086" s="25" t="s">
        <v>1647</v>
      </c>
      <c r="B1086" s="28">
        <v>250.56</v>
      </c>
      <c r="C1086" s="27">
        <f t="shared" si="17"/>
        <v>7.4773718184015681E-4</v>
      </c>
    </row>
    <row r="1087" spans="1:3">
      <c r="A1087" s="25" t="s">
        <v>1648</v>
      </c>
      <c r="B1087" s="28">
        <v>250.56</v>
      </c>
      <c r="C1087" s="27">
        <f t="shared" si="17"/>
        <v>7.4773718184015681E-4</v>
      </c>
    </row>
    <row r="1088" spans="1:3">
      <c r="A1088" s="25" t="s">
        <v>1649</v>
      </c>
      <c r="B1088" s="28">
        <v>250.56</v>
      </c>
      <c r="C1088" s="27">
        <f t="shared" si="17"/>
        <v>7.4773718184015681E-4</v>
      </c>
    </row>
    <row r="1089" spans="1:3">
      <c r="A1089" s="25" t="s">
        <v>1650</v>
      </c>
      <c r="B1089" s="28">
        <v>250.56</v>
      </c>
      <c r="C1089" s="27">
        <f t="shared" si="17"/>
        <v>7.4773718184015681E-4</v>
      </c>
    </row>
    <row r="1090" spans="1:3">
      <c r="A1090" s="25" t="s">
        <v>1651</v>
      </c>
      <c r="B1090" s="28">
        <v>250.56</v>
      </c>
      <c r="C1090" s="27">
        <f t="shared" si="17"/>
        <v>7.4773718184015681E-4</v>
      </c>
    </row>
    <row r="1091" spans="1:3">
      <c r="A1091" s="25" t="s">
        <v>1652</v>
      </c>
      <c r="B1091" s="28">
        <v>0</v>
      </c>
      <c r="C1091" s="27">
        <f t="shared" si="17"/>
        <v>0</v>
      </c>
    </row>
    <row r="1092" spans="1:3">
      <c r="A1092" s="25" t="s">
        <v>1653</v>
      </c>
      <c r="B1092" s="28">
        <v>250.56</v>
      </c>
      <c r="C1092" s="27">
        <f t="shared" si="17"/>
        <v>7.4773718184015681E-4</v>
      </c>
    </row>
    <row r="1093" spans="1:3">
      <c r="A1093" s="25" t="s">
        <v>1654</v>
      </c>
      <c r="B1093" s="28">
        <v>250.56</v>
      </c>
      <c r="C1093" s="27">
        <f t="shared" si="17"/>
        <v>7.4773718184015681E-4</v>
      </c>
    </row>
    <row r="1094" spans="1:3">
      <c r="A1094" s="25" t="s">
        <v>1655</v>
      </c>
      <c r="B1094" s="28">
        <v>250.56</v>
      </c>
      <c r="C1094" s="27">
        <f t="shared" si="17"/>
        <v>7.4773718184015681E-4</v>
      </c>
    </row>
    <row r="1095" spans="1:3">
      <c r="A1095" s="25" t="s">
        <v>1656</v>
      </c>
      <c r="B1095" s="28">
        <v>250.56</v>
      </c>
      <c r="C1095" s="27">
        <f t="shared" si="17"/>
        <v>7.4773718184015681E-4</v>
      </c>
    </row>
    <row r="1096" spans="1:3">
      <c r="A1096" s="25" t="s">
        <v>1657</v>
      </c>
      <c r="B1096" s="28">
        <v>250.56</v>
      </c>
      <c r="C1096" s="27">
        <f t="shared" si="17"/>
        <v>7.4773718184015681E-4</v>
      </c>
    </row>
    <row r="1097" spans="1:3">
      <c r="A1097" s="25" t="s">
        <v>1658</v>
      </c>
      <c r="B1097" s="28">
        <v>250.56</v>
      </c>
      <c r="C1097" s="27">
        <f t="shared" si="17"/>
        <v>7.4773718184015681E-4</v>
      </c>
    </row>
    <row r="1098" spans="1:3">
      <c r="A1098" s="25" t="s">
        <v>1659</v>
      </c>
      <c r="B1098" s="28">
        <v>250.56</v>
      </c>
      <c r="C1098" s="27">
        <f t="shared" si="17"/>
        <v>7.4773718184015681E-4</v>
      </c>
    </row>
    <row r="1099" spans="1:3">
      <c r="A1099" s="25" t="s">
        <v>1660</v>
      </c>
      <c r="B1099" s="28">
        <v>250.56</v>
      </c>
      <c r="C1099" s="27">
        <f t="shared" si="17"/>
        <v>7.4773718184015681E-4</v>
      </c>
    </row>
    <row r="1100" spans="1:3">
      <c r="A1100" s="25" t="s">
        <v>1661</v>
      </c>
      <c r="B1100" s="28">
        <v>0</v>
      </c>
      <c r="C1100" s="27">
        <f t="shared" si="17"/>
        <v>0</v>
      </c>
    </row>
    <row r="1101" spans="1:3">
      <c r="A1101" s="25" t="s">
        <v>1662</v>
      </c>
      <c r="B1101" s="28">
        <v>0</v>
      </c>
      <c r="C1101" s="27">
        <f t="shared" si="17"/>
        <v>0</v>
      </c>
    </row>
    <row r="1102" spans="1:3">
      <c r="A1102" s="25" t="s">
        <v>1663</v>
      </c>
      <c r="B1102" s="28">
        <v>250.56</v>
      </c>
      <c r="C1102" s="27">
        <f t="shared" si="17"/>
        <v>7.4773718184015681E-4</v>
      </c>
    </row>
    <row r="1103" spans="1:3">
      <c r="A1103" s="25" t="s">
        <v>1664</v>
      </c>
      <c r="B1103" s="28">
        <v>250.56</v>
      </c>
      <c r="C1103" s="27">
        <f t="shared" si="17"/>
        <v>7.4773718184015681E-4</v>
      </c>
    </row>
    <row r="1104" spans="1:3">
      <c r="A1104" s="25" t="s">
        <v>1665</v>
      </c>
      <c r="B1104" s="28">
        <v>250.56</v>
      </c>
      <c r="C1104" s="27">
        <f t="shared" si="17"/>
        <v>7.4773718184015681E-4</v>
      </c>
    </row>
    <row r="1105" spans="1:3">
      <c r="A1105" s="25" t="s">
        <v>1666</v>
      </c>
      <c r="B1105" s="28">
        <v>250.56</v>
      </c>
      <c r="C1105" s="27">
        <f t="shared" si="17"/>
        <v>7.4773718184015681E-4</v>
      </c>
    </row>
    <row r="1106" spans="1:3">
      <c r="A1106" s="25" t="s">
        <v>1667</v>
      </c>
      <c r="B1106" s="28">
        <v>250.56</v>
      </c>
      <c r="C1106" s="27">
        <f t="shared" si="17"/>
        <v>7.4773718184015681E-4</v>
      </c>
    </row>
    <row r="1107" spans="1:3">
      <c r="A1107" s="25" t="s">
        <v>1668</v>
      </c>
      <c r="B1107" s="28">
        <v>250.56</v>
      </c>
      <c r="C1107" s="27">
        <f t="shared" si="17"/>
        <v>7.4773718184015681E-4</v>
      </c>
    </row>
    <row r="1108" spans="1:3">
      <c r="A1108" s="25" t="s">
        <v>1669</v>
      </c>
      <c r="B1108" s="28">
        <v>250.56</v>
      </c>
      <c r="C1108" s="27">
        <f t="shared" si="17"/>
        <v>7.4773718184015681E-4</v>
      </c>
    </row>
    <row r="1109" spans="1:3">
      <c r="A1109" s="25" t="s">
        <v>1670</v>
      </c>
      <c r="B1109" s="28">
        <v>250.56</v>
      </c>
      <c r="C1109" s="27">
        <f t="shared" si="17"/>
        <v>7.4773718184015681E-4</v>
      </c>
    </row>
    <row r="1110" spans="1:3">
      <c r="A1110" s="25" t="s">
        <v>1671</v>
      </c>
      <c r="B1110" s="28">
        <v>0</v>
      </c>
      <c r="C1110" s="27">
        <f t="shared" si="17"/>
        <v>0</v>
      </c>
    </row>
    <row r="1111" spans="1:3">
      <c r="A1111" s="25" t="s">
        <v>1672</v>
      </c>
      <c r="B1111" s="28">
        <v>0</v>
      </c>
      <c r="C1111" s="27">
        <f t="shared" si="17"/>
        <v>0</v>
      </c>
    </row>
    <row r="1112" spans="1:3">
      <c r="A1112" s="25" t="s">
        <v>1673</v>
      </c>
      <c r="B1112" s="28">
        <v>250.56</v>
      </c>
      <c r="C1112" s="27">
        <f t="shared" si="17"/>
        <v>7.4773718184015681E-4</v>
      </c>
    </row>
    <row r="1113" spans="1:3">
      <c r="A1113" s="25" t="s">
        <v>1674</v>
      </c>
      <c r="B1113" s="28">
        <v>250.56</v>
      </c>
      <c r="C1113" s="27">
        <f t="shared" si="17"/>
        <v>7.4773718184015681E-4</v>
      </c>
    </row>
    <row r="1114" spans="1:3">
      <c r="A1114" s="25" t="s">
        <v>1675</v>
      </c>
      <c r="B1114" s="28">
        <v>250.56</v>
      </c>
      <c r="C1114" s="27">
        <f t="shared" si="17"/>
        <v>7.4773718184015681E-4</v>
      </c>
    </row>
    <row r="1115" spans="1:3">
      <c r="A1115" s="25" t="s">
        <v>1676</v>
      </c>
      <c r="B1115" s="28">
        <v>250.56</v>
      </c>
      <c r="C1115" s="27">
        <f t="shared" si="17"/>
        <v>7.4773718184015681E-4</v>
      </c>
    </row>
    <row r="1116" spans="1:3">
      <c r="A1116" s="25" t="s">
        <v>1677</v>
      </c>
      <c r="B1116" s="28">
        <v>250.56</v>
      </c>
      <c r="C1116" s="27">
        <f t="shared" si="17"/>
        <v>7.4773718184015681E-4</v>
      </c>
    </row>
    <row r="1117" spans="1:3">
      <c r="A1117" s="25" t="s">
        <v>1678</v>
      </c>
      <c r="B1117" s="28">
        <v>187.92</v>
      </c>
      <c r="C1117" s="27">
        <f t="shared" si="17"/>
        <v>5.6080288638011763E-4</v>
      </c>
    </row>
    <row r="1118" spans="1:3">
      <c r="A1118" s="25" t="s">
        <v>1679</v>
      </c>
      <c r="B1118" s="28">
        <v>250.56</v>
      </c>
      <c r="C1118" s="27">
        <f t="shared" si="17"/>
        <v>7.4773718184015681E-4</v>
      </c>
    </row>
    <row r="1119" spans="1:3">
      <c r="A1119" s="25" t="s">
        <v>1680</v>
      </c>
      <c r="B1119" s="28">
        <v>250.56</v>
      </c>
      <c r="C1119" s="27">
        <f t="shared" si="17"/>
        <v>7.4773718184015681E-4</v>
      </c>
    </row>
    <row r="1120" spans="1:3">
      <c r="A1120" s="25" t="s">
        <v>1681</v>
      </c>
      <c r="B1120" s="28">
        <v>266.22000000000003</v>
      </c>
      <c r="C1120" s="27">
        <f t="shared" si="17"/>
        <v>7.9447075570516677E-4</v>
      </c>
    </row>
    <row r="1121" spans="1:3">
      <c r="A1121" s="25" t="s">
        <v>1682</v>
      </c>
      <c r="B1121" s="28">
        <v>0</v>
      </c>
      <c r="C1121" s="27">
        <f t="shared" si="17"/>
        <v>0</v>
      </c>
    </row>
    <row r="1122" spans="1:3">
      <c r="A1122" s="25" t="s">
        <v>1683</v>
      </c>
      <c r="B1122" s="28">
        <v>250.56</v>
      </c>
      <c r="C1122" s="27">
        <f t="shared" si="17"/>
        <v>7.4773718184015681E-4</v>
      </c>
    </row>
    <row r="1123" spans="1:3">
      <c r="A1123" s="25" t="s">
        <v>1684</v>
      </c>
      <c r="B1123" s="28">
        <v>250.56</v>
      </c>
      <c r="C1123" s="27">
        <f t="shared" si="17"/>
        <v>7.4773718184015681E-4</v>
      </c>
    </row>
    <row r="1124" spans="1:3">
      <c r="A1124" s="25" t="s">
        <v>1685</v>
      </c>
      <c r="B1124" s="28">
        <v>250.56</v>
      </c>
      <c r="C1124" s="27">
        <f t="shared" si="17"/>
        <v>7.4773718184015681E-4</v>
      </c>
    </row>
    <row r="1125" spans="1:3">
      <c r="A1125" s="25" t="s">
        <v>1686</v>
      </c>
      <c r="B1125" s="28">
        <v>250.56</v>
      </c>
      <c r="C1125" s="27">
        <f t="shared" si="17"/>
        <v>7.4773718184015681E-4</v>
      </c>
    </row>
    <row r="1126" spans="1:3">
      <c r="A1126" s="25" t="s">
        <v>1687</v>
      </c>
      <c r="B1126" s="28">
        <v>250.56</v>
      </c>
      <c r="C1126" s="27">
        <f t="shared" si="17"/>
        <v>7.4773718184015681E-4</v>
      </c>
    </row>
    <row r="1127" spans="1:3">
      <c r="A1127" s="25" t="s">
        <v>1688</v>
      </c>
      <c r="B1127" s="28">
        <v>250.56</v>
      </c>
      <c r="C1127" s="27">
        <f t="shared" si="17"/>
        <v>7.4773718184015681E-4</v>
      </c>
    </row>
    <row r="1128" spans="1:3">
      <c r="A1128" s="25" t="s">
        <v>1689</v>
      </c>
      <c r="B1128" s="28">
        <v>250.56</v>
      </c>
      <c r="C1128" s="27">
        <f t="shared" si="17"/>
        <v>7.4773718184015681E-4</v>
      </c>
    </row>
    <row r="1129" spans="1:3">
      <c r="A1129" s="25" t="s">
        <v>1690</v>
      </c>
      <c r="B1129" s="28">
        <v>250.56</v>
      </c>
      <c r="C1129" s="27">
        <f t="shared" si="17"/>
        <v>7.4773718184015681E-4</v>
      </c>
    </row>
    <row r="1130" spans="1:3">
      <c r="A1130" s="25" t="s">
        <v>1691</v>
      </c>
      <c r="B1130" s="28">
        <v>0</v>
      </c>
      <c r="C1130" s="27">
        <f t="shared" si="17"/>
        <v>0</v>
      </c>
    </row>
    <row r="1131" spans="1:3">
      <c r="A1131" s="25" t="s">
        <v>1692</v>
      </c>
      <c r="B1131" s="28">
        <v>0</v>
      </c>
      <c r="C1131" s="27">
        <f t="shared" ref="C1131:C1194" si="18">IFERROR(B1131/$S$2,"")</f>
        <v>0</v>
      </c>
    </row>
    <row r="1132" spans="1:3">
      <c r="A1132" s="25" t="s">
        <v>1693</v>
      </c>
      <c r="B1132" s="28">
        <v>250.56</v>
      </c>
      <c r="C1132" s="27">
        <f t="shared" si="18"/>
        <v>7.4773718184015681E-4</v>
      </c>
    </row>
    <row r="1133" spans="1:3">
      <c r="A1133" s="25" t="s">
        <v>1694</v>
      </c>
      <c r="B1133" s="28">
        <v>250.56</v>
      </c>
      <c r="C1133" s="27">
        <f t="shared" si="18"/>
        <v>7.4773718184015681E-4</v>
      </c>
    </row>
    <row r="1134" spans="1:3">
      <c r="A1134" s="25" t="s">
        <v>1695</v>
      </c>
      <c r="B1134" s="28">
        <v>250.56</v>
      </c>
      <c r="C1134" s="27">
        <f t="shared" si="18"/>
        <v>7.4773718184015681E-4</v>
      </c>
    </row>
    <row r="1135" spans="1:3">
      <c r="A1135" s="25" t="s">
        <v>1696</v>
      </c>
      <c r="B1135" s="28">
        <v>250.56</v>
      </c>
      <c r="C1135" s="27">
        <f t="shared" si="18"/>
        <v>7.4773718184015681E-4</v>
      </c>
    </row>
    <row r="1136" spans="1:3">
      <c r="A1136" s="25" t="s">
        <v>1697</v>
      </c>
      <c r="B1136" s="28">
        <v>250.56</v>
      </c>
      <c r="C1136" s="27">
        <f t="shared" si="18"/>
        <v>7.4773718184015681E-4</v>
      </c>
    </row>
    <row r="1137" spans="1:3">
      <c r="A1137" s="25" t="s">
        <v>1698</v>
      </c>
      <c r="B1137" s="28">
        <v>250.56</v>
      </c>
      <c r="C1137" s="27">
        <f t="shared" si="18"/>
        <v>7.4773718184015681E-4</v>
      </c>
    </row>
    <row r="1138" spans="1:3">
      <c r="A1138" s="25" t="s">
        <v>1699</v>
      </c>
      <c r="B1138" s="28">
        <v>250.56</v>
      </c>
      <c r="C1138" s="27">
        <f t="shared" si="18"/>
        <v>7.4773718184015681E-4</v>
      </c>
    </row>
    <row r="1139" spans="1:3">
      <c r="A1139" s="25" t="s">
        <v>1700</v>
      </c>
      <c r="B1139" s="28">
        <v>250.56</v>
      </c>
      <c r="C1139" s="27">
        <f t="shared" si="18"/>
        <v>7.4773718184015681E-4</v>
      </c>
    </row>
    <row r="1140" spans="1:3">
      <c r="A1140" s="25" t="s">
        <v>1701</v>
      </c>
      <c r="B1140" s="28">
        <v>0</v>
      </c>
      <c r="C1140" s="27">
        <f t="shared" si="18"/>
        <v>0</v>
      </c>
    </row>
    <row r="1141" spans="1:3">
      <c r="A1141" s="25" t="s">
        <v>1702</v>
      </c>
      <c r="B1141" s="28">
        <v>0</v>
      </c>
      <c r="C1141" s="27">
        <f t="shared" si="18"/>
        <v>0</v>
      </c>
    </row>
    <row r="1142" spans="1:3">
      <c r="A1142" s="25" t="s">
        <v>1703</v>
      </c>
      <c r="B1142" s="28">
        <v>250.56</v>
      </c>
      <c r="C1142" s="27">
        <f t="shared" si="18"/>
        <v>7.4773718184015681E-4</v>
      </c>
    </row>
    <row r="1143" spans="1:3">
      <c r="A1143" s="25" t="s">
        <v>1704</v>
      </c>
      <c r="B1143" s="28">
        <v>219.24</v>
      </c>
      <c r="C1143" s="27">
        <f t="shared" si="18"/>
        <v>6.5427003411013722E-4</v>
      </c>
    </row>
    <row r="1144" spans="1:3">
      <c r="A1144" s="25" t="s">
        <v>1705</v>
      </c>
      <c r="B1144" s="28">
        <v>250.56</v>
      </c>
      <c r="C1144" s="27">
        <f t="shared" si="18"/>
        <v>7.4773718184015681E-4</v>
      </c>
    </row>
    <row r="1145" spans="1:3">
      <c r="A1145" s="25" t="s">
        <v>1706</v>
      </c>
      <c r="B1145" s="28">
        <v>250.56</v>
      </c>
      <c r="C1145" s="27">
        <f t="shared" si="18"/>
        <v>7.4773718184015681E-4</v>
      </c>
    </row>
    <row r="1146" spans="1:3">
      <c r="A1146" s="25" t="s">
        <v>1707</v>
      </c>
      <c r="B1146" s="28">
        <v>250.56</v>
      </c>
      <c r="C1146" s="27">
        <f t="shared" si="18"/>
        <v>7.4773718184015681E-4</v>
      </c>
    </row>
    <row r="1147" spans="1:3">
      <c r="A1147" s="25" t="s">
        <v>1708</v>
      </c>
      <c r="B1147" s="28">
        <v>250.56</v>
      </c>
      <c r="C1147" s="27">
        <f t="shared" si="18"/>
        <v>7.4773718184015681E-4</v>
      </c>
    </row>
    <row r="1148" spans="1:3">
      <c r="A1148" s="25" t="s">
        <v>1709</v>
      </c>
      <c r="B1148" s="28">
        <v>250.56</v>
      </c>
      <c r="C1148" s="27">
        <f t="shared" si="18"/>
        <v>7.4773718184015681E-4</v>
      </c>
    </row>
    <row r="1149" spans="1:3">
      <c r="A1149" s="25" t="s">
        <v>1710</v>
      </c>
      <c r="B1149" s="28">
        <v>250.56</v>
      </c>
      <c r="C1149" s="27">
        <f t="shared" si="18"/>
        <v>7.4773718184015681E-4</v>
      </c>
    </row>
    <row r="1150" spans="1:3">
      <c r="A1150" s="25" t="s">
        <v>1711</v>
      </c>
      <c r="B1150" s="28">
        <v>219.24</v>
      </c>
      <c r="C1150" s="27">
        <f t="shared" si="18"/>
        <v>6.5427003411013722E-4</v>
      </c>
    </row>
    <row r="1151" spans="1:3">
      <c r="A1151" s="25" t="s">
        <v>1712</v>
      </c>
      <c r="B1151" s="28">
        <v>0</v>
      </c>
      <c r="C1151" s="27">
        <f t="shared" si="18"/>
        <v>0</v>
      </c>
    </row>
    <row r="1152" spans="1:3">
      <c r="A1152" s="25" t="s">
        <v>1713</v>
      </c>
      <c r="B1152" s="28">
        <v>250.56</v>
      </c>
      <c r="C1152" s="27">
        <f t="shared" si="18"/>
        <v>7.4773718184015681E-4</v>
      </c>
    </row>
    <row r="1153" spans="1:3">
      <c r="A1153" s="25" t="s">
        <v>1714</v>
      </c>
      <c r="B1153" s="28">
        <v>250.56</v>
      </c>
      <c r="C1153" s="27">
        <f t="shared" si="18"/>
        <v>7.4773718184015681E-4</v>
      </c>
    </row>
    <row r="1154" spans="1:3">
      <c r="A1154" s="25" t="s">
        <v>1715</v>
      </c>
      <c r="B1154" s="28">
        <v>250.56</v>
      </c>
      <c r="C1154" s="27">
        <f t="shared" si="18"/>
        <v>7.4773718184015681E-4</v>
      </c>
    </row>
    <row r="1155" spans="1:3">
      <c r="A1155" s="25" t="s">
        <v>1716</v>
      </c>
      <c r="B1155" s="28">
        <v>250.56</v>
      </c>
      <c r="C1155" s="27">
        <f t="shared" si="18"/>
        <v>7.4773718184015681E-4</v>
      </c>
    </row>
    <row r="1156" spans="1:3">
      <c r="A1156" s="25" t="s">
        <v>1717</v>
      </c>
      <c r="B1156" s="28">
        <v>250.56</v>
      </c>
      <c r="C1156" s="27">
        <f t="shared" si="18"/>
        <v>7.4773718184015681E-4</v>
      </c>
    </row>
    <row r="1157" spans="1:3">
      <c r="A1157" s="25" t="s">
        <v>1718</v>
      </c>
      <c r="B1157" s="28">
        <v>250.56</v>
      </c>
      <c r="C1157" s="27">
        <f t="shared" si="18"/>
        <v>7.4773718184015681E-4</v>
      </c>
    </row>
    <row r="1158" spans="1:3">
      <c r="A1158" s="25" t="s">
        <v>1719</v>
      </c>
      <c r="B1158" s="28">
        <v>250.56</v>
      </c>
      <c r="C1158" s="27">
        <f t="shared" si="18"/>
        <v>7.4773718184015681E-4</v>
      </c>
    </row>
    <row r="1159" spans="1:3">
      <c r="A1159" s="25" t="s">
        <v>1720</v>
      </c>
      <c r="B1159" s="28">
        <v>250.56</v>
      </c>
      <c r="C1159" s="27">
        <f t="shared" si="18"/>
        <v>7.4773718184015681E-4</v>
      </c>
    </row>
    <row r="1160" spans="1:3">
      <c r="A1160" s="25" t="s">
        <v>1721</v>
      </c>
      <c r="B1160" s="28">
        <v>0</v>
      </c>
      <c r="C1160" s="27">
        <f t="shared" si="18"/>
        <v>0</v>
      </c>
    </row>
    <row r="1161" spans="1:3">
      <c r="A1161" s="25" t="s">
        <v>1722</v>
      </c>
      <c r="B1161" s="28">
        <v>0</v>
      </c>
      <c r="C1161" s="27">
        <f t="shared" si="18"/>
        <v>0</v>
      </c>
    </row>
    <row r="1162" spans="1:3">
      <c r="A1162" s="25" t="s">
        <v>1723</v>
      </c>
      <c r="B1162" s="28">
        <v>219.24</v>
      </c>
      <c r="C1162" s="27">
        <f t="shared" si="18"/>
        <v>6.5427003411013722E-4</v>
      </c>
    </row>
    <row r="1163" spans="1:3">
      <c r="A1163" s="25" t="s">
        <v>1724</v>
      </c>
      <c r="B1163" s="28">
        <v>250.56</v>
      </c>
      <c r="C1163" s="27">
        <f t="shared" si="18"/>
        <v>7.4773718184015681E-4</v>
      </c>
    </row>
    <row r="1164" spans="1:3">
      <c r="A1164" s="25" t="s">
        <v>1725</v>
      </c>
      <c r="B1164" s="28">
        <v>250.56</v>
      </c>
      <c r="C1164" s="27">
        <f t="shared" si="18"/>
        <v>7.4773718184015681E-4</v>
      </c>
    </row>
    <row r="1165" spans="1:3">
      <c r="A1165" s="25" t="s">
        <v>1726</v>
      </c>
      <c r="B1165" s="28">
        <v>250.56</v>
      </c>
      <c r="C1165" s="27">
        <f t="shared" si="18"/>
        <v>7.4773718184015681E-4</v>
      </c>
    </row>
    <row r="1166" spans="1:3">
      <c r="A1166" s="25" t="s">
        <v>1727</v>
      </c>
      <c r="B1166" s="28">
        <v>250.56</v>
      </c>
      <c r="C1166" s="27">
        <f t="shared" si="18"/>
        <v>7.4773718184015681E-4</v>
      </c>
    </row>
    <row r="1167" spans="1:3">
      <c r="A1167" s="25" t="s">
        <v>1728</v>
      </c>
      <c r="B1167" s="28">
        <v>250.56</v>
      </c>
      <c r="C1167" s="27">
        <f t="shared" si="18"/>
        <v>7.4773718184015681E-4</v>
      </c>
    </row>
    <row r="1168" spans="1:3">
      <c r="A1168" s="25" t="s">
        <v>1729</v>
      </c>
      <c r="B1168" s="28">
        <v>250.56</v>
      </c>
      <c r="C1168" s="27">
        <f t="shared" si="18"/>
        <v>7.4773718184015681E-4</v>
      </c>
    </row>
    <row r="1169" spans="1:3">
      <c r="A1169" s="25" t="s">
        <v>1730</v>
      </c>
      <c r="B1169" s="28">
        <v>219.24</v>
      </c>
      <c r="C1169" s="27">
        <f t="shared" si="18"/>
        <v>6.5427003411013722E-4</v>
      </c>
    </row>
    <row r="1170" spans="1:3">
      <c r="A1170" s="25" t="s">
        <v>1731</v>
      </c>
      <c r="B1170" s="28">
        <v>250.56</v>
      </c>
      <c r="C1170" s="27">
        <f t="shared" si="18"/>
        <v>7.4773718184015681E-4</v>
      </c>
    </row>
    <row r="1171" spans="1:3">
      <c r="A1171" s="25" t="s">
        <v>1732</v>
      </c>
      <c r="B1171" s="28">
        <v>0</v>
      </c>
      <c r="C1171" s="27">
        <f t="shared" si="18"/>
        <v>0</v>
      </c>
    </row>
    <row r="1172" spans="1:3">
      <c r="A1172" s="25" t="s">
        <v>1733</v>
      </c>
      <c r="B1172" s="28">
        <v>250.56</v>
      </c>
      <c r="C1172" s="27">
        <f t="shared" si="18"/>
        <v>7.4773718184015681E-4</v>
      </c>
    </row>
    <row r="1173" spans="1:3">
      <c r="A1173" s="25" t="s">
        <v>1734</v>
      </c>
      <c r="B1173" s="28">
        <v>250.56</v>
      </c>
      <c r="C1173" s="27">
        <f t="shared" si="18"/>
        <v>7.4773718184015681E-4</v>
      </c>
    </row>
    <row r="1174" spans="1:3">
      <c r="A1174" s="25" t="s">
        <v>1735</v>
      </c>
      <c r="B1174" s="28">
        <v>250.56</v>
      </c>
      <c r="C1174" s="27">
        <f t="shared" si="18"/>
        <v>7.4773718184015681E-4</v>
      </c>
    </row>
    <row r="1175" spans="1:3">
      <c r="A1175" s="25" t="s">
        <v>1736</v>
      </c>
      <c r="B1175" s="28">
        <v>250.56</v>
      </c>
      <c r="C1175" s="27">
        <f t="shared" si="18"/>
        <v>7.4773718184015681E-4</v>
      </c>
    </row>
    <row r="1176" spans="1:3">
      <c r="A1176" s="25" t="s">
        <v>1737</v>
      </c>
      <c r="B1176" s="28">
        <v>250.56</v>
      </c>
      <c r="C1176" s="27">
        <f t="shared" si="18"/>
        <v>7.4773718184015681E-4</v>
      </c>
    </row>
    <row r="1177" spans="1:3">
      <c r="A1177" s="25" t="s">
        <v>1738</v>
      </c>
      <c r="B1177" s="28">
        <v>250.56</v>
      </c>
      <c r="C1177" s="27">
        <f t="shared" si="18"/>
        <v>7.4773718184015681E-4</v>
      </c>
    </row>
    <row r="1178" spans="1:3">
      <c r="A1178" s="25" t="s">
        <v>1739</v>
      </c>
      <c r="B1178" s="28">
        <v>250.56</v>
      </c>
      <c r="C1178" s="27">
        <f t="shared" si="18"/>
        <v>7.4773718184015681E-4</v>
      </c>
    </row>
    <row r="1179" spans="1:3">
      <c r="A1179" s="25" t="s">
        <v>1740</v>
      </c>
      <c r="B1179" s="28">
        <v>250.56</v>
      </c>
      <c r="C1179" s="27">
        <f t="shared" si="18"/>
        <v>7.4773718184015681E-4</v>
      </c>
    </row>
    <row r="1180" spans="1:3">
      <c r="A1180" s="25" t="s">
        <v>1741</v>
      </c>
      <c r="B1180" s="28">
        <v>0</v>
      </c>
      <c r="C1180" s="27">
        <f t="shared" si="18"/>
        <v>0</v>
      </c>
    </row>
    <row r="1181" spans="1:3">
      <c r="A1181" s="25" t="s">
        <v>1742</v>
      </c>
      <c r="B1181" s="28">
        <v>0</v>
      </c>
      <c r="C1181" s="27">
        <f t="shared" si="18"/>
        <v>0</v>
      </c>
    </row>
    <row r="1182" spans="1:3">
      <c r="A1182" s="25" t="s">
        <v>1743</v>
      </c>
      <c r="B1182" s="28">
        <v>250.56</v>
      </c>
      <c r="C1182" s="27">
        <f t="shared" si="18"/>
        <v>7.4773718184015681E-4</v>
      </c>
    </row>
    <row r="1183" spans="1:3">
      <c r="A1183" s="25" t="s">
        <v>1744</v>
      </c>
      <c r="B1183" s="28">
        <v>250.56</v>
      </c>
      <c r="C1183" s="27">
        <f t="shared" si="18"/>
        <v>7.4773718184015681E-4</v>
      </c>
    </row>
    <row r="1184" spans="1:3">
      <c r="A1184" s="25" t="s">
        <v>1745</v>
      </c>
      <c r="B1184" s="28">
        <v>219.24</v>
      </c>
      <c r="C1184" s="27">
        <f t="shared" si="18"/>
        <v>6.5427003411013722E-4</v>
      </c>
    </row>
    <row r="1185" spans="1:3">
      <c r="A1185" s="25" t="s">
        <v>1746</v>
      </c>
      <c r="B1185" s="28">
        <v>250.56</v>
      </c>
      <c r="C1185" s="27">
        <f t="shared" si="18"/>
        <v>7.4773718184015681E-4</v>
      </c>
    </row>
    <row r="1186" spans="1:3">
      <c r="A1186" s="25" t="s">
        <v>1747</v>
      </c>
      <c r="B1186" s="28">
        <v>250.56</v>
      </c>
      <c r="C1186" s="27">
        <f t="shared" si="18"/>
        <v>7.4773718184015681E-4</v>
      </c>
    </row>
    <row r="1187" spans="1:3">
      <c r="A1187" s="25" t="s">
        <v>1748</v>
      </c>
      <c r="B1187" s="28">
        <v>250.56</v>
      </c>
      <c r="C1187" s="27">
        <f t="shared" si="18"/>
        <v>7.4773718184015681E-4</v>
      </c>
    </row>
    <row r="1188" spans="1:3">
      <c r="A1188" s="25" t="s">
        <v>1749</v>
      </c>
      <c r="B1188" s="28">
        <v>250.56</v>
      </c>
      <c r="C1188" s="27">
        <f t="shared" si="18"/>
        <v>7.4773718184015681E-4</v>
      </c>
    </row>
    <row r="1189" spans="1:3">
      <c r="A1189" s="25" t="s">
        <v>1750</v>
      </c>
      <c r="B1189" s="28">
        <v>250.56</v>
      </c>
      <c r="C1189" s="27">
        <f t="shared" si="18"/>
        <v>7.4773718184015681E-4</v>
      </c>
    </row>
    <row r="1190" spans="1:3">
      <c r="A1190" s="25" t="s">
        <v>1751</v>
      </c>
      <c r="B1190" s="28">
        <v>219.24</v>
      </c>
      <c r="C1190" s="27">
        <f t="shared" si="18"/>
        <v>6.5427003411013722E-4</v>
      </c>
    </row>
    <row r="1191" spans="1:3">
      <c r="A1191" s="25" t="s">
        <v>1752</v>
      </c>
      <c r="B1191" s="28">
        <v>0</v>
      </c>
      <c r="C1191" s="27">
        <f t="shared" si="18"/>
        <v>0</v>
      </c>
    </row>
    <row r="1192" spans="1:3">
      <c r="A1192" s="25" t="s">
        <v>1753</v>
      </c>
      <c r="B1192" s="28">
        <v>250.56</v>
      </c>
      <c r="C1192" s="27">
        <f t="shared" si="18"/>
        <v>7.4773718184015681E-4</v>
      </c>
    </row>
    <row r="1193" spans="1:3">
      <c r="A1193" s="25" t="s">
        <v>1754</v>
      </c>
      <c r="B1193" s="28">
        <v>250.56</v>
      </c>
      <c r="C1193" s="27">
        <f t="shared" si="18"/>
        <v>7.4773718184015681E-4</v>
      </c>
    </row>
    <row r="1194" spans="1:3">
      <c r="A1194" s="25" t="s">
        <v>1755</v>
      </c>
      <c r="B1194" s="28">
        <v>250.56</v>
      </c>
      <c r="C1194" s="27">
        <f t="shared" si="18"/>
        <v>7.4773718184015681E-4</v>
      </c>
    </row>
    <row r="1195" spans="1:3">
      <c r="A1195" s="25" t="s">
        <v>1756</v>
      </c>
      <c r="B1195" s="28">
        <v>250.56</v>
      </c>
      <c r="C1195" s="27">
        <f t="shared" ref="C1195:C1258" si="19">IFERROR(B1195/$S$2,"")</f>
        <v>7.4773718184015681E-4</v>
      </c>
    </row>
    <row r="1196" spans="1:3">
      <c r="A1196" s="25" t="s">
        <v>1757</v>
      </c>
      <c r="B1196" s="28">
        <v>250.56</v>
      </c>
      <c r="C1196" s="27">
        <f t="shared" si="19"/>
        <v>7.4773718184015681E-4</v>
      </c>
    </row>
    <row r="1197" spans="1:3">
      <c r="A1197" s="25" t="s">
        <v>1758</v>
      </c>
      <c r="B1197" s="28">
        <v>250.56</v>
      </c>
      <c r="C1197" s="27">
        <f t="shared" si="19"/>
        <v>7.4773718184015681E-4</v>
      </c>
    </row>
    <row r="1198" spans="1:3">
      <c r="A1198" s="25" t="s">
        <v>1759</v>
      </c>
      <c r="B1198" s="28">
        <v>250.56</v>
      </c>
      <c r="C1198" s="27">
        <f t="shared" si="19"/>
        <v>7.4773718184015681E-4</v>
      </c>
    </row>
    <row r="1199" spans="1:3">
      <c r="A1199" s="25" t="s">
        <v>1760</v>
      </c>
      <c r="B1199" s="28">
        <v>250.56</v>
      </c>
      <c r="C1199" s="27">
        <f t="shared" si="19"/>
        <v>7.4773718184015681E-4</v>
      </c>
    </row>
    <row r="1200" spans="1:3">
      <c r="A1200" s="25" t="s">
        <v>1761</v>
      </c>
      <c r="B1200" s="28">
        <v>0</v>
      </c>
      <c r="C1200" s="27">
        <f t="shared" si="19"/>
        <v>0</v>
      </c>
    </row>
    <row r="1201" spans="1:3">
      <c r="A1201" s="25" t="s">
        <v>1762</v>
      </c>
      <c r="B1201" s="28">
        <v>0</v>
      </c>
      <c r="C1201" s="27">
        <f t="shared" si="19"/>
        <v>0</v>
      </c>
    </row>
    <row r="1202" spans="1:3">
      <c r="A1202" s="25" t="s">
        <v>1763</v>
      </c>
      <c r="B1202" s="28">
        <v>250.56</v>
      </c>
      <c r="C1202" s="27">
        <f t="shared" si="19"/>
        <v>7.4773718184015681E-4</v>
      </c>
    </row>
    <row r="1203" spans="1:3">
      <c r="A1203" s="25" t="s">
        <v>1764</v>
      </c>
      <c r="B1203" s="28">
        <v>250.56</v>
      </c>
      <c r="C1203" s="27">
        <f t="shared" si="19"/>
        <v>7.4773718184015681E-4</v>
      </c>
    </row>
    <row r="1204" spans="1:3">
      <c r="A1204" s="25" t="s">
        <v>1765</v>
      </c>
      <c r="B1204" s="28">
        <v>250.56</v>
      </c>
      <c r="C1204" s="27">
        <f t="shared" si="19"/>
        <v>7.4773718184015681E-4</v>
      </c>
    </row>
    <row r="1205" spans="1:3">
      <c r="A1205" s="25" t="s">
        <v>1766</v>
      </c>
      <c r="B1205" s="28">
        <v>250.56</v>
      </c>
      <c r="C1205" s="27">
        <f t="shared" si="19"/>
        <v>7.4773718184015681E-4</v>
      </c>
    </row>
    <row r="1206" spans="1:3">
      <c r="A1206" s="25" t="s">
        <v>1767</v>
      </c>
      <c r="B1206" s="28">
        <v>250.56</v>
      </c>
      <c r="C1206" s="27">
        <f t="shared" si="19"/>
        <v>7.4773718184015681E-4</v>
      </c>
    </row>
    <row r="1207" spans="1:3">
      <c r="A1207" s="25" t="s">
        <v>1768</v>
      </c>
      <c r="B1207" s="28">
        <v>250.56</v>
      </c>
      <c r="C1207" s="27">
        <f t="shared" si="19"/>
        <v>7.4773718184015681E-4</v>
      </c>
    </row>
    <row r="1208" spans="1:3">
      <c r="A1208" s="25" t="s">
        <v>1769</v>
      </c>
      <c r="B1208" s="28">
        <v>250.56</v>
      </c>
      <c r="C1208" s="27">
        <f t="shared" si="19"/>
        <v>7.4773718184015681E-4</v>
      </c>
    </row>
    <row r="1209" spans="1:3">
      <c r="A1209" s="25" t="s">
        <v>1770</v>
      </c>
      <c r="B1209" s="28">
        <v>219.24</v>
      </c>
      <c r="C1209" s="27">
        <f t="shared" si="19"/>
        <v>6.5427003411013722E-4</v>
      </c>
    </row>
    <row r="1210" spans="1:3">
      <c r="A1210" s="25" t="s">
        <v>1771</v>
      </c>
      <c r="B1210" s="28">
        <v>250.56</v>
      </c>
      <c r="C1210" s="27">
        <f t="shared" si="19"/>
        <v>7.4773718184015681E-4</v>
      </c>
    </row>
    <row r="1211" spans="1:3">
      <c r="A1211" s="25" t="s">
        <v>1772</v>
      </c>
      <c r="B1211" s="28">
        <v>0</v>
      </c>
      <c r="C1211" s="27">
        <f t="shared" si="19"/>
        <v>0</v>
      </c>
    </row>
    <row r="1212" spans="1:3">
      <c r="A1212" s="25" t="s">
        <v>1773</v>
      </c>
      <c r="B1212" s="28">
        <v>219.24</v>
      </c>
      <c r="C1212" s="27">
        <f t="shared" si="19"/>
        <v>6.5427003411013722E-4</v>
      </c>
    </row>
    <row r="1213" spans="1:3">
      <c r="A1213" s="25" t="s">
        <v>1774</v>
      </c>
      <c r="B1213" s="28">
        <v>219.24</v>
      </c>
      <c r="C1213" s="27">
        <f t="shared" si="19"/>
        <v>6.5427003411013722E-4</v>
      </c>
    </row>
    <row r="1214" spans="1:3">
      <c r="A1214" s="25" t="s">
        <v>1775</v>
      </c>
      <c r="B1214" s="28">
        <v>219.24</v>
      </c>
      <c r="C1214" s="27">
        <f t="shared" si="19"/>
        <v>6.5427003411013722E-4</v>
      </c>
    </row>
    <row r="1215" spans="1:3">
      <c r="A1215" s="25" t="s">
        <v>1776</v>
      </c>
      <c r="B1215" s="28">
        <v>250.56</v>
      </c>
      <c r="C1215" s="27">
        <f t="shared" si="19"/>
        <v>7.4773718184015681E-4</v>
      </c>
    </row>
    <row r="1216" spans="1:3">
      <c r="A1216" s="25" t="s">
        <v>1777</v>
      </c>
      <c r="B1216" s="28">
        <v>250.56</v>
      </c>
      <c r="C1216" s="27">
        <f t="shared" si="19"/>
        <v>7.4773718184015681E-4</v>
      </c>
    </row>
    <row r="1217" spans="1:3">
      <c r="A1217" s="25" t="s">
        <v>1778</v>
      </c>
      <c r="B1217" s="28">
        <v>250.56</v>
      </c>
      <c r="C1217" s="27">
        <f t="shared" si="19"/>
        <v>7.4773718184015681E-4</v>
      </c>
    </row>
    <row r="1218" spans="1:3">
      <c r="A1218" s="25" t="s">
        <v>1779</v>
      </c>
      <c r="B1218" s="28">
        <v>250.56</v>
      </c>
      <c r="C1218" s="27">
        <f t="shared" si="19"/>
        <v>7.4773718184015681E-4</v>
      </c>
    </row>
    <row r="1219" spans="1:3">
      <c r="A1219" s="25" t="s">
        <v>1780</v>
      </c>
      <c r="B1219" s="28">
        <v>250.56</v>
      </c>
      <c r="C1219" s="27">
        <f t="shared" si="19"/>
        <v>7.4773718184015681E-4</v>
      </c>
    </row>
    <row r="1220" spans="1:3">
      <c r="A1220" s="25" t="s">
        <v>1781</v>
      </c>
      <c r="B1220" s="28">
        <v>0</v>
      </c>
      <c r="C1220" s="27">
        <f t="shared" si="19"/>
        <v>0</v>
      </c>
    </row>
    <row r="1221" spans="1:3">
      <c r="A1221" s="25" t="s">
        <v>1782</v>
      </c>
      <c r="B1221" s="28">
        <v>0</v>
      </c>
      <c r="C1221" s="27">
        <f t="shared" si="19"/>
        <v>0</v>
      </c>
    </row>
    <row r="1222" spans="1:3">
      <c r="A1222" s="25" t="s">
        <v>1783</v>
      </c>
      <c r="B1222" s="28">
        <v>250.56</v>
      </c>
      <c r="C1222" s="27">
        <f t="shared" si="19"/>
        <v>7.4773718184015681E-4</v>
      </c>
    </row>
    <row r="1223" spans="1:3">
      <c r="A1223" s="25" t="s">
        <v>1784</v>
      </c>
      <c r="B1223" s="28">
        <v>250.56</v>
      </c>
      <c r="C1223" s="27">
        <f t="shared" si="19"/>
        <v>7.4773718184015681E-4</v>
      </c>
    </row>
    <row r="1224" spans="1:3">
      <c r="A1224" s="25" t="s">
        <v>1785</v>
      </c>
      <c r="B1224" s="28">
        <v>250.56</v>
      </c>
      <c r="C1224" s="27">
        <f t="shared" si="19"/>
        <v>7.4773718184015681E-4</v>
      </c>
    </row>
    <row r="1225" spans="1:3">
      <c r="A1225" s="25" t="s">
        <v>1786</v>
      </c>
      <c r="B1225" s="28">
        <v>250.56</v>
      </c>
      <c r="C1225" s="27">
        <f t="shared" si="19"/>
        <v>7.4773718184015681E-4</v>
      </c>
    </row>
    <row r="1226" spans="1:3">
      <c r="A1226" s="25" t="s">
        <v>1787</v>
      </c>
      <c r="B1226" s="28">
        <v>250.56</v>
      </c>
      <c r="C1226" s="27">
        <f t="shared" si="19"/>
        <v>7.4773718184015681E-4</v>
      </c>
    </row>
    <row r="1227" spans="1:3">
      <c r="A1227" s="25" t="s">
        <v>1788</v>
      </c>
      <c r="B1227" s="28">
        <v>250.56</v>
      </c>
      <c r="C1227" s="27">
        <f t="shared" si="19"/>
        <v>7.4773718184015681E-4</v>
      </c>
    </row>
    <row r="1228" spans="1:3">
      <c r="A1228" s="25" t="s">
        <v>1789</v>
      </c>
      <c r="B1228" s="28">
        <v>219.24</v>
      </c>
      <c r="C1228" s="27">
        <f t="shared" si="19"/>
        <v>6.5427003411013722E-4</v>
      </c>
    </row>
    <row r="1229" spans="1:3">
      <c r="A1229" s="25" t="s">
        <v>1790</v>
      </c>
      <c r="B1229" s="28">
        <v>250.56</v>
      </c>
      <c r="C1229" s="27">
        <f t="shared" si="19"/>
        <v>7.4773718184015681E-4</v>
      </c>
    </row>
    <row r="1230" spans="1:3">
      <c r="A1230" s="25" t="s">
        <v>1791</v>
      </c>
      <c r="B1230" s="28">
        <v>250.56</v>
      </c>
      <c r="C1230" s="27">
        <f t="shared" si="19"/>
        <v>7.4773718184015681E-4</v>
      </c>
    </row>
    <row r="1231" spans="1:3">
      <c r="A1231" s="25" t="s">
        <v>1792</v>
      </c>
      <c r="B1231" s="28">
        <v>0</v>
      </c>
      <c r="C1231" s="27">
        <f t="shared" si="19"/>
        <v>0</v>
      </c>
    </row>
    <row r="1232" spans="1:3">
      <c r="A1232" s="25" t="s">
        <v>1793</v>
      </c>
      <c r="B1232" s="28">
        <v>250.56</v>
      </c>
      <c r="C1232" s="27">
        <f t="shared" si="19"/>
        <v>7.4773718184015681E-4</v>
      </c>
    </row>
    <row r="1233" spans="1:3">
      <c r="A1233" s="25" t="s">
        <v>1794</v>
      </c>
      <c r="B1233" s="28">
        <v>250.56</v>
      </c>
      <c r="C1233" s="27">
        <f t="shared" si="19"/>
        <v>7.4773718184015681E-4</v>
      </c>
    </row>
    <row r="1234" spans="1:3">
      <c r="A1234" s="25" t="s">
        <v>1795</v>
      </c>
      <c r="B1234" s="28">
        <v>250.56</v>
      </c>
      <c r="C1234" s="27">
        <f t="shared" si="19"/>
        <v>7.4773718184015681E-4</v>
      </c>
    </row>
    <row r="1235" spans="1:3">
      <c r="A1235" s="25" t="s">
        <v>1796</v>
      </c>
      <c r="B1235" s="28">
        <v>250.56</v>
      </c>
      <c r="C1235" s="27">
        <f t="shared" si="19"/>
        <v>7.4773718184015681E-4</v>
      </c>
    </row>
    <row r="1236" spans="1:3">
      <c r="A1236" s="25" t="s">
        <v>1797</v>
      </c>
      <c r="B1236" s="28">
        <v>250.56</v>
      </c>
      <c r="C1236" s="27">
        <f t="shared" si="19"/>
        <v>7.4773718184015681E-4</v>
      </c>
    </row>
    <row r="1237" spans="1:3">
      <c r="A1237" s="25" t="s">
        <v>1798</v>
      </c>
      <c r="B1237" s="28">
        <v>250.56</v>
      </c>
      <c r="C1237" s="27">
        <f t="shared" si="19"/>
        <v>7.4773718184015681E-4</v>
      </c>
    </row>
    <row r="1238" spans="1:3">
      <c r="A1238" s="25" t="s">
        <v>1799</v>
      </c>
      <c r="B1238" s="28">
        <v>250.56</v>
      </c>
      <c r="C1238" s="27">
        <f t="shared" si="19"/>
        <v>7.4773718184015681E-4</v>
      </c>
    </row>
    <row r="1239" spans="1:3">
      <c r="A1239" s="25" t="s">
        <v>1800</v>
      </c>
      <c r="B1239" s="28">
        <v>250.56</v>
      </c>
      <c r="C1239" s="27">
        <f t="shared" si="19"/>
        <v>7.4773718184015681E-4</v>
      </c>
    </row>
    <row r="1240" spans="1:3">
      <c r="A1240" s="25" t="s">
        <v>1801</v>
      </c>
      <c r="B1240" s="28">
        <v>0</v>
      </c>
      <c r="C1240" s="27">
        <f t="shared" si="19"/>
        <v>0</v>
      </c>
    </row>
    <row r="1241" spans="1:3">
      <c r="A1241" s="25" t="s">
        <v>1802</v>
      </c>
      <c r="B1241" s="28">
        <v>0</v>
      </c>
      <c r="C1241" s="27">
        <f t="shared" si="19"/>
        <v>0</v>
      </c>
    </row>
    <row r="1242" spans="1:3">
      <c r="A1242" s="25" t="s">
        <v>1803</v>
      </c>
      <c r="B1242" s="28">
        <v>250.56</v>
      </c>
      <c r="C1242" s="27">
        <f t="shared" si="19"/>
        <v>7.4773718184015681E-4</v>
      </c>
    </row>
    <row r="1243" spans="1:3">
      <c r="A1243" s="25" t="s">
        <v>1804</v>
      </c>
      <c r="B1243" s="28">
        <v>250.56</v>
      </c>
      <c r="C1243" s="27">
        <f t="shared" si="19"/>
        <v>7.4773718184015681E-4</v>
      </c>
    </row>
    <row r="1244" spans="1:3">
      <c r="A1244" s="25" t="s">
        <v>1805</v>
      </c>
      <c r="B1244" s="28">
        <v>250.56</v>
      </c>
      <c r="C1244" s="27">
        <f t="shared" si="19"/>
        <v>7.4773718184015681E-4</v>
      </c>
    </row>
    <row r="1245" spans="1:3">
      <c r="A1245" s="25" t="s">
        <v>1806</v>
      </c>
      <c r="B1245" s="28">
        <v>219.24</v>
      </c>
      <c r="C1245" s="27">
        <f t="shared" si="19"/>
        <v>6.5427003411013722E-4</v>
      </c>
    </row>
    <row r="1246" spans="1:3">
      <c r="A1246" s="25" t="s">
        <v>1807</v>
      </c>
      <c r="B1246" s="28">
        <v>250.56</v>
      </c>
      <c r="C1246" s="27">
        <f t="shared" si="19"/>
        <v>7.4773718184015681E-4</v>
      </c>
    </row>
    <row r="1247" spans="1:3">
      <c r="A1247" s="25" t="s">
        <v>1808</v>
      </c>
      <c r="B1247" s="28">
        <v>250.56</v>
      </c>
      <c r="C1247" s="27">
        <f t="shared" si="19"/>
        <v>7.4773718184015681E-4</v>
      </c>
    </row>
    <row r="1248" spans="1:3">
      <c r="A1248" s="25" t="s">
        <v>1809</v>
      </c>
      <c r="B1248" s="28">
        <v>250.56</v>
      </c>
      <c r="C1248" s="27">
        <f t="shared" si="19"/>
        <v>7.4773718184015681E-4</v>
      </c>
    </row>
    <row r="1249" spans="1:3">
      <c r="A1249" s="25" t="s">
        <v>1810</v>
      </c>
      <c r="B1249" s="28">
        <v>219.24</v>
      </c>
      <c r="C1249" s="27">
        <f t="shared" si="19"/>
        <v>6.5427003411013722E-4</v>
      </c>
    </row>
    <row r="1250" spans="1:3">
      <c r="A1250" s="25" t="s">
        <v>1811</v>
      </c>
      <c r="B1250" s="28">
        <v>250.56</v>
      </c>
      <c r="C1250" s="27">
        <f t="shared" si="19"/>
        <v>7.4773718184015681E-4</v>
      </c>
    </row>
    <row r="1251" spans="1:3">
      <c r="A1251" s="25" t="s">
        <v>1812</v>
      </c>
      <c r="B1251" s="28">
        <v>0</v>
      </c>
      <c r="C1251" s="27">
        <f t="shared" si="19"/>
        <v>0</v>
      </c>
    </row>
    <row r="1252" spans="1:3">
      <c r="A1252" s="25" t="s">
        <v>1813</v>
      </c>
      <c r="B1252" s="28">
        <v>250.56</v>
      </c>
      <c r="C1252" s="27">
        <f t="shared" si="19"/>
        <v>7.4773718184015681E-4</v>
      </c>
    </row>
    <row r="1253" spans="1:3">
      <c r="A1253" s="25" t="s">
        <v>1814</v>
      </c>
      <c r="B1253" s="28">
        <v>250.56</v>
      </c>
      <c r="C1253" s="27">
        <f t="shared" si="19"/>
        <v>7.4773718184015681E-4</v>
      </c>
    </row>
    <row r="1254" spans="1:3">
      <c r="A1254" s="25" t="s">
        <v>1815</v>
      </c>
      <c r="B1254" s="28">
        <v>250.56</v>
      </c>
      <c r="C1254" s="27">
        <f t="shared" si="19"/>
        <v>7.4773718184015681E-4</v>
      </c>
    </row>
    <row r="1255" spans="1:3">
      <c r="A1255" s="25" t="s">
        <v>1816</v>
      </c>
      <c r="B1255" s="28">
        <v>250.56</v>
      </c>
      <c r="C1255" s="27">
        <f t="shared" si="19"/>
        <v>7.4773718184015681E-4</v>
      </c>
    </row>
    <row r="1256" spans="1:3">
      <c r="A1256" s="25" t="s">
        <v>1817</v>
      </c>
      <c r="B1256" s="28">
        <v>250.56</v>
      </c>
      <c r="C1256" s="27">
        <f t="shared" si="19"/>
        <v>7.4773718184015681E-4</v>
      </c>
    </row>
    <row r="1257" spans="1:3">
      <c r="A1257" s="25" t="s">
        <v>1818</v>
      </c>
      <c r="B1257" s="28">
        <v>250.56</v>
      </c>
      <c r="C1257" s="27">
        <f t="shared" si="19"/>
        <v>7.4773718184015681E-4</v>
      </c>
    </row>
    <row r="1258" spans="1:3">
      <c r="A1258" s="25" t="s">
        <v>1819</v>
      </c>
      <c r="B1258" s="28">
        <v>250.56</v>
      </c>
      <c r="C1258" s="27">
        <f t="shared" si="19"/>
        <v>7.4773718184015681E-4</v>
      </c>
    </row>
    <row r="1259" spans="1:3">
      <c r="A1259" s="25" t="s">
        <v>1820</v>
      </c>
      <c r="B1259" s="28">
        <v>250.56</v>
      </c>
      <c r="C1259" s="27">
        <f t="shared" ref="C1259:C1322" si="20">IFERROR(B1259/$S$2,"")</f>
        <v>7.4773718184015681E-4</v>
      </c>
    </row>
    <row r="1260" spans="1:3">
      <c r="A1260" s="25" t="s">
        <v>1821</v>
      </c>
      <c r="B1260" s="28">
        <v>0</v>
      </c>
      <c r="C1260" s="27">
        <f t="shared" si="20"/>
        <v>0</v>
      </c>
    </row>
    <row r="1261" spans="1:3">
      <c r="A1261" s="25" t="s">
        <v>1822</v>
      </c>
      <c r="B1261" s="28">
        <v>0</v>
      </c>
      <c r="C1261" s="27">
        <f t="shared" si="20"/>
        <v>0</v>
      </c>
    </row>
    <row r="1262" spans="1:3">
      <c r="A1262" s="25" t="s">
        <v>1823</v>
      </c>
      <c r="B1262" s="28">
        <v>219.24</v>
      </c>
      <c r="C1262" s="27">
        <f t="shared" si="20"/>
        <v>6.5427003411013722E-4</v>
      </c>
    </row>
    <row r="1263" spans="1:3">
      <c r="A1263" s="25" t="s">
        <v>1824</v>
      </c>
      <c r="B1263" s="28">
        <v>250.56</v>
      </c>
      <c r="C1263" s="27">
        <f t="shared" si="20"/>
        <v>7.4773718184015681E-4</v>
      </c>
    </row>
    <row r="1264" spans="1:3">
      <c r="A1264" s="25" t="s">
        <v>1825</v>
      </c>
      <c r="B1264" s="28">
        <v>250.56</v>
      </c>
      <c r="C1264" s="27">
        <f t="shared" si="20"/>
        <v>7.4773718184015681E-4</v>
      </c>
    </row>
    <row r="1265" spans="1:3">
      <c r="A1265" s="25" t="s">
        <v>1826</v>
      </c>
      <c r="B1265" s="28">
        <v>250.56</v>
      </c>
      <c r="C1265" s="27">
        <f t="shared" si="20"/>
        <v>7.4773718184015681E-4</v>
      </c>
    </row>
    <row r="1266" spans="1:3">
      <c r="A1266" s="25" t="s">
        <v>1827</v>
      </c>
      <c r="B1266" s="28">
        <v>250.56</v>
      </c>
      <c r="C1266" s="27">
        <f t="shared" si="20"/>
        <v>7.4773718184015681E-4</v>
      </c>
    </row>
    <row r="1267" spans="1:3">
      <c r="A1267" s="25" t="s">
        <v>1828</v>
      </c>
      <c r="B1267" s="28">
        <v>250.56</v>
      </c>
      <c r="C1267" s="27">
        <f t="shared" si="20"/>
        <v>7.4773718184015681E-4</v>
      </c>
    </row>
    <row r="1268" spans="1:3">
      <c r="A1268" s="25" t="s">
        <v>1829</v>
      </c>
      <c r="B1268" s="28">
        <v>250.56</v>
      </c>
      <c r="C1268" s="27">
        <f t="shared" si="20"/>
        <v>7.4773718184015681E-4</v>
      </c>
    </row>
    <row r="1269" spans="1:3">
      <c r="A1269" s="25" t="s">
        <v>1830</v>
      </c>
      <c r="B1269" s="28">
        <v>219.24</v>
      </c>
      <c r="C1269" s="27">
        <f t="shared" si="20"/>
        <v>6.5427003411013722E-4</v>
      </c>
    </row>
    <row r="1270" spans="1:3">
      <c r="A1270" s="25" t="s">
        <v>1831</v>
      </c>
      <c r="B1270" s="28">
        <v>250.56</v>
      </c>
      <c r="C1270" s="27">
        <f t="shared" si="20"/>
        <v>7.4773718184015681E-4</v>
      </c>
    </row>
    <row r="1271" spans="1:3">
      <c r="A1271" s="25" t="s">
        <v>1832</v>
      </c>
      <c r="B1271" s="28">
        <v>0</v>
      </c>
      <c r="C1271" s="27">
        <f t="shared" si="20"/>
        <v>0</v>
      </c>
    </row>
    <row r="1272" spans="1:3">
      <c r="A1272" s="25" t="s">
        <v>1833</v>
      </c>
      <c r="B1272" s="28">
        <v>250.56</v>
      </c>
      <c r="C1272" s="27">
        <f t="shared" si="20"/>
        <v>7.4773718184015681E-4</v>
      </c>
    </row>
    <row r="1273" spans="1:3">
      <c r="A1273" s="25" t="s">
        <v>1834</v>
      </c>
      <c r="B1273" s="28">
        <v>250.56</v>
      </c>
      <c r="C1273" s="27">
        <f t="shared" si="20"/>
        <v>7.4773718184015681E-4</v>
      </c>
    </row>
    <row r="1274" spans="1:3">
      <c r="A1274" s="25" t="s">
        <v>1835</v>
      </c>
      <c r="B1274" s="28">
        <v>250.56</v>
      </c>
      <c r="C1274" s="27">
        <f t="shared" si="20"/>
        <v>7.4773718184015681E-4</v>
      </c>
    </row>
    <row r="1275" spans="1:3">
      <c r="A1275" s="25" t="s">
        <v>1836</v>
      </c>
      <c r="B1275" s="28">
        <v>250.56</v>
      </c>
      <c r="C1275" s="27">
        <f t="shared" si="20"/>
        <v>7.4773718184015681E-4</v>
      </c>
    </row>
    <row r="1276" spans="1:3">
      <c r="A1276" s="25" t="s">
        <v>1837</v>
      </c>
      <c r="B1276" s="28">
        <v>250.56</v>
      </c>
      <c r="C1276" s="27">
        <f t="shared" si="20"/>
        <v>7.4773718184015681E-4</v>
      </c>
    </row>
    <row r="1277" spans="1:3">
      <c r="A1277" s="25" t="s">
        <v>1838</v>
      </c>
      <c r="B1277" s="28">
        <v>250.56</v>
      </c>
      <c r="C1277" s="27">
        <f t="shared" si="20"/>
        <v>7.4773718184015681E-4</v>
      </c>
    </row>
    <row r="1278" spans="1:3">
      <c r="A1278" s="25" t="s">
        <v>1839</v>
      </c>
      <c r="B1278" s="28">
        <v>250.56</v>
      </c>
      <c r="C1278" s="27">
        <f t="shared" si="20"/>
        <v>7.4773718184015681E-4</v>
      </c>
    </row>
    <row r="1279" spans="1:3">
      <c r="A1279" s="25" t="s">
        <v>1840</v>
      </c>
      <c r="B1279" s="28">
        <v>250.56</v>
      </c>
      <c r="C1279" s="27">
        <f t="shared" si="20"/>
        <v>7.4773718184015681E-4</v>
      </c>
    </row>
    <row r="1280" spans="1:3">
      <c r="A1280" s="25" t="s">
        <v>1841</v>
      </c>
      <c r="B1280" s="28">
        <v>0</v>
      </c>
      <c r="C1280" s="27">
        <f t="shared" si="20"/>
        <v>0</v>
      </c>
    </row>
    <row r="1281" spans="1:3">
      <c r="A1281" s="25" t="s">
        <v>1842</v>
      </c>
      <c r="B1281" s="28">
        <v>0</v>
      </c>
      <c r="C1281" s="27">
        <f t="shared" si="20"/>
        <v>0</v>
      </c>
    </row>
    <row r="1282" spans="1:3">
      <c r="A1282" s="25" t="s">
        <v>1843</v>
      </c>
      <c r="B1282" s="28">
        <v>250.56</v>
      </c>
      <c r="C1282" s="27">
        <f t="shared" si="20"/>
        <v>7.4773718184015681E-4</v>
      </c>
    </row>
    <row r="1283" spans="1:3">
      <c r="A1283" s="25" t="s">
        <v>1844</v>
      </c>
      <c r="B1283" s="28">
        <v>250.56</v>
      </c>
      <c r="C1283" s="27">
        <f t="shared" si="20"/>
        <v>7.4773718184015681E-4</v>
      </c>
    </row>
    <row r="1284" spans="1:3">
      <c r="A1284" s="25" t="s">
        <v>1845</v>
      </c>
      <c r="B1284" s="28">
        <v>250.56</v>
      </c>
      <c r="C1284" s="27">
        <f t="shared" si="20"/>
        <v>7.4773718184015681E-4</v>
      </c>
    </row>
    <row r="1285" spans="1:3">
      <c r="A1285" s="25" t="s">
        <v>1846</v>
      </c>
      <c r="B1285" s="28">
        <v>250.56</v>
      </c>
      <c r="C1285" s="27">
        <f t="shared" si="20"/>
        <v>7.4773718184015681E-4</v>
      </c>
    </row>
    <row r="1286" spans="1:3">
      <c r="A1286" s="25" t="s">
        <v>1847</v>
      </c>
      <c r="B1286" s="28">
        <v>250.56</v>
      </c>
      <c r="C1286" s="27">
        <f t="shared" si="20"/>
        <v>7.4773718184015681E-4</v>
      </c>
    </row>
    <row r="1287" spans="1:3">
      <c r="A1287" s="25" t="s">
        <v>1848</v>
      </c>
      <c r="B1287" s="28">
        <v>250.56</v>
      </c>
      <c r="C1287" s="27">
        <f t="shared" si="20"/>
        <v>7.4773718184015681E-4</v>
      </c>
    </row>
    <row r="1288" spans="1:3">
      <c r="A1288" s="25" t="s">
        <v>1849</v>
      </c>
      <c r="B1288" s="28">
        <v>250.56</v>
      </c>
      <c r="C1288" s="27">
        <f t="shared" si="20"/>
        <v>7.4773718184015681E-4</v>
      </c>
    </row>
    <row r="1289" spans="1:3">
      <c r="A1289" s="25" t="s">
        <v>1850</v>
      </c>
      <c r="B1289" s="28">
        <v>250.56</v>
      </c>
      <c r="C1289" s="27">
        <f t="shared" si="20"/>
        <v>7.4773718184015681E-4</v>
      </c>
    </row>
    <row r="1290" spans="1:3">
      <c r="A1290" s="25" t="s">
        <v>1851</v>
      </c>
      <c r="B1290" s="28">
        <v>0</v>
      </c>
      <c r="C1290" s="27">
        <f t="shared" si="20"/>
        <v>0</v>
      </c>
    </row>
    <row r="1291" spans="1:3">
      <c r="A1291" s="25" t="s">
        <v>1852</v>
      </c>
      <c r="B1291" s="28">
        <v>0</v>
      </c>
      <c r="C1291" s="27">
        <f t="shared" si="20"/>
        <v>0</v>
      </c>
    </row>
    <row r="1292" spans="1:3">
      <c r="A1292" s="25" t="s">
        <v>1853</v>
      </c>
      <c r="B1292" s="28">
        <v>250.56</v>
      </c>
      <c r="C1292" s="27">
        <f t="shared" si="20"/>
        <v>7.4773718184015681E-4</v>
      </c>
    </row>
    <row r="1293" spans="1:3">
      <c r="A1293" s="25" t="s">
        <v>1854</v>
      </c>
      <c r="B1293" s="28">
        <v>250.56</v>
      </c>
      <c r="C1293" s="27">
        <f t="shared" si="20"/>
        <v>7.4773718184015681E-4</v>
      </c>
    </row>
    <row r="1294" spans="1:3">
      <c r="A1294" s="25" t="s">
        <v>1855</v>
      </c>
      <c r="B1294" s="28">
        <v>250.56</v>
      </c>
      <c r="C1294" s="27">
        <f t="shared" si="20"/>
        <v>7.4773718184015681E-4</v>
      </c>
    </row>
    <row r="1295" spans="1:3">
      <c r="A1295" s="25" t="s">
        <v>1856</v>
      </c>
      <c r="B1295" s="28">
        <v>250.56</v>
      </c>
      <c r="C1295" s="27">
        <f t="shared" si="20"/>
        <v>7.4773718184015681E-4</v>
      </c>
    </row>
    <row r="1296" spans="1:3">
      <c r="A1296" s="25" t="s">
        <v>1857</v>
      </c>
      <c r="B1296" s="28">
        <v>219.24</v>
      </c>
      <c r="C1296" s="27">
        <f t="shared" si="20"/>
        <v>6.5427003411013722E-4</v>
      </c>
    </row>
    <row r="1297" spans="1:3">
      <c r="A1297" s="25" t="s">
        <v>1858</v>
      </c>
      <c r="B1297" s="28">
        <v>250.56</v>
      </c>
      <c r="C1297" s="27">
        <f t="shared" si="20"/>
        <v>7.4773718184015681E-4</v>
      </c>
    </row>
    <row r="1298" spans="1:3">
      <c r="A1298" s="25" t="s">
        <v>1859</v>
      </c>
      <c r="B1298" s="28">
        <v>219.24</v>
      </c>
      <c r="C1298" s="27">
        <f t="shared" si="20"/>
        <v>6.5427003411013722E-4</v>
      </c>
    </row>
    <row r="1299" spans="1:3">
      <c r="A1299" s="25" t="s">
        <v>1860</v>
      </c>
      <c r="B1299" s="28">
        <v>250.56</v>
      </c>
      <c r="C1299" s="27">
        <f t="shared" si="20"/>
        <v>7.4773718184015681E-4</v>
      </c>
    </row>
    <row r="1300" spans="1:3">
      <c r="A1300" s="25" t="s">
        <v>1861</v>
      </c>
      <c r="B1300" s="28">
        <v>250.56</v>
      </c>
      <c r="C1300" s="27">
        <f t="shared" si="20"/>
        <v>7.4773718184015681E-4</v>
      </c>
    </row>
    <row r="1301" spans="1:3">
      <c r="A1301" s="25" t="s">
        <v>1862</v>
      </c>
      <c r="B1301" s="28">
        <v>0</v>
      </c>
      <c r="C1301" s="27">
        <f t="shared" si="20"/>
        <v>0</v>
      </c>
    </row>
    <row r="1302" spans="1:3">
      <c r="A1302" s="25" t="s">
        <v>1863</v>
      </c>
      <c r="B1302" s="28">
        <v>250.56</v>
      </c>
      <c r="C1302" s="27">
        <f t="shared" si="20"/>
        <v>7.4773718184015681E-4</v>
      </c>
    </row>
    <row r="1303" spans="1:3">
      <c r="A1303" s="25" t="s">
        <v>1864</v>
      </c>
      <c r="B1303" s="28">
        <v>250.56</v>
      </c>
      <c r="C1303" s="27">
        <f t="shared" si="20"/>
        <v>7.4773718184015681E-4</v>
      </c>
    </row>
    <row r="1304" spans="1:3">
      <c r="A1304" s="25" t="s">
        <v>1865</v>
      </c>
      <c r="B1304" s="28">
        <v>250.56</v>
      </c>
      <c r="C1304" s="27">
        <f t="shared" si="20"/>
        <v>7.4773718184015681E-4</v>
      </c>
    </row>
    <row r="1305" spans="1:3">
      <c r="A1305" s="25" t="s">
        <v>1866</v>
      </c>
      <c r="B1305" s="28">
        <v>250.56</v>
      </c>
      <c r="C1305" s="27">
        <f t="shared" si="20"/>
        <v>7.4773718184015681E-4</v>
      </c>
    </row>
    <row r="1306" spans="1:3">
      <c r="A1306" s="25" t="s">
        <v>1867</v>
      </c>
      <c r="B1306" s="28">
        <v>250.56</v>
      </c>
      <c r="C1306" s="27">
        <f t="shared" si="20"/>
        <v>7.4773718184015681E-4</v>
      </c>
    </row>
    <row r="1307" spans="1:3">
      <c r="A1307" s="25" t="s">
        <v>1868</v>
      </c>
      <c r="B1307" s="28">
        <v>250.56</v>
      </c>
      <c r="C1307" s="27">
        <f t="shared" si="20"/>
        <v>7.4773718184015681E-4</v>
      </c>
    </row>
    <row r="1308" spans="1:3">
      <c r="A1308" s="25" t="s">
        <v>1869</v>
      </c>
      <c r="B1308" s="28">
        <v>250.56</v>
      </c>
      <c r="C1308" s="27">
        <f t="shared" si="20"/>
        <v>7.4773718184015681E-4</v>
      </c>
    </row>
    <row r="1309" spans="1:3">
      <c r="A1309" s="25" t="s">
        <v>1870</v>
      </c>
      <c r="B1309" s="28">
        <v>250.56</v>
      </c>
      <c r="C1309" s="27">
        <f t="shared" si="20"/>
        <v>7.4773718184015681E-4</v>
      </c>
    </row>
    <row r="1310" spans="1:3">
      <c r="A1310" s="25" t="s">
        <v>1871</v>
      </c>
      <c r="B1310" s="28">
        <v>0</v>
      </c>
      <c r="C1310" s="27">
        <f t="shared" si="20"/>
        <v>0</v>
      </c>
    </row>
    <row r="1311" spans="1:3">
      <c r="A1311" s="25" t="s">
        <v>1872</v>
      </c>
      <c r="B1311" s="28">
        <v>0</v>
      </c>
      <c r="C1311" s="27">
        <f t="shared" si="20"/>
        <v>0</v>
      </c>
    </row>
    <row r="1312" spans="1:3">
      <c r="A1312" s="25" t="s">
        <v>1873</v>
      </c>
      <c r="B1312" s="28">
        <v>219.24</v>
      </c>
      <c r="C1312" s="27">
        <f t="shared" si="20"/>
        <v>6.5427003411013722E-4</v>
      </c>
    </row>
    <row r="1313" spans="1:3">
      <c r="A1313" s="25" t="s">
        <v>1874</v>
      </c>
      <c r="B1313" s="28">
        <v>250.56</v>
      </c>
      <c r="C1313" s="27">
        <f t="shared" si="20"/>
        <v>7.4773718184015681E-4</v>
      </c>
    </row>
    <row r="1314" spans="1:3">
      <c r="A1314" s="25" t="s">
        <v>1875</v>
      </c>
      <c r="B1314" s="28">
        <v>250.56</v>
      </c>
      <c r="C1314" s="27">
        <f t="shared" si="20"/>
        <v>7.4773718184015681E-4</v>
      </c>
    </row>
    <row r="1315" spans="1:3">
      <c r="A1315" s="25" t="s">
        <v>1876</v>
      </c>
      <c r="B1315" s="28">
        <v>250.56</v>
      </c>
      <c r="C1315" s="27">
        <f t="shared" si="20"/>
        <v>7.4773718184015681E-4</v>
      </c>
    </row>
    <row r="1316" spans="1:3">
      <c r="A1316" s="25" t="s">
        <v>1877</v>
      </c>
      <c r="B1316" s="28">
        <v>250.56</v>
      </c>
      <c r="C1316" s="27">
        <f t="shared" si="20"/>
        <v>7.4773718184015681E-4</v>
      </c>
    </row>
    <row r="1317" spans="1:3">
      <c r="A1317" s="25" t="s">
        <v>1878</v>
      </c>
      <c r="B1317" s="28">
        <v>250.56</v>
      </c>
      <c r="C1317" s="27">
        <f t="shared" si="20"/>
        <v>7.4773718184015681E-4</v>
      </c>
    </row>
    <row r="1318" spans="1:3">
      <c r="A1318" s="25" t="s">
        <v>1879</v>
      </c>
      <c r="B1318" s="28">
        <v>250.56</v>
      </c>
      <c r="C1318" s="27">
        <f t="shared" si="20"/>
        <v>7.4773718184015681E-4</v>
      </c>
    </row>
    <row r="1319" spans="1:3">
      <c r="A1319" s="25" t="s">
        <v>1880</v>
      </c>
      <c r="B1319" s="28">
        <v>219.24</v>
      </c>
      <c r="C1319" s="27">
        <f t="shared" si="20"/>
        <v>6.5427003411013722E-4</v>
      </c>
    </row>
    <row r="1320" spans="1:3">
      <c r="A1320" s="25" t="s">
        <v>1881</v>
      </c>
      <c r="B1320" s="28">
        <v>0</v>
      </c>
      <c r="C1320" s="27">
        <f t="shared" si="20"/>
        <v>0</v>
      </c>
    </row>
    <row r="1321" spans="1:3">
      <c r="A1321" s="25" t="s">
        <v>1882</v>
      </c>
      <c r="B1321" s="28">
        <v>0</v>
      </c>
      <c r="C1321" s="27">
        <f t="shared" si="20"/>
        <v>0</v>
      </c>
    </row>
    <row r="1322" spans="1:3">
      <c r="A1322" s="25" t="s">
        <v>1883</v>
      </c>
      <c r="B1322" s="28">
        <v>250.56</v>
      </c>
      <c r="C1322" s="27">
        <f t="shared" si="20"/>
        <v>7.4773718184015681E-4</v>
      </c>
    </row>
    <row r="1323" spans="1:3">
      <c r="A1323" s="25" t="s">
        <v>1884</v>
      </c>
      <c r="B1323" s="28">
        <v>250.56</v>
      </c>
      <c r="C1323" s="27">
        <f t="shared" ref="C1323:C1386" si="21">IFERROR(B1323/$S$2,"")</f>
        <v>7.4773718184015681E-4</v>
      </c>
    </row>
    <row r="1324" spans="1:3">
      <c r="A1324" s="25" t="s">
        <v>1885</v>
      </c>
      <c r="B1324" s="28">
        <v>250.56</v>
      </c>
      <c r="C1324" s="27">
        <f t="shared" si="21"/>
        <v>7.4773718184015681E-4</v>
      </c>
    </row>
    <row r="1325" spans="1:3">
      <c r="A1325" s="25" t="s">
        <v>1886</v>
      </c>
      <c r="B1325" s="28">
        <v>250.56</v>
      </c>
      <c r="C1325" s="27">
        <f t="shared" si="21"/>
        <v>7.4773718184015681E-4</v>
      </c>
    </row>
    <row r="1326" spans="1:3">
      <c r="A1326" s="25" t="s">
        <v>1887</v>
      </c>
      <c r="B1326" s="28">
        <v>250.56</v>
      </c>
      <c r="C1326" s="27">
        <f t="shared" si="21"/>
        <v>7.4773718184015681E-4</v>
      </c>
    </row>
    <row r="1327" spans="1:3">
      <c r="A1327" s="25" t="s">
        <v>1888</v>
      </c>
      <c r="B1327" s="28">
        <v>250.56</v>
      </c>
      <c r="C1327" s="27">
        <f t="shared" si="21"/>
        <v>7.4773718184015681E-4</v>
      </c>
    </row>
    <row r="1328" spans="1:3">
      <c r="A1328" s="25" t="s">
        <v>1889</v>
      </c>
      <c r="B1328" s="28">
        <v>219.24</v>
      </c>
      <c r="C1328" s="27">
        <f t="shared" si="21"/>
        <v>6.5427003411013722E-4</v>
      </c>
    </row>
    <row r="1329" spans="1:3">
      <c r="A1329" s="25" t="s">
        <v>1890</v>
      </c>
      <c r="B1329" s="28">
        <v>250.56</v>
      </c>
      <c r="C1329" s="27">
        <f t="shared" si="21"/>
        <v>7.4773718184015681E-4</v>
      </c>
    </row>
    <row r="1330" spans="1:3">
      <c r="A1330" s="25" t="s">
        <v>1891</v>
      </c>
      <c r="B1330" s="28">
        <v>250.56</v>
      </c>
      <c r="C1330" s="27">
        <f t="shared" si="21"/>
        <v>7.4773718184015681E-4</v>
      </c>
    </row>
    <row r="1331" spans="1:3">
      <c r="A1331" s="25" t="s">
        <v>1892</v>
      </c>
      <c r="B1331" s="28">
        <v>0</v>
      </c>
      <c r="C1331" s="27">
        <f t="shared" si="21"/>
        <v>0</v>
      </c>
    </row>
    <row r="1332" spans="1:3">
      <c r="A1332" s="25" t="s">
        <v>1893</v>
      </c>
      <c r="B1332" s="28">
        <v>219.24</v>
      </c>
      <c r="C1332" s="27">
        <f t="shared" si="21"/>
        <v>6.5427003411013722E-4</v>
      </c>
    </row>
    <row r="1333" spans="1:3">
      <c r="A1333" s="25" t="s">
        <v>1894</v>
      </c>
      <c r="B1333" s="28">
        <v>250.56</v>
      </c>
      <c r="C1333" s="27">
        <f t="shared" si="21"/>
        <v>7.4773718184015681E-4</v>
      </c>
    </row>
    <row r="1334" spans="1:3">
      <c r="A1334" s="25" t="s">
        <v>1895</v>
      </c>
      <c r="B1334" s="28">
        <v>250.56</v>
      </c>
      <c r="C1334" s="27">
        <f t="shared" si="21"/>
        <v>7.4773718184015681E-4</v>
      </c>
    </row>
    <row r="1335" spans="1:3">
      <c r="A1335" s="25" t="s">
        <v>1896</v>
      </c>
      <c r="B1335" s="28">
        <v>250.56</v>
      </c>
      <c r="C1335" s="27">
        <f t="shared" si="21"/>
        <v>7.4773718184015681E-4</v>
      </c>
    </row>
    <row r="1336" spans="1:3">
      <c r="A1336" s="25" t="s">
        <v>1897</v>
      </c>
      <c r="B1336" s="28">
        <v>250.56</v>
      </c>
      <c r="C1336" s="27">
        <f t="shared" si="21"/>
        <v>7.4773718184015681E-4</v>
      </c>
    </row>
    <row r="1337" spans="1:3">
      <c r="A1337" s="25" t="s">
        <v>1898</v>
      </c>
      <c r="B1337" s="28">
        <v>250.56</v>
      </c>
      <c r="C1337" s="27">
        <f t="shared" si="21"/>
        <v>7.4773718184015681E-4</v>
      </c>
    </row>
    <row r="1338" spans="1:3">
      <c r="A1338" s="25" t="s">
        <v>1899</v>
      </c>
      <c r="B1338" s="28">
        <v>250.56</v>
      </c>
      <c r="C1338" s="27">
        <f t="shared" si="21"/>
        <v>7.4773718184015681E-4</v>
      </c>
    </row>
    <row r="1339" spans="1:3">
      <c r="A1339" s="25" t="s">
        <v>1900</v>
      </c>
      <c r="B1339" s="28">
        <v>250.56</v>
      </c>
      <c r="C1339" s="27">
        <f t="shared" si="21"/>
        <v>7.4773718184015681E-4</v>
      </c>
    </row>
    <row r="1340" spans="1:3">
      <c r="A1340" s="25" t="s">
        <v>1901</v>
      </c>
      <c r="B1340" s="28">
        <v>219.24</v>
      </c>
      <c r="C1340" s="27">
        <f t="shared" si="21"/>
        <v>6.5427003411013722E-4</v>
      </c>
    </row>
    <row r="1341" spans="1:3">
      <c r="A1341" s="25" t="s">
        <v>1902</v>
      </c>
      <c r="B1341" s="28">
        <v>0</v>
      </c>
      <c r="C1341" s="27">
        <f t="shared" si="21"/>
        <v>0</v>
      </c>
    </row>
    <row r="1342" spans="1:3">
      <c r="A1342" s="25" t="s">
        <v>1903</v>
      </c>
      <c r="B1342" s="28">
        <v>250.56</v>
      </c>
      <c r="C1342" s="27">
        <f t="shared" si="21"/>
        <v>7.4773718184015681E-4</v>
      </c>
    </row>
    <row r="1343" spans="1:3">
      <c r="A1343" s="25" t="s">
        <v>1904</v>
      </c>
      <c r="B1343" s="28">
        <v>219.24</v>
      </c>
      <c r="C1343" s="27">
        <f t="shared" si="21"/>
        <v>6.5427003411013722E-4</v>
      </c>
    </row>
    <row r="1344" spans="1:3">
      <c r="A1344" s="25" t="s">
        <v>1905</v>
      </c>
      <c r="B1344" s="28">
        <v>250.56</v>
      </c>
      <c r="C1344" s="27">
        <f t="shared" si="21"/>
        <v>7.4773718184015681E-4</v>
      </c>
    </row>
    <row r="1345" spans="1:3">
      <c r="A1345" s="25" t="s">
        <v>1906</v>
      </c>
      <c r="B1345" s="28">
        <v>250.56</v>
      </c>
      <c r="C1345" s="27">
        <f t="shared" si="21"/>
        <v>7.4773718184015681E-4</v>
      </c>
    </row>
    <row r="1346" spans="1:3">
      <c r="A1346" s="25" t="s">
        <v>1907</v>
      </c>
      <c r="B1346" s="28">
        <v>250.56</v>
      </c>
      <c r="C1346" s="27">
        <f t="shared" si="21"/>
        <v>7.4773718184015681E-4</v>
      </c>
    </row>
    <row r="1347" spans="1:3">
      <c r="A1347" s="25" t="s">
        <v>1908</v>
      </c>
      <c r="B1347" s="28">
        <v>250.56</v>
      </c>
      <c r="C1347" s="27">
        <f t="shared" si="21"/>
        <v>7.4773718184015681E-4</v>
      </c>
    </row>
    <row r="1348" spans="1:3">
      <c r="A1348" s="25" t="s">
        <v>1909</v>
      </c>
      <c r="B1348" s="28">
        <v>219.24</v>
      </c>
      <c r="C1348" s="27">
        <f t="shared" si="21"/>
        <v>6.5427003411013722E-4</v>
      </c>
    </row>
    <row r="1349" spans="1:3">
      <c r="A1349" s="25" t="s">
        <v>1910</v>
      </c>
      <c r="B1349" s="28">
        <v>250.56</v>
      </c>
      <c r="C1349" s="27">
        <f t="shared" si="21"/>
        <v>7.4773718184015681E-4</v>
      </c>
    </row>
    <row r="1350" spans="1:3">
      <c r="A1350" s="25" t="s">
        <v>1911</v>
      </c>
      <c r="B1350" s="28">
        <v>250.56</v>
      </c>
      <c r="C1350" s="27">
        <f t="shared" si="21"/>
        <v>7.4773718184015681E-4</v>
      </c>
    </row>
    <row r="1351" spans="1:3">
      <c r="A1351" s="25" t="s">
        <v>1912</v>
      </c>
      <c r="B1351" s="28">
        <v>0</v>
      </c>
      <c r="C1351" s="27">
        <f t="shared" si="21"/>
        <v>0</v>
      </c>
    </row>
    <row r="1352" spans="1:3">
      <c r="A1352" s="25" t="s">
        <v>1913</v>
      </c>
      <c r="B1352" s="28">
        <v>250.56</v>
      </c>
      <c r="C1352" s="27">
        <f t="shared" si="21"/>
        <v>7.4773718184015681E-4</v>
      </c>
    </row>
    <row r="1353" spans="1:3">
      <c r="A1353" s="25" t="s">
        <v>1914</v>
      </c>
      <c r="B1353" s="28">
        <v>250.56</v>
      </c>
      <c r="C1353" s="27">
        <f t="shared" si="21"/>
        <v>7.4773718184015681E-4</v>
      </c>
    </row>
    <row r="1354" spans="1:3">
      <c r="A1354" s="25" t="s">
        <v>1915</v>
      </c>
      <c r="B1354" s="28">
        <v>250.56</v>
      </c>
      <c r="C1354" s="27">
        <f t="shared" si="21"/>
        <v>7.4773718184015681E-4</v>
      </c>
    </row>
    <row r="1355" spans="1:3">
      <c r="A1355" s="25" t="s">
        <v>1916</v>
      </c>
      <c r="B1355" s="28">
        <v>250.56</v>
      </c>
      <c r="C1355" s="27">
        <f t="shared" si="21"/>
        <v>7.4773718184015681E-4</v>
      </c>
    </row>
    <row r="1356" spans="1:3">
      <c r="A1356" s="25" t="s">
        <v>1917</v>
      </c>
      <c r="B1356" s="28">
        <v>250.56</v>
      </c>
      <c r="C1356" s="27">
        <f t="shared" si="21"/>
        <v>7.4773718184015681E-4</v>
      </c>
    </row>
    <row r="1357" spans="1:3">
      <c r="A1357" s="25" t="s">
        <v>1918</v>
      </c>
      <c r="B1357" s="28">
        <v>250.56</v>
      </c>
      <c r="C1357" s="27">
        <f t="shared" si="21"/>
        <v>7.4773718184015681E-4</v>
      </c>
    </row>
    <row r="1358" spans="1:3">
      <c r="A1358" s="25" t="s">
        <v>1919</v>
      </c>
      <c r="B1358" s="28">
        <v>250.56</v>
      </c>
      <c r="C1358" s="27">
        <f t="shared" si="21"/>
        <v>7.4773718184015681E-4</v>
      </c>
    </row>
    <row r="1359" spans="1:3">
      <c r="A1359" s="25" t="s">
        <v>1920</v>
      </c>
      <c r="B1359" s="28">
        <v>250.56</v>
      </c>
      <c r="C1359" s="27">
        <f t="shared" si="21"/>
        <v>7.4773718184015681E-4</v>
      </c>
    </row>
    <row r="1360" spans="1:3">
      <c r="A1360" s="25" t="s">
        <v>1921</v>
      </c>
      <c r="B1360" s="28">
        <v>0</v>
      </c>
      <c r="C1360" s="27">
        <f t="shared" si="21"/>
        <v>0</v>
      </c>
    </row>
    <row r="1361" spans="1:3">
      <c r="A1361" s="25" t="s">
        <v>1922</v>
      </c>
      <c r="B1361" s="28">
        <v>0</v>
      </c>
      <c r="C1361" s="27">
        <f t="shared" si="21"/>
        <v>0</v>
      </c>
    </row>
    <row r="1362" spans="1:3">
      <c r="A1362" s="25" t="s">
        <v>1923</v>
      </c>
      <c r="B1362" s="28">
        <v>250.56</v>
      </c>
      <c r="C1362" s="27">
        <f t="shared" si="21"/>
        <v>7.4773718184015681E-4</v>
      </c>
    </row>
    <row r="1363" spans="1:3">
      <c r="A1363" s="25" t="s">
        <v>1924</v>
      </c>
      <c r="B1363" s="28">
        <v>219.24</v>
      </c>
      <c r="C1363" s="27">
        <f t="shared" si="21"/>
        <v>6.5427003411013722E-4</v>
      </c>
    </row>
    <row r="1364" spans="1:3">
      <c r="A1364" s="25" t="s">
        <v>1925</v>
      </c>
      <c r="B1364" s="28">
        <v>250.56</v>
      </c>
      <c r="C1364" s="27">
        <f t="shared" si="21"/>
        <v>7.4773718184015681E-4</v>
      </c>
    </row>
    <row r="1365" spans="1:3">
      <c r="A1365" s="25" t="s">
        <v>1926</v>
      </c>
      <c r="B1365" s="28">
        <v>250.56</v>
      </c>
      <c r="C1365" s="27">
        <f t="shared" si="21"/>
        <v>7.4773718184015681E-4</v>
      </c>
    </row>
    <row r="1366" spans="1:3">
      <c r="A1366" s="25" t="s">
        <v>1927</v>
      </c>
      <c r="B1366" s="28">
        <v>250.56</v>
      </c>
      <c r="C1366" s="27">
        <f t="shared" si="21"/>
        <v>7.4773718184015681E-4</v>
      </c>
    </row>
    <row r="1367" spans="1:3">
      <c r="A1367" s="25" t="s">
        <v>1928</v>
      </c>
      <c r="B1367" s="28">
        <v>250.56</v>
      </c>
      <c r="C1367" s="27">
        <f t="shared" si="21"/>
        <v>7.4773718184015681E-4</v>
      </c>
    </row>
    <row r="1368" spans="1:3">
      <c r="A1368" s="25" t="s">
        <v>1929</v>
      </c>
      <c r="B1368" s="28">
        <v>250.56</v>
      </c>
      <c r="C1368" s="27">
        <f t="shared" si="21"/>
        <v>7.4773718184015681E-4</v>
      </c>
    </row>
    <row r="1369" spans="1:3">
      <c r="A1369" s="25" t="s">
        <v>1930</v>
      </c>
      <c r="B1369" s="28">
        <v>219.24</v>
      </c>
      <c r="C1369" s="27">
        <f t="shared" si="21"/>
        <v>6.5427003411013722E-4</v>
      </c>
    </row>
    <row r="1370" spans="1:3">
      <c r="A1370" s="25" t="s">
        <v>1931</v>
      </c>
      <c r="B1370" s="28">
        <v>250.56</v>
      </c>
      <c r="C1370" s="27">
        <f t="shared" si="21"/>
        <v>7.4773718184015681E-4</v>
      </c>
    </row>
    <row r="1371" spans="1:3">
      <c r="A1371" s="25" t="s">
        <v>1932</v>
      </c>
      <c r="B1371" s="28">
        <v>0</v>
      </c>
      <c r="C1371" s="27">
        <f t="shared" si="21"/>
        <v>0</v>
      </c>
    </row>
    <row r="1372" spans="1:3">
      <c r="A1372" s="25" t="s">
        <v>1933</v>
      </c>
      <c r="B1372" s="28">
        <v>250.56</v>
      </c>
      <c r="C1372" s="27">
        <f t="shared" si="21"/>
        <v>7.4773718184015681E-4</v>
      </c>
    </row>
    <row r="1373" spans="1:3">
      <c r="A1373" s="25" t="s">
        <v>1934</v>
      </c>
      <c r="B1373" s="28">
        <v>250.56</v>
      </c>
      <c r="C1373" s="27">
        <f t="shared" si="21"/>
        <v>7.4773718184015681E-4</v>
      </c>
    </row>
    <row r="1374" spans="1:3">
      <c r="A1374" s="25" t="s">
        <v>1935</v>
      </c>
      <c r="B1374" s="28">
        <v>250.56</v>
      </c>
      <c r="C1374" s="27">
        <f t="shared" si="21"/>
        <v>7.4773718184015681E-4</v>
      </c>
    </row>
    <row r="1375" spans="1:3">
      <c r="A1375" s="25" t="s">
        <v>1936</v>
      </c>
      <c r="B1375" s="28">
        <v>250.56</v>
      </c>
      <c r="C1375" s="27">
        <f t="shared" si="21"/>
        <v>7.4773718184015681E-4</v>
      </c>
    </row>
    <row r="1376" spans="1:3">
      <c r="A1376" s="25" t="s">
        <v>1937</v>
      </c>
      <c r="B1376" s="28">
        <v>250.56</v>
      </c>
      <c r="C1376" s="27">
        <f t="shared" si="21"/>
        <v>7.4773718184015681E-4</v>
      </c>
    </row>
    <row r="1377" spans="1:3">
      <c r="A1377" s="25" t="s">
        <v>1938</v>
      </c>
      <c r="B1377" s="28">
        <v>250.56</v>
      </c>
      <c r="C1377" s="27">
        <f t="shared" si="21"/>
        <v>7.4773718184015681E-4</v>
      </c>
    </row>
    <row r="1378" spans="1:3">
      <c r="A1378" s="25" t="s">
        <v>1939</v>
      </c>
      <c r="B1378" s="28">
        <v>250.56</v>
      </c>
      <c r="C1378" s="27">
        <f t="shared" si="21"/>
        <v>7.4773718184015681E-4</v>
      </c>
    </row>
    <row r="1379" spans="1:3">
      <c r="A1379" s="25" t="s">
        <v>1940</v>
      </c>
      <c r="B1379" s="28">
        <v>250.56</v>
      </c>
      <c r="C1379" s="27">
        <f t="shared" si="21"/>
        <v>7.4773718184015681E-4</v>
      </c>
    </row>
    <row r="1380" spans="1:3">
      <c r="A1380" s="25" t="s">
        <v>1941</v>
      </c>
      <c r="B1380" s="28">
        <v>0</v>
      </c>
      <c r="C1380" s="27">
        <f t="shared" si="21"/>
        <v>0</v>
      </c>
    </row>
    <row r="1381" spans="1:3">
      <c r="A1381" s="25" t="s">
        <v>1942</v>
      </c>
      <c r="B1381" s="28">
        <v>0</v>
      </c>
      <c r="C1381" s="27">
        <f t="shared" si="21"/>
        <v>0</v>
      </c>
    </row>
    <row r="1382" spans="1:3">
      <c r="A1382" s="25" t="s">
        <v>1943</v>
      </c>
      <c r="B1382" s="28">
        <v>250.56</v>
      </c>
      <c r="C1382" s="27">
        <f t="shared" si="21"/>
        <v>7.4773718184015681E-4</v>
      </c>
    </row>
    <row r="1383" spans="1:3">
      <c r="A1383" s="25" t="s">
        <v>1944</v>
      </c>
      <c r="B1383" s="28">
        <v>250.56</v>
      </c>
      <c r="C1383" s="27">
        <f t="shared" si="21"/>
        <v>7.4773718184015681E-4</v>
      </c>
    </row>
    <row r="1384" spans="1:3">
      <c r="A1384" s="25" t="s">
        <v>1945</v>
      </c>
      <c r="B1384" s="28">
        <v>250.56</v>
      </c>
      <c r="C1384" s="27">
        <f t="shared" si="21"/>
        <v>7.4773718184015681E-4</v>
      </c>
    </row>
    <row r="1385" spans="1:3">
      <c r="A1385" s="25" t="s">
        <v>1946</v>
      </c>
      <c r="B1385" s="28">
        <v>250.56</v>
      </c>
      <c r="C1385" s="27">
        <f t="shared" si="21"/>
        <v>7.4773718184015681E-4</v>
      </c>
    </row>
    <row r="1386" spans="1:3">
      <c r="A1386" s="25" t="s">
        <v>1947</v>
      </c>
      <c r="B1386" s="28">
        <v>219.24</v>
      </c>
      <c r="C1386" s="27">
        <f t="shared" si="21"/>
        <v>6.5427003411013722E-4</v>
      </c>
    </row>
    <row r="1387" spans="1:3">
      <c r="A1387" s="25" t="s">
        <v>1948</v>
      </c>
      <c r="B1387" s="28">
        <v>187.92</v>
      </c>
      <c r="C1387" s="27">
        <f t="shared" ref="C1387:C1450" si="22">IFERROR(B1387/$S$2,"")</f>
        <v>5.6080288638011763E-4</v>
      </c>
    </row>
    <row r="1388" spans="1:3">
      <c r="A1388" s="25" t="s">
        <v>1949</v>
      </c>
      <c r="B1388" s="28">
        <v>250.56</v>
      </c>
      <c r="C1388" s="27">
        <f t="shared" si="22"/>
        <v>7.4773718184015681E-4</v>
      </c>
    </row>
    <row r="1389" spans="1:3">
      <c r="A1389" s="25" t="s">
        <v>1950</v>
      </c>
      <c r="B1389" s="28">
        <v>250.56</v>
      </c>
      <c r="C1389" s="27">
        <f t="shared" si="22"/>
        <v>7.4773718184015681E-4</v>
      </c>
    </row>
    <row r="1390" spans="1:3">
      <c r="A1390" s="25" t="s">
        <v>1951</v>
      </c>
      <c r="B1390" s="28">
        <v>250.56</v>
      </c>
      <c r="C1390" s="27">
        <f t="shared" si="22"/>
        <v>7.4773718184015681E-4</v>
      </c>
    </row>
    <row r="1391" spans="1:3">
      <c r="A1391" s="25" t="s">
        <v>1952</v>
      </c>
      <c r="B1391" s="28">
        <v>0</v>
      </c>
      <c r="C1391" s="27">
        <f t="shared" si="22"/>
        <v>0</v>
      </c>
    </row>
    <row r="1392" spans="1:3">
      <c r="A1392" s="25" t="s">
        <v>1953</v>
      </c>
      <c r="B1392" s="28">
        <v>250.56</v>
      </c>
      <c r="C1392" s="27">
        <f t="shared" si="22"/>
        <v>7.4773718184015681E-4</v>
      </c>
    </row>
    <row r="1393" spans="1:3">
      <c r="A1393" s="25" t="s">
        <v>1954</v>
      </c>
      <c r="B1393" s="28">
        <v>250.56</v>
      </c>
      <c r="C1393" s="27">
        <f t="shared" si="22"/>
        <v>7.4773718184015681E-4</v>
      </c>
    </row>
    <row r="1394" spans="1:3">
      <c r="A1394" s="25" t="s">
        <v>1955</v>
      </c>
      <c r="B1394" s="28">
        <v>250.56</v>
      </c>
      <c r="C1394" s="27">
        <f t="shared" si="22"/>
        <v>7.4773718184015681E-4</v>
      </c>
    </row>
    <row r="1395" spans="1:3">
      <c r="A1395" s="25" t="s">
        <v>1956</v>
      </c>
      <c r="B1395" s="28">
        <v>250.56</v>
      </c>
      <c r="C1395" s="27">
        <f t="shared" si="22"/>
        <v>7.4773718184015681E-4</v>
      </c>
    </row>
    <row r="1396" spans="1:3">
      <c r="A1396" s="25" t="s">
        <v>1957</v>
      </c>
      <c r="B1396" s="28">
        <v>250.56</v>
      </c>
      <c r="C1396" s="27">
        <f t="shared" si="22"/>
        <v>7.4773718184015681E-4</v>
      </c>
    </row>
    <row r="1397" spans="1:3">
      <c r="A1397" s="25" t="s">
        <v>1958</v>
      </c>
      <c r="B1397" s="28">
        <v>250.56</v>
      </c>
      <c r="C1397" s="27">
        <f t="shared" si="22"/>
        <v>7.4773718184015681E-4</v>
      </c>
    </row>
    <row r="1398" spans="1:3">
      <c r="A1398" s="25" t="s">
        <v>1959</v>
      </c>
      <c r="B1398" s="28">
        <v>250.56</v>
      </c>
      <c r="C1398" s="27">
        <f t="shared" si="22"/>
        <v>7.4773718184015681E-4</v>
      </c>
    </row>
    <row r="1399" spans="1:3">
      <c r="A1399" s="25" t="s">
        <v>1960</v>
      </c>
      <c r="B1399" s="28">
        <v>250.56</v>
      </c>
      <c r="C1399" s="27">
        <f t="shared" si="22"/>
        <v>7.4773718184015681E-4</v>
      </c>
    </row>
    <row r="1400" spans="1:3">
      <c r="A1400" s="25" t="s">
        <v>1961</v>
      </c>
      <c r="B1400" s="28">
        <v>0</v>
      </c>
      <c r="C1400" s="27">
        <f t="shared" si="22"/>
        <v>0</v>
      </c>
    </row>
    <row r="1401" spans="1:3">
      <c r="A1401" s="25" t="s">
        <v>1962</v>
      </c>
      <c r="B1401" s="28">
        <v>0</v>
      </c>
      <c r="C1401" s="27">
        <f t="shared" si="22"/>
        <v>0</v>
      </c>
    </row>
    <row r="1402" spans="1:3">
      <c r="A1402" s="25" t="s">
        <v>1963</v>
      </c>
      <c r="B1402" s="28">
        <v>219.24</v>
      </c>
      <c r="C1402" s="27">
        <f t="shared" si="22"/>
        <v>6.5427003411013722E-4</v>
      </c>
    </row>
    <row r="1403" spans="1:3">
      <c r="A1403" s="25" t="s">
        <v>1964</v>
      </c>
      <c r="B1403" s="28">
        <v>219.24</v>
      </c>
      <c r="C1403" s="27">
        <f t="shared" si="22"/>
        <v>6.5427003411013722E-4</v>
      </c>
    </row>
    <row r="1404" spans="1:3">
      <c r="A1404" s="25" t="s">
        <v>1965</v>
      </c>
      <c r="B1404" s="28">
        <v>250.56</v>
      </c>
      <c r="C1404" s="27">
        <f t="shared" si="22"/>
        <v>7.4773718184015681E-4</v>
      </c>
    </row>
    <row r="1405" spans="1:3">
      <c r="A1405" s="25" t="s">
        <v>1966</v>
      </c>
      <c r="B1405" s="28">
        <v>250.56</v>
      </c>
      <c r="C1405" s="27">
        <f t="shared" si="22"/>
        <v>7.4773718184015681E-4</v>
      </c>
    </row>
    <row r="1406" spans="1:3">
      <c r="A1406" s="25" t="s">
        <v>1967</v>
      </c>
      <c r="B1406" s="28">
        <v>250.56</v>
      </c>
      <c r="C1406" s="27">
        <f t="shared" si="22"/>
        <v>7.4773718184015681E-4</v>
      </c>
    </row>
    <row r="1407" spans="1:3">
      <c r="A1407" s="25" t="s">
        <v>1968</v>
      </c>
      <c r="B1407" s="28">
        <v>250.56</v>
      </c>
      <c r="C1407" s="27">
        <f t="shared" si="22"/>
        <v>7.4773718184015681E-4</v>
      </c>
    </row>
    <row r="1408" spans="1:3">
      <c r="A1408" s="25" t="s">
        <v>1969</v>
      </c>
      <c r="B1408" s="28">
        <v>250.56</v>
      </c>
      <c r="C1408" s="27">
        <f t="shared" si="22"/>
        <v>7.4773718184015681E-4</v>
      </c>
    </row>
    <row r="1409" spans="1:3">
      <c r="A1409" s="25" t="s">
        <v>1970</v>
      </c>
      <c r="B1409" s="28">
        <v>250.56</v>
      </c>
      <c r="C1409" s="27">
        <f t="shared" si="22"/>
        <v>7.4773718184015681E-4</v>
      </c>
    </row>
    <row r="1410" spans="1:3">
      <c r="A1410" s="25" t="s">
        <v>1971</v>
      </c>
      <c r="B1410" s="28">
        <v>187.92</v>
      </c>
      <c r="C1410" s="27">
        <f t="shared" si="22"/>
        <v>5.6080288638011763E-4</v>
      </c>
    </row>
    <row r="1411" spans="1:3">
      <c r="A1411" s="25" t="s">
        <v>1972</v>
      </c>
      <c r="B1411" s="28">
        <v>0</v>
      </c>
      <c r="C1411" s="27">
        <f t="shared" si="22"/>
        <v>0</v>
      </c>
    </row>
    <row r="1412" spans="1:3">
      <c r="A1412" s="25" t="s">
        <v>1973</v>
      </c>
      <c r="B1412" s="28">
        <v>219.24</v>
      </c>
      <c r="C1412" s="27">
        <f t="shared" si="22"/>
        <v>6.5427003411013722E-4</v>
      </c>
    </row>
    <row r="1413" spans="1:3">
      <c r="A1413" s="25" t="s">
        <v>1974</v>
      </c>
      <c r="B1413" s="28">
        <v>219.24</v>
      </c>
      <c r="C1413" s="27">
        <f t="shared" si="22"/>
        <v>6.5427003411013722E-4</v>
      </c>
    </row>
    <row r="1414" spans="1:3">
      <c r="A1414" s="25" t="s">
        <v>1975</v>
      </c>
      <c r="B1414" s="28">
        <v>219.24</v>
      </c>
      <c r="C1414" s="27">
        <f t="shared" si="22"/>
        <v>6.5427003411013722E-4</v>
      </c>
    </row>
    <row r="1415" spans="1:3">
      <c r="A1415" s="25" t="s">
        <v>1976</v>
      </c>
      <c r="B1415" s="28">
        <v>219.24</v>
      </c>
      <c r="C1415" s="27">
        <f t="shared" si="22"/>
        <v>6.5427003411013722E-4</v>
      </c>
    </row>
    <row r="1416" spans="1:3">
      <c r="A1416" s="25" t="s">
        <v>1977</v>
      </c>
      <c r="B1416" s="28">
        <v>250.56</v>
      </c>
      <c r="C1416" s="27">
        <f t="shared" si="22"/>
        <v>7.4773718184015681E-4</v>
      </c>
    </row>
    <row r="1417" spans="1:3">
      <c r="A1417" s="25" t="s">
        <v>1978</v>
      </c>
      <c r="B1417" s="28">
        <v>250.56</v>
      </c>
      <c r="C1417" s="27">
        <f t="shared" si="22"/>
        <v>7.4773718184015681E-4</v>
      </c>
    </row>
    <row r="1418" spans="1:3">
      <c r="A1418" s="25" t="s">
        <v>1979</v>
      </c>
      <c r="B1418" s="28">
        <v>250.56</v>
      </c>
      <c r="C1418" s="27">
        <f t="shared" si="22"/>
        <v>7.4773718184015681E-4</v>
      </c>
    </row>
    <row r="1419" spans="1:3">
      <c r="A1419" s="25" t="s">
        <v>1980</v>
      </c>
      <c r="B1419" s="28">
        <v>250.56</v>
      </c>
      <c r="C1419" s="27">
        <f t="shared" si="22"/>
        <v>7.4773718184015681E-4</v>
      </c>
    </row>
    <row r="1420" spans="1:3">
      <c r="A1420" s="25" t="s">
        <v>1981</v>
      </c>
      <c r="B1420" s="28">
        <v>0</v>
      </c>
      <c r="C1420" s="27">
        <f t="shared" si="22"/>
        <v>0</v>
      </c>
    </row>
    <row r="1421" spans="1:3">
      <c r="A1421" s="25" t="s">
        <v>1982</v>
      </c>
      <c r="B1421" s="28">
        <v>0</v>
      </c>
      <c r="C1421" s="27">
        <f t="shared" si="22"/>
        <v>0</v>
      </c>
    </row>
    <row r="1422" spans="1:3">
      <c r="A1422" s="25" t="s">
        <v>1983</v>
      </c>
      <c r="B1422" s="28">
        <v>219.24</v>
      </c>
      <c r="C1422" s="27">
        <f t="shared" si="22"/>
        <v>6.5427003411013722E-4</v>
      </c>
    </row>
    <row r="1423" spans="1:3">
      <c r="A1423" s="25" t="s">
        <v>1984</v>
      </c>
      <c r="B1423" s="28">
        <v>250.56</v>
      </c>
      <c r="C1423" s="27">
        <f t="shared" si="22"/>
        <v>7.4773718184015681E-4</v>
      </c>
    </row>
    <row r="1424" spans="1:3">
      <c r="A1424" s="25" t="s">
        <v>1985</v>
      </c>
      <c r="B1424" s="28">
        <v>187.92</v>
      </c>
      <c r="C1424" s="27">
        <f t="shared" si="22"/>
        <v>5.6080288638011763E-4</v>
      </c>
    </row>
    <row r="1425" spans="1:3">
      <c r="A1425" s="25" t="s">
        <v>1986</v>
      </c>
      <c r="B1425" s="28">
        <v>219.24</v>
      </c>
      <c r="C1425" s="27">
        <f t="shared" si="22"/>
        <v>6.5427003411013722E-4</v>
      </c>
    </row>
    <row r="1426" spans="1:3">
      <c r="A1426" s="25" t="s">
        <v>1987</v>
      </c>
      <c r="B1426" s="28">
        <v>250.56</v>
      </c>
      <c r="C1426" s="27">
        <f t="shared" si="22"/>
        <v>7.4773718184015681E-4</v>
      </c>
    </row>
    <row r="1427" spans="1:3">
      <c r="A1427" s="25" t="s">
        <v>1988</v>
      </c>
      <c r="B1427" s="28">
        <v>250.56</v>
      </c>
      <c r="C1427" s="27">
        <f t="shared" si="22"/>
        <v>7.4773718184015681E-4</v>
      </c>
    </row>
    <row r="1428" spans="1:3">
      <c r="A1428" s="25" t="s">
        <v>1989</v>
      </c>
      <c r="B1428" s="28">
        <v>250.56</v>
      </c>
      <c r="C1428" s="27">
        <f t="shared" si="22"/>
        <v>7.4773718184015681E-4</v>
      </c>
    </row>
    <row r="1429" spans="1:3">
      <c r="A1429" s="25" t="s">
        <v>1990</v>
      </c>
      <c r="B1429" s="28">
        <v>250.56</v>
      </c>
      <c r="C1429" s="27">
        <f t="shared" si="22"/>
        <v>7.4773718184015681E-4</v>
      </c>
    </row>
    <row r="1430" spans="1:3">
      <c r="A1430" s="25" t="s">
        <v>1991</v>
      </c>
      <c r="B1430" s="28">
        <v>250.56</v>
      </c>
      <c r="C1430" s="27">
        <f t="shared" si="22"/>
        <v>7.4773718184015681E-4</v>
      </c>
    </row>
    <row r="1431" spans="1:3">
      <c r="A1431" s="25" t="s">
        <v>1992</v>
      </c>
      <c r="B1431" s="28">
        <v>0</v>
      </c>
      <c r="C1431" s="27">
        <f t="shared" si="22"/>
        <v>0</v>
      </c>
    </row>
    <row r="1432" spans="1:3">
      <c r="A1432" s="25" t="s">
        <v>1993</v>
      </c>
      <c r="B1432" s="28">
        <v>219.24</v>
      </c>
      <c r="C1432" s="27">
        <f t="shared" si="22"/>
        <v>6.5427003411013722E-4</v>
      </c>
    </row>
    <row r="1433" spans="1:3">
      <c r="A1433" s="25" t="s">
        <v>1994</v>
      </c>
      <c r="B1433" s="28">
        <v>250.56</v>
      </c>
      <c r="C1433" s="27">
        <f t="shared" si="22"/>
        <v>7.4773718184015681E-4</v>
      </c>
    </row>
    <row r="1434" spans="1:3">
      <c r="A1434" s="25" t="s">
        <v>1995</v>
      </c>
      <c r="B1434" s="28">
        <v>250.56</v>
      </c>
      <c r="C1434" s="27">
        <f t="shared" si="22"/>
        <v>7.4773718184015681E-4</v>
      </c>
    </row>
    <row r="1435" spans="1:3">
      <c r="A1435" s="25" t="s">
        <v>1996</v>
      </c>
      <c r="B1435" s="28">
        <v>250.56</v>
      </c>
      <c r="C1435" s="27">
        <f t="shared" si="22"/>
        <v>7.4773718184015681E-4</v>
      </c>
    </row>
    <row r="1436" spans="1:3">
      <c r="A1436" s="25" t="s">
        <v>1997</v>
      </c>
      <c r="B1436" s="28">
        <v>250.56</v>
      </c>
      <c r="C1436" s="27">
        <f t="shared" si="22"/>
        <v>7.4773718184015681E-4</v>
      </c>
    </row>
    <row r="1437" spans="1:3">
      <c r="A1437" s="25" t="s">
        <v>1998</v>
      </c>
      <c r="B1437" s="28">
        <v>250.56</v>
      </c>
      <c r="C1437" s="27">
        <f t="shared" si="22"/>
        <v>7.4773718184015681E-4</v>
      </c>
    </row>
    <row r="1438" spans="1:3">
      <c r="A1438" s="25" t="s">
        <v>1999</v>
      </c>
      <c r="B1438" s="28">
        <v>250.56</v>
      </c>
      <c r="C1438" s="27">
        <f t="shared" si="22"/>
        <v>7.4773718184015681E-4</v>
      </c>
    </row>
    <row r="1439" spans="1:3">
      <c r="A1439" s="25" t="s">
        <v>2000</v>
      </c>
      <c r="B1439" s="28">
        <v>250.56</v>
      </c>
      <c r="C1439" s="27">
        <f t="shared" si="22"/>
        <v>7.4773718184015681E-4</v>
      </c>
    </row>
    <row r="1440" spans="1:3">
      <c r="A1440" s="25" t="s">
        <v>2001</v>
      </c>
      <c r="B1440" s="28">
        <v>0</v>
      </c>
      <c r="C1440" s="27">
        <f t="shared" si="22"/>
        <v>0</v>
      </c>
    </row>
    <row r="1441" spans="1:3">
      <c r="A1441" s="25" t="s">
        <v>2002</v>
      </c>
      <c r="B1441" s="28">
        <v>0</v>
      </c>
      <c r="C1441" s="27">
        <f t="shared" si="22"/>
        <v>0</v>
      </c>
    </row>
    <row r="1442" spans="1:3">
      <c r="A1442" s="25" t="s">
        <v>2003</v>
      </c>
      <c r="B1442" s="28">
        <v>250.56</v>
      </c>
      <c r="C1442" s="27">
        <f t="shared" si="22"/>
        <v>7.4773718184015681E-4</v>
      </c>
    </row>
    <row r="1443" spans="1:3">
      <c r="A1443" s="25" t="s">
        <v>2004</v>
      </c>
      <c r="B1443" s="28">
        <v>250.56</v>
      </c>
      <c r="C1443" s="27">
        <f t="shared" si="22"/>
        <v>7.4773718184015681E-4</v>
      </c>
    </row>
    <row r="1444" spans="1:3">
      <c r="A1444" s="25" t="s">
        <v>2005</v>
      </c>
      <c r="B1444" s="28">
        <v>250.56</v>
      </c>
      <c r="C1444" s="27">
        <f t="shared" si="22"/>
        <v>7.4773718184015681E-4</v>
      </c>
    </row>
    <row r="1445" spans="1:3">
      <c r="A1445" s="25" t="s">
        <v>2006</v>
      </c>
      <c r="B1445" s="28">
        <v>250.56</v>
      </c>
      <c r="C1445" s="27">
        <f t="shared" si="22"/>
        <v>7.4773718184015681E-4</v>
      </c>
    </row>
    <row r="1446" spans="1:3">
      <c r="A1446" s="25" t="s">
        <v>2007</v>
      </c>
      <c r="B1446" s="28">
        <v>250.56</v>
      </c>
      <c r="C1446" s="27">
        <f t="shared" si="22"/>
        <v>7.4773718184015681E-4</v>
      </c>
    </row>
    <row r="1447" spans="1:3">
      <c r="A1447" s="25" t="s">
        <v>2008</v>
      </c>
      <c r="B1447" s="28">
        <v>250.56</v>
      </c>
      <c r="C1447" s="27">
        <f t="shared" si="22"/>
        <v>7.4773718184015681E-4</v>
      </c>
    </row>
    <row r="1448" spans="1:3">
      <c r="A1448" s="25" t="s">
        <v>2009</v>
      </c>
      <c r="B1448" s="28">
        <v>250.56</v>
      </c>
      <c r="C1448" s="27">
        <f t="shared" si="22"/>
        <v>7.4773718184015681E-4</v>
      </c>
    </row>
    <row r="1449" spans="1:3">
      <c r="A1449" s="25" t="s">
        <v>2010</v>
      </c>
      <c r="B1449" s="28">
        <v>219.24</v>
      </c>
      <c r="C1449" s="27">
        <f t="shared" si="22"/>
        <v>6.5427003411013722E-4</v>
      </c>
    </row>
    <row r="1450" spans="1:3">
      <c r="A1450" s="25" t="s">
        <v>2011</v>
      </c>
      <c r="B1450" s="28">
        <v>0</v>
      </c>
      <c r="C1450" s="27">
        <f t="shared" si="22"/>
        <v>0</v>
      </c>
    </row>
    <row r="1451" spans="1:3">
      <c r="A1451" s="25" t="s">
        <v>2012</v>
      </c>
      <c r="B1451" s="28">
        <v>0</v>
      </c>
      <c r="C1451" s="27">
        <f t="shared" ref="C1451:C1514" si="23">IFERROR(B1451/$S$2,"")</f>
        <v>0</v>
      </c>
    </row>
    <row r="1452" spans="1:3">
      <c r="A1452" s="25" t="s">
        <v>2013</v>
      </c>
      <c r="B1452" s="28">
        <v>250.56</v>
      </c>
      <c r="C1452" s="27">
        <f t="shared" si="23"/>
        <v>7.4773718184015681E-4</v>
      </c>
    </row>
    <row r="1453" spans="1:3">
      <c r="A1453" s="25" t="s">
        <v>2014</v>
      </c>
      <c r="B1453" s="28">
        <v>250.56</v>
      </c>
      <c r="C1453" s="27">
        <f t="shared" si="23"/>
        <v>7.4773718184015681E-4</v>
      </c>
    </row>
    <row r="1454" spans="1:3">
      <c r="A1454" s="25" t="s">
        <v>2015</v>
      </c>
      <c r="B1454" s="28">
        <v>250.56</v>
      </c>
      <c r="C1454" s="27">
        <f t="shared" si="23"/>
        <v>7.4773718184015681E-4</v>
      </c>
    </row>
    <row r="1455" spans="1:3">
      <c r="A1455" s="25" t="s">
        <v>2016</v>
      </c>
      <c r="B1455" s="28">
        <v>250.56</v>
      </c>
      <c r="C1455" s="27">
        <f t="shared" si="23"/>
        <v>7.4773718184015681E-4</v>
      </c>
    </row>
    <row r="1456" spans="1:3">
      <c r="A1456" s="25" t="s">
        <v>2017</v>
      </c>
      <c r="B1456" s="28">
        <v>250.56</v>
      </c>
      <c r="C1456" s="27">
        <f t="shared" si="23"/>
        <v>7.4773718184015681E-4</v>
      </c>
    </row>
    <row r="1457" spans="1:3">
      <c r="A1457" s="25" t="s">
        <v>2018</v>
      </c>
      <c r="B1457" s="28">
        <v>250.56</v>
      </c>
      <c r="C1457" s="27">
        <f t="shared" si="23"/>
        <v>7.4773718184015681E-4</v>
      </c>
    </row>
    <row r="1458" spans="1:3">
      <c r="A1458" s="25" t="s">
        <v>2019</v>
      </c>
      <c r="B1458" s="28">
        <v>250.56</v>
      </c>
      <c r="C1458" s="27">
        <f t="shared" si="23"/>
        <v>7.4773718184015681E-4</v>
      </c>
    </row>
    <row r="1459" spans="1:3">
      <c r="A1459" s="25" t="s">
        <v>2020</v>
      </c>
      <c r="B1459" s="28">
        <v>250.56</v>
      </c>
      <c r="C1459" s="27">
        <f t="shared" si="23"/>
        <v>7.4773718184015681E-4</v>
      </c>
    </row>
    <row r="1460" spans="1:3">
      <c r="A1460" s="25" t="s">
        <v>2021</v>
      </c>
      <c r="B1460" s="28">
        <v>0</v>
      </c>
      <c r="C1460" s="27">
        <f t="shared" si="23"/>
        <v>0</v>
      </c>
    </row>
    <row r="1461" spans="1:3">
      <c r="A1461" s="25" t="s">
        <v>2022</v>
      </c>
      <c r="B1461" s="28">
        <v>0</v>
      </c>
      <c r="C1461" s="27">
        <f t="shared" si="23"/>
        <v>0</v>
      </c>
    </row>
    <row r="1462" spans="1:3">
      <c r="A1462" s="25" t="s">
        <v>2023</v>
      </c>
      <c r="B1462" s="28">
        <v>250.56</v>
      </c>
      <c r="C1462" s="27">
        <f t="shared" si="23"/>
        <v>7.4773718184015681E-4</v>
      </c>
    </row>
    <row r="1463" spans="1:3">
      <c r="A1463" s="25" t="s">
        <v>2024</v>
      </c>
      <c r="B1463" s="28">
        <v>250.56</v>
      </c>
      <c r="C1463" s="27">
        <f t="shared" si="23"/>
        <v>7.4773718184015681E-4</v>
      </c>
    </row>
    <row r="1464" spans="1:3">
      <c r="A1464" s="25" t="s">
        <v>2025</v>
      </c>
      <c r="B1464" s="28">
        <v>250.56</v>
      </c>
      <c r="C1464" s="27">
        <f t="shared" si="23"/>
        <v>7.4773718184015681E-4</v>
      </c>
    </row>
    <row r="1465" spans="1:3">
      <c r="A1465" s="25" t="s">
        <v>2026</v>
      </c>
      <c r="B1465" s="28">
        <v>250.56</v>
      </c>
      <c r="C1465" s="27">
        <f t="shared" si="23"/>
        <v>7.4773718184015681E-4</v>
      </c>
    </row>
    <row r="1466" spans="1:3">
      <c r="A1466" s="25" t="s">
        <v>2027</v>
      </c>
      <c r="B1466" s="28">
        <v>250.56</v>
      </c>
      <c r="C1466" s="27">
        <f t="shared" si="23"/>
        <v>7.4773718184015681E-4</v>
      </c>
    </row>
    <row r="1467" spans="1:3">
      <c r="A1467" s="25" t="s">
        <v>2028</v>
      </c>
      <c r="B1467" s="28">
        <v>250.56</v>
      </c>
      <c r="C1467" s="27">
        <f t="shared" si="23"/>
        <v>7.4773718184015681E-4</v>
      </c>
    </row>
    <row r="1468" spans="1:3">
      <c r="A1468" s="25" t="s">
        <v>2029</v>
      </c>
      <c r="B1468" s="28">
        <v>250.56</v>
      </c>
      <c r="C1468" s="27">
        <f t="shared" si="23"/>
        <v>7.4773718184015681E-4</v>
      </c>
    </row>
    <row r="1469" spans="1:3">
      <c r="A1469" s="25" t="s">
        <v>2030</v>
      </c>
      <c r="B1469" s="28">
        <v>250.56</v>
      </c>
      <c r="C1469" s="27">
        <f t="shared" si="23"/>
        <v>7.4773718184015681E-4</v>
      </c>
    </row>
    <row r="1470" spans="1:3">
      <c r="A1470" s="25" t="s">
        <v>2031</v>
      </c>
      <c r="B1470" s="28">
        <v>0</v>
      </c>
      <c r="C1470" s="27">
        <f t="shared" si="23"/>
        <v>0</v>
      </c>
    </row>
    <row r="1471" spans="1:3">
      <c r="A1471" s="25" t="s">
        <v>2032</v>
      </c>
      <c r="B1471" s="28">
        <v>0</v>
      </c>
      <c r="C1471" s="27">
        <f t="shared" si="23"/>
        <v>0</v>
      </c>
    </row>
    <row r="1472" spans="1:3">
      <c r="A1472" s="25" t="s">
        <v>2033</v>
      </c>
      <c r="B1472" s="28">
        <v>250.56</v>
      </c>
      <c r="C1472" s="27">
        <f t="shared" si="23"/>
        <v>7.4773718184015681E-4</v>
      </c>
    </row>
    <row r="1473" spans="1:3">
      <c r="A1473" s="25" t="s">
        <v>2034</v>
      </c>
      <c r="B1473" s="28">
        <v>250.56</v>
      </c>
      <c r="C1473" s="27">
        <f t="shared" si="23"/>
        <v>7.4773718184015681E-4</v>
      </c>
    </row>
    <row r="1474" spans="1:3">
      <c r="A1474" s="25" t="s">
        <v>2035</v>
      </c>
      <c r="B1474" s="28">
        <v>250.56</v>
      </c>
      <c r="C1474" s="27">
        <f t="shared" si="23"/>
        <v>7.4773718184015681E-4</v>
      </c>
    </row>
    <row r="1475" spans="1:3">
      <c r="A1475" s="25" t="s">
        <v>2036</v>
      </c>
      <c r="B1475" s="28">
        <v>250.56</v>
      </c>
      <c r="C1475" s="27">
        <f t="shared" si="23"/>
        <v>7.4773718184015681E-4</v>
      </c>
    </row>
    <row r="1476" spans="1:3">
      <c r="A1476" s="25" t="s">
        <v>2037</v>
      </c>
      <c r="B1476" s="28">
        <v>250.56</v>
      </c>
      <c r="C1476" s="27">
        <f t="shared" si="23"/>
        <v>7.4773718184015681E-4</v>
      </c>
    </row>
    <row r="1477" spans="1:3">
      <c r="A1477" s="25" t="s">
        <v>2038</v>
      </c>
      <c r="B1477" s="28">
        <v>250.56</v>
      </c>
      <c r="C1477" s="27">
        <f t="shared" si="23"/>
        <v>7.4773718184015681E-4</v>
      </c>
    </row>
    <row r="1478" spans="1:3">
      <c r="A1478" s="25" t="s">
        <v>2039</v>
      </c>
      <c r="B1478" s="28">
        <v>250.56</v>
      </c>
      <c r="C1478" s="27">
        <f t="shared" si="23"/>
        <v>7.4773718184015681E-4</v>
      </c>
    </row>
    <row r="1479" spans="1:3">
      <c r="A1479" s="25" t="s">
        <v>2040</v>
      </c>
      <c r="B1479" s="28">
        <v>0</v>
      </c>
      <c r="C1479" s="27">
        <f t="shared" si="23"/>
        <v>0</v>
      </c>
    </row>
    <row r="1480" spans="1:3">
      <c r="A1480" s="25" t="s">
        <v>2041</v>
      </c>
      <c r="B1480" s="28">
        <v>0</v>
      </c>
      <c r="C1480" s="27">
        <f t="shared" si="23"/>
        <v>0</v>
      </c>
    </row>
    <row r="1481" spans="1:3">
      <c r="A1481" s="25" t="s">
        <v>2042</v>
      </c>
      <c r="B1481" s="28">
        <v>0</v>
      </c>
      <c r="C1481" s="27">
        <f t="shared" si="23"/>
        <v>0</v>
      </c>
    </row>
    <row r="1482" spans="1:3">
      <c r="A1482" s="25" t="s">
        <v>2043</v>
      </c>
      <c r="B1482" s="28">
        <v>250.56</v>
      </c>
      <c r="C1482" s="27">
        <f t="shared" si="23"/>
        <v>7.4773718184015681E-4</v>
      </c>
    </row>
    <row r="1483" spans="1:3">
      <c r="A1483" s="25" t="s">
        <v>2044</v>
      </c>
      <c r="B1483" s="28">
        <v>250.56</v>
      </c>
      <c r="C1483" s="27">
        <f t="shared" si="23"/>
        <v>7.4773718184015681E-4</v>
      </c>
    </row>
    <row r="1484" spans="1:3">
      <c r="A1484" s="25" t="s">
        <v>2045</v>
      </c>
      <c r="B1484" s="28">
        <v>250.56</v>
      </c>
      <c r="C1484" s="27">
        <f t="shared" si="23"/>
        <v>7.4773718184015681E-4</v>
      </c>
    </row>
    <row r="1485" spans="1:3">
      <c r="A1485" s="25" t="s">
        <v>2046</v>
      </c>
      <c r="B1485" s="28">
        <v>219.24</v>
      </c>
      <c r="C1485" s="27">
        <f t="shared" si="23"/>
        <v>6.5427003411013722E-4</v>
      </c>
    </row>
    <row r="1486" spans="1:3">
      <c r="A1486" s="25" t="s">
        <v>2047</v>
      </c>
      <c r="B1486" s="28">
        <v>250.56</v>
      </c>
      <c r="C1486" s="27">
        <f t="shared" si="23"/>
        <v>7.4773718184015681E-4</v>
      </c>
    </row>
    <row r="1487" spans="1:3">
      <c r="A1487" s="25" t="s">
        <v>2048</v>
      </c>
      <c r="B1487" s="28">
        <v>250.56</v>
      </c>
      <c r="C1487" s="27">
        <f t="shared" si="23"/>
        <v>7.4773718184015681E-4</v>
      </c>
    </row>
    <row r="1488" spans="1:3">
      <c r="A1488" s="25" t="s">
        <v>2049</v>
      </c>
      <c r="B1488" s="28">
        <v>234.9</v>
      </c>
      <c r="C1488" s="27">
        <f t="shared" si="23"/>
        <v>7.0100360797514707E-4</v>
      </c>
    </row>
    <row r="1489" spans="1:3">
      <c r="A1489" s="25" t="s">
        <v>2050</v>
      </c>
      <c r="B1489" s="28">
        <v>250.56</v>
      </c>
      <c r="C1489" s="27">
        <f t="shared" si="23"/>
        <v>7.4773718184015681E-4</v>
      </c>
    </row>
    <row r="1490" spans="1:3">
      <c r="A1490" s="25" t="s">
        <v>2051</v>
      </c>
      <c r="B1490" s="28">
        <v>0</v>
      </c>
      <c r="C1490" s="27">
        <f t="shared" si="23"/>
        <v>0</v>
      </c>
    </row>
    <row r="1491" spans="1:3">
      <c r="A1491" s="25" t="s">
        <v>2052</v>
      </c>
      <c r="B1491" s="28">
        <v>0</v>
      </c>
      <c r="C1491" s="27">
        <f t="shared" si="23"/>
        <v>0</v>
      </c>
    </row>
    <row r="1492" spans="1:3">
      <c r="A1492" s="25" t="s">
        <v>2053</v>
      </c>
      <c r="B1492" s="28">
        <v>250.56</v>
      </c>
      <c r="C1492" s="27">
        <f t="shared" si="23"/>
        <v>7.4773718184015681E-4</v>
      </c>
    </row>
    <row r="1493" spans="1:3">
      <c r="A1493" s="25" t="s">
        <v>2054</v>
      </c>
      <c r="B1493" s="28">
        <v>250.56</v>
      </c>
      <c r="C1493" s="27">
        <f t="shared" si="23"/>
        <v>7.4773718184015681E-4</v>
      </c>
    </row>
    <row r="1494" spans="1:3">
      <c r="A1494" s="25" t="s">
        <v>2055</v>
      </c>
      <c r="B1494" s="28">
        <v>250.56</v>
      </c>
      <c r="C1494" s="27">
        <f t="shared" si="23"/>
        <v>7.4773718184015681E-4</v>
      </c>
    </row>
    <row r="1495" spans="1:3">
      <c r="A1495" s="25" t="s">
        <v>2056</v>
      </c>
      <c r="B1495" s="28">
        <v>250.56</v>
      </c>
      <c r="C1495" s="27">
        <f t="shared" si="23"/>
        <v>7.4773718184015681E-4</v>
      </c>
    </row>
    <row r="1496" spans="1:3">
      <c r="A1496" s="25" t="s">
        <v>2057</v>
      </c>
      <c r="B1496" s="28">
        <v>250.56</v>
      </c>
      <c r="C1496" s="27">
        <f t="shared" si="23"/>
        <v>7.4773718184015681E-4</v>
      </c>
    </row>
    <row r="1497" spans="1:3">
      <c r="A1497" s="25" t="s">
        <v>2058</v>
      </c>
      <c r="B1497" s="28">
        <v>250.56</v>
      </c>
      <c r="C1497" s="27">
        <f t="shared" si="23"/>
        <v>7.4773718184015681E-4</v>
      </c>
    </row>
    <row r="1498" spans="1:3">
      <c r="A1498" s="25" t="s">
        <v>2059</v>
      </c>
      <c r="B1498" s="28">
        <v>250.56</v>
      </c>
      <c r="C1498" s="27">
        <f t="shared" si="23"/>
        <v>7.4773718184015681E-4</v>
      </c>
    </row>
    <row r="1499" spans="1:3">
      <c r="A1499" s="25" t="s">
        <v>2060</v>
      </c>
      <c r="B1499" s="28">
        <v>0</v>
      </c>
      <c r="C1499" s="27">
        <f t="shared" si="23"/>
        <v>0</v>
      </c>
    </row>
    <row r="1500" spans="1:3">
      <c r="A1500" s="25" t="s">
        <v>2061</v>
      </c>
      <c r="B1500" s="28">
        <v>0</v>
      </c>
      <c r="C1500" s="27">
        <f t="shared" si="23"/>
        <v>0</v>
      </c>
    </row>
    <row r="1501" spans="1:3">
      <c r="A1501" s="25" t="s">
        <v>2062</v>
      </c>
      <c r="B1501" s="28">
        <v>0</v>
      </c>
      <c r="C1501" s="27">
        <f t="shared" si="23"/>
        <v>0</v>
      </c>
    </row>
    <row r="1502" spans="1:3">
      <c r="A1502" s="25" t="s">
        <v>2063</v>
      </c>
      <c r="B1502" s="28">
        <v>250.56</v>
      </c>
      <c r="C1502" s="27">
        <f t="shared" si="23"/>
        <v>7.4773718184015681E-4</v>
      </c>
    </row>
    <row r="1503" spans="1:3">
      <c r="A1503" s="25" t="s">
        <v>2064</v>
      </c>
      <c r="B1503" s="28">
        <v>250.56</v>
      </c>
      <c r="C1503" s="27">
        <f t="shared" si="23"/>
        <v>7.4773718184015681E-4</v>
      </c>
    </row>
    <row r="1504" spans="1:3">
      <c r="A1504" s="25" t="s">
        <v>2065</v>
      </c>
      <c r="B1504" s="28">
        <v>250.56</v>
      </c>
      <c r="C1504" s="27">
        <f t="shared" si="23"/>
        <v>7.4773718184015681E-4</v>
      </c>
    </row>
    <row r="1505" spans="1:3">
      <c r="A1505" s="25" t="s">
        <v>2066</v>
      </c>
      <c r="B1505" s="28">
        <v>250.56</v>
      </c>
      <c r="C1505" s="27">
        <f t="shared" si="23"/>
        <v>7.4773718184015681E-4</v>
      </c>
    </row>
    <row r="1506" spans="1:3">
      <c r="A1506" s="25" t="s">
        <v>2067</v>
      </c>
      <c r="B1506" s="28">
        <v>250.56</v>
      </c>
      <c r="C1506" s="27">
        <f t="shared" si="23"/>
        <v>7.4773718184015681E-4</v>
      </c>
    </row>
    <row r="1507" spans="1:3">
      <c r="A1507" s="25" t="s">
        <v>2068</v>
      </c>
      <c r="B1507" s="28">
        <v>250.56</v>
      </c>
      <c r="C1507" s="27">
        <f t="shared" si="23"/>
        <v>7.4773718184015681E-4</v>
      </c>
    </row>
    <row r="1508" spans="1:3">
      <c r="A1508" s="25" t="s">
        <v>2069</v>
      </c>
      <c r="B1508" s="28">
        <v>250.56</v>
      </c>
      <c r="C1508" s="27">
        <f t="shared" si="23"/>
        <v>7.4773718184015681E-4</v>
      </c>
    </row>
    <row r="1509" spans="1:3">
      <c r="A1509" s="25" t="s">
        <v>2070</v>
      </c>
      <c r="B1509" s="28">
        <v>250.56</v>
      </c>
      <c r="C1509" s="27">
        <f t="shared" si="23"/>
        <v>7.4773718184015681E-4</v>
      </c>
    </row>
    <row r="1510" spans="1:3">
      <c r="A1510" s="25" t="s">
        <v>2071</v>
      </c>
      <c r="B1510" s="28">
        <v>0</v>
      </c>
      <c r="C1510" s="27">
        <f t="shared" si="23"/>
        <v>0</v>
      </c>
    </row>
    <row r="1511" spans="1:3">
      <c r="A1511" s="25" t="s">
        <v>2072</v>
      </c>
      <c r="B1511" s="28">
        <v>0</v>
      </c>
      <c r="C1511" s="27">
        <f t="shared" si="23"/>
        <v>0</v>
      </c>
    </row>
    <row r="1512" spans="1:3">
      <c r="A1512" s="25" t="s">
        <v>2073</v>
      </c>
      <c r="B1512" s="28">
        <v>250.56</v>
      </c>
      <c r="C1512" s="27">
        <f t="shared" si="23"/>
        <v>7.4773718184015681E-4</v>
      </c>
    </row>
    <row r="1513" spans="1:3">
      <c r="A1513" s="25" t="s">
        <v>2074</v>
      </c>
      <c r="B1513" s="28">
        <v>250.56</v>
      </c>
      <c r="C1513" s="27">
        <f t="shared" si="23"/>
        <v>7.4773718184015681E-4</v>
      </c>
    </row>
    <row r="1514" spans="1:3">
      <c r="A1514" s="25" t="s">
        <v>2075</v>
      </c>
      <c r="B1514" s="28">
        <v>250.56</v>
      </c>
      <c r="C1514" s="27">
        <f t="shared" si="23"/>
        <v>7.4773718184015681E-4</v>
      </c>
    </row>
    <row r="1515" spans="1:3">
      <c r="A1515" s="25" t="s">
        <v>2076</v>
      </c>
      <c r="B1515" s="28">
        <v>250.56</v>
      </c>
      <c r="C1515" s="27">
        <f t="shared" ref="C1515:C1578" si="24">IFERROR(B1515/$S$2,"")</f>
        <v>7.4773718184015681E-4</v>
      </c>
    </row>
    <row r="1516" spans="1:3">
      <c r="A1516" s="25" t="s">
        <v>2077</v>
      </c>
      <c r="B1516" s="28">
        <v>250.56</v>
      </c>
      <c r="C1516" s="27">
        <f t="shared" si="24"/>
        <v>7.4773718184015681E-4</v>
      </c>
    </row>
    <row r="1517" spans="1:3">
      <c r="A1517" s="25" t="s">
        <v>2078</v>
      </c>
      <c r="B1517" s="28">
        <v>250.56</v>
      </c>
      <c r="C1517" s="27">
        <f t="shared" si="24"/>
        <v>7.4773718184015681E-4</v>
      </c>
    </row>
    <row r="1518" spans="1:3">
      <c r="A1518" s="25" t="s">
        <v>2079</v>
      </c>
      <c r="B1518" s="28">
        <v>250.56</v>
      </c>
      <c r="C1518" s="27">
        <f t="shared" si="24"/>
        <v>7.4773718184015681E-4</v>
      </c>
    </row>
    <row r="1519" spans="1:3">
      <c r="A1519" s="25" t="s">
        <v>2080</v>
      </c>
      <c r="B1519" s="28">
        <v>250.56</v>
      </c>
      <c r="C1519" s="27">
        <f t="shared" si="24"/>
        <v>7.4773718184015681E-4</v>
      </c>
    </row>
    <row r="1520" spans="1:3">
      <c r="A1520" s="25" t="s">
        <v>2081</v>
      </c>
      <c r="B1520" s="28">
        <v>0</v>
      </c>
      <c r="C1520" s="27">
        <f t="shared" si="24"/>
        <v>0</v>
      </c>
    </row>
    <row r="1521" spans="1:3">
      <c r="A1521" s="25" t="s">
        <v>2082</v>
      </c>
      <c r="B1521" s="28">
        <v>0</v>
      </c>
      <c r="C1521" s="27">
        <f t="shared" si="24"/>
        <v>0</v>
      </c>
    </row>
    <row r="1522" spans="1:3">
      <c r="A1522" s="25" t="s">
        <v>2083</v>
      </c>
      <c r="B1522" s="28">
        <v>250.56</v>
      </c>
      <c r="C1522" s="27">
        <f t="shared" si="24"/>
        <v>7.4773718184015681E-4</v>
      </c>
    </row>
    <row r="1523" spans="1:3">
      <c r="A1523" s="25" t="s">
        <v>2084</v>
      </c>
      <c r="B1523" s="28">
        <v>250.56</v>
      </c>
      <c r="C1523" s="27">
        <f t="shared" si="24"/>
        <v>7.4773718184015681E-4</v>
      </c>
    </row>
    <row r="1524" spans="1:3">
      <c r="A1524" s="25" t="s">
        <v>2085</v>
      </c>
      <c r="B1524" s="28">
        <v>250.56</v>
      </c>
      <c r="C1524" s="27">
        <f t="shared" si="24"/>
        <v>7.4773718184015681E-4</v>
      </c>
    </row>
    <row r="1525" spans="1:3">
      <c r="A1525" s="25" t="s">
        <v>2086</v>
      </c>
      <c r="B1525" s="28">
        <v>250.56</v>
      </c>
      <c r="C1525" s="27">
        <f t="shared" si="24"/>
        <v>7.4773718184015681E-4</v>
      </c>
    </row>
    <row r="1526" spans="1:3">
      <c r="A1526" s="25" t="s">
        <v>2087</v>
      </c>
      <c r="B1526" s="28">
        <v>250.56</v>
      </c>
      <c r="C1526" s="27">
        <f t="shared" si="24"/>
        <v>7.4773718184015681E-4</v>
      </c>
    </row>
    <row r="1527" spans="1:3">
      <c r="A1527" s="25" t="s">
        <v>2088</v>
      </c>
      <c r="B1527" s="28">
        <v>250.56</v>
      </c>
      <c r="C1527" s="27">
        <f t="shared" si="24"/>
        <v>7.4773718184015681E-4</v>
      </c>
    </row>
    <row r="1528" spans="1:3">
      <c r="A1528" s="25" t="s">
        <v>2089</v>
      </c>
      <c r="B1528" s="28">
        <v>250.56</v>
      </c>
      <c r="C1528" s="27">
        <f t="shared" si="24"/>
        <v>7.4773718184015681E-4</v>
      </c>
    </row>
    <row r="1529" spans="1:3">
      <c r="A1529" s="25" t="s">
        <v>2090</v>
      </c>
      <c r="B1529" s="28">
        <v>250.56</v>
      </c>
      <c r="C1529" s="27">
        <f t="shared" si="24"/>
        <v>7.4773718184015681E-4</v>
      </c>
    </row>
    <row r="1530" spans="1:3">
      <c r="A1530" s="25" t="s">
        <v>2091</v>
      </c>
      <c r="B1530" s="28">
        <v>250.56</v>
      </c>
      <c r="C1530" s="27">
        <f t="shared" si="24"/>
        <v>7.4773718184015681E-4</v>
      </c>
    </row>
    <row r="1531" spans="1:3">
      <c r="A1531" s="25" t="s">
        <v>2092</v>
      </c>
      <c r="B1531" s="28">
        <v>0</v>
      </c>
      <c r="C1531" s="27">
        <f t="shared" si="24"/>
        <v>0</v>
      </c>
    </row>
    <row r="1532" spans="1:3">
      <c r="A1532" s="25" t="s">
        <v>2093</v>
      </c>
      <c r="B1532" s="28">
        <v>250.56</v>
      </c>
      <c r="C1532" s="27">
        <f t="shared" si="24"/>
        <v>7.4773718184015681E-4</v>
      </c>
    </row>
    <row r="1533" spans="1:3">
      <c r="A1533" s="25" t="s">
        <v>2094</v>
      </c>
      <c r="B1533" s="28">
        <v>250.56</v>
      </c>
      <c r="C1533" s="27">
        <f t="shared" si="24"/>
        <v>7.4773718184015681E-4</v>
      </c>
    </row>
    <row r="1534" spans="1:3">
      <c r="A1534" s="25" t="s">
        <v>2095</v>
      </c>
      <c r="B1534" s="28">
        <v>219.24</v>
      </c>
      <c r="C1534" s="27">
        <f t="shared" si="24"/>
        <v>6.5427003411013722E-4</v>
      </c>
    </row>
    <row r="1535" spans="1:3">
      <c r="A1535" s="25" t="s">
        <v>2096</v>
      </c>
      <c r="B1535" s="28">
        <v>250.56</v>
      </c>
      <c r="C1535" s="27">
        <f t="shared" si="24"/>
        <v>7.4773718184015681E-4</v>
      </c>
    </row>
    <row r="1536" spans="1:3">
      <c r="A1536" s="25" t="s">
        <v>2097</v>
      </c>
      <c r="B1536" s="28">
        <v>250.56</v>
      </c>
      <c r="C1536" s="27">
        <f t="shared" si="24"/>
        <v>7.4773718184015681E-4</v>
      </c>
    </row>
    <row r="1537" spans="1:3">
      <c r="A1537" s="25" t="s">
        <v>2098</v>
      </c>
      <c r="B1537" s="28">
        <v>250.56</v>
      </c>
      <c r="C1537" s="27">
        <f t="shared" si="24"/>
        <v>7.4773718184015681E-4</v>
      </c>
    </row>
    <row r="1538" spans="1:3">
      <c r="A1538" s="25" t="s">
        <v>2099</v>
      </c>
      <c r="B1538" s="28">
        <v>250.56</v>
      </c>
      <c r="C1538" s="27">
        <f t="shared" si="24"/>
        <v>7.4773718184015681E-4</v>
      </c>
    </row>
    <row r="1539" spans="1:3">
      <c r="A1539" s="25" t="s">
        <v>2100</v>
      </c>
      <c r="B1539" s="28">
        <v>250.56</v>
      </c>
      <c r="C1539" s="27">
        <f t="shared" si="24"/>
        <v>7.4773718184015681E-4</v>
      </c>
    </row>
    <row r="1540" spans="1:3">
      <c r="A1540" s="25" t="s">
        <v>2101</v>
      </c>
      <c r="B1540" s="28">
        <v>0</v>
      </c>
      <c r="C1540" s="27">
        <f t="shared" si="24"/>
        <v>0</v>
      </c>
    </row>
    <row r="1541" spans="1:3">
      <c r="A1541" s="25" t="s">
        <v>2102</v>
      </c>
      <c r="B1541" s="28">
        <v>0</v>
      </c>
      <c r="C1541" s="27">
        <f t="shared" si="24"/>
        <v>0</v>
      </c>
    </row>
    <row r="1542" spans="1:3">
      <c r="A1542" s="25" t="s">
        <v>2103</v>
      </c>
      <c r="B1542" s="28">
        <v>250.56</v>
      </c>
      <c r="C1542" s="27">
        <f t="shared" si="24"/>
        <v>7.4773718184015681E-4</v>
      </c>
    </row>
    <row r="1543" spans="1:3">
      <c r="A1543" s="25" t="s">
        <v>2104</v>
      </c>
      <c r="B1543" s="28">
        <v>250.56</v>
      </c>
      <c r="C1543" s="27">
        <f t="shared" si="24"/>
        <v>7.4773718184015681E-4</v>
      </c>
    </row>
    <row r="1544" spans="1:3">
      <c r="A1544" s="25" t="s">
        <v>2105</v>
      </c>
      <c r="B1544" s="28">
        <v>250.56</v>
      </c>
      <c r="C1544" s="27">
        <f t="shared" si="24"/>
        <v>7.4773718184015681E-4</v>
      </c>
    </row>
    <row r="1545" spans="1:3">
      <c r="A1545" s="25" t="s">
        <v>2106</v>
      </c>
      <c r="B1545" s="28">
        <v>250.56</v>
      </c>
      <c r="C1545" s="27">
        <f t="shared" si="24"/>
        <v>7.4773718184015681E-4</v>
      </c>
    </row>
    <row r="1546" spans="1:3">
      <c r="A1546" s="25" t="s">
        <v>2107</v>
      </c>
      <c r="B1546" s="28">
        <v>250.56</v>
      </c>
      <c r="C1546" s="27">
        <f t="shared" si="24"/>
        <v>7.4773718184015681E-4</v>
      </c>
    </row>
    <row r="1547" spans="1:3">
      <c r="A1547" s="25" t="s">
        <v>2108</v>
      </c>
      <c r="B1547" s="28">
        <v>250.56</v>
      </c>
      <c r="C1547" s="27">
        <f t="shared" si="24"/>
        <v>7.4773718184015681E-4</v>
      </c>
    </row>
    <row r="1548" spans="1:3">
      <c r="A1548" s="25" t="s">
        <v>2109</v>
      </c>
      <c r="B1548" s="28">
        <v>250.56</v>
      </c>
      <c r="C1548" s="27">
        <f t="shared" si="24"/>
        <v>7.4773718184015681E-4</v>
      </c>
    </row>
    <row r="1549" spans="1:3">
      <c r="A1549" s="25" t="s">
        <v>2110</v>
      </c>
      <c r="B1549" s="28">
        <v>250.56</v>
      </c>
      <c r="C1549" s="27">
        <f t="shared" si="24"/>
        <v>7.4773718184015681E-4</v>
      </c>
    </row>
    <row r="1550" spans="1:3">
      <c r="A1550" s="25" t="s">
        <v>2111</v>
      </c>
      <c r="B1550" s="28">
        <v>250.56</v>
      </c>
      <c r="C1550" s="27">
        <f t="shared" si="24"/>
        <v>7.4773718184015681E-4</v>
      </c>
    </row>
    <row r="1551" spans="1:3">
      <c r="A1551" s="25" t="s">
        <v>2112</v>
      </c>
      <c r="B1551" s="28">
        <v>0</v>
      </c>
      <c r="C1551" s="27">
        <f t="shared" si="24"/>
        <v>0</v>
      </c>
    </row>
    <row r="1552" spans="1:3">
      <c r="A1552" s="25" t="s">
        <v>2113</v>
      </c>
      <c r="B1552" s="28">
        <v>250.56</v>
      </c>
      <c r="C1552" s="27">
        <f t="shared" si="24"/>
        <v>7.4773718184015681E-4</v>
      </c>
    </row>
    <row r="1553" spans="1:3">
      <c r="A1553" s="25" t="s">
        <v>2114</v>
      </c>
      <c r="B1553" s="28">
        <v>250.56</v>
      </c>
      <c r="C1553" s="27">
        <f t="shared" si="24"/>
        <v>7.4773718184015681E-4</v>
      </c>
    </row>
    <row r="1554" spans="1:3">
      <c r="A1554" s="25" t="s">
        <v>2115</v>
      </c>
      <c r="B1554" s="28">
        <v>250.56</v>
      </c>
      <c r="C1554" s="27">
        <f t="shared" si="24"/>
        <v>7.4773718184015681E-4</v>
      </c>
    </row>
    <row r="1555" spans="1:3">
      <c r="A1555" s="25" t="s">
        <v>2116</v>
      </c>
      <c r="B1555" s="28">
        <v>250.56</v>
      </c>
      <c r="C1555" s="27">
        <f t="shared" si="24"/>
        <v>7.4773718184015681E-4</v>
      </c>
    </row>
    <row r="1556" spans="1:3">
      <c r="A1556" s="25" t="s">
        <v>2117</v>
      </c>
      <c r="B1556" s="28">
        <v>250.56</v>
      </c>
      <c r="C1556" s="27">
        <f t="shared" si="24"/>
        <v>7.4773718184015681E-4</v>
      </c>
    </row>
    <row r="1557" spans="1:3">
      <c r="A1557" s="25" t="s">
        <v>2118</v>
      </c>
      <c r="B1557" s="28">
        <v>250.56</v>
      </c>
      <c r="C1557" s="27">
        <f t="shared" si="24"/>
        <v>7.4773718184015681E-4</v>
      </c>
    </row>
    <row r="1558" spans="1:3">
      <c r="A1558" s="25" t="s">
        <v>2119</v>
      </c>
      <c r="B1558" s="28">
        <v>250.56</v>
      </c>
      <c r="C1558" s="27">
        <f t="shared" si="24"/>
        <v>7.4773718184015681E-4</v>
      </c>
    </row>
    <row r="1559" spans="1:3">
      <c r="A1559" s="25" t="s">
        <v>2120</v>
      </c>
      <c r="B1559" s="28">
        <v>219.24</v>
      </c>
      <c r="C1559" s="27">
        <f t="shared" si="24"/>
        <v>6.5427003411013722E-4</v>
      </c>
    </row>
    <row r="1560" spans="1:3">
      <c r="A1560" s="25" t="s">
        <v>2121</v>
      </c>
      <c r="B1560" s="28">
        <v>0</v>
      </c>
      <c r="C1560" s="27">
        <f t="shared" si="24"/>
        <v>0</v>
      </c>
    </row>
    <row r="1561" spans="1:3">
      <c r="A1561" s="25" t="s">
        <v>2122</v>
      </c>
      <c r="B1561" s="28">
        <v>0</v>
      </c>
      <c r="C1561" s="27">
        <f t="shared" si="24"/>
        <v>0</v>
      </c>
    </row>
    <row r="1562" spans="1:3">
      <c r="A1562" s="25" t="s">
        <v>2123</v>
      </c>
      <c r="B1562" s="28">
        <v>250.56</v>
      </c>
      <c r="C1562" s="27">
        <f t="shared" si="24"/>
        <v>7.4773718184015681E-4</v>
      </c>
    </row>
    <row r="1563" spans="1:3">
      <c r="A1563" s="25" t="s">
        <v>2124</v>
      </c>
      <c r="B1563" s="28">
        <v>250.56</v>
      </c>
      <c r="C1563" s="27">
        <f t="shared" si="24"/>
        <v>7.4773718184015681E-4</v>
      </c>
    </row>
    <row r="1564" spans="1:3">
      <c r="A1564" s="25" t="s">
        <v>2125</v>
      </c>
      <c r="B1564" s="28">
        <v>250.56</v>
      </c>
      <c r="C1564" s="27">
        <f t="shared" si="24"/>
        <v>7.4773718184015681E-4</v>
      </c>
    </row>
    <row r="1565" spans="1:3">
      <c r="A1565" s="25" t="s">
        <v>2126</v>
      </c>
      <c r="B1565" s="28">
        <v>250.56</v>
      </c>
      <c r="C1565" s="27">
        <f t="shared" si="24"/>
        <v>7.4773718184015681E-4</v>
      </c>
    </row>
    <row r="1566" spans="1:3">
      <c r="A1566" s="25" t="s">
        <v>2127</v>
      </c>
      <c r="B1566" s="28">
        <v>250.56</v>
      </c>
      <c r="C1566" s="27">
        <f t="shared" si="24"/>
        <v>7.4773718184015681E-4</v>
      </c>
    </row>
    <row r="1567" spans="1:3">
      <c r="A1567" s="25" t="s">
        <v>2128</v>
      </c>
      <c r="B1567" s="28">
        <v>250.56</v>
      </c>
      <c r="C1567" s="27">
        <f t="shared" si="24"/>
        <v>7.4773718184015681E-4</v>
      </c>
    </row>
    <row r="1568" spans="1:3">
      <c r="A1568" s="25" t="s">
        <v>2129</v>
      </c>
      <c r="B1568" s="28">
        <v>250.56</v>
      </c>
      <c r="C1568" s="27">
        <f t="shared" si="24"/>
        <v>7.4773718184015681E-4</v>
      </c>
    </row>
    <row r="1569" spans="1:3">
      <c r="A1569" s="25" t="s">
        <v>2130</v>
      </c>
      <c r="B1569" s="28">
        <v>219.24</v>
      </c>
      <c r="C1569" s="27">
        <f t="shared" si="24"/>
        <v>6.5427003411013722E-4</v>
      </c>
    </row>
    <row r="1570" spans="1:3">
      <c r="A1570" s="25" t="s">
        <v>2131</v>
      </c>
      <c r="B1570" s="28">
        <v>250.56</v>
      </c>
      <c r="C1570" s="27">
        <f t="shared" si="24"/>
        <v>7.4773718184015681E-4</v>
      </c>
    </row>
    <row r="1571" spans="1:3">
      <c r="A1571" s="25" t="s">
        <v>2132</v>
      </c>
      <c r="B1571" s="28">
        <v>0</v>
      </c>
      <c r="C1571" s="27">
        <f t="shared" si="24"/>
        <v>0</v>
      </c>
    </row>
    <row r="1572" spans="1:3">
      <c r="A1572" s="25" t="s">
        <v>2133</v>
      </c>
      <c r="B1572" s="28">
        <v>250.56</v>
      </c>
      <c r="C1572" s="27">
        <f t="shared" si="24"/>
        <v>7.4773718184015681E-4</v>
      </c>
    </row>
    <row r="1573" spans="1:3">
      <c r="A1573" s="25" t="s">
        <v>2134</v>
      </c>
      <c r="B1573" s="28">
        <v>250.56</v>
      </c>
      <c r="C1573" s="27">
        <f t="shared" si="24"/>
        <v>7.4773718184015681E-4</v>
      </c>
    </row>
    <row r="1574" spans="1:3">
      <c r="A1574" s="25" t="s">
        <v>2135</v>
      </c>
      <c r="B1574" s="28">
        <v>250.56</v>
      </c>
      <c r="C1574" s="27">
        <f t="shared" si="24"/>
        <v>7.4773718184015681E-4</v>
      </c>
    </row>
    <row r="1575" spans="1:3">
      <c r="A1575" s="25" t="s">
        <v>2136</v>
      </c>
      <c r="B1575" s="28">
        <v>250.56</v>
      </c>
      <c r="C1575" s="27">
        <f t="shared" si="24"/>
        <v>7.4773718184015681E-4</v>
      </c>
    </row>
    <row r="1576" spans="1:3">
      <c r="A1576" s="25" t="s">
        <v>2137</v>
      </c>
      <c r="B1576" s="28">
        <v>250.56</v>
      </c>
      <c r="C1576" s="27">
        <f t="shared" si="24"/>
        <v>7.4773718184015681E-4</v>
      </c>
    </row>
    <row r="1577" spans="1:3">
      <c r="A1577" s="25" t="s">
        <v>2138</v>
      </c>
      <c r="B1577" s="28">
        <v>250.56</v>
      </c>
      <c r="C1577" s="27">
        <f t="shared" si="24"/>
        <v>7.4773718184015681E-4</v>
      </c>
    </row>
    <row r="1578" spans="1:3">
      <c r="A1578" s="25" t="s">
        <v>2139</v>
      </c>
      <c r="B1578" s="28">
        <v>250.56</v>
      </c>
      <c r="C1578" s="27">
        <f t="shared" si="24"/>
        <v>7.4773718184015681E-4</v>
      </c>
    </row>
    <row r="1579" spans="1:3">
      <c r="A1579" s="25" t="s">
        <v>2140</v>
      </c>
      <c r="B1579" s="28">
        <v>219.24</v>
      </c>
      <c r="C1579" s="27">
        <f t="shared" ref="C1579:C1642" si="25">IFERROR(B1579/$S$2,"")</f>
        <v>6.5427003411013722E-4</v>
      </c>
    </row>
    <row r="1580" spans="1:3">
      <c r="A1580" s="25" t="s">
        <v>2141</v>
      </c>
      <c r="B1580" s="28">
        <v>0</v>
      </c>
      <c r="C1580" s="27">
        <f t="shared" si="25"/>
        <v>0</v>
      </c>
    </row>
    <row r="1581" spans="1:3">
      <c r="A1581" s="25" t="s">
        <v>2142</v>
      </c>
      <c r="B1581" s="28">
        <v>0</v>
      </c>
      <c r="C1581" s="27">
        <f t="shared" si="25"/>
        <v>0</v>
      </c>
    </row>
    <row r="1582" spans="1:3">
      <c r="A1582" s="25" t="s">
        <v>2143</v>
      </c>
      <c r="B1582" s="28">
        <v>0</v>
      </c>
      <c r="C1582" s="27">
        <f t="shared" si="25"/>
        <v>0</v>
      </c>
    </row>
    <row r="1583" spans="1:3">
      <c r="A1583" s="25" t="s">
        <v>2144</v>
      </c>
      <c r="B1583" s="28">
        <v>250.56</v>
      </c>
      <c r="C1583" s="27">
        <f t="shared" si="25"/>
        <v>7.4773718184015681E-4</v>
      </c>
    </row>
    <row r="1584" spans="1:3">
      <c r="A1584" s="25" t="s">
        <v>2145</v>
      </c>
      <c r="B1584" s="28">
        <v>250.56</v>
      </c>
      <c r="C1584" s="27">
        <f t="shared" si="25"/>
        <v>7.4773718184015681E-4</v>
      </c>
    </row>
    <row r="1585" spans="1:3">
      <c r="A1585" s="25" t="s">
        <v>2146</v>
      </c>
      <c r="B1585" s="28">
        <v>250.56</v>
      </c>
      <c r="C1585" s="27">
        <f t="shared" si="25"/>
        <v>7.4773718184015681E-4</v>
      </c>
    </row>
    <row r="1586" spans="1:3">
      <c r="A1586" s="25" t="s">
        <v>2147</v>
      </c>
      <c r="B1586" s="28">
        <v>250.56</v>
      </c>
      <c r="C1586" s="27">
        <f t="shared" si="25"/>
        <v>7.4773718184015681E-4</v>
      </c>
    </row>
    <row r="1587" spans="1:3">
      <c r="A1587" s="25" t="s">
        <v>2148</v>
      </c>
      <c r="B1587" s="28">
        <v>250.56</v>
      </c>
      <c r="C1587" s="27">
        <f t="shared" si="25"/>
        <v>7.4773718184015681E-4</v>
      </c>
    </row>
    <row r="1588" spans="1:3">
      <c r="A1588" s="25" t="s">
        <v>2149</v>
      </c>
      <c r="B1588" s="28">
        <v>250.56</v>
      </c>
      <c r="C1588" s="27">
        <f t="shared" si="25"/>
        <v>7.4773718184015681E-4</v>
      </c>
    </row>
    <row r="1589" spans="1:3">
      <c r="A1589" s="25" t="s">
        <v>2150</v>
      </c>
      <c r="B1589" s="28">
        <v>250.56</v>
      </c>
      <c r="C1589" s="27">
        <f t="shared" si="25"/>
        <v>7.4773718184015681E-4</v>
      </c>
    </row>
    <row r="1590" spans="1:3">
      <c r="A1590" s="25" t="s">
        <v>2151</v>
      </c>
      <c r="B1590" s="28">
        <v>250.56</v>
      </c>
      <c r="C1590" s="27">
        <f t="shared" si="25"/>
        <v>7.4773718184015681E-4</v>
      </c>
    </row>
    <row r="1591" spans="1:3">
      <c r="A1591" s="25" t="s">
        <v>2152</v>
      </c>
      <c r="B1591" s="28">
        <v>0</v>
      </c>
      <c r="C1591" s="27">
        <f t="shared" si="25"/>
        <v>0</v>
      </c>
    </row>
    <row r="1592" spans="1:3">
      <c r="A1592" s="25" t="s">
        <v>2153</v>
      </c>
      <c r="B1592" s="28">
        <v>250.56</v>
      </c>
      <c r="C1592" s="27">
        <f t="shared" si="25"/>
        <v>7.4773718184015681E-4</v>
      </c>
    </row>
    <row r="1593" spans="1:3">
      <c r="A1593" s="25" t="s">
        <v>2154</v>
      </c>
      <c r="B1593" s="28">
        <v>250.56</v>
      </c>
      <c r="C1593" s="27">
        <f t="shared" si="25"/>
        <v>7.4773718184015681E-4</v>
      </c>
    </row>
    <row r="1594" spans="1:3">
      <c r="A1594" s="25" t="s">
        <v>2155</v>
      </c>
      <c r="B1594" s="28">
        <v>250.56</v>
      </c>
      <c r="C1594" s="27">
        <f t="shared" si="25"/>
        <v>7.4773718184015681E-4</v>
      </c>
    </row>
    <row r="1595" spans="1:3">
      <c r="A1595" s="25" t="s">
        <v>2156</v>
      </c>
      <c r="B1595" s="28">
        <v>250.56</v>
      </c>
      <c r="C1595" s="27">
        <f t="shared" si="25"/>
        <v>7.4773718184015681E-4</v>
      </c>
    </row>
    <row r="1596" spans="1:3">
      <c r="A1596" s="25" t="s">
        <v>2157</v>
      </c>
      <c r="B1596" s="28">
        <v>250.56</v>
      </c>
      <c r="C1596" s="27">
        <f t="shared" si="25"/>
        <v>7.4773718184015681E-4</v>
      </c>
    </row>
    <row r="1597" spans="1:3">
      <c r="A1597" s="25" t="s">
        <v>2158</v>
      </c>
      <c r="B1597" s="28">
        <v>250.56</v>
      </c>
      <c r="C1597" s="27">
        <f t="shared" si="25"/>
        <v>7.4773718184015681E-4</v>
      </c>
    </row>
    <row r="1598" spans="1:3">
      <c r="A1598" s="25" t="s">
        <v>2159</v>
      </c>
      <c r="B1598" s="28">
        <v>250.56</v>
      </c>
      <c r="C1598" s="27">
        <f t="shared" si="25"/>
        <v>7.4773718184015681E-4</v>
      </c>
    </row>
    <row r="1599" spans="1:3">
      <c r="A1599" s="25" t="s">
        <v>2160</v>
      </c>
      <c r="B1599" s="28">
        <v>250.56</v>
      </c>
      <c r="C1599" s="27">
        <f t="shared" si="25"/>
        <v>7.4773718184015681E-4</v>
      </c>
    </row>
    <row r="1600" spans="1:3">
      <c r="A1600" s="25" t="s">
        <v>2161</v>
      </c>
      <c r="B1600" s="28">
        <v>0</v>
      </c>
      <c r="C1600" s="27">
        <f t="shared" si="25"/>
        <v>0</v>
      </c>
    </row>
    <row r="1601" spans="1:3">
      <c r="A1601" s="25" t="s">
        <v>2162</v>
      </c>
      <c r="B1601" s="28">
        <v>0</v>
      </c>
      <c r="C1601" s="27">
        <f t="shared" si="25"/>
        <v>0</v>
      </c>
    </row>
    <row r="1602" spans="1:3">
      <c r="A1602" s="25" t="s">
        <v>2163</v>
      </c>
      <c r="B1602" s="28">
        <v>219.24</v>
      </c>
      <c r="C1602" s="27">
        <f t="shared" si="25"/>
        <v>6.5427003411013722E-4</v>
      </c>
    </row>
    <row r="1603" spans="1:3">
      <c r="A1603" s="25" t="s">
        <v>2164</v>
      </c>
      <c r="B1603" s="28">
        <v>250.56</v>
      </c>
      <c r="C1603" s="27">
        <f t="shared" si="25"/>
        <v>7.4773718184015681E-4</v>
      </c>
    </row>
    <row r="1604" spans="1:3">
      <c r="A1604" s="25" t="s">
        <v>2165</v>
      </c>
      <c r="B1604" s="28">
        <v>250.56</v>
      </c>
      <c r="C1604" s="27">
        <f t="shared" si="25"/>
        <v>7.4773718184015681E-4</v>
      </c>
    </row>
    <row r="1605" spans="1:3">
      <c r="A1605" s="25" t="s">
        <v>2166</v>
      </c>
      <c r="B1605" s="28">
        <v>250.56</v>
      </c>
      <c r="C1605" s="27">
        <f t="shared" si="25"/>
        <v>7.4773718184015681E-4</v>
      </c>
    </row>
    <row r="1606" spans="1:3">
      <c r="A1606" s="25" t="s">
        <v>2167</v>
      </c>
      <c r="B1606" s="28">
        <v>219.24</v>
      </c>
      <c r="C1606" s="27">
        <f t="shared" si="25"/>
        <v>6.5427003411013722E-4</v>
      </c>
    </row>
    <row r="1607" spans="1:3">
      <c r="A1607" s="25" t="s">
        <v>2168</v>
      </c>
      <c r="B1607" s="28">
        <v>250.56</v>
      </c>
      <c r="C1607" s="27">
        <f t="shared" si="25"/>
        <v>7.4773718184015681E-4</v>
      </c>
    </row>
    <row r="1608" spans="1:3">
      <c r="A1608" s="25" t="s">
        <v>2169</v>
      </c>
      <c r="B1608" s="28">
        <v>219.24</v>
      </c>
      <c r="C1608" s="27">
        <f t="shared" si="25"/>
        <v>6.5427003411013722E-4</v>
      </c>
    </row>
    <row r="1609" spans="1:3">
      <c r="A1609" s="25" t="s">
        <v>2170</v>
      </c>
      <c r="B1609" s="28">
        <v>250.56</v>
      </c>
      <c r="C1609" s="27">
        <f t="shared" si="25"/>
        <v>7.4773718184015681E-4</v>
      </c>
    </row>
    <row r="1610" spans="1:3">
      <c r="A1610" s="25" t="s">
        <v>2171</v>
      </c>
      <c r="B1610" s="28">
        <v>250.56</v>
      </c>
      <c r="C1610" s="27">
        <f t="shared" si="25"/>
        <v>7.4773718184015681E-4</v>
      </c>
    </row>
    <row r="1611" spans="1:3">
      <c r="A1611" s="25" t="s">
        <v>2172</v>
      </c>
      <c r="B1611" s="28">
        <v>0</v>
      </c>
      <c r="C1611" s="27">
        <f t="shared" si="25"/>
        <v>0</v>
      </c>
    </row>
    <row r="1612" spans="1:3">
      <c r="A1612" s="25" t="s">
        <v>2173</v>
      </c>
      <c r="B1612" s="28">
        <v>250.56</v>
      </c>
      <c r="C1612" s="27">
        <f t="shared" si="25"/>
        <v>7.4773718184015681E-4</v>
      </c>
    </row>
    <row r="1613" spans="1:3">
      <c r="A1613" s="25" t="s">
        <v>2174</v>
      </c>
      <c r="B1613" s="28">
        <v>250.56</v>
      </c>
      <c r="C1613" s="27">
        <f t="shared" si="25"/>
        <v>7.4773718184015681E-4</v>
      </c>
    </row>
    <row r="1614" spans="1:3">
      <c r="A1614" s="25" t="s">
        <v>2175</v>
      </c>
      <c r="B1614" s="28">
        <v>250.56</v>
      </c>
      <c r="C1614" s="27">
        <f t="shared" si="25"/>
        <v>7.4773718184015681E-4</v>
      </c>
    </row>
    <row r="1615" spans="1:3">
      <c r="A1615" s="25" t="s">
        <v>2176</v>
      </c>
      <c r="B1615" s="28">
        <v>250.56</v>
      </c>
      <c r="C1615" s="27">
        <f t="shared" si="25"/>
        <v>7.4773718184015681E-4</v>
      </c>
    </row>
    <row r="1616" spans="1:3">
      <c r="A1616" s="25" t="s">
        <v>2177</v>
      </c>
      <c r="B1616" s="28">
        <v>250.56</v>
      </c>
      <c r="C1616" s="27">
        <f t="shared" si="25"/>
        <v>7.4773718184015681E-4</v>
      </c>
    </row>
    <row r="1617" spans="1:3">
      <c r="A1617" s="25" t="s">
        <v>2178</v>
      </c>
      <c r="B1617" s="28">
        <v>250.56</v>
      </c>
      <c r="C1617" s="27">
        <f t="shared" si="25"/>
        <v>7.4773718184015681E-4</v>
      </c>
    </row>
    <row r="1618" spans="1:3">
      <c r="A1618" s="25" t="s">
        <v>2179</v>
      </c>
      <c r="B1618" s="28">
        <v>250.56</v>
      </c>
      <c r="C1618" s="27">
        <f t="shared" si="25"/>
        <v>7.4773718184015681E-4</v>
      </c>
    </row>
    <row r="1619" spans="1:3">
      <c r="A1619" s="25" t="s">
        <v>2180</v>
      </c>
      <c r="B1619" s="28">
        <v>250.56</v>
      </c>
      <c r="C1619" s="27">
        <f t="shared" si="25"/>
        <v>7.4773718184015681E-4</v>
      </c>
    </row>
    <row r="1620" spans="1:3">
      <c r="A1620" s="25" t="s">
        <v>2181</v>
      </c>
      <c r="B1620" s="28">
        <v>250.56</v>
      </c>
      <c r="C1620" s="27">
        <f t="shared" si="25"/>
        <v>7.4773718184015681E-4</v>
      </c>
    </row>
    <row r="1621" spans="1:3">
      <c r="A1621" s="25" t="s">
        <v>2182</v>
      </c>
      <c r="B1621" s="28">
        <v>0</v>
      </c>
      <c r="C1621" s="27">
        <f t="shared" si="25"/>
        <v>0</v>
      </c>
    </row>
    <row r="1622" spans="1:3">
      <c r="A1622" s="25" t="s">
        <v>2183</v>
      </c>
      <c r="B1622" s="28">
        <v>250.56</v>
      </c>
      <c r="C1622" s="27">
        <f t="shared" si="25"/>
        <v>7.4773718184015681E-4</v>
      </c>
    </row>
    <row r="1623" spans="1:3">
      <c r="A1623" s="25" t="s">
        <v>2184</v>
      </c>
      <c r="B1623" s="28">
        <v>219.24</v>
      </c>
      <c r="C1623" s="27">
        <f t="shared" si="25"/>
        <v>6.5427003411013722E-4</v>
      </c>
    </row>
    <row r="1624" spans="1:3">
      <c r="A1624" s="25" t="s">
        <v>2185</v>
      </c>
      <c r="B1624" s="28">
        <v>250.56</v>
      </c>
      <c r="C1624" s="27">
        <f t="shared" si="25"/>
        <v>7.4773718184015681E-4</v>
      </c>
    </row>
    <row r="1625" spans="1:3">
      <c r="A1625" s="25" t="s">
        <v>2186</v>
      </c>
      <c r="B1625" s="28">
        <v>250.56</v>
      </c>
      <c r="C1625" s="27">
        <f t="shared" si="25"/>
        <v>7.4773718184015681E-4</v>
      </c>
    </row>
    <row r="1626" spans="1:3">
      <c r="A1626" s="25" t="s">
        <v>2187</v>
      </c>
      <c r="B1626" s="28">
        <v>250.56</v>
      </c>
      <c r="C1626" s="27">
        <f t="shared" si="25"/>
        <v>7.4773718184015681E-4</v>
      </c>
    </row>
    <row r="1627" spans="1:3">
      <c r="A1627" s="25" t="s">
        <v>2188</v>
      </c>
      <c r="B1627" s="28">
        <v>250.56</v>
      </c>
      <c r="C1627" s="27">
        <f t="shared" si="25"/>
        <v>7.4773718184015681E-4</v>
      </c>
    </row>
    <row r="1628" spans="1:3">
      <c r="A1628" s="25" t="s">
        <v>2189</v>
      </c>
      <c r="B1628" s="28">
        <v>250.56</v>
      </c>
      <c r="C1628" s="27">
        <f t="shared" si="25"/>
        <v>7.4773718184015681E-4</v>
      </c>
    </row>
    <row r="1629" spans="1:3">
      <c r="A1629" s="25" t="s">
        <v>2190</v>
      </c>
      <c r="B1629" s="28">
        <v>250.56</v>
      </c>
      <c r="C1629" s="27">
        <f t="shared" si="25"/>
        <v>7.4773718184015681E-4</v>
      </c>
    </row>
    <row r="1630" spans="1:3">
      <c r="A1630" s="25" t="s">
        <v>2191</v>
      </c>
      <c r="B1630" s="28">
        <v>250.56</v>
      </c>
      <c r="C1630" s="27">
        <f t="shared" si="25"/>
        <v>7.4773718184015681E-4</v>
      </c>
    </row>
    <row r="1631" spans="1:3">
      <c r="A1631" s="25" t="s">
        <v>2192</v>
      </c>
      <c r="B1631" s="28">
        <v>0</v>
      </c>
      <c r="C1631" s="27">
        <f t="shared" si="25"/>
        <v>0</v>
      </c>
    </row>
    <row r="1632" spans="1:3">
      <c r="A1632" s="25" t="s">
        <v>2193</v>
      </c>
      <c r="B1632" s="28">
        <v>250.56</v>
      </c>
      <c r="C1632" s="27">
        <f t="shared" si="25"/>
        <v>7.4773718184015681E-4</v>
      </c>
    </row>
    <row r="1633" spans="1:3">
      <c r="A1633" s="25" t="s">
        <v>2194</v>
      </c>
      <c r="B1633" s="28">
        <v>250.56</v>
      </c>
      <c r="C1633" s="27">
        <f t="shared" si="25"/>
        <v>7.4773718184015681E-4</v>
      </c>
    </row>
    <row r="1634" spans="1:3">
      <c r="A1634" s="25" t="s">
        <v>2195</v>
      </c>
      <c r="B1634" s="28">
        <v>250.56</v>
      </c>
      <c r="C1634" s="27">
        <f t="shared" si="25"/>
        <v>7.4773718184015681E-4</v>
      </c>
    </row>
    <row r="1635" spans="1:3">
      <c r="A1635" s="25" t="s">
        <v>2196</v>
      </c>
      <c r="B1635" s="28">
        <v>250.56</v>
      </c>
      <c r="C1635" s="27">
        <f t="shared" si="25"/>
        <v>7.4773718184015681E-4</v>
      </c>
    </row>
    <row r="1636" spans="1:3">
      <c r="A1636" s="25" t="s">
        <v>2197</v>
      </c>
      <c r="B1636" s="28">
        <v>250.56</v>
      </c>
      <c r="C1636" s="27">
        <f t="shared" si="25"/>
        <v>7.4773718184015681E-4</v>
      </c>
    </row>
    <row r="1637" spans="1:3">
      <c r="A1637" s="25" t="s">
        <v>2198</v>
      </c>
      <c r="B1637" s="28">
        <v>250.56</v>
      </c>
      <c r="C1637" s="27">
        <f t="shared" si="25"/>
        <v>7.4773718184015681E-4</v>
      </c>
    </row>
    <row r="1638" spans="1:3">
      <c r="A1638" s="25" t="s">
        <v>2199</v>
      </c>
      <c r="B1638" s="28">
        <v>250.56</v>
      </c>
      <c r="C1638" s="27">
        <f t="shared" si="25"/>
        <v>7.4773718184015681E-4</v>
      </c>
    </row>
    <row r="1639" spans="1:3">
      <c r="A1639" s="25" t="s">
        <v>2200</v>
      </c>
      <c r="B1639" s="28">
        <v>250.56</v>
      </c>
      <c r="C1639" s="27">
        <f t="shared" si="25"/>
        <v>7.4773718184015681E-4</v>
      </c>
    </row>
    <row r="1640" spans="1:3">
      <c r="A1640" s="25" t="s">
        <v>2201</v>
      </c>
      <c r="B1640" s="28">
        <v>219.24</v>
      </c>
      <c r="C1640" s="27">
        <f t="shared" si="25"/>
        <v>6.5427003411013722E-4</v>
      </c>
    </row>
    <row r="1641" spans="1:3">
      <c r="A1641" s="25" t="s">
        <v>2202</v>
      </c>
      <c r="B1641" s="28">
        <v>0</v>
      </c>
      <c r="C1641" s="27">
        <f t="shared" si="25"/>
        <v>0</v>
      </c>
    </row>
    <row r="1642" spans="1:3">
      <c r="A1642" s="25" t="s">
        <v>2203</v>
      </c>
      <c r="B1642" s="28">
        <v>250.56</v>
      </c>
      <c r="C1642" s="27">
        <f t="shared" si="25"/>
        <v>7.4773718184015681E-4</v>
      </c>
    </row>
    <row r="1643" spans="1:3">
      <c r="A1643" s="25" t="s">
        <v>2204</v>
      </c>
      <c r="B1643" s="28">
        <v>250.56</v>
      </c>
      <c r="C1643" s="27">
        <f t="shared" ref="C1643:C1706" si="26">IFERROR(B1643/$S$2,"")</f>
        <v>7.4773718184015681E-4</v>
      </c>
    </row>
    <row r="1644" spans="1:3">
      <c r="A1644" s="25" t="s">
        <v>2205</v>
      </c>
      <c r="B1644" s="28">
        <v>250.56</v>
      </c>
      <c r="C1644" s="27">
        <f t="shared" si="26"/>
        <v>7.4773718184015681E-4</v>
      </c>
    </row>
    <row r="1645" spans="1:3">
      <c r="A1645" s="25" t="s">
        <v>2206</v>
      </c>
      <c r="B1645" s="28">
        <v>219.24</v>
      </c>
      <c r="C1645" s="27">
        <f t="shared" si="26"/>
        <v>6.5427003411013722E-4</v>
      </c>
    </row>
    <row r="1646" spans="1:3">
      <c r="A1646" s="25" t="s">
        <v>2207</v>
      </c>
      <c r="B1646" s="28">
        <v>250.56</v>
      </c>
      <c r="C1646" s="27">
        <f t="shared" si="26"/>
        <v>7.4773718184015681E-4</v>
      </c>
    </row>
    <row r="1647" spans="1:3">
      <c r="A1647" s="25" t="s">
        <v>2208</v>
      </c>
      <c r="B1647" s="28">
        <v>250.56</v>
      </c>
      <c r="C1647" s="27">
        <f t="shared" si="26"/>
        <v>7.4773718184015681E-4</v>
      </c>
    </row>
    <row r="1648" spans="1:3">
      <c r="A1648" s="25" t="s">
        <v>2209</v>
      </c>
      <c r="B1648" s="28">
        <v>250.56</v>
      </c>
      <c r="C1648" s="27">
        <f t="shared" si="26"/>
        <v>7.4773718184015681E-4</v>
      </c>
    </row>
    <row r="1649" spans="1:3">
      <c r="A1649" s="25" t="s">
        <v>2210</v>
      </c>
      <c r="B1649" s="28">
        <v>250.56</v>
      </c>
      <c r="C1649" s="27">
        <f t="shared" si="26"/>
        <v>7.4773718184015681E-4</v>
      </c>
    </row>
    <row r="1650" spans="1:3">
      <c r="A1650" s="25" t="s">
        <v>2211</v>
      </c>
      <c r="B1650" s="28">
        <v>250.56</v>
      </c>
      <c r="C1650" s="27">
        <f t="shared" si="26"/>
        <v>7.4773718184015681E-4</v>
      </c>
    </row>
    <row r="1651" spans="1:3">
      <c r="A1651" s="25" t="s">
        <v>2212</v>
      </c>
      <c r="B1651" s="28">
        <v>0</v>
      </c>
      <c r="C1651" s="27">
        <f t="shared" si="26"/>
        <v>0</v>
      </c>
    </row>
    <row r="1652" spans="1:3">
      <c r="A1652" s="25" t="s">
        <v>2213</v>
      </c>
      <c r="B1652" s="28">
        <v>250.56</v>
      </c>
      <c r="C1652" s="27">
        <f t="shared" si="26"/>
        <v>7.4773718184015681E-4</v>
      </c>
    </row>
    <row r="1653" spans="1:3">
      <c r="A1653" s="25" t="s">
        <v>2214</v>
      </c>
      <c r="B1653" s="28">
        <v>250.56</v>
      </c>
      <c r="C1653" s="27">
        <f t="shared" si="26"/>
        <v>7.4773718184015681E-4</v>
      </c>
    </row>
    <row r="1654" spans="1:3">
      <c r="A1654" s="25" t="s">
        <v>2215</v>
      </c>
      <c r="B1654" s="28">
        <v>250.56</v>
      </c>
      <c r="C1654" s="27">
        <f t="shared" si="26"/>
        <v>7.4773718184015681E-4</v>
      </c>
    </row>
    <row r="1655" spans="1:3">
      <c r="A1655" s="25" t="s">
        <v>2216</v>
      </c>
      <c r="B1655" s="28">
        <v>250.56</v>
      </c>
      <c r="C1655" s="27">
        <f t="shared" si="26"/>
        <v>7.4773718184015681E-4</v>
      </c>
    </row>
    <row r="1656" spans="1:3">
      <c r="A1656" s="25" t="s">
        <v>2217</v>
      </c>
      <c r="B1656" s="28">
        <v>250.56</v>
      </c>
      <c r="C1656" s="27">
        <f t="shared" si="26"/>
        <v>7.4773718184015681E-4</v>
      </c>
    </row>
    <row r="1657" spans="1:3">
      <c r="A1657" s="25" t="s">
        <v>2218</v>
      </c>
      <c r="B1657" s="28">
        <v>250.56</v>
      </c>
      <c r="C1657" s="27">
        <f t="shared" si="26"/>
        <v>7.4773718184015681E-4</v>
      </c>
    </row>
    <row r="1658" spans="1:3">
      <c r="A1658" s="25" t="s">
        <v>2219</v>
      </c>
      <c r="B1658" s="28">
        <v>250.56</v>
      </c>
      <c r="C1658" s="27">
        <f t="shared" si="26"/>
        <v>7.4773718184015681E-4</v>
      </c>
    </row>
    <row r="1659" spans="1:3">
      <c r="A1659" s="25" t="s">
        <v>2220</v>
      </c>
      <c r="B1659" s="28">
        <v>250.56</v>
      </c>
      <c r="C1659" s="27">
        <f t="shared" si="26"/>
        <v>7.4773718184015681E-4</v>
      </c>
    </row>
    <row r="1660" spans="1:3">
      <c r="A1660" s="25" t="s">
        <v>2221</v>
      </c>
      <c r="B1660" s="28">
        <v>250.56</v>
      </c>
      <c r="C1660" s="27">
        <f t="shared" si="26"/>
        <v>7.4773718184015681E-4</v>
      </c>
    </row>
    <row r="1661" spans="1:3">
      <c r="A1661" s="25" t="s">
        <v>2222</v>
      </c>
      <c r="B1661" s="28">
        <v>0</v>
      </c>
      <c r="C1661" s="27">
        <f t="shared" si="26"/>
        <v>0</v>
      </c>
    </row>
    <row r="1662" spans="1:3">
      <c r="A1662" s="25" t="s">
        <v>2223</v>
      </c>
      <c r="B1662" s="28">
        <v>250.56</v>
      </c>
      <c r="C1662" s="27">
        <f t="shared" si="26"/>
        <v>7.4773718184015681E-4</v>
      </c>
    </row>
    <row r="1663" spans="1:3">
      <c r="A1663" s="25" t="s">
        <v>2224</v>
      </c>
      <c r="B1663" s="28">
        <v>250.56</v>
      </c>
      <c r="C1663" s="27">
        <f t="shared" si="26"/>
        <v>7.4773718184015681E-4</v>
      </c>
    </row>
    <row r="1664" spans="1:3">
      <c r="A1664" s="25" t="s">
        <v>2225</v>
      </c>
      <c r="B1664" s="28">
        <v>250.56</v>
      </c>
      <c r="C1664" s="27">
        <f t="shared" si="26"/>
        <v>7.4773718184015681E-4</v>
      </c>
    </row>
    <row r="1665" spans="1:3">
      <c r="A1665" s="25" t="s">
        <v>2226</v>
      </c>
      <c r="B1665" s="28">
        <v>250.56</v>
      </c>
      <c r="C1665" s="27">
        <f t="shared" si="26"/>
        <v>7.4773718184015681E-4</v>
      </c>
    </row>
    <row r="1666" spans="1:3">
      <c r="A1666" s="25" t="s">
        <v>2227</v>
      </c>
      <c r="B1666" s="28">
        <v>250.56</v>
      </c>
      <c r="C1666" s="27">
        <f t="shared" si="26"/>
        <v>7.4773718184015681E-4</v>
      </c>
    </row>
    <row r="1667" spans="1:3">
      <c r="A1667" s="25" t="s">
        <v>2228</v>
      </c>
      <c r="B1667" s="28">
        <v>250.56</v>
      </c>
      <c r="C1667" s="27">
        <f t="shared" si="26"/>
        <v>7.4773718184015681E-4</v>
      </c>
    </row>
    <row r="1668" spans="1:3">
      <c r="A1668" s="25" t="s">
        <v>2229</v>
      </c>
      <c r="B1668" s="28">
        <v>250.56</v>
      </c>
      <c r="C1668" s="27">
        <f t="shared" si="26"/>
        <v>7.4773718184015681E-4</v>
      </c>
    </row>
    <row r="1669" spans="1:3">
      <c r="A1669" s="25" t="s">
        <v>2230</v>
      </c>
      <c r="B1669" s="28">
        <v>250.56</v>
      </c>
      <c r="C1669" s="27">
        <f t="shared" si="26"/>
        <v>7.4773718184015681E-4</v>
      </c>
    </row>
    <row r="1670" spans="1:3">
      <c r="A1670" s="25" t="s">
        <v>2231</v>
      </c>
      <c r="B1670" s="28">
        <v>0</v>
      </c>
      <c r="C1670" s="27">
        <f t="shared" si="26"/>
        <v>0</v>
      </c>
    </row>
    <row r="1671" spans="1:3">
      <c r="A1671" s="25" t="s">
        <v>2232</v>
      </c>
      <c r="B1671" s="28">
        <v>0</v>
      </c>
      <c r="C1671" s="27">
        <f t="shared" si="26"/>
        <v>0</v>
      </c>
    </row>
    <row r="1672" spans="1:3">
      <c r="A1672" s="25" t="s">
        <v>2233</v>
      </c>
      <c r="B1672" s="28">
        <v>219.24</v>
      </c>
      <c r="C1672" s="27">
        <f t="shared" si="26"/>
        <v>6.5427003411013722E-4</v>
      </c>
    </row>
    <row r="1673" spans="1:3">
      <c r="A1673" s="25" t="s">
        <v>2234</v>
      </c>
      <c r="B1673" s="28">
        <v>250.56</v>
      </c>
      <c r="C1673" s="27">
        <f t="shared" si="26"/>
        <v>7.4773718184015681E-4</v>
      </c>
    </row>
    <row r="1674" spans="1:3">
      <c r="A1674" s="25" t="s">
        <v>2235</v>
      </c>
      <c r="B1674" s="28">
        <v>250.56</v>
      </c>
      <c r="C1674" s="27">
        <f t="shared" si="26"/>
        <v>7.4773718184015681E-4</v>
      </c>
    </row>
    <row r="1675" spans="1:3">
      <c r="A1675" s="25" t="s">
        <v>2236</v>
      </c>
      <c r="B1675" s="28">
        <v>250.56</v>
      </c>
      <c r="C1675" s="27">
        <f t="shared" si="26"/>
        <v>7.4773718184015681E-4</v>
      </c>
    </row>
    <row r="1676" spans="1:3">
      <c r="A1676" s="25" t="s">
        <v>2237</v>
      </c>
      <c r="B1676" s="28">
        <v>250.56</v>
      </c>
      <c r="C1676" s="27">
        <f t="shared" si="26"/>
        <v>7.4773718184015681E-4</v>
      </c>
    </row>
    <row r="1677" spans="1:3">
      <c r="A1677" s="25" t="s">
        <v>2238</v>
      </c>
      <c r="B1677" s="28">
        <v>250.56</v>
      </c>
      <c r="C1677" s="27">
        <f t="shared" si="26"/>
        <v>7.4773718184015681E-4</v>
      </c>
    </row>
    <row r="1678" spans="1:3">
      <c r="A1678" s="25" t="s">
        <v>2239</v>
      </c>
      <c r="B1678" s="28">
        <v>250.56</v>
      </c>
      <c r="C1678" s="27">
        <f t="shared" si="26"/>
        <v>7.4773718184015681E-4</v>
      </c>
    </row>
    <row r="1679" spans="1:3">
      <c r="A1679" s="25" t="s">
        <v>2240</v>
      </c>
      <c r="B1679" s="28">
        <v>250.56</v>
      </c>
      <c r="C1679" s="27">
        <f t="shared" si="26"/>
        <v>7.4773718184015681E-4</v>
      </c>
    </row>
    <row r="1680" spans="1:3">
      <c r="A1680" s="25" t="s">
        <v>2241</v>
      </c>
      <c r="B1680" s="28">
        <v>250.56</v>
      </c>
      <c r="C1680" s="27">
        <f t="shared" si="26"/>
        <v>7.4773718184015681E-4</v>
      </c>
    </row>
    <row r="1681" spans="1:3">
      <c r="A1681" s="25" t="s">
        <v>2242</v>
      </c>
      <c r="B1681" s="28">
        <v>0</v>
      </c>
      <c r="C1681" s="27">
        <f t="shared" si="26"/>
        <v>0</v>
      </c>
    </row>
    <row r="1682" spans="1:3">
      <c r="A1682" s="25" t="s">
        <v>2243</v>
      </c>
      <c r="B1682" s="28">
        <v>250.56</v>
      </c>
      <c r="C1682" s="27">
        <f t="shared" si="26"/>
        <v>7.4773718184015681E-4</v>
      </c>
    </row>
    <row r="1683" spans="1:3">
      <c r="A1683" s="25" t="s">
        <v>2244</v>
      </c>
      <c r="B1683" s="28">
        <v>250.56</v>
      </c>
      <c r="C1683" s="27">
        <f t="shared" si="26"/>
        <v>7.4773718184015681E-4</v>
      </c>
    </row>
    <row r="1684" spans="1:3">
      <c r="A1684" s="25" t="s">
        <v>2245</v>
      </c>
      <c r="B1684" s="28">
        <v>250.56</v>
      </c>
      <c r="C1684" s="27">
        <f t="shared" si="26"/>
        <v>7.4773718184015681E-4</v>
      </c>
    </row>
    <row r="1685" spans="1:3">
      <c r="A1685" s="25" t="s">
        <v>2246</v>
      </c>
      <c r="B1685" s="28">
        <v>250.56</v>
      </c>
      <c r="C1685" s="27">
        <f t="shared" si="26"/>
        <v>7.4773718184015681E-4</v>
      </c>
    </row>
    <row r="1686" spans="1:3">
      <c r="A1686" s="25" t="s">
        <v>2247</v>
      </c>
      <c r="B1686" s="28">
        <v>250.56</v>
      </c>
      <c r="C1686" s="27">
        <f t="shared" si="26"/>
        <v>7.4773718184015681E-4</v>
      </c>
    </row>
    <row r="1687" spans="1:3">
      <c r="A1687" s="25" t="s">
        <v>2248</v>
      </c>
      <c r="B1687" s="28">
        <v>250.56</v>
      </c>
      <c r="C1687" s="27">
        <f t="shared" si="26"/>
        <v>7.4773718184015681E-4</v>
      </c>
    </row>
    <row r="1688" spans="1:3">
      <c r="A1688" s="25" t="s">
        <v>2249</v>
      </c>
      <c r="B1688" s="28">
        <v>250.56</v>
      </c>
      <c r="C1688" s="27">
        <f t="shared" si="26"/>
        <v>7.4773718184015681E-4</v>
      </c>
    </row>
    <row r="1689" spans="1:3">
      <c r="A1689" s="25" t="s">
        <v>2250</v>
      </c>
      <c r="B1689" s="28">
        <v>250.56</v>
      </c>
      <c r="C1689" s="27">
        <f t="shared" si="26"/>
        <v>7.4773718184015681E-4</v>
      </c>
    </row>
    <row r="1690" spans="1:3">
      <c r="A1690" s="25" t="s">
        <v>2251</v>
      </c>
      <c r="B1690" s="28">
        <v>250.56</v>
      </c>
      <c r="C1690" s="27">
        <f t="shared" si="26"/>
        <v>7.4773718184015681E-4</v>
      </c>
    </row>
    <row r="1691" spans="1:3">
      <c r="A1691" s="25" t="s">
        <v>2252</v>
      </c>
      <c r="B1691" s="28">
        <v>0</v>
      </c>
      <c r="C1691" s="27">
        <f t="shared" si="26"/>
        <v>0</v>
      </c>
    </row>
    <row r="1692" spans="1:3">
      <c r="A1692" s="25" t="s">
        <v>2253</v>
      </c>
      <c r="B1692" s="28">
        <v>250.56</v>
      </c>
      <c r="C1692" s="27">
        <f t="shared" si="26"/>
        <v>7.4773718184015681E-4</v>
      </c>
    </row>
    <row r="1693" spans="1:3">
      <c r="A1693" s="25" t="s">
        <v>2254</v>
      </c>
      <c r="B1693" s="28">
        <v>250.56</v>
      </c>
      <c r="C1693" s="27">
        <f t="shared" si="26"/>
        <v>7.4773718184015681E-4</v>
      </c>
    </row>
    <row r="1694" spans="1:3">
      <c r="A1694" s="25" t="s">
        <v>2255</v>
      </c>
      <c r="B1694" s="28">
        <v>250.56</v>
      </c>
      <c r="C1694" s="27">
        <f t="shared" si="26"/>
        <v>7.4773718184015681E-4</v>
      </c>
    </row>
    <row r="1695" spans="1:3">
      <c r="A1695" s="25" t="s">
        <v>2256</v>
      </c>
      <c r="B1695" s="28">
        <v>250.56</v>
      </c>
      <c r="C1695" s="27">
        <f t="shared" si="26"/>
        <v>7.4773718184015681E-4</v>
      </c>
    </row>
    <row r="1696" spans="1:3">
      <c r="A1696" s="25" t="s">
        <v>2257</v>
      </c>
      <c r="B1696" s="28">
        <v>250.56</v>
      </c>
      <c r="C1696" s="27">
        <f t="shared" si="26"/>
        <v>7.4773718184015681E-4</v>
      </c>
    </row>
    <row r="1697" spans="1:3">
      <c r="A1697" s="25" t="s">
        <v>2258</v>
      </c>
      <c r="B1697" s="28">
        <v>250.56</v>
      </c>
      <c r="C1697" s="27">
        <f t="shared" si="26"/>
        <v>7.4773718184015681E-4</v>
      </c>
    </row>
    <row r="1698" spans="1:3">
      <c r="A1698" s="25" t="s">
        <v>2259</v>
      </c>
      <c r="B1698" s="28">
        <v>250.56</v>
      </c>
      <c r="C1698" s="27">
        <f t="shared" si="26"/>
        <v>7.4773718184015681E-4</v>
      </c>
    </row>
    <row r="1699" spans="1:3">
      <c r="A1699" s="25" t="s">
        <v>2260</v>
      </c>
      <c r="B1699" s="28">
        <v>250.56</v>
      </c>
      <c r="C1699" s="27">
        <f t="shared" si="26"/>
        <v>7.4773718184015681E-4</v>
      </c>
    </row>
    <row r="1700" spans="1:3">
      <c r="A1700" s="25" t="s">
        <v>2261</v>
      </c>
      <c r="B1700" s="28">
        <v>250.56</v>
      </c>
      <c r="C1700" s="27">
        <f t="shared" si="26"/>
        <v>7.4773718184015681E-4</v>
      </c>
    </row>
    <row r="1701" spans="1:3">
      <c r="A1701" s="25" t="s">
        <v>2262</v>
      </c>
      <c r="B1701" s="28">
        <v>0</v>
      </c>
      <c r="C1701" s="27">
        <f t="shared" si="26"/>
        <v>0</v>
      </c>
    </row>
    <row r="1702" spans="1:3">
      <c r="A1702" s="25" t="s">
        <v>2263</v>
      </c>
      <c r="B1702" s="28">
        <v>250.56</v>
      </c>
      <c r="C1702" s="27">
        <f t="shared" si="26"/>
        <v>7.4773718184015681E-4</v>
      </c>
    </row>
    <row r="1703" spans="1:3">
      <c r="A1703" s="25" t="s">
        <v>2264</v>
      </c>
      <c r="B1703" s="28">
        <v>250.56</v>
      </c>
      <c r="C1703" s="27">
        <f t="shared" si="26"/>
        <v>7.4773718184015681E-4</v>
      </c>
    </row>
    <row r="1704" spans="1:3">
      <c r="A1704" s="25" t="s">
        <v>2265</v>
      </c>
      <c r="B1704" s="28">
        <v>250.56</v>
      </c>
      <c r="C1704" s="27">
        <f t="shared" si="26"/>
        <v>7.4773718184015681E-4</v>
      </c>
    </row>
    <row r="1705" spans="1:3">
      <c r="A1705" s="25" t="s">
        <v>2266</v>
      </c>
      <c r="B1705" s="28">
        <v>250.56</v>
      </c>
      <c r="C1705" s="27">
        <f t="shared" si="26"/>
        <v>7.4773718184015681E-4</v>
      </c>
    </row>
    <row r="1706" spans="1:3">
      <c r="A1706" s="25" t="s">
        <v>2267</v>
      </c>
      <c r="B1706" s="28">
        <v>250.56</v>
      </c>
      <c r="C1706" s="27">
        <f t="shared" si="26"/>
        <v>7.4773718184015681E-4</v>
      </c>
    </row>
    <row r="1707" spans="1:3">
      <c r="A1707" s="25" t="s">
        <v>2268</v>
      </c>
      <c r="B1707" s="28">
        <v>250.56</v>
      </c>
      <c r="C1707" s="27">
        <f t="shared" ref="C1707:C1770" si="27">IFERROR(B1707/$S$2,"")</f>
        <v>7.4773718184015681E-4</v>
      </c>
    </row>
    <row r="1708" spans="1:3">
      <c r="A1708" s="25" t="s">
        <v>2269</v>
      </c>
      <c r="B1708" s="28">
        <v>250.56</v>
      </c>
      <c r="C1708" s="27">
        <f t="shared" si="27"/>
        <v>7.4773718184015681E-4</v>
      </c>
    </row>
    <row r="1709" spans="1:3">
      <c r="A1709" s="25" t="s">
        <v>2270</v>
      </c>
      <c r="B1709" s="28">
        <v>250.56</v>
      </c>
      <c r="C1709" s="27">
        <f t="shared" si="27"/>
        <v>7.4773718184015681E-4</v>
      </c>
    </row>
    <row r="1710" spans="1:3">
      <c r="A1710" s="25" t="s">
        <v>2271</v>
      </c>
      <c r="B1710" s="28">
        <v>250.56</v>
      </c>
      <c r="C1710" s="27">
        <f t="shared" si="27"/>
        <v>7.4773718184015681E-4</v>
      </c>
    </row>
    <row r="1711" spans="1:3">
      <c r="A1711" s="25" t="s">
        <v>2272</v>
      </c>
      <c r="B1711" s="28">
        <v>0</v>
      </c>
      <c r="C1711" s="27">
        <f t="shared" si="27"/>
        <v>0</v>
      </c>
    </row>
    <row r="1712" spans="1:3">
      <c r="A1712" s="25" t="s">
        <v>2273</v>
      </c>
      <c r="B1712" s="28">
        <v>250.56</v>
      </c>
      <c r="C1712" s="27">
        <f t="shared" si="27"/>
        <v>7.4773718184015681E-4</v>
      </c>
    </row>
    <row r="1713" spans="1:3">
      <c r="A1713" s="25" t="s">
        <v>2274</v>
      </c>
      <c r="B1713" s="28">
        <v>250.56</v>
      </c>
      <c r="C1713" s="27">
        <f t="shared" si="27"/>
        <v>7.4773718184015681E-4</v>
      </c>
    </row>
    <row r="1714" spans="1:3">
      <c r="A1714" s="25" t="s">
        <v>2275</v>
      </c>
      <c r="B1714" s="28">
        <v>250.56</v>
      </c>
      <c r="C1714" s="27">
        <f t="shared" si="27"/>
        <v>7.4773718184015681E-4</v>
      </c>
    </row>
    <row r="1715" spans="1:3">
      <c r="A1715" s="25" t="s">
        <v>2276</v>
      </c>
      <c r="B1715" s="28">
        <v>250.56</v>
      </c>
      <c r="C1715" s="27">
        <f t="shared" si="27"/>
        <v>7.4773718184015681E-4</v>
      </c>
    </row>
    <row r="1716" spans="1:3">
      <c r="A1716" s="25" t="s">
        <v>2277</v>
      </c>
      <c r="B1716" s="28">
        <v>250.56</v>
      </c>
      <c r="C1716" s="27">
        <f t="shared" si="27"/>
        <v>7.4773718184015681E-4</v>
      </c>
    </row>
    <row r="1717" spans="1:3">
      <c r="A1717" s="25" t="s">
        <v>2278</v>
      </c>
      <c r="B1717" s="28">
        <v>250.56</v>
      </c>
      <c r="C1717" s="27">
        <f t="shared" si="27"/>
        <v>7.4773718184015681E-4</v>
      </c>
    </row>
    <row r="1718" spans="1:3">
      <c r="A1718" s="25" t="s">
        <v>2279</v>
      </c>
      <c r="B1718" s="28">
        <v>250.56</v>
      </c>
      <c r="C1718" s="27">
        <f t="shared" si="27"/>
        <v>7.4773718184015681E-4</v>
      </c>
    </row>
    <row r="1719" spans="1:3">
      <c r="A1719" s="25" t="s">
        <v>2280</v>
      </c>
      <c r="B1719" s="28">
        <v>250.56</v>
      </c>
      <c r="C1719" s="27">
        <f t="shared" si="27"/>
        <v>7.4773718184015681E-4</v>
      </c>
    </row>
    <row r="1720" spans="1:3">
      <c r="A1720" s="25" t="s">
        <v>2281</v>
      </c>
      <c r="B1720" s="28">
        <v>250.56</v>
      </c>
      <c r="C1720" s="27">
        <f t="shared" si="27"/>
        <v>7.4773718184015681E-4</v>
      </c>
    </row>
    <row r="1721" spans="1:3">
      <c r="A1721" s="25" t="s">
        <v>2282</v>
      </c>
      <c r="B1721" s="28">
        <v>0</v>
      </c>
      <c r="C1721" s="27">
        <f t="shared" si="27"/>
        <v>0</v>
      </c>
    </row>
    <row r="1722" spans="1:3">
      <c r="A1722" s="25" t="s">
        <v>2283</v>
      </c>
      <c r="B1722" s="28">
        <v>250.56</v>
      </c>
      <c r="C1722" s="27">
        <f t="shared" si="27"/>
        <v>7.4773718184015681E-4</v>
      </c>
    </row>
    <row r="1723" spans="1:3">
      <c r="A1723" s="25" t="s">
        <v>2284</v>
      </c>
      <c r="B1723" s="28">
        <v>250.56</v>
      </c>
      <c r="C1723" s="27">
        <f t="shared" si="27"/>
        <v>7.4773718184015681E-4</v>
      </c>
    </row>
    <row r="1724" spans="1:3">
      <c r="A1724" s="25" t="s">
        <v>2285</v>
      </c>
      <c r="B1724" s="28">
        <v>250.56</v>
      </c>
      <c r="C1724" s="27">
        <f t="shared" si="27"/>
        <v>7.4773718184015681E-4</v>
      </c>
    </row>
    <row r="1725" spans="1:3">
      <c r="A1725" s="25" t="s">
        <v>2286</v>
      </c>
      <c r="B1725" s="28">
        <v>250.56</v>
      </c>
      <c r="C1725" s="27">
        <f t="shared" si="27"/>
        <v>7.4773718184015681E-4</v>
      </c>
    </row>
    <row r="1726" spans="1:3">
      <c r="A1726" s="25" t="s">
        <v>2287</v>
      </c>
      <c r="B1726" s="28">
        <v>250.56</v>
      </c>
      <c r="C1726" s="27">
        <f t="shared" si="27"/>
        <v>7.4773718184015681E-4</v>
      </c>
    </row>
    <row r="1727" spans="1:3">
      <c r="A1727" s="25" t="s">
        <v>2288</v>
      </c>
      <c r="B1727" s="28">
        <v>250.56</v>
      </c>
      <c r="C1727" s="27">
        <f t="shared" si="27"/>
        <v>7.4773718184015681E-4</v>
      </c>
    </row>
    <row r="1728" spans="1:3">
      <c r="A1728" s="25" t="s">
        <v>2289</v>
      </c>
      <c r="B1728" s="28">
        <v>250.56</v>
      </c>
      <c r="C1728" s="27">
        <f t="shared" si="27"/>
        <v>7.4773718184015681E-4</v>
      </c>
    </row>
    <row r="1729" spans="1:3">
      <c r="A1729" s="25" t="s">
        <v>2290</v>
      </c>
      <c r="B1729" s="28">
        <v>250.56</v>
      </c>
      <c r="C1729" s="27">
        <f t="shared" si="27"/>
        <v>7.4773718184015681E-4</v>
      </c>
    </row>
    <row r="1730" spans="1:3">
      <c r="A1730" s="25" t="s">
        <v>2291</v>
      </c>
      <c r="B1730" s="28">
        <v>250.56</v>
      </c>
      <c r="C1730" s="27">
        <f t="shared" si="27"/>
        <v>7.4773718184015681E-4</v>
      </c>
    </row>
    <row r="1731" spans="1:3">
      <c r="A1731" s="25" t="s">
        <v>2292</v>
      </c>
      <c r="B1731" s="28">
        <v>0</v>
      </c>
      <c r="C1731" s="27">
        <f t="shared" si="27"/>
        <v>0</v>
      </c>
    </row>
    <row r="1732" spans="1:3">
      <c r="A1732" s="25" t="s">
        <v>2293</v>
      </c>
      <c r="B1732" s="28">
        <v>250.56</v>
      </c>
      <c r="C1732" s="27">
        <f t="shared" si="27"/>
        <v>7.4773718184015681E-4</v>
      </c>
    </row>
    <row r="1733" spans="1:3">
      <c r="A1733" s="25" t="s">
        <v>2294</v>
      </c>
      <c r="B1733" s="28">
        <v>250.56</v>
      </c>
      <c r="C1733" s="27">
        <f t="shared" si="27"/>
        <v>7.4773718184015681E-4</v>
      </c>
    </row>
    <row r="1734" spans="1:3">
      <c r="A1734" s="25" t="s">
        <v>2295</v>
      </c>
      <c r="B1734" s="28">
        <v>250.56</v>
      </c>
      <c r="C1734" s="27">
        <f t="shared" si="27"/>
        <v>7.4773718184015681E-4</v>
      </c>
    </row>
    <row r="1735" spans="1:3">
      <c r="A1735" s="25" t="s">
        <v>2296</v>
      </c>
      <c r="B1735" s="28">
        <v>250.56</v>
      </c>
      <c r="C1735" s="27">
        <f t="shared" si="27"/>
        <v>7.4773718184015681E-4</v>
      </c>
    </row>
    <row r="1736" spans="1:3">
      <c r="A1736" s="25" t="s">
        <v>2297</v>
      </c>
      <c r="B1736" s="28">
        <v>250.56</v>
      </c>
      <c r="C1736" s="27">
        <f t="shared" si="27"/>
        <v>7.4773718184015681E-4</v>
      </c>
    </row>
    <row r="1737" spans="1:3">
      <c r="A1737" s="25" t="s">
        <v>2298</v>
      </c>
      <c r="B1737" s="28">
        <v>250.56</v>
      </c>
      <c r="C1737" s="27">
        <f t="shared" si="27"/>
        <v>7.4773718184015681E-4</v>
      </c>
    </row>
    <row r="1738" spans="1:3">
      <c r="A1738" s="25" t="s">
        <v>2299</v>
      </c>
      <c r="B1738" s="28">
        <v>250.56</v>
      </c>
      <c r="C1738" s="27">
        <f t="shared" si="27"/>
        <v>7.4773718184015681E-4</v>
      </c>
    </row>
    <row r="1739" spans="1:3">
      <c r="A1739" s="25" t="s">
        <v>2300</v>
      </c>
      <c r="B1739" s="28">
        <v>250.56</v>
      </c>
      <c r="C1739" s="27">
        <f t="shared" si="27"/>
        <v>7.4773718184015681E-4</v>
      </c>
    </row>
    <row r="1740" spans="1:3">
      <c r="A1740" s="25" t="s">
        <v>2301</v>
      </c>
      <c r="B1740" s="28">
        <v>0</v>
      </c>
      <c r="C1740" s="27">
        <f t="shared" si="27"/>
        <v>0</v>
      </c>
    </row>
    <row r="1741" spans="1:3">
      <c r="A1741" s="25" t="s">
        <v>2302</v>
      </c>
      <c r="B1741" s="28">
        <v>0</v>
      </c>
      <c r="C1741" s="27">
        <f t="shared" si="27"/>
        <v>0</v>
      </c>
    </row>
    <row r="1742" spans="1:3">
      <c r="A1742" s="25" t="s">
        <v>2303</v>
      </c>
      <c r="B1742" s="28">
        <v>250.56</v>
      </c>
      <c r="C1742" s="27">
        <f t="shared" si="27"/>
        <v>7.4773718184015681E-4</v>
      </c>
    </row>
    <row r="1743" spans="1:3">
      <c r="A1743" s="25" t="s">
        <v>2304</v>
      </c>
      <c r="B1743" s="28">
        <v>250.56</v>
      </c>
      <c r="C1743" s="27">
        <f t="shared" si="27"/>
        <v>7.4773718184015681E-4</v>
      </c>
    </row>
    <row r="1744" spans="1:3">
      <c r="A1744" s="25" t="s">
        <v>2305</v>
      </c>
      <c r="B1744" s="28">
        <v>250.56</v>
      </c>
      <c r="C1744" s="27">
        <f t="shared" si="27"/>
        <v>7.4773718184015681E-4</v>
      </c>
    </row>
    <row r="1745" spans="1:3">
      <c r="A1745" s="25" t="s">
        <v>2306</v>
      </c>
      <c r="B1745" s="28">
        <v>250.56</v>
      </c>
      <c r="C1745" s="27">
        <f t="shared" si="27"/>
        <v>7.4773718184015681E-4</v>
      </c>
    </row>
    <row r="1746" spans="1:3">
      <c r="A1746" s="25" t="s">
        <v>2307</v>
      </c>
      <c r="B1746" s="28">
        <v>250.56</v>
      </c>
      <c r="C1746" s="27">
        <f t="shared" si="27"/>
        <v>7.4773718184015681E-4</v>
      </c>
    </row>
    <row r="1747" spans="1:3">
      <c r="A1747" s="25" t="s">
        <v>2308</v>
      </c>
      <c r="B1747" s="28">
        <v>250.56</v>
      </c>
      <c r="C1747" s="27">
        <f t="shared" si="27"/>
        <v>7.4773718184015681E-4</v>
      </c>
    </row>
    <row r="1748" spans="1:3">
      <c r="A1748" s="25" t="s">
        <v>2309</v>
      </c>
      <c r="B1748" s="28">
        <v>250.56</v>
      </c>
      <c r="C1748" s="27">
        <f t="shared" si="27"/>
        <v>7.4773718184015681E-4</v>
      </c>
    </row>
    <row r="1749" spans="1:3">
      <c r="A1749" s="25" t="s">
        <v>2310</v>
      </c>
      <c r="B1749" s="28">
        <v>250.56</v>
      </c>
      <c r="C1749" s="27">
        <f t="shared" si="27"/>
        <v>7.4773718184015681E-4</v>
      </c>
    </row>
    <row r="1750" spans="1:3">
      <c r="A1750" s="25" t="s">
        <v>2311</v>
      </c>
      <c r="B1750" s="28">
        <v>250.56</v>
      </c>
      <c r="C1750" s="27">
        <f t="shared" si="27"/>
        <v>7.4773718184015681E-4</v>
      </c>
    </row>
    <row r="1751" spans="1:3">
      <c r="A1751" s="25" t="s">
        <v>2312</v>
      </c>
      <c r="B1751" s="28">
        <v>0</v>
      </c>
      <c r="C1751" s="27">
        <f t="shared" si="27"/>
        <v>0</v>
      </c>
    </row>
    <row r="1752" spans="1:3">
      <c r="A1752" s="25" t="s">
        <v>2313</v>
      </c>
      <c r="B1752" s="28">
        <v>250.56</v>
      </c>
      <c r="C1752" s="27">
        <f t="shared" si="27"/>
        <v>7.4773718184015681E-4</v>
      </c>
    </row>
    <row r="1753" spans="1:3">
      <c r="A1753" s="25" t="s">
        <v>2314</v>
      </c>
      <c r="B1753" s="28">
        <v>250.56</v>
      </c>
      <c r="C1753" s="27">
        <f t="shared" si="27"/>
        <v>7.4773718184015681E-4</v>
      </c>
    </row>
    <row r="1754" spans="1:3">
      <c r="A1754" s="25" t="s">
        <v>2315</v>
      </c>
      <c r="B1754" s="28">
        <v>250.56</v>
      </c>
      <c r="C1754" s="27">
        <f t="shared" si="27"/>
        <v>7.4773718184015681E-4</v>
      </c>
    </row>
    <row r="1755" spans="1:3">
      <c r="A1755" s="25" t="s">
        <v>2316</v>
      </c>
      <c r="B1755" s="28">
        <v>250.56</v>
      </c>
      <c r="C1755" s="27">
        <f t="shared" si="27"/>
        <v>7.4773718184015681E-4</v>
      </c>
    </row>
    <row r="1756" spans="1:3">
      <c r="A1756" s="25" t="s">
        <v>2317</v>
      </c>
      <c r="B1756" s="28">
        <v>250.56</v>
      </c>
      <c r="C1756" s="27">
        <f t="shared" si="27"/>
        <v>7.4773718184015681E-4</v>
      </c>
    </row>
    <row r="1757" spans="1:3">
      <c r="A1757" s="25" t="s">
        <v>2318</v>
      </c>
      <c r="B1757" s="28">
        <v>250.56</v>
      </c>
      <c r="C1757" s="27">
        <f t="shared" si="27"/>
        <v>7.4773718184015681E-4</v>
      </c>
    </row>
    <row r="1758" spans="1:3">
      <c r="A1758" s="25" t="s">
        <v>2319</v>
      </c>
      <c r="B1758" s="28">
        <v>250.56</v>
      </c>
      <c r="C1758" s="27">
        <f t="shared" si="27"/>
        <v>7.4773718184015681E-4</v>
      </c>
    </row>
    <row r="1759" spans="1:3">
      <c r="A1759" s="25" t="s">
        <v>2320</v>
      </c>
      <c r="B1759" s="28">
        <v>250.56</v>
      </c>
      <c r="C1759" s="27">
        <f t="shared" si="27"/>
        <v>7.4773718184015681E-4</v>
      </c>
    </row>
    <row r="1760" spans="1:3">
      <c r="A1760" s="25" t="s">
        <v>2321</v>
      </c>
      <c r="B1760" s="28">
        <v>0</v>
      </c>
      <c r="C1760" s="27">
        <f t="shared" si="27"/>
        <v>0</v>
      </c>
    </row>
    <row r="1761" spans="1:3">
      <c r="A1761" s="25" t="s">
        <v>2322</v>
      </c>
      <c r="B1761" s="28">
        <v>0</v>
      </c>
      <c r="C1761" s="27">
        <f t="shared" si="27"/>
        <v>0</v>
      </c>
    </row>
    <row r="1762" spans="1:3">
      <c r="A1762" s="25" t="s">
        <v>2323</v>
      </c>
      <c r="B1762" s="28">
        <v>16789.405000000002</v>
      </c>
      <c r="C1762" s="27">
        <f t="shared" si="27"/>
        <v>5.0104016520885378E-2</v>
      </c>
    </row>
    <row r="1763" spans="1:3">
      <c r="A1763" s="25" t="s">
        <v>2324</v>
      </c>
      <c r="B1763" s="28">
        <v>16699.07</v>
      </c>
      <c r="C1763" s="27">
        <f t="shared" si="27"/>
        <v>4.9834433034608508E-2</v>
      </c>
    </row>
    <row r="1764" spans="1:3">
      <c r="A1764" s="25" t="s">
        <v>2325</v>
      </c>
      <c r="B1764" s="28">
        <v>16766.640000000003</v>
      </c>
      <c r="C1764" s="27">
        <f t="shared" si="27"/>
        <v>5.0036079751470508E-2</v>
      </c>
    </row>
    <row r="1765" spans="1:3">
      <c r="A1765" s="25" t="s">
        <v>2326</v>
      </c>
      <c r="B1765" s="28">
        <v>16547.400000000001</v>
      </c>
      <c r="C1765" s="27">
        <f t="shared" si="27"/>
        <v>4.9381809717360364E-2</v>
      </c>
    </row>
    <row r="1766" spans="1:3">
      <c r="A1766" s="25" t="s">
        <v>2327</v>
      </c>
      <c r="B1766" s="28">
        <v>16724.88</v>
      </c>
      <c r="C1766" s="27">
        <f t="shared" si="27"/>
        <v>4.9911456887830476E-2</v>
      </c>
    </row>
    <row r="1767" spans="1:3">
      <c r="A1767" s="25" t="s">
        <v>2328</v>
      </c>
      <c r="B1767" s="28">
        <v>17170.900000000001</v>
      </c>
      <c r="C1767" s="27">
        <f t="shared" si="27"/>
        <v>5.1242498306430198E-2</v>
      </c>
    </row>
    <row r="1768" spans="1:3">
      <c r="A1768" s="25" t="s">
        <v>2329</v>
      </c>
      <c r="B1768" s="28">
        <v>16443</v>
      </c>
      <c r="C1768" s="27">
        <f t="shared" si="27"/>
        <v>4.9070252558260294E-2</v>
      </c>
    </row>
    <row r="1769" spans="1:3">
      <c r="A1769" s="25" t="s">
        <v>2330</v>
      </c>
      <c r="B1769" s="28">
        <v>16928.46</v>
      </c>
      <c r="C1769" s="27">
        <f t="shared" si="27"/>
        <v>5.0518993348075594E-2</v>
      </c>
    </row>
    <row r="1770" spans="1:3">
      <c r="A1770" s="25" t="s">
        <v>2331</v>
      </c>
      <c r="B1770" s="28">
        <v>16942.960000000003</v>
      </c>
      <c r="C1770" s="27">
        <f t="shared" si="27"/>
        <v>5.0562265175728392E-2</v>
      </c>
    </row>
    <row r="1771" spans="1:3">
      <c r="A1771" s="25" t="s">
        <v>2332</v>
      </c>
      <c r="B1771" s="28">
        <v>16756.2</v>
      </c>
      <c r="C1771" s="27">
        <f t="shared" ref="C1771:C1834" si="28">IFERROR(B1771/$S$2,"")</f>
        <v>5.0004924035560491E-2</v>
      </c>
    </row>
    <row r="1772" spans="1:3">
      <c r="A1772" s="25" t="s">
        <v>2333</v>
      </c>
      <c r="B1772" s="28">
        <v>16595.250000000004</v>
      </c>
      <c r="C1772" s="27">
        <f t="shared" si="28"/>
        <v>4.9524606748614565E-2</v>
      </c>
    </row>
    <row r="1773" spans="1:3">
      <c r="A1773" s="25" t="s">
        <v>2334</v>
      </c>
      <c r="B1773" s="28">
        <v>16912.8</v>
      </c>
      <c r="C1773" s="27">
        <f t="shared" si="28"/>
        <v>5.0472259774210583E-2</v>
      </c>
    </row>
    <row r="1774" spans="1:3">
      <c r="A1774" s="25" t="s">
        <v>2335</v>
      </c>
      <c r="B1774" s="28">
        <v>16599.599999999999</v>
      </c>
      <c r="C1774" s="27">
        <f t="shared" si="28"/>
        <v>4.9537588296910386E-2</v>
      </c>
    </row>
    <row r="1775" spans="1:3">
      <c r="A1775" s="25" t="s">
        <v>2336</v>
      </c>
      <c r="B1775" s="28">
        <v>16756.199999999997</v>
      </c>
      <c r="C1775" s="27">
        <f t="shared" si="28"/>
        <v>5.0004924035560484E-2</v>
      </c>
    </row>
    <row r="1776" spans="1:3">
      <c r="A1776" s="25" t="s">
        <v>2337</v>
      </c>
      <c r="B1776" s="28">
        <v>16756.2</v>
      </c>
      <c r="C1776" s="27">
        <f t="shared" si="28"/>
        <v>5.0004924035560491E-2</v>
      </c>
    </row>
    <row r="1777" spans="1:3">
      <c r="A1777" s="25" t="s">
        <v>2338</v>
      </c>
      <c r="B1777" s="28">
        <v>16474.32</v>
      </c>
      <c r="C1777" s="27">
        <f t="shared" si="28"/>
        <v>4.9163719705990309E-2</v>
      </c>
    </row>
    <row r="1778" spans="1:3">
      <c r="A1778" s="25" t="s">
        <v>2339</v>
      </c>
      <c r="B1778" s="28">
        <v>15456.419999999998</v>
      </c>
      <c r="C1778" s="27">
        <f t="shared" si="28"/>
        <v>4.6126037404764668E-2</v>
      </c>
    </row>
    <row r="1779" spans="1:3">
      <c r="A1779" s="25" t="s">
        <v>2340</v>
      </c>
      <c r="B1779" s="28">
        <v>16662.239999999998</v>
      </c>
      <c r="C1779" s="27">
        <f t="shared" si="28"/>
        <v>4.9724522592370424E-2</v>
      </c>
    </row>
    <row r="1780" spans="1:3">
      <c r="A1780" s="25" t="s">
        <v>2341</v>
      </c>
      <c r="B1780" s="28">
        <v>17570.52</v>
      </c>
      <c r="C1780" s="27">
        <f t="shared" si="28"/>
        <v>5.2435069876541E-2</v>
      </c>
    </row>
    <row r="1781" spans="1:3">
      <c r="A1781" s="25" t="s">
        <v>2342</v>
      </c>
      <c r="B1781" s="28">
        <v>17539.2</v>
      </c>
      <c r="C1781" s="27">
        <f t="shared" si="28"/>
        <v>5.2341602728810985E-2</v>
      </c>
    </row>
    <row r="1782" spans="1:3">
      <c r="A1782" s="25" t="s">
        <v>2343</v>
      </c>
      <c r="B1782" s="28">
        <v>16789.405000000002</v>
      </c>
      <c r="C1782" s="27">
        <f t="shared" si="28"/>
        <v>5.0104016520885378E-2</v>
      </c>
    </row>
    <row r="1783" spans="1:3">
      <c r="A1783" s="25" t="s">
        <v>2344</v>
      </c>
      <c r="B1783" s="28">
        <v>16699.07</v>
      </c>
      <c r="C1783" s="27">
        <f t="shared" si="28"/>
        <v>4.9834433034608508E-2</v>
      </c>
    </row>
    <row r="1784" spans="1:3">
      <c r="A1784" s="25" t="s">
        <v>2345</v>
      </c>
      <c r="B1784" s="28">
        <v>16766.640000000003</v>
      </c>
      <c r="C1784" s="27">
        <f t="shared" si="28"/>
        <v>5.0036079751470508E-2</v>
      </c>
    </row>
    <row r="1785" spans="1:3">
      <c r="A1785" s="25" t="s">
        <v>2346</v>
      </c>
      <c r="B1785" s="28">
        <v>16547.400000000001</v>
      </c>
      <c r="C1785" s="27">
        <f t="shared" si="28"/>
        <v>4.9381809717360364E-2</v>
      </c>
    </row>
    <row r="1786" spans="1:3">
      <c r="A1786" s="25" t="s">
        <v>2347</v>
      </c>
      <c r="B1786" s="28">
        <v>16724.88</v>
      </c>
      <c r="C1786" s="27">
        <f t="shared" si="28"/>
        <v>4.9911456887830476E-2</v>
      </c>
    </row>
    <row r="1787" spans="1:3">
      <c r="A1787" s="25" t="s">
        <v>2348</v>
      </c>
      <c r="B1787" s="28">
        <v>17170.900000000001</v>
      </c>
      <c r="C1787" s="27">
        <f t="shared" si="28"/>
        <v>5.1242498306430198E-2</v>
      </c>
    </row>
    <row r="1788" spans="1:3">
      <c r="A1788" s="25" t="s">
        <v>2349</v>
      </c>
      <c r="B1788" s="28">
        <v>16443</v>
      </c>
      <c r="C1788" s="27">
        <f t="shared" si="28"/>
        <v>4.9070252558260294E-2</v>
      </c>
    </row>
    <row r="1789" spans="1:3">
      <c r="A1789" s="25" t="s">
        <v>2350</v>
      </c>
      <c r="B1789" s="28">
        <v>16928.46</v>
      </c>
      <c r="C1789" s="27">
        <f t="shared" si="28"/>
        <v>5.0518993348075594E-2</v>
      </c>
    </row>
    <row r="1790" spans="1:3">
      <c r="A1790" s="25" t="s">
        <v>2351</v>
      </c>
      <c r="B1790" s="28">
        <v>16942.960000000003</v>
      </c>
      <c r="C1790" s="27">
        <f t="shared" si="28"/>
        <v>5.0562265175728392E-2</v>
      </c>
    </row>
    <row r="1791" spans="1:3">
      <c r="A1791" s="25" t="s">
        <v>2352</v>
      </c>
      <c r="B1791" s="28">
        <v>16756.2</v>
      </c>
      <c r="C1791" s="27">
        <f t="shared" si="28"/>
        <v>5.0004924035560491E-2</v>
      </c>
    </row>
    <row r="1792" spans="1:3">
      <c r="A1792" s="25" t="s">
        <v>2353</v>
      </c>
      <c r="B1792" s="28">
        <v>16595.250000000004</v>
      </c>
      <c r="C1792" s="27">
        <f t="shared" si="28"/>
        <v>4.9524606748614565E-2</v>
      </c>
    </row>
    <row r="1793" spans="1:3">
      <c r="A1793" s="25" t="s">
        <v>2354</v>
      </c>
      <c r="B1793" s="28">
        <v>16912.8</v>
      </c>
      <c r="C1793" s="27">
        <f t="shared" si="28"/>
        <v>5.0472259774210583E-2</v>
      </c>
    </row>
    <row r="1794" spans="1:3">
      <c r="A1794" s="25" t="s">
        <v>2355</v>
      </c>
      <c r="B1794" s="28">
        <v>16599.599999999999</v>
      </c>
      <c r="C1794" s="27">
        <f t="shared" si="28"/>
        <v>4.9537588296910386E-2</v>
      </c>
    </row>
    <row r="1795" spans="1:3">
      <c r="A1795" s="25" t="s">
        <v>2356</v>
      </c>
      <c r="B1795" s="28">
        <v>16756.199999999997</v>
      </c>
      <c r="C1795" s="27">
        <f t="shared" si="28"/>
        <v>5.0004924035560484E-2</v>
      </c>
    </row>
    <row r="1796" spans="1:3">
      <c r="A1796" s="25" t="s">
        <v>2357</v>
      </c>
      <c r="B1796" s="28">
        <v>16756.2</v>
      </c>
      <c r="C1796" s="27">
        <f t="shared" si="28"/>
        <v>5.0004924035560491E-2</v>
      </c>
    </row>
    <row r="1797" spans="1:3">
      <c r="A1797" s="25" t="s">
        <v>2358</v>
      </c>
      <c r="B1797" s="28">
        <v>16474.32</v>
      </c>
      <c r="C1797" s="27">
        <f t="shared" si="28"/>
        <v>4.9163719705990309E-2</v>
      </c>
    </row>
    <row r="1798" spans="1:3">
      <c r="A1798" s="25" t="s">
        <v>2359</v>
      </c>
      <c r="B1798" s="28">
        <v>15456.419999999998</v>
      </c>
      <c r="C1798" s="27">
        <f t="shared" si="28"/>
        <v>4.6126037404764668E-2</v>
      </c>
    </row>
    <row r="1799" spans="1:3">
      <c r="A1799" s="25" t="s">
        <v>2360</v>
      </c>
      <c r="B1799" s="28">
        <v>16662.239999999998</v>
      </c>
      <c r="C1799" s="27">
        <f t="shared" si="28"/>
        <v>4.9724522592370424E-2</v>
      </c>
    </row>
    <row r="1800" spans="1:3">
      <c r="A1800" s="25" t="s">
        <v>2361</v>
      </c>
      <c r="B1800" s="28">
        <v>17570.52</v>
      </c>
      <c r="C1800" s="27">
        <f t="shared" si="28"/>
        <v>5.2435069876541E-2</v>
      </c>
    </row>
    <row r="1801" spans="1:3">
      <c r="A1801" s="25" t="s">
        <v>2362</v>
      </c>
      <c r="B1801" s="28">
        <v>17539.2</v>
      </c>
      <c r="C1801" s="27">
        <f t="shared" si="28"/>
        <v>5.2341602728810985E-2</v>
      </c>
    </row>
    <row r="1802" spans="1:3">
      <c r="A1802" s="25" t="s">
        <v>2363</v>
      </c>
      <c r="B1802" s="28">
        <v>16789.405000000002</v>
      </c>
      <c r="C1802" s="27">
        <f t="shared" si="28"/>
        <v>5.0104016520885378E-2</v>
      </c>
    </row>
    <row r="1803" spans="1:3">
      <c r="A1803" s="25" t="s">
        <v>2364</v>
      </c>
      <c r="B1803" s="28">
        <v>16699.07</v>
      </c>
      <c r="C1803" s="27">
        <f t="shared" si="28"/>
        <v>4.9834433034608508E-2</v>
      </c>
    </row>
    <row r="1804" spans="1:3">
      <c r="A1804" s="25" t="s">
        <v>2365</v>
      </c>
      <c r="B1804" s="28">
        <v>16766.640000000003</v>
      </c>
      <c r="C1804" s="27">
        <f t="shared" si="28"/>
        <v>5.0036079751470508E-2</v>
      </c>
    </row>
    <row r="1805" spans="1:3">
      <c r="A1805" s="25" t="s">
        <v>2366</v>
      </c>
      <c r="B1805" s="28">
        <v>16547.400000000001</v>
      </c>
      <c r="C1805" s="27">
        <f t="shared" si="28"/>
        <v>4.9381809717360364E-2</v>
      </c>
    </row>
    <row r="1806" spans="1:3">
      <c r="A1806" s="25" t="s">
        <v>2367</v>
      </c>
      <c r="B1806" s="28">
        <v>16724.88</v>
      </c>
      <c r="C1806" s="27">
        <f t="shared" si="28"/>
        <v>4.9911456887830476E-2</v>
      </c>
    </row>
    <row r="1807" spans="1:3">
      <c r="A1807" s="25" t="s">
        <v>2368</v>
      </c>
      <c r="B1807" s="28">
        <v>17170.900000000001</v>
      </c>
      <c r="C1807" s="27">
        <f t="shared" si="28"/>
        <v>5.1242498306430198E-2</v>
      </c>
    </row>
    <row r="1808" spans="1:3">
      <c r="A1808" s="25" t="s">
        <v>2369</v>
      </c>
      <c r="B1808" s="28">
        <v>16443</v>
      </c>
      <c r="C1808" s="27">
        <f t="shared" si="28"/>
        <v>4.9070252558260294E-2</v>
      </c>
    </row>
    <row r="1809" spans="1:19">
      <c r="A1809" s="25" t="s">
        <v>2370</v>
      </c>
      <c r="B1809" s="28">
        <v>16928.46</v>
      </c>
      <c r="C1809" s="27">
        <f t="shared" si="28"/>
        <v>5.0518993348075594E-2</v>
      </c>
    </row>
    <row r="1810" spans="1:19">
      <c r="A1810" s="25" t="s">
        <v>2371</v>
      </c>
      <c r="B1810" s="28">
        <v>16942.960000000003</v>
      </c>
      <c r="C1810" s="27">
        <f t="shared" si="28"/>
        <v>5.0562265175728392E-2</v>
      </c>
    </row>
    <row r="1811" spans="1:19">
      <c r="A1811" s="25" t="s">
        <v>2372</v>
      </c>
      <c r="B1811" s="28">
        <v>16756.2</v>
      </c>
      <c r="C1811" s="27">
        <f t="shared" si="28"/>
        <v>5.0004924035560491E-2</v>
      </c>
    </row>
    <row r="1812" spans="1:19">
      <c r="A1812" s="25" t="s">
        <v>2373</v>
      </c>
      <c r="B1812" s="28">
        <v>16595.250000000004</v>
      </c>
      <c r="C1812" s="27">
        <f t="shared" si="28"/>
        <v>4.9524606748614565E-2</v>
      </c>
    </row>
    <row r="1813" spans="1:19">
      <c r="A1813" s="25" t="s">
        <v>2374</v>
      </c>
      <c r="B1813" s="28">
        <v>16912.8</v>
      </c>
      <c r="C1813" s="27">
        <f t="shared" si="28"/>
        <v>5.0472259774210583E-2</v>
      </c>
    </row>
    <row r="1814" spans="1:19">
      <c r="A1814" s="25" t="s">
        <v>2375</v>
      </c>
      <c r="B1814" s="28">
        <v>16599.599999999999</v>
      </c>
      <c r="C1814" s="27">
        <f t="shared" si="28"/>
        <v>4.9537588296910386E-2</v>
      </c>
    </row>
    <row r="1815" spans="1:19">
      <c r="A1815" s="25" t="s">
        <v>2376</v>
      </c>
      <c r="B1815" s="28">
        <v>16756.199999999997</v>
      </c>
      <c r="C1815" s="27">
        <f t="shared" si="28"/>
        <v>5.0004924035560484E-2</v>
      </c>
    </row>
    <row r="1816" spans="1:19">
      <c r="A1816" s="25" t="s">
        <v>2377</v>
      </c>
      <c r="B1816" s="28">
        <v>16756.2</v>
      </c>
      <c r="C1816" s="27">
        <f t="shared" si="28"/>
        <v>5.0004924035560491E-2</v>
      </c>
    </row>
    <row r="1817" spans="1:19">
      <c r="A1817" s="25" t="s">
        <v>2378</v>
      </c>
      <c r="B1817" s="28">
        <v>16474.32</v>
      </c>
      <c r="C1817" s="27">
        <f t="shared" si="28"/>
        <v>4.9163719705990309E-2</v>
      </c>
    </row>
    <row r="1818" spans="1:19">
      <c r="A1818" s="25" t="s">
        <v>2379</v>
      </c>
      <c r="B1818" s="28">
        <v>15456.419999999998</v>
      </c>
      <c r="C1818" s="27">
        <f t="shared" si="28"/>
        <v>4.6126037404764668E-2</v>
      </c>
    </row>
    <row r="1819" spans="1:19">
      <c r="A1819" s="25" t="s">
        <v>2380</v>
      </c>
      <c r="B1819" s="28">
        <v>16662.239999999998</v>
      </c>
      <c r="C1819" s="27">
        <f t="shared" si="28"/>
        <v>4.9724522592370424E-2</v>
      </c>
    </row>
    <row r="1820" spans="1:19">
      <c r="A1820" s="25" t="s">
        <v>2381</v>
      </c>
      <c r="B1820" s="28">
        <v>17570.52</v>
      </c>
      <c r="C1820" s="27">
        <f t="shared" si="28"/>
        <v>5.2435069876541E-2</v>
      </c>
    </row>
    <row r="1821" spans="1:19" ht="15" thickBot="1">
      <c r="A1821" s="25" t="s">
        <v>2382</v>
      </c>
      <c r="B1821" s="28">
        <v>17539.2</v>
      </c>
      <c r="C1821" s="27">
        <f t="shared" si="28"/>
        <v>5.2341602728810985E-2</v>
      </c>
    </row>
    <row r="1822" spans="1:19" ht="15.5" thickTop="1" thickBot="1">
      <c r="A1822" s="25" t="s">
        <v>460</v>
      </c>
      <c r="B1822" s="28">
        <v>35109.72</v>
      </c>
      <c r="C1822" s="27">
        <f t="shared" si="28"/>
        <v>0.10477667260535198</v>
      </c>
      <c r="E1822" s="37" t="s">
        <v>2383</v>
      </c>
      <c r="F1822" s="38" t="s">
        <v>2384</v>
      </c>
      <c r="G1822" s="38" t="s">
        <v>2385</v>
      </c>
      <c r="H1822" s="38" t="s">
        <v>2386</v>
      </c>
      <c r="I1822" s="38" t="s">
        <v>2387</v>
      </c>
      <c r="J1822" s="38" t="s">
        <v>2388</v>
      </c>
      <c r="K1822" s="38" t="s">
        <v>2389</v>
      </c>
      <c r="L1822" s="38"/>
      <c r="M1822" s="38"/>
      <c r="N1822" s="38"/>
      <c r="O1822" s="38"/>
      <c r="P1822" s="38" t="s">
        <v>2390</v>
      </c>
      <c r="Q1822" s="38" t="s">
        <v>2391</v>
      </c>
      <c r="R1822" s="38" t="s">
        <v>2392</v>
      </c>
      <c r="S1822" s="38" t="s">
        <v>2393</v>
      </c>
    </row>
    <row r="1823" spans="1:19" ht="15.5" thickTop="1" thickBot="1">
      <c r="A1823" s="25" t="s">
        <v>467</v>
      </c>
      <c r="B1823" s="28">
        <v>32118.659999999996</v>
      </c>
      <c r="C1823" s="27">
        <f t="shared" si="28"/>
        <v>9.5850559997135099E-2</v>
      </c>
      <c r="E1823" s="39" t="s">
        <v>2394</v>
      </c>
      <c r="F1823" s="40">
        <v>33307.805</v>
      </c>
      <c r="G1823" s="40">
        <v>33236.03</v>
      </c>
      <c r="H1823" s="40">
        <v>33870.550000000003</v>
      </c>
      <c r="I1823" s="40">
        <v>33293.160000000003</v>
      </c>
      <c r="J1823" s="40">
        <v>33667.26</v>
      </c>
      <c r="K1823" s="40">
        <v>33491.665000000001</v>
      </c>
      <c r="L1823" s="40"/>
      <c r="M1823" s="40"/>
      <c r="N1823" s="40"/>
      <c r="O1823" s="40"/>
      <c r="P1823" s="40">
        <v>33340.14</v>
      </c>
      <c r="Q1823" s="40">
        <v>33199.199999999997</v>
      </c>
      <c r="R1823" s="40">
        <v>32103</v>
      </c>
      <c r="S1823" s="40">
        <v>35001.72</v>
      </c>
    </row>
    <row r="1824" spans="1:19" ht="15.5" thickTop="1" thickBot="1">
      <c r="A1824" s="25" t="s">
        <v>550</v>
      </c>
      <c r="B1824" s="28">
        <v>33230.520000000004</v>
      </c>
      <c r="C1824" s="27">
        <f t="shared" si="28"/>
        <v>9.9168643741550822E-2</v>
      </c>
      <c r="E1824" s="39" t="s">
        <v>2395</v>
      </c>
      <c r="F1824" s="40" t="s">
        <v>2396</v>
      </c>
      <c r="G1824" s="40" t="s">
        <v>2397</v>
      </c>
      <c r="H1824" s="40" t="s">
        <v>2398</v>
      </c>
      <c r="I1824" s="40" t="s">
        <v>2399</v>
      </c>
      <c r="J1824" s="40" t="s">
        <v>2400</v>
      </c>
      <c r="K1824" s="40" t="s">
        <v>2401</v>
      </c>
      <c r="L1824" s="40"/>
      <c r="M1824" s="40"/>
      <c r="N1824" s="40"/>
      <c r="O1824" s="40"/>
      <c r="P1824" s="40" t="s">
        <v>2402</v>
      </c>
      <c r="Q1824" s="40" t="s">
        <v>2403</v>
      </c>
      <c r="R1824" s="40" t="s">
        <v>2404</v>
      </c>
      <c r="S1824" s="40" t="s">
        <v>2405</v>
      </c>
    </row>
    <row r="1825" spans="1:19" ht="15.5" thickTop="1" thickBot="1">
      <c r="A1825" s="25" t="s">
        <v>552</v>
      </c>
      <c r="B1825" s="28">
        <v>33355.799999999996</v>
      </c>
      <c r="C1825" s="27">
        <f t="shared" si="28"/>
        <v>9.954251233247087E-2</v>
      </c>
      <c r="E1825" s="39" t="s">
        <v>2406</v>
      </c>
      <c r="F1825" s="40">
        <v>613.40574749999996</v>
      </c>
      <c r="G1825" s="40">
        <v>612.08391919999997</v>
      </c>
      <c r="H1825" s="40">
        <v>623.76941499999998</v>
      </c>
      <c r="I1825" s="40">
        <v>613.13604110000006</v>
      </c>
      <c r="J1825" s="40">
        <v>620.02557009999998</v>
      </c>
      <c r="K1825" s="40">
        <v>616.79176410000002</v>
      </c>
      <c r="L1825" s="40"/>
      <c r="M1825" s="40"/>
      <c r="N1825" s="40"/>
      <c r="O1825" s="40"/>
      <c r="P1825" s="40">
        <v>614.00123780000001</v>
      </c>
      <c r="Q1825" s="40">
        <v>611.40564770000003</v>
      </c>
      <c r="R1825" s="40">
        <v>591.21772539999995</v>
      </c>
      <c r="S1825" s="40">
        <v>644.60135449999996</v>
      </c>
    </row>
    <row r="1826" spans="1:19" ht="15" thickTop="1">
      <c r="A1826" s="25" t="s">
        <v>554</v>
      </c>
      <c r="B1826" s="28">
        <v>33508.050000000003</v>
      </c>
      <c r="C1826" s="27">
        <f t="shared" si="28"/>
        <v>9.9996866522825148E-2</v>
      </c>
    </row>
    <row r="1827" spans="1:19">
      <c r="A1827" s="25" t="s">
        <v>557</v>
      </c>
      <c r="B1827" s="28">
        <v>33371.46</v>
      </c>
      <c r="C1827" s="27">
        <f t="shared" si="28"/>
        <v>9.9589245906335888E-2</v>
      </c>
      <c r="E1827" t="s">
        <v>460</v>
      </c>
      <c r="F1827">
        <v>35109.72</v>
      </c>
      <c r="G1827" t="s">
        <v>2395</v>
      </c>
      <c r="H1827" t="s">
        <v>2406</v>
      </c>
    </row>
    <row r="1828" spans="1:19">
      <c r="A1828" s="25" t="s">
        <v>560</v>
      </c>
      <c r="B1828" s="28">
        <v>33699.160000000003</v>
      </c>
      <c r="C1828" s="27">
        <f t="shared" si="28"/>
        <v>0.10056718921128889</v>
      </c>
      <c r="E1828" t="s">
        <v>563</v>
      </c>
      <c r="F1828">
        <v>33895.78</v>
      </c>
      <c r="G1828" t="s">
        <v>2396</v>
      </c>
      <c r="H1828">
        <v>613.40574749999996</v>
      </c>
    </row>
    <row r="1829" spans="1:19">
      <c r="A1829" s="25" t="s">
        <v>563</v>
      </c>
      <c r="B1829" s="28">
        <v>33895.78</v>
      </c>
      <c r="C1829" s="27">
        <f t="shared" si="28"/>
        <v>0.10115395519426067</v>
      </c>
      <c r="E1829" t="s">
        <v>566</v>
      </c>
      <c r="F1829">
        <v>33314.040000000008</v>
      </c>
      <c r="G1829" t="s">
        <v>2397</v>
      </c>
      <c r="H1829">
        <v>612.08391919999997</v>
      </c>
    </row>
    <row r="1830" spans="1:19">
      <c r="A1830" s="25" t="s">
        <v>566</v>
      </c>
      <c r="B1830" s="28">
        <v>33314.040000000008</v>
      </c>
      <c r="C1830" s="27">
        <f t="shared" si="28"/>
        <v>9.9417889468830872E-2</v>
      </c>
      <c r="E1830" t="s">
        <v>462</v>
      </c>
      <c r="F1830">
        <v>33488.475000000006</v>
      </c>
      <c r="G1830" t="s">
        <v>2398</v>
      </c>
      <c r="H1830">
        <v>623.76941499999998</v>
      </c>
    </row>
    <row r="1831" spans="1:19">
      <c r="A1831" s="25" t="s">
        <v>462</v>
      </c>
      <c r="B1831" s="28">
        <v>33488.475000000006</v>
      </c>
      <c r="C1831" s="27">
        <f t="shared" si="28"/>
        <v>9.99384495554939E-2</v>
      </c>
      <c r="E1831" t="s">
        <v>467</v>
      </c>
      <c r="F1831">
        <v>32118.659999999996</v>
      </c>
      <c r="G1831" t="s">
        <v>2399</v>
      </c>
      <c r="H1831">
        <v>613.13604110000006</v>
      </c>
    </row>
    <row r="1832" spans="1:19">
      <c r="A1832" s="25" t="s">
        <v>571</v>
      </c>
      <c r="B1832" s="28">
        <v>167322.75</v>
      </c>
      <c r="C1832" s="27">
        <f t="shared" si="28"/>
        <v>0.49933525519933392</v>
      </c>
      <c r="E1832" t="s">
        <v>550</v>
      </c>
      <c r="F1832">
        <v>33230.520000000004</v>
      </c>
      <c r="G1832" t="s">
        <v>2400</v>
      </c>
      <c r="H1832">
        <v>620.02557009999998</v>
      </c>
    </row>
    <row r="1833" spans="1:19">
      <c r="A1833" s="25" t="s">
        <v>475</v>
      </c>
      <c r="B1833" s="28">
        <v>167768.91500000001</v>
      </c>
      <c r="C1833" s="27">
        <f t="shared" si="28"/>
        <v>0.50066672933621015</v>
      </c>
      <c r="E1833" t="s">
        <v>552</v>
      </c>
      <c r="F1833">
        <v>33355.799999999996</v>
      </c>
      <c r="G1833" t="s">
        <v>2401</v>
      </c>
      <c r="H1833">
        <v>616.79176410000002</v>
      </c>
    </row>
    <row r="1834" spans="1:19">
      <c r="A1834" s="25" t="s">
        <v>431</v>
      </c>
      <c r="B1834" s="28">
        <v>167322.75</v>
      </c>
      <c r="C1834" s="27">
        <f t="shared" si="28"/>
        <v>0.49933525519933392</v>
      </c>
      <c r="E1834" t="s">
        <v>554</v>
      </c>
      <c r="F1834">
        <v>33508.050000000003</v>
      </c>
      <c r="G1834" t="s">
        <v>2402</v>
      </c>
      <c r="H1834">
        <v>614.00123780000001</v>
      </c>
    </row>
    <row r="1835" spans="1:19">
      <c r="A1835" s="25" t="s">
        <v>436</v>
      </c>
      <c r="B1835" s="28">
        <v>167768.91500000001</v>
      </c>
      <c r="C1835" s="27">
        <f t="shared" ref="C1835:C1846" si="29">IFERROR(B1835/$S$2,"")</f>
        <v>0.50066672933621015</v>
      </c>
      <c r="E1835" t="s">
        <v>557</v>
      </c>
      <c r="F1835">
        <v>33371.46</v>
      </c>
      <c r="G1835" t="s">
        <v>2403</v>
      </c>
      <c r="H1835">
        <v>611.40564770000003</v>
      </c>
    </row>
    <row r="1836" spans="1:19">
      <c r="A1836" s="25" t="s">
        <v>580</v>
      </c>
      <c r="B1836" s="28">
        <f>SUM(B1834:B1835)</f>
        <v>335091.66500000004</v>
      </c>
      <c r="C1836" s="27">
        <f t="shared" si="29"/>
        <v>1.0000019845355441</v>
      </c>
      <c r="E1836" t="s">
        <v>560</v>
      </c>
      <c r="F1836">
        <v>33699.160000000003</v>
      </c>
      <c r="G1836" t="s">
        <v>2404</v>
      </c>
      <c r="H1836">
        <v>591.21772539999995</v>
      </c>
    </row>
    <row r="1837" spans="1:19">
      <c r="A1837" s="25" t="s">
        <v>424</v>
      </c>
      <c r="B1837" s="28">
        <v>12.904999999999999</v>
      </c>
      <c r="C1837" s="41">
        <f t="shared" si="29"/>
        <v>3.8511926610980299E-5</v>
      </c>
      <c r="G1837" t="s">
        <v>2405</v>
      </c>
      <c r="H1837">
        <v>644.60135449999996</v>
      </c>
    </row>
    <row r="1838" spans="1:19">
      <c r="A1838" s="25" t="s">
        <v>443</v>
      </c>
      <c r="B1838" s="28">
        <v>13.05</v>
      </c>
      <c r="C1838" s="41">
        <f t="shared" si="29"/>
        <v>3.8944644887508173E-5</v>
      </c>
    </row>
    <row r="1839" spans="1:19">
      <c r="A1839" s="25" t="s">
        <v>465</v>
      </c>
      <c r="B1839" s="28">
        <v>15.515000000000001</v>
      </c>
      <c r="C1839" s="41">
        <f t="shared" si="29"/>
        <v>4.6300855588481933E-5</v>
      </c>
    </row>
    <row r="1840" spans="1:19">
      <c r="A1840" s="25" t="s">
        <v>429</v>
      </c>
      <c r="B1840" s="28">
        <v>15.66</v>
      </c>
      <c r="C1840" s="41">
        <f t="shared" si="29"/>
        <v>4.6733573865009801E-5</v>
      </c>
    </row>
    <row r="1841" spans="1:3">
      <c r="A1841" s="25" t="s">
        <v>458</v>
      </c>
      <c r="B1841" s="28">
        <v>15.805</v>
      </c>
      <c r="C1841" s="41">
        <f t="shared" si="29"/>
        <v>4.7166292141537668E-5</v>
      </c>
    </row>
    <row r="1842" spans="1:3">
      <c r="A1842" s="25" t="s">
        <v>397</v>
      </c>
      <c r="B1842" s="28">
        <v>25.81</v>
      </c>
      <c r="C1842" s="41">
        <f t="shared" si="29"/>
        <v>7.7023853221960597E-5</v>
      </c>
    </row>
    <row r="1843" spans="1:3">
      <c r="A1843" s="25" t="s">
        <v>445</v>
      </c>
      <c r="B1843" s="28">
        <v>26.1</v>
      </c>
      <c r="C1843" s="41">
        <f t="shared" si="29"/>
        <v>7.7889289775016346E-5</v>
      </c>
    </row>
    <row r="1844" spans="1:3">
      <c r="A1844" s="25" t="s">
        <v>463</v>
      </c>
      <c r="B1844" s="28">
        <v>31.03</v>
      </c>
      <c r="C1844" s="41">
        <f t="shared" si="29"/>
        <v>9.2601711176963866E-5</v>
      </c>
    </row>
    <row r="1845" spans="1:3">
      <c r="A1845" s="25" t="s">
        <v>404</v>
      </c>
      <c r="B1845" s="28">
        <v>31.32</v>
      </c>
      <c r="C1845" s="41">
        <f t="shared" si="29"/>
        <v>9.3467147730019601E-5</v>
      </c>
    </row>
    <row r="1846" spans="1:3">
      <c r="A1846" s="25" t="s">
        <v>448</v>
      </c>
      <c r="B1846" s="28">
        <v>31.61</v>
      </c>
      <c r="C1846" s="41">
        <f t="shared" si="29"/>
        <v>9.4332584283075336E-5</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F4E0-AE81-445D-94A9-DF688D338408}">
  <dimension ref="B1:FG54"/>
  <sheetViews>
    <sheetView showGridLines="0" topLeftCell="B1" zoomScale="112" zoomScaleNormal="112" workbookViewId="0">
      <pane xSplit="1" ySplit="3" topLeftCell="C4" activePane="bottomRight" state="frozen"/>
      <selection activeCell="B1" sqref="B1"/>
      <selection pane="topRight" activeCell="C1" sqref="C1"/>
      <selection pane="bottomLeft" activeCell="B4" sqref="B4"/>
      <selection pane="bottomRight" activeCell="C4" sqref="C4"/>
    </sheetView>
  </sheetViews>
  <sheetFormatPr defaultColWidth="8.81640625" defaultRowHeight="14.5"/>
  <cols>
    <col min="1" max="1" width="1.453125" customWidth="1"/>
    <col min="2" max="2" width="10.453125" customWidth="1"/>
    <col min="3" max="74" width="12.1796875" customWidth="1"/>
    <col min="75" max="162" width="13" customWidth="1"/>
  </cols>
  <sheetData>
    <row r="1" spans="2:163">
      <c r="C1">
        <v>2013.18</v>
      </c>
      <c r="D1">
        <v>2090.61</v>
      </c>
      <c r="E1">
        <v>2090.61</v>
      </c>
      <c r="F1">
        <v>2077.7049999999999</v>
      </c>
      <c r="G1">
        <v>2090.61</v>
      </c>
      <c r="H1">
        <v>2090.61</v>
      </c>
      <c r="I1">
        <v>2090.61</v>
      </c>
      <c r="J1">
        <v>2193.85</v>
      </c>
      <c r="K1">
        <v>2090.61</v>
      </c>
      <c r="L1">
        <v>2116.42</v>
      </c>
      <c r="M1">
        <v>2286.0250000000001</v>
      </c>
      <c r="N1">
        <v>2090.61</v>
      </c>
      <c r="O1">
        <v>2286.0250000000001</v>
      </c>
      <c r="P1">
        <v>2090.61</v>
      </c>
      <c r="Q1">
        <v>2090.61</v>
      </c>
      <c r="R1">
        <v>2090.61</v>
      </c>
      <c r="S1">
        <v>2090.61</v>
      </c>
      <c r="T1">
        <v>2090.61</v>
      </c>
      <c r="U1">
        <v>2090.61</v>
      </c>
      <c r="V1">
        <v>2090.61</v>
      </c>
      <c r="W1">
        <v>2111.4899999999998</v>
      </c>
      <c r="X1">
        <v>2114.1</v>
      </c>
      <c r="Y1">
        <v>2061.9</v>
      </c>
      <c r="Z1">
        <v>2088</v>
      </c>
      <c r="AA1">
        <v>2088</v>
      </c>
      <c r="AB1">
        <v>1853.1</v>
      </c>
      <c r="AC1">
        <v>2111.4899999999998</v>
      </c>
      <c r="AD1">
        <v>2114.1</v>
      </c>
      <c r="AE1">
        <v>2114.1</v>
      </c>
      <c r="AF1">
        <v>2088</v>
      </c>
      <c r="AG1">
        <v>2061.9</v>
      </c>
      <c r="AH1">
        <v>2114.1</v>
      </c>
      <c r="AI1">
        <v>2090.61</v>
      </c>
      <c r="AJ1">
        <v>2090.61</v>
      </c>
      <c r="AK1">
        <v>2090.61</v>
      </c>
      <c r="AL1">
        <v>2090.61</v>
      </c>
      <c r="AM1">
        <v>2090.61</v>
      </c>
      <c r="AN1">
        <v>2090.61</v>
      </c>
      <c r="AO1">
        <v>2090.61</v>
      </c>
      <c r="AP1">
        <v>2090.61</v>
      </c>
      <c r="AQ1">
        <v>2234.16</v>
      </c>
      <c r="AR1">
        <v>2238.7200000000003</v>
      </c>
      <c r="AS1">
        <v>2203.13</v>
      </c>
      <c r="AT1">
        <v>2239.29</v>
      </c>
      <c r="AU1">
        <v>2350.6799999999998</v>
      </c>
      <c r="AV1">
        <v>2442.96</v>
      </c>
      <c r="AW1">
        <v>2223.4900000000002</v>
      </c>
      <c r="AX1">
        <v>2234.16</v>
      </c>
      <c r="AY1">
        <v>2210.16</v>
      </c>
      <c r="AZ1">
        <v>2209.7400000000002</v>
      </c>
      <c r="BA1">
        <v>2145.42</v>
      </c>
      <c r="BB1">
        <v>2004.48</v>
      </c>
      <c r="BC1">
        <v>2223.7199999999998</v>
      </c>
      <c r="BD1">
        <v>2181.7200000000003</v>
      </c>
      <c r="BE1">
        <v>2223.7199999999998</v>
      </c>
      <c r="BF1">
        <v>2225.96</v>
      </c>
      <c r="BG1">
        <v>1973.16</v>
      </c>
      <c r="BH1">
        <v>2270.84</v>
      </c>
      <c r="BI1">
        <v>1973.16</v>
      </c>
      <c r="BJ1">
        <v>2239.52</v>
      </c>
      <c r="BK1">
        <v>2223.7199999999998</v>
      </c>
      <c r="BL1">
        <v>1973.16</v>
      </c>
      <c r="BM1">
        <v>2192.4</v>
      </c>
      <c r="BN1">
        <v>2088</v>
      </c>
      <c r="BO1">
        <v>2102.0650000000001</v>
      </c>
      <c r="BP1">
        <v>1991.43</v>
      </c>
      <c r="BQ1">
        <v>2102.0650000000001</v>
      </c>
      <c r="BR1">
        <v>2212.6999999999998</v>
      </c>
      <c r="BS1">
        <v>2275.33</v>
      </c>
      <c r="BT1">
        <v>2023.04</v>
      </c>
      <c r="BU1">
        <v>2244.31</v>
      </c>
      <c r="BV1">
        <v>1959.82</v>
      </c>
      <c r="BW1">
        <v>2161.08</v>
      </c>
      <c r="BX1">
        <v>2129.7600000000002</v>
      </c>
      <c r="BY1">
        <v>1973.16</v>
      </c>
      <c r="BZ1">
        <v>2239.38</v>
      </c>
      <c r="CA1">
        <v>1941.84</v>
      </c>
      <c r="CB1">
        <v>2255.04</v>
      </c>
      <c r="CC1">
        <v>1973.16</v>
      </c>
      <c r="CD1">
        <v>2223.7199999999998</v>
      </c>
      <c r="CE1">
        <v>2023.04</v>
      </c>
      <c r="CF1" s="142">
        <v>2196.5949999999998</v>
      </c>
      <c r="CG1">
        <v>2054.65</v>
      </c>
      <c r="CH1">
        <v>2275.92</v>
      </c>
      <c r="CI1">
        <v>2023.04</v>
      </c>
      <c r="CJ1">
        <v>2181.09</v>
      </c>
      <c r="CK1">
        <v>2023.04</v>
      </c>
      <c r="CL1">
        <v>1785.9649999999999</v>
      </c>
      <c r="CM1">
        <v>2192.4</v>
      </c>
      <c r="CN1">
        <v>2129.7600000000002</v>
      </c>
      <c r="CO1">
        <v>1941.84</v>
      </c>
      <c r="CP1">
        <v>2255.04</v>
      </c>
      <c r="CQ1">
        <v>2192.4</v>
      </c>
      <c r="CR1">
        <v>2004.48</v>
      </c>
      <c r="CS1">
        <v>2004.48</v>
      </c>
      <c r="CT1">
        <v>2208.06</v>
      </c>
      <c r="CU1">
        <v>1957.5</v>
      </c>
      <c r="CV1">
        <v>2035.8</v>
      </c>
      <c r="CW1">
        <v>2239.38</v>
      </c>
      <c r="CX1">
        <v>1941.84</v>
      </c>
      <c r="CY1">
        <v>2255.04</v>
      </c>
      <c r="CZ1">
        <v>1941.84</v>
      </c>
      <c r="DA1">
        <v>2192.4</v>
      </c>
      <c r="DB1">
        <v>2004.48</v>
      </c>
      <c r="DC1">
        <v>2223.7199999999998</v>
      </c>
      <c r="DD1">
        <v>1910.52</v>
      </c>
      <c r="DE1">
        <v>2223.7199999999998</v>
      </c>
      <c r="DF1">
        <v>2004.48</v>
      </c>
      <c r="DG1">
        <v>2192.4</v>
      </c>
      <c r="DH1">
        <v>2004.48</v>
      </c>
      <c r="DI1">
        <v>2192.4</v>
      </c>
      <c r="DJ1">
        <v>2004.48</v>
      </c>
      <c r="DK1">
        <v>1973.15</v>
      </c>
      <c r="DL1">
        <v>2192.4</v>
      </c>
      <c r="DM1">
        <v>2004.48</v>
      </c>
      <c r="DN1">
        <v>1941.84</v>
      </c>
      <c r="DO1">
        <v>2208.06</v>
      </c>
      <c r="DP1">
        <v>2223.7199999999998</v>
      </c>
      <c r="DQ1">
        <v>2192.4</v>
      </c>
      <c r="DR1">
        <v>2004.48</v>
      </c>
      <c r="DS1">
        <v>2223.7199999999998</v>
      </c>
      <c r="DT1">
        <v>1973.16</v>
      </c>
      <c r="DU1">
        <v>2129.7600000000002</v>
      </c>
      <c r="DV1">
        <v>1973.16</v>
      </c>
      <c r="DW1">
        <v>2098.44</v>
      </c>
      <c r="DX1">
        <v>1847.88</v>
      </c>
      <c r="DY1">
        <v>2161.08</v>
      </c>
      <c r="DZ1">
        <v>1973.16</v>
      </c>
      <c r="EA1">
        <v>2004.48</v>
      </c>
      <c r="EB1">
        <v>2004.48</v>
      </c>
      <c r="EC1">
        <v>1988.82</v>
      </c>
      <c r="ED1">
        <v>1722.6</v>
      </c>
      <c r="EE1">
        <v>1973.16</v>
      </c>
      <c r="EF1">
        <v>1753.92</v>
      </c>
      <c r="EG1">
        <v>2004.48</v>
      </c>
      <c r="EH1">
        <v>2004.48</v>
      </c>
      <c r="EI1">
        <v>2255.04</v>
      </c>
      <c r="EJ1">
        <v>1941.84</v>
      </c>
      <c r="EK1">
        <v>2255.04</v>
      </c>
      <c r="EL1">
        <v>1973.16</v>
      </c>
      <c r="EM1">
        <v>2223.7199999999998</v>
      </c>
      <c r="EN1">
        <v>1973.16</v>
      </c>
      <c r="EO1">
        <v>2004.48</v>
      </c>
      <c r="EP1">
        <v>2004.48</v>
      </c>
      <c r="EQ1">
        <v>2161.08</v>
      </c>
      <c r="ER1">
        <v>2255.04</v>
      </c>
      <c r="ES1">
        <v>2223.7199999999998</v>
      </c>
      <c r="ET1">
        <v>2223.7199999999998</v>
      </c>
      <c r="EU1">
        <v>2223.7199999999998</v>
      </c>
      <c r="EV1">
        <v>2255.04</v>
      </c>
      <c r="EW1">
        <v>2004.48</v>
      </c>
      <c r="EX1">
        <v>2223.7199999999998</v>
      </c>
      <c r="EY1">
        <v>2239.38</v>
      </c>
      <c r="EZ1">
        <v>2255.04</v>
      </c>
      <c r="FA1">
        <v>2255.04</v>
      </c>
      <c r="FB1">
        <v>2255.04</v>
      </c>
      <c r="FC1">
        <v>2255.04</v>
      </c>
      <c r="FD1">
        <v>2004.48</v>
      </c>
      <c r="FE1">
        <v>2255.04</v>
      </c>
      <c r="FF1">
        <v>2004.48</v>
      </c>
      <c r="FG1">
        <f>SUM(C1:FF1)</f>
        <v>337338.84499999956</v>
      </c>
    </row>
    <row r="2" spans="2:163">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268</v>
      </c>
    </row>
    <row r="3" spans="2:163">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c r="FG3" s="5" t="s">
        <v>2407</v>
      </c>
    </row>
    <row r="4" spans="2:163">
      <c r="B4" s="104">
        <f>Dashboard!B3-31</f>
        <v>45827</v>
      </c>
      <c r="C4" s="87">
        <f>VLOOKUP($B4,Raw_Data[#All],C$2,0)/C$1</f>
        <v>5.2285935683843467</v>
      </c>
      <c r="D4" s="87">
        <f>VLOOKUP($B4,Raw_Data[#All],D$2,0)/D$1</f>
        <v>5.2029312018980098</v>
      </c>
      <c r="E4" s="87">
        <f>VLOOKUP($B4,Raw_Data[#All],E$2,0)/E$1</f>
        <v>5.2409583805683502</v>
      </c>
      <c r="F4" s="87">
        <f>VLOOKUP($B4,Raw_Data[#All],F$2,0)/F$1</f>
        <v>5.2391460770417364</v>
      </c>
      <c r="G4" s="87">
        <f>VLOOKUP($B4,Raw_Data[#All],G$2,0)/G$1</f>
        <v>5.3072069874342889</v>
      </c>
      <c r="H4" s="87">
        <f>VLOOKUP($B4,Raw_Data[#All],H$2,0)/H$1</f>
        <v>5.3085941423794969</v>
      </c>
      <c r="I4" s="87">
        <f>VLOOKUP($B4,Raw_Data[#All],I$2,0)/I$1</f>
        <v>5.2580825692022897</v>
      </c>
      <c r="J4" s="87">
        <f>VLOOKUP($B4,Raw_Data[#All],J$2,0)/J$1</f>
        <v>5.0995738086013178</v>
      </c>
      <c r="K4" s="87">
        <f>VLOOKUP($B4,Raw_Data[#All],K$2,0)/K$1</f>
        <v>5.2457416734828586</v>
      </c>
      <c r="L4" s="87">
        <f>VLOOKUP($B4,Raw_Data[#All],L$2,0)/L$1</f>
        <v>5.167405335424915</v>
      </c>
      <c r="M4" s="87">
        <f>VLOOKUP($B4,Raw_Data[#All],M$2,0)/M$1</f>
        <v>4.8988528121958419</v>
      </c>
      <c r="N4" s="87">
        <f>VLOOKUP($B4,Raw_Data[#All],N$2,0)/N$1</f>
        <v>5.1408440598676934</v>
      </c>
      <c r="O4" s="87">
        <f>VLOOKUP($B4,Raw_Data[#All],O$2,0)/O$1</f>
        <v>5.1163045023567104</v>
      </c>
      <c r="P4" s="87">
        <f>VLOOKUP($B4,Raw_Data[#All],P$2,0)/P$1</f>
        <v>5.1629428731327218</v>
      </c>
      <c r="Q4" s="87">
        <f>VLOOKUP($B4,Raw_Data[#All],Q$2,0)/Q$1</f>
        <v>5.2698973027011249</v>
      </c>
      <c r="R4" s="87">
        <f>VLOOKUP($B4,Raw_Data[#All],R$2,0)/R$1</f>
        <v>5.3025671933072163</v>
      </c>
      <c r="S4" s="87">
        <f>VLOOKUP($B4,Raw_Data[#All],S$2,0)/S$1</f>
        <v>5.2364142522995678</v>
      </c>
      <c r="T4" s="87">
        <f>VLOOKUP($B4,Raw_Data[#All],T$2,0)/T$1</f>
        <v>5.2327789496845423</v>
      </c>
      <c r="U4" s="87">
        <f>VLOOKUP($B4,Raw_Data[#All],U$2,0)/U$1</f>
        <v>5.2232123638555255</v>
      </c>
      <c r="V4" s="87">
        <f>VLOOKUP($B4,Raw_Data[#All],V$2,0)/V$1</f>
        <v>5.2589913948560465</v>
      </c>
      <c r="W4" s="87">
        <f>VLOOKUP($B4,Raw_Data[#All],W$2,0)/W$1</f>
        <v>5.1695248379106697</v>
      </c>
      <c r="X4" s="87">
        <f>VLOOKUP($B4,Raw_Data[#All],X$2,0)/X$1</f>
        <v>5.1626223925074495</v>
      </c>
      <c r="Y4" s="87">
        <f>VLOOKUP($B4,Raw_Data[#All],Y$2,0)/Y$1</f>
        <v>5.2407488239002857</v>
      </c>
      <c r="Z4" s="87">
        <f>VLOOKUP($B4,Raw_Data[#All],Z$2,0)/Z$1</f>
        <v>5.197126436781609</v>
      </c>
      <c r="AA4" s="87">
        <f>VLOOKUP($B4,Raw_Data[#All],AA$2,0)/AA$1</f>
        <v>5.1293103448275863</v>
      </c>
      <c r="AB4" s="87">
        <f>VLOOKUP($B4,Raw_Data[#All],AB$2,0)/AB$1</f>
        <v>5.2613998165236628</v>
      </c>
      <c r="AC4" s="87">
        <f>VLOOKUP($B4,Raw_Data[#All],AC$2,0)/AC$1</f>
        <v>5.0682219664786485</v>
      </c>
      <c r="AD4" s="87">
        <f>VLOOKUP($B4,Raw_Data[#All],AD$2,0)/AD$1</f>
        <v>5.0520788988221943</v>
      </c>
      <c r="AE4" s="87">
        <f>VLOOKUP($B4,Raw_Data[#All],AE$2,0)/AE$1</f>
        <v>5.1593585923087844</v>
      </c>
      <c r="AF4" s="87">
        <f>VLOOKUP($B4,Raw_Data[#All],AF$2,0)/AF$1</f>
        <v>5.148994252873563</v>
      </c>
      <c r="AG4" s="87">
        <f>VLOOKUP($B4,Raw_Data[#All],AG$2,0)/AG$1</f>
        <v>5.2424462874048201</v>
      </c>
      <c r="AH4" s="87">
        <f>VLOOKUP($B4,Raw_Data[#All],AH$2,0)/AH$1</f>
        <v>5.1783264746227715</v>
      </c>
      <c r="AI4" s="87">
        <f>VLOOKUP($B4,Raw_Data[#All],AI$2,0)/AI$1</f>
        <v>5.6312750823922197</v>
      </c>
      <c r="AJ4" s="87">
        <f>VLOOKUP($B4,Raw_Data[#All],AJ$2,0)/AJ$1</f>
        <v>5.6207040050511576</v>
      </c>
      <c r="AK4" s="87">
        <f>VLOOKUP($B4,Raw_Data[#All],AK$2,0)/AK$1</f>
        <v>5.6614576606827667</v>
      </c>
      <c r="AL4" s="87">
        <f>VLOOKUP($B4,Raw_Data[#All],AL$2,0)/AL$1</f>
        <v>5.6031493200549116</v>
      </c>
      <c r="AM4" s="87">
        <f>VLOOKUP($B4,Raw_Data[#All],AM$2,0)/AM$1</f>
        <v>5.2560735861781964</v>
      </c>
      <c r="AN4" s="87">
        <f>VLOOKUP($B4,Raw_Data[#All],AN$2,0)/AN$1</f>
        <v>5.1734661175446401</v>
      </c>
      <c r="AO4" s="87">
        <f>VLOOKUP($B4,Raw_Data[#All],AO$2,0)/AO$1</f>
        <v>5.2422020367261224</v>
      </c>
      <c r="AP4" s="87">
        <f>VLOOKUP($B4,Raw_Data[#All],AP$2,0)/AP$1</f>
        <v>5.2306743008021579</v>
      </c>
      <c r="AQ4" s="87">
        <f>VLOOKUP($B4,Raw_Data[#All],AQ$2,0)/AQ$1</f>
        <v>5.279031045225052</v>
      </c>
      <c r="AR4" s="87">
        <f>VLOOKUP($B4,Raw_Data[#All],AR$2,0)/AR$1</f>
        <v>4.8481721698113205</v>
      </c>
      <c r="AS4" s="87">
        <f>VLOOKUP($B4,Raw_Data[#All],AS$2,0)/AS$1</f>
        <v>5.3004135026076531</v>
      </c>
      <c r="AT4" s="87">
        <f>VLOOKUP($B4,Raw_Data[#All],AT$2,0)/AT$1</f>
        <v>4.8078632066413913</v>
      </c>
      <c r="AU4" s="87">
        <f>VLOOKUP($B4,Raw_Data[#All],AU$2,0)/AU$1</f>
        <v>4.7673439175047223</v>
      </c>
      <c r="AV4" s="87">
        <f>VLOOKUP($B4,Raw_Data[#All],AV$2,0)/AV$1</f>
        <v>4.9831352130202706</v>
      </c>
      <c r="AW4" s="87">
        <f>VLOOKUP($B4,Raw_Data[#All],AW$2,0)/AW$1</f>
        <v>4.8130191725620532</v>
      </c>
      <c r="AX4" s="87">
        <f>VLOOKUP($B4,Raw_Data[#All],AX$2,0)/AX$1</f>
        <v>5.2804185913273889</v>
      </c>
      <c r="AY4" s="87">
        <f>VLOOKUP($B4,Raw_Data[#All],AY$2,0)/AY$1</f>
        <v>4.9050747457197676</v>
      </c>
      <c r="AZ4" s="87">
        <f>VLOOKUP($B4,Raw_Data[#All],AZ$2,0)/AZ$1</f>
        <v>5.002986776724863</v>
      </c>
      <c r="BA4" s="87">
        <f>VLOOKUP($B4,Raw_Data[#All],BA$2,0)/BA$1</f>
        <v>5.0337463060845895</v>
      </c>
      <c r="BB4" s="87">
        <f>VLOOKUP($B4,Raw_Data[#All],BB$2,0)/BB$1</f>
        <v>5.1442768199233715</v>
      </c>
      <c r="BC4" s="87">
        <f>VLOOKUP($B4,Raw_Data[#All],BC$2,0)/BC$1</f>
        <v>5.0734804741604167</v>
      </c>
      <c r="BD4" s="87">
        <f>VLOOKUP($B4,Raw_Data[#All],BD$2,0)/BD$1</f>
        <v>5.1014795665804957</v>
      </c>
      <c r="BE4" s="87">
        <f>VLOOKUP($B4,Raw_Data[#All],BE$2,0)/BE$1</f>
        <v>5.0319284802043427</v>
      </c>
      <c r="BF4" s="87">
        <f>VLOOKUP($B4,Raw_Data[#All],BF$2,0)/BF$1</f>
        <v>4.9827490161548269</v>
      </c>
      <c r="BG4" s="87">
        <f>VLOOKUP($B4,Raw_Data[#All],BG$2,0)/BG$1</f>
        <v>5.2035820713981629</v>
      </c>
      <c r="BH4" s="87">
        <f>VLOOKUP($B4,Raw_Data[#All],BH$2,0)/BH$1</f>
        <v>5.0081027285057509</v>
      </c>
      <c r="BI4" s="87">
        <f>VLOOKUP($B4,Raw_Data[#All],BI$2,0)/BI$1</f>
        <v>5.2613574165298305</v>
      </c>
      <c r="BJ4" s="87">
        <f>VLOOKUP($B4,Raw_Data[#All],BJ$2,0)/BJ$1</f>
        <v>5.0662641994713153</v>
      </c>
      <c r="BK4" s="87">
        <f>VLOOKUP($B4,Raw_Data[#All],BK$2,0)/BK$1</f>
        <v>5.0781123522745668</v>
      </c>
      <c r="BL4" s="87">
        <f>VLOOKUP($B4,Raw_Data[#All],BL$2,0)/BL$1</f>
        <v>5.2444809341361065</v>
      </c>
      <c r="BM4" s="87">
        <f>VLOOKUP($B4,Raw_Data[#All],BM$2,0)/BM$1</f>
        <v>5.0262269658821381</v>
      </c>
      <c r="BN4" s="87">
        <f>VLOOKUP($B4,Raw_Data[#All],BN$2,0)/BN$1</f>
        <v>5.0910919540229891</v>
      </c>
      <c r="BO4" s="87">
        <f>VLOOKUP($B4,Raw_Data[#All],BO$2,0)/BO$1</f>
        <v>5.1024112004148305</v>
      </c>
      <c r="BP4" s="87">
        <f>VLOOKUP($B4,Raw_Data[#All],BP$2,0)/BP$1</f>
        <v>5.1605630125085993</v>
      </c>
      <c r="BQ4" s="87">
        <f>VLOOKUP($B4,Raw_Data[#All],BQ$2,0)/BQ$1</f>
        <v>5.0800522343505081</v>
      </c>
      <c r="BR4" s="87">
        <f>VLOOKUP($B4,Raw_Data[#All],BR$2,0)/BR$1</f>
        <v>4.9941248248745884</v>
      </c>
      <c r="BS4" s="87">
        <f>VLOOKUP($B4,Raw_Data[#All],BS$2,0)/BS$1</f>
        <v>4.9557207086444608</v>
      </c>
      <c r="BT4" s="87">
        <f>VLOOKUP($B4,Raw_Data[#All],BT$2,0)/BT$1</f>
        <v>5.1420139987345781</v>
      </c>
      <c r="BU4" s="87">
        <f>VLOOKUP($B4,Raw_Data[#All],BU$2,0)/BU$1</f>
        <v>4.9711492619112327</v>
      </c>
      <c r="BV4" s="87">
        <f>VLOOKUP($B4,Raw_Data[#All],BV$2,0)/BV$1</f>
        <v>5.1757814493167746</v>
      </c>
      <c r="BW4" s="87">
        <f>VLOOKUP($B4,Raw_Data[#All],BW$2,0)/BW$1</f>
        <v>5.0583504544024285</v>
      </c>
      <c r="BX4" s="87">
        <f>VLOOKUP($B4,Raw_Data[#All],BX$2,0)/BX$1</f>
        <v>5.0632465629930126</v>
      </c>
      <c r="BY4" s="87">
        <f>VLOOKUP($B4,Raw_Data[#All],BY$2,0)/BY$1</f>
        <v>5.2443288937541803</v>
      </c>
      <c r="BZ4" s="87">
        <f>VLOOKUP($B4,Raw_Data[#All],BZ$2,0)/BZ$1</f>
        <v>4.989550679205851</v>
      </c>
      <c r="CA4" s="87">
        <f>VLOOKUP($B4,Raw_Data[#All],CA$2,0)/CA$1</f>
        <v>5.2654698636344914</v>
      </c>
      <c r="CB4" s="87">
        <f>VLOOKUP($B4,Raw_Data[#All],CB$2,0)/CB$1</f>
        <v>5.0546775223499365</v>
      </c>
      <c r="CC4" s="87">
        <f>VLOOKUP($B4,Raw_Data[#All],CC$2,0)/CC$1</f>
        <v>5.276814855358916</v>
      </c>
      <c r="CD4" s="87">
        <f>VLOOKUP($B4,Raw_Data[#All],CD$2,0)/CD$1</f>
        <v>5.0578310218912463</v>
      </c>
      <c r="CE4" s="87">
        <f>VLOOKUP($B4,Raw_Data[#All],CE$2,0)/CE$1</f>
        <v>5.1670752926289154</v>
      </c>
      <c r="CF4" s="87">
        <f>VLOOKUP($B4,Raw_Data[#All],CF$2,0)/CF$1</f>
        <v>5.0285100348493925</v>
      </c>
      <c r="CG4" s="87">
        <f>VLOOKUP($B4,Raw_Data[#All],CG$2,0)/CG$1</f>
        <v>5.123062322049984</v>
      </c>
      <c r="CH4" s="87">
        <f>VLOOKUP($B4,Raw_Data[#All],CH$2,0)/CH$1</f>
        <v>4.9826004428978168</v>
      </c>
      <c r="CI4" s="87">
        <f>VLOOKUP($B4,Raw_Data[#All],CI$2,0)/CI$1</f>
        <v>5.1617367921543815</v>
      </c>
      <c r="CJ4" s="87">
        <f>VLOOKUP($B4,Raw_Data[#All],CJ$2,0)/CJ$1</f>
        <v>5.0167118275724514</v>
      </c>
      <c r="CK4" s="87">
        <f>VLOOKUP($B4,Raw_Data[#All],CK$2,0)/CK$1</f>
        <v>5.130002372666878</v>
      </c>
      <c r="CL4" s="87">
        <f>VLOOKUP($B4,Raw_Data[#All],CL$2,0)/CL$1</f>
        <v>5.2614692897117239</v>
      </c>
      <c r="CM4" s="87">
        <f>VLOOKUP($B4,Raw_Data[#All],CM$2,0)/CM$1</f>
        <v>5.0752599890530927</v>
      </c>
      <c r="CN4" s="87">
        <f>VLOOKUP($B4,Raw_Data[#All],CN$2,0)/CN$1</f>
        <v>5.0694444444444446</v>
      </c>
      <c r="CO4" s="87">
        <f>VLOOKUP($B4,Raw_Data[#All],CO$2,0)/CO$1</f>
        <v>5.2711345939933265</v>
      </c>
      <c r="CP4" s="87">
        <f>VLOOKUP($B4,Raw_Data[#All],CP$2,0)/CP$1</f>
        <v>5.0783134667234284</v>
      </c>
      <c r="CQ4" s="87">
        <f>VLOOKUP($B4,Raw_Data[#All],CQ$2,0)/CQ$1</f>
        <v>5.1087392811530741</v>
      </c>
      <c r="CR4" s="87">
        <f>VLOOKUP($B4,Raw_Data[#All],CR$2,0)/CR$1</f>
        <v>5.2916467113665391</v>
      </c>
      <c r="CS4" s="87">
        <f>VLOOKUP($B4,Raw_Data[#All],CS$2,0)/CS$1</f>
        <v>5.2520853288633464</v>
      </c>
      <c r="CT4" s="87">
        <f>VLOOKUP($B4,Raw_Data[#All],CT$2,0)/CT$1</f>
        <v>5.1134480041303227</v>
      </c>
      <c r="CU4" s="87">
        <f>VLOOKUP($B4,Raw_Data[#All],CU$2,0)/CU$1</f>
        <v>5.3156577266922094</v>
      </c>
      <c r="CV4" s="87">
        <f>VLOOKUP($B4,Raw_Data[#All],CV$2,0)/CV$1</f>
        <v>5.2615188132429509</v>
      </c>
      <c r="CW4" s="87">
        <f>VLOOKUP($B4,Raw_Data[#All],CW$2,0)/CW$1</f>
        <v>5.1036447588171727</v>
      </c>
      <c r="CX4" s="87">
        <f>VLOOKUP($B4,Raw_Data[#All],CX$2,0)/CX$1</f>
        <v>5.3394718411403614</v>
      </c>
      <c r="CY4" s="87">
        <f>VLOOKUP($B4,Raw_Data[#All],CY$2,0)/CY$1</f>
        <v>5.0499325954306791</v>
      </c>
      <c r="CZ4" s="87">
        <f>VLOOKUP($B4,Raw_Data[#All],CZ$2,0)/CZ$1</f>
        <v>5.3172763976434716</v>
      </c>
      <c r="DA4" s="87">
        <f>VLOOKUP($B4,Raw_Data[#All],DA$2,0)/DA$1</f>
        <v>5.0880769932494072</v>
      </c>
      <c r="DB4" s="87">
        <f>VLOOKUP($B4,Raw_Data[#All],DB$2,0)/DB$1</f>
        <v>5.2476951628352486</v>
      </c>
      <c r="DC4" s="87">
        <f>VLOOKUP($B4,Raw_Data[#All],DC$2,0)/DC$1</f>
        <v>5.0321083589660569</v>
      </c>
      <c r="DD4" s="87">
        <f>VLOOKUP($B4,Raw_Data[#All],DD$2,0)/DD$1</f>
        <v>5.2815463852773066</v>
      </c>
      <c r="DE4" s="87">
        <f>VLOOKUP($B4,Raw_Data[#All],DE$2,0)/DE$1</f>
        <v>5.0562570827262432</v>
      </c>
      <c r="DF4" s="87">
        <f>VLOOKUP($B4,Raw_Data[#All],DF$2,0)/DF$1</f>
        <v>5.2011494252873565</v>
      </c>
      <c r="DG4" s="87">
        <f>VLOOKUP($B4,Raw_Data[#All],DG$2,0)/DG$1</f>
        <v>5.0651797117314352</v>
      </c>
      <c r="DH4" s="87">
        <f>VLOOKUP($B4,Raw_Data[#All],DH$2,0)/DH$1</f>
        <v>5.1730124521072804</v>
      </c>
      <c r="DI4" s="87">
        <f>VLOOKUP($B4,Raw_Data[#All],DI$2,0)/DI$1</f>
        <v>5.1091954022988499</v>
      </c>
      <c r="DJ4" s="87">
        <f>VLOOKUP($B4,Raw_Data[#All],DJ$2,0)/DJ$1</f>
        <v>5.2854106800766285</v>
      </c>
      <c r="DK4" s="87">
        <f>VLOOKUP($B4,Raw_Data[#All],DK$2,0)/DK$1</f>
        <v>5.2751184653979672</v>
      </c>
      <c r="DL4" s="87">
        <f>VLOOKUP($B4,Raw_Data[#All],DL$2,0)/DL$1</f>
        <v>5.104816639299397</v>
      </c>
      <c r="DM4" s="87">
        <f>VLOOKUP($B4,Raw_Data[#All],DM$2,0)/DM$1</f>
        <v>5.2294360632183903</v>
      </c>
      <c r="DN4" s="87">
        <f>VLOOKUP($B4,Raw_Data[#All],DN$2,0)/DN$1</f>
        <v>5.3258249907304416</v>
      </c>
      <c r="DO4" s="87">
        <f>VLOOKUP($B4,Raw_Data[#All],DO$2,0)/DO$1</f>
        <v>5.0885392607084947</v>
      </c>
      <c r="DP4" s="87">
        <f>VLOOKUP($B4,Raw_Data[#All],DP$2,0)/DP$1</f>
        <v>5.0731207166369874</v>
      </c>
      <c r="DQ4" s="87">
        <f>VLOOKUP($B4,Raw_Data[#All],DQ$2,0)/DQ$1</f>
        <v>5.0795475278233893</v>
      </c>
      <c r="DR4" s="87">
        <f>VLOOKUP($B4,Raw_Data[#All],DR$2,0)/DR$1</f>
        <v>5.2211047254150706</v>
      </c>
      <c r="DS4" s="87">
        <f>VLOOKUP($B4,Raw_Data[#All],DS$2,0)/DS$1</f>
        <v>5.0484773262820859</v>
      </c>
      <c r="DT4" s="87">
        <f>VLOOKUP($B4,Raw_Data[#All],DT$2,0)/DT$1</f>
        <v>5.2533499564150903</v>
      </c>
      <c r="DU4" s="87">
        <f>VLOOKUP($B4,Raw_Data[#All],DU$2,0)/DU$1</f>
        <v>5.1660280970625791</v>
      </c>
      <c r="DV4" s="87">
        <f>VLOOKUP($B4,Raw_Data[#All],DV$2,0)/DV$1</f>
        <v>5.3010399562123691</v>
      </c>
      <c r="DW4" s="87">
        <f>VLOOKUP($B4,Raw_Data[#All],DW$2,0)/DW$1</f>
        <v>5.2031509121061355</v>
      </c>
      <c r="DX4" s="87">
        <f>VLOOKUP($B4,Raw_Data[#All],DX$2,0)/DX$1</f>
        <v>5.3985107258047051</v>
      </c>
      <c r="DY4" s="87">
        <f>VLOOKUP($B4,Raw_Data[#All],DY$2,0)/DY$1</f>
        <v>5.1159605382493938</v>
      </c>
      <c r="DZ4" s="87">
        <f>VLOOKUP($B4,Raw_Data[#All],DZ$2,0)/DZ$1</f>
        <v>5.2923736544426205</v>
      </c>
      <c r="EA4" s="87">
        <f>VLOOKUP($B4,Raw_Data[#All],EA$2,0)/EA$1</f>
        <v>5.4807231800766285</v>
      </c>
      <c r="EB4" s="87">
        <f>VLOOKUP($B4,Raw_Data[#All],EB$2,0)/EB$1</f>
        <v>5.5201348978288634</v>
      </c>
      <c r="EC4" s="87">
        <f>VLOOKUP($B4,Raw_Data[#All],EC$2,0)/EC$1</f>
        <v>5.2256614474914773</v>
      </c>
      <c r="ED4" s="87">
        <f>VLOOKUP($B4,Raw_Data[#All],ED$2,0)/ED$1</f>
        <v>5.4229072332520607</v>
      </c>
      <c r="EE4" s="87">
        <f>VLOOKUP($B4,Raw_Data[#All],EE$2,0)/EE$1</f>
        <v>5.2080926027286178</v>
      </c>
      <c r="EF4" s="87">
        <f>VLOOKUP($B4,Raw_Data[#All],EF$2,0)/EF$1</f>
        <v>5.4516169494617772</v>
      </c>
      <c r="EG4" s="87">
        <f>VLOOKUP($B4,Raw_Data[#All],EG$2,0)/EG$1</f>
        <v>5.2407606960408684</v>
      </c>
      <c r="EH4" s="87">
        <f>VLOOKUP($B4,Raw_Data[#All],EH$2,0)/EH$1</f>
        <v>5.2559766123882499</v>
      </c>
      <c r="EI4" s="87">
        <f>VLOOKUP($B4,Raw_Data[#All],EI$2,0)/EI$1</f>
        <v>5.2339204626082028</v>
      </c>
      <c r="EJ4" s="87">
        <f>VLOOKUP($B4,Raw_Data[#All],EJ$2,0)/EJ$1</f>
        <v>5.482789519218886</v>
      </c>
      <c r="EK4" s="87">
        <f>VLOOKUP($B4,Raw_Data[#All],EK$2,0)/EK$1</f>
        <v>5.2706382148431956</v>
      </c>
      <c r="EL4" s="87">
        <f>VLOOKUP($B4,Raw_Data[#All],EL$2,0)/EL$1</f>
        <v>5.4999087757708445</v>
      </c>
      <c r="EM4" s="87">
        <f>VLOOKUP($B4,Raw_Data[#All],EM$2,0)/EM$1</f>
        <v>5.2100983936826584</v>
      </c>
      <c r="EN4" s="87">
        <f>VLOOKUP($B4,Raw_Data[#All],EN$2,0)/EN$1</f>
        <v>5.4162358855845447</v>
      </c>
      <c r="EO4" s="87">
        <f>VLOOKUP($B4,Raw_Data[#All],EO$2,0)/EO$1</f>
        <v>5.4126257183908049</v>
      </c>
      <c r="EP4" s="87">
        <f>VLOOKUP($B4,Raw_Data[#All],EP$2,0)/EP$1</f>
        <v>5.3183868135376757</v>
      </c>
      <c r="EQ4" s="87">
        <f>VLOOKUP($B4,Raw_Data[#All],EQ$2,0)/EQ$1</f>
        <v>5.3057267662465071</v>
      </c>
      <c r="ER4" s="87">
        <f>VLOOKUP($B4,Raw_Data[#All],ER$2,0)/ER$1</f>
        <v>5.2340978430537817</v>
      </c>
      <c r="ES4" s="87">
        <f>VLOOKUP($B4,Raw_Data[#All],ES$2,0)/ES$1</f>
        <v>5.2725163239976265</v>
      </c>
      <c r="ET4" s="87">
        <f>VLOOKUP($B4,Raw_Data[#All],ET$2,0)/ET$1</f>
        <v>5.2531343874228771</v>
      </c>
      <c r="EU4" s="87">
        <f>VLOOKUP($B4,Raw_Data[#All],EU$2,0)/EU$1</f>
        <v>5.2611389923191769</v>
      </c>
      <c r="EV4" s="87">
        <f>VLOOKUP($B4,Raw_Data[#All],EV$2,0)/EV$1</f>
        <v>5.2194196111820634</v>
      </c>
      <c r="EW4" s="87">
        <f>VLOOKUP($B4,Raw_Data[#All],EW$2,0)/EW$1</f>
        <v>5.4583732439335888</v>
      </c>
      <c r="EX4" s="87">
        <f>VLOOKUP($B4,Raw_Data[#All],EX$2,0)/EX$1</f>
        <v>5.2952709873545238</v>
      </c>
      <c r="EY4" s="87">
        <f>VLOOKUP($B4,Raw_Data[#All],EY$2,0)/EY$1</f>
        <v>5.2468540399574879</v>
      </c>
      <c r="EZ4" s="87">
        <f>VLOOKUP($B4,Raw_Data[#All],EZ$2,0)/EZ$1</f>
        <v>5.2144086135944381</v>
      </c>
      <c r="FA4" s="87">
        <f>VLOOKUP($B4,Raw_Data[#All],FA$2,0)/FA$1</f>
        <v>5.2176901518376617</v>
      </c>
      <c r="FB4" s="87">
        <f>VLOOKUP($B4,Raw_Data[#All],FB$2,0)/FB$1</f>
        <v>5.2156059316021004</v>
      </c>
      <c r="FC4" s="87">
        <f>VLOOKUP($B4,Raw_Data[#All],FC$2,0)/FC$1</f>
        <v>5.2266035192280409</v>
      </c>
      <c r="FD4" s="87">
        <f>VLOOKUP($B4,Raw_Data[#All],FD$2,0)/FD$1</f>
        <v>5.4087344348659006</v>
      </c>
      <c r="FE4" s="87">
        <f>VLOOKUP($B4,Raw_Data[#All],FE$2,0)/FE$1</f>
        <v>5.24624840357599</v>
      </c>
      <c r="FF4" s="87">
        <f>VLOOKUP($B4,Raw_Data[#All],FF$2,0)/FF$1</f>
        <v>5.4450530810983393</v>
      </c>
      <c r="FG4" s="105">
        <f>VLOOKUP($B4,Raw_Data[#All],FG$2,0)/FG$1</f>
        <v>5.1880028817908643</v>
      </c>
    </row>
    <row r="5" spans="2:163">
      <c r="B5" s="104">
        <f>B4+1</f>
        <v>45828</v>
      </c>
      <c r="C5" s="87">
        <f>VLOOKUP($B5,Raw_Data[#All],C$2,0)/C$1</f>
        <v>5.3221271818714664</v>
      </c>
      <c r="D5" s="87">
        <f>VLOOKUP($B5,Raw_Data[#All],D$2,0)/D$1</f>
        <v>5.405216659252563</v>
      </c>
      <c r="E5" s="87">
        <f>VLOOKUP($B5,Raw_Data[#All],E$2,0)/E$1</f>
        <v>5.3874228096105918</v>
      </c>
      <c r="F5" s="87">
        <f>VLOOKUP($B5,Raw_Data[#All],F$2,0)/F$1</f>
        <v>5.3749208862663371</v>
      </c>
      <c r="G5" s="87">
        <f>VLOOKUP($B5,Raw_Data[#All],G$2,0)/G$1</f>
        <v>5.4364037290551552</v>
      </c>
      <c r="H5" s="87">
        <f>VLOOKUP($B5,Raw_Data[#All],H$2,0)/H$1</f>
        <v>5.4657253146210918</v>
      </c>
      <c r="I5" s="87">
        <f>VLOOKUP($B5,Raw_Data[#All],I$2,0)/I$1</f>
        <v>5.4999258589598252</v>
      </c>
      <c r="J5" s="87">
        <f>VLOOKUP($B5,Raw_Data[#All],J$2,0)/J$1</f>
        <v>5.3805410579574726</v>
      </c>
      <c r="K5" s="87">
        <f>VLOOKUP($B5,Raw_Data[#All],K$2,0)/K$1</f>
        <v>5.4148310780107236</v>
      </c>
      <c r="L5" s="87">
        <f>VLOOKUP($B5,Raw_Data[#All],L$2,0)/L$1</f>
        <v>5.383005263605523</v>
      </c>
      <c r="M5" s="87">
        <f>VLOOKUP($B5,Raw_Data[#All],M$2,0)/M$1</f>
        <v>5.1878260298990604</v>
      </c>
      <c r="N5" s="87">
        <f>VLOOKUP($B5,Raw_Data[#All],N$2,0)/N$1</f>
        <v>5.4266458115095588</v>
      </c>
      <c r="O5" s="87">
        <f>VLOOKUP($B5,Raw_Data[#All],O$2,0)/O$1</f>
        <v>5.3250948699161205</v>
      </c>
      <c r="P5" s="87">
        <f>VLOOKUP($B5,Raw_Data[#All],P$2,0)/P$1</f>
        <v>5.3815871922548917</v>
      </c>
      <c r="Q5" s="87">
        <f>VLOOKUP($B5,Raw_Data[#All],Q$2,0)/Q$1</f>
        <v>5.4302811141245853</v>
      </c>
      <c r="R5" s="87">
        <f>VLOOKUP($B5,Raw_Data[#All],R$2,0)/R$1</f>
        <v>5.4239193345482892</v>
      </c>
      <c r="S5" s="87">
        <f>VLOOKUP($B5,Raw_Data[#All],S$2,0)/S$1</f>
        <v>5.3864183180985448</v>
      </c>
      <c r="T5" s="87">
        <f>VLOOKUP($B5,Raw_Data[#All],T$2,0)/T$1</f>
        <v>5.3722119381424562</v>
      </c>
      <c r="U5" s="87">
        <f>VLOOKUP($B5,Raw_Data[#All],U$2,0)/U$1</f>
        <v>5.3929714293914213</v>
      </c>
      <c r="V5" s="87">
        <f>VLOOKUP($B5,Raw_Data[#All],V$2,0)/V$1</f>
        <v>5.4174140561845583</v>
      </c>
      <c r="W5" s="87">
        <f>VLOOKUP($B5,Raw_Data[#All],W$2,0)/W$1</f>
        <v>5.3494925384444167</v>
      </c>
      <c r="X5" s="87">
        <f>VLOOKUP($B5,Raw_Data[#All],X$2,0)/X$1</f>
        <v>5.3284139823092564</v>
      </c>
      <c r="Y5" s="87">
        <f>VLOOKUP($B5,Raw_Data[#All],Y$2,0)/Y$1</f>
        <v>5.3545273776613804</v>
      </c>
      <c r="Z5" s="87">
        <f>VLOOKUP($B5,Raw_Data[#All],Z$2,0)/Z$1</f>
        <v>5.3319444444444448</v>
      </c>
      <c r="AA5" s="87">
        <f>VLOOKUP($B5,Raw_Data[#All],AA$2,0)/AA$1</f>
        <v>5.2626436781609192</v>
      </c>
      <c r="AB5" s="87">
        <f>VLOOKUP($B5,Raw_Data[#All],AB$2,0)/AB$1</f>
        <v>5.2687928336301342</v>
      </c>
      <c r="AC5" s="87">
        <f>VLOOKUP($B5,Raw_Data[#All],AC$2,0)/AC$1</f>
        <v>5.19296799890125</v>
      </c>
      <c r="AD5" s="87">
        <f>VLOOKUP($B5,Raw_Data[#All],AD$2,0)/AD$1</f>
        <v>5.1814483704649739</v>
      </c>
      <c r="AE5" s="87">
        <f>VLOOKUP($B5,Raw_Data[#All],AE$2,0)/AE$1</f>
        <v>5.3509294735348378</v>
      </c>
      <c r="AF5" s="87">
        <f>VLOOKUP($B5,Raw_Data[#All],AF$2,0)/AF$1</f>
        <v>5.3971264367816092</v>
      </c>
      <c r="AG5" s="87">
        <f>VLOOKUP($B5,Raw_Data[#All],AG$2,0)/AG$1</f>
        <v>5.3746059459721609</v>
      </c>
      <c r="AH5" s="87">
        <f>VLOOKUP($B5,Raw_Data[#All],AH$2,0)/AH$1</f>
        <v>5.3426044179556307</v>
      </c>
      <c r="AI5" s="87">
        <f>VLOOKUP($B5,Raw_Data[#All],AI$2,0)/AI$1</f>
        <v>5.5945393928087972</v>
      </c>
      <c r="AJ5" s="87">
        <f>VLOOKUP($B5,Raw_Data[#All],AJ$2,0)/AJ$1</f>
        <v>5.5722492478271883</v>
      </c>
      <c r="AK5" s="87">
        <f>VLOOKUP($B5,Raw_Data[#All],AK$2,0)/AK$1</f>
        <v>5.615442382845198</v>
      </c>
      <c r="AL5" s="87">
        <f>VLOOKUP($B5,Raw_Data[#All],AL$2,0)/AL$1</f>
        <v>5.5799503494195468</v>
      </c>
      <c r="AM5" s="87">
        <f>VLOOKUP($B5,Raw_Data[#All],AM$2,0)/AM$1</f>
        <v>5.4676386317868948</v>
      </c>
      <c r="AN5" s="87">
        <f>VLOOKUP($B5,Raw_Data[#All],AN$2,0)/AN$1</f>
        <v>5.3788128823644774</v>
      </c>
      <c r="AO5" s="87">
        <f>VLOOKUP($B5,Raw_Data[#All],AO$2,0)/AO$1</f>
        <v>5.4060776519771734</v>
      </c>
      <c r="AP5" s="87">
        <f>VLOOKUP($B5,Raw_Data[#All],AP$2,0)/AP$1</f>
        <v>5.3821611874046331</v>
      </c>
      <c r="AQ5" s="87">
        <f>VLOOKUP($B5,Raw_Data[#All],AQ$2,0)/AQ$1</f>
        <v>5.3665807283274249</v>
      </c>
      <c r="AR5" s="87">
        <f>VLOOKUP($B5,Raw_Data[#All],AR$2,0)/AR$1</f>
        <v>4.7785341623785014</v>
      </c>
      <c r="AS5" s="87">
        <f>VLOOKUP($B5,Raw_Data[#All],AS$2,0)/AS$1</f>
        <v>5.3819338849727432</v>
      </c>
      <c r="AT5" s="87">
        <f>VLOOKUP($B5,Raw_Data[#All],AT$2,0)/AT$1</f>
        <v>4.7710658289011247</v>
      </c>
      <c r="AU5" s="87">
        <f>VLOOKUP($B5,Raw_Data[#All],AU$2,0)/AU$1</f>
        <v>4.824816648799497</v>
      </c>
      <c r="AV5" s="87">
        <f>VLOOKUP($B5,Raw_Data[#All],AV$2,0)/AV$1</f>
        <v>5.1410993221338046</v>
      </c>
      <c r="AW5" s="87">
        <f>VLOOKUP($B5,Raw_Data[#All],AW$2,0)/AW$1</f>
        <v>4.8339772159982726</v>
      </c>
      <c r="AX5" s="87">
        <f>VLOOKUP($B5,Raw_Data[#All],AX$2,0)/AX$1</f>
        <v>5.4014931786443228</v>
      </c>
      <c r="AY5" s="87">
        <f>VLOOKUP($B5,Raw_Data[#All],AY$2,0)/AY$1</f>
        <v>5.1849187389148303</v>
      </c>
      <c r="AZ5" s="87">
        <f>VLOOKUP($B5,Raw_Data[#All],AZ$2,0)/AZ$1</f>
        <v>5.2398019676523022</v>
      </c>
      <c r="BA5" s="87">
        <f>VLOOKUP($B5,Raw_Data[#All],BA$2,0)/BA$1</f>
        <v>0</v>
      </c>
      <c r="BB5" s="87">
        <f>VLOOKUP($B5,Raw_Data[#All],BB$2,0)/BB$1</f>
        <v>0</v>
      </c>
      <c r="BC5" s="87">
        <f>VLOOKUP($B5,Raw_Data[#All],BC$2,0)/BC$1</f>
        <v>5.2720666270933396</v>
      </c>
      <c r="BD5" s="87">
        <f>VLOOKUP($B5,Raw_Data[#All],BD$2,0)/BD$1</f>
        <v>5.3293273197293871</v>
      </c>
      <c r="BE5" s="87">
        <f>VLOOKUP($B5,Raw_Data[#All],BE$2,0)/BE$1</f>
        <v>5.243555843361575</v>
      </c>
      <c r="BF5" s="87">
        <f>VLOOKUP($B5,Raw_Data[#All],BF$2,0)/BF$1</f>
        <v>5.232483961975956</v>
      </c>
      <c r="BG5" s="87">
        <f>VLOOKUP($B5,Raw_Data[#All],BG$2,0)/BG$1</f>
        <v>5.2797543027428082</v>
      </c>
      <c r="BH5" s="87">
        <f>VLOOKUP($B5,Raw_Data[#All],BH$2,0)/BH$1</f>
        <v>5.2252470451462898</v>
      </c>
      <c r="BI5" s="87">
        <f>VLOOKUP($B5,Raw_Data[#All],BI$2,0)/BI$1</f>
        <v>5.2895862474406536</v>
      </c>
      <c r="BJ5" s="87">
        <f>VLOOKUP($B5,Raw_Data[#All],BJ$2,0)/BJ$1</f>
        <v>5.2659051939701369</v>
      </c>
      <c r="BK5" s="87">
        <f>VLOOKUP($B5,Raw_Data[#All],BK$2,0)/BK$1</f>
        <v>5.2316388753979828</v>
      </c>
      <c r="BL5" s="87">
        <f>VLOOKUP($B5,Raw_Data[#All],BL$2,0)/BL$1</f>
        <v>5.2641955036591055</v>
      </c>
      <c r="BM5" s="87">
        <f>VLOOKUP($B5,Raw_Data[#All],BM$2,0)/BM$1</f>
        <v>5.2188013136288998</v>
      </c>
      <c r="BN5" s="87">
        <f>VLOOKUP($B5,Raw_Data[#All],BN$2,0)/BN$1</f>
        <v>5.2078065134099614</v>
      </c>
      <c r="BO5" s="87">
        <f>VLOOKUP($B5,Raw_Data[#All],BO$2,0)/BO$1</f>
        <v>5.225908808719046</v>
      </c>
      <c r="BP5" s="87">
        <f>VLOOKUP($B5,Raw_Data[#All],BP$2,0)/BP$1</f>
        <v>5.1818040302697055</v>
      </c>
      <c r="BQ5" s="87">
        <f>VLOOKUP($B5,Raw_Data[#All],BQ$2,0)/BQ$1</f>
        <v>5.1937023831327762</v>
      </c>
      <c r="BR5" s="87">
        <f>VLOOKUP($B5,Raw_Data[#All],BR$2,0)/BR$1</f>
        <v>5.0987933294165506</v>
      </c>
      <c r="BS5" s="87">
        <f>VLOOKUP($B5,Raw_Data[#All],BS$2,0)/BS$1</f>
        <v>5.1371009919440258</v>
      </c>
      <c r="BT5" s="87">
        <f>VLOOKUP($B5,Raw_Data[#All],BT$2,0)/BT$1</f>
        <v>5.1880338500474537</v>
      </c>
      <c r="BU5" s="87">
        <f>VLOOKUP($B5,Raw_Data[#All],BU$2,0)/BU$1</f>
        <v>5.1259852694146533</v>
      </c>
      <c r="BV5" s="87">
        <f>VLOOKUP($B5,Raw_Data[#All],BV$2,0)/BV$1</f>
        <v>5.1660356563357865</v>
      </c>
      <c r="BW5" s="87">
        <f>VLOOKUP($B5,Raw_Data[#All],BW$2,0)/BW$1</f>
        <v>5.2001776889333113</v>
      </c>
      <c r="BX5" s="87">
        <f>VLOOKUP($B5,Raw_Data[#All],BX$2,0)/BX$1</f>
        <v>5.1446172338667262</v>
      </c>
      <c r="BY5" s="87">
        <f>VLOOKUP($B5,Raw_Data[#All],BY$2,0)/BY$1</f>
        <v>5.2851770763648158</v>
      </c>
      <c r="BZ5" s="87">
        <f>VLOOKUP($B5,Raw_Data[#All],BZ$2,0)/BZ$1</f>
        <v>5.1265528851735747</v>
      </c>
      <c r="CA5" s="87">
        <f>VLOOKUP($B5,Raw_Data[#All],CA$2,0)/CA$1</f>
        <v>5.2648518930498911</v>
      </c>
      <c r="CB5" s="87">
        <f>VLOOKUP($B5,Raw_Data[#All],CB$2,0)/CB$1</f>
        <v>5.2099297573435503</v>
      </c>
      <c r="CC5" s="87">
        <f>VLOOKUP($B5,Raw_Data[#All],CC$2,0)/CC$1</f>
        <v>5.2806665450343608</v>
      </c>
      <c r="CD5" s="87">
        <f>VLOOKUP($B5,Raw_Data[#All],CD$2,0)/CD$1</f>
        <v>5.1789343982156035</v>
      </c>
      <c r="CE5" s="87">
        <f>VLOOKUP($B5,Raw_Data[#All],CE$2,0)/CE$1</f>
        <v>5.1873418222081629</v>
      </c>
      <c r="CF5" s="87">
        <f>VLOOKUP($B5,Raw_Data[#All],CF$2,0)/CF$1</f>
        <v>5.1362221984480536</v>
      </c>
      <c r="CG5" s="87">
        <f>VLOOKUP($B5,Raw_Data[#All],CG$2,0)/CG$1</f>
        <v>5.1828291923198595</v>
      </c>
      <c r="CH5" s="87">
        <f>VLOOKUP($B5,Raw_Data[#All],CH$2,0)/CH$1</f>
        <v>5.1106365777355967</v>
      </c>
      <c r="CI5" s="87">
        <f>VLOOKUP($B5,Raw_Data[#All],CI$2,0)/CI$1</f>
        <v>5.1941138089212275</v>
      </c>
      <c r="CJ5" s="87">
        <f>VLOOKUP($B5,Raw_Data[#All],CJ$2,0)/CJ$1</f>
        <v>5.1157907284889665</v>
      </c>
      <c r="CK5" s="87">
        <f>VLOOKUP($B5,Raw_Data[#All],CK$2,0)/CK$1</f>
        <v>5.1878855583676051</v>
      </c>
      <c r="CL5" s="87">
        <f>VLOOKUP($B5,Raw_Data[#All],CL$2,0)/CL$1</f>
        <v>5.2423199782750505</v>
      </c>
      <c r="CM5" s="87">
        <f>VLOOKUP($B5,Raw_Data[#All],CM$2,0)/CM$1</f>
        <v>5.2329410691479659</v>
      </c>
      <c r="CN5" s="87">
        <f>VLOOKUP($B5,Raw_Data[#All],CN$2,0)/CN$1</f>
        <v>5.1606753812636157</v>
      </c>
      <c r="CO5" s="87">
        <f>VLOOKUP($B5,Raw_Data[#All],CO$2,0)/CO$1</f>
        <v>5.292712066905616</v>
      </c>
      <c r="CP5" s="87">
        <f>VLOOKUP($B5,Raw_Data[#All],CP$2,0)/CP$1</f>
        <v>5.2442528735632186</v>
      </c>
      <c r="CQ5" s="87">
        <f>VLOOKUP($B5,Raw_Data[#All],CQ$2,0)/CQ$1</f>
        <v>5.2514139755519071</v>
      </c>
      <c r="CR5" s="87">
        <f>VLOOKUP($B5,Raw_Data[#All],CR$2,0)/CR$1</f>
        <v>5.3573994252873556</v>
      </c>
      <c r="CS5" s="87">
        <f>VLOOKUP($B5,Raw_Data[#All],CS$2,0)/CS$1</f>
        <v>5.3140465357598972</v>
      </c>
      <c r="CT5" s="87">
        <f>VLOOKUP($B5,Raw_Data[#All],CT$2,0)/CT$1</f>
        <v>5.2489515683450634</v>
      </c>
      <c r="CU5" s="87">
        <f>VLOOKUP($B5,Raw_Data[#All],CU$2,0)/CU$1</f>
        <v>5.3418135376756064</v>
      </c>
      <c r="CV5" s="87">
        <f>VLOOKUP($B5,Raw_Data[#All],CV$2,0)/CV$1</f>
        <v>5.2679045092838193</v>
      </c>
      <c r="CW5" s="87">
        <f>VLOOKUP($B5,Raw_Data[#All],CW$2,0)/CW$1</f>
        <v>5.225732122283846</v>
      </c>
      <c r="CX5" s="87">
        <f>VLOOKUP($B5,Raw_Data[#All],CX$2,0)/CX$1</f>
        <v>5.3075948584847366</v>
      </c>
      <c r="CY5" s="87">
        <f>VLOOKUP($B5,Raw_Data[#All],CY$2,0)/CY$1</f>
        <v>5.2151624804881509</v>
      </c>
      <c r="CZ5" s="87">
        <f>VLOOKUP($B5,Raw_Data[#All],CZ$2,0)/CZ$1</f>
        <v>5.3101697359205708</v>
      </c>
      <c r="DA5" s="87">
        <f>VLOOKUP($B5,Raw_Data[#All],DA$2,0)/DA$1</f>
        <v>5.208310527276045</v>
      </c>
      <c r="DB5" s="87">
        <f>VLOOKUP($B5,Raw_Data[#All],DB$2,0)/DB$1</f>
        <v>5.262911079182631</v>
      </c>
      <c r="DC5" s="87">
        <f>VLOOKUP($B5,Raw_Data[#All],DC$2,0)/DC$1</f>
        <v>5.1740327019588808</v>
      </c>
      <c r="DD5" s="87">
        <f>VLOOKUP($B5,Raw_Data[#All],DD$2,0)/DD$1</f>
        <v>5.2631744237171034</v>
      </c>
      <c r="DE5" s="87">
        <f>VLOOKUP($B5,Raw_Data[#All],DE$2,0)/DE$1</f>
        <v>5.1877934272300479</v>
      </c>
      <c r="DF5" s="87">
        <f>VLOOKUP($B5,Raw_Data[#All],DF$2,0)/DF$1</f>
        <v>5.2054398148148149</v>
      </c>
      <c r="DG5" s="87">
        <f>VLOOKUP($B5,Raw_Data[#All],DG$2,0)/DG$1</f>
        <v>5.1845010034665204</v>
      </c>
      <c r="DH5" s="87">
        <f>VLOOKUP($B5,Raw_Data[#All],DH$2,0)/DH$1</f>
        <v>5.1978568007662833</v>
      </c>
      <c r="DI5" s="87">
        <f>VLOOKUP($B5,Raw_Data[#All],DI$2,0)/DI$1</f>
        <v>5.2093596059113301</v>
      </c>
      <c r="DJ5" s="87">
        <f>VLOOKUP($B5,Raw_Data[#All],DJ$2,0)/DJ$1</f>
        <v>5.2581716954022983</v>
      </c>
      <c r="DK5" s="87">
        <f>VLOOKUP($B5,Raw_Data[#All],DK$2,0)/DK$1</f>
        <v>5.1867318754276157</v>
      </c>
      <c r="DL5" s="87">
        <f>VLOOKUP($B5,Raw_Data[#All],DL$2,0)/DL$1</f>
        <v>5.1554916985951467</v>
      </c>
      <c r="DM5" s="87">
        <f>VLOOKUP($B5,Raw_Data[#All],DM$2,0)/DM$1</f>
        <v>5.2293362867177526</v>
      </c>
      <c r="DN5" s="87">
        <f>VLOOKUP($B5,Raw_Data[#All],DN$2,0)/DN$1</f>
        <v>5.290858155151815</v>
      </c>
      <c r="DO5" s="87">
        <f>VLOOKUP($B5,Raw_Data[#All],DO$2,0)/DO$1</f>
        <v>5.1738177404599517</v>
      </c>
      <c r="DP5" s="87">
        <f>VLOOKUP($B5,Raw_Data[#All],DP$2,0)/DP$1</f>
        <v>5.1478153724389761</v>
      </c>
      <c r="DQ5" s="87">
        <f>VLOOKUP($B5,Raw_Data[#All],DQ$2,0)/DQ$1</f>
        <v>5.1272577996715922</v>
      </c>
      <c r="DR5" s="87">
        <f>VLOOKUP($B5,Raw_Data[#All],DR$2,0)/DR$1</f>
        <v>5.1412336366538955</v>
      </c>
      <c r="DS5" s="87">
        <f>VLOOKUP($B5,Raw_Data[#All],DS$2,0)/DS$1</f>
        <v>5.1256902847480807</v>
      </c>
      <c r="DT5" s="87">
        <f>VLOOKUP($B5,Raw_Data[#All],DT$2,0)/DT$1</f>
        <v>5.2067242392912894</v>
      </c>
      <c r="DU5" s="87">
        <f>VLOOKUP($B5,Raw_Data[#All],DU$2,0)/DU$1</f>
        <v>5.2423277740214855</v>
      </c>
      <c r="DV5" s="87">
        <f>VLOOKUP($B5,Raw_Data[#All],DV$2,0)/DV$1</f>
        <v>5.2597863325832668</v>
      </c>
      <c r="DW5" s="87">
        <f>VLOOKUP($B5,Raw_Data[#All],DW$2,0)/DW$1</f>
        <v>5.2468023865347595</v>
      </c>
      <c r="DX5" s="87">
        <f>VLOOKUP($B5,Raw_Data[#All],DX$2,0)/DX$1</f>
        <v>5.2637617161287524</v>
      </c>
      <c r="DY5" s="87">
        <f>VLOOKUP($B5,Raw_Data[#All],DY$2,0)/DY$1</f>
        <v>5.1409943176559869</v>
      </c>
      <c r="DZ5" s="87">
        <f>VLOOKUP($B5,Raw_Data[#All],DZ$2,0)/DZ$1</f>
        <v>5.2170629852622188</v>
      </c>
      <c r="EA5" s="87">
        <f>VLOOKUP($B5,Raw_Data[#All],EA$2,0)/EA$1</f>
        <v>5.2501895753512127</v>
      </c>
      <c r="EB5" s="87">
        <f>VLOOKUP($B5,Raw_Data[#All],EB$2,0)/EB$1</f>
        <v>5.2869073275862064</v>
      </c>
      <c r="EC5" s="87">
        <f>VLOOKUP($B5,Raw_Data[#All],EC$2,0)/EC$1</f>
        <v>5.2296839331865126</v>
      </c>
      <c r="ED5" s="87">
        <f>VLOOKUP($B5,Raw_Data[#All],ED$2,0)/ED$1</f>
        <v>5.2991988854057821</v>
      </c>
      <c r="EE5" s="87">
        <f>VLOOKUP($B5,Raw_Data[#All],EE$2,0)/EE$1</f>
        <v>5.2635873421314034</v>
      </c>
      <c r="EF5" s="87">
        <f>VLOOKUP($B5,Raw_Data[#All],EF$2,0)/EF$1</f>
        <v>5.3079958036854586</v>
      </c>
      <c r="EG5" s="87">
        <f>VLOOKUP($B5,Raw_Data[#All],EG$2,0)/EG$1</f>
        <v>5.2009498722860794</v>
      </c>
      <c r="EH5" s="87">
        <f>VLOOKUP($B5,Raw_Data[#All],EH$2,0)/EH$1</f>
        <v>5.2226013729246485</v>
      </c>
      <c r="EI5" s="87">
        <f>VLOOKUP($B5,Raw_Data[#All],EI$2,0)/EI$1</f>
        <v>5.3116574428834964</v>
      </c>
      <c r="EJ5" s="87">
        <f>VLOOKUP($B5,Raw_Data[#All],EJ$2,0)/EJ$1</f>
        <v>5.4305195072714545</v>
      </c>
      <c r="EK5" s="87">
        <f>VLOOKUP($B5,Raw_Data[#All],EK$2,0)/EK$1</f>
        <v>5.3583528451823472</v>
      </c>
      <c r="EL5" s="87">
        <f>VLOOKUP($B5,Raw_Data[#All],EL$2,0)/EL$1</f>
        <v>5.4225202213707959</v>
      </c>
      <c r="EM5" s="87">
        <f>VLOOKUP($B5,Raw_Data[#All],EM$2,0)/EM$1</f>
        <v>4.9494090982677683</v>
      </c>
      <c r="EN5" s="87">
        <f>VLOOKUP($B5,Raw_Data[#All],EN$2,0)/EN$1</f>
        <v>5.2899410083318124</v>
      </c>
      <c r="EO5" s="87">
        <f>VLOOKUP($B5,Raw_Data[#All],EO$2,0)/EO$1</f>
        <v>5.402298850574712</v>
      </c>
      <c r="EP5" s="87">
        <f>VLOOKUP($B5,Raw_Data[#All],EP$2,0)/EP$1</f>
        <v>5.3048172094508299</v>
      </c>
      <c r="EQ5" s="87">
        <f>VLOOKUP($B5,Raw_Data[#All],EQ$2,0)/EQ$1</f>
        <v>5.4100727414070748</v>
      </c>
      <c r="ER5" s="87">
        <f>VLOOKUP($B5,Raw_Data[#All],ER$2,0)/ER$1</f>
        <v>5.3774212430821624</v>
      </c>
      <c r="ES5" s="87">
        <f>VLOOKUP($B5,Raw_Data[#All],ES$2,0)/ES$1</f>
        <v>5.3760815210548092</v>
      </c>
      <c r="ET5" s="87">
        <f>VLOOKUP($B5,Raw_Data[#All],ET$2,0)/ET$1</f>
        <v>5.3567895238609182</v>
      </c>
      <c r="EU5" s="87">
        <f>VLOOKUP($B5,Raw_Data[#All],EU$2,0)/EU$1</f>
        <v>5.3437033439461805</v>
      </c>
      <c r="EV5" s="87">
        <f>VLOOKUP($B5,Raw_Data[#All],EV$2,0)/EV$1</f>
        <v>5.2903717894139355</v>
      </c>
      <c r="EW5" s="87">
        <f>VLOOKUP($B5,Raw_Data[#All],EW$2,0)/EW$1</f>
        <v>5.4421096743295019</v>
      </c>
      <c r="EX5" s="87">
        <f>VLOOKUP($B5,Raw_Data[#All],EX$2,0)/EX$1</f>
        <v>5.3998704872915653</v>
      </c>
      <c r="EY5" s="87">
        <f>VLOOKUP($B5,Raw_Data[#All],EY$2,0)/EY$1</f>
        <v>5.4003786762407451</v>
      </c>
      <c r="EZ5" s="87">
        <f>VLOOKUP($B5,Raw_Data[#All],EZ$2,0)/EZ$1</f>
        <v>5.3745388108414929</v>
      </c>
      <c r="FA5" s="87">
        <f>VLOOKUP($B5,Raw_Data[#All],FA$2,0)/FA$1</f>
        <v>5.383540868454662</v>
      </c>
      <c r="FB5" s="87">
        <f>VLOOKUP($B5,Raw_Data[#All],FB$2,0)/FB$1</f>
        <v>5.3648715765574</v>
      </c>
      <c r="FC5" s="87">
        <f>VLOOKUP($B5,Raw_Data[#All],FC$2,0)/FC$1</f>
        <v>5.3817670639988648</v>
      </c>
      <c r="FD5" s="87">
        <f>VLOOKUP($B5,Raw_Data[#All],FD$2,0)/FD$1</f>
        <v>5.4592213441890163</v>
      </c>
      <c r="FE5" s="87">
        <f>VLOOKUP($B5,Raw_Data[#All],FE$2,0)/FE$1</f>
        <v>5.3706807861501353</v>
      </c>
      <c r="FF5" s="87">
        <f>VLOOKUP($B5,Raw_Data[#All],FF$2,0)/FF$1</f>
        <v>5.4759339080459766</v>
      </c>
      <c r="FG5" s="105">
        <f>VLOOKUP($B5,Raw_Data[#All],FG$2,0)/FG$1</f>
        <v>5.2099867123218537</v>
      </c>
    </row>
    <row r="6" spans="2:163">
      <c r="B6" s="104">
        <f t="shared" ref="B6:B34" si="0">B5+1</f>
        <v>45829</v>
      </c>
      <c r="C6" s="87">
        <f>VLOOKUP($B6,Raw_Data[#All],C$2,0)/C$1</f>
        <v>1.9639078472863827</v>
      </c>
      <c r="D6" s="87">
        <f>VLOOKUP($B6,Raw_Data[#All],D$2,0)/D$1</f>
        <v>2.0113746705507003</v>
      </c>
      <c r="E6" s="87">
        <f>VLOOKUP($B6,Raw_Data[#All],E$2,0)/E$1</f>
        <v>2.0115660022672803</v>
      </c>
      <c r="F6" s="87">
        <f>VLOOKUP($B6,Raw_Data[#All],F$2,0)/F$1</f>
        <v>2.007407211322108</v>
      </c>
      <c r="G6" s="87">
        <f>VLOOKUP($B6,Raw_Data[#All],G$2,0)/G$1</f>
        <v>2.037826280367931</v>
      </c>
      <c r="H6" s="87">
        <f>VLOOKUP($B6,Raw_Data[#All],H$2,0)/H$1</f>
        <v>2.033377817957438</v>
      </c>
      <c r="I6" s="87">
        <f>VLOOKUP($B6,Raw_Data[#All],I$2,0)/I$1</f>
        <v>2.0511716675994087</v>
      </c>
      <c r="J6" s="87">
        <f>VLOOKUP($B6,Raw_Data[#All],J$2,0)/J$1</f>
        <v>2.0219705084668504</v>
      </c>
      <c r="K6" s="87">
        <f>VLOOKUP($B6,Raw_Data[#All],K$2,0)/K$1</f>
        <v>2.0177364501269963</v>
      </c>
      <c r="L6" s="87">
        <f>VLOOKUP($B6,Raw_Data[#All],L$2,0)/L$1</f>
        <v>2.0044698122300866</v>
      </c>
      <c r="M6" s="87">
        <f>VLOOKUP($B6,Raw_Data[#All],M$2,0)/M$1</f>
        <v>1.9495412342384706</v>
      </c>
      <c r="N6" s="87">
        <f>VLOOKUP($B6,Raw_Data[#All],N$2,0)/N$1</f>
        <v>2.0161101305360631</v>
      </c>
      <c r="O6" s="87">
        <f>VLOOKUP($B6,Raw_Data[#All],O$2,0)/O$1</f>
        <v>2.0231187322973283</v>
      </c>
      <c r="P6" s="87">
        <f>VLOOKUP($B6,Raw_Data[#All],P$2,0)/P$1</f>
        <v>1.9984119467523829</v>
      </c>
      <c r="Q6" s="87">
        <f>VLOOKUP($B6,Raw_Data[#All],Q$2,0)/Q$1</f>
        <v>2.0462927088266101</v>
      </c>
      <c r="R6" s="87">
        <f>VLOOKUP($B6,Raw_Data[#All],R$2,0)/R$1</f>
        <v>2.0397874304628791</v>
      </c>
      <c r="S6" s="87">
        <f>VLOOKUP($B6,Raw_Data[#All],S$2,0)/S$1</f>
        <v>2.0395004328880089</v>
      </c>
      <c r="T6" s="87">
        <f>VLOOKUP($B6,Raw_Data[#All],T$2,0)/T$1</f>
        <v>1.9639244048387792</v>
      </c>
      <c r="U6" s="87">
        <f>VLOOKUP($B6,Raw_Data[#All],U$2,0)/U$1</f>
        <v>2.0226632418289401</v>
      </c>
      <c r="V6" s="87">
        <f>VLOOKUP($B6,Raw_Data[#All],V$2,0)/V$1</f>
        <v>2.0227110747580848</v>
      </c>
      <c r="W6" s="87">
        <f>VLOOKUP($B6,Raw_Data[#All],W$2,0)/W$1</f>
        <v>2.0257259091920874</v>
      </c>
      <c r="X6" s="87">
        <f>VLOOKUP($B6,Raw_Data[#All],X$2,0)/X$1</f>
        <v>2.0045409394068399</v>
      </c>
      <c r="Y6" s="87">
        <f>VLOOKUP($B6,Raw_Data[#All],Y$2,0)/Y$1</f>
        <v>2.0114942528735633</v>
      </c>
      <c r="Z6" s="87">
        <f>VLOOKUP($B6,Raw_Data[#All],Z$2,0)/Z$1</f>
        <v>2.005603448275862</v>
      </c>
      <c r="AA6" s="87">
        <f>VLOOKUP($B6,Raw_Data[#All],AA$2,0)/AA$1</f>
        <v>1.9511973180076627</v>
      </c>
      <c r="AB6" s="87">
        <f>VLOOKUP($B6,Raw_Data[#All],AB$2,0)/AB$1</f>
        <v>1.9208353569694028</v>
      </c>
      <c r="AC6" s="87">
        <f>VLOOKUP($B6,Raw_Data[#All],AC$2,0)/AC$1</f>
        <v>1.938252134748448</v>
      </c>
      <c r="AD6" s="87">
        <f>VLOOKUP($B6,Raw_Data[#All],AD$2,0)/AD$1</f>
        <v>1.9265881462560901</v>
      </c>
      <c r="AE6" s="87">
        <f>VLOOKUP($B6,Raw_Data[#All],AE$2,0)/AE$1</f>
        <v>2.0082777541270516</v>
      </c>
      <c r="AF6" s="87">
        <f>VLOOKUP($B6,Raw_Data[#All],AF$2,0)/AF$1</f>
        <v>2.0387931034482758</v>
      </c>
      <c r="AG6" s="87">
        <f>VLOOKUP($B6,Raw_Data[#All],AG$2,0)/AG$1</f>
        <v>2.0140161986517287</v>
      </c>
      <c r="AH6" s="87">
        <f>VLOOKUP($B6,Raw_Data[#All],AH$2,0)/AH$1</f>
        <v>1.9990066695047541</v>
      </c>
      <c r="AI6" s="87">
        <f>VLOOKUP($B6,Raw_Data[#All],AI$2,0)/AI$1</f>
        <v>2.0322298276579565</v>
      </c>
      <c r="AJ6" s="87">
        <f>VLOOKUP($B6,Raw_Data[#All],AJ$2,0)/AJ$1</f>
        <v>2.0307470068544586</v>
      </c>
      <c r="AK6" s="87">
        <f>VLOOKUP($B6,Raw_Data[#All],AK$2,0)/AK$1</f>
        <v>2.0538503116315332</v>
      </c>
      <c r="AL6" s="87">
        <f>VLOOKUP($B6,Raw_Data[#All],AL$2,0)/AL$1</f>
        <v>2.0335213167448734</v>
      </c>
      <c r="AM6" s="87">
        <f>VLOOKUP($B6,Raw_Data[#All],AM$2,0)/AM$1</f>
        <v>2.0371566193598993</v>
      </c>
      <c r="AN6" s="87">
        <f>VLOOKUP($B6,Raw_Data[#All],AN$2,0)/AN$1</f>
        <v>1.99358082090873</v>
      </c>
      <c r="AO6" s="87">
        <f>VLOOKUP($B6,Raw_Data[#All],AO$2,0)/AO$1</f>
        <v>2.0266812078771266</v>
      </c>
      <c r="AP6" s="87">
        <f>VLOOKUP($B6,Raw_Data[#All],AP$2,0)/AP$1</f>
        <v>1.9946331453499218</v>
      </c>
      <c r="AQ6" s="87">
        <f>VLOOKUP($B6,Raw_Data[#All],AQ$2,0)/AQ$1</f>
        <v>2.0938070684284025</v>
      </c>
      <c r="AR6" s="87">
        <f>VLOOKUP($B6,Raw_Data[#All],AR$2,0)/AR$1</f>
        <v>1.8262667953116065</v>
      </c>
      <c r="AS6" s="87">
        <f>VLOOKUP($B6,Raw_Data[#All],AS$2,0)/AS$1</f>
        <v>2.1030079931733487</v>
      </c>
      <c r="AT6" s="87">
        <f>VLOOKUP($B6,Raw_Data[#All],AT$2,0)/AT$1</f>
        <v>1.8257572712779497</v>
      </c>
      <c r="AU6" s="87">
        <f>VLOOKUP($B6,Raw_Data[#All],AU$2,0)/AU$1</f>
        <v>1.8612912008440112</v>
      </c>
      <c r="AV6" s="87">
        <f>VLOOKUP($B6,Raw_Data[#All],AV$2,0)/AV$1</f>
        <v>2.0162016570062549</v>
      </c>
      <c r="AW6" s="87">
        <f>VLOOKUP($B6,Raw_Data[#All],AW$2,0)/AW$1</f>
        <v>1.8336039289585289</v>
      </c>
      <c r="AX6" s="87">
        <f>VLOOKUP($B6,Raw_Data[#All],AX$2,0)/AX$1</f>
        <v>2.105220754108927</v>
      </c>
      <c r="AY6" s="87">
        <f>VLOOKUP($B6,Raw_Data[#All],AY$2,0)/AY$1</f>
        <v>1.8360661671553191</v>
      </c>
      <c r="AZ6" s="87">
        <f>VLOOKUP($B6,Raw_Data[#All],AZ$2,0)/AZ$1</f>
        <v>1.8575488519011283</v>
      </c>
      <c r="BA6" s="87">
        <f>VLOOKUP($B6,Raw_Data[#All],BA$2,0)/BA$1</f>
        <v>0</v>
      </c>
      <c r="BB6" s="87">
        <f>VLOOKUP($B6,Raw_Data[#All],BB$2,0)/BB$1</f>
        <v>0</v>
      </c>
      <c r="BC6" s="87">
        <f>VLOOKUP($B6,Raw_Data[#All],BC$2,0)/BC$1</f>
        <v>1.9385534149982915</v>
      </c>
      <c r="BD6" s="87">
        <f>VLOOKUP($B6,Raw_Data[#All],BD$2,0)/BD$1</f>
        <v>1.9860477054800798</v>
      </c>
      <c r="BE6" s="87">
        <f>VLOOKUP($B6,Raw_Data[#All],BE$2,0)/BE$1</f>
        <v>1.9266364470346988</v>
      </c>
      <c r="BF6" s="87">
        <f>VLOOKUP($B6,Raw_Data[#All],BF$2,0)/BF$1</f>
        <v>1.9164315621125265</v>
      </c>
      <c r="BG6" s="87">
        <f>VLOOKUP($B6,Raw_Data[#All],BG$2,0)/BG$1</f>
        <v>1.9204727442275336</v>
      </c>
      <c r="BH6" s="87">
        <f>VLOOKUP($B6,Raw_Data[#All],BH$2,0)/BH$1</f>
        <v>1.9418805375984216</v>
      </c>
      <c r="BI6" s="87">
        <f>VLOOKUP($B6,Raw_Data[#All],BI$2,0)/BI$1</f>
        <v>1.9519451032860993</v>
      </c>
      <c r="BJ6" s="87">
        <f>VLOOKUP($B6,Raw_Data[#All],BJ$2,0)/BJ$1</f>
        <v>1.9573390726584268</v>
      </c>
      <c r="BK6" s="87">
        <f>VLOOKUP($B6,Raw_Data[#All],BK$2,0)/BK$1</f>
        <v>1.9186768118288278</v>
      </c>
      <c r="BL6" s="87">
        <f>VLOOKUP($B6,Raw_Data[#All],BL$2,0)/BL$1</f>
        <v>1.9425185996067222</v>
      </c>
      <c r="BM6" s="87">
        <f>VLOOKUP($B6,Raw_Data[#All],BM$2,0)/BM$1</f>
        <v>1.9076810800948729</v>
      </c>
      <c r="BN6" s="87">
        <f>VLOOKUP($B6,Raw_Data[#All],BN$2,0)/BN$1</f>
        <v>1.8945402298850575</v>
      </c>
      <c r="BO6" s="87">
        <f>VLOOKUP($B6,Raw_Data[#All],BO$2,0)/BO$1</f>
        <v>1.9204448958524118</v>
      </c>
      <c r="BP6" s="87">
        <f>VLOOKUP($B6,Raw_Data[#All],BP$2,0)/BP$1</f>
        <v>1.8912038083186453</v>
      </c>
      <c r="BQ6" s="87">
        <f>VLOOKUP($B6,Raw_Data[#All],BQ$2,0)/BQ$1</f>
        <v>1.9117867430360145</v>
      </c>
      <c r="BR6" s="87">
        <f>VLOOKUP($B6,Raw_Data[#All],BR$2,0)/BR$1</f>
        <v>1.9001220228679894</v>
      </c>
      <c r="BS6" s="87">
        <f>VLOOKUP($B6,Raw_Data[#All],BS$2,0)/BS$1</f>
        <v>1.905262093850123</v>
      </c>
      <c r="BT6" s="87">
        <f>VLOOKUP($B6,Raw_Data[#All],BT$2,0)/BT$1</f>
        <v>1.908019614046188</v>
      </c>
      <c r="BU6" s="87">
        <f>VLOOKUP($B6,Raw_Data[#All],BU$2,0)/BU$1</f>
        <v>1.9003168011549205</v>
      </c>
      <c r="BV6" s="87">
        <f>VLOOKUP($B6,Raw_Data[#All],BV$2,0)/BV$1</f>
        <v>1.8594054556030657</v>
      </c>
      <c r="BW6" s="87">
        <f>VLOOKUP($B6,Raw_Data[#All],BW$2,0)/BW$1</f>
        <v>1.9384289336813076</v>
      </c>
      <c r="BX6" s="87">
        <f>VLOOKUP($B6,Raw_Data[#All],BX$2,0)/BX$1</f>
        <v>1.8717601983322063</v>
      </c>
      <c r="BY6" s="87">
        <f>VLOOKUP($B6,Raw_Data[#All],BY$2,0)/BY$1</f>
        <v>1.9234121916114251</v>
      </c>
      <c r="BZ6" s="87">
        <f>VLOOKUP($B6,Raw_Data[#All],BZ$2,0)/BZ$1</f>
        <v>1.8923094785163752</v>
      </c>
      <c r="CA6" s="87">
        <f>VLOOKUP($B6,Raw_Data[#All],CA$2,0)/CA$1</f>
        <v>1.9052548098710502</v>
      </c>
      <c r="CB6" s="87">
        <f>VLOOKUP($B6,Raw_Data[#All],CB$2,0)/CB$1</f>
        <v>1.9456417624521074</v>
      </c>
      <c r="CC6" s="87">
        <f>VLOOKUP($B6,Raw_Data[#All],CC$2,0)/CC$1</f>
        <v>1.8568691844553913</v>
      </c>
      <c r="CD6" s="87">
        <f>VLOOKUP($B6,Raw_Data[#All],CD$2,0)/CD$1</f>
        <v>1.8659723346464483</v>
      </c>
      <c r="CE6" s="87">
        <f>VLOOKUP($B6,Raw_Data[#All],CE$2,0)/CE$1</f>
        <v>1.8956125434988929</v>
      </c>
      <c r="CF6" s="87">
        <f>VLOOKUP($B6,Raw_Data[#All],CF$2,0)/CF$1</f>
        <v>1.9065417157008917</v>
      </c>
      <c r="CG6" s="87">
        <f>VLOOKUP($B6,Raw_Data[#All],CG$2,0)/CG$1</f>
        <v>1.9054340155257585</v>
      </c>
      <c r="CH6" s="87">
        <f>VLOOKUP($B6,Raw_Data[#All],CH$2,0)/CH$1</f>
        <v>1.8889064641990931</v>
      </c>
      <c r="CI6" s="87">
        <f>VLOOKUP($B6,Raw_Data[#All],CI$2,0)/CI$1</f>
        <v>1.9007533217336288</v>
      </c>
      <c r="CJ6" s="87">
        <f>VLOOKUP($B6,Raw_Data[#All],CJ$2,0)/CJ$1</f>
        <v>1.8867171918627843</v>
      </c>
      <c r="CK6" s="87">
        <f>VLOOKUP($B6,Raw_Data[#All],CK$2,0)/CK$1</f>
        <v>1.9271492407465991</v>
      </c>
      <c r="CL6" s="87">
        <f>VLOOKUP($B6,Raw_Data[#All],CL$2,0)/CL$1</f>
        <v>1.8849753494609358</v>
      </c>
      <c r="CM6" s="87">
        <f>VLOOKUP($B6,Raw_Data[#All],CM$2,0)/CM$1</f>
        <v>1.9601806239737274</v>
      </c>
      <c r="CN6" s="87">
        <f>VLOOKUP($B6,Raw_Data[#All],CN$2,0)/CN$1</f>
        <v>1.9232683494853879</v>
      </c>
      <c r="CO6" s="87">
        <f>VLOOKUP($B6,Raw_Data[#All],CO$2,0)/CO$1</f>
        <v>1.9430540106290941</v>
      </c>
      <c r="CP6" s="87">
        <f>VLOOKUP($B6,Raw_Data[#All],CP$2,0)/CP$1</f>
        <v>1.9546881651766708</v>
      </c>
      <c r="CQ6" s="87">
        <f>VLOOKUP($B6,Raw_Data[#All],CQ$2,0)/CQ$1</f>
        <v>1.9558930852034302</v>
      </c>
      <c r="CR6" s="87">
        <f>VLOOKUP($B6,Raw_Data[#All],CR$2,0)/CR$1</f>
        <v>1.9701368933588761</v>
      </c>
      <c r="CS6" s="87">
        <f>VLOOKUP($B6,Raw_Data[#All],CS$2,0)/CS$1</f>
        <v>1.9476871807151979</v>
      </c>
      <c r="CT6" s="87">
        <f>VLOOKUP($B6,Raw_Data[#All],CT$2,0)/CT$1</f>
        <v>1.9627636930155883</v>
      </c>
      <c r="CU6" s="87">
        <f>VLOOKUP($B6,Raw_Data[#All],CU$2,0)/CU$1</f>
        <v>1.977522349936143</v>
      </c>
      <c r="CV6" s="87">
        <f>VLOOKUP($B6,Raw_Data[#All],CV$2,0)/CV$1</f>
        <v>1.9474408095097751</v>
      </c>
      <c r="CW6" s="87">
        <f>VLOOKUP($B6,Raw_Data[#All],CW$2,0)/CW$1</f>
        <v>1.9521921246059175</v>
      </c>
      <c r="CX6" s="87">
        <f>VLOOKUP($B6,Raw_Data[#All],CX$2,0)/CX$1</f>
        <v>1.9510361306801796</v>
      </c>
      <c r="CY6" s="87">
        <f>VLOOKUP($B6,Raw_Data[#All],CY$2,0)/CY$1</f>
        <v>1.9547768553994609</v>
      </c>
      <c r="CZ6" s="87">
        <f>VLOOKUP($B6,Raw_Data[#All],CZ$2,0)/CZ$1</f>
        <v>1.9518600914596465</v>
      </c>
      <c r="DA6" s="87">
        <f>VLOOKUP($B6,Raw_Data[#All],DA$2,0)/DA$1</f>
        <v>1.942346287173873</v>
      </c>
      <c r="DB6" s="87">
        <f>VLOOKUP($B6,Raw_Data[#All],DB$2,0)/DB$1</f>
        <v>1.9296775223499361</v>
      </c>
      <c r="DC6" s="87">
        <f>VLOOKUP($B6,Raw_Data[#All],DC$2,0)/DC$1</f>
        <v>1.9607234723796165</v>
      </c>
      <c r="DD6" s="87">
        <f>VLOOKUP($B6,Raw_Data[#All],DD$2,0)/DD$1</f>
        <v>1.9319347612168416</v>
      </c>
      <c r="DE6" s="87">
        <f>VLOOKUP($B6,Raw_Data[#All],DE$2,0)/DE$1</f>
        <v>1.9599140179519006</v>
      </c>
      <c r="DF6" s="87">
        <f>VLOOKUP($B6,Raw_Data[#All],DF$2,0)/DF$1</f>
        <v>1.9228927203065134</v>
      </c>
      <c r="DG6" s="87">
        <f>VLOOKUP($B6,Raw_Data[#All],DG$2,0)/DG$1</f>
        <v>1.9534756431308156</v>
      </c>
      <c r="DH6" s="87">
        <f>VLOOKUP($B6,Raw_Data[#All],DH$2,0)/DH$1</f>
        <v>1.9347162356321839</v>
      </c>
      <c r="DI6" s="87">
        <f>VLOOKUP($B6,Raw_Data[#All],DI$2,0)/DI$1</f>
        <v>1.985632183908046</v>
      </c>
      <c r="DJ6" s="87">
        <f>VLOOKUP($B6,Raw_Data[#All],DJ$2,0)/DJ$1</f>
        <v>1.9189515485312898</v>
      </c>
      <c r="DK6" s="87">
        <f>VLOOKUP($B6,Raw_Data[#All],DK$2,0)/DK$1</f>
        <v>1.9259052783620099</v>
      </c>
      <c r="DL6" s="87">
        <f>VLOOKUP($B6,Raw_Data[#All],DL$2,0)/DL$1</f>
        <v>1.9248768472906406</v>
      </c>
      <c r="DM6" s="87">
        <f>VLOOKUP($B6,Raw_Data[#All],DM$2,0)/DM$1</f>
        <v>1.9203983077905491</v>
      </c>
      <c r="DN6" s="87">
        <f>VLOOKUP($B6,Raw_Data[#All],DN$2,0)/DN$1</f>
        <v>1.9245148930910889</v>
      </c>
      <c r="DO6" s="87">
        <f>VLOOKUP($B6,Raw_Data[#All],DO$2,0)/DO$1</f>
        <v>1.9364057136128547</v>
      </c>
      <c r="DP6" s="87">
        <f>VLOOKUP($B6,Raw_Data[#All],DP$2,0)/DP$1</f>
        <v>1.9080639648876658</v>
      </c>
      <c r="DQ6" s="87">
        <f>VLOOKUP($B6,Raw_Data[#All],DQ$2,0)/DQ$1</f>
        <v>1.9277047983944535</v>
      </c>
      <c r="DR6" s="87">
        <f>VLOOKUP($B6,Raw_Data[#All],DR$2,0)/DR$1</f>
        <v>1.8908644636015324</v>
      </c>
      <c r="DS6" s="87">
        <f>VLOOKUP($B6,Raw_Data[#All],DS$2,0)/DS$1</f>
        <v>1.907434389221665</v>
      </c>
      <c r="DT6" s="87">
        <f>VLOOKUP($B6,Raw_Data[#All],DT$2,0)/DT$1</f>
        <v>1.9103367187658375</v>
      </c>
      <c r="DU6" s="87">
        <f>VLOOKUP($B6,Raw_Data[#All],DU$2,0)/DU$1</f>
        <v>1.9635076252723311</v>
      </c>
      <c r="DV6" s="87">
        <f>VLOOKUP($B6,Raw_Data[#All],DV$2,0)/DV$1</f>
        <v>1.9035455817065012</v>
      </c>
      <c r="DW6" s="87">
        <f>VLOOKUP($B6,Raw_Data[#All],DW$2,0)/DW$1</f>
        <v>1.9703684641924475</v>
      </c>
      <c r="DX6" s="87">
        <f>VLOOKUP($B6,Raw_Data[#All],DX$2,0)/DX$1</f>
        <v>1.8970387687512176</v>
      </c>
      <c r="DY6" s="87">
        <f>VLOOKUP($B6,Raw_Data[#All],DY$2,0)/DY$1</f>
        <v>1.8994206600403503</v>
      </c>
      <c r="DZ6" s="87">
        <f>VLOOKUP($B6,Raw_Data[#All],DZ$2,0)/DZ$1</f>
        <v>1.9109955604208475</v>
      </c>
      <c r="EA6" s="87">
        <f>VLOOKUP($B6,Raw_Data[#All],EA$2,0)/EA$1</f>
        <v>1.9103208812260535</v>
      </c>
      <c r="EB6" s="87">
        <f>VLOOKUP($B6,Raw_Data[#All],EB$2,0)/EB$1</f>
        <v>1.9478368454661559</v>
      </c>
      <c r="EC6" s="87">
        <f>VLOOKUP($B6,Raw_Data[#All],EC$2,0)/EC$1</f>
        <v>1.9263181182811919</v>
      </c>
      <c r="ED6" s="87">
        <f>VLOOKUP($B6,Raw_Data[#All],ED$2,0)/ED$1</f>
        <v>1.8967839312666901</v>
      </c>
      <c r="EE6" s="87">
        <f>VLOOKUP($B6,Raw_Data[#All],EE$2,0)/EE$1</f>
        <v>1.9218411076648623</v>
      </c>
      <c r="EF6" s="87">
        <f>VLOOKUP($B6,Raw_Data[#All],EF$2,0)/EF$1</f>
        <v>1.8928457398284984</v>
      </c>
      <c r="EG6" s="87">
        <f>VLOOKUP($B6,Raw_Data[#All],EG$2,0)/EG$1</f>
        <v>1.8633261494252873</v>
      </c>
      <c r="EH6" s="87">
        <f>VLOOKUP($B6,Raw_Data[#All],EH$2,0)/EH$1</f>
        <v>1.867666427203065</v>
      </c>
      <c r="EI6" s="87">
        <f>VLOOKUP($B6,Raw_Data[#All],EI$2,0)/EI$1</f>
        <v>1.9218727827444302</v>
      </c>
      <c r="EJ6" s="87">
        <f>VLOOKUP($B6,Raw_Data[#All],EJ$2,0)/EJ$1</f>
        <v>1.9122584764965189</v>
      </c>
      <c r="EK6" s="87">
        <f>VLOOKUP($B6,Raw_Data[#All],EK$2,0)/EK$1</f>
        <v>1.9353980417198806</v>
      </c>
      <c r="EL6" s="87">
        <f>VLOOKUP($B6,Raw_Data[#All],EL$2,0)/EL$1</f>
        <v>1.9106407995296883</v>
      </c>
      <c r="EM6" s="87">
        <f>VLOOKUP($B6,Raw_Data[#All],EM$2,0)/EM$1</f>
        <v>1.9196661450182579</v>
      </c>
      <c r="EN6" s="87">
        <f>VLOOKUP($B6,Raw_Data[#All],EN$2,0)/EN$1</f>
        <v>1.9220438281740964</v>
      </c>
      <c r="EO6" s="87">
        <f>VLOOKUP($B6,Raw_Data[#All],EO$2,0)/EO$1</f>
        <v>1.9076768039591316</v>
      </c>
      <c r="EP6" s="87">
        <f>VLOOKUP($B6,Raw_Data[#All],EP$2,0)/EP$1</f>
        <v>1.9024385376756068</v>
      </c>
      <c r="EQ6" s="87">
        <f>VLOOKUP($B6,Raw_Data[#All],EQ$2,0)/EQ$1</f>
        <v>1.9027986006996505</v>
      </c>
      <c r="ER6" s="87">
        <f>VLOOKUP($B6,Raw_Data[#All],ER$2,0)/ER$1</f>
        <v>1.9063519937562081</v>
      </c>
      <c r="ES6" s="87">
        <f>VLOOKUP($B6,Raw_Data[#All],ES$2,0)/ES$1</f>
        <v>1.8962819059953593</v>
      </c>
      <c r="ET6" s="87">
        <f>VLOOKUP($B6,Raw_Data[#All],ET$2,0)/ET$1</f>
        <v>1.8988002086593636</v>
      </c>
      <c r="EU6" s="87">
        <f>VLOOKUP($B6,Raw_Data[#All],EU$2,0)/EU$1</f>
        <v>1.9093231162196682</v>
      </c>
      <c r="EV6" s="87">
        <f>VLOOKUP($B6,Raw_Data[#All],EV$2,0)/EV$1</f>
        <v>1.8893234709805591</v>
      </c>
      <c r="EW6" s="87">
        <f>VLOOKUP($B6,Raw_Data[#All],EW$2,0)/EW$1</f>
        <v>1.9028376436781609</v>
      </c>
      <c r="EX6" s="87">
        <f>VLOOKUP($B6,Raw_Data[#All],EX$2,0)/EX$1</f>
        <v>1.91858687244797</v>
      </c>
      <c r="EY6" s="87">
        <f>VLOOKUP($B6,Raw_Data[#All],EY$2,0)/EY$1</f>
        <v>1.9068670792808722</v>
      </c>
      <c r="EZ6" s="87">
        <f>VLOOKUP($B6,Raw_Data[#All],EZ$2,0)/EZ$1</f>
        <v>1.9074606215410812</v>
      </c>
      <c r="FA6" s="87">
        <f>VLOOKUP($B6,Raw_Data[#All],FA$2,0)/FA$1</f>
        <v>1.9133585213566056</v>
      </c>
      <c r="FB6" s="87">
        <f>VLOOKUP($B6,Raw_Data[#All],FB$2,0)/FB$1</f>
        <v>1.8830708102738754</v>
      </c>
      <c r="FC6" s="87">
        <f>VLOOKUP($B6,Raw_Data[#All],FC$2,0)/FC$1</f>
        <v>1.8927380445579678</v>
      </c>
      <c r="FD6" s="87">
        <f>VLOOKUP($B6,Raw_Data[#All],FD$2,0)/FD$1</f>
        <v>1.8843291028097062</v>
      </c>
      <c r="FE6" s="87">
        <f>VLOOKUP($B6,Raw_Data[#All],FE$2,0)/FE$1</f>
        <v>1.918147793387257</v>
      </c>
      <c r="FF6" s="87">
        <f>VLOOKUP($B6,Raw_Data[#All],FF$2,0)/FF$1</f>
        <v>1.8985472541507025</v>
      </c>
      <c r="FG6" s="105">
        <f>VLOOKUP($B6,Raw_Data[#All],FG$2,0)/FG$1</f>
        <v>1.9192221992697009</v>
      </c>
    </row>
    <row r="7" spans="2:163">
      <c r="B7" s="104">
        <f t="shared" si="0"/>
        <v>45830</v>
      </c>
      <c r="C7" s="87">
        <f>VLOOKUP($B7,Raw_Data[#All],C$2,0)/C$1</f>
        <v>5.0507157829900953</v>
      </c>
      <c r="D7" s="87">
        <f>VLOOKUP($B7,Raw_Data[#All],D$2,0)/D$1</f>
        <v>5.052783637311598</v>
      </c>
      <c r="E7" s="87">
        <f>VLOOKUP($B7,Raw_Data[#All],E$2,0)/E$1</f>
        <v>5.0222662285170356</v>
      </c>
      <c r="F7" s="87">
        <f>VLOOKUP($B7,Raw_Data[#All],F$2,0)/F$1</f>
        <v>5.0292510245679729</v>
      </c>
      <c r="G7" s="87">
        <f>VLOOKUP($B7,Raw_Data[#All],G$2,0)/G$1</f>
        <v>5.0663203562596566</v>
      </c>
      <c r="H7" s="87">
        <f>VLOOKUP($B7,Raw_Data[#All],H$2,0)/H$1</f>
        <v>5.0591932498170387</v>
      </c>
      <c r="I7" s="87">
        <f>VLOOKUP($B7,Raw_Data[#All],I$2,0)/I$1</f>
        <v>5.0932981282974827</v>
      </c>
      <c r="J7" s="87">
        <f>VLOOKUP($B7,Raw_Data[#All],J$2,0)/J$1</f>
        <v>4.9406750689427268</v>
      </c>
      <c r="K7" s="87">
        <f>VLOOKUP($B7,Raw_Data[#All],K$2,0)/K$1</f>
        <v>5.0723473053319363</v>
      </c>
      <c r="L7" s="87">
        <f>VLOOKUP($B7,Raw_Data[#All],L$2,0)/L$1</f>
        <v>5.0387446726075167</v>
      </c>
      <c r="M7" s="87">
        <f>VLOOKUP($B7,Raw_Data[#All],M$2,0)/M$1</f>
        <v>4.8925099244321473</v>
      </c>
      <c r="N7" s="87">
        <f>VLOOKUP($B7,Raw_Data[#All],N$2,0)/N$1</f>
        <v>5.0692381649375058</v>
      </c>
      <c r="O7" s="87">
        <f>VLOOKUP($B7,Raw_Data[#All],O$2,0)/O$1</f>
        <v>4.8901477455408404</v>
      </c>
      <c r="P7" s="87">
        <f>VLOOKUP($B7,Raw_Data[#All],P$2,0)/P$1</f>
        <v>5.0148521244995479</v>
      </c>
      <c r="Q7" s="87">
        <f>VLOOKUP($B7,Raw_Data[#All],Q$2,0)/Q$1</f>
        <v>4.9920836502264887</v>
      </c>
      <c r="R7" s="87">
        <f>VLOOKUP($B7,Raw_Data[#All],R$2,0)/R$1</f>
        <v>5.0534532983196288</v>
      </c>
      <c r="S7" s="87">
        <f>VLOOKUP($B7,Raw_Data[#All],S$2,0)/S$1</f>
        <v>5.0044723788750645</v>
      </c>
      <c r="T7" s="87">
        <f>VLOOKUP($B7,Raw_Data[#All],T$2,0)/T$1</f>
        <v>4.844853894317926</v>
      </c>
      <c r="U7" s="87">
        <f>VLOOKUP($B7,Raw_Data[#All],U$2,0)/U$1</f>
        <v>5.0158087830824494</v>
      </c>
      <c r="V7" s="87">
        <f>VLOOKUP($B7,Raw_Data[#All],V$2,0)/V$1</f>
        <v>5.0421647270413903</v>
      </c>
      <c r="W7" s="87">
        <f>VLOOKUP($B7,Raw_Data[#All],W$2,0)/W$1</f>
        <v>5.009495664199215</v>
      </c>
      <c r="X7" s="87">
        <f>VLOOKUP($B7,Raw_Data[#All],X$2,0)/X$1</f>
        <v>4.8939974457215838</v>
      </c>
      <c r="Y7" s="87">
        <f>VLOOKUP($B7,Raw_Data[#All],Y$2,0)/Y$1</f>
        <v>5.0856976575003641</v>
      </c>
      <c r="Z7" s="87">
        <f>VLOOKUP($B7,Raw_Data[#All],Z$2,0)/Z$1</f>
        <v>5.0255747126436781</v>
      </c>
      <c r="AA7" s="87">
        <f>VLOOKUP($B7,Raw_Data[#All],AA$2,0)/AA$1</f>
        <v>4.9692528735632182</v>
      </c>
      <c r="AB7" s="87">
        <f>VLOOKUP($B7,Raw_Data[#All],AB$2,0)/AB$1</f>
        <v>5.0664292267012039</v>
      </c>
      <c r="AC7" s="87">
        <f>VLOOKUP($B7,Raw_Data[#All],AC$2,0)/AC$1</f>
        <v>4.8470984944281064</v>
      </c>
      <c r="AD7" s="87">
        <f>VLOOKUP($B7,Raw_Data[#All],AD$2,0)/AD$1</f>
        <v>4.864008325055579</v>
      </c>
      <c r="AE7" s="87">
        <f>VLOOKUP($B7,Raw_Data[#All],AE$2,0)/AE$1</f>
        <v>5.0515112813963388</v>
      </c>
      <c r="AF7" s="87">
        <f>VLOOKUP($B7,Raw_Data[#All],AF$2,0)/AF$1</f>
        <v>5.1068965517241383</v>
      </c>
      <c r="AG7" s="87">
        <f>VLOOKUP($B7,Raw_Data[#All],AG$2,0)/AG$1</f>
        <v>5.1069886997429554</v>
      </c>
      <c r="AH7" s="87">
        <f>VLOOKUP($B7,Raw_Data[#All],AH$2,0)/AH$1</f>
        <v>5.0498557305709282</v>
      </c>
      <c r="AI7" s="87">
        <f>VLOOKUP($B7,Raw_Data[#All],AI$2,0)/AI$1</f>
        <v>5.8390134936693112</v>
      </c>
      <c r="AJ7" s="87">
        <f>VLOOKUP($B7,Raw_Data[#All],AJ$2,0)/AJ$1</f>
        <v>5.8099310727491016</v>
      </c>
      <c r="AK7" s="87">
        <f>VLOOKUP($B7,Raw_Data[#All],AK$2,0)/AK$1</f>
        <v>5.8883292436178918</v>
      </c>
      <c r="AL7" s="87">
        <f>VLOOKUP($B7,Raw_Data[#All],AL$2,0)/AL$1</f>
        <v>5.8694352366055842</v>
      </c>
      <c r="AM7" s="87">
        <f>VLOOKUP($B7,Raw_Data[#All],AM$2,0)/AM$1</f>
        <v>5.151080306704741</v>
      </c>
      <c r="AN7" s="87">
        <f>VLOOKUP($B7,Raw_Data[#All],AN$2,0)/AN$1</f>
        <v>5.0795222447036981</v>
      </c>
      <c r="AO7" s="87">
        <f>VLOOKUP($B7,Raw_Data[#All],AO$2,0)/AO$1</f>
        <v>5.0994685761571974</v>
      </c>
      <c r="AP7" s="87">
        <f>VLOOKUP($B7,Raw_Data[#All],AP$2,0)/AP$1</f>
        <v>4.9727113139227308</v>
      </c>
      <c r="AQ7" s="87">
        <f>VLOOKUP($B7,Raw_Data[#All],AQ$2,0)/AQ$1</f>
        <v>5.0055054248576649</v>
      </c>
      <c r="AR7" s="87">
        <f>VLOOKUP($B7,Raw_Data[#All],AR$2,0)/AR$1</f>
        <v>4.5287485706117776</v>
      </c>
      <c r="AS7" s="87">
        <f>VLOOKUP($B7,Raw_Data[#All],AS$2,0)/AS$1</f>
        <v>5.0462296823156141</v>
      </c>
      <c r="AT7" s="87">
        <f>VLOOKUP($B7,Raw_Data[#All],AT$2,0)/AT$1</f>
        <v>4.4531972187613036</v>
      </c>
      <c r="AU7" s="87">
        <f>VLOOKUP($B7,Raw_Data[#All],AU$2,0)/AU$1</f>
        <v>4.5595742508550723</v>
      </c>
      <c r="AV7" s="87">
        <f>VLOOKUP($B7,Raw_Data[#All],AV$2,0)/AV$1</f>
        <v>4.6893931951403216</v>
      </c>
      <c r="AW7" s="87">
        <f>VLOOKUP($B7,Raw_Data[#All],AW$2,0)/AW$1</f>
        <v>4.6200342704487083</v>
      </c>
      <c r="AX7" s="87">
        <f>VLOOKUP($B7,Raw_Data[#All],AX$2,0)/AX$1</f>
        <v>5.0086385934758484</v>
      </c>
      <c r="AY7" s="87">
        <f>VLOOKUP($B7,Raw_Data[#All],AY$2,0)/AY$1</f>
        <v>4.7919155174286026</v>
      </c>
      <c r="AZ7" s="87">
        <f>VLOOKUP($B7,Raw_Data[#All],AZ$2,0)/AZ$1</f>
        <v>4.8285771176699512</v>
      </c>
      <c r="BA7" s="87">
        <f>VLOOKUP($B7,Raw_Data[#All],BA$2,0)/BA$1</f>
        <v>4.9307361728705796</v>
      </c>
      <c r="BB7" s="87">
        <f>VLOOKUP($B7,Raw_Data[#All],BB$2,0)/BB$1</f>
        <v>5.0859574553001279</v>
      </c>
      <c r="BC7" s="87">
        <f>VLOOKUP($B7,Raw_Data[#All],BC$2,0)/BC$1</f>
        <v>4.6702372600867017</v>
      </c>
      <c r="BD7" s="87">
        <f>VLOOKUP($B7,Raw_Data[#All],BD$2,0)/BD$1</f>
        <v>4.9290009717103933</v>
      </c>
      <c r="BE7" s="87">
        <f>VLOOKUP($B7,Raw_Data[#All],BE$2,0)/BE$1</f>
        <v>4.8574910510316052</v>
      </c>
      <c r="BF7" s="87">
        <f>VLOOKUP($B7,Raw_Data[#All],BF$2,0)/BF$1</f>
        <v>4.7711549174288841</v>
      </c>
      <c r="BG7" s="87">
        <f>VLOOKUP($B7,Raw_Data[#All],BG$2,0)/BG$1</f>
        <v>4.9769912222019501</v>
      </c>
      <c r="BH7" s="87">
        <f>VLOOKUP($B7,Raw_Data[#All],BH$2,0)/BH$1</f>
        <v>4.8102023920663717</v>
      </c>
      <c r="BI7" s="87">
        <f>VLOOKUP($B7,Raw_Data[#All],BI$2,0)/BI$1</f>
        <v>5.0599039104786225</v>
      </c>
      <c r="BJ7" s="87">
        <f>VLOOKUP($B7,Raw_Data[#All],BJ$2,0)/BJ$1</f>
        <v>4.8784560977352287</v>
      </c>
      <c r="BK7" s="87">
        <f>VLOOKUP($B7,Raw_Data[#All],BK$2,0)/BK$1</f>
        <v>4.7721835482884538</v>
      </c>
      <c r="BL7" s="87">
        <f>VLOOKUP($B7,Raw_Data[#All],BL$2,0)/BL$1</f>
        <v>5.0352733686067017</v>
      </c>
      <c r="BM7" s="87">
        <f>VLOOKUP($B7,Raw_Data[#All],BM$2,0)/BM$1</f>
        <v>4.8786717752234994</v>
      </c>
      <c r="BN7" s="87">
        <f>VLOOKUP($B7,Raw_Data[#All],BN$2,0)/BN$1</f>
        <v>4.9490421455938698</v>
      </c>
      <c r="BO7" s="87">
        <f>VLOOKUP($B7,Raw_Data[#All],BO$2,0)/BO$1</f>
        <v>4.9579342218247291</v>
      </c>
      <c r="BP7" s="87">
        <f>VLOOKUP($B7,Raw_Data[#All],BP$2,0)/BP$1</f>
        <v>5.0207639736269911</v>
      </c>
      <c r="BQ7" s="87">
        <f>VLOOKUP($B7,Raw_Data[#All],BQ$2,0)/BQ$1</f>
        <v>4.8602207828968176</v>
      </c>
      <c r="BR7" s="87">
        <f>VLOOKUP($B7,Raw_Data[#All],BR$2,0)/BR$1</f>
        <v>4.7705518145252404</v>
      </c>
      <c r="BS7" s="87">
        <f>VLOOKUP($B7,Raw_Data[#All],BS$2,0)/BS$1</f>
        <v>4.7858991882496165</v>
      </c>
      <c r="BT7" s="87">
        <f>VLOOKUP($B7,Raw_Data[#All],BT$2,0)/BT$1</f>
        <v>4.9942166244859223</v>
      </c>
      <c r="BU7" s="87">
        <f>VLOOKUP($B7,Raw_Data[#All],BU$2,0)/BU$1</f>
        <v>4.7694391594744046</v>
      </c>
      <c r="BV7" s="87">
        <f>VLOOKUP($B7,Raw_Data[#All],BV$2,0)/BV$1</f>
        <v>4.8418732332561163</v>
      </c>
      <c r="BW7" s="87">
        <f>VLOOKUP($B7,Raw_Data[#All],BW$2,0)/BW$1</f>
        <v>4.8972735854295077</v>
      </c>
      <c r="BX7" s="87">
        <f>VLOOKUP($B7,Raw_Data[#All],BX$2,0)/BX$1</f>
        <v>4.8038276613327318</v>
      </c>
      <c r="BY7" s="87">
        <f>VLOOKUP($B7,Raw_Data[#All],BY$2,0)/BY$1</f>
        <v>5.0585862271686022</v>
      </c>
      <c r="BZ7" s="87">
        <f>VLOOKUP($B7,Raw_Data[#All],BZ$2,0)/BZ$1</f>
        <v>4.8188337843510256</v>
      </c>
      <c r="CA7" s="87">
        <f>VLOOKUP($B7,Raw_Data[#All],CA$2,0)/CA$1</f>
        <v>4.9601408972932886</v>
      </c>
      <c r="CB7" s="87">
        <f>VLOOKUP($B7,Raw_Data[#All],CB$2,0)/CB$1</f>
        <v>4.8554349368525616</v>
      </c>
      <c r="CC7" s="87">
        <f>VLOOKUP($B7,Raw_Data[#All],CC$2,0)/CC$1</f>
        <v>5.068063410975288</v>
      </c>
      <c r="CD7" s="87">
        <f>VLOOKUP($B7,Raw_Data[#All],CD$2,0)/CD$1</f>
        <v>4.879706078103359</v>
      </c>
      <c r="CE7" s="87">
        <f>VLOOKUP($B7,Raw_Data[#All],CE$2,0)/CE$1</f>
        <v>5.0107758620689653</v>
      </c>
      <c r="CF7" s="87">
        <f>VLOOKUP($B7,Raw_Data[#All],CF$2,0)/CF$1</f>
        <v>4.8586562384053504</v>
      </c>
      <c r="CG7" s="87">
        <f>VLOOKUP($B7,Raw_Data[#All],CG$2,0)/CG$1</f>
        <v>5.0127758985715323</v>
      </c>
      <c r="CH7" s="87">
        <f>VLOOKUP($B7,Raw_Data[#All],CH$2,0)/CH$1</f>
        <v>4.6229217195683496</v>
      </c>
      <c r="CI7" s="87">
        <f>VLOOKUP($B7,Raw_Data[#All],CI$2,0)/CI$1</f>
        <v>5.036974058842139</v>
      </c>
      <c r="CJ7" s="87">
        <f>VLOOKUP($B7,Raw_Data[#All],CJ$2,0)/CJ$1</f>
        <v>4.7110848245601966</v>
      </c>
      <c r="CK7" s="87">
        <f>VLOOKUP($B7,Raw_Data[#All],CK$2,0)/CK$1</f>
        <v>5.0122093483074979</v>
      </c>
      <c r="CL7" s="87">
        <f>VLOOKUP($B7,Raw_Data[#All],CL$2,0)/CL$1</f>
        <v>5.165274795418723</v>
      </c>
      <c r="CM7" s="87">
        <f>VLOOKUP($B7,Raw_Data[#All],CM$2,0)/CM$1</f>
        <v>4.9301678525816452</v>
      </c>
      <c r="CN7" s="87">
        <f>VLOOKUP($B7,Raw_Data[#All],CN$2,0)/CN$1</f>
        <v>4.9491022462624894</v>
      </c>
      <c r="CO7" s="87">
        <f>VLOOKUP($B7,Raw_Data[#All],CO$2,0)/CO$1</f>
        <v>5.1561405677089773</v>
      </c>
      <c r="CP7" s="87">
        <f>VLOOKUP($B7,Raw_Data[#All],CP$2,0)/CP$1</f>
        <v>4.920178799489145</v>
      </c>
      <c r="CQ7" s="87">
        <f>VLOOKUP($B7,Raw_Data[#All],CQ$2,0)/CQ$1</f>
        <v>4.9351851851851851</v>
      </c>
      <c r="CR7" s="87">
        <f>VLOOKUP($B7,Raw_Data[#All],CR$2,0)/CR$1</f>
        <v>5.112398227969349</v>
      </c>
      <c r="CS7" s="87">
        <f>VLOOKUP($B7,Raw_Data[#All],CS$2,0)/CS$1</f>
        <v>5.0544280810983393</v>
      </c>
      <c r="CT7" s="87">
        <f>VLOOKUP($B7,Raw_Data[#All],CT$2,0)/CT$1</f>
        <v>4.9282175303207341</v>
      </c>
      <c r="CU7" s="87">
        <f>VLOOKUP($B7,Raw_Data[#All],CU$2,0)/CU$1</f>
        <v>5.1202554278416343</v>
      </c>
      <c r="CV7" s="87">
        <f>VLOOKUP($B7,Raw_Data[#All],CV$2,0)/CV$1</f>
        <v>5.0640534433637878</v>
      </c>
      <c r="CW7" s="87">
        <f>VLOOKUP($B7,Raw_Data[#All],CW$2,0)/CW$1</f>
        <v>4.8962212755316203</v>
      </c>
      <c r="CX7" s="87">
        <f>VLOOKUP($B7,Raw_Data[#All],CX$2,0)/CX$1</f>
        <v>5.1079388621101636</v>
      </c>
      <c r="CY7" s="87">
        <f>VLOOKUP($B7,Raw_Data[#All],CY$2,0)/CY$1</f>
        <v>4.8440825883354623</v>
      </c>
      <c r="CZ7" s="87">
        <f>VLOOKUP($B7,Raw_Data[#All],CZ$2,0)/CZ$1</f>
        <v>5.1259115066122858</v>
      </c>
      <c r="DA7" s="87">
        <f>VLOOKUP($B7,Raw_Data[#All],DA$2,0)/DA$1</f>
        <v>4.8978744754606822</v>
      </c>
      <c r="DB7" s="87">
        <f>VLOOKUP($B7,Raw_Data[#All],DB$2,0)/DB$1</f>
        <v>5.0476931673052361</v>
      </c>
      <c r="DC7" s="87">
        <f>VLOOKUP($B7,Raw_Data[#All],DC$2,0)/DC$1</f>
        <v>4.8433255985465804</v>
      </c>
      <c r="DD7" s="87">
        <f>VLOOKUP($B7,Raw_Data[#All],DD$2,0)/DD$1</f>
        <v>5.0054435441659866</v>
      </c>
      <c r="DE7" s="87">
        <f>VLOOKUP($B7,Raw_Data[#All],DE$2,0)/DE$1</f>
        <v>4.8741748061806343</v>
      </c>
      <c r="DF7" s="87">
        <f>VLOOKUP($B7,Raw_Data[#All],DF$2,0)/DF$1</f>
        <v>5.0117736270753515</v>
      </c>
      <c r="DG7" s="87">
        <f>VLOOKUP($B7,Raw_Data[#All],DG$2,0)/DG$1</f>
        <v>4.8955026455026456</v>
      </c>
      <c r="DH7" s="87">
        <f>VLOOKUP($B7,Raw_Data[#All],DH$2,0)/DH$1</f>
        <v>4.9643797892720309</v>
      </c>
      <c r="DI7" s="87">
        <f>VLOOKUP($B7,Raw_Data[#All],DI$2,0)/DI$1</f>
        <v>4.9271118409049448</v>
      </c>
      <c r="DJ7" s="87">
        <f>VLOOKUP($B7,Raw_Data[#All],DJ$2,0)/DJ$1</f>
        <v>4.8919420498084287</v>
      </c>
      <c r="DK7" s="87">
        <f>VLOOKUP($B7,Raw_Data[#All],DK$2,0)/DK$1</f>
        <v>5.0514659301117497</v>
      </c>
      <c r="DL7" s="87">
        <f>VLOOKUP($B7,Raw_Data[#All],DL$2,0)/DL$1</f>
        <v>4.8956394818463789</v>
      </c>
      <c r="DM7" s="87">
        <f>VLOOKUP($B7,Raw_Data[#All],DM$2,0)/DM$1</f>
        <v>4.9552003512132821</v>
      </c>
      <c r="DN7" s="87">
        <f>VLOOKUP($B7,Raw_Data[#All],DN$2,0)/DN$1</f>
        <v>5.0435154286655965</v>
      </c>
      <c r="DO7" s="87">
        <f>VLOOKUP($B7,Raw_Data[#All],DO$2,0)/DO$1</f>
        <v>4.9075659175928195</v>
      </c>
      <c r="DP7" s="87">
        <f>VLOOKUP($B7,Raw_Data[#All],DP$2,0)/DP$1</f>
        <v>4.88231432014822</v>
      </c>
      <c r="DQ7" s="87">
        <f>VLOOKUP($B7,Raw_Data[#All],DQ$2,0)/DQ$1</f>
        <v>4.906677613574165</v>
      </c>
      <c r="DR7" s="87">
        <f>VLOOKUP($B7,Raw_Data[#All],DR$2,0)/DR$1</f>
        <v>5.0426544540229878</v>
      </c>
      <c r="DS7" s="87">
        <f>VLOOKUP($B7,Raw_Data[#All],DS$2,0)/DS$1</f>
        <v>4.8775475329627831</v>
      </c>
      <c r="DT7" s="87">
        <f>VLOOKUP($B7,Raw_Data[#All],DT$2,0)/DT$1</f>
        <v>5.0862068965517233</v>
      </c>
      <c r="DU7" s="87">
        <f>VLOOKUP($B7,Raw_Data[#All],DU$2,0)/DU$1</f>
        <v>5.0137104650289226</v>
      </c>
      <c r="DV7" s="87">
        <f>VLOOKUP($B7,Raw_Data[#All],DV$2,0)/DV$1</f>
        <v>4.9303148249508393</v>
      </c>
      <c r="DW7" s="87">
        <f>VLOOKUP($B7,Raw_Data[#All],DW$2,0)/DW$1</f>
        <v>5.0494653170926975</v>
      </c>
      <c r="DX7" s="87">
        <f>VLOOKUP($B7,Raw_Data[#All],DX$2,0)/DX$1</f>
        <v>5.0165595168517436</v>
      </c>
      <c r="DY7" s="87">
        <f>VLOOKUP($B7,Raw_Data[#All],DY$2,0)/DY$1</f>
        <v>4.934292113202658</v>
      </c>
      <c r="DZ7" s="87">
        <f>VLOOKUP($B7,Raw_Data[#All],DZ$2,0)/DZ$1</f>
        <v>5.0870684587159687</v>
      </c>
      <c r="EA7" s="87">
        <f>VLOOKUP($B7,Raw_Data[#All],EA$2,0)/EA$1</f>
        <v>4.9006724936143033</v>
      </c>
      <c r="EB7" s="87">
        <f>VLOOKUP($B7,Raw_Data[#All],EB$2,0)/EB$1</f>
        <v>5.1098539272030656</v>
      </c>
      <c r="EC7" s="87">
        <f>VLOOKUP($B7,Raw_Data[#All],EC$2,0)/EC$1</f>
        <v>5.0840699510262368</v>
      </c>
      <c r="ED7" s="87">
        <f>VLOOKUP($B7,Raw_Data[#All],ED$2,0)/ED$1</f>
        <v>5.2586787414373628</v>
      </c>
      <c r="EE7" s="87">
        <f>VLOOKUP($B7,Raw_Data[#All],EE$2,0)/EE$1</f>
        <v>5.0964949623953455</v>
      </c>
      <c r="EF7" s="87">
        <f>VLOOKUP($B7,Raw_Data[#All],EF$2,0)/EF$1</f>
        <v>5.233534026637475</v>
      </c>
      <c r="EG7" s="87">
        <f>VLOOKUP($B7,Raw_Data[#All],EG$2,0)/EG$1</f>
        <v>4.9869791666666661</v>
      </c>
      <c r="EH7" s="87">
        <f>VLOOKUP($B7,Raw_Data[#All],EH$2,0)/EH$1</f>
        <v>5.0021950830140485</v>
      </c>
      <c r="EI7" s="87">
        <f>VLOOKUP($B7,Raw_Data[#All],EI$2,0)/EI$1</f>
        <v>4.9338370937987799</v>
      </c>
      <c r="EJ7" s="87">
        <f>VLOOKUP($B7,Raw_Data[#All],EJ$2,0)/EJ$1</f>
        <v>5.1873995797800028</v>
      </c>
      <c r="EK7" s="87">
        <f>VLOOKUP($B7,Raw_Data[#All],EK$2,0)/EK$1</f>
        <v>4.9445242656449553</v>
      </c>
      <c r="EL7" s="87">
        <f>VLOOKUP($B7,Raw_Data[#All],EL$2,0)/EL$1</f>
        <v>5.1420563968456685</v>
      </c>
      <c r="EM7" s="87">
        <f>VLOOKUP($B7,Raw_Data[#All],EM$2,0)/EM$1</f>
        <v>4.9468008562229056</v>
      </c>
      <c r="EN7" s="87">
        <f>VLOOKUP($B7,Raw_Data[#All],EN$2,0)/EN$1</f>
        <v>5.155841391473575</v>
      </c>
      <c r="EO7" s="87">
        <f>VLOOKUP($B7,Raw_Data[#All],EO$2,0)/EO$1</f>
        <v>5.1275143678160919</v>
      </c>
      <c r="EP7" s="87">
        <f>VLOOKUP($B7,Raw_Data[#All],EP$2,0)/EP$1</f>
        <v>5.0615122126436782</v>
      </c>
      <c r="EQ7" s="87">
        <f>VLOOKUP($B7,Raw_Data[#All],EQ$2,0)/EQ$1</f>
        <v>5.0396098247172709</v>
      </c>
      <c r="ER7" s="87">
        <f>VLOOKUP($B7,Raw_Data[#All],ER$2,0)/ER$1</f>
        <v>4.9485153256704981</v>
      </c>
      <c r="ES7" s="87">
        <f>VLOOKUP($B7,Raw_Data[#All],ES$2,0)/ES$1</f>
        <v>4.9266094652204417</v>
      </c>
      <c r="ET7" s="87">
        <f>VLOOKUP($B7,Raw_Data[#All],ET$2,0)/ET$1</f>
        <v>4.9656431565125114</v>
      </c>
      <c r="EU7" s="87">
        <f>VLOOKUP($B7,Raw_Data[#All],EU$2,0)/EU$1</f>
        <v>4.9609213390175029</v>
      </c>
      <c r="EV7" s="87">
        <f>VLOOKUP($B7,Raw_Data[#All],EV$2,0)/EV$1</f>
        <v>4.9079838938555413</v>
      </c>
      <c r="EW7" s="87">
        <f>VLOOKUP($B7,Raw_Data[#All],EW$2,0)/EW$1</f>
        <v>5.1400363186462323</v>
      </c>
      <c r="EX7" s="87">
        <f>VLOOKUP($B7,Raw_Data[#All],EX$2,0)/EX$1</f>
        <v>4.9834511539222568</v>
      </c>
      <c r="EY7" s="87">
        <f>VLOOKUP($B7,Raw_Data[#All],EY$2,0)/EY$1</f>
        <v>4.9908010252837833</v>
      </c>
      <c r="EZ7" s="87">
        <f>VLOOKUP($B7,Raw_Data[#All],EZ$2,0)/EZ$1</f>
        <v>4.9477614587767844</v>
      </c>
      <c r="FA7" s="87">
        <f>VLOOKUP($B7,Raw_Data[#All],FA$2,0)/FA$1</f>
        <v>4.9799116645381014</v>
      </c>
      <c r="FB7" s="87">
        <f>VLOOKUP($B7,Raw_Data[#All],FB$2,0)/FB$1</f>
        <v>4.8837714630339155</v>
      </c>
      <c r="FC7" s="87">
        <f>VLOOKUP($B7,Raw_Data[#All],FC$2,0)/FC$1</f>
        <v>4.9439921243082159</v>
      </c>
      <c r="FD7" s="87">
        <f>VLOOKUP($B7,Raw_Data[#All],FD$2,0)/FD$1</f>
        <v>5.1407846424010222</v>
      </c>
      <c r="FE7" s="87">
        <f>VLOOKUP($B7,Raw_Data[#All],FE$2,0)/FE$1</f>
        <v>4.9427061160777637</v>
      </c>
      <c r="FF7" s="87">
        <f>VLOOKUP($B7,Raw_Data[#All],FF$2,0)/FF$1</f>
        <v>5.1379909003831417</v>
      </c>
      <c r="FG7" s="105">
        <f>VLOOKUP($B7,Raw_Data[#All],FG$2,0)/FG$1</f>
        <v>4.9829612714776523</v>
      </c>
    </row>
    <row r="8" spans="2:163">
      <c r="B8" s="104">
        <f t="shared" si="0"/>
        <v>45831</v>
      </c>
      <c r="C8" s="87">
        <f>VLOOKUP($B8,Raw_Data[#All],C$2,0)/C$1</f>
        <v>4.8241587935505015</v>
      </c>
      <c r="D8" s="87">
        <f>VLOOKUP($B8,Raw_Data[#All],D$2,0)/D$1</f>
        <v>4.9036883971663769</v>
      </c>
      <c r="E8" s="87">
        <f>VLOOKUP($B8,Raw_Data[#All],E$2,0)/E$1</f>
        <v>4.8724534944346383</v>
      </c>
      <c r="F8" s="87">
        <f>VLOOKUP($B8,Raw_Data[#All],F$2,0)/F$1</f>
        <v>4.8637799880156232</v>
      </c>
      <c r="G8" s="87">
        <f>VLOOKUP($B8,Raw_Data[#All],G$2,0)/G$1</f>
        <v>4.9241130579113266</v>
      </c>
      <c r="H8" s="87">
        <f>VLOOKUP($B8,Raw_Data[#All],H$2,0)/H$1</f>
        <v>4.9348276340398254</v>
      </c>
      <c r="I8" s="87">
        <f>VLOOKUP($B8,Raw_Data[#All],I$2,0)/I$1</f>
        <v>4.9625229000148279</v>
      </c>
      <c r="J8" s="87">
        <f>VLOOKUP($B8,Raw_Data[#All],J$2,0)/J$1</f>
        <v>4.8907172322629169</v>
      </c>
      <c r="K8" s="87">
        <f>VLOOKUP($B8,Raw_Data[#All],K$2,0)/K$1</f>
        <v>4.9337753095986336</v>
      </c>
      <c r="L8" s="87">
        <f>VLOOKUP($B8,Raw_Data[#All],L$2,0)/L$1</f>
        <v>4.914714470662723</v>
      </c>
      <c r="M8" s="87">
        <f>VLOOKUP($B8,Raw_Data[#All],M$2,0)/M$1</f>
        <v>4.9099200577421511</v>
      </c>
      <c r="N8" s="87">
        <f>VLOOKUP($B8,Raw_Data[#All],N$2,0)/N$1</f>
        <v>4.929279014258996</v>
      </c>
      <c r="O8" s="87">
        <f>VLOOKUP($B8,Raw_Data[#All],O$2,0)/O$1</f>
        <v>4.9176627552192116</v>
      </c>
      <c r="P8" s="87">
        <f>VLOOKUP($B8,Raw_Data[#All],P$2,0)/P$1</f>
        <v>4.8616910853769948</v>
      </c>
      <c r="Q8" s="87">
        <f>VLOOKUP($B8,Raw_Data[#All],Q$2,0)/Q$1</f>
        <v>4.8899603465017387</v>
      </c>
      <c r="R8" s="87">
        <f>VLOOKUP($B8,Raw_Data[#All],R$2,0)/R$1</f>
        <v>4.9219127431706529</v>
      </c>
      <c r="S8" s="87">
        <f>VLOOKUP($B8,Raw_Data[#All],S$2,0)/S$1</f>
        <v>4.8911083368012198</v>
      </c>
      <c r="T8" s="87">
        <f>VLOOKUP($B8,Raw_Data[#All],T$2,0)/T$1</f>
        <v>4.8289733618417587</v>
      </c>
      <c r="U8" s="87">
        <f>VLOOKUP($B8,Raw_Data[#All],U$2,0)/U$1</f>
        <v>4.8971352858735004</v>
      </c>
      <c r="V8" s="87">
        <f>VLOOKUP($B8,Raw_Data[#All],V$2,0)/V$1</f>
        <v>4.9186122710596427</v>
      </c>
      <c r="W8" s="87">
        <f>VLOOKUP($B8,Raw_Data[#All],W$2,0)/W$1</f>
        <v>4.865189984323866</v>
      </c>
      <c r="X8" s="87">
        <f>VLOOKUP($B8,Raw_Data[#All],X$2,0)/X$1</f>
        <v>4.7999148573861223</v>
      </c>
      <c r="Y8" s="87">
        <f>VLOOKUP($B8,Raw_Data[#All],Y$2,0)/Y$1</f>
        <v>4.8536301469518408</v>
      </c>
      <c r="Z8" s="87">
        <f>VLOOKUP($B8,Raw_Data[#All],Z$2,0)/Z$1</f>
        <v>4.839846743295019</v>
      </c>
      <c r="AA8" s="87">
        <f>VLOOKUP($B8,Raw_Data[#All],AA$2,0)/AA$1</f>
        <v>4.7830459770114944</v>
      </c>
      <c r="AB8" s="87">
        <f>VLOOKUP($B8,Raw_Data[#All],AB$2,0)/AB$1</f>
        <v>4.7001241163455827</v>
      </c>
      <c r="AC8" s="87">
        <f>VLOOKUP($B8,Raw_Data[#All],AC$2,0)/AC$1</f>
        <v>4.7033137736858812</v>
      </c>
      <c r="AD8" s="87">
        <f>VLOOKUP($B8,Raw_Data[#All],AD$2,0)/AD$1</f>
        <v>4.6958989640981983</v>
      </c>
      <c r="AE8" s="87">
        <f>VLOOKUP($B8,Raw_Data[#All],AE$2,0)/AE$1</f>
        <v>4.8542642259117352</v>
      </c>
      <c r="AF8" s="87">
        <f>VLOOKUP($B8,Raw_Data[#All],AF$2,0)/AF$1</f>
        <v>4.9078544061302685</v>
      </c>
      <c r="AG8" s="87">
        <f>VLOOKUP($B8,Raw_Data[#All],AG$2,0)/AG$1</f>
        <v>4.8772976381007807</v>
      </c>
      <c r="AH8" s="87">
        <f>VLOOKUP($B8,Raw_Data[#All],AH$2,0)/AH$1</f>
        <v>4.8694006906012017</v>
      </c>
      <c r="AI8" s="87">
        <f>VLOOKUP($B8,Raw_Data[#All],AI$2,0)/AI$1</f>
        <v>4.9438202247191008</v>
      </c>
      <c r="AJ8" s="87">
        <f>VLOOKUP($B8,Raw_Data[#All],AJ$2,0)/AJ$1</f>
        <v>4.9415242441201368</v>
      </c>
      <c r="AK8" s="87">
        <f>VLOOKUP($B8,Raw_Data[#All],AK$2,0)/AK$1</f>
        <v>4.9772554421915132</v>
      </c>
      <c r="AL8" s="87">
        <f>VLOOKUP($B8,Raw_Data[#All],AL$2,0)/AL$1</f>
        <v>4.9400414233166394</v>
      </c>
      <c r="AM8" s="87">
        <f>VLOOKUP($B8,Raw_Data[#All],AM$2,0)/AM$1</f>
        <v>4.9838085534843897</v>
      </c>
      <c r="AN8" s="87">
        <f>VLOOKUP($B8,Raw_Data[#All],AN$2,0)/AN$1</f>
        <v>4.8840768962168939</v>
      </c>
      <c r="AO8" s="87">
        <f>VLOOKUP($B8,Raw_Data[#All],AO$2,0)/AO$1</f>
        <v>4.916029292885808</v>
      </c>
      <c r="AP8" s="87">
        <f>VLOOKUP($B8,Raw_Data[#All],AP$2,0)/AP$1</f>
        <v>4.8459540516882633</v>
      </c>
      <c r="AQ8" s="87">
        <f>VLOOKUP($B8,Raw_Data[#All],AQ$2,0)/AQ$1</f>
        <v>4.9576574641028399</v>
      </c>
      <c r="AR8" s="87">
        <f>VLOOKUP($B8,Raw_Data[#All],AR$2,0)/AR$1</f>
        <v>4.3920633218982275</v>
      </c>
      <c r="AS8" s="87">
        <f>VLOOKUP($B8,Raw_Data[#All],AS$2,0)/AS$1</f>
        <v>4.9807773485904141</v>
      </c>
      <c r="AT8" s="87">
        <f>VLOOKUP($B8,Raw_Data[#All],AT$2,0)/AT$1</f>
        <v>4.288100246060135</v>
      </c>
      <c r="AU8" s="87">
        <f>VLOOKUP($B8,Raw_Data[#All],AU$2,0)/AU$1</f>
        <v>4.3864754028621515</v>
      </c>
      <c r="AV8" s="87">
        <f>VLOOKUP($B8,Raw_Data[#All],AV$2,0)/AV$1</f>
        <v>4.7647116612633855</v>
      </c>
      <c r="AW8" s="87">
        <f>VLOOKUP($B8,Raw_Data[#All],AW$2,0)/AW$1</f>
        <v>4.3736648242177827</v>
      </c>
      <c r="AX8" s="87">
        <f>VLOOKUP($B8,Raw_Data[#All],AX$2,0)/AX$1</f>
        <v>4.9869302109070084</v>
      </c>
      <c r="AY8" s="87">
        <f>VLOOKUP($B8,Raw_Data[#All],AY$2,0)/AY$1</f>
        <v>4.6662232598544904</v>
      </c>
      <c r="AZ8" s="87">
        <f>VLOOKUP($B8,Raw_Data[#All],AZ$2,0)/AZ$1</f>
        <v>4.734357888258347</v>
      </c>
      <c r="BA8" s="87">
        <f>VLOOKUP($B8,Raw_Data[#All],BA$2,0)/BA$1</f>
        <v>4.7868482628110112</v>
      </c>
      <c r="BB8" s="87">
        <f>VLOOKUP($B8,Raw_Data[#All],BB$2,0)/BB$1</f>
        <v>4.8374141922094509</v>
      </c>
      <c r="BC8" s="87">
        <f>VLOOKUP($B8,Raw_Data[#All],BC$2,0)/BC$1</f>
        <v>4.7601316712535757</v>
      </c>
      <c r="BD8" s="87">
        <f>VLOOKUP($B8,Raw_Data[#All],BD$2,0)/BD$1</f>
        <v>4.8381093815888372</v>
      </c>
      <c r="BE8" s="87">
        <f>VLOOKUP($B8,Raw_Data[#All],BE$2,0)/BE$1</f>
        <v>4.7677765186264462</v>
      </c>
      <c r="BF8" s="87">
        <f>VLOOKUP($B8,Raw_Data[#All],BF$2,0)/BF$1</f>
        <v>4.6946935254901261</v>
      </c>
      <c r="BG8" s="87">
        <f>VLOOKUP($B8,Raw_Data[#All],BG$2,0)/BG$1</f>
        <v>4.7313953252650567</v>
      </c>
      <c r="BH8" s="87">
        <f>VLOOKUP($B8,Raw_Data[#All],BH$2,0)/BH$1</f>
        <v>4.7935565693752089</v>
      </c>
      <c r="BI8" s="87">
        <f>VLOOKUP($B8,Raw_Data[#All],BI$2,0)/BI$1</f>
        <v>4.723691945914168</v>
      </c>
      <c r="BJ8" s="87">
        <f>VLOOKUP($B8,Raw_Data[#All],BJ$2,0)/BJ$1</f>
        <v>4.7937057940987353</v>
      </c>
      <c r="BK8" s="87">
        <f>VLOOKUP($B8,Raw_Data[#All],BK$2,0)/BK$1</f>
        <v>4.7506430665731303</v>
      </c>
      <c r="BL8" s="87">
        <f>VLOOKUP($B8,Raw_Data[#All],BL$2,0)/BL$1</f>
        <v>4.7394027853797969</v>
      </c>
      <c r="BM8" s="87">
        <f>VLOOKUP($B8,Raw_Data[#All],BM$2,0)/BM$1</f>
        <v>4.7826582740375843</v>
      </c>
      <c r="BN8" s="87">
        <f>VLOOKUP($B8,Raw_Data[#All],BN$2,0)/BN$1</f>
        <v>4.7640325670498083</v>
      </c>
      <c r="BO8" s="87">
        <f>VLOOKUP($B8,Raw_Data[#All],BO$2,0)/BO$1</f>
        <v>4.795903076260724</v>
      </c>
      <c r="BP8" s="87">
        <f>VLOOKUP($B8,Raw_Data[#All],BP$2,0)/BP$1</f>
        <v>4.7517110819863113</v>
      </c>
      <c r="BQ8" s="87">
        <f>VLOOKUP($B8,Raw_Data[#All],BQ$2,0)/BQ$1</f>
        <v>4.7478075130883202</v>
      </c>
      <c r="BR8" s="87">
        <f>VLOOKUP($B8,Raw_Data[#All],BR$2,0)/BR$1</f>
        <v>4.7208839878881008</v>
      </c>
      <c r="BS8" s="87">
        <f>VLOOKUP($B8,Raw_Data[#All],BS$2,0)/BS$1</f>
        <v>4.7504757551651844</v>
      </c>
      <c r="BT8" s="87">
        <f>VLOOKUP($B8,Raw_Data[#All],BT$2,0)/BT$1</f>
        <v>4.769060423916482</v>
      </c>
      <c r="BU8" s="87">
        <f>VLOOKUP($B8,Raw_Data[#All],BU$2,0)/BU$1</f>
        <v>4.7462248976300065</v>
      </c>
      <c r="BV8" s="87">
        <f>VLOOKUP($B8,Raw_Data[#All],BV$2,0)/BV$1</f>
        <v>4.6780826810625467</v>
      </c>
      <c r="BW8" s="87">
        <f>VLOOKUP($B8,Raw_Data[#All],BW$2,0)/BW$1</f>
        <v>4.7793695744720237</v>
      </c>
      <c r="BX8" s="87">
        <f>VLOOKUP($B8,Raw_Data[#All],BX$2,0)/BX$1</f>
        <v>4.6997314251371041</v>
      </c>
      <c r="BY8" s="87">
        <f>VLOOKUP($B8,Raw_Data[#All],BY$2,0)/BY$1</f>
        <v>4.8156763769790594</v>
      </c>
      <c r="BZ8" s="87">
        <f>VLOOKUP($B8,Raw_Data[#All],BZ$2,0)/BZ$1</f>
        <v>4.7617644169368303</v>
      </c>
      <c r="CA8" s="87">
        <f>VLOOKUP($B8,Raw_Data[#All],CA$2,0)/CA$1</f>
        <v>4.7790240184567221</v>
      </c>
      <c r="CB8" s="87">
        <f>VLOOKUP($B8,Raw_Data[#All],CB$2,0)/CB$1</f>
        <v>4.8310451255853559</v>
      </c>
      <c r="CC8" s="87">
        <f>VLOOKUP($B8,Raw_Data[#All],CC$2,0)/CC$1</f>
        <v>4.7843560583024178</v>
      </c>
      <c r="CD8" s="87">
        <f>VLOOKUP($B8,Raw_Data[#All],CD$2,0)/CD$1</f>
        <v>4.7953429388592097</v>
      </c>
      <c r="CE8" s="87">
        <f>VLOOKUP($B8,Raw_Data[#All],CE$2,0)/CE$1</f>
        <v>4.7738551882315727</v>
      </c>
      <c r="CF8" s="87">
        <f>VLOOKUP($B8,Raw_Data[#All],CF$2,0)/CF$1</f>
        <v>4.7681070019735099</v>
      </c>
      <c r="CG8" s="87">
        <f>VLOOKUP($B8,Raw_Data[#All],CG$2,0)/CG$1</f>
        <v>4.758572019565376</v>
      </c>
      <c r="CH8" s="87">
        <f>VLOOKUP($B8,Raw_Data[#All],CH$2,0)/CH$1</f>
        <v>4.7610197194980497</v>
      </c>
      <c r="CI8" s="87">
        <f>VLOOKUP($B8,Raw_Data[#All],CI$2,0)/CI$1</f>
        <v>4.7638207845618474</v>
      </c>
      <c r="CJ8" s="87">
        <f>VLOOKUP($B8,Raw_Data[#All],CJ$2,0)/CJ$1</f>
        <v>4.7256646905904844</v>
      </c>
      <c r="CK8" s="87">
        <f>VLOOKUP($B8,Raw_Data[#All],CK$2,0)/CK$1</f>
        <v>4.7822089528630185</v>
      </c>
      <c r="CL8" s="87">
        <f>VLOOKUP($B8,Raw_Data[#All],CL$2,0)/CL$1</f>
        <v>4.73799878497059</v>
      </c>
      <c r="CM8" s="87">
        <f>VLOOKUP($B8,Raw_Data[#All],CM$2,0)/CM$1</f>
        <v>4.8630268199233715</v>
      </c>
      <c r="CN8" s="87">
        <f>VLOOKUP($B8,Raw_Data[#All],CN$2,0)/CN$1</f>
        <v>4.7782379235218988</v>
      </c>
      <c r="CO8" s="87">
        <f>VLOOKUP($B8,Raw_Data[#All],CO$2,0)/CO$1</f>
        <v>4.8300580892349529</v>
      </c>
      <c r="CP8" s="87">
        <f>VLOOKUP($B8,Raw_Data[#All],CP$2,0)/CP$1</f>
        <v>4.8718426280686824</v>
      </c>
      <c r="CQ8" s="87">
        <f>VLOOKUP($B8,Raw_Data[#All],CQ$2,0)/CQ$1</f>
        <v>4.8343824119686181</v>
      </c>
      <c r="CR8" s="87">
        <f>VLOOKUP($B8,Raw_Data[#All],CR$2,0)/CR$1</f>
        <v>4.8654513888888893</v>
      </c>
      <c r="CS8" s="87">
        <f>VLOOKUP($B8,Raw_Data[#All],CS$2,0)/CS$1</f>
        <v>4.8120210727969353</v>
      </c>
      <c r="CT8" s="87">
        <f>VLOOKUP($B8,Raw_Data[#All],CT$2,0)/CT$1</f>
        <v>4.8715614611921785</v>
      </c>
      <c r="CU8" s="87">
        <f>VLOOKUP($B8,Raw_Data[#All],CU$2,0)/CU$1</f>
        <v>4.8988505747126441</v>
      </c>
      <c r="CV8" s="87">
        <f>VLOOKUP($B8,Raw_Data[#All],CV$2,0)/CV$1</f>
        <v>4.8645741231948127</v>
      </c>
      <c r="CW8" s="87">
        <f>VLOOKUP($B8,Raw_Data[#All],CW$2,0)/CW$1</f>
        <v>4.8745634952531498</v>
      </c>
      <c r="CX8" s="87">
        <f>VLOOKUP($B8,Raw_Data[#All],CX$2,0)/CX$1</f>
        <v>4.8718226012441805</v>
      </c>
      <c r="CY8" s="87">
        <f>VLOOKUP($B8,Raw_Data[#All],CY$2,0)/CY$1</f>
        <v>4.8344153540513695</v>
      </c>
      <c r="CZ8" s="87">
        <f>VLOOKUP($B8,Raw_Data[#All],CZ$2,0)/CZ$1</f>
        <v>4.8633255057059284</v>
      </c>
      <c r="DA8" s="87">
        <f>VLOOKUP($B8,Raw_Data[#All],DA$2,0)/DA$1</f>
        <v>4.8113482941069146</v>
      </c>
      <c r="DB8" s="87">
        <f>VLOOKUP($B8,Raw_Data[#All],DB$2,0)/DB$1</f>
        <v>4.8250419061302683</v>
      </c>
      <c r="DC8" s="87">
        <f>VLOOKUP($B8,Raw_Data[#All],DC$2,0)/DC$1</f>
        <v>4.801548756138363</v>
      </c>
      <c r="DD8" s="87">
        <f>VLOOKUP($B8,Raw_Data[#All],DD$2,0)/DD$1</f>
        <v>4.7976990557544541</v>
      </c>
      <c r="DE8" s="87">
        <f>VLOOKUP($B8,Raw_Data[#All],DE$2,0)/DE$1</f>
        <v>4.8199863292141094</v>
      </c>
      <c r="DF8" s="87">
        <f>VLOOKUP($B8,Raw_Data[#All],DF$2,0)/DF$1</f>
        <v>4.7855304118773949</v>
      </c>
      <c r="DG8" s="87">
        <f>VLOOKUP($B8,Raw_Data[#All],DG$2,0)/DG$1</f>
        <v>4.7943805874840359</v>
      </c>
      <c r="DH8" s="87">
        <f>VLOOKUP($B8,Raw_Data[#All],DH$2,0)/DH$1</f>
        <v>4.7448215996168583</v>
      </c>
      <c r="DI8" s="87">
        <f>VLOOKUP($B8,Raw_Data[#All],DI$2,0)/DI$1</f>
        <v>4.8503466520707894</v>
      </c>
      <c r="DJ8" s="87">
        <f>VLOOKUP($B8,Raw_Data[#All],DJ$2,0)/DJ$1</f>
        <v>4.8250917943805867</v>
      </c>
      <c r="DK8" s="87">
        <f>VLOOKUP($B8,Raw_Data[#All],DK$2,0)/DK$1</f>
        <v>4.798216050477663</v>
      </c>
      <c r="DL8" s="87">
        <f>VLOOKUP($B8,Raw_Data[#All],DL$2,0)/DL$1</f>
        <v>4.8014960773581459</v>
      </c>
      <c r="DM8" s="87">
        <f>VLOOKUP($B8,Raw_Data[#All],DM$2,0)/DM$1</f>
        <v>4.7945601851851851</v>
      </c>
      <c r="DN8" s="87">
        <f>VLOOKUP($B8,Raw_Data[#All],DN$2,0)/DN$1</f>
        <v>4.8371647509578546</v>
      </c>
      <c r="DO8" s="87">
        <f>VLOOKUP($B8,Raw_Data[#All],DO$2,0)/DO$1</f>
        <v>4.8385460540021556</v>
      </c>
      <c r="DP8" s="87">
        <f>VLOOKUP($B8,Raw_Data[#All],DP$2,0)/DP$1</f>
        <v>4.8057759070386563</v>
      </c>
      <c r="DQ8" s="87">
        <f>VLOOKUP($B8,Raw_Data[#All],DQ$2,0)/DQ$1</f>
        <v>4.7986225141397556</v>
      </c>
      <c r="DR8" s="87">
        <f>VLOOKUP($B8,Raw_Data[#All],DR$2,0)/DR$1</f>
        <v>4.7711625957854409</v>
      </c>
      <c r="DS8" s="87">
        <f>VLOOKUP($B8,Raw_Data[#All],DS$2,0)/DS$1</f>
        <v>4.7765006385696047</v>
      </c>
      <c r="DT8" s="87">
        <f>VLOOKUP($B8,Raw_Data[#All],DT$2,0)/DT$1</f>
        <v>4.7810111699000588</v>
      </c>
      <c r="DU8" s="87">
        <f>VLOOKUP($B8,Raw_Data[#All],DU$2,0)/DU$1</f>
        <v>4.8705487942303352</v>
      </c>
      <c r="DV8" s="87">
        <f>VLOOKUP($B8,Raw_Data[#All],DV$2,0)/DV$1</f>
        <v>4.8366579496847697</v>
      </c>
      <c r="DW8" s="87">
        <f>VLOOKUP($B8,Raw_Data[#All],DW$2,0)/DW$1</f>
        <v>4.8735727492804175</v>
      </c>
      <c r="DX8" s="87">
        <f>VLOOKUP($B8,Raw_Data[#All],DX$2,0)/DX$1</f>
        <v>4.7906249323549144</v>
      </c>
      <c r="DY8" s="87">
        <f>VLOOKUP($B8,Raw_Data[#All],DY$2,0)/DY$1</f>
        <v>4.7700223962093027</v>
      </c>
      <c r="DZ8" s="87">
        <f>VLOOKUP($B8,Raw_Data[#All],DZ$2,0)/DZ$1</f>
        <v>4.7891199902694161</v>
      </c>
      <c r="EA8" s="87">
        <f>VLOOKUP($B8,Raw_Data[#All],EA$2,0)/EA$1</f>
        <v>4.8124700670498086</v>
      </c>
      <c r="EB8" s="87">
        <f>VLOOKUP($B8,Raw_Data[#All],EB$2,0)/EB$1</f>
        <v>4.8651021711366536</v>
      </c>
      <c r="EC8" s="87">
        <f>VLOOKUP($B8,Raw_Data[#All],EC$2,0)/EC$1</f>
        <v>4.7944006999125115</v>
      </c>
      <c r="ED8" s="87">
        <f>VLOOKUP($B8,Raw_Data[#All],ED$2,0)/ED$1</f>
        <v>4.7735399976779291</v>
      </c>
      <c r="EE8" s="87">
        <f>VLOOKUP($B8,Raw_Data[#All],EE$2,0)/EE$1</f>
        <v>4.8405603194875226</v>
      </c>
      <c r="EF8" s="87">
        <f>VLOOKUP($B8,Raw_Data[#All],EF$2,0)/EF$1</f>
        <v>4.8180076628352486</v>
      </c>
      <c r="EG8" s="87">
        <f>VLOOKUP($B8,Raw_Data[#All],EG$2,0)/EG$1</f>
        <v>4.7901201309067689</v>
      </c>
      <c r="EH8" s="87">
        <f>VLOOKUP($B8,Raw_Data[#All],EH$2,0)/EH$1</f>
        <v>4.8052861590038312</v>
      </c>
      <c r="EI8" s="87">
        <f>VLOOKUP($B8,Raw_Data[#All],EI$2,0)/EI$1</f>
        <v>4.9664750957854409</v>
      </c>
      <c r="EJ8" s="87">
        <f>VLOOKUP($B8,Raw_Data[#All],EJ$2,0)/EJ$1</f>
        <v>4.995107732871916</v>
      </c>
      <c r="EK8" s="87">
        <f>VLOOKUP($B8,Raw_Data[#All],EK$2,0)/EK$1</f>
        <v>4.9914413935007804</v>
      </c>
      <c r="EL8" s="87">
        <f>VLOOKUP($B8,Raw_Data[#All],EL$2,0)/EL$1</f>
        <v>4.9785116260212039</v>
      </c>
      <c r="EM8" s="87">
        <f>VLOOKUP($B8,Raw_Data[#All],EM$2,0)/EM$1</f>
        <v>5.0132660586764528</v>
      </c>
      <c r="EN8" s="87">
        <f>VLOOKUP($B8,Raw_Data[#All],EN$2,0)/EN$1</f>
        <v>4.9978714346530442</v>
      </c>
      <c r="EO8" s="87">
        <f>VLOOKUP($B8,Raw_Data[#All],EO$2,0)/EO$1</f>
        <v>5.0001496647509578</v>
      </c>
      <c r="EP8" s="87">
        <f>VLOOKUP($B8,Raw_Data[#All],EP$2,0)/EP$1</f>
        <v>4.8953344508301404</v>
      </c>
      <c r="EQ8" s="87">
        <f>VLOOKUP($B8,Raw_Data[#All],EQ$2,0)/EQ$1</f>
        <v>4.9706628167397788</v>
      </c>
      <c r="ER8" s="87">
        <f>VLOOKUP($B8,Raw_Data[#All],ER$2,0)/ER$1</f>
        <v>4.9693131829147159</v>
      </c>
      <c r="ES8" s="87">
        <f>VLOOKUP($B8,Raw_Data[#All],ES$2,0)/ES$1</f>
        <v>4.9566941881172095</v>
      </c>
      <c r="ET8" s="87">
        <f>VLOOKUP($B8,Raw_Data[#All],ET$2,0)/ET$1</f>
        <v>4.9565143093554944</v>
      </c>
      <c r="EU8" s="87">
        <f>VLOOKUP($B8,Raw_Data[#All],EU$2,0)/EU$1</f>
        <v>4.962495278182506</v>
      </c>
      <c r="EV8" s="87">
        <f>VLOOKUP($B8,Raw_Data[#All],EV$2,0)/EV$1</f>
        <v>4.9167642259117352</v>
      </c>
      <c r="EW8" s="87">
        <f>VLOOKUP($B8,Raw_Data[#All],EW$2,0)/EW$1</f>
        <v>4.9788473818646235</v>
      </c>
      <c r="EX8" s="87">
        <f>VLOOKUP($B8,Raw_Data[#All],EX$2,0)/EX$1</f>
        <v>4.9997301818574282</v>
      </c>
      <c r="EY8" s="87">
        <f>VLOOKUP($B8,Raw_Data[#All],EY$2,0)/EY$1</f>
        <v>5.0046441425751764</v>
      </c>
      <c r="EZ8" s="87">
        <f>VLOOKUP($B8,Raw_Data[#All],EZ$2,0)/EZ$1</f>
        <v>4.9884259259259265</v>
      </c>
      <c r="FA8" s="87">
        <f>VLOOKUP($B8,Raw_Data[#All],FA$2,0)/FA$1</f>
        <v>5.0092237831701434</v>
      </c>
      <c r="FB8" s="87">
        <f>VLOOKUP($B8,Raw_Data[#All],FB$2,0)/FB$1</f>
        <v>4.9715304384844616</v>
      </c>
      <c r="FC8" s="87">
        <f>VLOOKUP($B8,Raw_Data[#All],FC$2,0)/FC$1</f>
        <v>4.9763197105151127</v>
      </c>
      <c r="FD8" s="87">
        <f>VLOOKUP($B8,Raw_Data[#All],FD$2,0)/FD$1</f>
        <v>4.9581936462324396</v>
      </c>
      <c r="FE8" s="87">
        <f>VLOOKUP($B8,Raw_Data[#All],FE$2,0)/FE$1</f>
        <v>4.9878050943663972</v>
      </c>
      <c r="FF8" s="87">
        <f>VLOOKUP($B8,Raw_Data[#All],FF$2,0)/FF$1</f>
        <v>4.9883261494252871</v>
      </c>
      <c r="FG8" s="105">
        <f>VLOOKUP($B8,Raw_Data[#All],FG$2,0)/FG$1</f>
        <v>4.8349489665205967</v>
      </c>
    </row>
    <row r="9" spans="2:163">
      <c r="B9" s="104">
        <f t="shared" si="0"/>
        <v>45832</v>
      </c>
      <c r="C9" s="87">
        <f>VLOOKUP($B9,Raw_Data[#All],C$2,0)/C$1</f>
        <v>5.384963093215708</v>
      </c>
      <c r="D9" s="87">
        <f>VLOOKUP($B9,Raw_Data[#All],D$2,0)/D$1</f>
        <v>5.481749345884694</v>
      </c>
      <c r="E9" s="87">
        <f>VLOOKUP($B9,Raw_Data[#All],E$2,0)/E$1</f>
        <v>5.4834234984047718</v>
      </c>
      <c r="F9" s="87">
        <f>VLOOKUP($B9,Raw_Data[#All],F$2,0)/F$1</f>
        <v>5.476715895663725</v>
      </c>
      <c r="G9" s="87">
        <f>VLOOKUP($B9,Raw_Data[#All],G$2,0)/G$1</f>
        <v>5.5309694299749834</v>
      </c>
      <c r="H9" s="87">
        <f>VLOOKUP($B9,Raw_Data[#All],H$2,0)/H$1</f>
        <v>5.5252773114067182</v>
      </c>
      <c r="I9" s="87">
        <f>VLOOKUP($B9,Raw_Data[#All],I$2,0)/I$1</f>
        <v>5.5479979527506327</v>
      </c>
      <c r="J9" s="87">
        <f>VLOOKUP($B9,Raw_Data[#All],J$2,0)/J$1</f>
        <v>5.4496889030699451</v>
      </c>
      <c r="K9" s="87">
        <f>VLOOKUP($B9,Raw_Data[#All],K$2,0)/K$1</f>
        <v>5.4928465854463528</v>
      </c>
      <c r="L9" s="87">
        <f>VLOOKUP($B9,Raw_Data[#All],L$2,0)/L$1</f>
        <v>5.4739134954309634</v>
      </c>
      <c r="M9" s="87">
        <f>VLOOKUP($B9,Raw_Data[#All],M$2,0)/M$1</f>
        <v>5.4642884482890608</v>
      </c>
      <c r="N9" s="87">
        <f>VLOOKUP($B9,Raw_Data[#All],N$2,0)/N$1</f>
        <v>5.4784488737736829</v>
      </c>
      <c r="O9" s="87">
        <f>VLOOKUP($B9,Raw_Data[#All],O$2,0)/O$1</f>
        <v>5.471899913605494</v>
      </c>
      <c r="P9" s="87">
        <f>VLOOKUP($B9,Raw_Data[#All],P$2,0)/P$1</f>
        <v>5.4311421068491965</v>
      </c>
      <c r="Q9" s="87">
        <f>VLOOKUP($B9,Raw_Data[#All],Q$2,0)/Q$1</f>
        <v>5.4768225541827498</v>
      </c>
      <c r="R9" s="87">
        <f>VLOOKUP($B9,Raw_Data[#All],R$2,0)/R$1</f>
        <v>5.4913159317137108</v>
      </c>
      <c r="S9" s="87">
        <f>VLOOKUP($B9,Raw_Data[#All],S$2,0)/S$1</f>
        <v>5.4378865498586535</v>
      </c>
      <c r="T9" s="87">
        <f>VLOOKUP($B9,Raw_Data[#All],T$2,0)/T$1</f>
        <v>5.432720593510985</v>
      </c>
      <c r="U9" s="87">
        <f>VLOOKUP($B9,Raw_Data[#All],U$2,0)/U$1</f>
        <v>5.4445353270098193</v>
      </c>
      <c r="V9" s="87">
        <f>VLOOKUP($B9,Raw_Data[#All],V$2,0)/V$1</f>
        <v>5.4889721181856004</v>
      </c>
      <c r="W9" s="87">
        <f>VLOOKUP($B9,Raw_Data[#All],W$2,0)/W$1</f>
        <v>5.3960473409772254</v>
      </c>
      <c r="X9" s="87">
        <f>VLOOKUP($B9,Raw_Data[#All],X$2,0)/X$1</f>
        <v>5.3744382952556649</v>
      </c>
      <c r="Y9" s="87">
        <f>VLOOKUP($B9,Raw_Data[#All],Y$2,0)/Y$1</f>
        <v>5.3971094621465632</v>
      </c>
      <c r="Z9" s="87">
        <f>VLOOKUP($B9,Raw_Data[#All],Z$2,0)/Z$1</f>
        <v>5.3761973180076632</v>
      </c>
      <c r="AA9" s="87">
        <f>VLOOKUP($B9,Raw_Data[#All],AA$2,0)/AA$1</f>
        <v>5.2975574712643674</v>
      </c>
      <c r="AB9" s="87">
        <f>VLOOKUP($B9,Raw_Data[#All],AB$2,0)/AB$1</f>
        <v>5.208407533322541</v>
      </c>
      <c r="AC9" s="87">
        <f>VLOOKUP($B9,Raw_Data[#All],AC$2,0)/AC$1</f>
        <v>5.227303941766241</v>
      </c>
      <c r="AD9" s="87">
        <f>VLOOKUP($B9,Raw_Data[#All],AD$2,0)/AD$1</f>
        <v>5.2131876448606977</v>
      </c>
      <c r="AE9" s="87">
        <f>VLOOKUP($B9,Raw_Data[#All],AE$2,0)/AE$1</f>
        <v>5.4091575611371274</v>
      </c>
      <c r="AF9" s="87">
        <f>VLOOKUP($B9,Raw_Data[#All],AF$2,0)/AF$1</f>
        <v>5.4483237547892722</v>
      </c>
      <c r="AG9" s="87">
        <f>VLOOKUP($B9,Raw_Data[#All],AG$2,0)/AG$1</f>
        <v>5.4280032979290942</v>
      </c>
      <c r="AH9" s="87">
        <f>VLOOKUP($B9,Raw_Data[#All],AH$2,0)/AH$1</f>
        <v>5.4059883638427699</v>
      </c>
      <c r="AI9" s="87">
        <f>VLOOKUP($B9,Raw_Data[#All],AI$2,0)/AI$1</f>
        <v>5.449414285782618</v>
      </c>
      <c r="AJ9" s="87">
        <f>VLOOKUP($B9,Raw_Data[#All],AJ$2,0)/AJ$1</f>
        <v>5.453623583547385</v>
      </c>
      <c r="AK9" s="87">
        <f>VLOOKUP($B9,Raw_Data[#All],AK$2,0)/AK$1</f>
        <v>5.4938032440292544</v>
      </c>
      <c r="AL9" s="87">
        <f>VLOOKUP($B9,Raw_Data[#All],AL$2,0)/AL$1</f>
        <v>5.4538149152639654</v>
      </c>
      <c r="AM9" s="87">
        <f>VLOOKUP($B9,Raw_Data[#All],AM$2,0)/AM$1</f>
        <v>5.5241771540363809</v>
      </c>
      <c r="AN9" s="87">
        <f>VLOOKUP($B9,Raw_Data[#All],AN$2,0)/AN$1</f>
        <v>5.4233931723276942</v>
      </c>
      <c r="AO9" s="87">
        <f>VLOOKUP($B9,Raw_Data[#All],AO$2,0)/AO$1</f>
        <v>5.4505144431529544</v>
      </c>
      <c r="AP9" s="87">
        <f>VLOOKUP($B9,Raw_Data[#All],AP$2,0)/AP$1</f>
        <v>5.4210493587995838</v>
      </c>
      <c r="AQ9" s="87">
        <f>VLOOKUP($B9,Raw_Data[#All],AQ$2,0)/AQ$1</f>
        <v>5.5381888495004841</v>
      </c>
      <c r="AR9" s="87">
        <f>VLOOKUP($B9,Raw_Data[#All],AR$2,0)/AR$1</f>
        <v>4.9242870926243567</v>
      </c>
      <c r="AS9" s="87">
        <f>VLOOKUP($B9,Raw_Data[#All],AS$2,0)/AS$1</f>
        <v>5.5506937856594929</v>
      </c>
      <c r="AT9" s="87">
        <f>VLOOKUP($B9,Raw_Data[#All],AT$2,0)/AT$1</f>
        <v>4.8444819563343744</v>
      </c>
      <c r="AU9" s="87">
        <f>VLOOKUP($B9,Raw_Data[#All],AU$2,0)/AU$1</f>
        <v>4.9002416322085525</v>
      </c>
      <c r="AV9" s="87">
        <f>VLOOKUP($B9,Raw_Data[#All],AV$2,0)/AV$1</f>
        <v>5.3025428169106323</v>
      </c>
      <c r="AW9" s="87">
        <f>VLOOKUP($B9,Raw_Data[#All],AW$2,0)/AW$1</f>
        <v>4.8982455509132041</v>
      </c>
      <c r="AX9" s="87">
        <f>VLOOKUP($B9,Raw_Data[#All],AX$2,0)/AX$1</f>
        <v>5.5751602391950446</v>
      </c>
      <c r="AY9" s="87">
        <f>VLOOKUP($B9,Raw_Data[#All],AY$2,0)/AY$1</f>
        <v>5.219622108806603</v>
      </c>
      <c r="AZ9" s="87">
        <f>VLOOKUP($B9,Raw_Data[#All],AZ$2,0)/AZ$1</f>
        <v>5.2831554843556248</v>
      </c>
      <c r="BA9" s="87">
        <f>VLOOKUP($B9,Raw_Data[#All],BA$2,0)/BA$1</f>
        <v>5.3273018802845122</v>
      </c>
      <c r="BB9" s="87">
        <f>VLOOKUP($B9,Raw_Data[#All],BB$2,0)/BB$1</f>
        <v>5.3660799808429118</v>
      </c>
      <c r="BC9" s="87">
        <f>VLOOKUP($B9,Raw_Data[#All],BC$2,0)/BC$1</f>
        <v>5.3249959527278614</v>
      </c>
      <c r="BD9" s="87">
        <f>VLOOKUP($B9,Raw_Data[#All],BD$2,0)/BD$1</f>
        <v>5.3702583282914391</v>
      </c>
      <c r="BE9" s="87">
        <f>VLOOKUP($B9,Raw_Data[#All],BE$2,0)/BE$1</f>
        <v>5.2690986275250484</v>
      </c>
      <c r="BF9" s="87">
        <f>VLOOKUP($B9,Raw_Data[#All],BF$2,0)/BF$1</f>
        <v>5.249555248072741</v>
      </c>
      <c r="BG9" s="87">
        <f>VLOOKUP($B9,Raw_Data[#All],BG$2,0)/BG$1</f>
        <v>5.2366255144032925</v>
      </c>
      <c r="BH9" s="87">
        <f>VLOOKUP($B9,Raw_Data[#All],BH$2,0)/BH$1</f>
        <v>5.2715735146465619</v>
      </c>
      <c r="BI9" s="87">
        <f>VLOOKUP($B9,Raw_Data[#All],BI$2,0)/BI$1</f>
        <v>5.2794502219789576</v>
      </c>
      <c r="BJ9" s="87">
        <f>VLOOKUP($B9,Raw_Data[#All],BJ$2,0)/BJ$1</f>
        <v>5.3467707365864117</v>
      </c>
      <c r="BK9" s="87">
        <f>VLOOKUP($B9,Raw_Data[#All],BK$2,0)/BK$1</f>
        <v>5.3204090443041396</v>
      </c>
      <c r="BL9" s="87">
        <f>VLOOKUP($B9,Raw_Data[#All],BL$2,0)/BL$1</f>
        <v>5.2699223580449628</v>
      </c>
      <c r="BM9" s="87">
        <f>VLOOKUP($B9,Raw_Data[#All],BM$2,0)/BM$1</f>
        <v>5.2944718117131906</v>
      </c>
      <c r="BN9" s="87">
        <f>VLOOKUP($B9,Raw_Data[#All],BN$2,0)/BN$1</f>
        <v>5.2776819923371647</v>
      </c>
      <c r="BO9" s="87">
        <f>VLOOKUP($B9,Raw_Data[#All],BO$2,0)/BO$1</f>
        <v>5.2562123435764354</v>
      </c>
      <c r="BP9" s="87">
        <f>VLOOKUP($B9,Raw_Data[#All],BP$2,0)/BP$1</f>
        <v>5.2197164851388198</v>
      </c>
      <c r="BQ9" s="87">
        <f>VLOOKUP($B9,Raw_Data[#All],BQ$2,0)/BQ$1</f>
        <v>5.2279068439843677</v>
      </c>
      <c r="BR9" s="87">
        <f>VLOOKUP($B9,Raw_Data[#All],BR$2,0)/BR$1</f>
        <v>5.2261942423283774</v>
      </c>
      <c r="BS9" s="87">
        <f>VLOOKUP($B9,Raw_Data[#All],BS$2,0)/BS$1</f>
        <v>5.2099695428794943</v>
      </c>
      <c r="BT9" s="87">
        <f>VLOOKUP($B9,Raw_Data[#All],BT$2,0)/BT$1</f>
        <v>5.2639591901297065</v>
      </c>
      <c r="BU9" s="87">
        <f>VLOOKUP($B9,Raw_Data[#All],BU$2,0)/BU$1</f>
        <v>5.2083268354193493</v>
      </c>
      <c r="BV9" s="87">
        <f>VLOOKUP($B9,Raw_Data[#All],BV$2,0)/BV$1</f>
        <v>5.2185404782071823</v>
      </c>
      <c r="BW9" s="87">
        <f>VLOOKUP($B9,Raw_Data[#All],BW$2,0)/BW$1</f>
        <v>5.2449238343791071</v>
      </c>
      <c r="BX9" s="87">
        <f>VLOOKUP($B9,Raw_Data[#All],BX$2,0)/BX$1</f>
        <v>5.2447224100368111</v>
      </c>
      <c r="BY9" s="87">
        <f>VLOOKUP($B9,Raw_Data[#All],BY$2,0)/BY$1</f>
        <v>5.3166494354233818</v>
      </c>
      <c r="BZ9" s="87">
        <f>VLOOKUP($B9,Raw_Data[#All],BZ$2,0)/BZ$1</f>
        <v>5.2656985415606101</v>
      </c>
      <c r="CA9" s="87">
        <f>VLOOKUP($B9,Raw_Data[#All],CA$2,0)/CA$1</f>
        <v>5.3285028632637088</v>
      </c>
      <c r="CB9" s="87">
        <f>VLOOKUP($B9,Raw_Data[#All],CB$2,0)/CB$1</f>
        <v>5.3564903505037611</v>
      </c>
      <c r="CC9" s="87">
        <f>VLOOKUP($B9,Raw_Data[#All],CC$2,0)/CC$1</f>
        <v>5.3546595309047413</v>
      </c>
      <c r="CD9" s="87">
        <f>VLOOKUP($B9,Raw_Data[#All],CD$2,0)/CD$1</f>
        <v>5.3203191049232821</v>
      </c>
      <c r="CE9" s="87">
        <f>VLOOKUP($B9,Raw_Data[#All],CE$2,0)/CE$1</f>
        <v>5.2935680955393867</v>
      </c>
      <c r="CF9" s="87">
        <f>VLOOKUP($B9,Raw_Data[#All],CF$2,0)/CF$1</f>
        <v>5.2839508420987951</v>
      </c>
      <c r="CG9" s="87">
        <f>VLOOKUP($B9,Raw_Data[#All],CG$2,0)/CG$1</f>
        <v>5.2758377339206186</v>
      </c>
      <c r="CH9" s="87">
        <f>VLOOKUP($B9,Raw_Data[#All],CH$2,0)/CH$1</f>
        <v>5.2779974691553297</v>
      </c>
      <c r="CI9" s="87">
        <f>VLOOKUP($B9,Raw_Data[#All],CI$2,0)/CI$1</f>
        <v>5.2744384688389747</v>
      </c>
      <c r="CJ9" s="87">
        <f>VLOOKUP($B9,Raw_Data[#All],CJ$2,0)/CJ$1</f>
        <v>5.2213801356202625</v>
      </c>
      <c r="CK9" s="87">
        <f>VLOOKUP($B9,Raw_Data[#All],CK$2,0)/CK$1</f>
        <v>5.246213619107877</v>
      </c>
      <c r="CL9" s="87">
        <f>VLOOKUP($B9,Raw_Data[#All],CL$2,0)/CL$1</f>
        <v>5.2184673271872635</v>
      </c>
      <c r="CM9" s="87">
        <f>VLOOKUP($B9,Raw_Data[#All],CM$2,0)/CM$1</f>
        <v>5.3439609560299211</v>
      </c>
      <c r="CN9" s="87">
        <f>VLOOKUP($B9,Raw_Data[#All],CN$2,0)/CN$1</f>
        <v>5.2444406881526549</v>
      </c>
      <c r="CO9" s="87">
        <f>VLOOKUP($B9,Raw_Data[#All],CO$2,0)/CO$1</f>
        <v>5.316812919705022</v>
      </c>
      <c r="CP9" s="87">
        <f>VLOOKUP($B9,Raw_Data[#All],CP$2,0)/CP$1</f>
        <v>5.3533861927061164</v>
      </c>
      <c r="CQ9" s="87">
        <f>VLOOKUP($B9,Raw_Data[#All],CQ$2,0)/CQ$1</f>
        <v>5.3158638934500999</v>
      </c>
      <c r="CR9" s="87">
        <f>VLOOKUP($B9,Raw_Data[#All],CR$2,0)/CR$1</f>
        <v>5.3499161877394634</v>
      </c>
      <c r="CS9" s="87">
        <f>VLOOKUP($B9,Raw_Data[#All],CS$2,0)/CS$1</f>
        <v>5.2893019636015319</v>
      </c>
      <c r="CT9" s="87">
        <f>VLOOKUP($B9,Raw_Data[#All],CT$2,0)/CT$1</f>
        <v>5.3472278833002731</v>
      </c>
      <c r="CU9" s="87">
        <f>VLOOKUP($B9,Raw_Data[#All],CU$2,0)/CU$1</f>
        <v>5.4097573435504476</v>
      </c>
      <c r="CV9" s="87">
        <f>VLOOKUP($B9,Raw_Data[#All],CV$2,0)/CV$1</f>
        <v>5.4097160821298758</v>
      </c>
      <c r="CW9" s="87">
        <f>VLOOKUP($B9,Raw_Data[#All],CW$2,0)/CW$1</f>
        <v>5.426814564745599</v>
      </c>
      <c r="CX9" s="87">
        <f>VLOOKUP($B9,Raw_Data[#All],CX$2,0)/CX$1</f>
        <v>5.4428789189634577</v>
      </c>
      <c r="CY9" s="87">
        <f>VLOOKUP($B9,Raw_Data[#All],CY$2,0)/CY$1</f>
        <v>5.4057134241521219</v>
      </c>
      <c r="CZ9" s="87">
        <f>VLOOKUP($B9,Raw_Data[#All],CZ$2,0)/CZ$1</f>
        <v>5.4412309974045234</v>
      </c>
      <c r="DA9" s="87">
        <f>VLOOKUP($B9,Raw_Data[#All],DA$2,0)/DA$1</f>
        <v>5.3882047071702246</v>
      </c>
      <c r="DB9" s="87">
        <f>VLOOKUP($B9,Raw_Data[#All],DB$2,0)/DB$1</f>
        <v>5.4055914750957852</v>
      </c>
      <c r="DC9" s="87">
        <f>VLOOKUP($B9,Raw_Data[#All],DC$2,0)/DC$1</f>
        <v>5.3542262515064847</v>
      </c>
      <c r="DD9" s="87">
        <f>VLOOKUP($B9,Raw_Data[#All],DD$2,0)/DD$1</f>
        <v>5.3678579653706846</v>
      </c>
      <c r="DE9" s="87">
        <f>VLOOKUP($B9,Raw_Data[#All],DE$2,0)/DE$1</f>
        <v>5.3781501268145275</v>
      </c>
      <c r="DF9" s="87">
        <f>VLOOKUP($B9,Raw_Data[#All],DF$2,0)/DF$1</f>
        <v>5.3438797094508308</v>
      </c>
      <c r="DG9" s="87">
        <f>VLOOKUP($B9,Raw_Data[#All],DG$2,0)/DG$1</f>
        <v>5.3469713555920455</v>
      </c>
      <c r="DH9" s="87">
        <f>VLOOKUP($B9,Raw_Data[#All],DH$2,0)/DH$1</f>
        <v>5.2875059865900385</v>
      </c>
      <c r="DI9" s="87">
        <f>VLOOKUP($B9,Raw_Data[#All],DI$2,0)/DI$1</f>
        <v>5.3934957124612302</v>
      </c>
      <c r="DJ9" s="87">
        <f>VLOOKUP($B9,Raw_Data[#All],DJ$2,0)/DJ$1</f>
        <v>5.415319683908046</v>
      </c>
      <c r="DK9" s="87">
        <f>VLOOKUP($B9,Raw_Data[#All],DK$2,0)/DK$1</f>
        <v>5.3611737576970828</v>
      </c>
      <c r="DL9" s="87">
        <f>VLOOKUP($B9,Raw_Data[#All],DL$2,0)/DL$1</f>
        <v>5.3676792556102901</v>
      </c>
      <c r="DM9" s="87">
        <f>VLOOKUP($B9,Raw_Data[#All],DM$2,0)/DM$1</f>
        <v>5.3280152458492971</v>
      </c>
      <c r="DN9" s="87">
        <f>VLOOKUP($B9,Raw_Data[#All],DN$2,0)/DN$1</f>
        <v>5.4068306348617812</v>
      </c>
      <c r="DO9" s="87">
        <f>VLOOKUP($B9,Raw_Data[#All],DO$2,0)/DO$1</f>
        <v>5.3972265246415407</v>
      </c>
      <c r="DP9" s="87">
        <f>VLOOKUP($B9,Raw_Data[#All],DP$2,0)/DP$1</f>
        <v>5.3778803086719558</v>
      </c>
      <c r="DQ9" s="87">
        <f>VLOOKUP($B9,Raw_Data[#All],DQ$2,0)/DQ$1</f>
        <v>5.3180988870644041</v>
      </c>
      <c r="DR9" s="87">
        <f>VLOOKUP($B9,Raw_Data[#All],DR$2,0)/DR$1</f>
        <v>5.2985312899106001</v>
      </c>
      <c r="DS9" s="87">
        <f>VLOOKUP($B9,Raw_Data[#All],DS$2,0)/DS$1</f>
        <v>5.3436134045653239</v>
      </c>
      <c r="DT9" s="87">
        <f>VLOOKUP($B9,Raw_Data[#All],DT$2,0)/DT$1</f>
        <v>5.3550142917959</v>
      </c>
      <c r="DU9" s="87">
        <f>VLOOKUP($B9,Raw_Data[#All],DU$2,0)/DU$1</f>
        <v>5.4334291187739456</v>
      </c>
      <c r="DV9" s="87">
        <f>VLOOKUP($B9,Raw_Data[#All],DV$2,0)/DV$1</f>
        <v>5.4183644509315005</v>
      </c>
      <c r="DW9" s="87">
        <f>VLOOKUP($B9,Raw_Data[#All],DW$2,0)/DW$1</f>
        <v>5.4406130268199231</v>
      </c>
      <c r="DX9" s="87">
        <f>VLOOKUP($B9,Raw_Data[#All],DX$2,0)/DX$1</f>
        <v>5.3755113968439501</v>
      </c>
      <c r="DY9" s="87">
        <f>VLOOKUP($B9,Raw_Data[#All],DY$2,0)/DY$1</f>
        <v>5.3498250874562716</v>
      </c>
      <c r="DZ9" s="87">
        <f>VLOOKUP($B9,Raw_Data[#All],DZ$2,0)/DZ$1</f>
        <v>5.3698128889699772</v>
      </c>
      <c r="EA9" s="87">
        <f>VLOOKUP($B9,Raw_Data[#All],EA$2,0)/EA$1</f>
        <v>5.3866339399744572</v>
      </c>
      <c r="EB9" s="87">
        <f>VLOOKUP($B9,Raw_Data[#All],EB$2,0)/EB$1</f>
        <v>5.4226532567049812</v>
      </c>
      <c r="EC9" s="87">
        <f>VLOOKUP($B9,Raw_Data[#All],EC$2,0)/EC$1</f>
        <v>5.3527719954545914</v>
      </c>
      <c r="ED9" s="87">
        <f>VLOOKUP($B9,Raw_Data[#All],ED$2,0)/ED$1</f>
        <v>5.3378613723441308</v>
      </c>
      <c r="EE9" s="87">
        <f>VLOOKUP($B9,Raw_Data[#All],EE$2,0)/EE$1</f>
        <v>5.3935818686776535</v>
      </c>
      <c r="EF9" s="87">
        <f>VLOOKUP($B9,Raw_Data[#All],EF$2,0)/EF$1</f>
        <v>5.3600506294471808</v>
      </c>
      <c r="EG9" s="87">
        <f>VLOOKUP($B9,Raw_Data[#All],EG$2,0)/EG$1</f>
        <v>5.3377933429118771</v>
      </c>
      <c r="EH9" s="87">
        <f>VLOOKUP($B9,Raw_Data[#All],EH$2,0)/EH$1</f>
        <v>5.3591954022988499</v>
      </c>
      <c r="EI9" s="87">
        <f>VLOOKUP($B9,Raw_Data[#All],EI$2,0)/EI$1</f>
        <v>5.5577284660139066</v>
      </c>
      <c r="EJ9" s="87">
        <f>VLOOKUP($B9,Raw_Data[#All],EJ$2,0)/EJ$1</f>
        <v>5.582746261277963</v>
      </c>
      <c r="EK9" s="87">
        <f>VLOOKUP($B9,Raw_Data[#All],EK$2,0)/EK$1</f>
        <v>5.5752447850148998</v>
      </c>
      <c r="EL9" s="87">
        <f>VLOOKUP($B9,Raw_Data[#All],EL$2,0)/EL$1</f>
        <v>5.5744085629143099</v>
      </c>
      <c r="EM9" s="87">
        <f>VLOOKUP($B9,Raw_Data[#All],EM$2,0)/EM$1</f>
        <v>5.605381972550501</v>
      </c>
      <c r="EN9" s="87">
        <f>VLOOKUP($B9,Raw_Data[#All],EN$2,0)/EN$1</f>
        <v>5.5880415171602911</v>
      </c>
      <c r="EO9" s="87">
        <f>VLOOKUP($B9,Raw_Data[#All],EO$2,0)/EO$1</f>
        <v>5.596463920817369</v>
      </c>
      <c r="EP9" s="87">
        <f>VLOOKUP($B9,Raw_Data[#All],EP$2,0)/EP$1</f>
        <v>5.4723419540229887</v>
      </c>
      <c r="EQ9" s="87">
        <f>VLOOKUP($B9,Raw_Data[#All],EQ$2,0)/EQ$1</f>
        <v>5.5768874821848335</v>
      </c>
      <c r="ER9" s="87">
        <f>VLOOKUP($B9,Raw_Data[#All],ER$2,0)/ER$1</f>
        <v>5.5725397332198092</v>
      </c>
      <c r="ES9" s="87">
        <f>VLOOKUP($B9,Raw_Data[#All],ES$2,0)/ES$1</f>
        <v>5.5599176155271355</v>
      </c>
      <c r="ET9" s="87">
        <f>VLOOKUP($B9,Raw_Data[#All],ET$2,0)/ET$1</f>
        <v>5.5471911931358271</v>
      </c>
      <c r="EU9" s="87">
        <f>VLOOKUP($B9,Raw_Data[#All],EU$2,0)/EU$1</f>
        <v>5.5649092511647149</v>
      </c>
      <c r="EV9" s="87">
        <f>VLOOKUP($B9,Raw_Data[#All],EV$2,0)/EV$1</f>
        <v>5.5119643110543501</v>
      </c>
      <c r="EW9" s="87">
        <f>VLOOKUP($B9,Raw_Data[#All],EW$2,0)/EW$1</f>
        <v>5.5588980683269478</v>
      </c>
      <c r="EX9" s="87">
        <f>VLOOKUP($B9,Raw_Data[#All],EX$2,0)/EX$1</f>
        <v>5.5983217311532032</v>
      </c>
      <c r="EY9" s="87">
        <f>VLOOKUP($B9,Raw_Data[#All],EY$2,0)/EY$1</f>
        <v>5.6032473273852581</v>
      </c>
      <c r="EZ9" s="87">
        <f>VLOOKUP($B9,Raw_Data[#All],EZ$2,0)/EZ$1</f>
        <v>5.5746239534553714</v>
      </c>
      <c r="FA9" s="87">
        <f>VLOOKUP($B9,Raw_Data[#All],FA$2,0)/FA$1</f>
        <v>5.6093461756775929</v>
      </c>
      <c r="FB9" s="87">
        <f>VLOOKUP($B9,Raw_Data[#All],FB$2,0)/FB$1</f>
        <v>5.5761760323541933</v>
      </c>
      <c r="FC9" s="87">
        <f>VLOOKUP($B9,Raw_Data[#All],FC$2,0)/FC$1</f>
        <v>5.5828721441748268</v>
      </c>
      <c r="FD9" s="87">
        <f>VLOOKUP($B9,Raw_Data[#All],FD$2,0)/FD$1</f>
        <v>5.5768578384418905</v>
      </c>
      <c r="FE9" s="87">
        <f>VLOOKUP($B9,Raw_Data[#All],FE$2,0)/FE$1</f>
        <v>5.4801245210727965</v>
      </c>
      <c r="FF9" s="87">
        <f>VLOOKUP($B9,Raw_Data[#All],FF$2,0)/FF$1</f>
        <v>5.5920238665389528</v>
      </c>
      <c r="FG9" s="105">
        <f>VLOOKUP($B9,Raw_Data[#All],FG$2,0)/FG$1</f>
        <v>5.3825547425467768</v>
      </c>
    </row>
    <row r="10" spans="2:163">
      <c r="B10" s="104">
        <f t="shared" si="0"/>
        <v>45833</v>
      </c>
      <c r="C10" s="87">
        <f>VLOOKUP($B10,Raw_Data[#All],C$2,0)/C$1</f>
        <v>5.012616854926037</v>
      </c>
      <c r="D10" s="87">
        <f>VLOOKUP($B10,Raw_Data[#All],D$2,0)/D$1</f>
        <v>5.0751694481514962</v>
      </c>
      <c r="E10" s="87">
        <f>VLOOKUP($B10,Raw_Data[#All],E$2,0)/E$1</f>
        <v>5.0707688186701487</v>
      </c>
      <c r="F10" s="87">
        <f>VLOOKUP($B10,Raw_Data[#All],F$2,0)/F$1</f>
        <v>5.0589472518957219</v>
      </c>
      <c r="G10" s="87">
        <f>VLOOKUP($B10,Raw_Data[#All],G$2,0)/G$1</f>
        <v>5.1267811786990398</v>
      </c>
      <c r="H10" s="87">
        <f>VLOOKUP($B10,Raw_Data[#All],H$2,0)/H$1</f>
        <v>5.1457708515696368</v>
      </c>
      <c r="I10" s="87">
        <f>VLOOKUP($B10,Raw_Data[#All],I$2,0)/I$1</f>
        <v>5.1702134783627738</v>
      </c>
      <c r="J10" s="87">
        <f>VLOOKUP($B10,Raw_Data[#All],J$2,0)/J$1</f>
        <v>5.0899104314333252</v>
      </c>
      <c r="K10" s="87">
        <f>VLOOKUP($B10,Raw_Data[#All],K$2,0)/K$1</f>
        <v>5.1193670746815521</v>
      </c>
      <c r="L10" s="87">
        <f>VLOOKUP($B10,Raw_Data[#All],L$2,0)/L$1</f>
        <v>5.0901522382135864</v>
      </c>
      <c r="M10" s="87">
        <f>VLOOKUP($B10,Raw_Data[#All],M$2,0)/M$1</f>
        <v>5.0918078323727869</v>
      </c>
      <c r="N10" s="87">
        <f>VLOOKUP($B10,Raw_Data[#All],N$2,0)/N$1</f>
        <v>5.113005295105256</v>
      </c>
      <c r="O10" s="87">
        <f>VLOOKUP($B10,Raw_Data[#All],O$2,0)/O$1</f>
        <v>5.1398825472162377</v>
      </c>
      <c r="P10" s="87">
        <f>VLOOKUP($B10,Raw_Data[#All],P$2,0)/P$1</f>
        <v>5.0992294115114722</v>
      </c>
      <c r="Q10" s="87">
        <f>VLOOKUP($B10,Raw_Data[#All],Q$2,0)/Q$1</f>
        <v>5.162799374345286</v>
      </c>
      <c r="R10" s="87">
        <f>VLOOKUP($B10,Raw_Data[#All],R$2,0)/R$1</f>
        <v>5.1666738416060385</v>
      </c>
      <c r="S10" s="87">
        <f>VLOOKUP($B10,Raw_Data[#All],S$2,0)/S$1</f>
        <v>5.1471580065148448</v>
      </c>
      <c r="T10" s="87">
        <f>VLOOKUP($B10,Raw_Data[#All],T$2,0)/T$1</f>
        <v>5.0704339881661324</v>
      </c>
      <c r="U10" s="87">
        <f>VLOOKUP($B10,Raw_Data[#All],U$2,0)/U$1</f>
        <v>5.1580160814307785</v>
      </c>
      <c r="V10" s="87">
        <f>VLOOKUP($B10,Raw_Data[#All],V$2,0)/V$1</f>
        <v>5.1798278971209353</v>
      </c>
      <c r="W10" s="87">
        <f>VLOOKUP($B10,Raw_Data[#All],W$2,0)/W$1</f>
        <v>5.1310685819018804</v>
      </c>
      <c r="X10" s="87">
        <f>VLOOKUP($B10,Raw_Data[#All],X$2,0)/X$1</f>
        <v>4.9873705122747269</v>
      </c>
      <c r="Y10" s="87">
        <f>VLOOKUP($B10,Raw_Data[#All],Y$2,0)/Y$1</f>
        <v>5.1321111596100684</v>
      </c>
      <c r="Z10" s="87">
        <f>VLOOKUP($B10,Raw_Data[#All],Z$2,0)/Z$1</f>
        <v>5.116858237547893</v>
      </c>
      <c r="AA10" s="87">
        <f>VLOOKUP($B10,Raw_Data[#All],AA$2,0)/AA$1</f>
        <v>5.0612068965517238</v>
      </c>
      <c r="AB10" s="87">
        <f>VLOOKUP($B10,Raw_Data[#All],AB$2,0)/AB$1</f>
        <v>4.9802493119637363</v>
      </c>
      <c r="AC10" s="87">
        <f>VLOOKUP($B10,Raw_Data[#All],AC$2,0)/AC$1</f>
        <v>4.9690502915003156</v>
      </c>
      <c r="AD10" s="87">
        <f>VLOOKUP($B10,Raw_Data[#All],AD$2,0)/AD$1</f>
        <v>4.9715245258029421</v>
      </c>
      <c r="AE10" s="87">
        <f>VLOOKUP($B10,Raw_Data[#All],AE$2,0)/AE$1</f>
        <v>5.1469183103921292</v>
      </c>
      <c r="AF10" s="87">
        <f>VLOOKUP($B10,Raw_Data[#All],AF$2,0)/AF$1</f>
        <v>5.147509578544061</v>
      </c>
      <c r="AG10" s="87">
        <f>VLOOKUP($B10,Raw_Data[#All],AG$2,0)/AG$1</f>
        <v>5.1267762743101022</v>
      </c>
      <c r="AH10" s="87">
        <f>VLOOKUP($B10,Raw_Data[#All],AH$2,0)/AH$1</f>
        <v>5.1336266023366921</v>
      </c>
      <c r="AI10" s="87">
        <f>VLOOKUP($B10,Raw_Data[#All],AI$2,0)/AI$1</f>
        <v>5.1493104883263738</v>
      </c>
      <c r="AJ10" s="87">
        <f>VLOOKUP($B10,Raw_Data[#All],AJ$2,0)/AJ$1</f>
        <v>5.154141614170026</v>
      </c>
      <c r="AK10" s="87">
        <f>VLOOKUP($B10,Raw_Data[#All],AK$2,0)/AK$1</f>
        <v>5.2356010925041012</v>
      </c>
      <c r="AL10" s="87">
        <f>VLOOKUP($B10,Raw_Data[#All],AL$2,0)/AL$1</f>
        <v>5.1823630423656244</v>
      </c>
      <c r="AM10" s="87">
        <f>VLOOKUP($B10,Raw_Data[#All],AM$2,0)/AM$1</f>
        <v>5.2321092886765097</v>
      </c>
      <c r="AN10" s="87">
        <f>VLOOKUP($B10,Raw_Data[#All],AN$2,0)/AN$1</f>
        <v>5.1095613242068101</v>
      </c>
      <c r="AO10" s="87">
        <f>VLOOKUP($B10,Raw_Data[#All],AO$2,0)/AO$1</f>
        <v>5.140509229363678</v>
      </c>
      <c r="AP10" s="87">
        <f>VLOOKUP($B10,Raw_Data[#All],AP$2,0)/AP$1</f>
        <v>5.0448433710735134</v>
      </c>
      <c r="AQ10" s="87">
        <f>VLOOKUP($B10,Raw_Data[#All],AQ$2,0)/AQ$1</f>
        <v>5.1530329072224017</v>
      </c>
      <c r="AR10" s="87">
        <f>VLOOKUP($B10,Raw_Data[#All],AR$2,0)/AR$1</f>
        <v>4.5537628644939963</v>
      </c>
      <c r="AS10" s="87">
        <f>VLOOKUP($B10,Raw_Data[#All],AS$2,0)/AS$1</f>
        <v>5.1767258400548304</v>
      </c>
      <c r="AT10" s="87">
        <f>VLOOKUP($B10,Raw_Data[#All],AT$2,0)/AT$1</f>
        <v>4.4826261895511523</v>
      </c>
      <c r="AU10" s="87">
        <f>VLOOKUP($B10,Raw_Data[#All],AU$2,0)/AU$1</f>
        <v>4.585694352272534</v>
      </c>
      <c r="AV10" s="87">
        <f>VLOOKUP($B10,Raw_Data[#All],AV$2,0)/AV$1</f>
        <v>4.9429790090709629</v>
      </c>
      <c r="AW10" s="87">
        <f>VLOOKUP($B10,Raw_Data[#All],AW$2,0)/AW$1</f>
        <v>4.5834701302906682</v>
      </c>
      <c r="AX10" s="87">
        <f>VLOOKUP($B10,Raw_Data[#All],AX$2,0)/AX$1</f>
        <v>5.1849017080244924</v>
      </c>
      <c r="AY10" s="87">
        <f>VLOOKUP($B10,Raw_Data[#All],AY$2,0)/AY$1</f>
        <v>4.8750316719151563</v>
      </c>
      <c r="AZ10" s="87">
        <f>VLOOKUP($B10,Raw_Data[#All],AZ$2,0)/AZ$1</f>
        <v>4.9716256211137955</v>
      </c>
      <c r="BA10" s="87">
        <f>VLOOKUP($B10,Raw_Data[#All],BA$2,0)/BA$1</f>
        <v>5.0343056371246657</v>
      </c>
      <c r="BB10" s="87">
        <f>VLOOKUP($B10,Raw_Data[#All],BB$2,0)/BB$1</f>
        <v>5.0855583492975729</v>
      </c>
      <c r="BC10" s="87">
        <f>VLOOKUP($B10,Raw_Data[#All],BC$2,0)/BC$1</f>
        <v>4.9223823143201484</v>
      </c>
      <c r="BD10" s="87">
        <f>VLOOKUP($B10,Raw_Data[#All],BD$2,0)/BD$1</f>
        <v>5.0789743871807556</v>
      </c>
      <c r="BE10" s="87">
        <f>VLOOKUP($B10,Raw_Data[#All],BE$2,0)/BE$1</f>
        <v>4.9899267893439827</v>
      </c>
      <c r="BF10" s="87">
        <f>VLOOKUP($B10,Raw_Data[#All],BF$2,0)/BF$1</f>
        <v>4.9562885227048108</v>
      </c>
      <c r="BG10" s="87">
        <f>VLOOKUP($B10,Raw_Data[#All],BG$2,0)/BG$1</f>
        <v>4.9564150905147066</v>
      </c>
      <c r="BH10" s="87">
        <f>VLOOKUP($B10,Raw_Data[#All],BH$2,0)/BH$1</f>
        <v>4.973049620404784</v>
      </c>
      <c r="BI10" s="87">
        <f>VLOOKUP($B10,Raw_Data[#All],BI$2,0)/BI$1</f>
        <v>4.9662977153398602</v>
      </c>
      <c r="BJ10" s="87">
        <f>VLOOKUP($B10,Raw_Data[#All],BJ$2,0)/BJ$1</f>
        <v>5.0187986711438173</v>
      </c>
      <c r="BK10" s="87">
        <f>VLOOKUP($B10,Raw_Data[#All],BK$2,0)/BK$1</f>
        <v>4.9378069181371753</v>
      </c>
      <c r="BL10" s="87">
        <f>VLOOKUP($B10,Raw_Data[#All],BL$2,0)/BL$1</f>
        <v>4.9493705528188281</v>
      </c>
      <c r="BM10" s="87">
        <f>VLOOKUP($B10,Raw_Data[#All],BM$2,0)/BM$1</f>
        <v>4.9461320926838166</v>
      </c>
      <c r="BN10" s="87">
        <f>VLOOKUP($B10,Raw_Data[#All],BN$2,0)/BN$1</f>
        <v>4.9369252873563214</v>
      </c>
      <c r="BO10" s="87">
        <f>VLOOKUP($B10,Raw_Data[#All],BO$2,0)/BO$1</f>
        <v>4.9519401160287622</v>
      </c>
      <c r="BP10" s="87">
        <f>VLOOKUP($B10,Raw_Data[#All],BP$2,0)/BP$1</f>
        <v>4.9020553069904542</v>
      </c>
      <c r="BQ10" s="87">
        <f>VLOOKUP($B10,Raw_Data[#All],BQ$2,0)/BQ$1</f>
        <v>4.9071270393636732</v>
      </c>
      <c r="BR10" s="87">
        <f>VLOOKUP($B10,Raw_Data[#All],BR$2,0)/BR$1</f>
        <v>4.8776607764269899</v>
      </c>
      <c r="BS10" s="87">
        <f>VLOOKUP($B10,Raw_Data[#All],BS$2,0)/BS$1</f>
        <v>4.8900159537297885</v>
      </c>
      <c r="BT10" s="87">
        <f>VLOOKUP($B10,Raw_Data[#All],BT$2,0)/BT$1</f>
        <v>4.9115687282505531</v>
      </c>
      <c r="BU10" s="87">
        <f>VLOOKUP($B10,Raw_Data[#All],BU$2,0)/BU$1</f>
        <v>4.8689352183967456</v>
      </c>
      <c r="BV10" s="87">
        <f>VLOOKUP($B10,Raw_Data[#All],BV$2,0)/BV$1</f>
        <v>4.8321274402751273</v>
      </c>
      <c r="BW10" s="87">
        <f>VLOOKUP($B10,Raw_Data[#All],BW$2,0)/BW$1</f>
        <v>4.9311455383419407</v>
      </c>
      <c r="BX10" s="87">
        <f>VLOOKUP($B10,Raw_Data[#All],BX$2,0)/BX$1</f>
        <v>4.8493257456239194</v>
      </c>
      <c r="BY10" s="87">
        <f>VLOOKUP($B10,Raw_Data[#All],BY$2,0)/BY$1</f>
        <v>4.9772446228384926</v>
      </c>
      <c r="BZ10" s="87">
        <f>VLOOKUP($B10,Raw_Data[#All],BZ$2,0)/BZ$1</f>
        <v>4.8920683403442027</v>
      </c>
      <c r="CA10" s="87">
        <f>VLOOKUP($B10,Raw_Data[#All],CA$2,0)/CA$1</f>
        <v>4.9593169365138223</v>
      </c>
      <c r="CB10" s="87">
        <f>VLOOKUP($B10,Raw_Data[#All],CB$2,0)/CB$1</f>
        <v>4.9874059883638422</v>
      </c>
      <c r="CC10" s="87">
        <f>VLOOKUP($B10,Raw_Data[#All],CC$2,0)/CC$1</f>
        <v>4.8880982789028762</v>
      </c>
      <c r="CD10" s="87">
        <f>VLOOKUP($B10,Raw_Data[#All],CD$2,0)/CD$1</f>
        <v>4.9634396416815072</v>
      </c>
      <c r="CE10" s="87">
        <f>VLOOKUP($B10,Raw_Data[#All],CE$2,0)/CE$1</f>
        <v>4.9313409522303067</v>
      </c>
      <c r="CF10" s="87">
        <f>VLOOKUP($B10,Raw_Data[#All],CF$2,0)/CF$1</f>
        <v>4.9178842708828894</v>
      </c>
      <c r="CG10" s="87">
        <f>VLOOKUP($B10,Raw_Data[#All],CG$2,0)/CG$1</f>
        <v>4.9304747767259629</v>
      </c>
      <c r="CH10" s="87">
        <f>VLOOKUP($B10,Raw_Data[#All],CH$2,0)/CH$1</f>
        <v>4.8144486625188927</v>
      </c>
      <c r="CI10" s="87">
        <f>VLOOKUP($B10,Raw_Data[#All],CI$2,0)/CI$1</f>
        <v>4.9360368554254981</v>
      </c>
      <c r="CJ10" s="87">
        <f>VLOOKUP($B10,Raw_Data[#All],CJ$2,0)/CJ$1</f>
        <v>4.8782947975553501</v>
      </c>
      <c r="CK10" s="87">
        <f>VLOOKUP($B10,Raw_Data[#All],CK$2,0)/CK$1</f>
        <v>4.9352953970262572</v>
      </c>
      <c r="CL10" s="87">
        <f>VLOOKUP($B10,Raw_Data[#All],CL$2,0)/CL$1</f>
        <v>4.8243946549904404</v>
      </c>
      <c r="CM10" s="87">
        <f>VLOOKUP($B10,Raw_Data[#All],CM$2,0)/CM$1</f>
        <v>5.0413701879219124</v>
      </c>
      <c r="CN10" s="87">
        <f>VLOOKUP($B10,Raw_Data[#All],CN$2,0)/CN$1</f>
        <v>4.9486796634362555</v>
      </c>
      <c r="CO10" s="87">
        <f>VLOOKUP($B10,Raw_Data[#All],CO$2,0)/CO$1</f>
        <v>5.0349668355786266</v>
      </c>
      <c r="CP10" s="87">
        <f>VLOOKUP($B10,Raw_Data[#All],CP$2,0)/CP$1</f>
        <v>5.0514403292181074</v>
      </c>
      <c r="CQ10" s="87">
        <f>VLOOKUP($B10,Raw_Data[#All],CQ$2,0)/CQ$1</f>
        <v>5.0220762634555731</v>
      </c>
      <c r="CR10" s="87">
        <f>VLOOKUP($B10,Raw_Data[#All],CR$2,0)/CR$1</f>
        <v>5.0433030012771392</v>
      </c>
      <c r="CS10" s="87">
        <f>VLOOKUP($B10,Raw_Data[#All],CS$2,0)/CS$1</f>
        <v>4.9129948914431676</v>
      </c>
      <c r="CT10" s="87">
        <f>VLOOKUP($B10,Raw_Data[#All],CT$2,0)/CT$1</f>
        <v>5.0471907466282619</v>
      </c>
      <c r="CU10" s="87">
        <f>VLOOKUP($B10,Raw_Data[#All],CU$2,0)/CU$1</f>
        <v>5.0752490421455931</v>
      </c>
      <c r="CV10" s="87">
        <f>VLOOKUP($B10,Raw_Data[#All],CV$2,0)/CV$1</f>
        <v>5.0278023381471657</v>
      </c>
      <c r="CW10" s="87">
        <f>VLOOKUP($B10,Raw_Data[#All],CW$2,0)/CW$1</f>
        <v>5.0300083058703748</v>
      </c>
      <c r="CX10" s="87">
        <f>VLOOKUP($B10,Raw_Data[#All],CX$2,0)/CX$1</f>
        <v>5.0233798871173736</v>
      </c>
      <c r="CY10" s="87">
        <f>VLOOKUP($B10,Raw_Data[#All],CY$2,0)/CY$1</f>
        <v>5.0227933872569892</v>
      </c>
      <c r="CZ10" s="87">
        <f>VLOOKUP($B10,Raw_Data[#All],CZ$2,0)/CZ$1</f>
        <v>5.0382111811477772</v>
      </c>
      <c r="DA10" s="87">
        <f>VLOOKUP($B10,Raw_Data[#All],DA$2,0)/DA$1</f>
        <v>4.9941160372194853</v>
      </c>
      <c r="DB10" s="87">
        <f>VLOOKUP($B10,Raw_Data[#All],DB$2,0)/DB$1</f>
        <v>4.9814914591315453</v>
      </c>
      <c r="DC10" s="87">
        <f>VLOOKUP($B10,Raw_Data[#All],DC$2,0)/DC$1</f>
        <v>4.9797186696166786</v>
      </c>
      <c r="DD10" s="87">
        <f>VLOOKUP($B10,Raw_Data[#All],DD$2,0)/DD$1</f>
        <v>4.9433662039654127</v>
      </c>
      <c r="DE10" s="87">
        <f>VLOOKUP($B10,Raw_Data[#All],DE$2,0)/DE$1</f>
        <v>5.0018887269980032</v>
      </c>
      <c r="DF10" s="87">
        <f>VLOOKUP($B10,Raw_Data[#All],DF$2,0)/DF$1</f>
        <v>4.967822078544061</v>
      </c>
      <c r="DG10" s="87">
        <f>VLOOKUP($B10,Raw_Data[#All],DG$2,0)/DG$1</f>
        <v>5.0040594781974086</v>
      </c>
      <c r="DH10" s="87">
        <f>VLOOKUP($B10,Raw_Data[#All],DH$2,0)/DH$1</f>
        <v>4.9788473818646235</v>
      </c>
      <c r="DI10" s="87">
        <f>VLOOKUP($B10,Raw_Data[#All],DI$2,0)/DI$1</f>
        <v>5.0611658456486044</v>
      </c>
      <c r="DJ10" s="87">
        <f>VLOOKUP($B10,Raw_Data[#All],DJ$2,0)/DJ$1</f>
        <v>4.9258161717752236</v>
      </c>
      <c r="DK10" s="87">
        <f>VLOOKUP($B10,Raw_Data[#All],DK$2,0)/DK$1</f>
        <v>4.9175683551681324</v>
      </c>
      <c r="DL10" s="87">
        <f>VLOOKUP($B10,Raw_Data[#All],DL$2,0)/DL$1</f>
        <v>4.9456759715380398</v>
      </c>
      <c r="DM10" s="87">
        <f>VLOOKUP($B10,Raw_Data[#All],DM$2,0)/DM$1</f>
        <v>4.9319025383141764</v>
      </c>
      <c r="DN10" s="87">
        <f>VLOOKUP($B10,Raw_Data[#All],DN$2,0)/DN$1</f>
        <v>4.9881555637951642</v>
      </c>
      <c r="DO10" s="87">
        <f>VLOOKUP($B10,Raw_Data[#All],DO$2,0)/DO$1</f>
        <v>5.0108239812323943</v>
      </c>
      <c r="DP10" s="87">
        <f>VLOOKUP($B10,Raw_Data[#All],DP$2,0)/DP$1</f>
        <v>4.9723886100768091</v>
      </c>
      <c r="DQ10" s="87">
        <f>VLOOKUP($B10,Raw_Data[#All],DQ$2,0)/DQ$1</f>
        <v>4.966885604816639</v>
      </c>
      <c r="DR10" s="87">
        <f>VLOOKUP($B10,Raw_Data[#All],DR$2,0)/DR$1</f>
        <v>4.955000798212005</v>
      </c>
      <c r="DS10" s="87">
        <f>VLOOKUP($B10,Raw_Data[#All],DS$2,0)/DS$1</f>
        <v>4.97036497400752</v>
      </c>
      <c r="DT10" s="87">
        <f>VLOOKUP($B10,Raw_Data[#All],DT$2,0)/DT$1</f>
        <v>4.9936143039591316</v>
      </c>
      <c r="DU10" s="87">
        <f>VLOOKUP($B10,Raw_Data[#All],DU$2,0)/DU$1</f>
        <v>5.0793986176846211</v>
      </c>
      <c r="DV10" s="87">
        <f>VLOOKUP($B10,Raw_Data[#All],DV$2,0)/DV$1</f>
        <v>4.945417502888767</v>
      </c>
      <c r="DW10" s="87">
        <f>VLOOKUP($B10,Raw_Data[#All],DW$2,0)/DW$1</f>
        <v>5.1078420159737705</v>
      </c>
      <c r="DX10" s="87">
        <f>VLOOKUP($B10,Raw_Data[#All],DX$2,0)/DX$1</f>
        <v>4.931543173799164</v>
      </c>
      <c r="DY10" s="87">
        <f>VLOOKUP($B10,Raw_Data[#All],DY$2,0)/DY$1</f>
        <v>4.9915320117718922</v>
      </c>
      <c r="DZ10" s="87">
        <f>VLOOKUP($B10,Raw_Data[#All],DZ$2,0)/DZ$1</f>
        <v>5.0004054410184677</v>
      </c>
      <c r="EA10" s="87">
        <f>VLOOKUP($B10,Raw_Data[#All],EA$2,0)/EA$1</f>
        <v>4.8678959131545341</v>
      </c>
      <c r="EB10" s="87">
        <f>VLOOKUP($B10,Raw_Data[#All],EB$2,0)/EB$1</f>
        <v>5.037715517241379</v>
      </c>
      <c r="EC10" s="87">
        <f>VLOOKUP($B10,Raw_Data[#All],EC$2,0)/EC$1</f>
        <v>4.9822005007994692</v>
      </c>
      <c r="ED10" s="87">
        <f>VLOOKUP($B10,Raw_Data[#All],ED$2,0)/ED$1</f>
        <v>4.9462440496923259</v>
      </c>
      <c r="EE10" s="87">
        <f>VLOOKUP($B10,Raw_Data[#All],EE$2,0)/EE$1</f>
        <v>4.9992904782176808</v>
      </c>
      <c r="EF10" s="87">
        <f>VLOOKUP($B10,Raw_Data[#All],EF$2,0)/EF$1</f>
        <v>4.989167122787812</v>
      </c>
      <c r="EG10" s="87">
        <f>VLOOKUP($B10,Raw_Data[#All],EG$2,0)/EG$1</f>
        <v>4.9572457694763736</v>
      </c>
      <c r="EH10" s="87">
        <f>VLOOKUP($B10,Raw_Data[#All],EH$2,0)/EH$1</f>
        <v>4.9966574872286085</v>
      </c>
      <c r="EI10" s="87">
        <f>VLOOKUP($B10,Raw_Data[#All],EI$2,0)/EI$1</f>
        <v>5.2456719171278561</v>
      </c>
      <c r="EJ10" s="87">
        <f>VLOOKUP($B10,Raw_Data[#All],EJ$2,0)/EJ$1</f>
        <v>5.3122296378692377</v>
      </c>
      <c r="EK10" s="87">
        <f>VLOOKUP($B10,Raw_Data[#All],EK$2,0)/EK$1</f>
        <v>5.2649176954732511</v>
      </c>
      <c r="EL10" s="87">
        <f>VLOOKUP($B10,Raw_Data[#All],EL$2,0)/EL$1</f>
        <v>5.2738247278477166</v>
      </c>
      <c r="EM10" s="87">
        <f>VLOOKUP($B10,Raw_Data[#All],EM$2,0)/EM$1</f>
        <v>5.2565071142050259</v>
      </c>
      <c r="EN10" s="87">
        <f>VLOOKUP($B10,Raw_Data[#All],EN$2,0)/EN$1</f>
        <v>5.2442275334995641</v>
      </c>
      <c r="EO10" s="87">
        <f>VLOOKUP($B10,Raw_Data[#All],EO$2,0)/EO$1</f>
        <v>5.2259937739463602</v>
      </c>
      <c r="EP10" s="87">
        <f>VLOOKUP($B10,Raw_Data[#All],EP$2,0)/EP$1</f>
        <v>5.1140445402298846</v>
      </c>
      <c r="EQ10" s="87">
        <f>VLOOKUP($B10,Raw_Data[#All],EQ$2,0)/EQ$1</f>
        <v>5.3086419753086416</v>
      </c>
      <c r="ER10" s="87">
        <f>VLOOKUP($B10,Raw_Data[#All],ER$2,0)/ER$1</f>
        <v>5.2823896693628498</v>
      </c>
      <c r="ES10" s="87">
        <f>VLOOKUP($B10,Raw_Data[#All],ES$2,0)/ES$1</f>
        <v>5.168951126940442</v>
      </c>
      <c r="ET10" s="87">
        <f>VLOOKUP($B10,Raw_Data[#All],ET$2,0)/ET$1</f>
        <v>5.2465688126202945</v>
      </c>
      <c r="EU10" s="87">
        <f>VLOOKUP($B10,Raw_Data[#All],EU$2,0)/EU$1</f>
        <v>5.2539438418505933</v>
      </c>
      <c r="EV10" s="87">
        <f>VLOOKUP($B10,Raw_Data[#All],EV$2,0)/EV$1</f>
        <v>5.1957836668085715</v>
      </c>
      <c r="EW10" s="87">
        <f>VLOOKUP($B10,Raw_Data[#All],EW$2,0)/EW$1</f>
        <v>5.2674509099616857</v>
      </c>
      <c r="EX10" s="87">
        <f>VLOOKUP($B10,Raw_Data[#All],EX$2,0)/EX$1</f>
        <v>5.2748097782094874</v>
      </c>
      <c r="EY10" s="87">
        <f>VLOOKUP($B10,Raw_Data[#All],EY$2,0)/EY$1</f>
        <v>5.2208200484062548</v>
      </c>
      <c r="EZ10" s="87">
        <f>VLOOKUP($B10,Raw_Data[#All],EZ$2,0)/EZ$1</f>
        <v>5.2815471122463462</v>
      </c>
      <c r="FA10" s="87">
        <f>VLOOKUP($B10,Raw_Data[#All],FA$2,0)/FA$1</f>
        <v>5.3109479211011781</v>
      </c>
      <c r="FB10" s="87">
        <f>VLOOKUP($B10,Raw_Data[#All],FB$2,0)/FB$1</f>
        <v>5.1898414218816518</v>
      </c>
      <c r="FC10" s="87">
        <f>VLOOKUP($B10,Raw_Data[#All],FC$2,0)/FC$1</f>
        <v>5.2794185468993895</v>
      </c>
      <c r="FD10" s="87">
        <f>VLOOKUP($B10,Raw_Data[#All],FD$2,0)/FD$1</f>
        <v>5.3117017879948918</v>
      </c>
      <c r="FE10" s="87">
        <f>VLOOKUP($B10,Raw_Data[#All],FE$2,0)/FE$1</f>
        <v>5.2115261813537677</v>
      </c>
      <c r="FF10" s="87">
        <f>VLOOKUP($B10,Raw_Data[#All],FF$2,0)/FF$1</f>
        <v>5.3157926245210723</v>
      </c>
      <c r="FG10" s="105">
        <f>VLOOKUP($B10,Raw_Data[#All],FG$2,0)/FG$1</f>
        <v>5.0388492911333751</v>
      </c>
    </row>
    <row r="11" spans="2:163">
      <c r="B11" s="104">
        <f t="shared" si="0"/>
        <v>45834</v>
      </c>
      <c r="C11" s="87">
        <f>VLOOKUP($B11,Raw_Data[#All],C$2,0)/C$1</f>
        <v>4.6891981839676538</v>
      </c>
      <c r="D11" s="87">
        <f>VLOOKUP($B11,Raw_Data[#All],D$2,0)/D$1</f>
        <v>4.7060427339388982</v>
      </c>
      <c r="E11" s="87">
        <f>VLOOKUP($B11,Raw_Data[#All],E$2,0)/E$1</f>
        <v>4.6164516576501597</v>
      </c>
      <c r="F11" s="87">
        <f>VLOOKUP($B11,Raw_Data[#All],F$2,0)/F$1</f>
        <v>4.6277022002642338</v>
      </c>
      <c r="G11" s="87">
        <f>VLOOKUP($B11,Raw_Data[#All],G$2,0)/G$1</f>
        <v>4.6395071294980887</v>
      </c>
      <c r="H11" s="87">
        <f>VLOOKUP($B11,Raw_Data[#All],H$2,0)/H$1</f>
        <v>4.6541918387456294</v>
      </c>
      <c r="I11" s="87">
        <f>VLOOKUP($B11,Raw_Data[#All],I$2,0)/I$1</f>
        <v>4.7235974189351433</v>
      </c>
      <c r="J11" s="87">
        <f>VLOOKUP($B11,Raw_Data[#All],J$2,0)/J$1</f>
        <v>4.6383298767007775</v>
      </c>
      <c r="K11" s="87">
        <f>VLOOKUP($B11,Raw_Data[#All],K$2,0)/K$1</f>
        <v>4.7681298759692137</v>
      </c>
      <c r="L11" s="87">
        <f>VLOOKUP($B11,Raw_Data[#All],L$2,0)/L$1</f>
        <v>4.7599720282363611</v>
      </c>
      <c r="M11" s="87">
        <f>VLOOKUP($B11,Raw_Data[#All],M$2,0)/M$1</f>
        <v>4.6701589002744939</v>
      </c>
      <c r="N11" s="87">
        <f>VLOOKUP($B11,Raw_Data[#All],N$2,0)/N$1</f>
        <v>4.7462223944207667</v>
      </c>
      <c r="O11" s="87">
        <f>VLOOKUP($B11,Raw_Data[#All],O$2,0)/O$1</f>
        <v>4.6387506698308192</v>
      </c>
      <c r="P11" s="87">
        <f>VLOOKUP($B11,Raw_Data[#All],P$2,0)/P$1</f>
        <v>4.6915971893370827</v>
      </c>
      <c r="Q11" s="87">
        <f>VLOOKUP($B11,Raw_Data[#All],Q$2,0)/Q$1</f>
        <v>4.6342933402212747</v>
      </c>
      <c r="R11" s="87">
        <f>VLOOKUP($B11,Raw_Data[#All],R$2,0)/R$1</f>
        <v>4.6624191025585828</v>
      </c>
      <c r="S11" s="87">
        <f>VLOOKUP($B11,Raw_Data[#All],S$2,0)/S$1</f>
        <v>4.5942093455976964</v>
      </c>
      <c r="T11" s="87">
        <f>VLOOKUP($B11,Raw_Data[#All],T$2,0)/T$1</f>
        <v>4.5828729413903115</v>
      </c>
      <c r="U11" s="87">
        <f>VLOOKUP($B11,Raw_Data[#All],U$2,0)/U$1</f>
        <v>4.6545266692496439</v>
      </c>
      <c r="V11" s="87">
        <f>VLOOKUP($B11,Raw_Data[#All],V$2,0)/V$1</f>
        <v>4.6991547921420063</v>
      </c>
      <c r="W11" s="87">
        <f>VLOOKUP($B11,Raw_Data[#All],W$2,0)/W$1</f>
        <v>4.5917337993549578</v>
      </c>
      <c r="X11" s="87">
        <f>VLOOKUP($B11,Raw_Data[#All],X$2,0)/X$1</f>
        <v>4.5969916276429688</v>
      </c>
      <c r="Y11" s="87">
        <f>VLOOKUP($B11,Raw_Data[#All],Y$2,0)/Y$1</f>
        <v>4.5902323100053346</v>
      </c>
      <c r="Z11" s="87">
        <f>VLOOKUP($B11,Raw_Data[#All],Z$2,0)/Z$1</f>
        <v>4.588170498084291</v>
      </c>
      <c r="AA11" s="87">
        <f>VLOOKUP($B11,Raw_Data[#All],AA$2,0)/AA$1</f>
        <v>4.6054597701149431</v>
      </c>
      <c r="AB11" s="87">
        <f>VLOOKUP($B11,Raw_Data[#All],AB$2,0)/AB$1</f>
        <v>4.5694781717122668</v>
      </c>
      <c r="AC11" s="87">
        <f>VLOOKUP($B11,Raw_Data[#All],AC$2,0)/AC$1</f>
        <v>4.5395905261213647</v>
      </c>
      <c r="AD11" s="87">
        <f>VLOOKUP($B11,Raw_Data[#All],AD$2,0)/AD$1</f>
        <v>4.5079229932358933</v>
      </c>
      <c r="AE11" s="87">
        <f>VLOOKUP($B11,Raw_Data[#All],AE$2,0)/AE$1</f>
        <v>4.6508206801948822</v>
      </c>
      <c r="AF11" s="87">
        <f>VLOOKUP($B11,Raw_Data[#All],AF$2,0)/AF$1</f>
        <v>4.6452107279693493</v>
      </c>
      <c r="AG11" s="87">
        <f>VLOOKUP($B11,Raw_Data[#All],AG$2,0)/AG$1</f>
        <v>4.6597313157767104</v>
      </c>
      <c r="AH11" s="87">
        <f>VLOOKUP($B11,Raw_Data[#All],AH$2,0)/AH$1</f>
        <v>4.6562130457405049</v>
      </c>
      <c r="AI11" s="87">
        <f>VLOOKUP($B11,Raw_Data[#All],AI$2,0)/AI$1</f>
        <v>4.7864977207609263</v>
      </c>
      <c r="AJ11" s="87">
        <f>VLOOKUP($B11,Raw_Data[#All],AJ$2,0)/AJ$1</f>
        <v>4.7868803841940863</v>
      </c>
      <c r="AK11" s="87">
        <f>VLOOKUP($B11,Raw_Data[#All],AK$2,0)/AK$1</f>
        <v>4.8035262435365746</v>
      </c>
      <c r="AL11" s="87">
        <f>VLOOKUP($B11,Raw_Data[#All],AL$2,0)/AL$1</f>
        <v>4.7522971764221928</v>
      </c>
      <c r="AM11" s="87">
        <f>VLOOKUP($B11,Raw_Data[#All],AM$2,0)/AM$1</f>
        <v>4.7840582413745265</v>
      </c>
      <c r="AN11" s="87">
        <f>VLOOKUP($B11,Raw_Data[#All],AN$2,0)/AN$1</f>
        <v>4.6851397439024964</v>
      </c>
      <c r="AO11" s="87">
        <f>VLOOKUP($B11,Raw_Data[#All],AO$2,0)/AO$1</f>
        <v>4.7020247678907108</v>
      </c>
      <c r="AP11" s="87">
        <f>VLOOKUP($B11,Raw_Data[#All],AP$2,0)/AP$1</f>
        <v>4.7150831575473182</v>
      </c>
      <c r="AQ11" s="87">
        <f>VLOOKUP($B11,Raw_Data[#All],AQ$2,0)/AQ$1</f>
        <v>4.5635048519354031</v>
      </c>
      <c r="AR11" s="87">
        <f>VLOOKUP($B11,Raw_Data[#All],AR$2,0)/AR$1</f>
        <v>4.1080170811892511</v>
      </c>
      <c r="AS11" s="87">
        <f>VLOOKUP($B11,Raw_Data[#All],AS$2,0)/AS$1</f>
        <v>4.2054259167638772</v>
      </c>
      <c r="AT11" s="87">
        <f>VLOOKUP($B11,Raw_Data[#All],AT$2,0)/AT$1</f>
        <v>4.1633732120448892</v>
      </c>
      <c r="AU11" s="87">
        <f>VLOOKUP($B11,Raw_Data[#All],AU$2,0)/AU$1</f>
        <v>4.0955383123181379</v>
      </c>
      <c r="AV11" s="87">
        <f>VLOOKUP($B11,Raw_Data[#All],AV$2,0)/AV$1</f>
        <v>4.397534138913449</v>
      </c>
      <c r="AW11" s="87">
        <f>VLOOKUP($B11,Raw_Data[#All],AW$2,0)/AW$1</f>
        <v>4.079037908872988</v>
      </c>
      <c r="AX11" s="87">
        <f>VLOOKUP($B11,Raw_Data[#All],AX$2,0)/AX$1</f>
        <v>4.5855713109177501</v>
      </c>
      <c r="AY11" s="87">
        <f>VLOOKUP($B11,Raw_Data[#All],AY$2,0)/AY$1</f>
        <v>4.4808520650088681</v>
      </c>
      <c r="AZ11" s="87">
        <f>VLOOKUP($B11,Raw_Data[#All],AZ$2,0)/AZ$1</f>
        <v>4.5775973643958103</v>
      </c>
      <c r="BA11" s="87">
        <f>VLOOKUP($B11,Raw_Data[#All],BA$2,0)/BA$1</f>
        <v>4.6415620251512522</v>
      </c>
      <c r="BB11" s="87">
        <f>VLOOKUP($B11,Raw_Data[#All],BB$2,0)/BB$1</f>
        <v>4.7286079182630907</v>
      </c>
      <c r="BC11" s="87">
        <f>VLOOKUP($B11,Raw_Data[#All],BC$2,0)/BC$1</f>
        <v>4.6007141186840075</v>
      </c>
      <c r="BD11" s="87">
        <f>VLOOKUP($B11,Raw_Data[#All],BD$2,0)/BD$1</f>
        <v>4.6139742955099639</v>
      </c>
      <c r="BE11" s="87">
        <f>VLOOKUP($B11,Raw_Data[#All],BE$2,0)/BE$1</f>
        <v>4.6329573867213503</v>
      </c>
      <c r="BF11" s="87">
        <f>VLOOKUP($B11,Raw_Data[#All],BF$2,0)/BF$1</f>
        <v>4.5782943089723087</v>
      </c>
      <c r="BG11" s="87">
        <f>VLOOKUP($B11,Raw_Data[#All],BG$2,0)/BG$1</f>
        <v>4.6499016805530218</v>
      </c>
      <c r="BH11" s="87">
        <f>VLOOKUP($B11,Raw_Data[#All],BH$2,0)/BH$1</f>
        <v>4.6311056701484912</v>
      </c>
      <c r="BI11" s="87">
        <f>VLOOKUP($B11,Raw_Data[#All],BI$2,0)/BI$1</f>
        <v>4.6313020738308088</v>
      </c>
      <c r="BJ11" s="87">
        <f>VLOOKUP($B11,Raw_Data[#All],BJ$2,0)/BJ$1</f>
        <v>4.6801993284275198</v>
      </c>
      <c r="BK11" s="87">
        <f>VLOOKUP($B11,Raw_Data[#All],BK$2,0)/BK$1</f>
        <v>4.6626823520946887</v>
      </c>
      <c r="BL11" s="87">
        <f>VLOOKUP($B11,Raw_Data[#All],BL$2,0)/BL$1</f>
        <v>4.6347483224877859</v>
      </c>
      <c r="BM11" s="87">
        <f>VLOOKUP($B11,Raw_Data[#All],BM$2,0)/BM$1</f>
        <v>4.6048166392993979</v>
      </c>
      <c r="BN11" s="87">
        <f>VLOOKUP($B11,Raw_Data[#All],BN$2,0)/BN$1</f>
        <v>4.5958333333333332</v>
      </c>
      <c r="BO11" s="87">
        <f>VLOOKUP($B11,Raw_Data[#All],BO$2,0)/BO$1</f>
        <v>4.6493329178688576</v>
      </c>
      <c r="BP11" s="87">
        <f>VLOOKUP($B11,Raw_Data[#All],BP$2,0)/BP$1</f>
        <v>4.6271272402243611</v>
      </c>
      <c r="BQ11" s="87">
        <f>VLOOKUP($B11,Raw_Data[#All],BQ$2,0)/BQ$1</f>
        <v>4.6192672443525771</v>
      </c>
      <c r="BR11" s="87">
        <f>VLOOKUP($B11,Raw_Data[#All],BR$2,0)/BR$1</f>
        <v>4.6031545171057981</v>
      </c>
      <c r="BS11" s="87">
        <f>VLOOKUP($B11,Raw_Data[#All],BS$2,0)/BS$1</f>
        <v>4.5702821129242794</v>
      </c>
      <c r="BT11" s="87">
        <f>VLOOKUP($B11,Raw_Data[#All],BT$2,0)/BT$1</f>
        <v>4.6427159126858584</v>
      </c>
      <c r="BU11" s="87">
        <f>VLOOKUP($B11,Raw_Data[#All],BU$2,0)/BU$1</f>
        <v>4.5765068105564746</v>
      </c>
      <c r="BV11" s="87">
        <f>VLOOKUP($B11,Raw_Data[#All],BV$2,0)/BV$1</f>
        <v>4.5999632619322188</v>
      </c>
      <c r="BW11" s="87">
        <f>VLOOKUP($B11,Raw_Data[#All],BW$2,0)/BW$1</f>
        <v>4.6173672423047734</v>
      </c>
      <c r="BX11" s="87">
        <f>VLOOKUP($B11,Raw_Data[#All],BX$2,0)/BX$1</f>
        <v>4.6095334685598379</v>
      </c>
      <c r="BY11" s="87">
        <f>VLOOKUP($B11,Raw_Data[#All],BY$2,0)/BY$1</f>
        <v>4.6772689492996005</v>
      </c>
      <c r="BZ11" s="87">
        <f>VLOOKUP($B11,Raw_Data[#All],BZ$2,0)/BZ$1</f>
        <v>4.5994873581080471</v>
      </c>
      <c r="CA11" s="87">
        <f>VLOOKUP($B11,Raw_Data[#All],CA$2,0)/CA$1</f>
        <v>4.6789642813002104</v>
      </c>
      <c r="CB11" s="87">
        <f>VLOOKUP($B11,Raw_Data[#All],CB$2,0)/CB$1</f>
        <v>4.6404054916985951</v>
      </c>
      <c r="CC11" s="87">
        <f>VLOOKUP($B11,Raw_Data[#All],CC$2,0)/CC$1</f>
        <v>4.682083561393906</v>
      </c>
      <c r="CD11" s="87">
        <f>VLOOKUP($B11,Raw_Data[#All],CD$2,0)/CD$1</f>
        <v>4.6379490223589306</v>
      </c>
      <c r="CE11" s="87">
        <f>VLOOKUP($B11,Raw_Data[#All],CE$2,0)/CE$1</f>
        <v>4.6492901771591271</v>
      </c>
      <c r="CF11" s="87">
        <f>VLOOKUP($B11,Raw_Data[#All],CF$2,0)/CF$1</f>
        <v>4.6291191594262937</v>
      </c>
      <c r="CG11" s="87">
        <f>VLOOKUP($B11,Raw_Data[#All],CG$2,0)/CG$1</f>
        <v>4.5961599299150704</v>
      </c>
      <c r="CH11" s="87">
        <f>VLOOKUP($B11,Raw_Data[#All],CH$2,0)/CH$1</f>
        <v>4.611058385180498</v>
      </c>
      <c r="CI11" s="87">
        <f>VLOOKUP($B11,Raw_Data[#All],CI$2,0)/CI$1</f>
        <v>4.6306054254982598</v>
      </c>
      <c r="CJ11" s="87">
        <f>VLOOKUP($B11,Raw_Data[#All],CJ$2,0)/CJ$1</f>
        <v>4.5712006382130035</v>
      </c>
      <c r="CK11" s="87">
        <f>VLOOKUP($B11,Raw_Data[#All],CK$2,0)/CK$1</f>
        <v>4.6634273173046505</v>
      </c>
      <c r="CL11" s="87">
        <f>VLOOKUP($B11,Raw_Data[#All],CL$2,0)/CL$1</f>
        <v>4.6148720719610967</v>
      </c>
      <c r="CM11" s="87">
        <f>VLOOKUP($B11,Raw_Data[#All],CM$2,0)/CM$1</f>
        <v>4.697910965152345</v>
      </c>
      <c r="CN11" s="87">
        <f>VLOOKUP($B11,Raw_Data[#All],CN$2,0)/CN$1</f>
        <v>4.6397716174592443</v>
      </c>
      <c r="CO11" s="87">
        <f>VLOOKUP($B11,Raw_Data[#All],CO$2,0)/CO$1</f>
        <v>4.7121287026737537</v>
      </c>
      <c r="CP11" s="87">
        <f>VLOOKUP($B11,Raw_Data[#All],CP$2,0)/CP$1</f>
        <v>4.6906485029090392</v>
      </c>
      <c r="CQ11" s="87">
        <f>VLOOKUP($B11,Raw_Data[#All],CQ$2,0)/CQ$1</f>
        <v>4.6800310162379128</v>
      </c>
      <c r="CR11" s="87">
        <f>VLOOKUP($B11,Raw_Data[#All],CR$2,0)/CR$1</f>
        <v>4.7465676883780326</v>
      </c>
      <c r="CS11" s="87">
        <f>VLOOKUP($B11,Raw_Data[#All],CS$2,0)/CS$1</f>
        <v>4.6827107279693481</v>
      </c>
      <c r="CT11" s="87">
        <f>VLOOKUP($B11,Raw_Data[#All],CT$2,0)/CT$1</f>
        <v>4.6798094254685108</v>
      </c>
      <c r="CU11" s="87">
        <f>VLOOKUP($B11,Raw_Data[#All],CU$2,0)/CU$1</f>
        <v>4.7232183908045977</v>
      </c>
      <c r="CV11" s="87">
        <f>VLOOKUP($B11,Raw_Data[#All],CV$2,0)/CV$1</f>
        <v>4.6846448570586503</v>
      </c>
      <c r="CW11" s="87">
        <f>VLOOKUP($B11,Raw_Data[#All],CW$2,0)/CW$1</f>
        <v>4.6444551616965413</v>
      </c>
      <c r="CX11" s="87">
        <f>VLOOKUP($B11,Raw_Data[#All],CX$2,0)/CX$1</f>
        <v>4.6759259259259256</v>
      </c>
      <c r="CY11" s="87">
        <f>VLOOKUP($B11,Raw_Data[#All],CY$2,0)/CY$1</f>
        <v>4.6467024975166735</v>
      </c>
      <c r="CZ11" s="87">
        <f>VLOOKUP($B11,Raw_Data[#All],CZ$2,0)/CZ$1</f>
        <v>4.6854014748897947</v>
      </c>
      <c r="DA11" s="87">
        <f>VLOOKUP($B11,Raw_Data[#All],DA$2,0)/DA$1</f>
        <v>4.6341908410873929</v>
      </c>
      <c r="DB11" s="87">
        <f>VLOOKUP($B11,Raw_Data[#All],DB$2,0)/DB$1</f>
        <v>4.6434486749680719</v>
      </c>
      <c r="DC11" s="87">
        <f>VLOOKUP($B11,Raw_Data[#All],DC$2,0)/DC$1</f>
        <v>4.615149389311604</v>
      </c>
      <c r="DD11" s="87">
        <f>VLOOKUP($B11,Raw_Data[#All],DD$2,0)/DD$1</f>
        <v>4.6248665284843913</v>
      </c>
      <c r="DE11" s="87">
        <f>VLOOKUP($B11,Raw_Data[#All],DE$2,0)/DE$1</f>
        <v>4.6277409026316265</v>
      </c>
      <c r="DF11" s="87">
        <f>VLOOKUP($B11,Raw_Data[#All],DF$2,0)/DF$1</f>
        <v>4.6019915389527464</v>
      </c>
      <c r="DG11" s="87">
        <f>VLOOKUP($B11,Raw_Data[#All],DG$2,0)/DG$1</f>
        <v>4.6322295201605552</v>
      </c>
      <c r="DH11" s="87">
        <f>VLOOKUP($B11,Raw_Data[#All],DH$2,0)/DH$1</f>
        <v>4.6094747765006385</v>
      </c>
      <c r="DI11" s="87">
        <f>VLOOKUP($B11,Raw_Data[#All],DI$2,0)/DI$1</f>
        <v>4.6584108739281156</v>
      </c>
      <c r="DJ11" s="87">
        <f>VLOOKUP($B11,Raw_Data[#All],DJ$2,0)/DJ$1</f>
        <v>4.6773227969348659</v>
      </c>
      <c r="DK11" s="87">
        <f>VLOOKUP($B11,Raw_Data[#All],DK$2,0)/DK$1</f>
        <v>4.4981374958822187</v>
      </c>
      <c r="DL11" s="87">
        <f>VLOOKUP($B11,Raw_Data[#All],DL$2,0)/DL$1</f>
        <v>4.5651340996168583</v>
      </c>
      <c r="DM11" s="87">
        <f>VLOOKUP($B11,Raw_Data[#All],DM$2,0)/DM$1</f>
        <v>4.5744532247765006</v>
      </c>
      <c r="DN11" s="87">
        <f>VLOOKUP($B11,Raw_Data[#All],DN$2,0)/DN$1</f>
        <v>4.6239134017220778</v>
      </c>
      <c r="DO11" s="87">
        <f>VLOOKUP($B11,Raw_Data[#All],DO$2,0)/DO$1</f>
        <v>4.6028187639828628</v>
      </c>
      <c r="DP11" s="87">
        <f>VLOOKUP($B11,Raw_Data[#All],DP$2,0)/DP$1</f>
        <v>4.5762955767812494</v>
      </c>
      <c r="DQ11" s="87">
        <f>VLOOKUP($B11,Raw_Data[#All],DQ$2,0)/DQ$1</f>
        <v>4.564997263273125</v>
      </c>
      <c r="DR11" s="87">
        <f>VLOOKUP($B11,Raw_Data[#All],DR$2,0)/DR$1</f>
        <v>4.551554517879949</v>
      </c>
      <c r="DS11" s="87">
        <f>VLOOKUP($B11,Raw_Data[#All],DS$2,0)/DS$1</f>
        <v>4.5449517025524804</v>
      </c>
      <c r="DT11" s="87">
        <f>VLOOKUP($B11,Raw_Data[#All],DT$2,0)/DT$1</f>
        <v>4.5740842100995351</v>
      </c>
      <c r="DU11" s="87">
        <f>VLOOKUP($B11,Raw_Data[#All],DU$2,0)/DU$1</f>
        <v>4.6479885057471257</v>
      </c>
      <c r="DV11" s="87">
        <f>VLOOKUP($B11,Raw_Data[#All],DV$2,0)/DV$1</f>
        <v>4.6501044010622552</v>
      </c>
      <c r="DW11" s="87">
        <f>VLOOKUP($B11,Raw_Data[#All],DW$2,0)/DW$1</f>
        <v>4.656363774994758</v>
      </c>
      <c r="DX11" s="87">
        <f>VLOOKUP($B11,Raw_Data[#All],DX$2,0)/DX$1</f>
        <v>4.5818992575275441</v>
      </c>
      <c r="DY11" s="87">
        <f>VLOOKUP($B11,Raw_Data[#All],DY$2,0)/DY$1</f>
        <v>4.5547596572084332</v>
      </c>
      <c r="DZ11" s="87">
        <f>VLOOKUP($B11,Raw_Data[#All],DZ$2,0)/DZ$1</f>
        <v>4.5686107563502203</v>
      </c>
      <c r="EA11" s="87">
        <f>VLOOKUP($B11,Raw_Data[#All],EA$2,0)/EA$1</f>
        <v>4.5692149584929753</v>
      </c>
      <c r="EB11" s="87">
        <f>VLOOKUP($B11,Raw_Data[#All],EB$2,0)/EB$1</f>
        <v>4.6073295817369093</v>
      </c>
      <c r="EC11" s="87">
        <f>VLOOKUP($B11,Raw_Data[#All],EC$2,0)/EC$1</f>
        <v>4.5243410665620827</v>
      </c>
      <c r="ED11" s="87">
        <f>VLOOKUP($B11,Raw_Data[#All],ED$2,0)/ED$1</f>
        <v>4.5220596772320913</v>
      </c>
      <c r="EE11" s="87">
        <f>VLOOKUP($B11,Raw_Data[#All],EE$2,0)/EE$1</f>
        <v>4.5651138275659351</v>
      </c>
      <c r="EF11" s="87">
        <f>VLOOKUP($B11,Raw_Data[#All],EF$2,0)/EF$1</f>
        <v>4.5686804415252693</v>
      </c>
      <c r="EG11" s="87">
        <f>VLOOKUP($B11,Raw_Data[#All],EG$2,0)/EG$1</f>
        <v>4.3956537356321839</v>
      </c>
      <c r="EH11" s="87">
        <f>VLOOKUP($B11,Raw_Data[#All],EH$2,0)/EH$1</f>
        <v>4.4185025542784162</v>
      </c>
      <c r="EI11" s="87">
        <f>VLOOKUP($B11,Raw_Data[#All],EI$2,0)/EI$1</f>
        <v>4.5465712359869448</v>
      </c>
      <c r="EJ11" s="87">
        <f>VLOOKUP($B11,Raw_Data[#All],EJ$2,0)/EJ$1</f>
        <v>4.625561323281012</v>
      </c>
      <c r="EK11" s="87">
        <f>VLOOKUP($B11,Raw_Data[#All],EK$2,0)/EK$1</f>
        <v>4.5283897403150277</v>
      </c>
      <c r="EL11" s="87">
        <f>VLOOKUP($B11,Raw_Data[#All],EL$2,0)/EL$1</f>
        <v>4.5951671430598635</v>
      </c>
      <c r="EM11" s="87">
        <f>VLOOKUP($B11,Raw_Data[#All],EM$2,0)/EM$1</f>
        <v>4.5634342453186552</v>
      </c>
      <c r="EN11" s="87">
        <f>VLOOKUP($B11,Raw_Data[#All],EN$2,0)/EN$1</f>
        <v>4.5884773662551437</v>
      </c>
      <c r="EO11" s="87">
        <f>VLOOKUP($B11,Raw_Data[#All],EO$2,0)/EO$1</f>
        <v>4.5893698116219666</v>
      </c>
      <c r="EP11" s="87">
        <f>VLOOKUP($B11,Raw_Data[#All],EP$2,0)/EP$1</f>
        <v>4.5044101213282248</v>
      </c>
      <c r="EQ11" s="87">
        <f>VLOOKUP($B11,Raw_Data[#All],EQ$2,0)/EQ$1</f>
        <v>4.5275047661354506</v>
      </c>
      <c r="ER11" s="87">
        <f>VLOOKUP($B11,Raw_Data[#All],ER$2,0)/ER$1</f>
        <v>4.5016496381438911</v>
      </c>
      <c r="ES11" s="87">
        <f>VLOOKUP($B11,Raw_Data[#All],ES$2,0)/ES$1</f>
        <v>4.5347885525156046</v>
      </c>
      <c r="ET11" s="87">
        <f>VLOOKUP($B11,Raw_Data[#All],ET$2,0)/ET$1</f>
        <v>4.5178349792240029</v>
      </c>
      <c r="EU11" s="87">
        <f>VLOOKUP($B11,Raw_Data[#All],EU$2,0)/EU$1</f>
        <v>4.5449067328620512</v>
      </c>
      <c r="EV11" s="87">
        <f>VLOOKUP($B11,Raw_Data[#All],EV$2,0)/EV$1</f>
        <v>4.5012948772527315</v>
      </c>
      <c r="EW11" s="87">
        <f>VLOOKUP($B11,Raw_Data[#All],EW$2,0)/EW$1</f>
        <v>4.5729565772669218</v>
      </c>
      <c r="EX11" s="87">
        <f>VLOOKUP($B11,Raw_Data[#All],EX$2,0)/EX$1</f>
        <v>4.5335743708740308</v>
      </c>
      <c r="EY11" s="87">
        <f>VLOOKUP($B11,Raw_Data[#All],EY$2,0)/EY$1</f>
        <v>4.5029874340219163</v>
      </c>
      <c r="EZ11" s="87">
        <f>VLOOKUP($B11,Raw_Data[#All],EZ$2,0)/EZ$1</f>
        <v>4.4664839648077201</v>
      </c>
      <c r="FA11" s="87">
        <f>VLOOKUP($B11,Raw_Data[#All],FA$2,0)/FA$1</f>
        <v>4.4488346104725416</v>
      </c>
      <c r="FB11" s="87">
        <f>VLOOKUP($B11,Raw_Data[#All],FB$2,0)/FB$1</f>
        <v>4.4242674187597562</v>
      </c>
      <c r="FC11" s="87">
        <f>VLOOKUP($B11,Raw_Data[#All],FC$2,0)/FC$1</f>
        <v>4.4372161912870727</v>
      </c>
      <c r="FD11" s="87">
        <f>VLOOKUP($B11,Raw_Data[#All],FD$2,0)/FD$1</f>
        <v>4.4769216954022983</v>
      </c>
      <c r="FE11" s="87">
        <f>VLOOKUP($B11,Raw_Data[#All],FE$2,0)/FE$1</f>
        <v>4.4654640272456358</v>
      </c>
      <c r="FF11" s="87">
        <f>VLOOKUP($B11,Raw_Data[#All],FF$2,0)/FF$1</f>
        <v>4.5375359195402298</v>
      </c>
      <c r="FG11" s="105">
        <f>VLOOKUP($B11,Raw_Data[#All],FG$2,0)/FG$1</f>
        <v>4.5963425884143359</v>
      </c>
    </row>
    <row r="12" spans="2:163">
      <c r="B12" s="104">
        <f t="shared" si="0"/>
        <v>45835</v>
      </c>
      <c r="C12" s="87">
        <f>VLOOKUP($B12,Raw_Data[#All],C$2,0)/C$1</f>
        <v>3.6973842378724204</v>
      </c>
      <c r="D12" s="87">
        <f>VLOOKUP($B12,Raw_Data[#All],D$2,0)/D$1</f>
        <v>3.7422092116654944</v>
      </c>
      <c r="E12" s="87">
        <f>VLOOKUP($B12,Raw_Data[#All],E$2,0)/E$1</f>
        <v>3.7156619359899739</v>
      </c>
      <c r="F12" s="87">
        <f>VLOOKUP($B12,Raw_Data[#All],F$2,0)/F$1</f>
        <v>3.7275262850115873</v>
      </c>
      <c r="G12" s="87">
        <f>VLOOKUP($B12,Raw_Data[#All],G$2,0)/G$1</f>
        <v>3.7352734369394578</v>
      </c>
      <c r="H12" s="87">
        <f>VLOOKUP($B12,Raw_Data[#All],H$2,0)/H$1</f>
        <v>3.7438833641855722</v>
      </c>
      <c r="I12" s="87">
        <f>VLOOKUP($B12,Raw_Data[#All],I$2,0)/I$1</f>
        <v>3.7775577463037102</v>
      </c>
      <c r="J12" s="87">
        <f>VLOOKUP($B12,Raw_Data[#All],J$2,0)/J$1</f>
        <v>3.7028055701164617</v>
      </c>
      <c r="K12" s="87">
        <f>VLOOKUP($B12,Raw_Data[#All],K$2,0)/K$1</f>
        <v>3.74244837631122</v>
      </c>
      <c r="L12" s="87">
        <f>VLOOKUP($B12,Raw_Data[#All],L$2,0)/L$1</f>
        <v>3.7480745787698093</v>
      </c>
      <c r="M12" s="87">
        <f>VLOOKUP($B12,Raw_Data[#All],M$2,0)/M$1</f>
        <v>3.6824619153333846</v>
      </c>
      <c r="N12" s="87">
        <f>VLOOKUP($B12,Raw_Data[#All],N$2,0)/N$1</f>
        <v>3.7277636670636798</v>
      </c>
      <c r="O12" s="87">
        <f>VLOOKUP($B12,Raw_Data[#All],O$2,0)/O$1</f>
        <v>3.693922857361577</v>
      </c>
      <c r="P12" s="87">
        <f>VLOOKUP($B12,Raw_Data[#All],P$2,0)/P$1</f>
        <v>3.6827050478090126</v>
      </c>
      <c r="Q12" s="87">
        <f>VLOOKUP($B12,Raw_Data[#All],Q$2,0)/Q$1</f>
        <v>3.730155313520934</v>
      </c>
      <c r="R12" s="87">
        <f>VLOOKUP($B12,Raw_Data[#All],R$2,0)/R$1</f>
        <v>3.7327382916947682</v>
      </c>
      <c r="S12" s="87">
        <f>VLOOKUP($B12,Raw_Data[#All],S$2,0)/S$1</f>
        <v>3.7081521661141963</v>
      </c>
      <c r="T12" s="87">
        <f>VLOOKUP($B12,Raw_Data[#All],T$2,0)/T$1</f>
        <v>3.6506569852818078</v>
      </c>
      <c r="U12" s="87">
        <f>VLOOKUP($B12,Raw_Data[#All],U$2,0)/U$1</f>
        <v>3.6946632800952832</v>
      </c>
      <c r="V12" s="87">
        <f>VLOOKUP($B12,Raw_Data[#All],V$2,0)/V$1</f>
        <v>3.7231717058657519</v>
      </c>
      <c r="W12" s="87">
        <f>VLOOKUP($B12,Raw_Data[#All],W$2,0)/W$1</f>
        <v>3.6725724488394458</v>
      </c>
      <c r="X12" s="87">
        <f>VLOOKUP($B12,Raw_Data[#All],X$2,0)/X$1</f>
        <v>3.5887611749680715</v>
      </c>
      <c r="Y12" s="87">
        <f>VLOOKUP($B12,Raw_Data[#All],Y$2,0)/Y$1</f>
        <v>3.6586158397594448</v>
      </c>
      <c r="Z12" s="87">
        <f>VLOOKUP($B12,Raw_Data[#All],Z$2,0)/Z$1</f>
        <v>3.6495689655172416</v>
      </c>
      <c r="AA12" s="87">
        <f>VLOOKUP($B12,Raw_Data[#All],AA$2,0)/AA$1</f>
        <v>3.5866379310344825</v>
      </c>
      <c r="AB12" s="87">
        <f>VLOOKUP($B12,Raw_Data[#All],AB$2,0)/AB$1</f>
        <v>3.560520209378879</v>
      </c>
      <c r="AC12" s="87">
        <f>VLOOKUP($B12,Raw_Data[#All],AC$2,0)/AC$1</f>
        <v>3.5500996926341117</v>
      </c>
      <c r="AD12" s="87">
        <f>VLOOKUP($B12,Raw_Data[#All],AD$2,0)/AD$1</f>
        <v>3.5357835485549409</v>
      </c>
      <c r="AE12" s="87">
        <f>VLOOKUP($B12,Raw_Data[#All],AE$2,0)/AE$1</f>
        <v>3.6641123882503197</v>
      </c>
      <c r="AF12" s="87">
        <f>VLOOKUP($B12,Raw_Data[#All],AF$2,0)/AF$1</f>
        <v>3.6903735632183907</v>
      </c>
      <c r="AG12" s="87">
        <f>VLOOKUP($B12,Raw_Data[#All],AG$2,0)/AG$1</f>
        <v>3.6575973616567246</v>
      </c>
      <c r="AH12" s="87">
        <f>VLOOKUP($B12,Raw_Data[#All],AH$2,0)/AH$1</f>
        <v>3.6343124733929333</v>
      </c>
      <c r="AI12" s="87">
        <f>VLOOKUP($B12,Raw_Data[#All],AI$2,0)/AI$1</f>
        <v>3.6574014282912639</v>
      </c>
      <c r="AJ12" s="87">
        <f>VLOOKUP($B12,Raw_Data[#All],AJ$2,0)/AJ$1</f>
        <v>3.6497003266989059</v>
      </c>
      <c r="AK12" s="87">
        <f>VLOOKUP($B12,Raw_Data[#All],AK$2,0)/AK$1</f>
        <v>3.7285289939300008</v>
      </c>
      <c r="AL12" s="87">
        <f>VLOOKUP($B12,Raw_Data[#All],AL$2,0)/AL$1</f>
        <v>3.6865316821406191</v>
      </c>
      <c r="AM12" s="87">
        <f>VLOOKUP($B12,Raw_Data[#All],AM$2,0)/AM$1</f>
        <v>3.706143183090103</v>
      </c>
      <c r="AN12" s="87">
        <f>VLOOKUP($B12,Raw_Data[#All],AN$2,0)/AN$1</f>
        <v>3.6301366586785671</v>
      </c>
      <c r="AO12" s="87">
        <f>VLOOKUP($B12,Raw_Data[#All],AO$2,0)/AO$1</f>
        <v>3.6010542377583574</v>
      </c>
      <c r="AP12" s="87">
        <f>VLOOKUP($B12,Raw_Data[#All],AP$2,0)/AP$1</f>
        <v>3.587421852952009</v>
      </c>
      <c r="AQ12" s="87">
        <f>VLOOKUP($B12,Raw_Data[#All],AQ$2,0)/AQ$1</f>
        <v>3.6612865685537295</v>
      </c>
      <c r="AR12" s="87">
        <f>VLOOKUP($B12,Raw_Data[#All],AR$2,0)/AR$1</f>
        <v>3.2758897941680956</v>
      </c>
      <c r="AS12" s="87">
        <f>VLOOKUP($B12,Raw_Data[#All],AS$2,0)/AS$1</f>
        <v>3.6585675833927183</v>
      </c>
      <c r="AT12" s="87">
        <f>VLOOKUP($B12,Raw_Data[#All],AT$2,0)/AT$1</f>
        <v>3.5870744744986136</v>
      </c>
      <c r="AU12" s="87">
        <f>VLOOKUP($B12,Raw_Data[#All],AU$2,0)/AU$1</f>
        <v>3.2635662872020017</v>
      </c>
      <c r="AV12" s="87">
        <f>VLOOKUP($B12,Raw_Data[#All],AV$2,0)/AV$1</f>
        <v>3.4743098536201984</v>
      </c>
      <c r="AW12" s="87">
        <f>VLOOKUP($B12,Raw_Data[#All],AW$2,0)/AW$1</f>
        <v>3.2518698082743791</v>
      </c>
      <c r="AX12" s="87">
        <f>VLOOKUP($B12,Raw_Data[#All],AX$2,0)/AX$1</f>
        <v>3.6736402048197085</v>
      </c>
      <c r="AY12" s="87">
        <f>VLOOKUP($B12,Raw_Data[#All],AY$2,0)/AY$1</f>
        <v>3.5242244905346225</v>
      </c>
      <c r="AZ12" s="87">
        <f>VLOOKUP($B12,Raw_Data[#All],AZ$2,0)/AZ$1</f>
        <v>3.5888837600803711</v>
      </c>
      <c r="BA12" s="87">
        <f>VLOOKUP($B12,Raw_Data[#All],BA$2,0)/BA$1</f>
        <v>3.6190116620521855</v>
      </c>
      <c r="BB12" s="87">
        <f>VLOOKUP($B12,Raw_Data[#All],BB$2,0)/BB$1</f>
        <v>3.6566091954022988</v>
      </c>
      <c r="BC12" s="87">
        <f>VLOOKUP($B12,Raw_Data[#All],BC$2,0)/BC$1</f>
        <v>3.5555735434317275</v>
      </c>
      <c r="BD12" s="87">
        <f>VLOOKUP($B12,Raw_Data[#All],BD$2,0)/BD$1</f>
        <v>3.6656399537979203</v>
      </c>
      <c r="BE12" s="87">
        <f>VLOOKUP($B12,Raw_Data[#All],BE$2,0)/BE$1</f>
        <v>3.5825103879984894</v>
      </c>
      <c r="BF12" s="87">
        <f>VLOOKUP($B12,Raw_Data[#All],BF$2,0)/BF$1</f>
        <v>3.5506927348200326</v>
      </c>
      <c r="BG12" s="87">
        <f>VLOOKUP($B12,Raw_Data[#All],BG$2,0)/BG$1</f>
        <v>3.5907376999331024</v>
      </c>
      <c r="BH12" s="87">
        <f>VLOOKUP($B12,Raw_Data[#All],BH$2,0)/BH$1</f>
        <v>3.5665656761374644</v>
      </c>
      <c r="BI12" s="87">
        <f>VLOOKUP($B12,Raw_Data[#All],BI$2,0)/BI$1</f>
        <v>3.6164832046058097</v>
      </c>
      <c r="BJ12" s="87">
        <f>VLOOKUP($B12,Raw_Data[#All],BJ$2,0)/BJ$1</f>
        <v>3.6071122383367862</v>
      </c>
      <c r="BK12" s="87">
        <f>VLOOKUP($B12,Raw_Data[#All],BK$2,0)/BK$1</f>
        <v>3.5439713633011354</v>
      </c>
      <c r="BL12" s="87">
        <f>VLOOKUP($B12,Raw_Data[#All],BL$2,0)/BL$1</f>
        <v>3.6147094001500126</v>
      </c>
      <c r="BM12" s="87">
        <f>VLOOKUP($B12,Raw_Data[#All],BM$2,0)/BM$1</f>
        <v>3.5576081007115485</v>
      </c>
      <c r="BN12" s="87">
        <f>VLOOKUP($B12,Raw_Data[#All],BN$2,0)/BN$1</f>
        <v>3.5559865900383141</v>
      </c>
      <c r="BO12" s="87">
        <f>VLOOKUP($B12,Raw_Data[#All],BO$2,0)/BO$1</f>
        <v>3.5524115572068418</v>
      </c>
      <c r="BP12" s="87">
        <f>VLOOKUP($B12,Raw_Data[#All],BP$2,0)/BP$1</f>
        <v>3.5266617455798097</v>
      </c>
      <c r="BQ12" s="87">
        <f>VLOOKUP($B12,Raw_Data[#All],BQ$2,0)/BQ$1</f>
        <v>3.5344292398189401</v>
      </c>
      <c r="BR12" s="87">
        <f>VLOOKUP($B12,Raw_Data[#All],BR$2,0)/BR$1</f>
        <v>3.4851086907398203</v>
      </c>
      <c r="BS12" s="87">
        <f>VLOOKUP($B12,Raw_Data[#All],BS$2,0)/BS$1</f>
        <v>3.4616517164543166</v>
      </c>
      <c r="BT12" s="87">
        <f>VLOOKUP($B12,Raw_Data[#All],BT$2,0)/BT$1</f>
        <v>3.5286499525466626</v>
      </c>
      <c r="BU12" s="87">
        <f>VLOOKUP($B12,Raw_Data[#All],BU$2,0)/BU$1</f>
        <v>2.9238385071581021</v>
      </c>
      <c r="BV12" s="87">
        <f>VLOOKUP($B12,Raw_Data[#All],BV$2,0)/BV$1</f>
        <v>3.368064414078844</v>
      </c>
      <c r="BW12" s="87">
        <f>VLOOKUP($B12,Raw_Data[#All],BW$2,0)/BW$1</f>
        <v>3.5525292909101007</v>
      </c>
      <c r="BX12" s="87">
        <f>VLOOKUP($B12,Raw_Data[#All],BX$2,0)/BX$1</f>
        <v>3.4839606340620537</v>
      </c>
      <c r="BY12" s="87">
        <f>VLOOKUP($B12,Raw_Data[#All],BY$2,0)/BY$1</f>
        <v>3.5967686350828112</v>
      </c>
      <c r="BZ12" s="87">
        <f>VLOOKUP($B12,Raw_Data[#All],BZ$2,0)/BZ$1</f>
        <v>3.5012369495128115</v>
      </c>
      <c r="CA12" s="87">
        <f>VLOOKUP($B12,Raw_Data[#All],CA$2,0)/CA$1</f>
        <v>3.5713035059531166</v>
      </c>
      <c r="CB12" s="87">
        <f>VLOOKUP($B12,Raw_Data[#All],CB$2,0)/CB$1</f>
        <v>3.5715109266354474</v>
      </c>
      <c r="CC12" s="87">
        <f>VLOOKUP($B12,Raw_Data[#All],CC$2,0)/CC$1</f>
        <v>3.5833384013460639</v>
      </c>
      <c r="CD12" s="87">
        <f>VLOOKUP($B12,Raw_Data[#All],CD$2,0)/CD$1</f>
        <v>3.5636680877088849</v>
      </c>
      <c r="CE12" s="87">
        <f>VLOOKUP($B12,Raw_Data[#All],CE$2,0)/CE$1</f>
        <v>3.5052198671306547</v>
      </c>
      <c r="CF12" s="87">
        <f>VLOOKUP($B12,Raw_Data[#All],CF$2,0)/CF$1</f>
        <v>3.48389211484138</v>
      </c>
      <c r="CG12" s="87">
        <f>VLOOKUP($B12,Raw_Data[#All],CG$2,0)/CG$1</f>
        <v>3.4858978414815174</v>
      </c>
      <c r="CH12" s="87">
        <f>VLOOKUP($B12,Raw_Data[#All],CH$2,0)/CH$1</f>
        <v>3.3409785932721712</v>
      </c>
      <c r="CI12" s="87">
        <f>VLOOKUP($B12,Raw_Data[#All],CI$2,0)/CI$1</f>
        <v>3.4870294210692818</v>
      </c>
      <c r="CJ12" s="87">
        <f>VLOOKUP($B12,Raw_Data[#All],CJ$2,0)/CJ$1</f>
        <v>3.422967415374881</v>
      </c>
      <c r="CK12" s="87">
        <f>VLOOKUP($B12,Raw_Data[#All],CK$2,0)/CK$1</f>
        <v>3.5377946061372985</v>
      </c>
      <c r="CL12" s="87">
        <f>VLOOKUP($B12,Raw_Data[#All],CL$2,0)/CL$1</f>
        <v>3.4529232095813751</v>
      </c>
      <c r="CM12" s="87">
        <f>VLOOKUP($B12,Raw_Data[#All],CM$2,0)/CM$1</f>
        <v>3.5732530560116764</v>
      </c>
      <c r="CN12" s="87">
        <f>VLOOKUP($B12,Raw_Data[#All],CN$2,0)/CN$1</f>
        <v>3.5123675907144465</v>
      </c>
      <c r="CO12" s="87">
        <f>VLOOKUP($B12,Raw_Data[#All],CO$2,0)/CO$1</f>
        <v>3.5792856260042023</v>
      </c>
      <c r="CP12" s="87">
        <f>VLOOKUP($B12,Raw_Data[#All],CP$2,0)/CP$1</f>
        <v>3.5448151695757057</v>
      </c>
      <c r="CQ12" s="87">
        <f>VLOOKUP($B12,Raw_Data[#All],CQ$2,0)/CQ$1</f>
        <v>3.5399106002554275</v>
      </c>
      <c r="CR12" s="87">
        <f>VLOOKUP($B12,Raw_Data[#All],CR$2,0)/CR$1</f>
        <v>3.5988884897828863</v>
      </c>
      <c r="CS12" s="87">
        <f>VLOOKUP($B12,Raw_Data[#All],CS$2,0)/CS$1</f>
        <v>3.5547872765006385</v>
      </c>
      <c r="CT12" s="87">
        <f>VLOOKUP($B12,Raw_Data[#All],CT$2,0)/CT$1</f>
        <v>3.5457822704093189</v>
      </c>
      <c r="CU12" s="87">
        <f>VLOOKUP($B12,Raw_Data[#All],CU$2,0)/CU$1</f>
        <v>3.5854406130268197</v>
      </c>
      <c r="CV12" s="87">
        <f>VLOOKUP($B12,Raw_Data[#All],CV$2,0)/CV$1</f>
        <v>3.5166519304450339</v>
      </c>
      <c r="CW12" s="87">
        <f>VLOOKUP($B12,Raw_Data[#All],CW$2,0)/CW$1</f>
        <v>3.4925291821843545</v>
      </c>
      <c r="CX12" s="87">
        <f>VLOOKUP($B12,Raw_Data[#All],CX$2,0)/CX$1</f>
        <v>3.5174885675441847</v>
      </c>
      <c r="CY12" s="87">
        <f>VLOOKUP($B12,Raw_Data[#All],CY$2,0)/CY$1</f>
        <v>3.4881421172129983</v>
      </c>
      <c r="CZ12" s="87">
        <f>VLOOKUP($B12,Raw_Data[#All],CZ$2,0)/CZ$1</f>
        <v>3.5365426605693568</v>
      </c>
      <c r="DA12" s="87">
        <f>VLOOKUP($B12,Raw_Data[#All],DA$2,0)/DA$1</f>
        <v>3.4822112753147234</v>
      </c>
      <c r="DB12" s="87">
        <f>VLOOKUP($B12,Raw_Data[#All],DB$2,0)/DB$1</f>
        <v>3.4920777458492975</v>
      </c>
      <c r="DC12" s="87">
        <f>VLOOKUP($B12,Raw_Data[#All],DC$2,0)/DC$1</f>
        <v>3.4800694332020221</v>
      </c>
      <c r="DD12" s="87">
        <f>VLOOKUP($B12,Raw_Data[#All],DD$2,0)/DD$1</f>
        <v>3.484967443418546</v>
      </c>
      <c r="DE12" s="87">
        <f>VLOOKUP($B12,Raw_Data[#All],DE$2,0)/DE$1</f>
        <v>3.4861853111003187</v>
      </c>
      <c r="DF12" s="87">
        <f>VLOOKUP($B12,Raw_Data[#All],DF$2,0)/DF$1</f>
        <v>3.4559087643678161</v>
      </c>
      <c r="DG12" s="87">
        <f>VLOOKUP($B12,Raw_Data[#All],DG$2,0)/DG$1</f>
        <v>3.4111932129173508</v>
      </c>
      <c r="DH12" s="87">
        <f>VLOOKUP($B12,Raw_Data[#All],DH$2,0)/DH$1</f>
        <v>3.4214858716475098</v>
      </c>
      <c r="DI12" s="87">
        <f>VLOOKUP($B12,Raw_Data[#All],DI$2,0)/DI$1</f>
        <v>3.5172869914249225</v>
      </c>
      <c r="DJ12" s="87">
        <f>VLOOKUP($B12,Raw_Data[#All],DJ$2,0)/DJ$1</f>
        <v>3.0581497445721584</v>
      </c>
      <c r="DK12" s="87">
        <f>VLOOKUP($B12,Raw_Data[#All],DK$2,0)/DK$1</f>
        <v>3.4118541418543953</v>
      </c>
      <c r="DL12" s="87">
        <f>VLOOKUP($B12,Raw_Data[#All],DL$2,0)/DL$1</f>
        <v>3.4215015508118958</v>
      </c>
      <c r="DM12" s="87">
        <f>VLOOKUP($B12,Raw_Data[#All],DM$2,0)/DM$1</f>
        <v>3.375538793103448</v>
      </c>
      <c r="DN12" s="87">
        <f>VLOOKUP($B12,Raw_Data[#All],DN$2,0)/DN$1</f>
        <v>3.4664029992172374</v>
      </c>
      <c r="DO12" s="87">
        <f>VLOOKUP($B12,Raw_Data[#All],DO$2,0)/DO$1</f>
        <v>3.3469652092787334</v>
      </c>
      <c r="DP12" s="87">
        <f>VLOOKUP($B12,Raw_Data[#All],DP$2,0)/DP$1</f>
        <v>3.3683647221772528</v>
      </c>
      <c r="DQ12" s="87">
        <f>VLOOKUP($B12,Raw_Data[#All],DQ$2,0)/DQ$1</f>
        <v>3.3369823024995435</v>
      </c>
      <c r="DR12" s="87">
        <f>VLOOKUP($B12,Raw_Data[#All],DR$2,0)/DR$1</f>
        <v>3.3614204182630907</v>
      </c>
      <c r="DS12" s="87">
        <f>VLOOKUP($B12,Raw_Data[#All],DS$2,0)/DS$1</f>
        <v>3.34345151367978</v>
      </c>
      <c r="DT12" s="87">
        <f>VLOOKUP($B12,Raw_Data[#All],DT$2,0)/DT$1</f>
        <v>3.3709886679235335</v>
      </c>
      <c r="DU12" s="87">
        <f>VLOOKUP($B12,Raw_Data[#All],DU$2,0)/DU$1</f>
        <v>3.4650852678236044</v>
      </c>
      <c r="DV12" s="87">
        <f>VLOOKUP($B12,Raw_Data[#All],DV$2,0)/DV$1</f>
        <v>3.287467818119159</v>
      </c>
      <c r="DW12" s="87">
        <f>VLOOKUP($B12,Raw_Data[#All],DW$2,0)/DW$1</f>
        <v>3.4493242599264216</v>
      </c>
      <c r="DX12" s="87">
        <f>VLOOKUP($B12,Raw_Data[#All],DX$2,0)/DX$1</f>
        <v>3.2915016126588306</v>
      </c>
      <c r="DY12" s="87">
        <f>VLOOKUP($B12,Raw_Data[#All],DY$2,0)/DY$1</f>
        <v>3.3358783571177377</v>
      </c>
      <c r="DZ12" s="87">
        <f>VLOOKUP($B12,Raw_Data[#All],DZ$2,0)/DZ$1</f>
        <v>3.3420503152303915</v>
      </c>
      <c r="EA12" s="87">
        <f>VLOOKUP($B12,Raw_Data[#All],EA$2,0)/EA$1</f>
        <v>3.1122784961685825</v>
      </c>
      <c r="EB12" s="87">
        <f>VLOOKUP($B12,Raw_Data[#All],EB$2,0)/EB$1</f>
        <v>3.4103607918263092</v>
      </c>
      <c r="EC12" s="87">
        <f>VLOOKUP($B12,Raw_Data[#All],EC$2,0)/EC$1</f>
        <v>3.3527921078830665</v>
      </c>
      <c r="ED12" s="87">
        <f>VLOOKUP($B12,Raw_Data[#All],ED$2,0)/ED$1</f>
        <v>3.3358295599674914</v>
      </c>
      <c r="EE12" s="87">
        <f>VLOOKUP($B12,Raw_Data[#All],EE$2,0)/EE$1</f>
        <v>3.3828478177137176</v>
      </c>
      <c r="EF12" s="87">
        <f>VLOOKUP($B12,Raw_Data[#All],EF$2,0)/EF$1</f>
        <v>3.3800857507754056</v>
      </c>
      <c r="EG12" s="87">
        <f>VLOOKUP($B12,Raw_Data[#All],EG$2,0)/EG$1</f>
        <v>3.3793303001277142</v>
      </c>
      <c r="EH12" s="87">
        <f>VLOOKUP($B12,Raw_Data[#All],EH$2,0)/EH$1</f>
        <v>3.3988366060025541</v>
      </c>
      <c r="EI12" s="87">
        <f>VLOOKUP($B12,Raw_Data[#All],EI$2,0)/EI$1</f>
        <v>3.4992283950617282</v>
      </c>
      <c r="EJ12" s="87">
        <f>VLOOKUP($B12,Raw_Data[#All],EJ$2,0)/EJ$1</f>
        <v>3.5391175380051911</v>
      </c>
      <c r="EK12" s="87">
        <f>VLOOKUP($B12,Raw_Data[#All],EK$2,0)/EK$1</f>
        <v>3.5029090393075069</v>
      </c>
      <c r="EL12" s="87">
        <f>VLOOKUP($B12,Raw_Data[#All],EL$2,0)/EL$1</f>
        <v>3.4488333434693588</v>
      </c>
      <c r="EM12" s="87">
        <f>VLOOKUP($B12,Raw_Data[#All],EM$2,0)/EM$1</f>
        <v>3.5102890651700753</v>
      </c>
      <c r="EN12" s="87">
        <f>VLOOKUP($B12,Raw_Data[#All],EN$2,0)/EN$1</f>
        <v>3.5164406332988709</v>
      </c>
      <c r="EO12" s="87">
        <f>VLOOKUP($B12,Raw_Data[#All],EO$2,0)/EO$1</f>
        <v>3.4747166347381864</v>
      </c>
      <c r="EP12" s="87">
        <f>VLOOKUP($B12,Raw_Data[#All],EP$2,0)/EP$1</f>
        <v>3.4475275383141764</v>
      </c>
      <c r="EQ12" s="87">
        <f>VLOOKUP($B12,Raw_Data[#All],EQ$2,0)/EQ$1</f>
        <v>3.5091713402557985</v>
      </c>
      <c r="ER12" s="87">
        <f>VLOOKUP($B12,Raw_Data[#All],ER$2,0)/ER$1</f>
        <v>3.4920444870157512</v>
      </c>
      <c r="ES12" s="87">
        <f>VLOOKUP($B12,Raw_Data[#All],ES$2,0)/ES$1</f>
        <v>3.452098285755401</v>
      </c>
      <c r="ET12" s="87">
        <f>VLOOKUP($B12,Raw_Data[#All],ET$2,0)/ET$1</f>
        <v>3.4724245858291516</v>
      </c>
      <c r="EU12" s="87">
        <f>VLOOKUP($B12,Raw_Data[#All],EU$2,0)/EU$1</f>
        <v>3.4825427661755977</v>
      </c>
      <c r="EV12" s="87">
        <f>VLOOKUP($B12,Raw_Data[#All],EV$2,0)/EV$1</f>
        <v>3.4069905633602953</v>
      </c>
      <c r="EW12" s="87">
        <f>VLOOKUP($B12,Raw_Data[#All],EW$2,0)/EW$1</f>
        <v>3.5062460089399745</v>
      </c>
      <c r="EX12" s="87">
        <f>VLOOKUP($B12,Raw_Data[#All],EX$2,0)/EX$1</f>
        <v>3.5065116111740688</v>
      </c>
      <c r="EY12" s="87">
        <f>VLOOKUP($B12,Raw_Data[#All],EY$2,0)/EY$1</f>
        <v>3.4316641213192938</v>
      </c>
      <c r="EZ12" s="87">
        <f>VLOOKUP($B12,Raw_Data[#All],EZ$2,0)/EZ$1</f>
        <v>3.4718231162196682</v>
      </c>
      <c r="FA12" s="87">
        <f>VLOOKUP($B12,Raw_Data[#All],FA$2,0)/FA$1</f>
        <v>3.4825989782886335</v>
      </c>
      <c r="FB12" s="87">
        <f>VLOOKUP($B12,Raw_Data[#All],FB$2,0)/FB$1</f>
        <v>3.4022012913296442</v>
      </c>
      <c r="FC12" s="87">
        <f>VLOOKUP($B12,Raw_Data[#All],FC$2,0)/FC$1</f>
        <v>3.459096069249326</v>
      </c>
      <c r="FD12" s="87">
        <f>VLOOKUP($B12,Raw_Data[#All],FD$2,0)/FD$1</f>
        <v>3.4907806513409962</v>
      </c>
      <c r="FE12" s="87">
        <f>VLOOKUP($B12,Raw_Data[#All],FE$2,0)/FE$1</f>
        <v>3.4853040300837237</v>
      </c>
      <c r="FF12" s="87">
        <f>VLOOKUP($B12,Raw_Data[#All],FF$2,0)/FF$1</f>
        <v>3.4945222701149423</v>
      </c>
      <c r="FG12" s="105">
        <f>VLOOKUP($B12,Raw_Data[#All],FG$2,0)/FG$1</f>
        <v>3.5246305535907134</v>
      </c>
    </row>
    <row r="13" spans="2:163">
      <c r="B13" s="104">
        <f t="shared" si="0"/>
        <v>45836</v>
      </c>
      <c r="C13" s="87">
        <f>VLOOKUP($B13,Raw_Data[#All],C$2,0)/C$1</f>
        <v>4.902442901280561</v>
      </c>
      <c r="D13" s="87">
        <f>VLOOKUP($B13,Raw_Data[#All],D$2,0)/D$1</f>
        <v>4.9189471015636581</v>
      </c>
      <c r="E13" s="87">
        <f>VLOOKUP($B13,Raw_Data[#All],E$2,0)/E$1</f>
        <v>4.9031622349457811</v>
      </c>
      <c r="F13" s="87">
        <f>VLOOKUP($B13,Raw_Data[#All],F$2,0)/F$1</f>
        <v>4.9410768131183209</v>
      </c>
      <c r="G13" s="87">
        <f>VLOOKUP($B13,Raw_Data[#All],G$2,0)/G$1</f>
        <v>4.9384151037257062</v>
      </c>
      <c r="H13" s="87">
        <f>VLOOKUP($B13,Raw_Data[#All],H$2,0)/H$1</f>
        <v>4.9147378037988902</v>
      </c>
      <c r="I13" s="87">
        <f>VLOOKUP($B13,Raw_Data[#All],I$2,0)/I$1</f>
        <v>4.9540086386270028</v>
      </c>
      <c r="J13" s="87">
        <f>VLOOKUP($B13,Raw_Data[#All],J$2,0)/J$1</f>
        <v>4.9052578799826785</v>
      </c>
      <c r="K13" s="87">
        <f>VLOOKUP($B13,Raw_Data[#All],K$2,0)/K$1</f>
        <v>4.9797905874362023</v>
      </c>
      <c r="L13" s="87">
        <f>VLOOKUP($B13,Raw_Data[#All],L$2,0)/L$1</f>
        <v>5.0057644512903865</v>
      </c>
      <c r="M13" s="87">
        <f>VLOOKUP($B13,Raw_Data[#All],M$2,0)/M$1</f>
        <v>4.9399284784724573</v>
      </c>
      <c r="N13" s="87">
        <f>VLOOKUP($B13,Raw_Data[#All],N$2,0)/N$1</f>
        <v>5.0011240738349088</v>
      </c>
      <c r="O13" s="87">
        <f>VLOOKUP($B13,Raw_Data[#All],O$2,0)/O$1</f>
        <v>4.9373913233669793</v>
      </c>
      <c r="P13" s="87">
        <f>VLOOKUP($B13,Raw_Data[#All],P$2,0)/P$1</f>
        <v>4.9253567140690988</v>
      </c>
      <c r="Q13" s="87">
        <f>VLOOKUP($B13,Raw_Data[#All],Q$2,0)/Q$1</f>
        <v>4.8676223685909852</v>
      </c>
      <c r="R13" s="87">
        <f>VLOOKUP($B13,Raw_Data[#All],R$2,0)/R$1</f>
        <v>4.9215779126666375</v>
      </c>
      <c r="S13" s="87">
        <f>VLOOKUP($B13,Raw_Data[#All],S$2,0)/S$1</f>
        <v>4.9271743653766116</v>
      </c>
      <c r="T13" s="87">
        <f>VLOOKUP($B13,Raw_Data[#All],T$2,0)/T$1</f>
        <v>4.7611462683140324</v>
      </c>
      <c r="U13" s="87">
        <f>VLOOKUP($B13,Raw_Data[#All],U$2,0)/U$1</f>
        <v>4.9322924887951363</v>
      </c>
      <c r="V13" s="87">
        <f>VLOOKUP($B13,Raw_Data[#All],V$2,0)/V$1</f>
        <v>4.9712284931192325</v>
      </c>
      <c r="W13" s="87">
        <f>VLOOKUP($B13,Raw_Data[#All],W$2,0)/W$1</f>
        <v>4.8989576081345412</v>
      </c>
      <c r="X13" s="87">
        <f>VLOOKUP($B13,Raw_Data[#All],X$2,0)/X$1</f>
        <v>4.7694054207464172</v>
      </c>
      <c r="Y13" s="87">
        <f>VLOOKUP($B13,Raw_Data[#All],Y$2,0)/Y$1</f>
        <v>4.8940782773170373</v>
      </c>
      <c r="Z13" s="87">
        <f>VLOOKUP($B13,Raw_Data[#All],Z$2,0)/Z$1</f>
        <v>4.8670498084291189</v>
      </c>
      <c r="AA13" s="87">
        <f>VLOOKUP($B13,Raw_Data[#All],AA$2,0)/AA$1</f>
        <v>4.8532088122605366</v>
      </c>
      <c r="AB13" s="87">
        <f>VLOOKUP($B13,Raw_Data[#All],AB$2,0)/AB$1</f>
        <v>4.8083751551454323</v>
      </c>
      <c r="AC13" s="87">
        <f>VLOOKUP($B13,Raw_Data[#All],AC$2,0)/AC$1</f>
        <v>4.7502000956670409</v>
      </c>
      <c r="AD13" s="87">
        <f>VLOOKUP($B13,Raw_Data[#All],AD$2,0)/AD$1</f>
        <v>4.7492550021285656</v>
      </c>
      <c r="AE13" s="87">
        <f>VLOOKUP($B13,Raw_Data[#All],AE$2,0)/AE$1</f>
        <v>4.8655692729766802</v>
      </c>
      <c r="AF13" s="87">
        <f>VLOOKUP($B13,Raw_Data[#All],AF$2,0)/AF$1</f>
        <v>5.001628352490421</v>
      </c>
      <c r="AG13" s="87">
        <f>VLOOKUP($B13,Raw_Data[#All],AG$2,0)/AG$1</f>
        <v>5.0029099374363453</v>
      </c>
      <c r="AH13" s="87">
        <f>VLOOKUP($B13,Raw_Data[#All],AH$2,0)/AH$1</f>
        <v>4.9371836715387172</v>
      </c>
      <c r="AI13" s="87">
        <f>VLOOKUP($B13,Raw_Data[#All],AI$2,0)/AI$1</f>
        <v>5.1311818081803873</v>
      </c>
      <c r="AJ13" s="87">
        <f>VLOOKUP($B13,Raw_Data[#All],AJ$2,0)/AJ$1</f>
        <v>5.0374292670560257</v>
      </c>
      <c r="AK13" s="87">
        <f>VLOOKUP($B13,Raw_Data[#All],AK$2,0)/AK$1</f>
        <v>5.0253753689114662</v>
      </c>
      <c r="AL13" s="87">
        <f>VLOOKUP($B13,Raw_Data[#All],AL$2,0)/AL$1</f>
        <v>4.9801732508693632</v>
      </c>
      <c r="AM13" s="87">
        <f>VLOOKUP($B13,Raw_Data[#All],AM$2,0)/AM$1</f>
        <v>5.0533576324613385</v>
      </c>
      <c r="AN13" s="87">
        <f>VLOOKUP($B13,Raw_Data[#All],AN$2,0)/AN$1</f>
        <v>4.9735244737181974</v>
      </c>
      <c r="AO13" s="87">
        <f>VLOOKUP($B13,Raw_Data[#All],AO$2,0)/AO$1</f>
        <v>5.1013340603938557</v>
      </c>
      <c r="AP13" s="87">
        <f>VLOOKUP($B13,Raw_Data[#All],AP$2,0)/AP$1</f>
        <v>5.0058117008911278</v>
      </c>
      <c r="AQ13" s="87">
        <f>VLOOKUP($B13,Raw_Data[#All],AQ$2,0)/AQ$1</f>
        <v>5.1951516453611202</v>
      </c>
      <c r="AR13" s="87">
        <f>VLOOKUP($B13,Raw_Data[#All],AR$2,0)/AR$1</f>
        <v>4.6364887078330463</v>
      </c>
      <c r="AS13" s="87">
        <f>VLOOKUP($B13,Raw_Data[#All],AS$2,0)/AS$1</f>
        <v>5.1486294499189791</v>
      </c>
      <c r="AT13" s="87">
        <f>VLOOKUP($B13,Raw_Data[#All],AT$2,0)/AT$1</f>
        <v>5.07285791478549</v>
      </c>
      <c r="AU13" s="87">
        <f>VLOOKUP($B13,Raw_Data[#All],AU$2,0)/AU$1</f>
        <v>4.6335953851651439</v>
      </c>
      <c r="AV13" s="87">
        <f>VLOOKUP($B13,Raw_Data[#All],AV$2,0)/AV$1</f>
        <v>4.9742934800406067</v>
      </c>
      <c r="AW13" s="87">
        <f>VLOOKUP($B13,Raw_Data[#All],AW$2,0)/AW$1</f>
        <v>4.6813792731246817</v>
      </c>
      <c r="AX13" s="87">
        <f>VLOOKUP($B13,Raw_Data[#All],AX$2,0)/AX$1</f>
        <v>5.2225892505460667</v>
      </c>
      <c r="AY13" s="87">
        <f>VLOOKUP($B13,Raw_Data[#All],AY$2,0)/AY$1</f>
        <v>4.7670304412350237</v>
      </c>
      <c r="AZ13" s="87">
        <f>VLOOKUP($B13,Raw_Data[#All],AZ$2,0)/AZ$1</f>
        <v>4.8293011847547671</v>
      </c>
      <c r="BA13" s="87">
        <f>VLOOKUP($B13,Raw_Data[#All],BA$2,0)/BA$1</f>
        <v>4.883099812624101</v>
      </c>
      <c r="BB13" s="87">
        <f>VLOOKUP($B13,Raw_Data[#All],BB$2,0)/BB$1</f>
        <v>4.9724117975734359</v>
      </c>
      <c r="BC13" s="87">
        <f>VLOOKUP($B13,Raw_Data[#All],BC$2,0)/BC$1</f>
        <v>4.7469105822675521</v>
      </c>
      <c r="BD13" s="87">
        <f>VLOOKUP($B13,Raw_Data[#All],BD$2,0)/BD$1</f>
        <v>4.90117888638322</v>
      </c>
      <c r="BE13" s="87">
        <f>VLOOKUP($B13,Raw_Data[#All],BE$2,0)/BE$1</f>
        <v>4.84031262928786</v>
      </c>
      <c r="BF13" s="87">
        <f>VLOOKUP($B13,Raw_Data[#All],BF$2,0)/BF$1</f>
        <v>4.7215583388740141</v>
      </c>
      <c r="BG13" s="87">
        <f>VLOOKUP($B13,Raw_Data[#All],BG$2,0)/BG$1</f>
        <v>4.8270287254961586</v>
      </c>
      <c r="BH13" s="87">
        <f>VLOOKUP($B13,Raw_Data[#All],BH$2,0)/BH$1</f>
        <v>4.8606242623874865</v>
      </c>
      <c r="BI13" s="87">
        <f>VLOOKUP($B13,Raw_Data[#All],BI$2,0)/BI$1</f>
        <v>4.8591092460824257</v>
      </c>
      <c r="BJ13" s="87">
        <f>VLOOKUP($B13,Raw_Data[#All],BJ$2,0)/BJ$1</f>
        <v>4.8881903264985356</v>
      </c>
      <c r="BK13" s="87">
        <f>VLOOKUP($B13,Raw_Data[#All],BK$2,0)/BK$1</f>
        <v>4.8465184465670141</v>
      </c>
      <c r="BL13" s="87">
        <f>VLOOKUP($B13,Raw_Data[#All],BL$2,0)/BL$1</f>
        <v>4.8582983640454911</v>
      </c>
      <c r="BM13" s="87">
        <f>VLOOKUP($B13,Raw_Data[#All],BM$2,0)/BM$1</f>
        <v>4.8859241014413426</v>
      </c>
      <c r="BN13" s="87">
        <f>VLOOKUP($B13,Raw_Data[#All],BN$2,0)/BN$1</f>
        <v>4.9053639846743291</v>
      </c>
      <c r="BO13" s="87">
        <f>VLOOKUP($B13,Raw_Data[#All],BO$2,0)/BO$1</f>
        <v>4.8887165715617735</v>
      </c>
      <c r="BP13" s="87">
        <f>VLOOKUP($B13,Raw_Data[#All],BP$2,0)/BP$1</f>
        <v>4.8860366671186037</v>
      </c>
      <c r="BQ13" s="87">
        <f>VLOOKUP($B13,Raw_Data[#All],BQ$2,0)/BQ$1</f>
        <v>4.8214493842959181</v>
      </c>
      <c r="BR13" s="87">
        <f>VLOOKUP($B13,Raw_Data[#All],BR$2,0)/BR$1</f>
        <v>4.7964477787318662</v>
      </c>
      <c r="BS13" s="87">
        <f>VLOOKUP($B13,Raw_Data[#All],BS$2,0)/BS$1</f>
        <v>4.813983026637894</v>
      </c>
      <c r="BT13" s="87">
        <f>VLOOKUP($B13,Raw_Data[#All],BT$2,0)/BT$1</f>
        <v>4.9221468680797225</v>
      </c>
      <c r="BU13" s="87">
        <f>VLOOKUP($B13,Raw_Data[#All],BU$2,0)/BU$1</f>
        <v>4.8308834341066964</v>
      </c>
      <c r="BV13" s="87">
        <f>VLOOKUP($B13,Raw_Data[#All],BV$2,0)/BV$1</f>
        <v>4.8532518292496247</v>
      </c>
      <c r="BW13" s="87">
        <f>VLOOKUP($B13,Raw_Data[#All],BW$2,0)/BW$1</f>
        <v>4.8932478205341781</v>
      </c>
      <c r="BX13" s="87">
        <f>VLOOKUP($B13,Raw_Data[#All],BX$2,0)/BX$1</f>
        <v>4.8416723011043494</v>
      </c>
      <c r="BY13" s="87">
        <f>VLOOKUP($B13,Raw_Data[#All],BY$2,0)/BY$1</f>
        <v>4.9873806483001886</v>
      </c>
      <c r="BZ13" s="87">
        <f>VLOOKUP($B13,Raw_Data[#All],BZ$2,0)/BZ$1</f>
        <v>4.8713483196241807</v>
      </c>
      <c r="CA13" s="87">
        <f>VLOOKUP($B13,Raw_Data[#All],CA$2,0)/CA$1</f>
        <v>4.9579265026984718</v>
      </c>
      <c r="CB13" s="87">
        <f>VLOOKUP($B13,Raw_Data[#All],CB$2,0)/CB$1</f>
        <v>4.9714860933730662</v>
      </c>
      <c r="CC13" s="87">
        <f>VLOOKUP($B13,Raw_Data[#All],CC$2,0)/CC$1</f>
        <v>4.9621419449005657</v>
      </c>
      <c r="CD13" s="87">
        <f>VLOOKUP($B13,Raw_Data[#All],CD$2,0)/CD$1</f>
        <v>4.9600669148993584</v>
      </c>
      <c r="CE13" s="87">
        <f>VLOOKUP($B13,Raw_Data[#All],CE$2,0)/CE$1</f>
        <v>4.9455769534957295</v>
      </c>
      <c r="CF13" s="87">
        <f>VLOOKUP($B13,Raw_Data[#All],CF$2,0)/CF$1</f>
        <v>4.9029520689976991</v>
      </c>
      <c r="CG13" s="87">
        <f>VLOOKUP($B13,Raw_Data[#All],CG$2,0)/CG$1</f>
        <v>4.9106660501788628</v>
      </c>
      <c r="CH13" s="87">
        <f>VLOOKUP($B13,Raw_Data[#All],CH$2,0)/CH$1</f>
        <v>4.8185788604168867</v>
      </c>
      <c r="CI13" s="87">
        <f>VLOOKUP($B13,Raw_Data[#All],CI$2,0)/CI$1</f>
        <v>4.9036598386586521</v>
      </c>
      <c r="CJ13" s="87">
        <f>VLOOKUP($B13,Raw_Data[#All],CJ$2,0)/CJ$1</f>
        <v>4.7878812887134412</v>
      </c>
      <c r="CK13" s="87">
        <f>VLOOKUP($B13,Raw_Data[#All],CK$2,0)/CK$1</f>
        <v>4.9056370610566278</v>
      </c>
      <c r="CL13" s="87">
        <f>VLOOKUP($B13,Raw_Data[#All],CL$2,0)/CL$1</f>
        <v>4.8307777588026646</v>
      </c>
      <c r="CM13" s="87">
        <f>VLOOKUP($B13,Raw_Data[#All],CM$2,0)/CM$1</f>
        <v>5.0499908775770841</v>
      </c>
      <c r="CN13" s="87">
        <f>VLOOKUP($B13,Raw_Data[#All],CN$2,0)/CN$1</f>
        <v>4.9017260160769283</v>
      </c>
      <c r="CO13" s="87">
        <f>VLOOKUP($B13,Raw_Data[#All],CO$2,0)/CO$1</f>
        <v>5.0493861492192975</v>
      </c>
      <c r="CP13" s="87">
        <f>VLOOKUP($B13,Raw_Data[#All],CP$2,0)/CP$1</f>
        <v>5.0381367957996313</v>
      </c>
      <c r="CQ13" s="87">
        <f>VLOOKUP($B13,Raw_Data[#All],CQ$2,0)/CQ$1</f>
        <v>5.0540503557744936</v>
      </c>
      <c r="CR13" s="87">
        <f>VLOOKUP($B13,Raw_Data[#All],CR$2,0)/CR$1</f>
        <v>5.1508121807151985</v>
      </c>
      <c r="CS13" s="87">
        <f>VLOOKUP($B13,Raw_Data[#All],CS$2,0)/CS$1</f>
        <v>5.1131465517241379</v>
      </c>
      <c r="CT13" s="87">
        <f>VLOOKUP($B13,Raw_Data[#All],CT$2,0)/CT$1</f>
        <v>5.1159841670969088</v>
      </c>
      <c r="CU13" s="87">
        <f>VLOOKUP($B13,Raw_Data[#All],CU$2,0)/CU$1</f>
        <v>5.2924137931034485</v>
      </c>
      <c r="CV13" s="87">
        <f>VLOOKUP($B13,Raw_Data[#All],CV$2,0)/CV$1</f>
        <v>5.243245898418313</v>
      </c>
      <c r="CW13" s="87">
        <f>VLOOKUP($B13,Raw_Data[#All],CW$2,0)/CW$1</f>
        <v>5.1824165617269058</v>
      </c>
      <c r="CX13" s="87">
        <f>VLOOKUP($B13,Raw_Data[#All],CX$2,0)/CX$1</f>
        <v>5.2795801919828618</v>
      </c>
      <c r="CY13" s="87">
        <f>VLOOKUP($B13,Raw_Data[#All],CY$2,0)/CY$1</f>
        <v>5.1644760181637581</v>
      </c>
      <c r="CZ13" s="87">
        <f>VLOOKUP($B13,Raw_Data[#All],CZ$2,0)/CZ$1</f>
        <v>5.2718040621266429</v>
      </c>
      <c r="DA13" s="87">
        <f>VLOOKUP($B13,Raw_Data[#All],DA$2,0)/DA$1</f>
        <v>5.174603174603174</v>
      </c>
      <c r="DB13" s="87">
        <f>VLOOKUP($B13,Raw_Data[#All],DB$2,0)/DB$1</f>
        <v>5.2251456736909327</v>
      </c>
      <c r="DC13" s="87">
        <f>VLOOKUP($B13,Raw_Data[#All],DC$2,0)/DC$1</f>
        <v>5.134684222833811</v>
      </c>
      <c r="DD13" s="87">
        <f>VLOOKUP($B13,Raw_Data[#All],DD$2,0)/DD$1</f>
        <v>5.1939262609132593</v>
      </c>
      <c r="DE13" s="87">
        <f>VLOOKUP($B13,Raw_Data[#All],DE$2,0)/DE$1</f>
        <v>5.1588329465939955</v>
      </c>
      <c r="DF13" s="87">
        <f>VLOOKUP($B13,Raw_Data[#All],DF$2,0)/DF$1</f>
        <v>5.1769037356321839</v>
      </c>
      <c r="DG13" s="87">
        <f>VLOOKUP($B13,Raw_Data[#All],DG$2,0)/DG$1</f>
        <v>5.1509760992519613</v>
      </c>
      <c r="DH13" s="87">
        <f>VLOOKUP($B13,Raw_Data[#All],DH$2,0)/DH$1</f>
        <v>5.1839878671775228</v>
      </c>
      <c r="DI13" s="87">
        <f>VLOOKUP($B13,Raw_Data[#All],DI$2,0)/DI$1</f>
        <v>5.2302955665024626</v>
      </c>
      <c r="DJ13" s="87">
        <f>VLOOKUP($B13,Raw_Data[#All],DJ$2,0)/DJ$1</f>
        <v>5.2371188537675613</v>
      </c>
      <c r="DK13" s="87">
        <f>VLOOKUP($B13,Raw_Data[#All],DK$2,0)/DK$1</f>
        <v>5.1148164103083893</v>
      </c>
      <c r="DL13" s="87">
        <f>VLOOKUP($B13,Raw_Data[#All],DL$2,0)/DL$1</f>
        <v>5.1844553913519427</v>
      </c>
      <c r="DM13" s="87">
        <f>VLOOKUP($B13,Raw_Data[#All],DM$2,0)/DM$1</f>
        <v>5.1992037835249043</v>
      </c>
      <c r="DN13" s="87">
        <f>VLOOKUP($B13,Raw_Data[#All],DN$2,0)/DN$1</f>
        <v>5.2825155522597127</v>
      </c>
      <c r="DO13" s="87">
        <f>VLOOKUP($B13,Raw_Data[#All],DO$2,0)/DO$1</f>
        <v>5.2067425704011665</v>
      </c>
      <c r="DP13" s="87">
        <f>VLOOKUP($B13,Raw_Data[#All],DP$2,0)/DP$1</f>
        <v>5.1582033709279944</v>
      </c>
      <c r="DQ13" s="87">
        <f>VLOOKUP($B13,Raw_Data[#All],DQ$2,0)/DQ$1</f>
        <v>5.1790731618317825</v>
      </c>
      <c r="DR13" s="87">
        <f>VLOOKUP($B13,Raw_Data[#All],DR$2,0)/DR$1</f>
        <v>5.2057391443167305</v>
      </c>
      <c r="DS13" s="87">
        <f>VLOOKUP($B13,Raw_Data[#All],DS$2,0)/DS$1</f>
        <v>5.1426888277301099</v>
      </c>
      <c r="DT13" s="87">
        <f>VLOOKUP($B13,Raw_Data[#All],DT$2,0)/DT$1</f>
        <v>5.2465588193557533</v>
      </c>
      <c r="DU13" s="87">
        <f>VLOOKUP($B13,Raw_Data[#All],DU$2,0)/DU$1</f>
        <v>5.2724720156261737</v>
      </c>
      <c r="DV13" s="87">
        <f>VLOOKUP($B13,Raw_Data[#All],DV$2,0)/DV$1</f>
        <v>5.2409840053518213</v>
      </c>
      <c r="DW13" s="87">
        <f>VLOOKUP($B13,Raw_Data[#All],DW$2,0)/DW$1</f>
        <v>5.2645774956634446</v>
      </c>
      <c r="DX13" s="87">
        <f>VLOOKUP($B13,Raw_Data[#All],DX$2,0)/DX$1</f>
        <v>5.2326990930146975</v>
      </c>
      <c r="DY13" s="87">
        <f>VLOOKUP($B13,Raw_Data[#All],DY$2,0)/DY$1</f>
        <v>5.1916171543857699</v>
      </c>
      <c r="DZ13" s="87">
        <f>VLOOKUP($B13,Raw_Data[#All],DZ$2,0)/DZ$1</f>
        <v>5.2557826025258976</v>
      </c>
      <c r="EA13" s="87">
        <f>VLOOKUP($B13,Raw_Data[#All],EA$2,0)/EA$1</f>
        <v>5.2505387931034484</v>
      </c>
      <c r="EB13" s="87">
        <f>VLOOKUP($B13,Raw_Data[#All],EB$2,0)/EB$1</f>
        <v>5.3439794859514684</v>
      </c>
      <c r="EC13" s="87">
        <f>VLOOKUP($B13,Raw_Data[#All],EC$2,0)/EC$1</f>
        <v>5.305105539968423</v>
      </c>
      <c r="ED13" s="87">
        <f>VLOOKUP($B13,Raw_Data[#All],ED$2,0)/ED$1</f>
        <v>5.2696505282712183</v>
      </c>
      <c r="EE13" s="87">
        <f>VLOOKUP($B13,Raw_Data[#All],EE$2,0)/EE$1</f>
        <v>5.3407224958949095</v>
      </c>
      <c r="EF13" s="87">
        <f>VLOOKUP($B13,Raw_Data[#All],EF$2,0)/EF$1</f>
        <v>5.3322272395548254</v>
      </c>
      <c r="EG13" s="87">
        <f>VLOOKUP($B13,Raw_Data[#All],EG$2,0)/EG$1</f>
        <v>5.181892560664112</v>
      </c>
      <c r="EH13" s="87">
        <f>VLOOKUP($B13,Raw_Data[#All],EH$2,0)/EH$1</f>
        <v>5.1900742337164747</v>
      </c>
      <c r="EI13" s="87">
        <f>VLOOKUP($B13,Raw_Data[#All],EI$2,0)/EI$1</f>
        <v>5.2759596282105861</v>
      </c>
      <c r="EJ13" s="87">
        <f>VLOOKUP($B13,Raw_Data[#All],EJ$2,0)/EJ$1</f>
        <v>5.3742326865241212</v>
      </c>
      <c r="EK13" s="87">
        <f>VLOOKUP($B13,Raw_Data[#All],EK$2,0)/EK$1</f>
        <v>5.3041631190577556</v>
      </c>
      <c r="EL13" s="87">
        <f>VLOOKUP($B13,Raw_Data[#All],EL$2,0)/EL$1</f>
        <v>5.3802529951955238</v>
      </c>
      <c r="EM13" s="87">
        <f>VLOOKUP($B13,Raw_Data[#All],EM$2,0)/EM$1</f>
        <v>5.3123594697174115</v>
      </c>
      <c r="EN13" s="87">
        <f>VLOOKUP($B13,Raw_Data[#All],EN$2,0)/EN$1</f>
        <v>5.3328163960347865</v>
      </c>
      <c r="EO13" s="87">
        <f>VLOOKUP($B13,Raw_Data[#All],EO$2,0)/EO$1</f>
        <v>5.3229765325670497</v>
      </c>
      <c r="EP13" s="87">
        <f>VLOOKUP($B13,Raw_Data[#All],EP$2,0)/EP$1</f>
        <v>5.2570242656449553</v>
      </c>
      <c r="EQ13" s="87">
        <f>VLOOKUP($B13,Raw_Data[#All],EQ$2,0)/EQ$1</f>
        <v>5.3973476224850545</v>
      </c>
      <c r="ER13" s="87">
        <f>VLOOKUP($B13,Raw_Data[#All],ER$2,0)/ER$1</f>
        <v>5.3200830140485316</v>
      </c>
      <c r="ES13" s="87">
        <f>VLOOKUP($B13,Raw_Data[#All],ES$2,0)/ES$1</f>
        <v>5.2843883222707904</v>
      </c>
      <c r="ET13" s="87">
        <f>VLOOKUP($B13,Raw_Data[#All],ET$2,0)/ET$1</f>
        <v>5.3322360728868743</v>
      </c>
      <c r="EU13" s="87">
        <f>VLOOKUP($B13,Raw_Data[#All],EU$2,0)/EU$1</f>
        <v>5.3236018923245743</v>
      </c>
      <c r="EV13" s="87">
        <f>VLOOKUP($B13,Raw_Data[#All],EV$2,0)/EV$1</f>
        <v>5.2528114800624373</v>
      </c>
      <c r="EW13" s="87">
        <f>VLOOKUP($B13,Raw_Data[#All],EW$2,0)/EW$1</f>
        <v>5.3487687579821204</v>
      </c>
      <c r="EX13" s="87">
        <f>VLOOKUP($B13,Raw_Data[#All],EX$2,0)/EX$1</f>
        <v>5.3421294047811774</v>
      </c>
      <c r="EY13" s="87">
        <f>VLOOKUP($B13,Raw_Data[#All],EY$2,0)/EY$1</f>
        <v>5.2649840580875056</v>
      </c>
      <c r="EZ13" s="87">
        <f>VLOOKUP($B13,Raw_Data[#All],EZ$2,0)/EZ$1</f>
        <v>5.2800837235703133</v>
      </c>
      <c r="FA13" s="87">
        <f>VLOOKUP($B13,Raw_Data[#All],FA$2,0)/FA$1</f>
        <v>5.3128104157797651</v>
      </c>
      <c r="FB13" s="87">
        <f>VLOOKUP($B13,Raw_Data[#All],FB$2,0)/FB$1</f>
        <v>5.2728111253015468</v>
      </c>
      <c r="FC13" s="87">
        <f>VLOOKUP($B13,Raw_Data[#All],FC$2,0)/FC$1</f>
        <v>5.3034979423868318</v>
      </c>
      <c r="FD13" s="87">
        <f>VLOOKUP($B13,Raw_Data[#All],FD$2,0)/FD$1</f>
        <v>5.3913234355044697</v>
      </c>
      <c r="FE13" s="87">
        <f>VLOOKUP($B13,Raw_Data[#All],FE$2,0)/FE$1</f>
        <v>5.2743188590889734</v>
      </c>
      <c r="FF13" s="87">
        <f>VLOOKUP($B13,Raw_Data[#All],FF$2,0)/FF$1</f>
        <v>5.4440054278416348</v>
      </c>
      <c r="FG13" s="105">
        <f>VLOOKUP($B13,Raw_Data[#All],FG$2,0)/FG$1</f>
        <v>5.0526917527093635</v>
      </c>
    </row>
    <row r="14" spans="2:163">
      <c r="B14" s="104">
        <f t="shared" si="0"/>
        <v>45837</v>
      </c>
      <c r="C14" s="87">
        <f>VLOOKUP($B14,Raw_Data[#All],C$2,0)/C$1</f>
        <v>4.3578815605161987</v>
      </c>
      <c r="D14" s="87">
        <f>VLOOKUP($B14,Raw_Data[#All],D$2,0)/D$1</f>
        <v>4.452432543611673</v>
      </c>
      <c r="E14" s="87">
        <f>VLOOKUP($B14,Raw_Data[#All],E$2,0)/E$1</f>
        <v>4.5018917923476884</v>
      </c>
      <c r="F14" s="87">
        <f>VLOOKUP($B14,Raw_Data[#All],F$2,0)/F$1</f>
        <v>4.472723509834168</v>
      </c>
      <c r="G14" s="87">
        <f>VLOOKUP($B14,Raw_Data[#All],G$2,0)/G$1</f>
        <v>4.5870822391550785</v>
      </c>
      <c r="H14" s="87">
        <f>VLOOKUP($B14,Raw_Data[#All],H$2,0)/H$1</f>
        <v>4.575937166664275</v>
      </c>
      <c r="I14" s="87">
        <f>VLOOKUP($B14,Raw_Data[#All],I$2,0)/I$1</f>
        <v>4.5573301572268381</v>
      </c>
      <c r="J14" s="87">
        <f>VLOOKUP($B14,Raw_Data[#All],J$2,0)/J$1</f>
        <v>4.4735054812316255</v>
      </c>
      <c r="K14" s="87">
        <f>VLOOKUP($B14,Raw_Data[#All],K$2,0)/K$1</f>
        <v>4.4338255341742361</v>
      </c>
      <c r="L14" s="87">
        <f>VLOOKUP($B14,Raw_Data[#All],L$2,0)/L$1</f>
        <v>4.4422657128547263</v>
      </c>
      <c r="M14" s="87">
        <f>VLOOKUP($B14,Raw_Data[#All],M$2,0)/M$1</f>
        <v>4.4092256208921601</v>
      </c>
      <c r="N14" s="87">
        <f>VLOOKUP($B14,Raw_Data[#All],N$2,0)/N$1</f>
        <v>4.4081392512233268</v>
      </c>
      <c r="O14" s="87">
        <f>VLOOKUP($B14,Raw_Data[#All],O$2,0)/O$1</f>
        <v>4.4796098030423988</v>
      </c>
      <c r="P14" s="87">
        <f>VLOOKUP($B14,Raw_Data[#All],P$2,0)/P$1</f>
        <v>4.4111527257594672</v>
      </c>
      <c r="Q14" s="87">
        <f>VLOOKUP($B14,Raw_Data[#All],Q$2,0)/Q$1</f>
        <v>4.5543166826906969</v>
      </c>
      <c r="R14" s="87">
        <f>VLOOKUP($B14,Raw_Data[#All],R$2,0)/R$1</f>
        <v>4.5616351208498953</v>
      </c>
      <c r="S14" s="87">
        <f>VLOOKUP($B14,Raw_Data[#All],S$2,0)/S$1</f>
        <v>4.5425497821210081</v>
      </c>
      <c r="T14" s="87">
        <f>VLOOKUP($B14,Raw_Data[#All],T$2,0)/T$1</f>
        <v>4.444540110302734</v>
      </c>
      <c r="U14" s="87">
        <f>VLOOKUP($B14,Raw_Data[#All],U$2,0)/U$1</f>
        <v>4.499021816598983</v>
      </c>
      <c r="V14" s="87">
        <f>VLOOKUP($B14,Raw_Data[#All],V$2,0)/V$1</f>
        <v>4.5046661022381027</v>
      </c>
      <c r="W14" s="87">
        <f>VLOOKUP($B14,Raw_Data[#All],W$2,0)/W$1</f>
        <v>4.5027445074331398</v>
      </c>
      <c r="X14" s="87">
        <f>VLOOKUP($B14,Raw_Data[#All],X$2,0)/X$1</f>
        <v>4.3803036753228328</v>
      </c>
      <c r="Y14" s="87">
        <f>VLOOKUP($B14,Raw_Data[#All],Y$2,0)/Y$1</f>
        <v>4.5450797807847128</v>
      </c>
      <c r="Z14" s="87">
        <f>VLOOKUP($B14,Raw_Data[#All],Z$2,0)/Z$1</f>
        <v>4.4997126436781612</v>
      </c>
      <c r="AA14" s="87">
        <f>VLOOKUP($B14,Raw_Data[#All],AA$2,0)/AA$1</f>
        <v>4.3647030651340994</v>
      </c>
      <c r="AB14" s="87">
        <f>VLOOKUP($B14,Raw_Data[#All],AB$2,0)/AB$1</f>
        <v>4.2778047595920352</v>
      </c>
      <c r="AC14" s="87">
        <f>VLOOKUP($B14,Raw_Data[#All],AC$2,0)/AC$1</f>
        <v>4.2709650531141525</v>
      </c>
      <c r="AD14" s="87">
        <f>VLOOKUP($B14,Raw_Data[#All],AD$2,0)/AD$1</f>
        <v>4.3058511896315217</v>
      </c>
      <c r="AE14" s="87">
        <f>VLOOKUP($B14,Raw_Data[#All],AE$2,0)/AE$1</f>
        <v>4.5016792015514877</v>
      </c>
      <c r="AF14" s="87">
        <f>VLOOKUP($B14,Raw_Data[#All],AF$2,0)/AF$1</f>
        <v>4.5972701149425292</v>
      </c>
      <c r="AG14" s="87">
        <f>VLOOKUP($B14,Raw_Data[#All],AG$2,0)/AG$1</f>
        <v>4.5830544643290168</v>
      </c>
      <c r="AH14" s="87">
        <f>VLOOKUP($B14,Raw_Data[#All],AH$2,0)/AH$1</f>
        <v>4.4863535310534033</v>
      </c>
      <c r="AI14" s="87">
        <f>VLOOKUP($B14,Raw_Data[#All],AI$2,0)/AI$1</f>
        <v>4.4875897465333079</v>
      </c>
      <c r="AJ14" s="87">
        <f>VLOOKUP($B14,Raw_Data[#All],AJ$2,0)/AJ$1</f>
        <v>4.4576941658176317</v>
      </c>
      <c r="AK14" s="87">
        <f>VLOOKUP($B14,Raw_Data[#All],AK$2,0)/AK$1</f>
        <v>4.4966301701417288</v>
      </c>
      <c r="AL14" s="87">
        <f>VLOOKUP($B14,Raw_Data[#All],AL$2,0)/AL$1</f>
        <v>4.4697480639621929</v>
      </c>
      <c r="AM14" s="87">
        <f>VLOOKUP($B14,Raw_Data[#All],AM$2,0)/AM$1</f>
        <v>4.5532165253203605</v>
      </c>
      <c r="AN14" s="87">
        <f>VLOOKUP($B14,Raw_Data[#All],AN$2,0)/AN$1</f>
        <v>4.5171983296741143</v>
      </c>
      <c r="AO14" s="87">
        <f>VLOOKUP($B14,Raw_Data[#All],AO$2,0)/AO$1</f>
        <v>4.5602957988338328</v>
      </c>
      <c r="AP14" s="87">
        <f>VLOOKUP($B14,Raw_Data[#All],AP$2,0)/AP$1</f>
        <v>4.4921338748020903</v>
      </c>
      <c r="AQ14" s="87">
        <f>VLOOKUP($B14,Raw_Data[#All],AQ$2,0)/AQ$1</f>
        <v>4.6286747591936122</v>
      </c>
      <c r="AR14" s="87">
        <f>VLOOKUP($B14,Raw_Data[#All],AR$2,0)/AR$1</f>
        <v>4.5993246140651793</v>
      </c>
      <c r="AS14" s="87">
        <f>VLOOKUP($B14,Raw_Data[#All],AS$2,0)/AS$1</f>
        <v>4.623830640951736</v>
      </c>
      <c r="AT14" s="87">
        <f>VLOOKUP($B14,Raw_Data[#All],AT$2,0)/AT$1</f>
        <v>4.5555064328425532</v>
      </c>
      <c r="AU14" s="87">
        <f>VLOOKUP($B14,Raw_Data[#All],AU$2,0)/AU$1</f>
        <v>4.1878945666785778</v>
      </c>
      <c r="AV14" s="87">
        <f>VLOOKUP($B14,Raw_Data[#All],AV$2,0)/AV$1</f>
        <v>4.4575023741690405</v>
      </c>
      <c r="AW14" s="87">
        <f>VLOOKUP($B14,Raw_Data[#All],AW$2,0)/AW$1</f>
        <v>4.1849075102653934</v>
      </c>
      <c r="AX14" s="87">
        <f>VLOOKUP($B14,Raw_Data[#All],AX$2,0)/AX$1</f>
        <v>4.6475185304543993</v>
      </c>
      <c r="AY14" s="87">
        <f>VLOOKUP($B14,Raw_Data[#All],AY$2,0)/AY$1</f>
        <v>4.2234951315741851</v>
      </c>
      <c r="AZ14" s="87">
        <f>VLOOKUP($B14,Raw_Data[#All],AZ$2,0)/AZ$1</f>
        <v>4.2665652972747923</v>
      </c>
      <c r="BA14" s="87">
        <f>VLOOKUP($B14,Raw_Data[#All],BA$2,0)/BA$1</f>
        <v>4.3250272673882035</v>
      </c>
      <c r="BB14" s="87">
        <f>VLOOKUP($B14,Raw_Data[#All],BB$2,0)/BB$1</f>
        <v>4.3527498403575988</v>
      </c>
      <c r="BC14" s="87">
        <f>VLOOKUP($B14,Raw_Data[#All],BC$2,0)/BC$1</f>
        <v>4.3004514956919042</v>
      </c>
      <c r="BD14" s="87">
        <f>VLOOKUP($B14,Raw_Data[#All],BD$2,0)/BD$1</f>
        <v>4.4381955521331786</v>
      </c>
      <c r="BE14" s="87">
        <f>VLOOKUP($B14,Raw_Data[#All],BE$2,0)/BE$1</f>
        <v>4.2495458061266707</v>
      </c>
      <c r="BF14" s="87">
        <f>VLOOKUP($B14,Raw_Data[#All],BF$2,0)/BF$1</f>
        <v>4.260768387572103</v>
      </c>
      <c r="BG14" s="87">
        <f>VLOOKUP($B14,Raw_Data[#All],BG$2,0)/BG$1</f>
        <v>4.2144073465912548</v>
      </c>
      <c r="BH14" s="87">
        <f>VLOOKUP($B14,Raw_Data[#All],BH$2,0)/BH$1</f>
        <v>4.2303729016575362</v>
      </c>
      <c r="BI14" s="87">
        <f>VLOOKUP($B14,Raw_Data[#All],BI$2,0)/BI$1</f>
        <v>4.2642259117354904</v>
      </c>
      <c r="BJ14" s="87">
        <f>VLOOKUP($B14,Raw_Data[#All],BJ$2,0)/BJ$1</f>
        <v>4.2571175966278485</v>
      </c>
      <c r="BK14" s="87">
        <f>VLOOKUP($B14,Raw_Data[#All],BK$2,0)/BK$1</f>
        <v>4.2190563560160452</v>
      </c>
      <c r="BL14" s="87">
        <f>VLOOKUP($B14,Raw_Data[#All],BL$2,0)/BL$1</f>
        <v>4.2522147215633801</v>
      </c>
      <c r="BM14" s="87">
        <f>VLOOKUP($B14,Raw_Data[#All],BM$2,0)/BM$1</f>
        <v>4.2238186462324387</v>
      </c>
      <c r="BN14" s="87">
        <f>VLOOKUP($B14,Raw_Data[#All],BN$2,0)/BN$1</f>
        <v>4.2441091954022996</v>
      </c>
      <c r="BO14" s="87">
        <f>VLOOKUP($B14,Raw_Data[#All],BO$2,0)/BO$1</f>
        <v>4.197301225223768</v>
      </c>
      <c r="BP14" s="87">
        <f>VLOOKUP($B14,Raw_Data[#All],BP$2,0)/BP$1</f>
        <v>4.1686627197541464</v>
      </c>
      <c r="BQ14" s="87">
        <f>VLOOKUP($B14,Raw_Data[#All],BQ$2,0)/BQ$1</f>
        <v>4.1826013943431812</v>
      </c>
      <c r="BR14" s="87">
        <f>VLOOKUP($B14,Raw_Data[#All],BR$2,0)/BR$1</f>
        <v>4.1435802413341172</v>
      </c>
      <c r="BS14" s="87">
        <f>VLOOKUP($B14,Raw_Data[#All],BS$2,0)/BS$1</f>
        <v>4.1737242509877692</v>
      </c>
      <c r="BT14" s="87">
        <f>VLOOKUP($B14,Raw_Data[#All],BT$2,0)/BT$1</f>
        <v>4.2151415691236949</v>
      </c>
      <c r="BU14" s="87">
        <f>VLOOKUP($B14,Raw_Data[#All],BU$2,0)/BU$1</f>
        <v>4.1891717276133864</v>
      </c>
      <c r="BV14" s="87">
        <f>VLOOKUP($B14,Raw_Data[#All],BV$2,0)/BV$1</f>
        <v>4.0989478625588065</v>
      </c>
      <c r="BW14" s="87">
        <f>VLOOKUP($B14,Raw_Data[#All],BW$2,0)/BW$1</f>
        <v>4.243989116552835</v>
      </c>
      <c r="BX14" s="87">
        <f>VLOOKUP($B14,Raw_Data[#All],BX$2,0)/BX$1</f>
        <v>4.2504789272030647</v>
      </c>
      <c r="BY14" s="87">
        <f>VLOOKUP($B14,Raw_Data[#All],BY$2,0)/BY$1</f>
        <v>4.3062904174015282</v>
      </c>
      <c r="BZ14" s="87">
        <f>VLOOKUP($B14,Raw_Data[#All],BZ$2,0)/BZ$1</f>
        <v>4.2559994284132205</v>
      </c>
      <c r="CA14" s="87">
        <f>VLOOKUP($B14,Raw_Data[#All],CA$2,0)/CA$1</f>
        <v>4.3064825114324563</v>
      </c>
      <c r="CB14" s="87">
        <f>VLOOKUP($B14,Raw_Data[#All],CB$2,0)/CB$1</f>
        <v>4.3098126862494679</v>
      </c>
      <c r="CC14" s="87">
        <f>VLOOKUP($B14,Raw_Data[#All],CC$2,0)/CC$1</f>
        <v>4.3549940197449777</v>
      </c>
      <c r="CD14" s="87">
        <f>VLOOKUP($B14,Raw_Data[#All],CD$2,0)/CD$1</f>
        <v>4.3194736747432234</v>
      </c>
      <c r="CE14" s="87">
        <f>VLOOKUP($B14,Raw_Data[#All],CE$2,0)/CE$1</f>
        <v>4.2147461246441003</v>
      </c>
      <c r="CF14" s="87">
        <f>VLOOKUP($B14,Raw_Data[#All],CF$2,0)/CF$1</f>
        <v>4.2210785329111653</v>
      </c>
      <c r="CG14" s="87">
        <f>VLOOKUP($B14,Raw_Data[#All],CG$2,0)/CG$1</f>
        <v>4.2098167571119172</v>
      </c>
      <c r="CH14" s="87">
        <f>VLOOKUP($B14,Raw_Data[#All],CH$2,0)/CH$1</f>
        <v>4.0661358922984991</v>
      </c>
      <c r="CI14" s="87">
        <f>VLOOKUP($B14,Raw_Data[#All],CI$2,0)/CI$1</f>
        <v>4.20194360961721</v>
      </c>
      <c r="CJ14" s="87">
        <f>VLOOKUP($B14,Raw_Data[#All],CJ$2,0)/CJ$1</f>
        <v>4.1306411014676145</v>
      </c>
      <c r="CK14" s="87">
        <f>VLOOKUP($B14,Raw_Data[#All],CK$2,0)/CK$1</f>
        <v>4.2096547769693133</v>
      </c>
      <c r="CL14" s="87">
        <f>VLOOKUP($B14,Raw_Data[#All],CL$2,0)/CL$1</f>
        <v>4.0970567732290384</v>
      </c>
      <c r="CM14" s="87">
        <f>VLOOKUP($B14,Raw_Data[#All],CM$2,0)/CM$1</f>
        <v>4.3067414705345737</v>
      </c>
      <c r="CN14" s="87">
        <f>VLOOKUP($B14,Raw_Data[#All],CN$2,0)/CN$1</f>
        <v>4.2274716399969945</v>
      </c>
      <c r="CO14" s="87">
        <f>VLOOKUP($B14,Raw_Data[#All],CO$2,0)/CO$1</f>
        <v>4.328883945124212</v>
      </c>
      <c r="CP14" s="87">
        <f>VLOOKUP($B14,Raw_Data[#All],CP$2,0)/CP$1</f>
        <v>4.3322069675039021</v>
      </c>
      <c r="CQ14" s="87">
        <f>VLOOKUP($B14,Raw_Data[#All],CQ$2,0)/CQ$1</f>
        <v>4.3565498996533476</v>
      </c>
      <c r="CR14" s="87">
        <f>VLOOKUP($B14,Raw_Data[#All],CR$2,0)/CR$1</f>
        <v>4.4501317049808433</v>
      </c>
      <c r="CS14" s="87">
        <f>VLOOKUP($B14,Raw_Data[#All],CS$2,0)/CS$1</f>
        <v>4.4078264687100894</v>
      </c>
      <c r="CT14" s="87">
        <f>VLOOKUP($B14,Raw_Data[#All],CT$2,0)/CT$1</f>
        <v>4.3624267456500281</v>
      </c>
      <c r="CU14" s="87">
        <f>VLOOKUP($B14,Raw_Data[#All],CU$2,0)/CU$1</f>
        <v>4.4283014048531291</v>
      </c>
      <c r="CV14" s="87">
        <f>VLOOKUP($B14,Raw_Data[#All],CV$2,0)/CV$1</f>
        <v>4.3457608802436392</v>
      </c>
      <c r="CW14" s="87">
        <f>VLOOKUP($B14,Raw_Data[#All],CW$2,0)/CW$1</f>
        <v>4.3418714108369283</v>
      </c>
      <c r="CX14" s="87">
        <f>VLOOKUP($B14,Raw_Data[#All],CX$2,0)/CX$1</f>
        <v>4.3814114448152273</v>
      </c>
      <c r="CY14" s="87">
        <f>VLOOKUP($B14,Raw_Data[#All],CY$2,0)/CY$1</f>
        <v>4.3480825173832836</v>
      </c>
      <c r="CZ14" s="87">
        <f>VLOOKUP($B14,Raw_Data[#All],CZ$2,0)/CZ$1</f>
        <v>4.405666790260784</v>
      </c>
      <c r="DA14" s="87">
        <f>VLOOKUP($B14,Raw_Data[#All],DA$2,0)/DA$1</f>
        <v>4.3685002736726872</v>
      </c>
      <c r="DB14" s="87">
        <f>VLOOKUP($B14,Raw_Data[#All],DB$2,0)/DB$1</f>
        <v>4.3920118933588768</v>
      </c>
      <c r="DC14" s="87">
        <f>VLOOKUP($B14,Raw_Data[#All],DC$2,0)/DC$1</f>
        <v>4.3561239724425738</v>
      </c>
      <c r="DD14" s="87">
        <f>VLOOKUP($B14,Raw_Data[#All],DD$2,0)/DD$1</f>
        <v>4.3781274208069005</v>
      </c>
      <c r="DE14" s="87">
        <f>VLOOKUP($B14,Raw_Data[#All],DE$2,0)/DE$1</f>
        <v>4.3730325760437472</v>
      </c>
      <c r="DF14" s="87">
        <f>VLOOKUP($B14,Raw_Data[#All],DF$2,0)/DF$1</f>
        <v>4.3504050925925926</v>
      </c>
      <c r="DG14" s="87">
        <f>VLOOKUP($B14,Raw_Data[#All],DG$2,0)/DG$1</f>
        <v>4.3528553183725602</v>
      </c>
      <c r="DH14" s="87">
        <f>VLOOKUP($B14,Raw_Data[#All],DH$2,0)/DH$1</f>
        <v>4.3589359833971901</v>
      </c>
      <c r="DI14" s="87">
        <f>VLOOKUP($B14,Raw_Data[#All],DI$2,0)/DI$1</f>
        <v>4.4617770479839445</v>
      </c>
      <c r="DJ14" s="87">
        <f>VLOOKUP($B14,Raw_Data[#All],DJ$2,0)/DJ$1</f>
        <v>4.3413753192848024</v>
      </c>
      <c r="DK14" s="87">
        <f>VLOOKUP($B14,Raw_Data[#All],DK$2,0)/DK$1</f>
        <v>4.2432151635709401</v>
      </c>
      <c r="DL14" s="87">
        <f>VLOOKUP($B14,Raw_Data[#All],DL$2,0)/DL$1</f>
        <v>4.3093413610654983</v>
      </c>
      <c r="DM14" s="87">
        <f>VLOOKUP($B14,Raw_Data[#All],DM$2,0)/DM$1</f>
        <v>4.3018638250319281</v>
      </c>
      <c r="DN14" s="87">
        <f>VLOOKUP($B14,Raw_Data[#All],DN$2,0)/DN$1</f>
        <v>4.3628208297285047</v>
      </c>
      <c r="DO14" s="87">
        <f>VLOOKUP($B14,Raw_Data[#All],DO$2,0)/DO$1</f>
        <v>4.299520846353813</v>
      </c>
      <c r="DP14" s="87">
        <f>VLOOKUP($B14,Raw_Data[#All],DP$2,0)/DP$1</f>
        <v>4.3225765833828005</v>
      </c>
      <c r="DQ14" s="87">
        <f>VLOOKUP($B14,Raw_Data[#All],DQ$2,0)/DQ$1</f>
        <v>4.2651432220397734</v>
      </c>
      <c r="DR14" s="87">
        <f>VLOOKUP($B14,Raw_Data[#All],DR$2,0)/DR$1</f>
        <v>4.2794141123882499</v>
      </c>
      <c r="DS14" s="87">
        <f>VLOOKUP($B14,Raw_Data[#All],DS$2,0)/DS$1</f>
        <v>4.2918173151296024</v>
      </c>
      <c r="DT14" s="87">
        <f>VLOOKUP($B14,Raw_Data[#All],DT$2,0)/DT$1</f>
        <v>4.3674613310628638</v>
      </c>
      <c r="DU14" s="87">
        <f>VLOOKUP($B14,Raw_Data[#All],DU$2,0)/DU$1</f>
        <v>4.3972560288483207</v>
      </c>
      <c r="DV14" s="87">
        <f>VLOOKUP($B14,Raw_Data[#All],DV$2,0)/DV$1</f>
        <v>4.3236737010683362</v>
      </c>
      <c r="DW14" s="87">
        <f>VLOOKUP($B14,Raw_Data[#All],DW$2,0)/DW$1</f>
        <v>4.0221307256819356</v>
      </c>
      <c r="DX14" s="87">
        <f>VLOOKUP($B14,Raw_Data[#All],DX$2,0)/DX$1</f>
        <v>4.3524471286014244</v>
      </c>
      <c r="DY14" s="87">
        <f>VLOOKUP($B14,Raw_Data[#All],DY$2,0)/DY$1</f>
        <v>4.3304736520628575</v>
      </c>
      <c r="DZ14" s="87">
        <f>VLOOKUP($B14,Raw_Data[#All],DZ$2,0)/DZ$1</f>
        <v>4.3900646678424451</v>
      </c>
      <c r="EA14" s="87">
        <f>VLOOKUP($B14,Raw_Data[#All],EA$2,0)/EA$1</f>
        <v>4.3210209131545332</v>
      </c>
      <c r="EB14" s="87">
        <f>VLOOKUP($B14,Raw_Data[#All],EB$2,0)/EB$1</f>
        <v>4.4476372924648793</v>
      </c>
      <c r="EC14" s="87">
        <f>VLOOKUP($B14,Raw_Data[#All],EC$2,0)/EC$1</f>
        <v>4.4264941020303494</v>
      </c>
      <c r="ED14" s="87">
        <f>VLOOKUP($B14,Raw_Data[#All],ED$2,0)/ED$1</f>
        <v>4.4070010449320796</v>
      </c>
      <c r="EE14" s="87">
        <f>VLOOKUP($B14,Raw_Data[#All],EE$2,0)/EE$1</f>
        <v>4.4278720428145713</v>
      </c>
      <c r="EF14" s="87">
        <f>VLOOKUP($B14,Raw_Data[#All],EF$2,0)/EF$1</f>
        <v>4.4169061302681989</v>
      </c>
      <c r="EG14" s="87">
        <f>VLOOKUP($B14,Raw_Data[#All],EG$2,0)/EG$1</f>
        <v>4.2637990900383143</v>
      </c>
      <c r="EH14" s="87">
        <f>VLOOKUP($B14,Raw_Data[#All],EH$2,0)/EH$1</f>
        <v>4.2965257822477643</v>
      </c>
      <c r="EI14" s="87">
        <f>VLOOKUP($B14,Raw_Data[#All],EI$2,0)/EI$1</f>
        <v>4.3568628494394774</v>
      </c>
      <c r="EJ14" s="87">
        <f>VLOOKUP($B14,Raw_Data[#All],EJ$2,0)/EJ$1</f>
        <v>4.4550529394800806</v>
      </c>
      <c r="EK14" s="87">
        <f>VLOOKUP($B14,Raw_Data[#All],EK$2,0)/EK$1</f>
        <v>4.3615190861359441</v>
      </c>
      <c r="EL14" s="87">
        <f>VLOOKUP($B14,Raw_Data[#All],EL$2,0)/EL$1</f>
        <v>4.4074479515092539</v>
      </c>
      <c r="EM14" s="87">
        <f>VLOOKUP($B14,Raw_Data[#All],EM$2,0)/EM$1</f>
        <v>4.4132804489773898</v>
      </c>
      <c r="EN14" s="87">
        <f>VLOOKUP($B14,Raw_Data[#All],EN$2,0)/EN$1</f>
        <v>4.4231587909748828</v>
      </c>
      <c r="EO14" s="87">
        <f>VLOOKUP($B14,Raw_Data[#All],EO$2,0)/EO$1</f>
        <v>4.3262591794380585</v>
      </c>
      <c r="EP14" s="87">
        <f>VLOOKUP($B14,Raw_Data[#All],EP$2,0)/EP$1</f>
        <v>4.3349397349936138</v>
      </c>
      <c r="EQ14" s="87">
        <f>VLOOKUP($B14,Raw_Data[#All],EQ$2,0)/EQ$1</f>
        <v>4.3785514650082362</v>
      </c>
      <c r="ER14" s="87">
        <f>VLOOKUP($B14,Raw_Data[#All],ER$2,0)/ER$1</f>
        <v>4.3448009791400599</v>
      </c>
      <c r="ES14" s="87">
        <f>VLOOKUP($B14,Raw_Data[#All],ES$2,0)/ES$1</f>
        <v>4.2979781627183282</v>
      </c>
      <c r="ET14" s="87">
        <f>VLOOKUP($B14,Raw_Data[#All],ET$2,0)/ET$1</f>
        <v>4.3292770672566698</v>
      </c>
      <c r="EU14" s="87">
        <f>VLOOKUP($B14,Raw_Data[#All],EU$2,0)/EU$1</f>
        <v>4.34227330779055</v>
      </c>
      <c r="EV14" s="87">
        <f>VLOOKUP($B14,Raw_Data[#All],EV$2,0)/EV$1</f>
        <v>4.2620530012771392</v>
      </c>
      <c r="EW14" s="87">
        <f>VLOOKUP($B14,Raw_Data[#All],EW$2,0)/EW$1</f>
        <v>4.2860492496807145</v>
      </c>
      <c r="EX14" s="87">
        <f>VLOOKUP($B14,Raw_Data[#All],EX$2,0)/EX$1</f>
        <v>4.3536056697785703</v>
      </c>
      <c r="EY14" s="87">
        <f>VLOOKUP($B14,Raw_Data[#All],EY$2,0)/EY$1</f>
        <v>4.27953272780859</v>
      </c>
      <c r="EZ14" s="87">
        <f>VLOOKUP($B14,Raw_Data[#All],EZ$2,0)/EZ$1</f>
        <v>4.3136263658294309</v>
      </c>
      <c r="FA14" s="87">
        <f>VLOOKUP($B14,Raw_Data[#All],FA$2,0)/FA$1</f>
        <v>4.3077284660139066</v>
      </c>
      <c r="FB14" s="87">
        <f>VLOOKUP($B14,Raw_Data[#All],FB$2,0)/FB$1</f>
        <v>4.2295480346246626</v>
      </c>
      <c r="FC14" s="87">
        <f>VLOOKUP($B14,Raw_Data[#All],FC$2,0)/FC$1</f>
        <v>4.2709663686675183</v>
      </c>
      <c r="FD14" s="87">
        <f>VLOOKUP($B14,Raw_Data[#All],FD$2,0)/FD$1</f>
        <v>4.3549449233716473</v>
      </c>
      <c r="FE14" s="87">
        <f>VLOOKUP($B14,Raw_Data[#All],FE$2,0)/FE$1</f>
        <v>4.2639598410671207</v>
      </c>
      <c r="FF14" s="87">
        <f>VLOOKUP($B14,Raw_Data[#All],FF$2,0)/FF$1</f>
        <v>4.3502055395913155</v>
      </c>
      <c r="FG14" s="105">
        <f>VLOOKUP($B14,Raw_Data[#All],FG$2,0)/FG$1</f>
        <v>4.3556608489603414</v>
      </c>
    </row>
    <row r="15" spans="2:163">
      <c r="B15" s="104">
        <f t="shared" si="0"/>
        <v>45838</v>
      </c>
      <c r="C15" s="87">
        <f>VLOOKUP($B15,Raw_Data[#All],C$2,0)/C$1</f>
        <v>4.5150955205197745</v>
      </c>
      <c r="D15" s="87">
        <f>VLOOKUP($B15,Raw_Data[#All],D$2,0)/D$1</f>
        <v>4.5870344062259338</v>
      </c>
      <c r="E15" s="87">
        <f>VLOOKUP($B15,Raw_Data[#All],E$2,0)/E$1</f>
        <v>4.5706277115291707</v>
      </c>
      <c r="F15" s="87">
        <f>VLOOKUP($B15,Raw_Data[#All],F$2,0)/F$1</f>
        <v>4.5531487867623177</v>
      </c>
      <c r="G15" s="87">
        <f>VLOOKUP($B15,Raw_Data[#All],G$2,0)/G$1</f>
        <v>4.6378808099071556</v>
      </c>
      <c r="H15" s="87">
        <f>VLOOKUP($B15,Raw_Data[#All],H$2,0)/H$1</f>
        <v>4.6677763906228327</v>
      </c>
      <c r="I15" s="87">
        <f>VLOOKUP($B15,Raw_Data[#All],I$2,0)/I$1</f>
        <v>4.6910710271164877</v>
      </c>
      <c r="J15" s="87">
        <f>VLOOKUP($B15,Raw_Data[#All],J$2,0)/J$1</f>
        <v>4.6132142124575521</v>
      </c>
      <c r="K15" s="87">
        <f>VLOOKUP($B15,Raw_Data[#All],K$2,0)/K$1</f>
        <v>4.6142991758386307</v>
      </c>
      <c r="L15" s="87">
        <f>VLOOKUP($B15,Raw_Data[#All],L$2,0)/L$1</f>
        <v>4.5974806512884969</v>
      </c>
      <c r="M15" s="87">
        <f>VLOOKUP($B15,Raw_Data[#All],M$2,0)/M$1</f>
        <v>4.6292144661585066</v>
      </c>
      <c r="N15" s="87">
        <f>VLOOKUP($B15,Raw_Data[#All],N$2,0)/N$1</f>
        <v>4.5992796360870747</v>
      </c>
      <c r="O15" s="87">
        <f>VLOOKUP($B15,Raw_Data[#All],O$2,0)/O$1</f>
        <v>4.6776828774838419</v>
      </c>
      <c r="P15" s="87">
        <f>VLOOKUP($B15,Raw_Data[#All],P$2,0)/P$1</f>
        <v>4.6229569360138898</v>
      </c>
      <c r="Q15" s="87">
        <f>VLOOKUP($B15,Raw_Data[#All],Q$2,0)/Q$1</f>
        <v>4.7026944288987425</v>
      </c>
      <c r="R15" s="87">
        <f>VLOOKUP($B15,Raw_Data[#All],R$2,0)/R$1</f>
        <v>4.6941801675109183</v>
      </c>
      <c r="S15" s="87">
        <f>VLOOKUP($B15,Raw_Data[#All],S$2,0)/S$1</f>
        <v>4.7030292594027578</v>
      </c>
      <c r="T15" s="87">
        <f>VLOOKUP($B15,Raw_Data[#All],T$2,0)/T$1</f>
        <v>4.7000157848666175</v>
      </c>
      <c r="U15" s="87">
        <f>VLOOKUP($B15,Raw_Data[#All],U$2,0)/U$1</f>
        <v>4.7156571526970597</v>
      </c>
      <c r="V15" s="87">
        <f>VLOOKUP($B15,Raw_Data[#All],V$2,0)/V$1</f>
        <v>4.7251759055969309</v>
      </c>
      <c r="W15" s="87">
        <f>VLOOKUP($B15,Raw_Data[#All],W$2,0)/W$1</f>
        <v>4.670019749087138</v>
      </c>
      <c r="X15" s="87">
        <f>VLOOKUP($B15,Raw_Data[#All],X$2,0)/X$1</f>
        <v>4.6641596897024744</v>
      </c>
      <c r="Y15" s="87">
        <f>VLOOKUP($B15,Raw_Data[#All],Y$2,0)/Y$1</f>
        <v>4.6972210097482909</v>
      </c>
      <c r="Z15" s="87">
        <f>VLOOKUP($B15,Raw_Data[#All],Z$2,0)/Z$1</f>
        <v>4.6643199233716475</v>
      </c>
      <c r="AA15" s="87">
        <f>VLOOKUP($B15,Raw_Data[#All],AA$2,0)/AA$1</f>
        <v>4.6019157088122604</v>
      </c>
      <c r="AB15" s="87">
        <f>VLOOKUP($B15,Raw_Data[#All],AB$2,0)/AB$1</f>
        <v>4.5279261777561928</v>
      </c>
      <c r="AC15" s="87">
        <f>VLOOKUP($B15,Raw_Data[#All],AC$2,0)/AC$1</f>
        <v>4.5189889604023703</v>
      </c>
      <c r="AD15" s="87">
        <f>VLOOKUP($B15,Raw_Data[#All],AD$2,0)/AD$1</f>
        <v>4.5246677072986143</v>
      </c>
      <c r="AE15" s="87">
        <f>VLOOKUP($B15,Raw_Data[#All],AE$2,0)/AE$1</f>
        <v>4.6998722860791826</v>
      </c>
      <c r="AF15" s="87">
        <f>VLOOKUP($B15,Raw_Data[#All],AF$2,0)/AF$1</f>
        <v>4.7491379310344835</v>
      </c>
      <c r="AG15" s="87">
        <f>VLOOKUP($B15,Raw_Data[#All],AG$2,0)/AG$1</f>
        <v>4.7317037683689795</v>
      </c>
      <c r="AH15" s="87">
        <f>VLOOKUP($B15,Raw_Data[#All],AH$2,0)/AH$1</f>
        <v>4.7008183151222749</v>
      </c>
      <c r="AI15" s="87">
        <f>VLOOKUP($B15,Raw_Data[#All],AI$2,0)/AI$1</f>
        <v>4.7460788956333317</v>
      </c>
      <c r="AJ15" s="87">
        <f>VLOOKUP($B15,Raw_Data[#All],AJ$2,0)/AJ$1</f>
        <v>4.7294330362908426</v>
      </c>
      <c r="AK15" s="87">
        <f>VLOOKUP($B15,Raw_Data[#All],AK$2,0)/AK$1</f>
        <v>4.7700431931350176</v>
      </c>
      <c r="AL15" s="87">
        <f>VLOOKUP($B15,Raw_Data[#All],AL$2,0)/AL$1</f>
        <v>4.7157049856262052</v>
      </c>
      <c r="AM15" s="87">
        <f>VLOOKUP($B15,Raw_Data[#All],AM$2,0)/AM$1</f>
        <v>4.795968640731652</v>
      </c>
      <c r="AN15" s="87">
        <f>VLOOKUP($B15,Raw_Data[#All],AN$2,0)/AN$1</f>
        <v>4.7204882785407127</v>
      </c>
      <c r="AO15" s="87">
        <f>VLOOKUP($B15,Raw_Data[#All],AO$2,0)/AO$1</f>
        <v>4.7362253122294451</v>
      </c>
      <c r="AP15" s="87">
        <f>VLOOKUP($B15,Raw_Data[#All],AP$2,0)/AP$1</f>
        <v>4.7064732303012038</v>
      </c>
      <c r="AQ15" s="87">
        <f>VLOOKUP($B15,Raw_Data[#All],AQ$2,0)/AQ$1</f>
        <v>4.9294589465391923</v>
      </c>
      <c r="AR15" s="87">
        <f>VLOOKUP($B15,Raw_Data[#All],AR$2,0)/AR$1</f>
        <v>4.9443878644939963</v>
      </c>
      <c r="AS15" s="87">
        <f>VLOOKUP($B15,Raw_Data[#All],AS$2,0)/AS$1</f>
        <v>4.8683463980790966</v>
      </c>
      <c r="AT15" s="87">
        <f>VLOOKUP($B15,Raw_Data[#All],AT$2,0)/AT$1</f>
        <v>4.885923663303994</v>
      </c>
      <c r="AU15" s="87">
        <f>VLOOKUP($B15,Raw_Data[#All],AU$2,0)/AU$1</f>
        <v>4.4201252403559819</v>
      </c>
      <c r="AV15" s="87">
        <f>VLOOKUP($B15,Raw_Data[#All],AV$2,0)/AV$1</f>
        <v>4.7403968955693099</v>
      </c>
      <c r="AW15" s="87">
        <f>VLOOKUP($B15,Raw_Data[#All],AW$2,0)/AW$1</f>
        <v>4.950730608188028</v>
      </c>
      <c r="AX15" s="87">
        <f>VLOOKUP($B15,Raw_Data[#All],AX$2,0)/AX$1</f>
        <v>4.9194328069610052</v>
      </c>
      <c r="AY15" s="87">
        <f>VLOOKUP($B15,Raw_Data[#All],AY$2,0)/AY$1</f>
        <v>4.4631157925218092</v>
      </c>
      <c r="AZ15" s="87">
        <f>VLOOKUP($B15,Raw_Data[#All],AZ$2,0)/AZ$1</f>
        <v>4.5250572465538932</v>
      </c>
      <c r="BA15" s="87">
        <f>VLOOKUP($B15,Raw_Data[#All],BA$2,0)/BA$1</f>
        <v>4.5751880750622256</v>
      </c>
      <c r="BB15" s="87">
        <f>VLOOKUP($B15,Raw_Data[#All],BB$2,0)/BB$1</f>
        <v>4.5953065134099624</v>
      </c>
      <c r="BC15" s="87">
        <f>VLOOKUP($B15,Raw_Data[#All],BC$2,0)/BC$1</f>
        <v>4.5941485438814249</v>
      </c>
      <c r="BD15" s="87">
        <f>VLOOKUP($B15,Raw_Data[#All],BD$2,0)/BD$1</f>
        <v>4.6338210219459874</v>
      </c>
      <c r="BE15" s="87">
        <f>VLOOKUP($B15,Raw_Data[#All],BE$2,0)/BE$1</f>
        <v>4.5103250409224191</v>
      </c>
      <c r="BF15" s="87">
        <f>VLOOKUP($B15,Raw_Data[#All],BF$2,0)/BF$1</f>
        <v>4.5420402882351878</v>
      </c>
      <c r="BG15" s="87">
        <f>VLOOKUP($B15,Raw_Data[#All],BG$2,0)/BG$1</f>
        <v>4.4728253157371931</v>
      </c>
      <c r="BH15" s="87">
        <f>VLOOKUP($B15,Raw_Data[#All],BH$2,0)/BH$1</f>
        <v>4.4975867960754607</v>
      </c>
      <c r="BI15" s="87">
        <f>VLOOKUP($B15,Raw_Data[#All],BI$2,0)/BI$1</f>
        <v>4.4826065803077295</v>
      </c>
      <c r="BJ15" s="87">
        <f>VLOOKUP($B15,Raw_Data[#All],BJ$2,0)/BJ$1</f>
        <v>4.5302564835321855</v>
      </c>
      <c r="BK15" s="87">
        <f>VLOOKUP($B15,Raw_Data[#All],BK$2,0)/BK$1</f>
        <v>4.4975536488406815</v>
      </c>
      <c r="BL15" s="87">
        <f>VLOOKUP($B15,Raw_Data[#All],BL$2,0)/BL$1</f>
        <v>4.458077398690425</v>
      </c>
      <c r="BM15" s="87">
        <f>VLOOKUP($B15,Raw_Data[#All],BM$2,0)/BM$1</f>
        <v>4.4866356504287541</v>
      </c>
      <c r="BN15" s="87">
        <f>VLOOKUP($B15,Raw_Data[#All],BN$2,0)/BN$1</f>
        <v>4.4954980842911878</v>
      </c>
      <c r="BO15" s="87">
        <f>VLOOKUP($B15,Raw_Data[#All],BO$2,0)/BO$1</f>
        <v>4.4797853539257817</v>
      </c>
      <c r="BP15" s="87">
        <f>VLOOKUP($B15,Raw_Data[#All],BP$2,0)/BP$1</f>
        <v>4.4672923477099369</v>
      </c>
      <c r="BQ15" s="87">
        <f>VLOOKUP($B15,Raw_Data[#All],BQ$2,0)/BQ$1</f>
        <v>4.4878250672552946</v>
      </c>
      <c r="BR15" s="87">
        <f>VLOOKUP($B15,Raw_Data[#All],BR$2,0)/BR$1</f>
        <v>4.4738554706919151</v>
      </c>
      <c r="BS15" s="87">
        <f>VLOOKUP($B15,Raw_Data[#All],BS$2,0)/BS$1</f>
        <v>4.4735488918091004</v>
      </c>
      <c r="BT15" s="87">
        <f>VLOOKUP($B15,Raw_Data[#All],BT$2,0)/BT$1</f>
        <v>4.5278887219234418</v>
      </c>
      <c r="BU15" s="87">
        <f>VLOOKUP($B15,Raw_Data[#All],BU$2,0)/BU$1</f>
        <v>4.5013834987145271</v>
      </c>
      <c r="BV15" s="87">
        <f>VLOOKUP($B15,Raw_Data[#All],BV$2,0)/BV$1</f>
        <v>4.5153636558459445</v>
      </c>
      <c r="BW15" s="87">
        <f>VLOOKUP($B15,Raw_Data[#All],BW$2,0)/BW$1</f>
        <v>4.4935402669035849</v>
      </c>
      <c r="BX15" s="87">
        <f>VLOOKUP($B15,Raw_Data[#All],BX$2,0)/BX$1</f>
        <v>4.5133723987679355</v>
      </c>
      <c r="BY15" s="87">
        <f>VLOOKUP($B15,Raw_Data[#All],BY$2,0)/BY$1</f>
        <v>4.5553325629953978</v>
      </c>
      <c r="BZ15" s="87">
        <f>VLOOKUP($B15,Raw_Data[#All],BZ$2,0)/BZ$1</f>
        <v>4.5272352168903893</v>
      </c>
      <c r="CA15" s="87">
        <f>VLOOKUP($B15,Raw_Data[#All],CA$2,0)/CA$1</f>
        <v>4.5932208626869357</v>
      </c>
      <c r="CB15" s="87">
        <f>VLOOKUP($B15,Raw_Data[#All],CB$2,0)/CB$1</f>
        <v>4.5595643536256567</v>
      </c>
      <c r="CC15" s="87">
        <f>VLOOKUP($B15,Raw_Data[#All],CC$2,0)/CC$1</f>
        <v>4.5905552514747914</v>
      </c>
      <c r="CD15" s="87">
        <f>VLOOKUP($B15,Raw_Data[#All],CD$2,0)/CD$1</f>
        <v>4.5542154587807815</v>
      </c>
      <c r="CE15" s="87">
        <f>VLOOKUP($B15,Raw_Data[#All],CE$2,0)/CE$1</f>
        <v>4.5272461246440994</v>
      </c>
      <c r="CF15" s="87">
        <f>VLOOKUP($B15,Raw_Data[#All],CF$2,0)/CF$1</f>
        <v>4.5411648483220626</v>
      </c>
      <c r="CG15" s="87">
        <f>VLOOKUP($B15,Raw_Data[#All],CG$2,0)/CG$1</f>
        <v>4.5130314165429635</v>
      </c>
      <c r="CH15" s="87">
        <f>VLOOKUP($B15,Raw_Data[#All],CH$2,0)/CH$1</f>
        <v>4.4908872016591088</v>
      </c>
      <c r="CI15" s="87">
        <f>VLOOKUP($B15,Raw_Data[#All],CI$2,0)/CI$1</f>
        <v>4.5028274280291045</v>
      </c>
      <c r="CJ15" s="87">
        <f>VLOOKUP($B15,Raw_Data[#All],CJ$2,0)/CJ$1</f>
        <v>4.4845467174669542</v>
      </c>
      <c r="CK15" s="87">
        <f>VLOOKUP($B15,Raw_Data[#All],CK$2,0)/CK$1</f>
        <v>4.5111811926605503</v>
      </c>
      <c r="CL15" s="87">
        <f>VLOOKUP($B15,Raw_Data[#All],CL$2,0)/CL$1</f>
        <v>4.5061913307371642</v>
      </c>
      <c r="CM15" s="87">
        <f>VLOOKUP($B15,Raw_Data[#All],CM$2,0)/CM$1</f>
        <v>4.6459131545338446</v>
      </c>
      <c r="CN15" s="87">
        <f>VLOOKUP($B15,Raw_Data[#All],CN$2,0)/CN$1</f>
        <v>4.534313725490196</v>
      </c>
      <c r="CO15" s="87">
        <f>VLOOKUP($B15,Raw_Data[#All],CO$2,0)/CO$1</f>
        <v>4.6267457669014957</v>
      </c>
      <c r="CP15" s="87">
        <f>VLOOKUP($B15,Raw_Data[#All],CP$2,0)/CP$1</f>
        <v>4.6420019157088124</v>
      </c>
      <c r="CQ15" s="87">
        <f>VLOOKUP($B15,Raw_Data[#All],CQ$2,0)/CQ$1</f>
        <v>4.6319558474730886</v>
      </c>
      <c r="CR15" s="87">
        <f>VLOOKUP($B15,Raw_Data[#All],CR$2,0)/CR$1</f>
        <v>4.698026420817369</v>
      </c>
      <c r="CS15" s="87">
        <f>VLOOKUP($B15,Raw_Data[#All],CS$2,0)/CS$1</f>
        <v>4.6449952107279691</v>
      </c>
      <c r="CT15" s="87">
        <f>VLOOKUP($B15,Raw_Data[#All],CT$2,0)/CT$1</f>
        <v>4.6378268706466317</v>
      </c>
      <c r="CU15" s="87">
        <f>VLOOKUP($B15,Raw_Data[#All],CU$2,0)/CU$1</f>
        <v>4.6960919540229886</v>
      </c>
      <c r="CV15" s="87">
        <f>VLOOKUP($B15,Raw_Data[#All],CV$2,0)/CV$1</f>
        <v>4.65364967089105</v>
      </c>
      <c r="CW15" s="87">
        <f>VLOOKUP($B15,Raw_Data[#All],CW$2,0)/CW$1</f>
        <v>4.6412399860675722</v>
      </c>
      <c r="CX15" s="87">
        <f>VLOOKUP($B15,Raw_Data[#All],CX$2,0)/CX$1</f>
        <v>4.6657294112800232</v>
      </c>
      <c r="CY15" s="87">
        <f>VLOOKUP($B15,Raw_Data[#All],CY$2,0)/CY$1</f>
        <v>4.6422679863771821</v>
      </c>
      <c r="CZ15" s="87">
        <f>VLOOKUP($B15,Raw_Data[#All],CZ$2,0)/CZ$1</f>
        <v>4.6868434062538631</v>
      </c>
      <c r="DA15" s="87">
        <f>VLOOKUP($B15,Raw_Data[#All],DA$2,0)/DA$1</f>
        <v>4.6339627805145041</v>
      </c>
      <c r="DB15" s="87">
        <f>VLOOKUP($B15,Raw_Data[#All],DB$2,0)/DB$1</f>
        <v>4.6732319604086845</v>
      </c>
      <c r="DC15" s="87">
        <f>VLOOKUP($B15,Raw_Data[#All],DC$2,0)/DC$1</f>
        <v>4.6394779918335045</v>
      </c>
      <c r="DD15" s="87">
        <f>VLOOKUP($B15,Raw_Data[#All],DD$2,0)/DD$1</f>
        <v>4.6464313380650299</v>
      </c>
      <c r="DE15" s="87">
        <f>VLOOKUP($B15,Raw_Data[#All],DE$2,0)/DE$1</f>
        <v>4.6715413811091331</v>
      </c>
      <c r="DF15" s="87">
        <f>VLOOKUP($B15,Raw_Data[#All],DF$2,0)/DF$1</f>
        <v>4.6441969987228608</v>
      </c>
      <c r="DG15" s="87">
        <f>VLOOKUP($B15,Raw_Data[#All],DG$2,0)/DG$1</f>
        <v>4.6940339354132457</v>
      </c>
      <c r="DH15" s="87">
        <f>VLOOKUP($B15,Raw_Data[#All],DH$2,0)/DH$1</f>
        <v>4.6762252554278412</v>
      </c>
      <c r="DI15" s="87">
        <f>VLOOKUP($B15,Raw_Data[#All],DI$2,0)/DI$1</f>
        <v>4.7513683634373285</v>
      </c>
      <c r="DJ15" s="87">
        <f>VLOOKUP($B15,Raw_Data[#All],DJ$2,0)/DJ$1</f>
        <v>4.7536019316730522</v>
      </c>
      <c r="DK15" s="87">
        <f>VLOOKUP($B15,Raw_Data[#All],DK$2,0)/DK$1</f>
        <v>4.5284950459924485</v>
      </c>
      <c r="DL15" s="87">
        <f>VLOOKUP($B15,Raw_Data[#All],DL$2,0)/DL$1</f>
        <v>4.6083287721218751</v>
      </c>
      <c r="DM15" s="87">
        <f>VLOOKUP($B15,Raw_Data[#All],DM$2,0)/DM$1</f>
        <v>4.6250897988505741</v>
      </c>
      <c r="DN15" s="87">
        <f>VLOOKUP($B15,Raw_Data[#All],DN$2,0)/DN$1</f>
        <v>4.6857619577308123</v>
      </c>
      <c r="DO15" s="87">
        <f>VLOOKUP($B15,Raw_Data[#All],DO$2,0)/DO$1</f>
        <v>4.6830702064255503</v>
      </c>
      <c r="DP15" s="87">
        <f>VLOOKUP($B15,Raw_Data[#All],DP$2,0)/DP$1</f>
        <v>4.646493263540374</v>
      </c>
      <c r="DQ15" s="87">
        <f>VLOOKUP($B15,Raw_Data[#All],DQ$2,0)/DQ$1</f>
        <v>4.6677613574165298</v>
      </c>
      <c r="DR15" s="87">
        <f>VLOOKUP($B15,Raw_Data[#All],DR$2,0)/DR$1</f>
        <v>4.655521631545338</v>
      </c>
      <c r="DS15" s="87">
        <f>VLOOKUP($B15,Raw_Data[#All],DS$2,0)/DS$1</f>
        <v>4.6509452628928107</v>
      </c>
      <c r="DT15" s="87">
        <f>VLOOKUP($B15,Raw_Data[#All],DT$2,0)/DT$1</f>
        <v>4.6788400332461633</v>
      </c>
      <c r="DU15" s="87">
        <f>VLOOKUP($B15,Raw_Data[#All],DU$2,0)/DU$1</f>
        <v>4.7406750056344373</v>
      </c>
      <c r="DV15" s="87">
        <f>VLOOKUP($B15,Raw_Data[#All],DV$2,0)/DV$1</f>
        <v>4.7313446451377486</v>
      </c>
      <c r="DW15" s="87">
        <f>VLOOKUP($B15,Raw_Data[#All],DW$2,0)/DW$1</f>
        <v>4.714978746116163</v>
      </c>
      <c r="DX15" s="87">
        <f>VLOOKUP($B15,Raw_Data[#All],DX$2,0)/DX$1</f>
        <v>4.6629110115375454</v>
      </c>
      <c r="DY15" s="87">
        <f>VLOOKUP($B15,Raw_Data[#All],DY$2,0)/DY$1</f>
        <v>4.6553112332722533</v>
      </c>
      <c r="DZ15" s="87">
        <f>VLOOKUP($B15,Raw_Data[#All],DZ$2,0)/DZ$1</f>
        <v>4.6627744328893748</v>
      </c>
      <c r="EA15" s="87">
        <f>VLOOKUP($B15,Raw_Data[#All],EA$2,0)/EA$1</f>
        <v>4.6896451947637292</v>
      </c>
      <c r="EB15" s="87">
        <f>VLOOKUP($B15,Raw_Data[#All],EB$2,0)/EB$1</f>
        <v>4.7134418901660284</v>
      </c>
      <c r="EC15" s="87">
        <f>VLOOKUP($B15,Raw_Data[#All],EC$2,0)/EC$1</f>
        <v>4.678502830824308</v>
      </c>
      <c r="ED15" s="87">
        <f>VLOOKUP($B15,Raw_Data[#All],ED$2,0)/ED$1</f>
        <v>4.6689887379542556</v>
      </c>
      <c r="EE15" s="87">
        <f>VLOOKUP($B15,Raw_Data[#All],EE$2,0)/EE$1</f>
        <v>4.674126781406474</v>
      </c>
      <c r="EF15" s="87">
        <f>VLOOKUP($B15,Raw_Data[#All],EF$2,0)/EF$1</f>
        <v>4.6307129173508477</v>
      </c>
      <c r="EG15" s="87">
        <f>VLOOKUP($B15,Raw_Data[#All],EG$2,0)/EG$1</f>
        <v>4.5201249201787999</v>
      </c>
      <c r="EH15" s="87">
        <f>VLOOKUP($B15,Raw_Data[#All],EH$2,0)/EH$1</f>
        <v>4.586975175606641</v>
      </c>
      <c r="EI15" s="87">
        <f>VLOOKUP($B15,Raw_Data[#All],EI$2,0)/EI$1</f>
        <v>4.6862583368809423</v>
      </c>
      <c r="EJ15" s="87">
        <f>VLOOKUP($B15,Raw_Data[#All],EJ$2,0)/EJ$1</f>
        <v>4.7329852099040091</v>
      </c>
      <c r="EK15" s="87">
        <f>VLOOKUP($B15,Raw_Data[#All],EK$2,0)/EK$1</f>
        <v>4.728341847594721</v>
      </c>
      <c r="EL15" s="87">
        <f>VLOOKUP($B15,Raw_Data[#All],EL$2,0)/EL$1</f>
        <v>4.7594721157939555</v>
      </c>
      <c r="EM15" s="87">
        <f>VLOOKUP($B15,Raw_Data[#All],EM$2,0)/EM$1</f>
        <v>4.7567589444714269</v>
      </c>
      <c r="EN15" s="87">
        <f>VLOOKUP($B15,Raw_Data[#All],EN$2,0)/EN$1</f>
        <v>4.7239453465507104</v>
      </c>
      <c r="EO15" s="87">
        <f>VLOOKUP($B15,Raw_Data[#All],EO$2,0)/EO$1</f>
        <v>4.7248164112388249</v>
      </c>
      <c r="EP15" s="87">
        <f>VLOOKUP($B15,Raw_Data[#All],EP$2,0)/EP$1</f>
        <v>4.6466914112388258</v>
      </c>
      <c r="EQ15" s="87">
        <f>VLOOKUP($B15,Raw_Data[#All],EQ$2,0)/EQ$1</f>
        <v>4.7452199826012915</v>
      </c>
      <c r="ER15" s="87">
        <f>VLOOKUP($B15,Raw_Data[#All],ER$2,0)/ER$1</f>
        <v>4.7268341138072945</v>
      </c>
      <c r="ES15" s="87">
        <f>VLOOKUP($B15,Raw_Data[#All],ES$2,0)/ES$1</f>
        <v>4.7492490061698422</v>
      </c>
      <c r="ET15" s="87">
        <f>VLOOKUP($B15,Raw_Data[#All],ET$2,0)/ET$1</f>
        <v>4.7319806450452404</v>
      </c>
      <c r="EU15" s="87">
        <f>VLOOKUP($B15,Raw_Data[#All],EU$2,0)/EU$1</f>
        <v>4.7282481607396614</v>
      </c>
      <c r="EV15" s="87">
        <f>VLOOKUP($B15,Raw_Data[#All],EV$2,0)/EV$1</f>
        <v>4.6714914147864341</v>
      </c>
      <c r="EW15" s="87">
        <f>VLOOKUP($B15,Raw_Data[#All],EW$2,0)/EW$1</f>
        <v>4.7820382343550447</v>
      </c>
      <c r="EX15" s="87">
        <f>VLOOKUP($B15,Raw_Data[#All],EX$2,0)/EX$1</f>
        <v>4.7707445181947365</v>
      </c>
      <c r="EY15" s="87">
        <f>VLOOKUP($B15,Raw_Data[#All],EY$2,0)/EY$1</f>
        <v>4.7246112763354144</v>
      </c>
      <c r="EZ15" s="87">
        <f>VLOOKUP($B15,Raw_Data[#All],EZ$2,0)/EZ$1</f>
        <v>4.7024886476514824</v>
      </c>
      <c r="FA15" s="87">
        <f>VLOOKUP($B15,Raw_Data[#All],FA$2,0)/FA$1</f>
        <v>4.7298939264935438</v>
      </c>
      <c r="FB15" s="87">
        <f>VLOOKUP($B15,Raw_Data[#All],FB$2,0)/FB$1</f>
        <v>4.7106038030367534</v>
      </c>
      <c r="FC15" s="87">
        <f>VLOOKUP($B15,Raw_Data[#All],FC$2,0)/FC$1</f>
        <v>4.712909748829289</v>
      </c>
      <c r="FD15" s="87">
        <f>VLOOKUP($B15,Raw_Data[#All],FD$2,0)/FD$1</f>
        <v>4.727909482758621</v>
      </c>
      <c r="FE15" s="87">
        <f>VLOOKUP($B15,Raw_Data[#All],FE$2,0)/FE$1</f>
        <v>4.7343284376330352</v>
      </c>
      <c r="FF15" s="87">
        <f>VLOOKUP($B15,Raw_Data[#All],FF$2,0)/FF$1</f>
        <v>4.7661737707535128</v>
      </c>
      <c r="FG15" s="105">
        <f>VLOOKUP($B15,Raw_Data[#All],FG$2,0)/FG$1</f>
        <v>4.6440501093196138</v>
      </c>
    </row>
    <row r="16" spans="2:163">
      <c r="B16" s="104">
        <f t="shared" si="0"/>
        <v>45839</v>
      </c>
      <c r="C16" s="87">
        <f>VLOOKUP($B16,Raw_Data[#All],C$2,0)/C$1</f>
        <v>5.3050397877984086</v>
      </c>
      <c r="D16" s="87">
        <f>VLOOKUP($B16,Raw_Data[#All],D$2,0)/D$1</f>
        <v>5.3930192623205668</v>
      </c>
      <c r="E16" s="87">
        <f>VLOOKUP($B16,Raw_Data[#All],E$2,0)/E$1</f>
        <v>5.37479491631629</v>
      </c>
      <c r="F16" s="87">
        <f>VLOOKUP($B16,Raw_Data[#All],F$2,0)/F$1</f>
        <v>5.3724181248059759</v>
      </c>
      <c r="G16" s="87">
        <f>VLOOKUP($B16,Raw_Data[#All],G$2,0)/G$1</f>
        <v>5.4181315501217346</v>
      </c>
      <c r="H16" s="87">
        <f>VLOOKUP($B16,Raw_Data[#All],H$2,0)/H$1</f>
        <v>5.4261674822181085</v>
      </c>
      <c r="I16" s="87">
        <f>VLOOKUP($B16,Raw_Data[#All],I$2,0)/I$1</f>
        <v>5.4602723606985517</v>
      </c>
      <c r="J16" s="87">
        <f>VLOOKUP($B16,Raw_Data[#All],J$2,0)/J$1</f>
        <v>5.337967500056978</v>
      </c>
      <c r="K16" s="87">
        <f>VLOOKUP($B16,Raw_Data[#All],K$2,0)/K$1</f>
        <v>5.4136830877112416</v>
      </c>
      <c r="L16" s="87">
        <f>VLOOKUP($B16,Raw_Data[#All],L$2,0)/L$1</f>
        <v>5.3800285387588476</v>
      </c>
      <c r="M16" s="87">
        <f>VLOOKUP($B16,Raw_Data[#All],M$2,0)/M$1</f>
        <v>5.3852866875909049</v>
      </c>
      <c r="N16" s="87">
        <f>VLOOKUP($B16,Raw_Data[#All],N$2,0)/N$1</f>
        <v>5.3879489718311877</v>
      </c>
      <c r="O16" s="87">
        <f>VLOOKUP($B16,Raw_Data[#All],O$2,0)/O$1</f>
        <v>5.3684014829234146</v>
      </c>
      <c r="P16" s="87">
        <f>VLOOKUP($B16,Raw_Data[#All],P$2,0)/P$1</f>
        <v>5.3570010666743197</v>
      </c>
      <c r="Q16" s="87">
        <f>VLOOKUP($B16,Raw_Data[#All],Q$2,0)/Q$1</f>
        <v>5.3216525320361043</v>
      </c>
      <c r="R16" s="87">
        <f>VLOOKUP($B16,Raw_Data[#All],R$2,0)/R$1</f>
        <v>5.3588665509109772</v>
      </c>
      <c r="S16" s="87">
        <f>VLOOKUP($B16,Raw_Data[#All],S$2,0)/S$1</f>
        <v>5.2882651474928366</v>
      </c>
      <c r="T16" s="87">
        <f>VLOOKUP($B16,Raw_Data[#All],T$2,0)/T$1</f>
        <v>5.2738674358201676</v>
      </c>
      <c r="U16" s="87">
        <f>VLOOKUP($B16,Raw_Data[#All],U$2,0)/U$1</f>
        <v>5.3075418179383052</v>
      </c>
      <c r="V16" s="87">
        <f>VLOOKUP($B16,Raw_Data[#All],V$2,0)/V$1</f>
        <v>5.3447080038840342</v>
      </c>
      <c r="W16" s="87">
        <f>VLOOKUP($B16,Raw_Data[#All],W$2,0)/W$1</f>
        <v>5.2502735035448902</v>
      </c>
      <c r="X16" s="87">
        <f>VLOOKUP($B16,Raw_Data[#All],X$2,0)/X$1</f>
        <v>5.2434132727874747</v>
      </c>
      <c r="Y16" s="87">
        <f>VLOOKUP($B16,Raw_Data[#All],Y$2,0)/Y$1</f>
        <v>5.2457927154566173</v>
      </c>
      <c r="Z16" s="87">
        <f>VLOOKUP($B16,Raw_Data[#All],Z$2,0)/Z$1</f>
        <v>5.227586206896552</v>
      </c>
      <c r="AA16" s="87">
        <f>VLOOKUP($B16,Raw_Data[#All],AA$2,0)/AA$1</f>
        <v>5.1942528735632187</v>
      </c>
      <c r="AB16" s="87">
        <f>VLOOKUP($B16,Raw_Data[#All],AB$2,0)/AB$1</f>
        <v>5.1227132912417028</v>
      </c>
      <c r="AC16" s="87">
        <f>VLOOKUP($B16,Raw_Data[#All],AC$2,0)/AC$1</f>
        <v>5.1161028468048633</v>
      </c>
      <c r="AD16" s="87">
        <f>VLOOKUP($B16,Raw_Data[#All],AD$2,0)/AD$1</f>
        <v>5.1092663544770831</v>
      </c>
      <c r="AE16" s="87">
        <f>VLOOKUP($B16,Raw_Data[#All],AE$2,0)/AE$1</f>
        <v>5.2775649212430817</v>
      </c>
      <c r="AF16" s="87">
        <f>VLOOKUP($B16,Raw_Data[#All],AF$2,0)/AF$1</f>
        <v>5.2973659003831415</v>
      </c>
      <c r="AG16" s="87">
        <f>VLOOKUP($B16,Raw_Data[#All],AG$2,0)/AG$1</f>
        <v>5.2752800814782486</v>
      </c>
      <c r="AH16" s="87">
        <f>VLOOKUP($B16,Raw_Data[#All],AH$2,0)/AH$1</f>
        <v>5.2741119152357978</v>
      </c>
      <c r="AI16" s="87">
        <f>VLOOKUP($B16,Raw_Data[#All],AI$2,0)/AI$1</f>
        <v>5.3513089481060545</v>
      </c>
      <c r="AJ16" s="87">
        <f>VLOOKUP($B16,Raw_Data[#All],AJ$2,0)/AJ$1</f>
        <v>5.343464347726262</v>
      </c>
      <c r="AK16" s="87">
        <f>VLOOKUP($B16,Raw_Data[#All],AK$2,0)/AK$1</f>
        <v>5.3912494439421987</v>
      </c>
      <c r="AL16" s="87">
        <f>VLOOKUP($B16,Raw_Data[#All],AL$2,0)/AL$1</f>
        <v>5.3282056433289808</v>
      </c>
      <c r="AM16" s="87">
        <f>VLOOKUP($B16,Raw_Data[#All],AM$2,0)/AM$1</f>
        <v>5.3892404609181046</v>
      </c>
      <c r="AN16" s="87">
        <f>VLOOKUP($B16,Raw_Data[#All],AN$2,0)/AN$1</f>
        <v>5.2755894212693901</v>
      </c>
      <c r="AO16" s="87">
        <f>VLOOKUP($B16,Raw_Data[#All],AO$2,0)/AO$1</f>
        <v>5.3063459947096776</v>
      </c>
      <c r="AP16" s="87">
        <f>VLOOKUP($B16,Raw_Data[#All],AP$2,0)/AP$1</f>
        <v>5.2910394573832518</v>
      </c>
      <c r="AQ16" s="87">
        <f>VLOOKUP($B16,Raw_Data[#All],AQ$2,0)/AQ$1</f>
        <v>5.2781806137429728</v>
      </c>
      <c r="AR16" s="87">
        <f>VLOOKUP($B16,Raw_Data[#All],AR$2,0)/AR$1</f>
        <v>5.280338765008576</v>
      </c>
      <c r="AS16" s="87">
        <f>VLOOKUP($B16,Raw_Data[#All],AS$2,0)/AS$1</f>
        <v>5.3096730560611487</v>
      </c>
      <c r="AT16" s="87">
        <f>VLOOKUP($B16,Raw_Data[#All],AT$2,0)/AT$1</f>
        <v>5.3137378365464052</v>
      </c>
      <c r="AU16" s="87">
        <f>VLOOKUP($B16,Raw_Data[#All],AU$2,0)/AU$1</f>
        <v>4.7238671363180016</v>
      </c>
      <c r="AV16" s="87">
        <f>VLOOKUP($B16,Raw_Data[#All],AV$2,0)/AV$1</f>
        <v>5.0843239348986469</v>
      </c>
      <c r="AW16" s="87">
        <f>VLOOKUP($B16,Raw_Data[#All],AW$2,0)/AW$1</f>
        <v>5.3102554992376838</v>
      </c>
      <c r="AX16" s="87">
        <f>VLOOKUP($B16,Raw_Data[#All],AX$2,0)/AX$1</f>
        <v>5.2976062591757085</v>
      </c>
      <c r="AY16" s="87">
        <f>VLOOKUP($B16,Raw_Data[#All],AY$2,0)/AY$1</f>
        <v>5.1019835668005946</v>
      </c>
      <c r="AZ16" s="87">
        <f>VLOOKUP($B16,Raw_Data[#All],AZ$2,0)/AZ$1</f>
        <v>5.2227863911591399</v>
      </c>
      <c r="BA16" s="87">
        <f>VLOOKUP($B16,Raw_Data[#All],BA$2,0)/BA$1</f>
        <v>5.2649830802360373</v>
      </c>
      <c r="BB16" s="87">
        <f>VLOOKUP($B16,Raw_Data[#All],BB$2,0)/BB$1</f>
        <v>5.3076109514687104</v>
      </c>
      <c r="BC16" s="87">
        <f>VLOOKUP($B16,Raw_Data[#All],BC$2,0)/BC$1</f>
        <v>5.2425215404817154</v>
      </c>
      <c r="BD16" s="87">
        <f>VLOOKUP($B16,Raw_Data[#All],BD$2,0)/BD$1</f>
        <v>5.2812918247987817</v>
      </c>
      <c r="BE16" s="87">
        <f>VLOOKUP($B16,Raw_Data[#All],BE$2,0)/BE$1</f>
        <v>5.2216106344323929</v>
      </c>
      <c r="BF16" s="87">
        <f>VLOOKUP($B16,Raw_Data[#All],BF$2,0)/BF$1</f>
        <v>5.1927258351452856</v>
      </c>
      <c r="BG16" s="87">
        <f>VLOOKUP($B16,Raw_Data[#All],BG$2,0)/BG$1</f>
        <v>5.2018082669423666</v>
      </c>
      <c r="BH16" s="87">
        <f>VLOOKUP($B16,Raw_Data[#All],BH$2,0)/BH$1</f>
        <v>5.2382378326962709</v>
      </c>
      <c r="BI16" s="87">
        <f>VLOOKUP($B16,Raw_Data[#All],BI$2,0)/BI$1</f>
        <v>5.2253238460135005</v>
      </c>
      <c r="BJ16" s="87">
        <f>VLOOKUP($B16,Raw_Data[#All],BJ$2,0)/BJ$1</f>
        <v>5.2800600128598987</v>
      </c>
      <c r="BK16" s="87">
        <f>VLOOKUP($B16,Raw_Data[#All],BK$2,0)/BK$1</f>
        <v>5.2518302664004466</v>
      </c>
      <c r="BL16" s="87">
        <f>VLOOKUP($B16,Raw_Data[#All],BL$2,0)/BL$1</f>
        <v>5.2192422307364836</v>
      </c>
      <c r="BM16" s="87">
        <f>VLOOKUP($B16,Raw_Data[#All],BM$2,0)/BM$1</f>
        <v>5.2233625250866629</v>
      </c>
      <c r="BN16" s="87">
        <f>VLOOKUP($B16,Raw_Data[#All],BN$2,0)/BN$1</f>
        <v>5.1977011494252867</v>
      </c>
      <c r="BO16" s="87">
        <f>VLOOKUP($B16,Raw_Data[#All],BO$2,0)/BO$1</f>
        <v>5.2019799578033981</v>
      </c>
      <c r="BP16" s="87">
        <f>VLOOKUP($B16,Raw_Data[#All],BP$2,0)/BP$1</f>
        <v>5.1498671808700278</v>
      </c>
      <c r="BQ16" s="87">
        <f>VLOOKUP($B16,Raw_Data[#All],BQ$2,0)/BQ$1</f>
        <v>5.1784316850335266</v>
      </c>
      <c r="BR16" s="87">
        <f>VLOOKUP($B16,Raw_Data[#All],BR$2,0)/BR$1</f>
        <v>5.1314231481899943</v>
      </c>
      <c r="BS16" s="87">
        <f>VLOOKUP($B16,Raw_Data[#All],BS$2,0)/BS$1</f>
        <v>5.1664154210598019</v>
      </c>
      <c r="BT16" s="87">
        <f>VLOOKUP($B16,Raw_Data[#All],BT$2,0)/BT$1</f>
        <v>5.1667787092692192</v>
      </c>
      <c r="BU16" s="87">
        <f>VLOOKUP($B16,Raw_Data[#All],BU$2,0)/BU$1</f>
        <v>5.1634132539622417</v>
      </c>
      <c r="BV16" s="87">
        <f>VLOOKUP($B16,Raw_Data[#All],BV$2,0)/BV$1</f>
        <v>5.1066934718494563</v>
      </c>
      <c r="BW16" s="87">
        <f>VLOOKUP($B16,Raw_Data[#All],BW$2,0)/BW$1</f>
        <v>5.201565883724804</v>
      </c>
      <c r="BX16" s="87">
        <f>VLOOKUP($B16,Raw_Data[#All],BX$2,0)/BX$1</f>
        <v>5.1363064382841257</v>
      </c>
      <c r="BY16" s="87">
        <f>VLOOKUP($B16,Raw_Data[#All],BY$2,0)/BY$1</f>
        <v>5.2446836546453408</v>
      </c>
      <c r="BZ16" s="87">
        <f>VLOOKUP($B16,Raw_Data[#All],BZ$2,0)/BZ$1</f>
        <v>5.1424947976672115</v>
      </c>
      <c r="CA16" s="87">
        <f>VLOOKUP($B16,Raw_Data[#All],CA$2,0)/CA$1</f>
        <v>5.1923433444568046</v>
      </c>
      <c r="CB16" s="87">
        <f>VLOOKUP($B16,Raw_Data[#All],CB$2,0)/CB$1</f>
        <v>5.249574286930609</v>
      </c>
      <c r="CC16" s="87">
        <f>VLOOKUP($B16,Raw_Data[#All],CC$2,0)/CC$1</f>
        <v>5.2249184049950337</v>
      </c>
      <c r="CD16" s="87">
        <f>VLOOKUP($B16,Raw_Data[#All],CD$2,0)/CD$1</f>
        <v>5.171424459914018</v>
      </c>
      <c r="CE16" s="87">
        <f>VLOOKUP($B16,Raw_Data[#All],CE$2,0)/CE$1</f>
        <v>5.1462650268902248</v>
      </c>
      <c r="CF16" s="87">
        <f>VLOOKUP($B16,Raw_Data[#All],CF$2,0)/CF$1</f>
        <v>5.1376334736262264</v>
      </c>
      <c r="CG16" s="87">
        <f>VLOOKUP($B16,Raw_Data[#All],CG$2,0)/CG$1</f>
        <v>5.1229649818703908</v>
      </c>
      <c r="CH16" s="87">
        <f>VLOOKUP($B16,Raw_Data[#All],CH$2,0)/CH$1</f>
        <v>5.1433705929909657</v>
      </c>
      <c r="CI16" s="87">
        <f>VLOOKUP($B16,Raw_Data[#All],CI$2,0)/CI$1</f>
        <v>5.1449304017715916</v>
      </c>
      <c r="CJ16" s="87">
        <f>VLOOKUP($B16,Raw_Data[#All],CJ$2,0)/CJ$1</f>
        <v>5.1053830882723767</v>
      </c>
      <c r="CK16" s="87">
        <f>VLOOKUP($B16,Raw_Data[#All],CK$2,0)/CK$1</f>
        <v>5.1546682220816198</v>
      </c>
      <c r="CL16" s="87">
        <f>VLOOKUP($B16,Raw_Data[#All],CL$2,0)/CL$1</f>
        <v>5.1184653674624085</v>
      </c>
      <c r="CM16" s="87">
        <f>VLOOKUP($B16,Raw_Data[#All],CM$2,0)/CM$1</f>
        <v>5.2496351030833788</v>
      </c>
      <c r="CN16" s="87">
        <f>VLOOKUP($B16,Raw_Data[#All],CN$2,0)/CN$1</f>
        <v>5.1553696191120126</v>
      </c>
      <c r="CO16" s="87">
        <f>VLOOKUP($B16,Raw_Data[#All],CO$2,0)/CO$1</f>
        <v>5.2358587731224002</v>
      </c>
      <c r="CP16" s="87">
        <f>VLOOKUP($B16,Raw_Data[#All],CP$2,0)/CP$1</f>
        <v>5.2750727259826879</v>
      </c>
      <c r="CQ16" s="87">
        <f>VLOOKUP($B16,Raw_Data[#All],CQ$2,0)/CQ$1</f>
        <v>5.2527823389892356</v>
      </c>
      <c r="CR16" s="87">
        <f>VLOOKUP($B16,Raw_Data[#All],CR$2,0)/CR$1</f>
        <v>5.2874560983397192</v>
      </c>
      <c r="CS16" s="87">
        <f>VLOOKUP($B16,Raw_Data[#All],CS$2,0)/CS$1</f>
        <v>5.228438298212005</v>
      </c>
      <c r="CT16" s="87">
        <f>VLOOKUP($B16,Raw_Data[#All],CT$2,0)/CT$1</f>
        <v>5.2699654900682047</v>
      </c>
      <c r="CU16" s="87">
        <f>VLOOKUP($B16,Raw_Data[#All],CU$2,0)/CU$1</f>
        <v>5.2954789272030647</v>
      </c>
      <c r="CV16" s="87">
        <f>VLOOKUP($B16,Raw_Data[#All],CV$2,0)/CV$1</f>
        <v>5.2680027507613714</v>
      </c>
      <c r="CW16" s="87">
        <f>VLOOKUP($B16,Raw_Data[#All],CW$2,0)/CW$1</f>
        <v>5.2599826737757773</v>
      </c>
      <c r="CX16" s="87">
        <f>VLOOKUP($B16,Raw_Data[#All],CX$2,0)/CX$1</f>
        <v>5.2560973097680552</v>
      </c>
      <c r="CY16" s="87">
        <f>VLOOKUP($B16,Raw_Data[#All],CY$2,0)/CY$1</f>
        <v>5.1637664963814389</v>
      </c>
      <c r="CZ16" s="87">
        <f>VLOOKUP($B16,Raw_Data[#All],CZ$2,0)/CZ$1</f>
        <v>5.2468792485477698</v>
      </c>
      <c r="DA16" s="87">
        <f>VLOOKUP($B16,Raw_Data[#All],DA$2,0)/DA$1</f>
        <v>5.2039317642765921</v>
      </c>
      <c r="DB16" s="87">
        <f>VLOOKUP($B16,Raw_Data[#All],DB$2,0)/DB$1</f>
        <v>5.2169141123882508</v>
      </c>
      <c r="DC16" s="87">
        <f>VLOOKUP($B16,Raw_Data[#All],DC$2,0)/DC$1</f>
        <v>5.1843757307574698</v>
      </c>
      <c r="DD16" s="87">
        <f>VLOOKUP($B16,Raw_Data[#All],DD$2,0)/DD$1</f>
        <v>5.1837196156020351</v>
      </c>
      <c r="DE16" s="87">
        <f>VLOOKUP($B16,Raw_Data[#All],DE$2,0)/DE$1</f>
        <v>5.1943140323422021</v>
      </c>
      <c r="DF16" s="87">
        <f>VLOOKUP($B16,Raw_Data[#All],DF$2,0)/DF$1</f>
        <v>5.1580459770114944</v>
      </c>
      <c r="DG16" s="87">
        <f>VLOOKUP($B16,Raw_Data[#All],DG$2,0)/DG$1</f>
        <v>5.167898193760263</v>
      </c>
      <c r="DH16" s="87">
        <f>VLOOKUP($B16,Raw_Data[#All],DH$2,0)/DH$1</f>
        <v>5.1298591155810991</v>
      </c>
      <c r="DI16" s="87">
        <f>VLOOKUP($B16,Raw_Data[#All],DI$2,0)/DI$1</f>
        <v>5.2042966611932124</v>
      </c>
      <c r="DJ16" s="87">
        <f>VLOOKUP($B16,Raw_Data[#All],DJ$2,0)/DJ$1</f>
        <v>5.2265425446998721</v>
      </c>
      <c r="DK16" s="87">
        <f>VLOOKUP($B16,Raw_Data[#All],DK$2,0)/DK$1</f>
        <v>5.1105592580391752</v>
      </c>
      <c r="DL16" s="87">
        <f>VLOOKUP($B16,Raw_Data[#All],DL$2,0)/DL$1</f>
        <v>5.1843185550082103</v>
      </c>
      <c r="DM16" s="87">
        <f>VLOOKUP($B16,Raw_Data[#All],DM$2,0)/DM$1</f>
        <v>5.1627354725415069</v>
      </c>
      <c r="DN16" s="87">
        <f>VLOOKUP($B16,Raw_Data[#All],DN$2,0)/DN$1</f>
        <v>5.2236023565278291</v>
      </c>
      <c r="DO16" s="87">
        <f>VLOOKUP($B16,Raw_Data[#All],DO$2,0)/DO$1</f>
        <v>5.2154832749110085</v>
      </c>
      <c r="DP16" s="87">
        <f>VLOOKUP($B16,Raw_Data[#All],DP$2,0)/DP$1</f>
        <v>5.1820373068551797</v>
      </c>
      <c r="DQ16" s="87">
        <f>VLOOKUP($B16,Raw_Data[#All],DQ$2,0)/DQ$1</f>
        <v>5.1713191023535847</v>
      </c>
      <c r="DR16" s="87">
        <f>VLOOKUP($B16,Raw_Data[#All],DR$2,0)/DR$1</f>
        <v>5.1518598339719022</v>
      </c>
      <c r="DS16" s="87">
        <f>VLOOKUP($B16,Raw_Data[#All],DS$2,0)/DS$1</f>
        <v>5.1482200996528347</v>
      </c>
      <c r="DT16" s="87">
        <f>VLOOKUP($B16,Raw_Data[#All],DT$2,0)/DT$1</f>
        <v>5.1509760992519613</v>
      </c>
      <c r="DU16" s="87">
        <f>VLOOKUP($B16,Raw_Data[#All],DU$2,0)/DU$1</f>
        <v>5.2419051911952517</v>
      </c>
      <c r="DV16" s="87">
        <f>VLOOKUP($B16,Raw_Data[#All],DV$2,0)/DV$1</f>
        <v>5.2167589044983682</v>
      </c>
      <c r="DW16" s="87">
        <f>VLOOKUP($B16,Raw_Data[#All],DW$2,0)/DW$1</f>
        <v>5.20272202207354</v>
      </c>
      <c r="DX16" s="87">
        <f>VLOOKUP($B16,Raw_Data[#All],DX$2,0)/DX$1</f>
        <v>5.1678680433794399</v>
      </c>
      <c r="DY16" s="87">
        <f>VLOOKUP($B16,Raw_Data[#All],DY$2,0)/DY$1</f>
        <v>5.1388194791493138</v>
      </c>
      <c r="DZ16" s="87">
        <f>VLOOKUP($B16,Raw_Data[#All],DZ$2,0)/DZ$1</f>
        <v>5.1618723266232847</v>
      </c>
      <c r="EA16" s="87">
        <f>VLOOKUP($B16,Raw_Data[#All],EA$2,0)/EA$1</f>
        <v>5.2148188058748399</v>
      </c>
      <c r="EB16" s="87">
        <f>VLOOKUP($B16,Raw_Data[#All],EB$2,0)/EB$1</f>
        <v>5.2565752713920819</v>
      </c>
      <c r="EC16" s="87">
        <f>VLOOKUP($B16,Raw_Data[#All],EC$2,0)/EC$1</f>
        <v>5.1706036745406827</v>
      </c>
      <c r="ED16" s="87">
        <f>VLOOKUP($B16,Raw_Data[#All],ED$2,0)/ED$1</f>
        <v>5.1653314756763029</v>
      </c>
      <c r="EE16" s="87">
        <f>VLOOKUP($B16,Raw_Data[#All],EE$2,0)/EE$1</f>
        <v>5.2273510511058401</v>
      </c>
      <c r="EF16" s="87">
        <f>VLOOKUP($B16,Raw_Data[#All],EF$2,0)/EF$1</f>
        <v>5.1871237000547339</v>
      </c>
      <c r="EG16" s="87">
        <f>VLOOKUP($B16,Raw_Data[#All],EG$2,0)/EG$1</f>
        <v>5.0454481960408684</v>
      </c>
      <c r="EH16" s="87">
        <f>VLOOKUP($B16,Raw_Data[#All],EH$2,0)/EH$1</f>
        <v>5.1155411877394634</v>
      </c>
      <c r="EI16" s="87">
        <f>VLOOKUP($B16,Raw_Data[#All],EI$2,0)/EI$1</f>
        <v>5.343186817085285</v>
      </c>
      <c r="EJ16" s="87">
        <f>VLOOKUP($B16,Raw_Data[#All],EJ$2,0)/EJ$1</f>
        <v>5.3752111399497382</v>
      </c>
      <c r="EK16" s="87">
        <f>VLOOKUP($B16,Raw_Data[#All],EK$2,0)/EK$1</f>
        <v>5.3829643820065272</v>
      </c>
      <c r="EL16" s="87">
        <f>VLOOKUP($B16,Raw_Data[#All],EL$2,0)/EL$1</f>
        <v>5.4178576496584157</v>
      </c>
      <c r="EM16" s="87">
        <f>VLOOKUP($B16,Raw_Data[#All],EM$2,0)/EM$1</f>
        <v>5.3882233374705448</v>
      </c>
      <c r="EN16" s="87">
        <f>VLOOKUP($B16,Raw_Data[#All],EN$2,0)/EN$1</f>
        <v>5.3410772567860683</v>
      </c>
      <c r="EO16" s="87">
        <f>VLOOKUP($B16,Raw_Data[#All],EO$2,0)/EO$1</f>
        <v>5.3390904374201789</v>
      </c>
      <c r="EP16" s="87">
        <f>VLOOKUP($B16,Raw_Data[#All],EP$2,0)/EP$1</f>
        <v>5.2099297573435503</v>
      </c>
      <c r="EQ16" s="87">
        <f>VLOOKUP($B16,Raw_Data[#All],EQ$2,0)/EQ$1</f>
        <v>5.3488996242619429</v>
      </c>
      <c r="ER16" s="87">
        <f>VLOOKUP($B16,Raw_Data[#All],ER$2,0)/ER$1</f>
        <v>5.3480647793387259</v>
      </c>
      <c r="ES16" s="87">
        <f>VLOOKUP($B16,Raw_Data[#All],ES$2,0)/ES$1</f>
        <v>5.3484251614411891</v>
      </c>
      <c r="ET16" s="87">
        <f>VLOOKUP($B16,Raw_Data[#All],ET$2,0)/ET$1</f>
        <v>5.3372277085244546</v>
      </c>
      <c r="EU16" s="87">
        <f>VLOOKUP($B16,Raw_Data[#All],EU$2,0)/EU$1</f>
        <v>5.3524724335797673</v>
      </c>
      <c r="EV16" s="87">
        <f>VLOOKUP($B16,Raw_Data[#All],EV$2,0)/EV$1</f>
        <v>5.3025223499361429</v>
      </c>
      <c r="EW16" s="87">
        <f>VLOOKUP($B16,Raw_Data[#All],EW$2,0)/EW$1</f>
        <v>5.3896272349936138</v>
      </c>
      <c r="EX16" s="87">
        <f>VLOOKUP($B16,Raw_Data[#All],EX$2,0)/EX$1</f>
        <v>5.3884032162322599</v>
      </c>
      <c r="EY16" s="87">
        <f>VLOOKUP($B16,Raw_Data[#All],EY$2,0)/EY$1</f>
        <v>5.3454527592458625</v>
      </c>
      <c r="EZ16" s="87">
        <f>VLOOKUP($B16,Raw_Data[#All],EZ$2,0)/EZ$1</f>
        <v>5.319329147154817</v>
      </c>
      <c r="FA16" s="87">
        <f>VLOOKUP($B16,Raw_Data[#All],FA$2,0)/FA$1</f>
        <v>5.3466900808854829</v>
      </c>
      <c r="FB16" s="87">
        <f>VLOOKUP($B16,Raw_Data[#All],FB$2,0)/FB$1</f>
        <v>5.3191517667092381</v>
      </c>
      <c r="FC16" s="87">
        <f>VLOOKUP($B16,Raw_Data[#All],FC$2,0)/FC$1</f>
        <v>5.3245618702994184</v>
      </c>
      <c r="FD16" s="87">
        <f>VLOOKUP($B16,Raw_Data[#All],FD$2,0)/FD$1</f>
        <v>5.3233756385696038</v>
      </c>
      <c r="FE16" s="87">
        <f>VLOOKUP($B16,Raw_Data[#All],FE$2,0)/FE$1</f>
        <v>5.2897509578544062</v>
      </c>
      <c r="FF16" s="87">
        <f>VLOOKUP($B16,Raw_Data[#All],FF$2,0)/FF$1</f>
        <v>5.3499660759897827</v>
      </c>
      <c r="FG16" s="105">
        <f>VLOOKUP($B16,Raw_Data[#All],FG$2,0)/FG$1</f>
        <v>5.2474232547989024</v>
      </c>
    </row>
    <row r="17" spans="2:163">
      <c r="B17" s="104">
        <f t="shared" si="0"/>
        <v>45840</v>
      </c>
      <c r="C17" s="87">
        <f>VLOOKUP($B17,Raw_Data[#All],C$2,0)/C$1</f>
        <v>3.0797544183828571</v>
      </c>
      <c r="D17" s="87">
        <f>VLOOKUP($B17,Raw_Data[#All],D$2,0)/D$1</f>
        <v>3.1263124159934179</v>
      </c>
      <c r="E17" s="87">
        <f>VLOOKUP($B17,Raw_Data[#All],E$2,0)/E$1</f>
        <v>3.119998469346267</v>
      </c>
      <c r="F17" s="87">
        <f>VLOOKUP($B17,Raw_Data[#All],F$2,0)/F$1</f>
        <v>3.1141572071107304</v>
      </c>
      <c r="G17" s="87">
        <f>VLOOKUP($B17,Raw_Data[#All],G$2,0)/G$1</f>
        <v>3.1528118587397937</v>
      </c>
      <c r="H17" s="87">
        <f>VLOOKUP($B17,Raw_Data[#All],H$2,0)/H$1</f>
        <v>3.1607042920487323</v>
      </c>
      <c r="I17" s="87">
        <f>VLOOKUP($B17,Raw_Data[#All],I$2,0)/I$1</f>
        <v>3.1679270643496391</v>
      </c>
      <c r="J17" s="87">
        <f>VLOOKUP($B17,Raw_Data[#All],J$2,0)/J$1</f>
        <v>3.1060464480251615</v>
      </c>
      <c r="K17" s="87">
        <f>VLOOKUP($B17,Raw_Data[#All],K$2,0)/K$1</f>
        <v>3.1433887716982123</v>
      </c>
      <c r="L17" s="87">
        <f>VLOOKUP($B17,Raw_Data[#All],L$2,0)/L$1</f>
        <v>3.1205998809310058</v>
      </c>
      <c r="M17" s="87">
        <f>VLOOKUP($B17,Raw_Data[#All],M$2,0)/M$1</f>
        <v>3.1335615314793142</v>
      </c>
      <c r="N17" s="87">
        <f>VLOOKUP($B17,Raw_Data[#All],N$2,0)/N$1</f>
        <v>3.1223422828743765</v>
      </c>
      <c r="O17" s="87">
        <f>VLOOKUP($B17,Raw_Data[#All],O$2,0)/O$1</f>
        <v>3.1458098664712764</v>
      </c>
      <c r="P17" s="87">
        <f>VLOOKUP($B17,Raw_Data[#All],P$2,0)/P$1</f>
        <v>3.1123452006830541</v>
      </c>
      <c r="Q17" s="87">
        <f>VLOOKUP($B17,Raw_Data[#All],Q$2,0)/Q$1</f>
        <v>3.1515682025820211</v>
      </c>
      <c r="R17" s="87">
        <f>VLOOKUP($B17,Raw_Data[#All],R$2,0)/R$1</f>
        <v>3.1617087835607784</v>
      </c>
      <c r="S17" s="87">
        <f>VLOOKUP($B17,Raw_Data[#All],S$2,0)/S$1</f>
        <v>3.1382706482796885</v>
      </c>
      <c r="T17" s="87">
        <f>VLOOKUP($B17,Raw_Data[#All],T$2,0)/T$1</f>
        <v>3.1227249463075366</v>
      </c>
      <c r="U17" s="87">
        <f>VLOOKUP($B17,Raw_Data[#All],U$2,0)/U$1</f>
        <v>3.132291532136553</v>
      </c>
      <c r="V17" s="87">
        <f>VLOOKUP($B17,Raw_Data[#All],V$2,0)/V$1</f>
        <v>3.1480285658252853</v>
      </c>
      <c r="W17" s="87">
        <f>VLOOKUP($B17,Raw_Data[#All],W$2,0)/W$1</f>
        <v>3.1197874486736854</v>
      </c>
      <c r="X17" s="87">
        <f>VLOOKUP($B17,Raw_Data[#All],X$2,0)/X$1</f>
        <v>3.0930419563880611</v>
      </c>
      <c r="Y17" s="87">
        <f>VLOOKUP($B17,Raw_Data[#All],Y$2,0)/Y$1</f>
        <v>3.1180464620010668</v>
      </c>
      <c r="Z17" s="87">
        <f>VLOOKUP($B17,Raw_Data[#All],Z$2,0)/Z$1</f>
        <v>3.1086685823754787</v>
      </c>
      <c r="AA17" s="87">
        <f>VLOOKUP($B17,Raw_Data[#All],AA$2,0)/AA$1</f>
        <v>3.0539750957854404</v>
      </c>
      <c r="AB17" s="87">
        <f>VLOOKUP($B17,Raw_Data[#All],AB$2,0)/AB$1</f>
        <v>3.0062597809076683</v>
      </c>
      <c r="AC17" s="87">
        <f>VLOOKUP($B17,Raw_Data[#All],AC$2,0)/AC$1</f>
        <v>3.0079233148156042</v>
      </c>
      <c r="AD17" s="87">
        <f>VLOOKUP($B17,Raw_Data[#All],AD$2,0)/AD$1</f>
        <v>3.005865380067168</v>
      </c>
      <c r="AE17" s="87">
        <f>VLOOKUP($B17,Raw_Data[#All],AE$2,0)/AE$1</f>
        <v>3.1197199754032447</v>
      </c>
      <c r="AF17" s="87">
        <f>VLOOKUP($B17,Raw_Data[#All],AF$2,0)/AF$1</f>
        <v>3.140948275862069</v>
      </c>
      <c r="AG17" s="87">
        <f>VLOOKUP($B17,Raw_Data[#All],AG$2,0)/AG$1</f>
        <v>3.1268732722246471</v>
      </c>
      <c r="AH17" s="87">
        <f>VLOOKUP($B17,Raw_Data[#All],AH$2,0)/AH$1</f>
        <v>3.1146114185705502</v>
      </c>
      <c r="AI17" s="87">
        <f>VLOOKUP($B17,Raw_Data[#All],AI$2,0)/AI$1</f>
        <v>3.1394186385791705</v>
      </c>
      <c r="AJ17" s="87">
        <f>VLOOKUP($B17,Raw_Data[#All],AJ$2,0)/AJ$1</f>
        <v>3.1406144618077976</v>
      </c>
      <c r="AK17" s="87">
        <f>VLOOKUP($B17,Raw_Data[#All],AK$2,0)/AK$1</f>
        <v>3.1750541707922566</v>
      </c>
      <c r="AL17" s="87">
        <f>VLOOKUP($B17,Raw_Data[#All],AL$2,0)/AL$1</f>
        <v>3.1338221858691959</v>
      </c>
      <c r="AM17" s="87">
        <f>VLOOKUP($B17,Raw_Data[#All],AM$2,0)/AM$1</f>
        <v>3.1623784445688101</v>
      </c>
      <c r="AN17" s="87">
        <f>VLOOKUP($B17,Raw_Data[#All],AN$2,0)/AN$1</f>
        <v>3.1012001281922497</v>
      </c>
      <c r="AO17" s="87">
        <f>VLOOKUP($B17,Raw_Data[#All],AO$2,0)/AO$1</f>
        <v>3.1262645830642728</v>
      </c>
      <c r="AP17" s="87">
        <f>VLOOKUP($B17,Raw_Data[#All],AP$2,0)/AP$1</f>
        <v>3.1037831063660843</v>
      </c>
      <c r="AQ17" s="87">
        <f>VLOOKUP($B17,Raw_Data[#All],AQ$2,0)/AQ$1</f>
        <v>3.1747950012532677</v>
      </c>
      <c r="AR17" s="87">
        <f>VLOOKUP($B17,Raw_Data[#All],AR$2,0)/AR$1</f>
        <v>3.1626554459691247</v>
      </c>
      <c r="AS17" s="87">
        <f>VLOOKUP($B17,Raw_Data[#All],AS$2,0)/AS$1</f>
        <v>3.1930480725150123</v>
      </c>
      <c r="AT17" s="87">
        <f>VLOOKUP($B17,Raw_Data[#All],AT$2,0)/AT$1</f>
        <v>3.1759620236771475</v>
      </c>
      <c r="AU17" s="87">
        <f>VLOOKUP($B17,Raw_Data[#All],AU$2,0)/AU$1</f>
        <v>2.9632276617829736</v>
      </c>
      <c r="AV17" s="87">
        <f>VLOOKUP($B17,Raw_Data[#All],AV$2,0)/AV$1</f>
        <v>3.073648361004683</v>
      </c>
      <c r="AW17" s="87">
        <f>VLOOKUP($B17,Raw_Data[#All],AW$2,0)/AW$1</f>
        <v>3.1925936253367451</v>
      </c>
      <c r="AX17" s="87">
        <f>VLOOKUP($B17,Raw_Data[#All],AX$2,0)/AX$1</f>
        <v>3.1921169477566513</v>
      </c>
      <c r="AY17" s="87">
        <f>VLOOKUP($B17,Raw_Data[#All],AY$2,0)/AY$1</f>
        <v>2.9830871973069826</v>
      </c>
      <c r="AZ17" s="87">
        <f>VLOOKUP($B17,Raw_Data[#All],AZ$2,0)/AZ$1</f>
        <v>3.0456071755048102</v>
      </c>
      <c r="BA17" s="87">
        <f>VLOOKUP($B17,Raw_Data[#All],BA$2,0)/BA$1</f>
        <v>3.0746893382181577</v>
      </c>
      <c r="BB17" s="87">
        <f>VLOOKUP($B17,Raw_Data[#All],BB$2,0)/BB$1</f>
        <v>3.090527219029374</v>
      </c>
      <c r="BC17" s="87">
        <f>VLOOKUP($B17,Raw_Data[#All],BC$2,0)/BC$1</f>
        <v>3.069181371755437</v>
      </c>
      <c r="BD17" s="87">
        <f>VLOOKUP($B17,Raw_Data[#All],BD$2,0)/BD$1</f>
        <v>3.1028729626166509</v>
      </c>
      <c r="BE17" s="87">
        <f>VLOOKUP($B17,Raw_Data[#All],BE$2,0)/BE$1</f>
        <v>3.0511485258935478</v>
      </c>
      <c r="BF17" s="87">
        <f>VLOOKUP($B17,Raw_Data[#All],BF$2,0)/BF$1</f>
        <v>3.0355442146309906</v>
      </c>
      <c r="BG17" s="87">
        <f>VLOOKUP($B17,Raw_Data[#All],BG$2,0)/BG$1</f>
        <v>3.0175961402015039</v>
      </c>
      <c r="BH17" s="87">
        <f>VLOOKUP($B17,Raw_Data[#All],BH$2,0)/BH$1</f>
        <v>3.0406369449190609</v>
      </c>
      <c r="BI17" s="87">
        <f>VLOOKUP($B17,Raw_Data[#All],BI$2,0)/BI$1</f>
        <v>3.0380709116341302</v>
      </c>
      <c r="BJ17" s="87">
        <f>VLOOKUP($B17,Raw_Data[#All],BJ$2,0)/BJ$1</f>
        <v>3.0636475673358579</v>
      </c>
      <c r="BK17" s="87">
        <f>VLOOKUP($B17,Raw_Data[#All],BK$2,0)/BK$1</f>
        <v>3.0405356789523865</v>
      </c>
      <c r="BL17" s="87">
        <f>VLOOKUP($B17,Raw_Data[#All],BL$2,0)/BL$1</f>
        <v>3.0333069796671328</v>
      </c>
      <c r="BM17" s="87">
        <f>VLOOKUP($B17,Raw_Data[#All],BM$2,0)/BM$1</f>
        <v>2.9962141944900562</v>
      </c>
      <c r="BN17" s="87">
        <f>VLOOKUP($B17,Raw_Data[#All],BN$2,0)/BN$1</f>
        <v>2.9837643678160921</v>
      </c>
      <c r="BO17" s="87">
        <f>VLOOKUP($B17,Raw_Data[#All],BO$2,0)/BO$1</f>
        <v>3.0195545808526378</v>
      </c>
      <c r="BP17" s="87">
        <f>VLOOKUP($B17,Raw_Data[#All],BP$2,0)/BP$1</f>
        <v>3.0016119070215872</v>
      </c>
      <c r="BQ17" s="87">
        <f>VLOOKUP($B17,Raw_Data[#All],BQ$2,0)/BQ$1</f>
        <v>3.0055683339953805</v>
      </c>
      <c r="BR17" s="87">
        <f>VLOOKUP($B17,Raw_Data[#All],BR$2,0)/BR$1</f>
        <v>2.9920911104080989</v>
      </c>
      <c r="BS17" s="87">
        <f>VLOOKUP($B17,Raw_Data[#All],BS$2,0)/BS$1</f>
        <v>2.9995209486096521</v>
      </c>
      <c r="BT17" s="87">
        <f>VLOOKUP($B17,Raw_Data[#All],BT$2,0)/BT$1</f>
        <v>3.0107165453970266</v>
      </c>
      <c r="BU17" s="87">
        <f>VLOOKUP($B17,Raw_Data[#All],BU$2,0)/BU$1</f>
        <v>2.9884908947516164</v>
      </c>
      <c r="BV17" s="87">
        <f>VLOOKUP($B17,Raw_Data[#All],BV$2,0)/BV$1</f>
        <v>2.9757324652263981</v>
      </c>
      <c r="BW17" s="87">
        <f>VLOOKUP($B17,Raw_Data[#All],BW$2,0)/BW$1</f>
        <v>3.0275602939271109</v>
      </c>
      <c r="BX17" s="87">
        <f>VLOOKUP($B17,Raw_Data[#All],BX$2,0)/BX$1</f>
        <v>2.9887405153632334</v>
      </c>
      <c r="BY17" s="87">
        <f>VLOOKUP($B17,Raw_Data[#All],BY$2,0)/BY$1</f>
        <v>3.0401487968537775</v>
      </c>
      <c r="BZ17" s="87">
        <f>VLOOKUP($B17,Raw_Data[#All],BZ$2,0)/BZ$1</f>
        <v>3.0058319713492123</v>
      </c>
      <c r="CA17" s="87">
        <f>VLOOKUP($B17,Raw_Data[#All],CA$2,0)/CA$1</f>
        <v>3.0242965434845304</v>
      </c>
      <c r="CB17" s="87">
        <f>VLOOKUP($B17,Raw_Data[#All],CB$2,0)/CB$1</f>
        <v>3.0550677593302114</v>
      </c>
      <c r="CC17" s="87">
        <f>VLOOKUP($B17,Raw_Data[#All],CC$2,0)/CC$1</f>
        <v>3.0369559488333433</v>
      </c>
      <c r="CD17" s="87">
        <f>VLOOKUP($B17,Raw_Data[#All],CD$2,0)/CD$1</f>
        <v>3.0326659831273726</v>
      </c>
      <c r="CE17" s="87">
        <f>VLOOKUP($B17,Raw_Data[#All],CE$2,0)/CE$1</f>
        <v>3.0094807813982918</v>
      </c>
      <c r="CF17" s="87">
        <f>VLOOKUP($B17,Raw_Data[#All],CF$2,0)/CF$1</f>
        <v>3.0151211306590429</v>
      </c>
      <c r="CG17" s="87">
        <f>VLOOKUP($B17,Raw_Data[#All],CG$2,0)/CG$1</f>
        <v>3.0102450539021244</v>
      </c>
      <c r="CH17" s="87">
        <f>VLOOKUP($B17,Raw_Data[#All],CH$2,0)/CH$1</f>
        <v>2.9851224999121233</v>
      </c>
      <c r="CI17" s="87">
        <f>VLOOKUP($B17,Raw_Data[#All],CI$2,0)/CI$1</f>
        <v>3.0091347674786464</v>
      </c>
      <c r="CJ17" s="87">
        <f>VLOOKUP($B17,Raw_Data[#All],CJ$2,0)/CJ$1</f>
        <v>2.9924487297635585</v>
      </c>
      <c r="CK17" s="87">
        <f>VLOOKUP($B17,Raw_Data[#All],CK$2,0)/CK$1</f>
        <v>3.0174391015501421</v>
      </c>
      <c r="CL17" s="87">
        <f>VLOOKUP($B17,Raw_Data[#All],CL$2,0)/CL$1</f>
        <v>2.9987149804167497</v>
      </c>
      <c r="CM17" s="87">
        <f>VLOOKUP($B17,Raw_Data[#All],CM$2,0)/CM$1</f>
        <v>3.0669129720853854</v>
      </c>
      <c r="CN17" s="87">
        <f>VLOOKUP($B17,Raw_Data[#All],CN$2,0)/CN$1</f>
        <v>3.026960784313725</v>
      </c>
      <c r="CO17" s="87">
        <f>VLOOKUP($B17,Raw_Data[#All],CO$2,0)/CO$1</f>
        <v>3.0497363325505709</v>
      </c>
      <c r="CP17" s="87">
        <f>VLOOKUP($B17,Raw_Data[#All],CP$2,0)/CP$1</f>
        <v>3.0713424152121469</v>
      </c>
      <c r="CQ17" s="87">
        <f>VLOOKUP($B17,Raw_Data[#All],CQ$2,0)/CQ$1</f>
        <v>3.0597518700966977</v>
      </c>
      <c r="CR17" s="87">
        <f>VLOOKUP($B17,Raw_Data[#All],CR$2,0)/CR$1</f>
        <v>3.0829940932311621</v>
      </c>
      <c r="CS17" s="87">
        <f>VLOOKUP($B17,Raw_Data[#All],CS$2,0)/CS$1</f>
        <v>3.0496188537675604</v>
      </c>
      <c r="CT17" s="87">
        <f>VLOOKUP($B17,Raw_Data[#All],CT$2,0)/CT$1</f>
        <v>3.0749617311123791</v>
      </c>
      <c r="CU17" s="87">
        <f>VLOOKUP($B17,Raw_Data[#All],CU$2,0)/CU$1</f>
        <v>3.0959386973180076</v>
      </c>
      <c r="CV17" s="87">
        <f>VLOOKUP($B17,Raw_Data[#All],CV$2,0)/CV$1</f>
        <v>3.0813930641516851</v>
      </c>
      <c r="CW17" s="87">
        <f>VLOOKUP($B17,Raw_Data[#All],CW$2,0)/CW$1</f>
        <v>3.0841125668711875</v>
      </c>
      <c r="CX17" s="87">
        <f>VLOOKUP($B17,Raw_Data[#All],CX$2,0)/CX$1</f>
        <v>3.0857331191035309</v>
      </c>
      <c r="CY17" s="87">
        <f>VLOOKUP($B17,Raw_Data[#All],CY$2,0)/CY$1</f>
        <v>3.0213654746700724</v>
      </c>
      <c r="CZ17" s="87">
        <f>VLOOKUP($B17,Raw_Data[#All],CZ$2,0)/CZ$1</f>
        <v>3.0764120627858111</v>
      </c>
      <c r="DA17" s="87">
        <f>VLOOKUP($B17,Raw_Data[#All],DA$2,0)/DA$1</f>
        <v>3.0540047436599163</v>
      </c>
      <c r="DB17" s="87">
        <f>VLOOKUP($B17,Raw_Data[#All],DB$2,0)/DB$1</f>
        <v>3.056154214559387</v>
      </c>
      <c r="DC17" s="87">
        <f>VLOOKUP($B17,Raw_Data[#All],DC$2,0)/DC$1</f>
        <v>3.050878707750976</v>
      </c>
      <c r="DD17" s="87">
        <f>VLOOKUP($B17,Raw_Data[#All],DD$2,0)/DD$1</f>
        <v>3.0419466951405898</v>
      </c>
      <c r="DE17" s="87">
        <f>VLOOKUP($B17,Raw_Data[#All],DE$2,0)/DE$1</f>
        <v>3.0594229489324198</v>
      </c>
      <c r="DF17" s="87">
        <f>VLOOKUP($B17,Raw_Data[#All],DF$2,0)/DF$1</f>
        <v>3.0339040549169858</v>
      </c>
      <c r="DG17" s="87">
        <f>VLOOKUP($B17,Raw_Data[#All],DG$2,0)/DG$1</f>
        <v>3.0485312899106001</v>
      </c>
      <c r="DH17" s="87">
        <f>VLOOKUP($B17,Raw_Data[#All],DH$2,0)/DH$1</f>
        <v>3.0247745051085571</v>
      </c>
      <c r="DI17" s="87">
        <f>VLOOKUP($B17,Raw_Data[#All],DI$2,0)/DI$1</f>
        <v>3.0787721218755699</v>
      </c>
      <c r="DJ17" s="87">
        <f>VLOOKUP($B17,Raw_Data[#All],DJ$2,0)/DJ$1</f>
        <v>3.0473239942528738</v>
      </c>
      <c r="DK17" s="87">
        <f>VLOOKUP($B17,Raw_Data[#All],DK$2,0)/DK$1</f>
        <v>3.0173073511897219</v>
      </c>
      <c r="DL17" s="87">
        <f>VLOOKUP($B17,Raw_Data[#All],DL$2,0)/DL$1</f>
        <v>3.0502189381499725</v>
      </c>
      <c r="DM17" s="87">
        <f>VLOOKUP($B17,Raw_Data[#All],DM$2,0)/DM$1</f>
        <v>3.0399405332056193</v>
      </c>
      <c r="DN17" s="87">
        <f>VLOOKUP($B17,Raw_Data[#All],DN$2,0)/DN$1</f>
        <v>3.0697688790013595</v>
      </c>
      <c r="DO17" s="87">
        <f>VLOOKUP($B17,Raw_Data[#All],DO$2,0)/DO$1</f>
        <v>3.0768638533373185</v>
      </c>
      <c r="DP17" s="87">
        <f>VLOOKUP($B17,Raw_Data[#All],DP$2,0)/DP$1</f>
        <v>3.0515982227978342</v>
      </c>
      <c r="DQ17" s="87">
        <f>VLOOKUP($B17,Raw_Data[#All],DQ$2,0)/DQ$1</f>
        <v>3.0537766830870279</v>
      </c>
      <c r="DR17" s="87">
        <f>VLOOKUP($B17,Raw_Data[#All],DR$2,0)/DR$1</f>
        <v>3.0296635536398466</v>
      </c>
      <c r="DS17" s="87">
        <f>VLOOKUP($B17,Raw_Data[#All],DS$2,0)/DS$1</f>
        <v>3.0392765276203839</v>
      </c>
      <c r="DT17" s="87">
        <f>VLOOKUP($B17,Raw_Data[#All],DT$2,0)/DT$1</f>
        <v>3.0417705609276489</v>
      </c>
      <c r="DU17" s="87">
        <f>VLOOKUP($B17,Raw_Data[#All],DU$2,0)/DU$1</f>
        <v>3.0913342348433623</v>
      </c>
      <c r="DV17" s="87">
        <f>VLOOKUP($B17,Raw_Data[#All],DV$2,0)/DV$1</f>
        <v>3.0604208477771695</v>
      </c>
      <c r="DW17" s="87">
        <f>VLOOKUP($B17,Raw_Data[#All],DW$2,0)/DW$1</f>
        <v>3.0944415851775604</v>
      </c>
      <c r="DX17" s="87">
        <f>VLOOKUP($B17,Raw_Data[#All],DX$2,0)/DX$1</f>
        <v>3.0442994133818213</v>
      </c>
      <c r="DY17" s="87">
        <f>VLOOKUP($B17,Raw_Data[#All],DY$2,0)/DY$1</f>
        <v>3.0338997168082624</v>
      </c>
      <c r="DZ17" s="87">
        <f>VLOOKUP($B17,Raw_Data[#All],DZ$2,0)/DZ$1</f>
        <v>3.0454702102211679</v>
      </c>
      <c r="EA17" s="87">
        <f>VLOOKUP($B17,Raw_Data[#All],EA$2,0)/EA$1</f>
        <v>3.0462763409961684</v>
      </c>
      <c r="EB17" s="87">
        <f>VLOOKUP($B17,Raw_Data[#All],EB$2,0)/EB$1</f>
        <v>3.0784043742017881</v>
      </c>
      <c r="EC17" s="87">
        <f>VLOOKUP($B17,Raw_Data[#All],EC$2,0)/EC$1</f>
        <v>3.0465301032773202</v>
      </c>
      <c r="ED17" s="87">
        <f>VLOOKUP($B17,Raw_Data[#All],ED$2,0)/ED$1</f>
        <v>3.0320445837687218</v>
      </c>
      <c r="EE17" s="87">
        <f>VLOOKUP($B17,Raw_Data[#All],EE$2,0)/EE$1</f>
        <v>3.0526161081716636</v>
      </c>
      <c r="EF17" s="87">
        <f>VLOOKUP($B17,Raw_Data[#All],EF$2,0)/EF$1</f>
        <v>3.0351441342820649</v>
      </c>
      <c r="EG17" s="87">
        <f>VLOOKUP($B17,Raw_Data[#All],EG$2,0)/EG$1</f>
        <v>3.0141483077905491</v>
      </c>
      <c r="EH17" s="87">
        <f>VLOOKUP($B17,Raw_Data[#All],EH$2,0)/EH$1</f>
        <v>3.0254230523627075</v>
      </c>
      <c r="EI17" s="87">
        <f>VLOOKUP($B17,Raw_Data[#All],EI$2,0)/EI$1</f>
        <v>3.1292127855825176</v>
      </c>
      <c r="EJ17" s="87">
        <f>VLOOKUP($B17,Raw_Data[#All],EJ$2,0)/EJ$1</f>
        <v>3.139857042804763</v>
      </c>
      <c r="EK17" s="87">
        <f>VLOOKUP($B17,Raw_Data[#All],EK$2,0)/EK$1</f>
        <v>3.1491237405988364</v>
      </c>
      <c r="EL17" s="87">
        <f>VLOOKUP($B17,Raw_Data[#All],EL$2,0)/EL$1</f>
        <v>3.1531148006243792</v>
      </c>
      <c r="EM17" s="87">
        <f>VLOOKUP($B17,Raw_Data[#All],EM$2,0)/EM$1</f>
        <v>3.1572769953051645</v>
      </c>
      <c r="EN17" s="87">
        <f>VLOOKUP($B17,Raw_Data[#All],EN$2,0)/EN$1</f>
        <v>3.1132802205599139</v>
      </c>
      <c r="EO17" s="87">
        <f>VLOOKUP($B17,Raw_Data[#All],EO$2,0)/EO$1</f>
        <v>3.1312360312899106</v>
      </c>
      <c r="EP17" s="87">
        <f>VLOOKUP($B17,Raw_Data[#All],EP$2,0)/EP$1</f>
        <v>3.0756605204342273</v>
      </c>
      <c r="EQ17" s="87">
        <f>VLOOKUP($B17,Raw_Data[#All],EQ$2,0)/EQ$1</f>
        <v>3.1342199270735005</v>
      </c>
      <c r="ER17" s="87">
        <f>VLOOKUP($B17,Raw_Data[#All],ER$2,0)/ER$1</f>
        <v>3.1303657584787854</v>
      </c>
      <c r="ES17" s="87">
        <f>VLOOKUP($B17,Raw_Data[#All],ES$2,0)/ES$1</f>
        <v>3.1276869390031123</v>
      </c>
      <c r="ET17" s="87">
        <f>VLOOKUP($B17,Raw_Data[#All],ET$2,0)/ET$1</f>
        <v>3.123684636554962</v>
      </c>
      <c r="EU17" s="87">
        <f>VLOOKUP($B17,Raw_Data[#All],EU$2,0)/EU$1</f>
        <v>3.1272822117892543</v>
      </c>
      <c r="EV17" s="87">
        <f>VLOOKUP($B17,Raw_Data[#All],EV$2,0)/EV$1</f>
        <v>3.0978164467149143</v>
      </c>
      <c r="EW17" s="87">
        <f>VLOOKUP($B17,Raw_Data[#All],EW$2,0)/EW$1</f>
        <v>3.141463122605364</v>
      </c>
      <c r="EX17" s="87">
        <f>VLOOKUP($B17,Raw_Data[#All],EX$2,0)/EX$1</f>
        <v>3.150036875146152</v>
      </c>
      <c r="EY17" s="87">
        <f>VLOOKUP($B17,Raw_Data[#All],EY$2,0)/EY$1</f>
        <v>3.1414498655877963</v>
      </c>
      <c r="EZ17" s="87">
        <f>VLOOKUP($B17,Raw_Data[#All],EZ$2,0)/EZ$1</f>
        <v>3.1277937420178801</v>
      </c>
      <c r="FA17" s="87">
        <f>VLOOKUP($B17,Raw_Data[#All],FA$2,0)/FA$1</f>
        <v>3.1380818078615014</v>
      </c>
      <c r="FB17" s="87">
        <f>VLOOKUP($B17,Raw_Data[#All],FB$2,0)/FB$1</f>
        <v>3.1146675890449838</v>
      </c>
      <c r="FC17" s="87">
        <f>VLOOKUP($B17,Raw_Data[#All],FC$2,0)/FC$1</f>
        <v>3.1210532850858526</v>
      </c>
      <c r="FD17" s="87">
        <f>VLOOKUP($B17,Raw_Data[#All],FD$2,0)/FD$1</f>
        <v>3.1232040229885056</v>
      </c>
      <c r="FE17" s="87">
        <f>VLOOKUP($B17,Raw_Data[#All],FE$2,0)/FE$1</f>
        <v>3.1161753228324112</v>
      </c>
      <c r="FF17" s="87">
        <f>VLOOKUP($B17,Raw_Data[#All],FF$2,0)/FF$1</f>
        <v>3.1386693805874839</v>
      </c>
      <c r="FG17" s="105">
        <f>VLOOKUP($B17,Raw_Data[#All],FG$2,0)/FG$1</f>
        <v>3.0786463385205503</v>
      </c>
    </row>
    <row r="18" spans="2:163">
      <c r="B18" s="104">
        <f t="shared" si="0"/>
        <v>45841</v>
      </c>
      <c r="C18" s="87">
        <f>VLOOKUP($B18,Raw_Data[#All],C$2,0)/C$1</f>
        <v>2.2188775966381544</v>
      </c>
      <c r="D18" s="87">
        <f>VLOOKUP($B18,Raw_Data[#All],D$2,0)/D$1</f>
        <v>2.2720641343913974</v>
      </c>
      <c r="E18" s="87">
        <f>VLOOKUP($B18,Raw_Data[#All],E$2,0)/E$1</f>
        <v>2.2632628754287025</v>
      </c>
      <c r="F18" s="87">
        <f>VLOOKUP($B18,Raw_Data[#All],F$2,0)/F$1</f>
        <v>2.249645642668233</v>
      </c>
      <c r="G18" s="87">
        <f>VLOOKUP($B18,Raw_Data[#All],G$2,0)/G$1</f>
        <v>2.2892839888836272</v>
      </c>
      <c r="H18" s="87">
        <f>VLOOKUP($B18,Raw_Data[#All],H$2,0)/H$1</f>
        <v>2.2838788678902326</v>
      </c>
      <c r="I18" s="87">
        <f>VLOOKUP($B18,Raw_Data[#All],I$2,0)/I$1</f>
        <v>2.2806740616375123</v>
      </c>
      <c r="J18" s="87">
        <f>VLOOKUP($B18,Raw_Data[#All],J$2,0)/J$1</f>
        <v>2.1766301251225015</v>
      </c>
      <c r="K18" s="87">
        <f>VLOOKUP($B18,Raw_Data[#All],K$2,0)/K$1</f>
        <v>2.2633585412869928</v>
      </c>
      <c r="L18" s="87">
        <f>VLOOKUP($B18,Raw_Data[#All],L$2,0)/L$1</f>
        <v>2.2512072272989294</v>
      </c>
      <c r="M18" s="87">
        <f>VLOOKUP($B18,Raw_Data[#All],M$2,0)/M$1</f>
        <v>2.263229842193327</v>
      </c>
      <c r="N18" s="87">
        <f>VLOOKUP($B18,Raw_Data[#All],N$2,0)/N$1</f>
        <v>2.2581925849393238</v>
      </c>
      <c r="O18" s="87">
        <f>VLOOKUP($B18,Raw_Data[#All],O$2,0)/O$1</f>
        <v>2.2704038669743332</v>
      </c>
      <c r="P18" s="87">
        <f>VLOOKUP($B18,Raw_Data[#All],P$2,0)/P$1</f>
        <v>2.2567575970649711</v>
      </c>
      <c r="Q18" s="87">
        <f>VLOOKUP($B18,Raw_Data[#All],Q$2,0)/Q$1</f>
        <v>2.1375101047062817</v>
      </c>
      <c r="R18" s="87">
        <f>VLOOKUP($B18,Raw_Data[#All],R$2,0)/R$1</f>
        <v>2.2270533480658754</v>
      </c>
      <c r="S18" s="87">
        <f>VLOOKUP($B18,Raw_Data[#All],S$2,0)/S$1</f>
        <v>2.2439862049832344</v>
      </c>
      <c r="T18" s="87">
        <f>VLOOKUP($B18,Raw_Data[#All],T$2,0)/T$1</f>
        <v>2.0856113765838677</v>
      </c>
      <c r="U18" s="87">
        <f>VLOOKUP($B18,Raw_Data[#All],U$2,0)/U$1</f>
        <v>2.2478128393148409</v>
      </c>
      <c r="V18" s="87">
        <f>VLOOKUP($B18,Raw_Data[#All],V$2,0)/V$1</f>
        <v>2.2616843887669149</v>
      </c>
      <c r="W18" s="87">
        <f>VLOOKUP($B18,Raw_Data[#All],W$2,0)/W$1</f>
        <v>2.2266266948931799</v>
      </c>
      <c r="X18" s="87">
        <f>VLOOKUP($B18,Raw_Data[#All],X$2,0)/X$1</f>
        <v>2.0675464736767419</v>
      </c>
      <c r="Y18" s="87">
        <f>VLOOKUP($B18,Raw_Data[#All],Y$2,0)/Y$1</f>
        <v>2.2098064891604827</v>
      </c>
      <c r="Z18" s="87">
        <f>VLOOKUP($B18,Raw_Data[#All],Z$2,0)/Z$1</f>
        <v>2.2152777777777777</v>
      </c>
      <c r="AA18" s="87">
        <f>VLOOKUP($B18,Raw_Data[#All],AA$2,0)/AA$1</f>
        <v>2.0680076628352491</v>
      </c>
      <c r="AB18" s="87">
        <f>VLOOKUP($B18,Raw_Data[#All],AB$2,0)/AB$1</f>
        <v>2.0243915600885005</v>
      </c>
      <c r="AC18" s="87">
        <f>VLOOKUP($B18,Raw_Data[#All],AC$2,0)/AC$1</f>
        <v>1.8772051963305534</v>
      </c>
      <c r="AD18" s="87">
        <f>VLOOKUP($B18,Raw_Data[#All],AD$2,0)/AD$1</f>
        <v>1.9836809990066695</v>
      </c>
      <c r="AE18" s="87">
        <f>VLOOKUP($B18,Raw_Data[#All],AE$2,0)/AE$1</f>
        <v>2.1023130410103592</v>
      </c>
      <c r="AF18" s="87">
        <f>VLOOKUP($B18,Raw_Data[#All],AF$2,0)/AF$1</f>
        <v>2.1054597701149422</v>
      </c>
      <c r="AG18" s="87">
        <f>VLOOKUP($B18,Raw_Data[#All],AG$2,0)/AG$1</f>
        <v>2.0973374072457442</v>
      </c>
      <c r="AH18" s="87">
        <f>VLOOKUP($B18,Raw_Data[#All],AH$2,0)/AH$1</f>
        <v>2.10335367295776</v>
      </c>
      <c r="AI18" s="87">
        <f>VLOOKUP($B18,Raw_Data[#All],AI$2,0)/AI$1</f>
        <v>2.255944437269505</v>
      </c>
      <c r="AJ18" s="87">
        <f>VLOOKUP($B18,Raw_Data[#All],AJ$2,0)/AJ$1</f>
        <v>2.2604407326091427</v>
      </c>
      <c r="AK18" s="87">
        <f>VLOOKUP($B18,Raw_Data[#All],AK$2,0)/AK$1</f>
        <v>2.278234582251113</v>
      </c>
      <c r="AL18" s="87">
        <f>VLOOKUP($B18,Raw_Data[#All],AL$2,0)/AL$1</f>
        <v>2.244990696495281</v>
      </c>
      <c r="AM18" s="87">
        <f>VLOOKUP($B18,Raw_Data[#All],AM$2,0)/AM$1</f>
        <v>2.2610147277588837</v>
      </c>
      <c r="AN18" s="87">
        <f>VLOOKUP($B18,Raw_Data[#All],AN$2,0)/AN$1</f>
        <v>2.1647748743189785</v>
      </c>
      <c r="AO18" s="87">
        <f>VLOOKUP($B18,Raw_Data[#All],AO$2,0)/AO$1</f>
        <v>2.2277230090739066</v>
      </c>
      <c r="AP18" s="87">
        <f>VLOOKUP($B18,Raw_Data[#All],AP$2,0)/AP$1</f>
        <v>2.186491024150846</v>
      </c>
      <c r="AQ18" s="87">
        <f>VLOOKUP($B18,Raw_Data[#All],AQ$2,0)/AQ$1</f>
        <v>2.2568213556773018</v>
      </c>
      <c r="AR18" s="87">
        <f>VLOOKUP($B18,Raw_Data[#All],AR$2,0)/AR$1</f>
        <v>2.1235348770726126</v>
      </c>
      <c r="AS18" s="87">
        <f>VLOOKUP($B18,Raw_Data[#All],AS$2,0)/AS$1</f>
        <v>2.2785309990785834</v>
      </c>
      <c r="AT18" s="87">
        <f>VLOOKUP($B18,Raw_Data[#All],AT$2,0)/AT$1</f>
        <v>2.1319257443207444</v>
      </c>
      <c r="AU18" s="87">
        <f>VLOOKUP($B18,Raw_Data[#All],AU$2,0)/AU$1</f>
        <v>2.170861197610904</v>
      </c>
      <c r="AV18" s="87">
        <f>VLOOKUP($B18,Raw_Data[#All],AV$2,0)/AV$1</f>
        <v>2.1071159576906706</v>
      </c>
      <c r="AW18" s="87">
        <f>VLOOKUP($B18,Raw_Data[#All],AW$2,0)/AW$1</f>
        <v>2.2621644351897237</v>
      </c>
      <c r="AX18" s="87">
        <f>VLOOKUP($B18,Raw_Data[#All],AX$2,0)/AX$1</f>
        <v>2.2638038457406813</v>
      </c>
      <c r="AY18" s="87">
        <f>VLOOKUP($B18,Raw_Data[#All],AY$2,0)/AY$1</f>
        <v>2.0512542078401568</v>
      </c>
      <c r="AZ18" s="87">
        <f>VLOOKUP($B18,Raw_Data[#All],AZ$2,0)/AZ$1</f>
        <v>2.1302958719125322</v>
      </c>
      <c r="BA18" s="87">
        <f>VLOOKUP($B18,Raw_Data[#All],BA$2,0)/BA$1</f>
        <v>2.210942379580688</v>
      </c>
      <c r="BB18" s="87">
        <f>VLOOKUP($B18,Raw_Data[#All],BB$2,0)/BB$1</f>
        <v>2.2267620530012771</v>
      </c>
      <c r="BC18" s="87">
        <f>VLOOKUP($B18,Raw_Data[#All],BC$2,0)/BC$1</f>
        <v>2.0378015217743242</v>
      </c>
      <c r="BD18" s="87">
        <f>VLOOKUP($B18,Raw_Data[#All],BD$2,0)/BD$1</f>
        <v>2.2176997964908418</v>
      </c>
      <c r="BE18" s="87">
        <f>VLOOKUP($B18,Raw_Data[#All],BE$2,0)/BE$1</f>
        <v>2.1815246523842933</v>
      </c>
      <c r="BF18" s="87">
        <f>VLOOKUP($B18,Raw_Data[#All],BF$2,0)/BF$1</f>
        <v>2.0395245197577672</v>
      </c>
      <c r="BG18" s="87">
        <f>VLOOKUP($B18,Raw_Data[#All],BG$2,0)/BG$1</f>
        <v>2.1007926371911045</v>
      </c>
      <c r="BH18" s="87">
        <f>VLOOKUP($B18,Raw_Data[#All],BH$2,0)/BH$1</f>
        <v>2.168272533511828</v>
      </c>
      <c r="BI18" s="87">
        <f>VLOOKUP($B18,Raw_Data[#All],BI$2,0)/BI$1</f>
        <v>2.1598856656327921</v>
      </c>
      <c r="BJ18" s="87">
        <f>VLOOKUP($B18,Raw_Data[#All],BJ$2,0)/BJ$1</f>
        <v>2.1985068228906197</v>
      </c>
      <c r="BK18" s="87">
        <f>VLOOKUP($B18,Raw_Data[#All],BK$2,0)/BK$1</f>
        <v>2.0535409134243521</v>
      </c>
      <c r="BL18" s="87">
        <f>VLOOKUP($B18,Raw_Data[#All],BL$2,0)/BL$1</f>
        <v>2.184364167122788</v>
      </c>
      <c r="BM18" s="87">
        <f>VLOOKUP($B18,Raw_Data[#All],BM$2,0)/BM$1</f>
        <v>2.1419905126801679</v>
      </c>
      <c r="BN18" s="87">
        <f>VLOOKUP($B18,Raw_Data[#All],BN$2,0)/BN$1</f>
        <v>2.1457375478927205</v>
      </c>
      <c r="BO18" s="87">
        <f>VLOOKUP($B18,Raw_Data[#All],BO$2,0)/BO$1</f>
        <v>2.1666313839010685</v>
      </c>
      <c r="BP18" s="87">
        <f>VLOOKUP($B18,Raw_Data[#All],BP$2,0)/BP$1</f>
        <v>2.1416770863148593</v>
      </c>
      <c r="BQ18" s="87">
        <f>VLOOKUP($B18,Raw_Data[#All],BQ$2,0)/BQ$1</f>
        <v>2.056454010699003</v>
      </c>
      <c r="BR18" s="87">
        <f>VLOOKUP($B18,Raw_Data[#All],BR$2,0)/BR$1</f>
        <v>2.0683779997288383</v>
      </c>
      <c r="BS18" s="87">
        <f>VLOOKUP($B18,Raw_Data[#All],BS$2,0)/BS$1</f>
        <v>2.1257575824166168</v>
      </c>
      <c r="BT18" s="87">
        <f>VLOOKUP($B18,Raw_Data[#All],BT$2,0)/BT$1</f>
        <v>2.1416284403669725</v>
      </c>
      <c r="BU18" s="87">
        <f>VLOOKUP($B18,Raw_Data[#All],BU$2,0)/BU$1</f>
        <v>2.1574559664217512</v>
      </c>
      <c r="BV18" s="87">
        <f>VLOOKUP($B18,Raw_Data[#All],BV$2,0)/BV$1</f>
        <v>2.0125827882152443</v>
      </c>
      <c r="BW18" s="87">
        <f>VLOOKUP($B18,Raw_Data[#All],BW$2,0)/BW$1</f>
        <v>2.1920983952468212</v>
      </c>
      <c r="BX18" s="87">
        <f>VLOOKUP($B18,Raw_Data[#All],BX$2,0)/BX$1</f>
        <v>2.0841784989858012</v>
      </c>
      <c r="BY18" s="87">
        <f>VLOOKUP($B18,Raw_Data[#All],BY$2,0)/BY$1</f>
        <v>2.2037746558819351</v>
      </c>
      <c r="BZ18" s="87">
        <f>VLOOKUP($B18,Raw_Data[#All],BZ$2,0)/BZ$1</f>
        <v>2.1665818217542356</v>
      </c>
      <c r="CA18" s="87">
        <f>VLOOKUP($B18,Raw_Data[#All],CA$2,0)/CA$1</f>
        <v>2.1594982078853047</v>
      </c>
      <c r="CB18" s="87">
        <f>VLOOKUP($B18,Raw_Data[#All],CB$2,0)/CB$1</f>
        <v>2.2066570881226055</v>
      </c>
      <c r="CC18" s="87">
        <f>VLOOKUP($B18,Raw_Data[#All],CC$2,0)/CC$1</f>
        <v>2.1146789920736282</v>
      </c>
      <c r="CD18" s="87">
        <f>VLOOKUP($B18,Raw_Data[#All],CD$2,0)/CD$1</f>
        <v>2.1526541111290989</v>
      </c>
      <c r="CE18" s="87">
        <f>VLOOKUP($B18,Raw_Data[#All],CE$2,0)/CE$1</f>
        <v>2.1463243435621639</v>
      </c>
      <c r="CF18" s="87">
        <f>VLOOKUP($B18,Raw_Data[#All],CF$2,0)/CF$1</f>
        <v>2.1580218474502586</v>
      </c>
      <c r="CG18" s="87">
        <f>VLOOKUP($B18,Raw_Data[#All],CG$2,0)/CG$1</f>
        <v>2.1453288881317985</v>
      </c>
      <c r="CH18" s="87">
        <f>VLOOKUP($B18,Raw_Data[#All],CH$2,0)/CH$1</f>
        <v>2.0071883018735277</v>
      </c>
      <c r="CI18" s="87">
        <f>VLOOKUP($B18,Raw_Data[#All],CI$2,0)/CI$1</f>
        <v>2.1351036064536539</v>
      </c>
      <c r="CJ18" s="87">
        <f>VLOOKUP($B18,Raw_Data[#All],CJ$2,0)/CJ$1</f>
        <v>2.0051442168823841</v>
      </c>
      <c r="CK18" s="87">
        <f>VLOOKUP($B18,Raw_Data[#All],CK$2,0)/CK$1</f>
        <v>2.1401949541284404</v>
      </c>
      <c r="CL18" s="87">
        <f>VLOOKUP($B18,Raw_Data[#All],CL$2,0)/CL$1</f>
        <v>1.9864890969307911</v>
      </c>
      <c r="CM18" s="87">
        <f>VLOOKUP($B18,Raw_Data[#All],CM$2,0)/CM$1</f>
        <v>2.1172687465790911</v>
      </c>
      <c r="CN18" s="87">
        <f>VLOOKUP($B18,Raw_Data[#All],CN$2,0)/CN$1</f>
        <v>2.1235256554729172</v>
      </c>
      <c r="CO18" s="87">
        <f>VLOOKUP($B18,Raw_Data[#All],CO$2,0)/CO$1</f>
        <v>2.1463663329625509</v>
      </c>
      <c r="CP18" s="87">
        <f>VLOOKUP($B18,Raw_Data[#All],CP$2,0)/CP$1</f>
        <v>2.0740652050517951</v>
      </c>
      <c r="CQ18" s="87">
        <f>VLOOKUP($B18,Raw_Data[#All],CQ$2,0)/CQ$1</f>
        <v>2.1625615763546797</v>
      </c>
      <c r="CR18" s="87">
        <f>VLOOKUP($B18,Raw_Data[#All],CR$2,0)/CR$1</f>
        <v>2.1843570402298851</v>
      </c>
      <c r="CS18" s="87">
        <f>VLOOKUP($B18,Raw_Data[#All],CS$2,0)/CS$1</f>
        <v>2.1278835408684547</v>
      </c>
      <c r="CT18" s="87">
        <f>VLOOKUP($B18,Raw_Data[#All],CT$2,0)/CT$1</f>
        <v>2.1713178083928879</v>
      </c>
      <c r="CU18" s="87">
        <f>VLOOKUP($B18,Raw_Data[#All],CU$2,0)/CU$1</f>
        <v>2.1785440613026821</v>
      </c>
      <c r="CV18" s="87">
        <f>VLOOKUP($B18,Raw_Data[#All],CV$2,0)/CV$1</f>
        <v>2.1523725316828766</v>
      </c>
      <c r="CW18" s="87">
        <f>VLOOKUP($B18,Raw_Data[#All],CW$2,0)/CW$1</f>
        <v>2.1075476247890044</v>
      </c>
      <c r="CX18" s="87">
        <f>VLOOKUP($B18,Raw_Data[#All],CX$2,0)/CX$1</f>
        <v>2.1714456391875752</v>
      </c>
      <c r="CY18" s="87">
        <f>VLOOKUP($B18,Raw_Data[#All],CY$2,0)/CY$1</f>
        <v>2.086215765574003</v>
      </c>
      <c r="CZ18" s="87">
        <f>VLOOKUP($B18,Raw_Data[#All],CZ$2,0)/CZ$1</f>
        <v>2.1693342396901909</v>
      </c>
      <c r="DA18" s="87">
        <f>VLOOKUP($B18,Raw_Data[#All],DA$2,0)/DA$1</f>
        <v>2.1564951651158544</v>
      </c>
      <c r="DB18" s="87">
        <f>VLOOKUP($B18,Raw_Data[#All],DB$2,0)/DB$1</f>
        <v>2.1418023627075349</v>
      </c>
      <c r="DC18" s="87">
        <f>VLOOKUP($B18,Raw_Data[#All],DC$2,0)/DC$1</f>
        <v>2.1741945928444233</v>
      </c>
      <c r="DD18" s="87">
        <f>VLOOKUP($B18,Raw_Data[#All],DD$2,0)/DD$1</f>
        <v>2.1478445658773526</v>
      </c>
      <c r="DE18" s="87">
        <f>VLOOKUP($B18,Raw_Data[#All],DE$2,0)/DE$1</f>
        <v>2.1803554404331482</v>
      </c>
      <c r="DF18" s="87">
        <f>VLOOKUP($B18,Raw_Data[#All],DF$2,0)/DF$1</f>
        <v>2.1570681673052365</v>
      </c>
      <c r="DG18" s="87">
        <f>VLOOKUP($B18,Raw_Data[#All],DG$2,0)/DG$1</f>
        <v>2.1267104542966613</v>
      </c>
      <c r="DH18" s="87">
        <f>VLOOKUP($B18,Raw_Data[#All],DH$2,0)/DH$1</f>
        <v>2.1124181832694764</v>
      </c>
      <c r="DI18" s="87">
        <f>VLOOKUP($B18,Raw_Data[#All],DI$2,0)/DI$1</f>
        <v>2.2105455208903484</v>
      </c>
      <c r="DJ18" s="87">
        <f>VLOOKUP($B18,Raw_Data[#All],DJ$2,0)/DJ$1</f>
        <v>2.0704621647509578</v>
      </c>
      <c r="DK18" s="87">
        <f>VLOOKUP($B18,Raw_Data[#All],DK$2,0)/DK$1</f>
        <v>2.1343536984010334</v>
      </c>
      <c r="DL18" s="87">
        <f>VLOOKUP($B18,Raw_Data[#All],DL$2,0)/DL$1</f>
        <v>2.1267104542966613</v>
      </c>
      <c r="DM18" s="87">
        <f>VLOOKUP($B18,Raw_Data[#All],DM$2,0)/DM$1</f>
        <v>2.0936103128991062</v>
      </c>
      <c r="DN18" s="87">
        <f>VLOOKUP($B18,Raw_Data[#All],DN$2,0)/DN$1</f>
        <v>2.1062497425122566</v>
      </c>
      <c r="DO18" s="87">
        <f>VLOOKUP($B18,Raw_Data[#All],DO$2,0)/DO$1</f>
        <v>2.1572330462034546</v>
      </c>
      <c r="DP18" s="87">
        <f>VLOOKUP($B18,Raw_Data[#All],DP$2,0)/DP$1</f>
        <v>2.126661630061339</v>
      </c>
      <c r="DQ18" s="87">
        <f>VLOOKUP($B18,Raw_Data[#All],DQ$2,0)/DQ$1</f>
        <v>2.1246122970260899</v>
      </c>
      <c r="DR18" s="87">
        <f>VLOOKUP($B18,Raw_Data[#All],DR$2,0)/DR$1</f>
        <v>2.0624800446998721</v>
      </c>
      <c r="DS18" s="87">
        <f>VLOOKUP($B18,Raw_Data[#All],DS$2,0)/DS$1</f>
        <v>2.1223895094706173</v>
      </c>
      <c r="DT18" s="87">
        <f>VLOOKUP($B18,Raw_Data[#All],DT$2,0)/DT$1</f>
        <v>2.1420969409475155</v>
      </c>
      <c r="DU18" s="87">
        <f>VLOOKUP($B18,Raw_Data[#All],DU$2,0)/DU$1</f>
        <v>2.2031120877469763</v>
      </c>
      <c r="DV18" s="87">
        <f>VLOOKUP($B18,Raw_Data[#All],DV$2,0)/DV$1</f>
        <v>2.0471730624987328</v>
      </c>
      <c r="DW18" s="87">
        <f>VLOOKUP($B18,Raw_Data[#All],DW$2,0)/DW$1</f>
        <v>2.2220792588780234</v>
      </c>
      <c r="DX18" s="87">
        <f>VLOOKUP($B18,Raw_Data[#All],DX$2,0)/DX$1</f>
        <v>2.0356300192653203</v>
      </c>
      <c r="DY18" s="87">
        <f>VLOOKUP($B18,Raw_Data[#All],DY$2,0)/DY$1</f>
        <v>2.1436966701834268</v>
      </c>
      <c r="DZ18" s="87">
        <f>VLOOKUP($B18,Raw_Data[#All],DZ$2,0)/DZ$1</f>
        <v>2.146354071641428</v>
      </c>
      <c r="EA18" s="87">
        <f>VLOOKUP($B18,Raw_Data[#All],EA$2,0)/EA$1</f>
        <v>1.9947816890166028</v>
      </c>
      <c r="EB18" s="87">
        <f>VLOOKUP($B18,Raw_Data[#All],EB$2,0)/EB$1</f>
        <v>2.1499341475095783</v>
      </c>
      <c r="EC18" s="87">
        <f>VLOOKUP($B18,Raw_Data[#All],EC$2,0)/EC$1</f>
        <v>2.1313140455144257</v>
      </c>
      <c r="ED18" s="87">
        <f>VLOOKUP($B18,Raw_Data[#All],ED$2,0)/ED$1</f>
        <v>2.1037965865552075</v>
      </c>
      <c r="EE18" s="87">
        <f>VLOOKUP($B18,Raw_Data[#All],EE$2,0)/EE$1</f>
        <v>2.1303391514119481</v>
      </c>
      <c r="EF18" s="87">
        <f>VLOOKUP($B18,Raw_Data[#All],EF$2,0)/EF$1</f>
        <v>2.1071656632001461</v>
      </c>
      <c r="EG18" s="87">
        <f>VLOOKUP($B18,Raw_Data[#All],EG$2,0)/EG$1</f>
        <v>2.1059327107279695</v>
      </c>
      <c r="EH18" s="87">
        <f>VLOOKUP($B18,Raw_Data[#All],EH$2,0)/EH$1</f>
        <v>2.1306772828863343</v>
      </c>
      <c r="EI18" s="87">
        <f>VLOOKUP($B18,Raw_Data[#All],EI$2,0)/EI$1</f>
        <v>2.1703384418901659</v>
      </c>
      <c r="EJ18" s="87">
        <f>VLOOKUP($B18,Raw_Data[#All],EJ$2,0)/EJ$1</f>
        <v>2.1919931611255303</v>
      </c>
      <c r="EK18" s="87">
        <f>VLOOKUP($B18,Raw_Data[#All],EK$2,0)/EK$1</f>
        <v>2.2109585639279126</v>
      </c>
      <c r="EL18" s="87">
        <f>VLOOKUP($B18,Raw_Data[#All],EL$2,0)/EL$1</f>
        <v>2.140981978146729</v>
      </c>
      <c r="EM18" s="87">
        <f>VLOOKUP($B18,Raw_Data[#All],EM$2,0)/EM$1</f>
        <v>2.1557570197686764</v>
      </c>
      <c r="EN18" s="87">
        <f>VLOOKUP($B18,Raw_Data[#All],EN$2,0)/EN$1</f>
        <v>2.1808165582111942</v>
      </c>
      <c r="EO18" s="87">
        <f>VLOOKUP($B18,Raw_Data[#All],EO$2,0)/EO$1</f>
        <v>2.1030391922094509</v>
      </c>
      <c r="EP18" s="87">
        <f>VLOOKUP($B18,Raw_Data[#All],EP$2,0)/EP$1</f>
        <v>2.1645514048531291</v>
      </c>
      <c r="EQ18" s="87">
        <f>VLOOKUP($B18,Raw_Data[#All],EQ$2,0)/EQ$1</f>
        <v>2.2336979658318987</v>
      </c>
      <c r="ER18" s="87">
        <f>VLOOKUP($B18,Raw_Data[#All],ER$2,0)/ER$1</f>
        <v>2.2333085000709523</v>
      </c>
      <c r="ES18" s="87">
        <f>VLOOKUP($B18,Raw_Data[#All],ES$2,0)/ES$1</f>
        <v>2.1046714514417282</v>
      </c>
      <c r="ET18" s="87">
        <f>VLOOKUP($B18,Raw_Data[#All],ET$2,0)/ET$1</f>
        <v>2.1954202867267463</v>
      </c>
      <c r="EU18" s="87">
        <f>VLOOKUP($B18,Raw_Data[#All],EU$2,0)/EU$1</f>
        <v>2.1898440451135937</v>
      </c>
      <c r="EV18" s="87">
        <f>VLOOKUP($B18,Raw_Data[#All],EV$2,0)/EV$1</f>
        <v>2.103510359018022</v>
      </c>
      <c r="EW18" s="87">
        <f>VLOOKUP($B18,Raw_Data[#All],EW$2,0)/EW$1</f>
        <v>2.1978767560664112</v>
      </c>
      <c r="EX18" s="87">
        <f>VLOOKUP($B18,Raw_Data[#All],EX$2,0)/EX$1</f>
        <v>2.2242908279819402</v>
      </c>
      <c r="EY18" s="87">
        <f>VLOOKUP($B18,Raw_Data[#All],EY$2,0)/EY$1</f>
        <v>2.1898471898471894</v>
      </c>
      <c r="EZ18" s="87">
        <f>VLOOKUP($B18,Raw_Data[#All],EZ$2,0)/EZ$1</f>
        <v>2.1693185043280829</v>
      </c>
      <c r="FA18" s="87">
        <f>VLOOKUP($B18,Raw_Data[#All],FA$2,0)/FA$1</f>
        <v>2.2827089541648933</v>
      </c>
      <c r="FB18" s="87">
        <f>VLOOKUP($B18,Raw_Data[#All],FB$2,0)/FB$1</f>
        <v>2.1792518092805451</v>
      </c>
      <c r="FC18" s="87">
        <f>VLOOKUP($B18,Raw_Data[#All],FC$2,0)/FC$1</f>
        <v>2.2621328224776502</v>
      </c>
      <c r="FD18" s="87">
        <f>VLOOKUP($B18,Raw_Data[#All],FD$2,0)/FD$1</f>
        <v>2.2548990261813535</v>
      </c>
      <c r="FE18" s="87">
        <f>VLOOKUP($B18,Raw_Data[#All],FE$2,0)/FE$1</f>
        <v>2.2153930750674049</v>
      </c>
      <c r="FF18" s="87">
        <f>VLOOKUP($B18,Raw_Data[#All],FF$2,0)/FF$1</f>
        <v>2.2356920498084287</v>
      </c>
      <c r="FG18" s="105">
        <f>VLOOKUP($B18,Raw_Data[#All],FG$2,0)/FG$1</f>
        <v>2.1592680795477341</v>
      </c>
    </row>
    <row r="19" spans="2:163">
      <c r="B19" s="104">
        <f t="shared" si="0"/>
        <v>45842</v>
      </c>
      <c r="C19" s="87">
        <f>VLOOKUP($B19,Raw_Data[#All],C$2,0)/C$1</f>
        <v>4.0985406173317838</v>
      </c>
      <c r="D19" s="87">
        <f>VLOOKUP($B19,Raw_Data[#All],D$2,0)/D$1</f>
        <v>4.1744275594204563</v>
      </c>
      <c r="E19" s="87">
        <f>VLOOKUP($B19,Raw_Data[#All],E$2,0)/E$1</f>
        <v>4.1617518331970098</v>
      </c>
      <c r="F19" s="87">
        <f>VLOOKUP($B19,Raw_Data[#All],F$2,0)/F$1</f>
        <v>4.1701300232708682</v>
      </c>
      <c r="G19" s="87">
        <f>VLOOKUP($B19,Raw_Data[#All],G$2,0)/G$1</f>
        <v>4.2057102950813396</v>
      </c>
      <c r="H19" s="87">
        <f>VLOOKUP($B19,Raw_Data[#All],H$2,0)/H$1</f>
        <v>4.2213994958409264</v>
      </c>
      <c r="I19" s="87">
        <f>VLOOKUP($B19,Raw_Data[#All],I$2,0)/I$1</f>
        <v>4.1912169175503804</v>
      </c>
      <c r="J19" s="87">
        <f>VLOOKUP($B19,Raw_Data[#All],J$2,0)/J$1</f>
        <v>4.1541126330423683</v>
      </c>
      <c r="K19" s="87">
        <f>VLOOKUP($B19,Raw_Data[#All],K$2,0)/K$1</f>
        <v>4.1890644357388513</v>
      </c>
      <c r="L19" s="87">
        <f>VLOOKUP($B19,Raw_Data[#All],L$2,0)/L$1</f>
        <v>4.0521730091380732</v>
      </c>
      <c r="M19" s="87">
        <f>VLOOKUP($B19,Raw_Data[#All],M$2,0)/M$1</f>
        <v>4.2192451963561197</v>
      </c>
      <c r="N19" s="87">
        <f>VLOOKUP($B19,Raw_Data[#All],N$2,0)/N$1</f>
        <v>4.2025054888286189</v>
      </c>
      <c r="O19" s="87">
        <f>VLOOKUP($B19,Raw_Data[#All],O$2,0)/O$1</f>
        <v>4.2347305913102442</v>
      </c>
      <c r="P19" s="87">
        <f>VLOOKUP($B19,Raw_Data[#All],P$2,0)/P$1</f>
        <v>4.2763595314286258</v>
      </c>
      <c r="Q19" s="87">
        <f>VLOOKUP($B19,Raw_Data[#All],Q$2,0)/Q$1</f>
        <v>4.2871219404862693</v>
      </c>
      <c r="R19" s="87">
        <f>VLOOKUP($B19,Raw_Data[#All],R$2,0)/R$1</f>
        <v>4.2923835626922289</v>
      </c>
      <c r="S19" s="87">
        <f>VLOOKUP($B19,Raw_Data[#All],S$2,0)/S$1</f>
        <v>3.8097493076183504</v>
      </c>
      <c r="T19" s="87">
        <f>VLOOKUP($B19,Raw_Data[#All],T$2,0)/T$1</f>
        <v>3.8265386657482741</v>
      </c>
      <c r="U19" s="87">
        <f>VLOOKUP($B19,Raw_Data[#All],U$2,0)/U$1</f>
        <v>3.8702101300577341</v>
      </c>
      <c r="V19" s="87">
        <f>VLOOKUP($B19,Raw_Data[#All],V$2,0)/V$1</f>
        <v>3.8845600088012588</v>
      </c>
      <c r="W19" s="87">
        <f>VLOOKUP($B19,Raw_Data[#All],W$2,0)/W$1</f>
        <v>3.8282445098011362</v>
      </c>
      <c r="X19" s="87">
        <f>VLOOKUP($B19,Raw_Data[#All],X$2,0)/X$1</f>
        <v>3.7992053356038031</v>
      </c>
      <c r="Y19" s="87">
        <f>VLOOKUP($B19,Raw_Data[#All],Y$2,0)/Y$1</f>
        <v>3.8616809738590616</v>
      </c>
      <c r="Z19" s="87">
        <f>VLOOKUP($B19,Raw_Data[#All],Z$2,0)/Z$1</f>
        <v>3.8267720306513411</v>
      </c>
      <c r="AA19" s="87">
        <f>VLOOKUP($B19,Raw_Data[#All],AA$2,0)/AA$1</f>
        <v>4.1679597701149431</v>
      </c>
      <c r="AB19" s="87">
        <f>VLOOKUP($B19,Raw_Data[#All],AB$2,0)/AB$1</f>
        <v>4.0981598402676598</v>
      </c>
      <c r="AC19" s="87">
        <f>VLOOKUP($B19,Raw_Data[#All],AC$2,0)/AC$1</f>
        <v>4.1078574845251463</v>
      </c>
      <c r="AD19" s="87">
        <f>VLOOKUP($B19,Raw_Data[#All],AD$2,0)/AD$1</f>
        <v>4.0910079939454143</v>
      </c>
      <c r="AE19" s="87">
        <f>VLOOKUP($B19,Raw_Data[#All],AE$2,0)/AE$1</f>
        <v>4.2364599593207508</v>
      </c>
      <c r="AF19" s="87">
        <f>VLOOKUP($B19,Raw_Data[#All],AF$2,0)/AF$1</f>
        <v>4.3892241379310351</v>
      </c>
      <c r="AG19" s="87">
        <f>VLOOKUP($B19,Raw_Data[#All],AG$2,0)/AG$1</f>
        <v>4.3972064600611089</v>
      </c>
      <c r="AH19" s="87">
        <f>VLOOKUP($B19,Raw_Data[#All],AH$2,0)/AH$1</f>
        <v>4.285464263752897</v>
      </c>
      <c r="AI19" s="87">
        <f>VLOOKUP($B19,Raw_Data[#All],AI$2,0)/AI$1</f>
        <v>4.3487307532251354</v>
      </c>
      <c r="AJ19" s="87">
        <f>VLOOKUP($B19,Raw_Data[#All],AJ$2,0)/AJ$1</f>
        <v>4.3345722061981906</v>
      </c>
      <c r="AK19" s="87">
        <f>VLOOKUP($B19,Raw_Data[#All],AK$2,0)/AK$1</f>
        <v>4.3427516370819994</v>
      </c>
      <c r="AL19" s="87">
        <f>VLOOKUP($B19,Raw_Data[#All],AL$2,0)/AL$1</f>
        <v>4.3251969520857543</v>
      </c>
      <c r="AM19" s="87">
        <f>VLOOKUP($B19,Raw_Data[#All],AM$2,0)/AM$1</f>
        <v>4.4087610793022129</v>
      </c>
      <c r="AN19" s="87">
        <f>VLOOKUP($B19,Raw_Data[#All],AN$2,0)/AN$1</f>
        <v>4.3257709472354957</v>
      </c>
      <c r="AO19" s="87">
        <f>VLOOKUP($B19,Raw_Data[#All],AO$2,0)/AO$1</f>
        <v>4.4048387791123158</v>
      </c>
      <c r="AP19" s="87">
        <f>VLOOKUP($B19,Raw_Data[#All],AP$2,0)/AP$1</f>
        <v>4.3670507650877006</v>
      </c>
      <c r="AQ19" s="87">
        <f>VLOOKUP($B19,Raw_Data[#All],AQ$2,0)/AQ$1</f>
        <v>4.845400508468507</v>
      </c>
      <c r="AR19" s="87">
        <f>VLOOKUP($B19,Raw_Data[#All],AR$2,0)/AR$1</f>
        <v>4.8631360777587194</v>
      </c>
      <c r="AS19" s="87">
        <f>VLOOKUP($B19,Raw_Data[#All],AS$2,0)/AS$1</f>
        <v>4.8814187088369723</v>
      </c>
      <c r="AT19" s="87">
        <f>VLOOKUP($B19,Raw_Data[#All],AT$2,0)/AT$1</f>
        <v>4.8102300282678883</v>
      </c>
      <c r="AU19" s="87">
        <f>VLOOKUP($B19,Raw_Data[#All],AU$2,0)/AU$1</f>
        <v>4.6823472356935021</v>
      </c>
      <c r="AV19" s="87">
        <f>VLOOKUP($B19,Raw_Data[#All],AV$2,0)/AV$1</f>
        <v>4.5171431378327931</v>
      </c>
      <c r="AW19" s="87">
        <f>VLOOKUP($B19,Raw_Data[#All],AW$2,0)/AW$1</f>
        <v>4.8275009107304276</v>
      </c>
      <c r="AX19" s="87">
        <f>VLOOKUP($B19,Raw_Data[#All],AX$2,0)/AX$1</f>
        <v>4.8159039639058978</v>
      </c>
      <c r="AY19" s="87">
        <f>VLOOKUP($B19,Raw_Data[#All],AY$2,0)/AY$1</f>
        <v>4.1180276541064904</v>
      </c>
      <c r="AZ19" s="87">
        <f>VLOOKUP($B19,Raw_Data[#All],AZ$2,0)/AZ$1</f>
        <v>4.179767755482545</v>
      </c>
      <c r="BA19" s="87">
        <f>VLOOKUP($B19,Raw_Data[#All],BA$2,0)/BA$1</f>
        <v>4.2282163865350366</v>
      </c>
      <c r="BB19" s="87">
        <f>VLOOKUP($B19,Raw_Data[#All],BB$2,0)/BB$1</f>
        <v>4.2431453544061295</v>
      </c>
      <c r="BC19" s="87">
        <f>VLOOKUP($B19,Raw_Data[#All],BC$2,0)/BC$1</f>
        <v>4.190770420736424</v>
      </c>
      <c r="BD19" s="87">
        <f>VLOOKUP($B19,Raw_Data[#All],BD$2,0)/BD$1</f>
        <v>4.2896888693324522</v>
      </c>
      <c r="BE19" s="87">
        <f>VLOOKUP($B19,Raw_Data[#All],BE$2,0)/BE$1</f>
        <v>4.1357275196517556</v>
      </c>
      <c r="BF19" s="87">
        <f>VLOOKUP($B19,Raw_Data[#All],BF$2,0)/BF$1</f>
        <v>4.1205142949558846</v>
      </c>
      <c r="BG19" s="87">
        <f>VLOOKUP($B19,Raw_Data[#All],BG$2,0)/BG$1</f>
        <v>4.122777676417523</v>
      </c>
      <c r="BH19" s="87">
        <f>VLOOKUP($B19,Raw_Data[#All],BH$2,0)/BH$1</f>
        <v>4.069815574853358</v>
      </c>
      <c r="BI19" s="87">
        <f>VLOOKUP($B19,Raw_Data[#All],BI$2,0)/BI$1</f>
        <v>4.1675282288309115</v>
      </c>
      <c r="BJ19" s="87">
        <f>VLOOKUP($B19,Raw_Data[#All],BJ$2,0)/BJ$1</f>
        <v>4.1685271843966563</v>
      </c>
      <c r="BK19" s="87">
        <f>VLOOKUP($B19,Raw_Data[#All],BK$2,0)/BK$1</f>
        <v>4.0479466839350282</v>
      </c>
      <c r="BL19" s="87">
        <f>VLOOKUP($B19,Raw_Data[#All],BL$2,0)/BL$1</f>
        <v>4.0976910133998254</v>
      </c>
      <c r="BM19" s="87">
        <f>VLOOKUP($B19,Raw_Data[#All],BM$2,0)/BM$1</f>
        <v>4.0244937055281875</v>
      </c>
      <c r="BN19" s="87">
        <f>VLOOKUP($B19,Raw_Data[#All],BN$2,0)/BN$1</f>
        <v>4.0394157088122604</v>
      </c>
      <c r="BO19" s="87">
        <f>VLOOKUP($B19,Raw_Data[#All],BO$2,0)/BO$1</f>
        <v>3.9974501264233027</v>
      </c>
      <c r="BP19" s="87">
        <f>VLOOKUP($B19,Raw_Data[#All],BP$2,0)/BP$1</f>
        <v>3.8627016766845936</v>
      </c>
      <c r="BQ19" s="87">
        <f>VLOOKUP($B19,Raw_Data[#All],BQ$2,0)/BQ$1</f>
        <v>3.915197674667529</v>
      </c>
      <c r="BR19" s="87">
        <f>VLOOKUP($B19,Raw_Data[#All],BR$2,0)/BR$1</f>
        <v>3.7653093505671809</v>
      </c>
      <c r="BS19" s="87">
        <f>VLOOKUP($B19,Raw_Data[#All],BS$2,0)/BS$1</f>
        <v>3.8540783095199376</v>
      </c>
      <c r="BT19" s="87">
        <f>VLOOKUP($B19,Raw_Data[#All],BT$2,0)/BT$1</f>
        <v>3.764038279025625</v>
      </c>
      <c r="BU19" s="87">
        <f>VLOOKUP($B19,Raw_Data[#All],BU$2,0)/BU$1</f>
        <v>3.7417736408963114</v>
      </c>
      <c r="BV19" s="87">
        <f>VLOOKUP($B19,Raw_Data[#All],BV$2,0)/BV$1</f>
        <v>3.6675306915941261</v>
      </c>
      <c r="BW19" s="87">
        <f>VLOOKUP($B19,Raw_Data[#All],BW$2,0)/BW$1</f>
        <v>3.9441853147500328</v>
      </c>
      <c r="BX19" s="87">
        <f>VLOOKUP($B19,Raw_Data[#All],BX$2,0)/BX$1</f>
        <v>3.7152073473067384</v>
      </c>
      <c r="BY19" s="87">
        <f>VLOOKUP($B19,Raw_Data[#All],BY$2,0)/BY$1</f>
        <v>3.9480325974578849</v>
      </c>
      <c r="BZ19" s="87">
        <f>VLOOKUP($B19,Raw_Data[#All],BZ$2,0)/BZ$1</f>
        <v>3.7566647911475499</v>
      </c>
      <c r="CA19" s="87">
        <f>VLOOKUP($B19,Raw_Data[#All],CA$2,0)/CA$1</f>
        <v>3.8399662176080422</v>
      </c>
      <c r="CB19" s="87">
        <f>VLOOKUP($B19,Raw_Data[#All],CB$2,0)/CB$1</f>
        <v>3.9480896126011071</v>
      </c>
      <c r="CC19" s="87">
        <f>VLOOKUP($B19,Raw_Data[#All],CC$2,0)/CC$1</f>
        <v>3.9106813436315346</v>
      </c>
      <c r="CD19" s="87">
        <f>VLOOKUP($B19,Raw_Data[#All],CD$2,0)/CD$1</f>
        <v>3.7907650243735729</v>
      </c>
      <c r="CE19" s="87">
        <f>VLOOKUP($B19,Raw_Data[#All],CE$2,0)/CE$1</f>
        <v>3.7500494305599497</v>
      </c>
      <c r="CF19" s="87">
        <f>VLOOKUP($B19,Raw_Data[#All],CF$2,0)/CF$1</f>
        <v>3.7202124196768183</v>
      </c>
      <c r="CG19" s="87">
        <f>VLOOKUP($B19,Raw_Data[#All],CG$2,0)/CG$1</f>
        <v>3.7960723237534375</v>
      </c>
      <c r="CH19" s="87">
        <f>VLOOKUP($B19,Raw_Data[#All],CH$2,0)/CH$1</f>
        <v>3.7129600337445954</v>
      </c>
      <c r="CI19" s="87">
        <f>VLOOKUP($B19,Raw_Data[#All],CI$2,0)/CI$1</f>
        <v>3.8328950490351157</v>
      </c>
      <c r="CJ19" s="87">
        <f>VLOOKUP($B19,Raw_Data[#All],CJ$2,0)/CJ$1</f>
        <v>3.8032818453158734</v>
      </c>
      <c r="CK19" s="87">
        <f>VLOOKUP($B19,Raw_Data[#All],CK$2,0)/CK$1</f>
        <v>3.9028392913634926</v>
      </c>
      <c r="CL19" s="87">
        <f>VLOOKUP($B19,Raw_Data[#All],CL$2,0)/CL$1</f>
        <v>3.8587542309059812</v>
      </c>
      <c r="CM19" s="87">
        <f>VLOOKUP($B19,Raw_Data[#All],CM$2,0)/CM$1</f>
        <v>4.0985677796022628</v>
      </c>
      <c r="CN19" s="87">
        <f>VLOOKUP($B19,Raw_Data[#All],CN$2,0)/CN$1</f>
        <v>3.9573003530914277</v>
      </c>
      <c r="CO19" s="87">
        <f>VLOOKUP($B19,Raw_Data[#All],CO$2,0)/CO$1</f>
        <v>4.0671219049973226</v>
      </c>
      <c r="CP19" s="87">
        <f>VLOOKUP($B19,Raw_Data[#All],CP$2,0)/CP$1</f>
        <v>4.0890183766141623</v>
      </c>
      <c r="CQ19" s="87">
        <f>VLOOKUP($B19,Raw_Data[#All],CQ$2,0)/CQ$1</f>
        <v>4.1307243203794926</v>
      </c>
      <c r="CR19" s="87">
        <f>VLOOKUP($B19,Raw_Data[#All],CR$2,0)/CR$1</f>
        <v>4.2389048531289903</v>
      </c>
      <c r="CS19" s="87">
        <f>VLOOKUP($B19,Raw_Data[#All],CS$2,0)/CS$1</f>
        <v>4.2211945242656448</v>
      </c>
      <c r="CT19" s="87">
        <f>VLOOKUP($B19,Raw_Data[#All],CT$2,0)/CT$1</f>
        <v>4.1746601088738533</v>
      </c>
      <c r="CU19" s="87">
        <f>VLOOKUP($B19,Raw_Data[#All],CU$2,0)/CU$1</f>
        <v>4.2758109833971902</v>
      </c>
      <c r="CV19" s="87">
        <f>VLOOKUP($B19,Raw_Data[#All],CV$2,0)/CV$1</f>
        <v>4.2061597406424989</v>
      </c>
      <c r="CW19" s="87">
        <f>VLOOKUP($B19,Raw_Data[#All],CW$2,0)/CW$1</f>
        <v>4.1702167564236534</v>
      </c>
      <c r="CX19" s="87">
        <f>VLOOKUP($B19,Raw_Data[#All],CX$2,0)/CX$1</f>
        <v>4.2217690437935156</v>
      </c>
      <c r="CY19" s="87">
        <f>VLOOKUP($B19,Raw_Data[#All],CY$2,0)/CY$1</f>
        <v>4.2259560806016747</v>
      </c>
      <c r="CZ19" s="87">
        <f>VLOOKUP($B19,Raw_Data[#All],CZ$2,0)/CZ$1</f>
        <v>4.2543154945824586</v>
      </c>
      <c r="DA19" s="87">
        <f>VLOOKUP($B19,Raw_Data[#All],DA$2,0)/DA$1</f>
        <v>4.334154351395731</v>
      </c>
      <c r="DB19" s="87">
        <f>VLOOKUP($B19,Raw_Data[#All],DB$2,0)/DB$1</f>
        <v>4.2672912675606645</v>
      </c>
      <c r="DC19" s="87">
        <f>VLOOKUP($B19,Raw_Data[#All],DC$2,0)/DC$1</f>
        <v>4.3392603385318296</v>
      </c>
      <c r="DD19" s="87">
        <f>VLOOKUP($B19,Raw_Data[#All],DD$2,0)/DD$1</f>
        <v>4.2641270439461509</v>
      </c>
      <c r="DE19" s="87">
        <f>VLOOKUP($B19,Raw_Data[#All],DE$2,0)/DE$1</f>
        <v>4.3190689475293658</v>
      </c>
      <c r="DF19" s="87">
        <f>VLOOKUP($B19,Raw_Data[#All],DF$2,0)/DF$1</f>
        <v>4.2474357439335888</v>
      </c>
      <c r="DG19" s="87">
        <f>VLOOKUP($B19,Raw_Data[#All],DG$2,0)/DG$1</f>
        <v>4.345010034665207</v>
      </c>
      <c r="DH19" s="87">
        <f>VLOOKUP($B19,Raw_Data[#All],DH$2,0)/DH$1</f>
        <v>4.3305495689655169</v>
      </c>
      <c r="DI19" s="87">
        <f>VLOOKUP($B19,Raw_Data[#All],DI$2,0)/DI$1</f>
        <v>4.4121054552089038</v>
      </c>
      <c r="DJ19" s="87">
        <f>VLOOKUP($B19,Raw_Data[#All],DJ$2,0)/DJ$1</f>
        <v>4.2265824553001279</v>
      </c>
      <c r="DK19" s="87">
        <f>VLOOKUP($B19,Raw_Data[#All],DK$2,0)/DK$1</f>
        <v>4.1382560879811461</v>
      </c>
      <c r="DL19" s="87">
        <f>VLOOKUP($B19,Raw_Data[#All],DL$2,0)/DL$1</f>
        <v>4.0702426564495529</v>
      </c>
      <c r="DM19" s="87">
        <f>VLOOKUP($B19,Raw_Data[#All],DM$2,0)/DM$1</f>
        <v>4.0821060823754785</v>
      </c>
      <c r="DN19" s="87">
        <f>VLOOKUP($B19,Raw_Data[#All],DN$2,0)/DN$1</f>
        <v>4.1411238825031926</v>
      </c>
      <c r="DO19" s="87">
        <f>VLOOKUP($B19,Raw_Data[#All],DO$2,0)/DO$1</f>
        <v>4.1550501345072144</v>
      </c>
      <c r="DP19" s="87">
        <f>VLOOKUP($B19,Raw_Data[#All],DP$2,0)/DP$1</f>
        <v>4.0725001349090721</v>
      </c>
      <c r="DQ19" s="87">
        <f>VLOOKUP($B19,Raw_Data[#All],DQ$2,0)/DQ$1</f>
        <v>4.1077358146323659</v>
      </c>
      <c r="DR19" s="87">
        <f>VLOOKUP($B19,Raw_Data[#All],DR$2,0)/DR$1</f>
        <v>4.0548670977011492</v>
      </c>
      <c r="DS19" s="87">
        <f>VLOOKUP($B19,Raw_Data[#All],DS$2,0)/DS$1</f>
        <v>4.0966038889788292</v>
      </c>
      <c r="DT19" s="87">
        <f>VLOOKUP($B19,Raw_Data[#All],DT$2,0)/DT$1</f>
        <v>4.1499929047821764</v>
      </c>
      <c r="DU19" s="87">
        <f>VLOOKUP($B19,Raw_Data[#All],DU$2,0)/DU$1</f>
        <v>4.2760686650138977</v>
      </c>
      <c r="DV19" s="87">
        <f>VLOOKUP($B19,Raw_Data[#All],DV$2,0)/DV$1</f>
        <v>4.1965172616513611</v>
      </c>
      <c r="DW19" s="87">
        <f>VLOOKUP($B19,Raw_Data[#All],DW$2,0)/DW$1</f>
        <v>4.3193038638226486</v>
      </c>
      <c r="DX19" s="87">
        <f>VLOOKUP($B19,Raw_Data[#All],DX$2,0)/DX$1</f>
        <v>4.1491330605883494</v>
      </c>
      <c r="DY19" s="87">
        <f>VLOOKUP($B19,Raw_Data[#All],DY$2,0)/DY$1</f>
        <v>4.1402909656282967</v>
      </c>
      <c r="DZ19" s="87">
        <f>VLOOKUP($B19,Raw_Data[#All],DZ$2,0)/DZ$1</f>
        <v>4.1509558272010381</v>
      </c>
      <c r="EA19" s="87">
        <f>VLOOKUP($B19,Raw_Data[#All],EA$2,0)/EA$1</f>
        <v>4.0771172573435503</v>
      </c>
      <c r="EB19" s="87">
        <f>VLOOKUP($B19,Raw_Data[#All],EB$2,0)/EB$1</f>
        <v>4.1260077426564497</v>
      </c>
      <c r="EC19" s="87">
        <f>VLOOKUP($B19,Raw_Data[#All],EC$2,0)/EC$1</f>
        <v>4.1775525185788558</v>
      </c>
      <c r="ED19" s="87">
        <f>VLOOKUP($B19,Raw_Data[#All],ED$2,0)/ED$1</f>
        <v>4.119238360617671</v>
      </c>
      <c r="EE19" s="87">
        <f>VLOOKUP($B19,Raw_Data[#All],EE$2,0)/EE$1</f>
        <v>4.0883658699750649</v>
      </c>
      <c r="EF19" s="87">
        <f>VLOOKUP($B19,Raw_Data[#All],EF$2,0)/EF$1</f>
        <v>4.0764116949461773</v>
      </c>
      <c r="EG19" s="87">
        <f>VLOOKUP($B19,Raw_Data[#All],EG$2,0)/EG$1</f>
        <v>4.0401999521072796</v>
      </c>
      <c r="EH19" s="87">
        <f>VLOOKUP($B19,Raw_Data[#All],EH$2,0)/EH$1</f>
        <v>4.0714299968071526</v>
      </c>
      <c r="EI19" s="87">
        <f>VLOOKUP($B19,Raw_Data[#All],EI$2,0)/EI$1</f>
        <v>4.2883496523343263</v>
      </c>
      <c r="EJ19" s="87">
        <f>VLOOKUP($B19,Raw_Data[#All],EJ$2,0)/EJ$1</f>
        <v>4.2682198327359622</v>
      </c>
      <c r="EK19" s="87">
        <f>VLOOKUP($B19,Raw_Data[#All],EK$2,0)/EK$1</f>
        <v>4.4443557542216547</v>
      </c>
      <c r="EL19" s="87">
        <f>VLOOKUP($B19,Raw_Data[#All],EL$2,0)/EL$1</f>
        <v>4.3583389081473376</v>
      </c>
      <c r="EM19" s="87">
        <f>VLOOKUP($B19,Raw_Data[#All],EM$2,0)/EM$1</f>
        <v>4.2580001079272574</v>
      </c>
      <c r="EN19" s="87">
        <f>VLOOKUP($B19,Raw_Data[#All],EN$2,0)/EN$1</f>
        <v>4.2727401731233146</v>
      </c>
      <c r="EO19" s="87">
        <f>VLOOKUP($B19,Raw_Data[#All],EO$2,0)/EO$1</f>
        <v>4.2422972541507029</v>
      </c>
      <c r="EP19" s="87">
        <f>VLOOKUP($B19,Raw_Data[#All],EP$2,0)/EP$1</f>
        <v>4.1262072956577267</v>
      </c>
      <c r="EQ19" s="87">
        <f>VLOOKUP($B19,Raw_Data[#All],EQ$2,0)/EQ$1</f>
        <v>4.5981176078627355</v>
      </c>
      <c r="ER19" s="87">
        <f>VLOOKUP($B19,Raw_Data[#All],ER$2,0)/ER$1</f>
        <v>4.5606286362991346</v>
      </c>
      <c r="ES19" s="87">
        <f>VLOOKUP($B19,Raw_Data[#All],ES$2,0)/ES$1</f>
        <v>4.4406669904484382</v>
      </c>
      <c r="ET19" s="87">
        <f>VLOOKUP($B19,Raw_Data[#All],ET$2,0)/ET$1</f>
        <v>4.4688629863472027</v>
      </c>
      <c r="EU19" s="87">
        <f>VLOOKUP($B19,Raw_Data[#All],EU$2,0)/EU$1</f>
        <v>4.4820840753332254</v>
      </c>
      <c r="EV19" s="87">
        <f>VLOOKUP($B19,Raw_Data[#All],EV$2,0)/EV$1</f>
        <v>4.3082606073506451</v>
      </c>
      <c r="EW19" s="87">
        <f>VLOOKUP($B19,Raw_Data[#All],EW$2,0)/EW$1</f>
        <v>4.5541985951468709</v>
      </c>
      <c r="EX19" s="87">
        <f>VLOOKUP($B19,Raw_Data[#All],EX$2,0)/EX$1</f>
        <v>4.5612757001780802</v>
      </c>
      <c r="EY19" s="87">
        <f>VLOOKUP($B19,Raw_Data[#All],EY$2,0)/EY$1</f>
        <v>4.3625467763398795</v>
      </c>
      <c r="EZ19" s="87">
        <f>VLOOKUP($B19,Raw_Data[#All],EZ$2,0)/EZ$1</f>
        <v>4.3851106853980424</v>
      </c>
      <c r="FA19" s="87">
        <f>VLOOKUP($B19,Raw_Data[#All],FA$2,0)/FA$1</f>
        <v>3.4440630764864482</v>
      </c>
      <c r="FB19" s="87">
        <f>VLOOKUP($B19,Raw_Data[#All],FB$2,0)/FB$1</f>
        <v>4.0542074641691501</v>
      </c>
      <c r="FC19" s="87">
        <f>VLOOKUP($B19,Raw_Data[#All],FC$2,0)/FC$1</f>
        <v>4.5393873279409682</v>
      </c>
      <c r="FD19" s="87">
        <f>VLOOKUP($B19,Raw_Data[#All],FD$2,0)/FD$1</f>
        <v>4.6152618135376757</v>
      </c>
      <c r="FE19" s="87">
        <f>VLOOKUP($B19,Raw_Data[#All],FE$2,0)/FE$1</f>
        <v>4.3309209592734499</v>
      </c>
      <c r="FF19" s="87">
        <f>VLOOKUP($B19,Raw_Data[#All],FF$2,0)/FF$1</f>
        <v>4.5101472701149428</v>
      </c>
      <c r="FG19" s="105">
        <f>VLOOKUP($B19,Raw_Data[#All],FG$2,0)/FG$1</f>
        <v>4.1761588411201247</v>
      </c>
    </row>
    <row r="20" spans="2:163">
      <c r="B20" s="104">
        <f t="shared" si="0"/>
        <v>45843</v>
      </c>
      <c r="C20" s="87">
        <f>VLOOKUP($B20,Raw_Data[#All],C$2,0)/C$1</f>
        <v>5.2316236004728838</v>
      </c>
      <c r="D20" s="87">
        <f>VLOOKUP($B20,Raw_Data[#All],D$2,0)/D$1</f>
        <v>5.2887913097134325</v>
      </c>
      <c r="E20" s="87">
        <f>VLOOKUP($B20,Raw_Data[#All],E$2,0)/E$1</f>
        <v>5.2265606688956812</v>
      </c>
      <c r="F20" s="87">
        <f>VLOOKUP($B20,Raw_Data[#All],F$2,0)/F$1</f>
        <v>5.2076690386748838</v>
      </c>
      <c r="G20" s="87">
        <f>VLOOKUP($B20,Raw_Data[#All],G$2,0)/G$1</f>
        <v>5.2786985616638207</v>
      </c>
      <c r="H20" s="87">
        <f>VLOOKUP($B20,Raw_Data[#All],H$2,0)/H$1</f>
        <v>5.2739152687493123</v>
      </c>
      <c r="I20" s="87">
        <f>VLOOKUP($B20,Raw_Data[#All],I$2,0)/I$1</f>
        <v>5.3270098201003533</v>
      </c>
      <c r="J20" s="87">
        <f>VLOOKUP($B20,Raw_Data[#All],J$2,0)/J$1</f>
        <v>5.182532989949177</v>
      </c>
      <c r="K20" s="87">
        <f>VLOOKUP($B20,Raw_Data[#All],K$2,0)/K$1</f>
        <v>5.3380592267328666</v>
      </c>
      <c r="L20" s="87">
        <f>VLOOKUP($B20,Raw_Data[#All],L$2,0)/L$1</f>
        <v>5.2925222781867491</v>
      </c>
      <c r="M20" s="87">
        <f>VLOOKUP($B20,Raw_Data[#All],M$2,0)/M$1</f>
        <v>5.1954812392690366</v>
      </c>
      <c r="N20" s="87">
        <f>VLOOKUP($B20,Raw_Data[#All],N$2,0)/N$1</f>
        <v>5.3011322054328636</v>
      </c>
      <c r="O20" s="87">
        <f>VLOOKUP($B20,Raw_Data[#All],O$2,0)/O$1</f>
        <v>5.1923754114675029</v>
      </c>
      <c r="P20" s="87">
        <f>VLOOKUP($B20,Raw_Data[#All],P$2,0)/P$1</f>
        <v>5.2565997483987923</v>
      </c>
      <c r="Q20" s="87">
        <f>VLOOKUP($B20,Raw_Data[#All],Q$2,0)/Q$1</f>
        <v>5.3890969621306697</v>
      </c>
      <c r="R20" s="87">
        <f>VLOOKUP($B20,Raw_Data[#All],R$2,0)/R$1</f>
        <v>5.3402595414735403</v>
      </c>
      <c r="S20" s="87">
        <f>VLOOKUP($B20,Raw_Data[#All],S$2,0)/S$1</f>
        <v>5.3943585843366284</v>
      </c>
      <c r="T20" s="87">
        <f>VLOOKUP($B20,Raw_Data[#All],T$2,0)/T$1</f>
        <v>5.3808218653885707</v>
      </c>
      <c r="U20" s="87">
        <f>VLOOKUP($B20,Raw_Data[#All],U$2,0)/U$1</f>
        <v>5.3969415625104631</v>
      </c>
      <c r="V20" s="87">
        <f>VLOOKUP($B20,Raw_Data[#All],V$2,0)/V$1</f>
        <v>5.4161704000267861</v>
      </c>
      <c r="W20" s="87">
        <f>VLOOKUP($B20,Raw_Data[#All],W$2,0)/W$1</f>
        <v>5.3463194237244798</v>
      </c>
      <c r="X20" s="87">
        <f>VLOOKUP($B20,Raw_Data[#All],X$2,0)/X$1</f>
        <v>5.3407596613216031</v>
      </c>
      <c r="Y20" s="87">
        <f>VLOOKUP($B20,Raw_Data[#All],Y$2,0)/Y$1</f>
        <v>5.3954604975993012</v>
      </c>
      <c r="Z20" s="87">
        <f>VLOOKUP($B20,Raw_Data[#All],Z$2,0)/Z$1</f>
        <v>5.3455938697318013</v>
      </c>
      <c r="AA20" s="87">
        <f>VLOOKUP($B20,Raw_Data[#All],AA$2,0)/AA$1</f>
        <v>5.344492337164751</v>
      </c>
      <c r="AB20" s="87">
        <f>VLOOKUP($B20,Raw_Data[#All],AB$2,0)/AB$1</f>
        <v>5.2703038152285364</v>
      </c>
      <c r="AC20" s="87">
        <f>VLOOKUP($B20,Raw_Data[#All],AC$2,0)/AC$1</f>
        <v>5.2117225276937145</v>
      </c>
      <c r="AD20" s="87">
        <f>VLOOKUP($B20,Raw_Data[#All],AD$2,0)/AD$1</f>
        <v>5.2173028711981457</v>
      </c>
      <c r="AE20" s="87">
        <f>VLOOKUP($B20,Raw_Data[#All],AE$2,0)/AE$1</f>
        <v>5.4096778771108278</v>
      </c>
      <c r="AF20" s="87">
        <f>VLOOKUP($B20,Raw_Data[#All],AF$2,0)/AF$1</f>
        <v>5.4927203065134096</v>
      </c>
      <c r="AG20" s="87">
        <f>VLOOKUP($B20,Raw_Data[#All],AG$2,0)/AG$1</f>
        <v>5.494301372520491</v>
      </c>
      <c r="AH20" s="87">
        <f>VLOOKUP($B20,Raw_Data[#All],AH$2,0)/AH$1</f>
        <v>5.4560806016744721</v>
      </c>
      <c r="AI20" s="87">
        <f>VLOOKUP($B20,Raw_Data[#All],AI$2,0)/AI$1</f>
        <v>5.5837291508220082</v>
      </c>
      <c r="AJ20" s="87">
        <f>VLOOKUP($B20,Raw_Data[#All],AJ$2,0)/AJ$1</f>
        <v>5.5396271901502434</v>
      </c>
      <c r="AK20" s="87">
        <f>VLOOKUP($B20,Raw_Data[#All],AK$2,0)/AK$1</f>
        <v>5.5529725773817207</v>
      </c>
      <c r="AL20" s="87">
        <f>VLOOKUP($B20,Raw_Data[#All],AL$2,0)/AL$1</f>
        <v>5.5148497328530901</v>
      </c>
      <c r="AM20" s="87">
        <f>VLOOKUP($B20,Raw_Data[#All],AM$2,0)/AM$1</f>
        <v>5.5882254461616458</v>
      </c>
      <c r="AN20" s="87">
        <f>VLOOKUP($B20,Raw_Data[#All],AN$2,0)/AN$1</f>
        <v>5.510783933875758</v>
      </c>
      <c r="AO20" s="87">
        <f>VLOOKUP($B20,Raw_Data[#All],AO$2,0)/AO$1</f>
        <v>5.5206375172796456</v>
      </c>
      <c r="AP20" s="87">
        <f>VLOOKUP($B20,Raw_Data[#All],AP$2,0)/AP$1</f>
        <v>5.4965297209905239</v>
      </c>
      <c r="AQ20" s="87">
        <f>VLOOKUP($B20,Raw_Data[#All],AQ$2,0)/AQ$1</f>
        <v>5.5274913166469721</v>
      </c>
      <c r="AR20" s="87">
        <f>VLOOKUP($B20,Raw_Data[#All],AR$2,0)/AR$1</f>
        <v>5.5056460834762717</v>
      </c>
      <c r="AS20" s="87">
        <f>VLOOKUP($B20,Raw_Data[#All],AS$2,0)/AS$1</f>
        <v>5.5419335218530001</v>
      </c>
      <c r="AT20" s="87">
        <f>VLOOKUP($B20,Raw_Data[#All],AT$2,0)/AT$1</f>
        <v>5.4950899615503133</v>
      </c>
      <c r="AU20" s="87">
        <f>VLOOKUP($B20,Raw_Data[#All],AU$2,0)/AU$1</f>
        <v>5.332499532050301</v>
      </c>
      <c r="AV20" s="87">
        <f>VLOOKUP($B20,Raw_Data[#All],AV$2,0)/AV$1</f>
        <v>5.2492468153387692</v>
      </c>
      <c r="AW20" s="87">
        <f>VLOOKUP($B20,Raw_Data[#All],AW$2,0)/AW$1</f>
        <v>5.5711066836369838</v>
      </c>
      <c r="AX20" s="87">
        <f>VLOOKUP($B20,Raw_Data[#All],AX$2,0)/AX$1</f>
        <v>5.5310273212303516</v>
      </c>
      <c r="AY20" s="87">
        <f>VLOOKUP($B20,Raw_Data[#All],AY$2,0)/AY$1</f>
        <v>5.0284594780468392</v>
      </c>
      <c r="AZ20" s="87">
        <f>VLOOKUP($B20,Raw_Data[#All],AZ$2,0)/AZ$1</f>
        <v>5.1438178247214603</v>
      </c>
      <c r="BA20" s="87">
        <f>VLOOKUP($B20,Raw_Data[#All],BA$2,0)/BA$1</f>
        <v>5.2331478218717074</v>
      </c>
      <c r="BB20" s="87">
        <f>VLOOKUP($B20,Raw_Data[#All],BB$2,0)/BB$1</f>
        <v>5.3682750638569603</v>
      </c>
      <c r="BC20" s="87">
        <f>VLOOKUP($B20,Raw_Data[#All],BC$2,0)/BC$1</f>
        <v>5.215449786843668</v>
      </c>
      <c r="BD20" s="87">
        <f>VLOOKUP($B20,Raw_Data[#All],BD$2,0)/BD$1</f>
        <v>5.2488403644830681</v>
      </c>
      <c r="BE20" s="87">
        <f>VLOOKUP($B20,Raw_Data[#All],BE$2,0)/BE$1</f>
        <v>5.2548882053495944</v>
      </c>
      <c r="BF20" s="87">
        <f>VLOOKUP($B20,Raw_Data[#All],BF$2,0)/BF$1</f>
        <v>5.247533648403385</v>
      </c>
      <c r="BG20" s="87">
        <f>VLOOKUP($B20,Raw_Data[#All],BG$2,0)/BG$1</f>
        <v>5.2446836546453408</v>
      </c>
      <c r="BH20" s="87">
        <f>VLOOKUP($B20,Raw_Data[#All],BH$2,0)/BH$1</f>
        <v>5.2221644853886664</v>
      </c>
      <c r="BI20" s="87">
        <f>VLOOKUP($B20,Raw_Data[#All],BI$2,0)/BI$1</f>
        <v>5.1530033043443009</v>
      </c>
      <c r="BJ20" s="87">
        <f>VLOOKUP($B20,Raw_Data[#All],BJ$2,0)/BJ$1</f>
        <v>5.1945952704150891</v>
      </c>
      <c r="BK20" s="87">
        <f>VLOOKUP($B20,Raw_Data[#All],BK$2,0)/BK$1</f>
        <v>5.152132462720127</v>
      </c>
      <c r="BL20" s="87">
        <f>VLOOKUP($B20,Raw_Data[#All],BL$2,0)/BL$1</f>
        <v>5.1520910620527474</v>
      </c>
      <c r="BM20" s="87">
        <f>VLOOKUP($B20,Raw_Data[#All],BM$2,0)/BM$1</f>
        <v>5.202289728151797</v>
      </c>
      <c r="BN20" s="87">
        <f>VLOOKUP($B20,Raw_Data[#All],BN$2,0)/BN$1</f>
        <v>5.1785440613026816</v>
      </c>
      <c r="BO20" s="87">
        <f>VLOOKUP($B20,Raw_Data[#All],BO$2,0)/BO$1</f>
        <v>5.1787646909110805</v>
      </c>
      <c r="BP20" s="87">
        <f>VLOOKUP($B20,Raw_Data[#All],BP$2,0)/BP$1</f>
        <v>5.1501684719021004</v>
      </c>
      <c r="BQ20" s="87">
        <f>VLOOKUP($B20,Raw_Data[#All],BQ$2,0)/BQ$1</f>
        <v>5.2232447616986155</v>
      </c>
      <c r="BR20" s="87">
        <f>VLOOKUP($B20,Raw_Data[#All],BR$2,0)/BR$1</f>
        <v>5.1684819451349036</v>
      </c>
      <c r="BS20" s="87">
        <f>VLOOKUP($B20,Raw_Data[#All],BS$2,0)/BS$1</f>
        <v>5.1645695349685541</v>
      </c>
      <c r="BT20" s="87">
        <f>VLOOKUP($B20,Raw_Data[#All],BT$2,0)/BT$1</f>
        <v>5.2416165770325849</v>
      </c>
      <c r="BU20" s="87">
        <f>VLOOKUP($B20,Raw_Data[#All],BU$2,0)/BU$1</f>
        <v>5.1690274516443804</v>
      </c>
      <c r="BV20" s="87">
        <f>VLOOKUP($B20,Raw_Data[#All],BV$2,0)/BV$1</f>
        <v>5.2102744129562923</v>
      </c>
      <c r="BW20" s="87">
        <f>VLOOKUP($B20,Raw_Data[#All],BW$2,0)/BW$1</f>
        <v>5.227663945804875</v>
      </c>
      <c r="BX20" s="87">
        <f>VLOOKUP($B20,Raw_Data[#All],BX$2,0)/BX$1</f>
        <v>5.2183814138682285</v>
      </c>
      <c r="BY20" s="87">
        <f>VLOOKUP($B20,Raw_Data[#All],BY$2,0)/BY$1</f>
        <v>5.2872549615844635</v>
      </c>
      <c r="BZ20" s="87">
        <f>VLOOKUP($B20,Raw_Data[#All],BZ$2,0)/BZ$1</f>
        <v>5.1750484509105199</v>
      </c>
      <c r="CA20" s="87">
        <f>VLOOKUP($B20,Raw_Data[#All],CA$2,0)/CA$1</f>
        <v>5.2792197091418451</v>
      </c>
      <c r="CB20" s="87">
        <f>VLOOKUP($B20,Raw_Data[#All],CB$2,0)/CB$1</f>
        <v>5.1987104441606355</v>
      </c>
      <c r="CC20" s="87">
        <f>VLOOKUP($B20,Raw_Data[#All],CC$2,0)/CC$1</f>
        <v>5.2592795313101819</v>
      </c>
      <c r="CD20" s="87">
        <f>VLOOKUP($B20,Raw_Data[#All],CD$2,0)/CD$1</f>
        <v>5.1157969528537768</v>
      </c>
      <c r="CE20" s="87">
        <f>VLOOKUP($B20,Raw_Data[#All],CE$2,0)/CE$1</f>
        <v>4.6889334862385317</v>
      </c>
      <c r="CF20" s="87">
        <f>VLOOKUP($B20,Raw_Data[#All],CF$2,0)/CF$1</f>
        <v>4.6527466374092636</v>
      </c>
      <c r="CG20" s="87">
        <f>VLOOKUP($B20,Raw_Data[#All],CG$2,0)/CG$1</f>
        <v>4.7474265690020196</v>
      </c>
      <c r="CH20" s="87">
        <f>VLOOKUP($B20,Raw_Data[#All],CH$2,0)/CH$1</f>
        <v>4.6494604379767299</v>
      </c>
      <c r="CI20" s="87">
        <f>VLOOKUP($B20,Raw_Data[#All],CI$2,0)/CI$1</f>
        <v>4.7296642676368235</v>
      </c>
      <c r="CJ20" s="87">
        <f>VLOOKUP($B20,Raw_Data[#All],CJ$2,0)/CJ$1</f>
        <v>4.6783488989450221</v>
      </c>
      <c r="CK20" s="87">
        <f>VLOOKUP($B20,Raw_Data[#All],CK$2,0)/CK$1</f>
        <v>4.6886369028788355</v>
      </c>
      <c r="CL20" s="87">
        <f>VLOOKUP($B20,Raw_Data[#All],CL$2,0)/CL$1</f>
        <v>4.7069231479900226</v>
      </c>
      <c r="CM20" s="87">
        <f>VLOOKUP($B20,Raw_Data[#All],CM$2,0)/CM$1</f>
        <v>5.3886152162014227</v>
      </c>
      <c r="CN20" s="87">
        <f>VLOOKUP($B20,Raw_Data[#All],CN$2,0)/CN$1</f>
        <v>5.2496525430095407</v>
      </c>
      <c r="CO20" s="87">
        <f>VLOOKUP($B20,Raw_Data[#All],CO$2,0)/CO$1</f>
        <v>5.3966341202158779</v>
      </c>
      <c r="CP20" s="87">
        <f>VLOOKUP($B20,Raw_Data[#All],CP$2,0)/CP$1</f>
        <v>5.3550713069391227</v>
      </c>
      <c r="CQ20" s="87">
        <f>VLOOKUP($B20,Raw_Data[#All],CQ$2,0)/CQ$1</f>
        <v>5.3851486954935224</v>
      </c>
      <c r="CR20" s="87">
        <f>VLOOKUP($B20,Raw_Data[#All],CR$2,0)/CR$1</f>
        <v>5.5195861270753506</v>
      </c>
      <c r="CS20" s="87">
        <f>VLOOKUP($B20,Raw_Data[#All],CS$2,0)/CS$1</f>
        <v>5.4878073116219674</v>
      </c>
      <c r="CT20" s="87">
        <f>VLOOKUP($B20,Raw_Data[#All],CT$2,0)/CT$1</f>
        <v>5.4282492323578166</v>
      </c>
      <c r="CU20" s="87">
        <f>VLOOKUP($B20,Raw_Data[#All],CU$2,0)/CU$1</f>
        <v>5.6045977011494257</v>
      </c>
      <c r="CV20" s="87">
        <f>VLOOKUP($B20,Raw_Data[#All],CV$2,0)/CV$1</f>
        <v>5.5254936634246974</v>
      </c>
      <c r="CW20" s="87">
        <f>VLOOKUP($B20,Raw_Data[#All],CW$2,0)/CW$1</f>
        <v>5.3947074636729804</v>
      </c>
      <c r="CX20" s="87">
        <f>VLOOKUP($B20,Raw_Data[#All],CX$2,0)/CX$1</f>
        <v>5.4865488402752032</v>
      </c>
      <c r="CY20" s="87">
        <f>VLOOKUP($B20,Raw_Data[#All],CY$2,0)/CY$1</f>
        <v>5.3095288775365406</v>
      </c>
      <c r="CZ20" s="87">
        <f>VLOOKUP($B20,Raw_Data[#All],CZ$2,0)/CZ$1</f>
        <v>5.4711510732089152</v>
      </c>
      <c r="DA20" s="87">
        <f>VLOOKUP($B20,Raw_Data[#All],DA$2,0)/DA$1</f>
        <v>5.3615672322568875</v>
      </c>
      <c r="DB20" s="87">
        <f>VLOOKUP($B20,Raw_Data[#All],DB$2,0)/DB$1</f>
        <v>5.399255667305237</v>
      </c>
      <c r="DC20" s="87">
        <f>VLOOKUP($B20,Raw_Data[#All],DC$2,0)/DC$1</f>
        <v>5.3072329250085444</v>
      </c>
      <c r="DD20" s="87">
        <f>VLOOKUP($B20,Raw_Data[#All],DD$2,0)/DD$1</f>
        <v>5.3633042313087538</v>
      </c>
      <c r="DE20" s="87">
        <f>VLOOKUP($B20,Raw_Data[#All],DE$2,0)/DE$1</f>
        <v>5.303005774108251</v>
      </c>
      <c r="DF20" s="87">
        <f>VLOOKUP($B20,Raw_Data[#All],DF$2,0)/DF$1</f>
        <v>5.3141463122605366</v>
      </c>
      <c r="DG20" s="87">
        <f>VLOOKUP($B20,Raw_Data[#All],DG$2,0)/DG$1</f>
        <v>5.2676062762269664</v>
      </c>
      <c r="DH20" s="87">
        <f>VLOOKUP($B20,Raw_Data[#All],DH$2,0)/DH$1</f>
        <v>5.2716415229885056</v>
      </c>
      <c r="DI20" s="87">
        <f>VLOOKUP($B20,Raw_Data[#All],DI$2,0)/DI$1</f>
        <v>5.2997628170041962</v>
      </c>
      <c r="DJ20" s="87">
        <f>VLOOKUP($B20,Raw_Data[#All],DJ$2,0)/DJ$1</f>
        <v>5.3633361270753515</v>
      </c>
      <c r="DK20" s="87">
        <f>VLOOKUP($B20,Raw_Data[#All],DK$2,0)/DK$1</f>
        <v>5.3834224463421423</v>
      </c>
      <c r="DL20" s="87">
        <f>VLOOKUP($B20,Raw_Data[#All],DL$2,0)/DL$1</f>
        <v>5.2877668308702788</v>
      </c>
      <c r="DM20" s="87">
        <f>VLOOKUP($B20,Raw_Data[#All],DM$2,0)/DM$1</f>
        <v>5.31803759578544</v>
      </c>
      <c r="DN20" s="87">
        <f>VLOOKUP($B20,Raw_Data[#All],DN$2,0)/DN$1</f>
        <v>5.3967371153133117</v>
      </c>
      <c r="DO20" s="87">
        <f>VLOOKUP($B20,Raw_Data[#All],DO$2,0)/DO$1</f>
        <v>5.2861335289801907</v>
      </c>
      <c r="DP20" s="87">
        <f>VLOOKUP($B20,Raw_Data[#All],DP$2,0)/DP$1</f>
        <v>5.2324483298256981</v>
      </c>
      <c r="DQ20" s="87">
        <f>VLOOKUP($B20,Raw_Data[#All],DQ$2,0)/DQ$1</f>
        <v>5.2678343367998544</v>
      </c>
      <c r="DR20" s="87">
        <f>VLOOKUP($B20,Raw_Data[#All],DR$2,0)/DR$1</f>
        <v>5.2756824712643677</v>
      </c>
      <c r="DS20" s="87">
        <f>VLOOKUP($B20,Raw_Data[#All],DS$2,0)/DS$1</f>
        <v>5.236900329178134</v>
      </c>
      <c r="DT20" s="87">
        <f>VLOOKUP($B20,Raw_Data[#All],DT$2,0)/DT$1</f>
        <v>5.310618500273673</v>
      </c>
      <c r="DU20" s="87">
        <f>VLOOKUP($B20,Raw_Data[#All],DU$2,0)/DU$1</f>
        <v>5.3729997746224925</v>
      </c>
      <c r="DV20" s="87">
        <f>VLOOKUP($B20,Raw_Data[#All],DV$2,0)/DV$1</f>
        <v>5.3776176285754822</v>
      </c>
      <c r="DW20" s="87">
        <f>VLOOKUP($B20,Raw_Data[#All],DW$2,0)/DW$1</f>
        <v>5.3792340977106798</v>
      </c>
      <c r="DX20" s="87">
        <f>VLOOKUP($B20,Raw_Data[#All],DX$2,0)/DX$1</f>
        <v>5.3679892633720803</v>
      </c>
      <c r="DY20" s="87">
        <f>VLOOKUP($B20,Raw_Data[#All],DY$2,0)/DY$1</f>
        <v>5.2844411127769453</v>
      </c>
      <c r="DZ20" s="87">
        <f>VLOOKUP($B20,Raw_Data[#All],DZ$2,0)/DZ$1</f>
        <v>5.3274443025400879</v>
      </c>
      <c r="EA20" s="87">
        <f>VLOOKUP($B20,Raw_Data[#All],EA$2,0)/EA$1</f>
        <v>5.3139467592592595</v>
      </c>
      <c r="EB20" s="87">
        <f>VLOOKUP($B20,Raw_Data[#All],EB$2,0)/EB$1</f>
        <v>5.3760077426564497</v>
      </c>
      <c r="EC20" s="87">
        <f>VLOOKUP($B20,Raw_Data[#All],EC$2,0)/EC$1</f>
        <v>5.3284359569996278</v>
      </c>
      <c r="ED20" s="87">
        <f>VLOOKUP($B20,Raw_Data[#All],ED$2,0)/ED$1</f>
        <v>5.2727853245094627</v>
      </c>
      <c r="EE20" s="87">
        <f>VLOOKUP($B20,Raw_Data[#All],EE$2,0)/EE$1</f>
        <v>5.2946035800441926</v>
      </c>
      <c r="EF20" s="87">
        <f>VLOOKUP($B20,Raw_Data[#All],EF$2,0)/EF$1</f>
        <v>5.2817688378033196</v>
      </c>
      <c r="EG20" s="87">
        <f>VLOOKUP($B20,Raw_Data[#All],EG$2,0)/EG$1</f>
        <v>5.3196340197956582</v>
      </c>
      <c r="EH20" s="87">
        <f>VLOOKUP($B20,Raw_Data[#All],EH$2,0)/EH$1</f>
        <v>5.3635855683269478</v>
      </c>
      <c r="EI20" s="87">
        <f>VLOOKUP($B20,Raw_Data[#All],EI$2,0)/EI$1</f>
        <v>5.5199020859940404</v>
      </c>
      <c r="EJ20" s="87">
        <f>VLOOKUP($B20,Raw_Data[#All],EJ$2,0)/EJ$1</f>
        <v>5.6437193589585144</v>
      </c>
      <c r="EK20" s="87">
        <f>VLOOKUP($B20,Raw_Data[#All],EK$2,0)/EK$1</f>
        <v>5.5031839789981554</v>
      </c>
      <c r="EL20" s="87">
        <f>VLOOKUP($B20,Raw_Data[#All],EL$2,0)/EL$1</f>
        <v>5.6533682012609212</v>
      </c>
      <c r="EM20" s="87">
        <f>VLOOKUP($B20,Raw_Data[#All],EM$2,0)/EM$1</f>
        <v>5.5350943464105198</v>
      </c>
      <c r="EN20" s="87">
        <f>VLOOKUP($B20,Raw_Data[#All],EN$2,0)/EN$1</f>
        <v>5.5560116767013312</v>
      </c>
      <c r="EO20" s="87">
        <f>VLOOKUP($B20,Raw_Data[#All],EO$2,0)/EO$1</f>
        <v>5.5898287835249043</v>
      </c>
      <c r="EP20" s="87">
        <f>VLOOKUP($B20,Raw_Data[#All],EP$2,0)/EP$1</f>
        <v>5.4231521392081738</v>
      </c>
      <c r="EQ20" s="87">
        <f>VLOOKUP($B20,Raw_Data[#All],EQ$2,0)/EQ$1</f>
        <v>5.5862346604475537</v>
      </c>
      <c r="ER20" s="87">
        <f>VLOOKUP($B20,Raw_Data[#All],ER$2,0)/ER$1</f>
        <v>5.51134347949482</v>
      </c>
      <c r="ES20" s="87">
        <f>VLOOKUP($B20,Raw_Data[#All],ES$2,0)/ES$1</f>
        <v>5.5031208965157488</v>
      </c>
      <c r="ET20" s="87">
        <f>VLOOKUP($B20,Raw_Data[#All],ET$2,0)/ET$1</f>
        <v>5.4856276869390035</v>
      </c>
      <c r="EU20" s="87">
        <f>VLOOKUP($B20,Raw_Data[#All],EU$2,0)/EU$1</f>
        <v>5.5189502275466342</v>
      </c>
      <c r="EV20" s="87">
        <f>VLOOKUP($B20,Raw_Data[#All],EV$2,0)/EV$1</f>
        <v>5.4682400312189587</v>
      </c>
      <c r="EW20" s="87">
        <f>VLOOKUP($B20,Raw_Data[#All],EW$2,0)/EW$1</f>
        <v>5.6426105523627079</v>
      </c>
      <c r="EX20" s="87">
        <f>VLOOKUP($B20,Raw_Data[#All],EX$2,0)/EX$1</f>
        <v>5.5243465903980722</v>
      </c>
      <c r="EY20" s="87">
        <f>VLOOKUP($B20,Raw_Data[#All],EY$2,0)/EY$1</f>
        <v>5.4482490689387237</v>
      </c>
      <c r="EZ20" s="87">
        <f>VLOOKUP($B20,Raw_Data[#All],EZ$2,0)/EZ$1</f>
        <v>5.4028309919114523</v>
      </c>
      <c r="FA20" s="87">
        <f>VLOOKUP($B20,Raw_Data[#All],FA$2,0)/FA$1</f>
        <v>5.3995494536682278</v>
      </c>
      <c r="FB20" s="87">
        <f>VLOOKUP($B20,Raw_Data[#All],FB$2,0)/FB$1</f>
        <v>5.3819000993330492</v>
      </c>
      <c r="FC20" s="87">
        <f>VLOOKUP($B20,Raw_Data[#All],FC$2,0)/FC$1</f>
        <v>5.415779764438768</v>
      </c>
      <c r="FD20" s="87">
        <f>VLOOKUP($B20,Raw_Data[#All],FD$2,0)/FD$1</f>
        <v>5.5463761174968074</v>
      </c>
      <c r="FE20" s="87">
        <f>VLOOKUP($B20,Raw_Data[#All],FE$2,0)/FE$1</f>
        <v>5.4351142330069528</v>
      </c>
      <c r="FF20" s="87">
        <f>VLOOKUP($B20,Raw_Data[#All],FF$2,0)/FF$1</f>
        <v>5.6015026340996172</v>
      </c>
      <c r="FG20" s="105">
        <f>VLOOKUP($B20,Raw_Data[#All],FG$2,0)/FG$1</f>
        <v>5.3219681830593872</v>
      </c>
    </row>
    <row r="21" spans="2:163">
      <c r="B21" s="104">
        <f t="shared" si="0"/>
        <v>45844</v>
      </c>
      <c r="C21" s="87">
        <f>VLOOKUP($B21,Raw_Data[#All],C$2,0)/C$1</f>
        <v>5.3473608917235422</v>
      </c>
      <c r="D21" s="87">
        <f>VLOOKUP($B21,Raw_Data[#All],D$2,0)/D$1</f>
        <v>5.3374373986539814</v>
      </c>
      <c r="E21" s="87">
        <f>VLOOKUP($B21,Raw_Data[#All],E$2,0)/E$1</f>
        <v>5.2920917818244435</v>
      </c>
      <c r="F21" s="87">
        <f>VLOOKUP($B21,Raw_Data[#All],F$2,0)/F$1</f>
        <v>5.310282258549698</v>
      </c>
      <c r="G21" s="87">
        <f>VLOOKUP($B21,Raw_Data[#All],G$2,0)/G$1</f>
        <v>5.32208302839841</v>
      </c>
      <c r="H21" s="87">
        <f>VLOOKUP($B21,Raw_Data[#All],H$2,0)/H$1</f>
        <v>5.3207915393114931</v>
      </c>
      <c r="I21" s="87">
        <f>VLOOKUP($B21,Raw_Data[#All],I$2,0)/I$1</f>
        <v>5.3647021682666782</v>
      </c>
      <c r="J21" s="87">
        <f>VLOOKUP($B21,Raw_Data[#All],J$2,0)/J$1</f>
        <v>5.1875014244364932</v>
      </c>
      <c r="K21" s="87">
        <f>VLOOKUP($B21,Raw_Data[#All],K$2,0)/K$1</f>
        <v>5.3455689966086446</v>
      </c>
      <c r="L21" s="87">
        <f>VLOOKUP($B21,Raw_Data[#All],L$2,0)/L$1</f>
        <v>5.3200687954186785</v>
      </c>
      <c r="M21" s="87">
        <f>VLOOKUP($B21,Raw_Data[#All],M$2,0)/M$1</f>
        <v>5.155061733795562</v>
      </c>
      <c r="N21" s="87">
        <f>VLOOKUP($B21,Raw_Data[#All],N$2,0)/N$1</f>
        <v>5.3253356675802754</v>
      </c>
      <c r="O21" s="87">
        <f>VLOOKUP($B21,Raw_Data[#All],O$2,0)/O$1</f>
        <v>5.1396200828949805</v>
      </c>
      <c r="P21" s="87">
        <f>VLOOKUP($B21,Raw_Data[#All],P$2,0)/P$1</f>
        <v>5.2754459224819543</v>
      </c>
      <c r="Q21" s="87">
        <f>VLOOKUP($B21,Raw_Data[#All],Q$2,0)/Q$1</f>
        <v>5.290513295162655</v>
      </c>
      <c r="R21" s="87">
        <f>VLOOKUP($B21,Raw_Data[#All],R$2,0)/R$1</f>
        <v>5.3000798809916718</v>
      </c>
      <c r="S21" s="87">
        <f>VLOOKUP($B21,Raw_Data[#All],S$2,0)/S$1</f>
        <v>5.2639660194871345</v>
      </c>
      <c r="T21" s="87">
        <f>VLOOKUP($B21,Raw_Data[#All],T$2,0)/T$1</f>
        <v>5.2441153538919254</v>
      </c>
      <c r="U21" s="87">
        <f>VLOOKUP($B21,Raw_Data[#All],U$2,0)/U$1</f>
        <v>5.2579390704148548</v>
      </c>
      <c r="V21" s="87">
        <f>VLOOKUP($B21,Raw_Data[#All],V$2,0)/V$1</f>
        <v>5.299410219983641</v>
      </c>
      <c r="W21" s="87">
        <f>VLOOKUP($B21,Raw_Data[#All],W$2,0)/W$1</f>
        <v>5.2150850820984243</v>
      </c>
      <c r="X21" s="87">
        <f>VLOOKUP($B21,Raw_Data[#All],X$2,0)/X$1</f>
        <v>5.1923750059126821</v>
      </c>
      <c r="Y21" s="87">
        <f>VLOOKUP($B21,Raw_Data[#All],Y$2,0)/Y$1</f>
        <v>5.249527135166594</v>
      </c>
      <c r="Z21" s="87">
        <f>VLOOKUP($B21,Raw_Data[#All],Z$2,0)/Z$1</f>
        <v>5.219492337164751</v>
      </c>
      <c r="AA21" s="87">
        <f>VLOOKUP($B21,Raw_Data[#All],AA$2,0)/AA$1</f>
        <v>5.1663793103448272</v>
      </c>
      <c r="AB21" s="87">
        <f>VLOOKUP($B21,Raw_Data[#All],AB$2,0)/AB$1</f>
        <v>5.3221088986023419</v>
      </c>
      <c r="AC21" s="87">
        <f>VLOOKUP($B21,Raw_Data[#All],AC$2,0)/AC$1</f>
        <v>5.121643957584455</v>
      </c>
      <c r="AD21" s="87">
        <f>VLOOKUP($B21,Raw_Data[#All],AD$2,0)/AD$1</f>
        <v>5.097062579821201</v>
      </c>
      <c r="AE21" s="87">
        <f>VLOOKUP($B21,Raw_Data[#All],AE$2,0)/AE$1</f>
        <v>5.2038219573340898</v>
      </c>
      <c r="AF21" s="87">
        <f>VLOOKUP($B21,Raw_Data[#All],AF$2,0)/AF$1</f>
        <v>5.2451149425287351</v>
      </c>
      <c r="AG21" s="87">
        <f>VLOOKUP($B21,Raw_Data[#All],AG$2,0)/AG$1</f>
        <v>5.2406033270284684</v>
      </c>
      <c r="AH21" s="87">
        <f>VLOOKUP($B21,Raw_Data[#All],AH$2,0)/AH$1</f>
        <v>5.1829147154817656</v>
      </c>
      <c r="AI21" s="87">
        <f>VLOOKUP($B21,Raw_Data[#All],AI$2,0)/AI$1</f>
        <v>5.5657439694634574</v>
      </c>
      <c r="AJ21" s="87">
        <f>VLOOKUP($B21,Raw_Data[#All],AJ$2,0)/AJ$1</f>
        <v>5.5666049621880695</v>
      </c>
      <c r="AK21" s="87">
        <f>VLOOKUP($B21,Raw_Data[#All],AK$2,0)/AK$1</f>
        <v>5.6498342589005119</v>
      </c>
      <c r="AL21" s="87">
        <f>VLOOKUP($B21,Raw_Data[#All],AL$2,0)/AL$1</f>
        <v>5.5716752526774478</v>
      </c>
      <c r="AM21" s="87">
        <f>VLOOKUP($B21,Raw_Data[#All],AM$2,0)/AM$1</f>
        <v>5.266692496448405</v>
      </c>
      <c r="AN21" s="87">
        <f>VLOOKUP($B21,Raw_Data[#All],AN$2,0)/AN$1</f>
        <v>5.1929341197066883</v>
      </c>
      <c r="AO21" s="87">
        <f>VLOOKUP($B21,Raw_Data[#All],AO$2,0)/AO$1</f>
        <v>5.2122107901521568</v>
      </c>
      <c r="AP21" s="87">
        <f>VLOOKUP($B21,Raw_Data[#All],AP$2,0)/AP$1</f>
        <v>5.1800670617666613</v>
      </c>
      <c r="AQ21" s="87">
        <f>VLOOKUP($B21,Raw_Data[#All],AQ$2,0)/AQ$1</f>
        <v>5.1658788985569526</v>
      </c>
      <c r="AR21" s="87">
        <f>VLOOKUP($B21,Raw_Data[#All],AR$2,0)/AR$1</f>
        <v>5.1470483133218972</v>
      </c>
      <c r="AS21" s="87">
        <f>VLOOKUP($B21,Raw_Data[#All],AS$2,0)/AS$1</f>
        <v>5.1985130246512909</v>
      </c>
      <c r="AT21" s="87">
        <f>VLOOKUP($B21,Raw_Data[#All],AT$2,0)/AT$1</f>
        <v>5.1211321445636795</v>
      </c>
      <c r="AU21" s="87">
        <f>VLOOKUP($B21,Raw_Data[#All],AU$2,0)/AU$1</f>
        <v>4.9907686286521358</v>
      </c>
      <c r="AV21" s="87">
        <f>VLOOKUP($B21,Raw_Data[#All],AV$2,0)/AV$1</f>
        <v>4.9018813242951174</v>
      </c>
      <c r="AW21" s="87">
        <f>VLOOKUP($B21,Raw_Data[#All],AW$2,0)/AW$1</f>
        <v>5.1901740057297303</v>
      </c>
      <c r="AX21" s="87">
        <f>VLOOKUP($B21,Raw_Data[#All],AX$2,0)/AX$1</f>
        <v>5.1796648404769581</v>
      </c>
      <c r="AY21" s="87">
        <f>VLOOKUP($B21,Raw_Data[#All],AY$2,0)/AY$1</f>
        <v>4.9955206862851558</v>
      </c>
      <c r="AZ21" s="87">
        <f>VLOOKUP($B21,Raw_Data[#All],AZ$2,0)/AZ$1</f>
        <v>5.1012336292957539</v>
      </c>
      <c r="BA21" s="87">
        <f>VLOOKUP($B21,Raw_Data[#All],BA$2,0)/BA$1</f>
        <v>5.186490290945363</v>
      </c>
      <c r="BB21" s="87">
        <f>VLOOKUP($B21,Raw_Data[#All],BB$2,0)/BB$1</f>
        <v>5.349267640485313</v>
      </c>
      <c r="BC21" s="87">
        <f>VLOOKUP($B21,Raw_Data[#All],BC$2,0)/BC$1</f>
        <v>5.1019013185113238</v>
      </c>
      <c r="BD21" s="87">
        <f>VLOOKUP($B21,Raw_Data[#All],BD$2,0)/BD$1</f>
        <v>5.180270612177547</v>
      </c>
      <c r="BE21" s="87">
        <f>VLOOKUP($B21,Raw_Data[#All],BE$2,0)/BE$1</f>
        <v>5.1201140431349277</v>
      </c>
      <c r="BF21" s="87">
        <f>VLOOKUP($B21,Raw_Data[#All],BF$2,0)/BF$1</f>
        <v>5.0876026523387656</v>
      </c>
      <c r="BG21" s="87">
        <f>VLOOKUP($B21,Raw_Data[#All],BG$2,0)/BG$1</f>
        <v>5.2774736970139262</v>
      </c>
      <c r="BH21" s="87">
        <f>VLOOKUP($B21,Raw_Data[#All],BH$2,0)/BH$1</f>
        <v>5.0782089447076846</v>
      </c>
      <c r="BI21" s="87">
        <f>VLOOKUP($B21,Raw_Data[#All],BI$2,0)/BI$1</f>
        <v>5.3009385959577529</v>
      </c>
      <c r="BJ21" s="87">
        <f>VLOOKUP($B21,Raw_Data[#All],BJ$2,0)/BJ$1</f>
        <v>5.1123008501821818</v>
      </c>
      <c r="BK21" s="87">
        <f>VLOOKUP($B21,Raw_Data[#All],BK$2,0)/BK$1</f>
        <v>5.1109402262874823</v>
      </c>
      <c r="BL21" s="87">
        <f>VLOOKUP($B21,Raw_Data[#All],BL$2,0)/BL$1</f>
        <v>5.2995195523931153</v>
      </c>
      <c r="BM21" s="87">
        <f>VLOOKUP($B21,Raw_Data[#All],BM$2,0)/BM$1</f>
        <v>5.1438606093778505</v>
      </c>
      <c r="BN21" s="87">
        <f>VLOOKUP($B21,Raw_Data[#All],BN$2,0)/BN$1</f>
        <v>5.2313697318007666</v>
      </c>
      <c r="BO21" s="87">
        <f>VLOOKUP($B21,Raw_Data[#All],BO$2,0)/BO$1</f>
        <v>5.1959382797392086</v>
      </c>
      <c r="BP21" s="87">
        <f>VLOOKUP($B21,Raw_Data[#All],BP$2,0)/BP$1</f>
        <v>5.2762085536524008</v>
      </c>
      <c r="BQ21" s="87">
        <f>VLOOKUP($B21,Raw_Data[#All],BQ$2,0)/BQ$1</f>
        <v>5.1824753278323934</v>
      </c>
      <c r="BR21" s="87">
        <f>VLOOKUP($B21,Raw_Data[#All],BR$2,0)/BR$1</f>
        <v>5.0902517286572975</v>
      </c>
      <c r="BS21" s="87">
        <f>VLOOKUP($B21,Raw_Data[#All],BS$2,0)/BS$1</f>
        <v>5.0340829681848351</v>
      </c>
      <c r="BT21" s="87">
        <f>VLOOKUP($B21,Raw_Data[#All],BT$2,0)/BT$1</f>
        <v>5.2619325371717816</v>
      </c>
      <c r="BU21" s="87">
        <f>VLOOKUP($B21,Raw_Data[#All],BU$2,0)/BU$1</f>
        <v>5.0437773747833408</v>
      </c>
      <c r="BV21" s="87">
        <f>VLOOKUP($B21,Raw_Data[#All],BV$2,0)/BV$1</f>
        <v>5.2267555183639312</v>
      </c>
      <c r="BW21" s="87">
        <f>VLOOKUP($B21,Raw_Data[#All],BW$2,0)/BW$1</f>
        <v>5.1605215910563231</v>
      </c>
      <c r="BX21" s="87">
        <f>VLOOKUP($B21,Raw_Data[#All],BX$2,0)/BX$1</f>
        <v>5.1309067688378027</v>
      </c>
      <c r="BY21" s="87">
        <f>VLOOKUP($B21,Raw_Data[#All],BY$2,0)/BY$1</f>
        <v>5.3558251738328364</v>
      </c>
      <c r="BZ21" s="87">
        <f>VLOOKUP($B21,Raw_Data[#All],BZ$2,0)/BZ$1</f>
        <v>5.0592128178335072</v>
      </c>
      <c r="CA21" s="87">
        <f>VLOOKUP($B21,Raw_Data[#All],CA$2,0)/CA$1</f>
        <v>5.3367939686070951</v>
      </c>
      <c r="CB21" s="87">
        <f>VLOOKUP($B21,Raw_Data[#All],CB$2,0)/CB$1</f>
        <v>5.1327249184049952</v>
      </c>
      <c r="CC21" s="87">
        <f>VLOOKUP($B21,Raw_Data[#All],CC$2,0)/CC$1</f>
        <v>5.3277990634312475</v>
      </c>
      <c r="CD21" s="87">
        <f>VLOOKUP($B21,Raw_Data[#All],CD$2,0)/CD$1</f>
        <v>5.0968197434928859</v>
      </c>
      <c r="CE21" s="87">
        <f>VLOOKUP($B21,Raw_Data[#All],CE$2,0)/CE$1</f>
        <v>5.2684573710850993</v>
      </c>
      <c r="CF21" s="87">
        <f>VLOOKUP($B21,Raw_Data[#All],CF$2,0)/CF$1</f>
        <v>5.1061301696489343</v>
      </c>
      <c r="CG21" s="87">
        <f>VLOOKUP($B21,Raw_Data[#All],CG$2,0)/CG$1</f>
        <v>5.2280923758304327</v>
      </c>
      <c r="CH21" s="87">
        <f>VLOOKUP($B21,Raw_Data[#All],CH$2,0)/CH$1</f>
        <v>5.034843052479876</v>
      </c>
      <c r="CI21" s="87">
        <f>VLOOKUP($B21,Raw_Data[#All],CI$2,0)/CI$1</f>
        <v>5.2787883581145207</v>
      </c>
      <c r="CJ21" s="87">
        <f>VLOOKUP($B21,Raw_Data[#All],CJ$2,0)/CJ$1</f>
        <v>5.1219802942565416</v>
      </c>
      <c r="CK21" s="87">
        <f>VLOOKUP($B21,Raw_Data[#All],CK$2,0)/CK$1</f>
        <v>5.2817541917114843</v>
      </c>
      <c r="CL21" s="87">
        <f>VLOOKUP($B21,Raw_Data[#All],CL$2,0)/CL$1</f>
        <v>5.3759172212221413</v>
      </c>
      <c r="CM21" s="87">
        <f>VLOOKUP($B21,Raw_Data[#All],CM$2,0)/CM$1</f>
        <v>4.6965882138295925</v>
      </c>
      <c r="CN21" s="87">
        <f>VLOOKUP($B21,Raw_Data[#All],CN$2,0)/CN$1</f>
        <v>4.7054128164675824</v>
      </c>
      <c r="CO21" s="87">
        <f>VLOOKUP($B21,Raw_Data[#All],CO$2,0)/CO$1</f>
        <v>4.8375252337988721</v>
      </c>
      <c r="CP21" s="87">
        <f>VLOOKUP($B21,Raw_Data[#All],CP$2,0)/CP$1</f>
        <v>4.6290087980701013</v>
      </c>
      <c r="CQ21" s="87">
        <f>VLOOKUP($B21,Raw_Data[#All],CQ$2,0)/CQ$1</f>
        <v>4.635194307608101</v>
      </c>
      <c r="CR21" s="87">
        <f>VLOOKUP($B21,Raw_Data[#All],CR$2,0)/CR$1</f>
        <v>4.7898208014048533</v>
      </c>
      <c r="CS21" s="87">
        <f>VLOOKUP($B21,Raw_Data[#All],CS$2,0)/CS$1</f>
        <v>4.7167345146871007</v>
      </c>
      <c r="CT21" s="87">
        <f>VLOOKUP($B21,Raw_Data[#All],CT$2,0)/CT$1</f>
        <v>4.6330715650842826</v>
      </c>
      <c r="CU21" s="87">
        <f>VLOOKUP($B21,Raw_Data[#All],CU$2,0)/CU$1</f>
        <v>5.3662835249042145</v>
      </c>
      <c r="CV21" s="87">
        <f>VLOOKUP($B21,Raw_Data[#All],CV$2,0)/CV$1</f>
        <v>5.276648000785932</v>
      </c>
      <c r="CW21" s="87">
        <f>VLOOKUP($B21,Raw_Data[#All],CW$2,0)/CW$1</f>
        <v>5.1038680349025176</v>
      </c>
      <c r="CX21" s="87">
        <f>VLOOKUP($B21,Raw_Data[#All],CX$2,0)/CX$1</f>
        <v>5.3561570469245661</v>
      </c>
      <c r="CY21" s="87">
        <f>VLOOKUP($B21,Raw_Data[#All],CY$2,0)/CY$1</f>
        <v>4.9988470271037322</v>
      </c>
      <c r="CZ21" s="87">
        <f>VLOOKUP($B21,Raw_Data[#All],CZ$2,0)/CZ$1</f>
        <v>5.3482264244221973</v>
      </c>
      <c r="DA21" s="87">
        <f>VLOOKUP($B21,Raw_Data[#All],DA$2,0)/DA$1</f>
        <v>5.1054552089034848</v>
      </c>
      <c r="DB21" s="87">
        <f>VLOOKUP($B21,Raw_Data[#All],DB$2,0)/DB$1</f>
        <v>5.271142640485313</v>
      </c>
      <c r="DC21" s="87">
        <f>VLOOKUP($B21,Raw_Data[#All],DC$2,0)/DC$1</f>
        <v>5.0631824150522551</v>
      </c>
      <c r="DD21" s="87">
        <f>VLOOKUP($B21,Raw_Data[#All],DD$2,0)/DD$1</f>
        <v>5.3093922073571598</v>
      </c>
      <c r="DE21" s="87">
        <f>VLOOKUP($B21,Raw_Data[#All],DE$2,0)/DE$1</f>
        <v>5.0771230190851373</v>
      </c>
      <c r="DF21" s="87">
        <f>VLOOKUP($B21,Raw_Data[#All],DF$2,0)/DF$1</f>
        <v>5.2313817049808433</v>
      </c>
      <c r="DG21" s="87">
        <f>VLOOKUP($B21,Raw_Data[#All],DG$2,0)/DG$1</f>
        <v>5.0949644225506292</v>
      </c>
      <c r="DH21" s="87">
        <f>VLOOKUP($B21,Raw_Data[#All],DH$2,0)/DH$1</f>
        <v>5.2208053959131542</v>
      </c>
      <c r="DI21" s="87">
        <f>VLOOKUP($B21,Raw_Data[#All],DI$2,0)/DI$1</f>
        <v>5.143541324575807</v>
      </c>
      <c r="DJ21" s="87">
        <f>VLOOKUP($B21,Raw_Data[#All],DJ$2,0)/DJ$1</f>
        <v>5.1989044540229887</v>
      </c>
      <c r="DK21" s="87">
        <f>VLOOKUP($B21,Raw_Data[#All],DK$2,0)/DK$1</f>
        <v>5.2940729290728017</v>
      </c>
      <c r="DL21" s="87">
        <f>VLOOKUP($B21,Raw_Data[#All],DL$2,0)/DL$1</f>
        <v>5.1179529282977558</v>
      </c>
      <c r="DM21" s="87">
        <f>VLOOKUP($B21,Raw_Data[#All],DM$2,0)/DM$1</f>
        <v>5.2335767879948918</v>
      </c>
      <c r="DN21" s="87">
        <f>VLOOKUP($B21,Raw_Data[#All],DN$2,0)/DN$1</f>
        <v>5.3353520372430276</v>
      </c>
      <c r="DO21" s="87">
        <f>VLOOKUP($B21,Raw_Data[#All],DO$2,0)/DO$1</f>
        <v>5.0921623506607609</v>
      </c>
      <c r="DP21" s="87">
        <f>VLOOKUP($B21,Raw_Data[#All],DP$2,0)/DP$1</f>
        <v>5.0255427841634743</v>
      </c>
      <c r="DQ21" s="87">
        <f>VLOOKUP($B21,Raw_Data[#All],DQ$2,0)/DQ$1</f>
        <v>5.0810527276044519</v>
      </c>
      <c r="DR21" s="87">
        <f>VLOOKUP($B21,Raw_Data[#All],DR$2,0)/DR$1</f>
        <v>5.2082335568326945</v>
      </c>
      <c r="DS21" s="87">
        <f>VLOOKUP($B21,Raw_Data[#All],DS$2,0)/DS$1</f>
        <v>5.0692533232601233</v>
      </c>
      <c r="DT21" s="87">
        <f>VLOOKUP($B21,Raw_Data[#All],DT$2,0)/DT$1</f>
        <v>5.2921709339333853</v>
      </c>
      <c r="DU21" s="87">
        <f>VLOOKUP($B21,Raw_Data[#All],DU$2,0)/DU$1</f>
        <v>5.2062673728495223</v>
      </c>
      <c r="DV21" s="87">
        <f>VLOOKUP($B21,Raw_Data[#All],DV$2,0)/DV$1</f>
        <v>5.2453424963003501</v>
      </c>
      <c r="DW21" s="87">
        <f>VLOOKUP($B21,Raw_Data[#All],DW$2,0)/DW$1</f>
        <v>5.2637673700463203</v>
      </c>
      <c r="DX21" s="87">
        <f>VLOOKUP($B21,Raw_Data[#All],DX$2,0)/DX$1</f>
        <v>5.3687468883260809</v>
      </c>
      <c r="DY21" s="87">
        <f>VLOOKUP($B21,Raw_Data[#All],DY$2,0)/DY$1</f>
        <v>5.1471486478982733</v>
      </c>
      <c r="DZ21" s="87">
        <f>VLOOKUP($B21,Raw_Data[#All],DZ$2,0)/DZ$1</f>
        <v>5.324099414137728</v>
      </c>
      <c r="EA21" s="87">
        <f>VLOOKUP($B21,Raw_Data[#All],EA$2,0)/EA$1</f>
        <v>5.2094308748403577</v>
      </c>
      <c r="EB21" s="87">
        <f>VLOOKUP($B21,Raw_Data[#All],EB$2,0)/EB$1</f>
        <v>5.3358477011494259</v>
      </c>
      <c r="EC21" s="87">
        <f>VLOOKUP($B21,Raw_Data[#All],EC$2,0)/EC$1</f>
        <v>5.3198881748976774</v>
      </c>
      <c r="ED21" s="87">
        <f>VLOOKUP($B21,Raw_Data[#All],ED$2,0)/ED$1</f>
        <v>5.4435736677115996</v>
      </c>
      <c r="EE21" s="87">
        <f>VLOOKUP($B21,Raw_Data[#All],EE$2,0)/EE$1</f>
        <v>5.3453343874799817</v>
      </c>
      <c r="EF21" s="87">
        <f>VLOOKUP($B21,Raw_Data[#All],EF$2,0)/EF$1</f>
        <v>5.4837164750957852</v>
      </c>
      <c r="EG21" s="87">
        <f>VLOOKUP($B21,Raw_Data[#All],EG$2,0)/EG$1</f>
        <v>5.2791247605363987</v>
      </c>
      <c r="EH21" s="87">
        <f>VLOOKUP($B21,Raw_Data[#All],EH$2,0)/EH$1</f>
        <v>5.2966854246487864</v>
      </c>
      <c r="EI21" s="87">
        <f>VLOOKUP($B21,Raw_Data[#All],EI$2,0)/EI$1</f>
        <v>5.2171580105009223</v>
      </c>
      <c r="EJ21" s="87">
        <f>VLOOKUP($B21,Raw_Data[#All],EJ$2,0)/EJ$1</f>
        <v>5.4927285461212048</v>
      </c>
      <c r="EK21" s="87">
        <f>VLOOKUP($B21,Raw_Data[#All],EK$2,0)/EK$1</f>
        <v>5.2410156804313894</v>
      </c>
      <c r="EL21" s="87">
        <f>VLOOKUP($B21,Raw_Data[#All],EL$2,0)/EL$1</f>
        <v>5.4945873624034549</v>
      </c>
      <c r="EM21" s="87">
        <f>VLOOKUP($B21,Raw_Data[#All],EM$2,0)/EM$1</f>
        <v>5.2929775331426621</v>
      </c>
      <c r="EN21" s="87">
        <f>VLOOKUP($B21,Raw_Data[#All],EN$2,0)/EN$1</f>
        <v>5.4470494029880996</v>
      </c>
      <c r="EO21" s="87">
        <f>VLOOKUP($B21,Raw_Data[#All],EO$2,0)/EO$1</f>
        <v>5.4324313537675613</v>
      </c>
      <c r="EP21" s="87">
        <f>VLOOKUP($B21,Raw_Data[#All],EP$2,0)/EP$1</f>
        <v>5.3533584770114944</v>
      </c>
      <c r="EQ21" s="87">
        <f>VLOOKUP($B21,Raw_Data[#All],EQ$2,0)/EQ$1</f>
        <v>5.2926314620467538</v>
      </c>
      <c r="ER21" s="87">
        <f>VLOOKUP($B21,Raw_Data[#All],ER$2,0)/ER$1</f>
        <v>5.2059830424294029</v>
      </c>
      <c r="ES21" s="87">
        <f>VLOOKUP($B21,Raw_Data[#All],ES$2,0)/ES$1</f>
        <v>5.1770007015271711</v>
      </c>
      <c r="ET21" s="87">
        <f>VLOOKUP($B21,Raw_Data[#All],ET$2,0)/ET$1</f>
        <v>5.2389689349378523</v>
      </c>
      <c r="EU21" s="87">
        <f>VLOOKUP($B21,Raw_Data[#All],EU$2,0)/EU$1</f>
        <v>5.2625780224128942</v>
      </c>
      <c r="EV21" s="87">
        <f>VLOOKUP($B21,Raw_Data[#All],EV$2,0)/EV$1</f>
        <v>5.1928125443451112</v>
      </c>
      <c r="EW21" s="87">
        <f>VLOOKUP($B21,Raw_Data[#All],EW$2,0)/EW$1</f>
        <v>5.4385177203065131</v>
      </c>
      <c r="EX21" s="87">
        <f>VLOOKUP($B21,Raw_Data[#All],EX$2,0)/EX$1</f>
        <v>5.2718867483316254</v>
      </c>
      <c r="EY21" s="87">
        <f>VLOOKUP($B21,Raw_Data[#All],EY$2,0)/EY$1</f>
        <v>5.1693325831256862</v>
      </c>
      <c r="EZ21" s="87">
        <f>VLOOKUP($B21,Raw_Data[#All],EZ$2,0)/EZ$1</f>
        <v>5.1669149992904781</v>
      </c>
      <c r="FA21" s="87">
        <f>VLOOKUP($B21,Raw_Data[#All],FA$2,0)/FA$1</f>
        <v>5.1708173690932311</v>
      </c>
      <c r="FB21" s="87">
        <f>VLOOKUP($B21,Raw_Data[#All],FB$2,0)/FB$1</f>
        <v>5.1108627784872995</v>
      </c>
      <c r="FC21" s="87">
        <f>VLOOKUP($B21,Raw_Data[#All],FC$2,0)/FC$1</f>
        <v>5.1816375762735918</v>
      </c>
      <c r="FD21" s="87">
        <f>VLOOKUP($B21,Raw_Data[#All],FD$2,0)/FD$1</f>
        <v>5.3947657247765006</v>
      </c>
      <c r="FE21" s="87">
        <f>VLOOKUP($B21,Raw_Data[#All],FE$2,0)/FE$1</f>
        <v>5.1921030225627929</v>
      </c>
      <c r="FF21" s="87">
        <f>VLOOKUP($B21,Raw_Data[#All],FF$2,0)/FF$1</f>
        <v>5.3981082375478922</v>
      </c>
      <c r="FG21" s="105">
        <f>VLOOKUP($B21,Raw_Data[#All],FG$2,0)/FG$1</f>
        <v>5.2023973106328798</v>
      </c>
    </row>
    <row r="22" spans="2:163">
      <c r="B22" s="104">
        <f t="shared" si="0"/>
        <v>45845</v>
      </c>
      <c r="C22" s="87">
        <f>VLOOKUP($B22,Raw_Data[#All],C$2,0)/C$1</f>
        <v>4.4708868556214547</v>
      </c>
      <c r="D22" s="87">
        <f>VLOOKUP($B22,Raw_Data[#All],D$2,0)/D$1</f>
        <v>4.5626396123619424</v>
      </c>
      <c r="E22" s="87">
        <f>VLOOKUP($B22,Raw_Data[#All],E$2,0)/E$1</f>
        <v>4.5652225905357762</v>
      </c>
      <c r="F22" s="87">
        <f>VLOOKUP($B22,Raw_Data[#All],F$2,0)/F$1</f>
        <v>4.5321159644896651</v>
      </c>
      <c r="G22" s="87">
        <f>VLOOKUP($B22,Raw_Data[#All],G$2,0)/G$1</f>
        <v>4.6202304590526211</v>
      </c>
      <c r="H22" s="87">
        <f>VLOOKUP($B22,Raw_Data[#All],H$2,0)/H$1</f>
        <v>4.6056892485925163</v>
      </c>
      <c r="I22" s="87">
        <f>VLOOKUP($B22,Raw_Data[#All],I$2,0)/I$1</f>
        <v>4.6018147813317647</v>
      </c>
      <c r="J22" s="87">
        <f>VLOOKUP($B22,Raw_Data[#All],J$2,0)/J$1</f>
        <v>4.4847186453039178</v>
      </c>
      <c r="K22" s="87">
        <f>VLOOKUP($B22,Raw_Data[#All],K$2,0)/K$1</f>
        <v>4.5425976150501519</v>
      </c>
      <c r="L22" s="87">
        <f>VLOOKUP($B22,Raw_Data[#All],L$2,0)/L$1</f>
        <v>4.4890428175881913</v>
      </c>
      <c r="M22" s="87">
        <f>VLOOKUP($B22,Raw_Data[#All],M$2,0)/M$1</f>
        <v>4.4800472435778262</v>
      </c>
      <c r="N22" s="87">
        <f>VLOOKUP($B22,Raw_Data[#All],N$2,0)/N$1</f>
        <v>4.5268605813614204</v>
      </c>
      <c r="O22" s="87">
        <f>VLOOKUP($B22,Raw_Data[#All],O$2,0)/O$1</f>
        <v>4.4563817106112138</v>
      </c>
      <c r="P22" s="87">
        <f>VLOOKUP($B22,Raw_Data[#All],P$2,0)/P$1</f>
        <v>4.5188724821941921</v>
      </c>
      <c r="Q22" s="87">
        <f>VLOOKUP($B22,Raw_Data[#All],Q$2,0)/Q$1</f>
        <v>4.5484810653349976</v>
      </c>
      <c r="R22" s="87">
        <f>VLOOKUP($B22,Raw_Data[#All],R$2,0)/R$1</f>
        <v>4.5480027360435473</v>
      </c>
      <c r="S22" s="87">
        <f>VLOOKUP($B22,Raw_Data[#All],S$2,0)/S$1</f>
        <v>4.5364271671904364</v>
      </c>
      <c r="T22" s="87">
        <f>VLOOKUP($B22,Raw_Data[#All],T$2,0)/T$1</f>
        <v>4.4661605942763112</v>
      </c>
      <c r="U22" s="87">
        <f>VLOOKUP($B22,Raw_Data[#All],U$2,0)/U$1</f>
        <v>4.5263344191408246</v>
      </c>
      <c r="V22" s="87">
        <f>VLOOKUP($B22,Raw_Data[#All],V$2,0)/V$1</f>
        <v>4.5644094307403096</v>
      </c>
      <c r="W22" s="87">
        <f>VLOOKUP($B22,Raw_Data[#All],W$2,0)/W$1</f>
        <v>4.5316340593609254</v>
      </c>
      <c r="X22" s="87">
        <f>VLOOKUP($B22,Raw_Data[#All],X$2,0)/X$1</f>
        <v>4.4740078520410576</v>
      </c>
      <c r="Y22" s="87">
        <f>VLOOKUP($B22,Raw_Data[#All],Y$2,0)/Y$1</f>
        <v>4.5639458751636832</v>
      </c>
      <c r="Z22" s="87">
        <f>VLOOKUP($B22,Raw_Data[#All],Z$2,0)/Z$1</f>
        <v>4.5454022988505747</v>
      </c>
      <c r="AA22" s="87">
        <f>VLOOKUP($B22,Raw_Data[#All],AA$2,0)/AA$1</f>
        <v>4.468055555555555</v>
      </c>
      <c r="AB22" s="87">
        <f>VLOOKUP($B22,Raw_Data[#All],AB$2,0)/AB$1</f>
        <v>4.4493551346392533</v>
      </c>
      <c r="AC22" s="87">
        <f>VLOOKUP($B22,Raw_Data[#All],AC$2,0)/AC$1</f>
        <v>4.3482564445012768</v>
      </c>
      <c r="AD22" s="87">
        <f>VLOOKUP($B22,Raw_Data[#All],AD$2,0)/AD$1</f>
        <v>4.3701811645617523</v>
      </c>
      <c r="AE22" s="87">
        <f>VLOOKUP($B22,Raw_Data[#All],AE$2,0)/AE$1</f>
        <v>4.5282626176623628</v>
      </c>
      <c r="AF22" s="87">
        <f>VLOOKUP($B22,Raw_Data[#All],AF$2,0)/AF$1</f>
        <v>4.5307950191570878</v>
      </c>
      <c r="AG22" s="87">
        <f>VLOOKUP($B22,Raw_Data[#All],AG$2,0)/AG$1</f>
        <v>4.500266744264998</v>
      </c>
      <c r="AH22" s="87">
        <f>VLOOKUP($B22,Raw_Data[#All],AH$2,0)/AH$1</f>
        <v>4.4836100468284377</v>
      </c>
      <c r="AI22" s="87">
        <f>VLOOKUP($B22,Raw_Data[#All],AI$2,0)/AI$1</f>
        <v>4.4752966837430224</v>
      </c>
      <c r="AJ22" s="87">
        <f>VLOOKUP($B22,Raw_Data[#All],AJ$2,0)/AJ$1</f>
        <v>4.4705612237576595</v>
      </c>
      <c r="AK22" s="87">
        <f>VLOOKUP($B22,Raw_Data[#All],AK$2,0)/AK$1</f>
        <v>4.583446936540053</v>
      </c>
      <c r="AL22" s="87">
        <f>VLOOKUP($B22,Raw_Data[#All],AL$2,0)/AL$1</f>
        <v>4.5090667317194502</v>
      </c>
      <c r="AM22" s="87">
        <f>VLOOKUP($B22,Raw_Data[#All],AM$2,0)/AM$1</f>
        <v>4.5290130631729495</v>
      </c>
      <c r="AN22" s="87">
        <f>VLOOKUP($B22,Raw_Data[#All],AN$2,0)/AN$1</f>
        <v>4.4564026767307148</v>
      </c>
      <c r="AO22" s="87">
        <f>VLOOKUP($B22,Raw_Data[#All],AO$2,0)/AO$1</f>
        <v>4.4895508966282565</v>
      </c>
      <c r="AP22" s="87">
        <f>VLOOKUP($B22,Raw_Data[#All],AP$2,0)/AP$1</f>
        <v>4.4551590205729426</v>
      </c>
      <c r="AQ22" s="87">
        <f>VLOOKUP($B22,Raw_Data[#All],AQ$2,0)/AQ$1</f>
        <v>4.5205356823146063</v>
      </c>
      <c r="AR22" s="87">
        <f>VLOOKUP($B22,Raw_Data[#All],AR$2,0)/AR$1</f>
        <v>4.5275871926815316</v>
      </c>
      <c r="AS22" s="87">
        <f>VLOOKUP($B22,Raw_Data[#All],AS$2,0)/AS$1</f>
        <v>4.5695896293001317</v>
      </c>
      <c r="AT22" s="87">
        <f>VLOOKUP($B22,Raw_Data[#All],AT$2,0)/AT$1</f>
        <v>4.5196468523505215</v>
      </c>
      <c r="AU22" s="87">
        <f>VLOOKUP($B22,Raw_Data[#All],AU$2,0)/AU$1</f>
        <v>4.4112341960624164</v>
      </c>
      <c r="AV22" s="87">
        <f>VLOOKUP($B22,Raw_Data[#All],AV$2,0)/AV$1</f>
        <v>4.3163211841372764</v>
      </c>
      <c r="AW22" s="87">
        <f>VLOOKUP($B22,Raw_Data[#All],AW$2,0)/AW$1</f>
        <v>4.5602183954054212</v>
      </c>
      <c r="AX22" s="87">
        <f>VLOOKUP($B22,Raw_Data[#All],AX$2,0)/AX$1</f>
        <v>4.5587155799047521</v>
      </c>
      <c r="AY22" s="87">
        <f>VLOOKUP($B22,Raw_Data[#All],AY$2,0)/AY$1</f>
        <v>4.2586509573967497</v>
      </c>
      <c r="AZ22" s="87">
        <f>VLOOKUP($B22,Raw_Data[#All],AZ$2,0)/AZ$1</f>
        <v>4.3740440051770788</v>
      </c>
      <c r="BA22" s="87">
        <f>VLOOKUP($B22,Raw_Data[#All],BA$2,0)/BA$1</f>
        <v>4.3946173709576675</v>
      </c>
      <c r="BB22" s="87">
        <f>VLOOKUP($B22,Raw_Data[#All],BB$2,0)/BB$1</f>
        <v>4.4880966634738186</v>
      </c>
      <c r="BC22" s="87">
        <f>VLOOKUP($B22,Raw_Data[#All],BC$2,0)/BC$1</f>
        <v>4.3462306405482707</v>
      </c>
      <c r="BD22" s="87">
        <f>VLOOKUP($B22,Raw_Data[#All],BD$2,0)/BD$1</f>
        <v>4.4260950076086756</v>
      </c>
      <c r="BE22" s="87">
        <f>VLOOKUP($B22,Raw_Data[#All],BE$2,0)/BE$1</f>
        <v>4.3450614285971261</v>
      </c>
      <c r="BF22" s="87">
        <f>VLOOKUP($B22,Raw_Data[#All],BF$2,0)/BF$1</f>
        <v>4.3153515786447194</v>
      </c>
      <c r="BG22" s="87">
        <f>VLOOKUP($B22,Raw_Data[#All],BG$2,0)/BG$1</f>
        <v>4.3970078452837074</v>
      </c>
      <c r="BH22" s="87">
        <f>VLOOKUP($B22,Raw_Data[#All],BH$2,0)/BH$1</f>
        <v>4.3289707773334971</v>
      </c>
      <c r="BI22" s="87">
        <f>VLOOKUP($B22,Raw_Data[#All],BI$2,0)/BI$1</f>
        <v>4.455340671815768</v>
      </c>
      <c r="BJ22" s="87">
        <f>VLOOKUP($B22,Raw_Data[#All],BJ$2,0)/BJ$1</f>
        <v>4.3744195184682431</v>
      </c>
      <c r="BK22" s="87">
        <f>VLOOKUP($B22,Raw_Data[#All],BK$2,0)/BK$1</f>
        <v>4.3442070044789816</v>
      </c>
      <c r="BL22" s="87">
        <f>VLOOKUP($B22,Raw_Data[#All],BL$2,0)/BL$1</f>
        <v>4.4396805124774472</v>
      </c>
      <c r="BM22" s="87">
        <f>VLOOKUP($B22,Raw_Data[#All],BM$2,0)/BM$1</f>
        <v>4.3461047254150698</v>
      </c>
      <c r="BN22" s="87">
        <f>VLOOKUP($B22,Raw_Data[#All],BN$2,0)/BN$1</f>
        <v>4.3980363984674335</v>
      </c>
      <c r="BO22" s="87">
        <f>VLOOKUP($B22,Raw_Data[#All],BO$2,0)/BO$1</f>
        <v>4.3390665845252165</v>
      </c>
      <c r="BP22" s="87">
        <f>VLOOKUP($B22,Raw_Data[#All],BP$2,0)/BP$1</f>
        <v>4.3215679185309046</v>
      </c>
      <c r="BQ22" s="87">
        <f>VLOOKUP($B22,Raw_Data[#All],BQ$2,0)/BQ$1</f>
        <v>4.3294094140761583</v>
      </c>
      <c r="BR22" s="87">
        <f>VLOOKUP($B22,Raw_Data[#All],BR$2,0)/BR$1</f>
        <v>4.2343291001943326</v>
      </c>
      <c r="BS22" s="87">
        <f>VLOOKUP($B22,Raw_Data[#All],BS$2,0)/BS$1</f>
        <v>4.2695345290573234</v>
      </c>
      <c r="BT22" s="87">
        <f>VLOOKUP($B22,Raw_Data[#All],BT$2,0)/BT$1</f>
        <v>4.343908177791838</v>
      </c>
      <c r="BU22" s="87">
        <f>VLOOKUP($B22,Raw_Data[#All],BU$2,0)/BU$1</f>
        <v>4.2564529855501245</v>
      </c>
      <c r="BV22" s="87">
        <f>VLOOKUP($B22,Raw_Data[#All],BV$2,0)/BV$1</f>
        <v>4.3235093018746618</v>
      </c>
      <c r="BW22" s="87">
        <f>VLOOKUP($B22,Raw_Data[#All],BW$2,0)/BW$1</f>
        <v>4.3432450441445951</v>
      </c>
      <c r="BX22" s="87">
        <f>VLOOKUP($B22,Raw_Data[#All],BX$2,0)/BX$1</f>
        <v>4.3070580722710536</v>
      </c>
      <c r="BY22" s="87">
        <f>VLOOKUP($B22,Raw_Data[#All],BY$2,0)/BY$1</f>
        <v>4.4255914370856893</v>
      </c>
      <c r="BZ22" s="87">
        <f>VLOOKUP($B22,Raw_Data[#All],BZ$2,0)/BZ$1</f>
        <v>4.2852039403763547</v>
      </c>
      <c r="CA22" s="87">
        <f>VLOOKUP($B22,Raw_Data[#All],CA$2,0)/CA$1</f>
        <v>4.4196741235117205</v>
      </c>
      <c r="CB22" s="87">
        <f>VLOOKUP($B22,Raw_Data[#All],CB$2,0)/CB$1</f>
        <v>4.3736696466581524</v>
      </c>
      <c r="CC22" s="87">
        <f>VLOOKUP($B22,Raw_Data[#All],CC$2,0)/CC$1</f>
        <v>4.4401873137505321</v>
      </c>
      <c r="CD22" s="87">
        <f>VLOOKUP($B22,Raw_Data[#All],CD$2,0)/CD$1</f>
        <v>4.3542802151349997</v>
      </c>
      <c r="CE22" s="87">
        <f>VLOOKUP($B22,Raw_Data[#All],CE$2,0)/CE$1</f>
        <v>4.3320448434039855</v>
      </c>
      <c r="CF22" s="87">
        <f>VLOOKUP($B22,Raw_Data[#All],CF$2,0)/CF$1</f>
        <v>4.2810349654806652</v>
      </c>
      <c r="CG22" s="87">
        <f>VLOOKUP($B22,Raw_Data[#All],CG$2,0)/CG$1</f>
        <v>4.2854014065655948</v>
      </c>
      <c r="CH22" s="87">
        <f>VLOOKUP($B22,Raw_Data[#All],CH$2,0)/CH$1</f>
        <v>4.2094625470139544</v>
      </c>
      <c r="CI22" s="87">
        <f>VLOOKUP($B22,Raw_Data[#All],CI$2,0)/CI$1</f>
        <v>4.2958616735210384</v>
      </c>
      <c r="CJ22" s="87">
        <f>VLOOKUP($B22,Raw_Data[#All],CJ$2,0)/CJ$1</f>
        <v>4.2119765805170806</v>
      </c>
      <c r="CK22" s="87">
        <f>VLOOKUP($B22,Raw_Data[#All],CK$2,0)/CK$1</f>
        <v>4.3274478013286934</v>
      </c>
      <c r="CL22" s="87">
        <f>VLOOKUP($B22,Raw_Data[#All],CL$2,0)/CL$1</f>
        <v>4.2877659976539295</v>
      </c>
      <c r="CM22" s="87">
        <f>VLOOKUP($B22,Raw_Data[#All],CM$2,0)/CM$1</f>
        <v>4.346059113300492</v>
      </c>
      <c r="CN22" s="87">
        <f>VLOOKUP($B22,Raw_Data[#All],CN$2,0)/CN$1</f>
        <v>4.2877131695590105</v>
      </c>
      <c r="CO22" s="87">
        <f>VLOOKUP($B22,Raw_Data[#All],CO$2,0)/CO$1</f>
        <v>4.3578255675029878</v>
      </c>
      <c r="CP22" s="87">
        <f>VLOOKUP($B22,Raw_Data[#All],CP$2,0)/CP$1</f>
        <v>4.3172626649638151</v>
      </c>
      <c r="CQ22" s="87">
        <f>VLOOKUP($B22,Raw_Data[#All],CQ$2,0)/CQ$1</f>
        <v>4.3449644225506292</v>
      </c>
      <c r="CR22" s="87">
        <f>VLOOKUP($B22,Raw_Data[#All],CR$2,0)/CR$1</f>
        <v>4.461556114303959</v>
      </c>
      <c r="CS22" s="87">
        <f>VLOOKUP($B22,Raw_Data[#All],CS$2,0)/CS$1</f>
        <v>4.4044839559386979</v>
      </c>
      <c r="CT22" s="87">
        <f>VLOOKUP($B22,Raw_Data[#All],CT$2,0)/CT$1</f>
        <v>4.3528708459009264</v>
      </c>
      <c r="CU22" s="87">
        <f>VLOOKUP($B22,Raw_Data[#All],CU$2,0)/CU$1</f>
        <v>4.0236015325670493</v>
      </c>
      <c r="CV22" s="87">
        <f>VLOOKUP($B22,Raw_Data[#All],CV$2,0)/CV$1</f>
        <v>3.9774044601630809</v>
      </c>
      <c r="CW22" s="87">
        <f>VLOOKUP($B22,Raw_Data[#All],CW$2,0)/CW$1</f>
        <v>3.9083585635309768</v>
      </c>
      <c r="CX22" s="87">
        <f>VLOOKUP($B22,Raw_Data[#All],CX$2,0)/CX$1</f>
        <v>3.9679376261689949</v>
      </c>
      <c r="CY22" s="87">
        <f>VLOOKUP($B22,Raw_Data[#All],CY$2,0)/CY$1</f>
        <v>3.8179367106570172</v>
      </c>
      <c r="CZ22" s="87">
        <f>VLOOKUP($B22,Raw_Data[#All],CZ$2,0)/CZ$1</f>
        <v>3.9610369546409592</v>
      </c>
      <c r="DA22" s="87">
        <f>VLOOKUP($B22,Raw_Data[#All],DA$2,0)/DA$1</f>
        <v>3.8579638752052547</v>
      </c>
      <c r="DB22" s="87">
        <f>VLOOKUP($B22,Raw_Data[#All],DB$2,0)/DB$1</f>
        <v>3.9103408365261814</v>
      </c>
      <c r="DC22" s="87">
        <f>VLOOKUP($B22,Raw_Data[#All],DC$2,0)/DC$1</f>
        <v>4.2776518626445776</v>
      </c>
      <c r="DD22" s="87">
        <f>VLOOKUP($B22,Raw_Data[#All],DD$2,0)/DD$1</f>
        <v>4.3610640035173667</v>
      </c>
      <c r="DE22" s="87">
        <f>VLOOKUP($B22,Raw_Data[#All],DE$2,0)/DE$1</f>
        <v>4.294245678412751</v>
      </c>
      <c r="DF22" s="87">
        <f>VLOOKUP($B22,Raw_Data[#All],DF$2,0)/DF$1</f>
        <v>4.3104944923371642</v>
      </c>
      <c r="DG22" s="87">
        <f>VLOOKUP($B22,Raw_Data[#All],DG$2,0)/DG$1</f>
        <v>4.2994435322021527</v>
      </c>
      <c r="DH22" s="87">
        <f>VLOOKUP($B22,Raw_Data[#All],DH$2,0)/DH$1</f>
        <v>4.3250618614303962</v>
      </c>
      <c r="DI22" s="87">
        <f>VLOOKUP($B22,Raw_Data[#All],DI$2,0)/DI$1</f>
        <v>4.3538131727786897</v>
      </c>
      <c r="DJ22" s="87">
        <f>VLOOKUP($B22,Raw_Data[#All],DJ$2,0)/DJ$1</f>
        <v>4.362927043422733</v>
      </c>
      <c r="DK22" s="87">
        <f>VLOOKUP($B22,Raw_Data[#All],DK$2,0)/DK$1</f>
        <v>4.3461977041785982</v>
      </c>
      <c r="DL22" s="87">
        <f>VLOOKUP($B22,Raw_Data[#All],DL$2,0)/DL$1</f>
        <v>4.2528735632183903</v>
      </c>
      <c r="DM22" s="87">
        <f>VLOOKUP($B22,Raw_Data[#All],DM$2,0)/DM$1</f>
        <v>4.3046076787994894</v>
      </c>
      <c r="DN22" s="87">
        <f>VLOOKUP($B22,Raw_Data[#All],DN$2,0)/DN$1</f>
        <v>4.3515943641082684</v>
      </c>
      <c r="DO22" s="87">
        <f>VLOOKUP($B22,Raw_Data[#All],DO$2,0)/DO$1</f>
        <v>4.2639239875728014</v>
      </c>
      <c r="DP22" s="87">
        <f>VLOOKUP($B22,Raw_Data[#All],DP$2,0)/DP$1</f>
        <v>4.2174374471606138</v>
      </c>
      <c r="DQ22" s="87">
        <f>VLOOKUP($B22,Raw_Data[#All],DQ$2,0)/DQ$1</f>
        <v>4.2376391169494614</v>
      </c>
      <c r="DR22" s="87">
        <f>VLOOKUP($B22,Raw_Data[#All],DR$2,0)/DR$1</f>
        <v>4.3127893518518512</v>
      </c>
      <c r="DS22" s="87">
        <f>VLOOKUP($B22,Raw_Data[#All],DS$2,0)/DS$1</f>
        <v>4.2525138056949618</v>
      </c>
      <c r="DT22" s="87">
        <f>VLOOKUP($B22,Raw_Data[#All],DT$2,0)/DT$1</f>
        <v>4.3802327231446005</v>
      </c>
      <c r="DU22" s="87">
        <f>VLOOKUP($B22,Raw_Data[#All],DU$2,0)/DU$1</f>
        <v>4.3464052287581687</v>
      </c>
      <c r="DV22" s="87">
        <f>VLOOKUP($B22,Raw_Data[#All],DV$2,0)/DV$1</f>
        <v>4.4207261448640756</v>
      </c>
      <c r="DW22" s="87">
        <f>VLOOKUP($B22,Raw_Data[#All],DW$2,0)/DW$1</f>
        <v>4.3464192447723073</v>
      </c>
      <c r="DX22" s="87">
        <f>VLOOKUP($B22,Raw_Data[#All],DX$2,0)/DX$1</f>
        <v>4.398662250795506</v>
      </c>
      <c r="DY22" s="87">
        <f>VLOOKUP($B22,Raw_Data[#All],DY$2,0)/DY$1</f>
        <v>4.323347585466526</v>
      </c>
      <c r="DZ22" s="87">
        <f>VLOOKUP($B22,Raw_Data[#All],DZ$2,0)/DZ$1</f>
        <v>4.4124146039854848</v>
      </c>
      <c r="EA22" s="87">
        <f>VLOOKUP($B22,Raw_Data[#All],EA$2,0)/EA$1</f>
        <v>4.3175786238825031</v>
      </c>
      <c r="EB22" s="87">
        <f>VLOOKUP($B22,Raw_Data[#All],EB$2,0)/EB$1</f>
        <v>4.3927602171136657</v>
      </c>
      <c r="EC22" s="87">
        <f>VLOOKUP($B22,Raw_Data[#All],EC$2,0)/EC$1</f>
        <v>4.4149797367283119</v>
      </c>
      <c r="ED22" s="87">
        <f>VLOOKUP($B22,Raw_Data[#All],ED$2,0)/ED$1</f>
        <v>4.3778009984906534</v>
      </c>
      <c r="EE22" s="87">
        <f>VLOOKUP($B22,Raw_Data[#All],EE$2,0)/EE$1</f>
        <v>4.3971092055383245</v>
      </c>
      <c r="EF22" s="87">
        <f>VLOOKUP($B22,Raw_Data[#All],EF$2,0)/EF$1</f>
        <v>4.3711229702609016</v>
      </c>
      <c r="EG22" s="87">
        <f>VLOOKUP($B22,Raw_Data[#All],EG$2,0)/EG$1</f>
        <v>4.2973239942528734</v>
      </c>
      <c r="EH22" s="87">
        <f>VLOOKUP($B22,Raw_Data[#All],EH$2,0)/EH$1</f>
        <v>4.307002314814814</v>
      </c>
      <c r="EI22" s="87">
        <f>VLOOKUP($B22,Raw_Data[#All],EI$2,0)/EI$1</f>
        <v>4.2915425003547609</v>
      </c>
      <c r="EJ22" s="87">
        <f>VLOOKUP($B22,Raw_Data[#All],EJ$2,0)/EJ$1</f>
        <v>4.3815659374613762</v>
      </c>
      <c r="EK22" s="87">
        <f>VLOOKUP($B22,Raw_Data[#All],EK$2,0)/EK$1</f>
        <v>4.2942475521498515</v>
      </c>
      <c r="EL22" s="87">
        <f>VLOOKUP($B22,Raw_Data[#All],EL$2,0)/EL$1</f>
        <v>4.3773439558880174</v>
      </c>
      <c r="EM22" s="87">
        <f>VLOOKUP($B22,Raw_Data[#All],EM$2,0)/EM$1</f>
        <v>4.3518518518518521</v>
      </c>
      <c r="EN22" s="87">
        <f>VLOOKUP($B22,Raw_Data[#All],EN$2,0)/EN$1</f>
        <v>4.3795738814895904</v>
      </c>
      <c r="EO22" s="87">
        <f>VLOOKUP($B22,Raw_Data[#All],EO$2,0)/EO$1</f>
        <v>4.406579262452107</v>
      </c>
      <c r="EP22" s="87">
        <f>VLOOKUP($B22,Raw_Data[#All],EP$2,0)/EP$1</f>
        <v>4.3719568167305232</v>
      </c>
      <c r="EQ22" s="87">
        <f>VLOOKUP($B22,Raw_Data[#All],EQ$2,0)/EQ$1</f>
        <v>4.4177448312880596</v>
      </c>
      <c r="ER22" s="87">
        <f>VLOOKUP($B22,Raw_Data[#All],ER$2,0)/ER$1</f>
        <v>4.3585479636724855</v>
      </c>
      <c r="ES22" s="87">
        <f>VLOOKUP($B22,Raw_Data[#All],ES$2,0)/ES$1</f>
        <v>4.3518068821614238</v>
      </c>
      <c r="ET22" s="87">
        <f>VLOOKUP($B22,Raw_Data[#All],ET$2,0)/ET$1</f>
        <v>4.3199233716475094</v>
      </c>
      <c r="EU22" s="87">
        <f>VLOOKUP($B22,Raw_Data[#All],EU$2,0)/EU$1</f>
        <v>4.3283327037576678</v>
      </c>
      <c r="EV22" s="87">
        <f>VLOOKUP($B22,Raw_Data[#All],EV$2,0)/EV$1</f>
        <v>4.2685717326521919</v>
      </c>
      <c r="EW22" s="87">
        <f>VLOOKUP($B22,Raw_Data[#All],EW$2,0)/EW$1</f>
        <v>4.3542963761174969</v>
      </c>
      <c r="EX22" s="87">
        <f>VLOOKUP($B22,Raw_Data[#All],EX$2,0)/EX$1</f>
        <v>4.3504128217581357</v>
      </c>
      <c r="EY22" s="87">
        <f>VLOOKUP($B22,Raw_Data[#All],EY$2,0)/EY$1</f>
        <v>4.3259741535603604</v>
      </c>
      <c r="EZ22" s="87">
        <f>VLOOKUP($B22,Raw_Data[#All],EZ$2,0)/EZ$1</f>
        <v>4.3566854689938985</v>
      </c>
      <c r="FA22" s="87">
        <f>VLOOKUP($B22,Raw_Data[#All],FA$2,0)/FA$1</f>
        <v>4.2354902795515823</v>
      </c>
      <c r="FB22" s="87">
        <f>VLOOKUP($B22,Raw_Data[#All],FB$2,0)/FB$1</f>
        <v>4.2892365545622253</v>
      </c>
      <c r="FC22" s="87">
        <f>VLOOKUP($B22,Raw_Data[#All],FC$2,0)/FC$1</f>
        <v>4.3499006669504761</v>
      </c>
      <c r="FD22" s="87">
        <f>VLOOKUP($B22,Raw_Data[#All],FD$2,0)/FD$1</f>
        <v>4.4107698754789268</v>
      </c>
      <c r="FE22" s="87">
        <f>VLOOKUP($B22,Raw_Data[#All],FE$2,0)/FE$1</f>
        <v>4.3255108556832695</v>
      </c>
      <c r="FF22" s="87">
        <f>VLOOKUP($B22,Raw_Data[#All],FF$2,0)/FF$1</f>
        <v>4.4434466794380585</v>
      </c>
      <c r="FG22" s="105">
        <f>VLOOKUP($B22,Raw_Data[#All],FG$2,0)/FG$1</f>
        <v>4.3698394710517308</v>
      </c>
    </row>
    <row r="23" spans="2:163">
      <c r="B23" s="104">
        <f t="shared" si="0"/>
        <v>45846</v>
      </c>
      <c r="C23" s="87">
        <f>VLOOKUP($B23,Raw_Data[#All],C$2,0)/C$1</f>
        <v>4.3751676452180135</v>
      </c>
      <c r="D23" s="87">
        <f>VLOOKUP($B23,Raw_Data[#All],D$2,0)/D$1</f>
        <v>4.4017774716470308</v>
      </c>
      <c r="E23" s="87">
        <f>VLOOKUP($B23,Raw_Data[#All],E$2,0)/E$1</f>
        <v>4.3919238882431442</v>
      </c>
      <c r="F23" s="87">
        <f>VLOOKUP($B23,Raw_Data[#All],F$2,0)/F$1</f>
        <v>4.3980738362760832</v>
      </c>
      <c r="G23" s="87">
        <f>VLOOKUP($B23,Raw_Data[#All],G$2,0)/G$1</f>
        <v>4.4519542143202218</v>
      </c>
      <c r="H23" s="87">
        <f>VLOOKUP($B23,Raw_Data[#All],H$2,0)/H$1</f>
        <v>4.4674999162923736</v>
      </c>
      <c r="I23" s="87">
        <f>VLOOKUP($B23,Raw_Data[#All],I$2,0)/I$1</f>
        <v>4.4728093714274779</v>
      </c>
      <c r="J23" s="87">
        <f>VLOOKUP($B23,Raw_Data[#All],J$2,0)/J$1</f>
        <v>4.3573170453768491</v>
      </c>
      <c r="K23" s="87">
        <f>VLOOKUP($B23,Raw_Data[#All],K$2,0)/K$1</f>
        <v>4.4132573746418506</v>
      </c>
      <c r="L23" s="87">
        <f>VLOOKUP($B23,Raw_Data[#All],L$2,0)/L$1</f>
        <v>4.4382494967917525</v>
      </c>
      <c r="M23" s="87">
        <f>VLOOKUP($B23,Raw_Data[#All],M$2,0)/M$1</f>
        <v>4.3644317100644132</v>
      </c>
      <c r="N23" s="87">
        <f>VLOOKUP($B23,Raw_Data[#All],N$2,0)/N$1</f>
        <v>4.3747996996092047</v>
      </c>
      <c r="O23" s="87">
        <f>VLOOKUP($B23,Raw_Data[#All],O$2,0)/O$1</f>
        <v>4.3723931278091879</v>
      </c>
      <c r="P23" s="87">
        <f>VLOOKUP($B23,Raw_Data[#All],P$2,0)/P$1</f>
        <v>4.3556665279511719</v>
      </c>
      <c r="Q23" s="87">
        <f>VLOOKUP($B23,Raw_Data[#All],Q$2,0)/Q$1</f>
        <v>4.3777653412162003</v>
      </c>
      <c r="R23" s="87">
        <f>VLOOKUP($B23,Raw_Data[#All],R$2,0)/R$1</f>
        <v>4.4113918904051923</v>
      </c>
      <c r="S23" s="87">
        <f>VLOOKUP($B23,Raw_Data[#All],S$2,0)/S$1</f>
        <v>4.2929097249128239</v>
      </c>
      <c r="T23" s="87">
        <f>VLOOKUP($B23,Raw_Data[#All],T$2,0)/T$1</f>
        <v>4.2503384179737012</v>
      </c>
      <c r="U23" s="87">
        <f>VLOOKUP($B23,Raw_Data[#All],U$2,0)/U$1</f>
        <v>4.2692802579151534</v>
      </c>
      <c r="V23" s="87">
        <f>VLOOKUP($B23,Raw_Data[#All],V$2,0)/V$1</f>
        <v>4.320270160383811</v>
      </c>
      <c r="W23" s="87">
        <f>VLOOKUP($B23,Raw_Data[#All],W$2,0)/W$1</f>
        <v>4.2164537838209037</v>
      </c>
      <c r="X23" s="87">
        <f>VLOOKUP($B23,Raw_Data[#All],X$2,0)/X$1</f>
        <v>4.2127619317913068</v>
      </c>
      <c r="Y23" s="87">
        <f>VLOOKUP($B23,Raw_Data[#All],Y$2,0)/Y$1</f>
        <v>4.1571366215626364</v>
      </c>
      <c r="Z23" s="87">
        <f>VLOOKUP($B23,Raw_Data[#All],Z$2,0)/Z$1</f>
        <v>4.1673850574712645</v>
      </c>
      <c r="AA23" s="87">
        <f>VLOOKUP($B23,Raw_Data[#All],AA$2,0)/AA$1</f>
        <v>4.0970785440613033</v>
      </c>
      <c r="AB23" s="87">
        <f>VLOOKUP($B23,Raw_Data[#All],AB$2,0)/AB$1</f>
        <v>4.0812152609141439</v>
      </c>
      <c r="AC23" s="87">
        <f>VLOOKUP($B23,Raw_Data[#All],AC$2,0)/AC$1</f>
        <v>4.0990958991044248</v>
      </c>
      <c r="AD23" s="87">
        <f>VLOOKUP($B23,Raw_Data[#All],AD$2,0)/AD$1</f>
        <v>4.0712359869447994</v>
      </c>
      <c r="AE23" s="87">
        <f>VLOOKUP($B23,Raw_Data[#All],AE$2,0)/AE$1</f>
        <v>4.1642306418807058</v>
      </c>
      <c r="AF23" s="87">
        <f>VLOOKUP($B23,Raw_Data[#All],AF$2,0)/AF$1</f>
        <v>4.1593390804597705</v>
      </c>
      <c r="AG23" s="87">
        <f>VLOOKUP($B23,Raw_Data[#All],AG$2,0)/AG$1</f>
        <v>4.1337601241573303</v>
      </c>
      <c r="AH23" s="87">
        <f>VLOOKUP($B23,Raw_Data[#All],AH$2,0)/AH$1</f>
        <v>4.1378837330306038</v>
      </c>
      <c r="AI23" s="87">
        <f>VLOOKUP($B23,Raw_Data[#All],AI$2,0)/AI$1</f>
        <v>4.1199458531242081</v>
      </c>
      <c r="AJ23" s="87">
        <f>VLOOKUP($B23,Raw_Data[#All],AJ$2,0)/AJ$1</f>
        <v>4.1408010102314625</v>
      </c>
      <c r="AK23" s="87">
        <f>VLOOKUP($B23,Raw_Data[#All],AK$2,0)/AK$1</f>
        <v>4.23761485882111</v>
      </c>
      <c r="AL23" s="87">
        <f>VLOOKUP($B23,Raw_Data[#All],AL$2,0)/AL$1</f>
        <v>4.1586426928025793</v>
      </c>
      <c r="AM23" s="87">
        <f>VLOOKUP($B23,Raw_Data[#All],AM$2,0)/AM$1</f>
        <v>4.1832288183831512</v>
      </c>
      <c r="AN23" s="87">
        <f>VLOOKUP($B23,Raw_Data[#All],AN$2,0)/AN$1</f>
        <v>4.1077006232630664</v>
      </c>
      <c r="AO23" s="87">
        <f>VLOOKUP($B23,Raw_Data[#All],AO$2,0)/AO$1</f>
        <v>4.1226723300854768</v>
      </c>
      <c r="AP23" s="87">
        <f>VLOOKUP($B23,Raw_Data[#All],AP$2,0)/AP$1</f>
        <v>4.091198262708013</v>
      </c>
      <c r="AQ23" s="87">
        <f>VLOOKUP($B23,Raw_Data[#All],AQ$2,0)/AQ$1</f>
        <v>3.9827049092276297</v>
      </c>
      <c r="AR23" s="87">
        <f>VLOOKUP($B23,Raw_Data[#All],AR$2,0)/AR$1</f>
        <v>3.9655249428244712</v>
      </c>
      <c r="AS23" s="87">
        <f>VLOOKUP($B23,Raw_Data[#All],AS$2,0)/AS$1</f>
        <v>3.9961327747341282</v>
      </c>
      <c r="AT23" s="87">
        <f>VLOOKUP($B23,Raw_Data[#All],AT$2,0)/AT$1</f>
        <v>3.9652300505963942</v>
      </c>
      <c r="AU23" s="87">
        <f>VLOOKUP($B23,Raw_Data[#All],AU$2,0)/AU$1</f>
        <v>3.8771759661034255</v>
      </c>
      <c r="AV23" s="87">
        <f>VLOOKUP($B23,Raw_Data[#All],AV$2,0)/AV$1</f>
        <v>3.8787372695418671</v>
      </c>
      <c r="AW23" s="87">
        <f>VLOOKUP($B23,Raw_Data[#All],AW$2,0)/AW$1</f>
        <v>4.0549316614871209</v>
      </c>
      <c r="AX23" s="87">
        <f>VLOOKUP($B23,Raw_Data[#All],AX$2,0)/AX$1</f>
        <v>4.036371611701937</v>
      </c>
      <c r="AY23" s="87">
        <f>VLOOKUP($B23,Raw_Data[#All],AY$2,0)/AY$1</f>
        <v>4.1355376986281538</v>
      </c>
      <c r="AZ23" s="87">
        <f>VLOOKUP($B23,Raw_Data[#All],AZ$2,0)/AZ$1</f>
        <v>4.2355209210133316</v>
      </c>
      <c r="BA23" s="87">
        <f>VLOOKUP($B23,Raw_Data[#All],BA$2,0)/BA$1</f>
        <v>4.2646195150599882</v>
      </c>
      <c r="BB23" s="87">
        <f>VLOOKUP($B23,Raw_Data[#All],BB$2,0)/BB$1</f>
        <v>4.28709690293742</v>
      </c>
      <c r="BC23" s="87">
        <f>VLOOKUP($B23,Raw_Data[#All],BC$2,0)/BC$1</f>
        <v>4.2380785350673644</v>
      </c>
      <c r="BD23" s="87">
        <f>VLOOKUP($B23,Raw_Data[#All],BD$2,0)/BD$1</f>
        <v>4.2951432814476647</v>
      </c>
      <c r="BE23" s="87">
        <f>VLOOKUP($B23,Raw_Data[#All],BE$2,0)/BE$1</f>
        <v>4.1988199953231522</v>
      </c>
      <c r="BF23" s="87">
        <f>VLOOKUP($B23,Raw_Data[#All],BF$2,0)/BF$1</f>
        <v>4.1592840841704248</v>
      </c>
      <c r="BG23" s="87">
        <f>VLOOKUP($B23,Raw_Data[#All],BG$2,0)/BG$1</f>
        <v>4.2271280585456825</v>
      </c>
      <c r="BH23" s="87">
        <f>VLOOKUP($B23,Raw_Data[#All],BH$2,0)/BH$1</f>
        <v>4.2317820718324501</v>
      </c>
      <c r="BI23" s="87">
        <f>VLOOKUP($B23,Raw_Data[#All],BI$2,0)/BI$1</f>
        <v>4.2405076121551222</v>
      </c>
      <c r="BJ23" s="87">
        <f>VLOOKUP($B23,Raw_Data[#All],BJ$2,0)/BJ$1</f>
        <v>4.2749339144102301</v>
      </c>
      <c r="BK23" s="87">
        <f>VLOOKUP($B23,Raw_Data[#All],BK$2,0)/BK$1</f>
        <v>4.2359649596172186</v>
      </c>
      <c r="BL23" s="87">
        <f>VLOOKUP($B23,Raw_Data[#All],BL$2,0)/BL$1</f>
        <v>4.2259117354902793</v>
      </c>
      <c r="BM23" s="87">
        <f>VLOOKUP($B23,Raw_Data[#All],BM$2,0)/BM$1</f>
        <v>4.1824484583105273</v>
      </c>
      <c r="BN23" s="87">
        <f>VLOOKUP($B23,Raw_Data[#All],BN$2,0)/BN$1</f>
        <v>4.1961685823754795</v>
      </c>
      <c r="BO23" s="87">
        <f>VLOOKUP($B23,Raw_Data[#All],BO$2,0)/BO$1</f>
        <v>4.2003934226581956</v>
      </c>
      <c r="BP23" s="87">
        <f>VLOOKUP($B23,Raw_Data[#All],BP$2,0)/BP$1</f>
        <v>4.1541505350426577</v>
      </c>
      <c r="BQ23" s="87">
        <f>VLOOKUP($B23,Raw_Data[#All],BQ$2,0)/BQ$1</f>
        <v>4.1813169431011881</v>
      </c>
      <c r="BR23" s="87">
        <f>VLOOKUP($B23,Raw_Data[#All],BR$2,0)/BR$1</f>
        <v>4.1372983233154068</v>
      </c>
      <c r="BS23" s="87">
        <f>VLOOKUP($B23,Raw_Data[#All],BS$2,0)/BS$1</f>
        <v>4.1729331569486625</v>
      </c>
      <c r="BT23" s="87">
        <f>VLOOKUP($B23,Raw_Data[#All],BT$2,0)/BT$1</f>
        <v>4.1955176368237908</v>
      </c>
      <c r="BU23" s="87">
        <f>VLOOKUP($B23,Raw_Data[#All],BU$2,0)/BU$1</f>
        <v>4.1402925620792139</v>
      </c>
      <c r="BV23" s="87">
        <f>VLOOKUP($B23,Raw_Data[#All],BV$2,0)/BV$1</f>
        <v>4.1460950495453668</v>
      </c>
      <c r="BW23" s="87">
        <f>VLOOKUP($B23,Raw_Data[#All],BW$2,0)/BW$1</f>
        <v>4.2018805412108762</v>
      </c>
      <c r="BX23" s="87">
        <f>VLOOKUP($B23,Raw_Data[#All],BX$2,0)/BX$1</f>
        <v>4.1692021636240701</v>
      </c>
      <c r="BY23" s="87">
        <f>VLOOKUP($B23,Raw_Data[#All],BY$2,0)/BY$1</f>
        <v>4.236960003243528</v>
      </c>
      <c r="BZ23" s="87">
        <f>VLOOKUP($B23,Raw_Data[#All],BZ$2,0)/BZ$1</f>
        <v>4.1733426216184837</v>
      </c>
      <c r="CA23" s="87">
        <f>VLOOKUP($B23,Raw_Data[#All],CA$2,0)/CA$1</f>
        <v>4.2303176368804847</v>
      </c>
      <c r="CB23" s="87">
        <f>VLOOKUP($B23,Raw_Data[#All],CB$2,0)/CB$1</f>
        <v>4.2430289484887194</v>
      </c>
      <c r="CC23" s="87">
        <f>VLOOKUP($B23,Raw_Data[#All],CC$2,0)/CC$1</f>
        <v>4.2622493867704598</v>
      </c>
      <c r="CD23" s="87">
        <f>VLOOKUP($B23,Raw_Data[#All],CD$2,0)/CD$1</f>
        <v>4.237718777543936</v>
      </c>
      <c r="CE23" s="87">
        <f>VLOOKUP($B23,Raw_Data[#All],CE$2,0)/CE$1</f>
        <v>4.1684791205314777</v>
      </c>
      <c r="CF23" s="87">
        <f>VLOOKUP($B23,Raw_Data[#All],CF$2,0)/CF$1</f>
        <v>4.1763729772670883</v>
      </c>
      <c r="CG23" s="87">
        <f>VLOOKUP($B23,Raw_Data[#All],CG$2,0)/CG$1</f>
        <v>4.1507799381889852</v>
      </c>
      <c r="CH23" s="87">
        <f>VLOOKUP($B23,Raw_Data[#All],CH$2,0)/CH$1</f>
        <v>4.1432475658195367</v>
      </c>
      <c r="CI23" s="87">
        <f>VLOOKUP($B23,Raw_Data[#All],CI$2,0)/CI$1</f>
        <v>4.1537982442265102</v>
      </c>
      <c r="CJ23" s="87">
        <f>VLOOKUP($B23,Raw_Data[#All],CJ$2,0)/CJ$1</f>
        <v>4.1057911411266845</v>
      </c>
      <c r="CK23" s="87">
        <f>VLOOKUP($B23,Raw_Data[#All],CK$2,0)/CK$1</f>
        <v>4.1411934514394177</v>
      </c>
      <c r="CL23" s="87">
        <f>VLOOKUP($B23,Raw_Data[#All],CL$2,0)/CL$1</f>
        <v>4.111894689985526</v>
      </c>
      <c r="CM23" s="87">
        <f>VLOOKUP($B23,Raw_Data[#All],CM$2,0)/CM$1</f>
        <v>4.1903393541324574</v>
      </c>
      <c r="CN23" s="87">
        <f>VLOOKUP($B23,Raw_Data[#All],CN$2,0)/CN$1</f>
        <v>4.1158158665765159</v>
      </c>
      <c r="CO23" s="87">
        <f>VLOOKUP($B23,Raw_Data[#All],CO$2,0)/CO$1</f>
        <v>4.1413298726980594</v>
      </c>
      <c r="CP23" s="87">
        <f>VLOOKUP($B23,Raw_Data[#All],CP$2,0)/CP$1</f>
        <v>4.1198382290336308</v>
      </c>
      <c r="CQ23" s="87">
        <f>VLOOKUP($B23,Raw_Data[#All],CQ$2,0)/CQ$1</f>
        <v>4.059615033752964</v>
      </c>
      <c r="CR23" s="87">
        <f>VLOOKUP($B23,Raw_Data[#All],CR$2,0)/CR$1</f>
        <v>4.0721783205619415</v>
      </c>
      <c r="CS23" s="87">
        <f>VLOOKUP($B23,Raw_Data[#All],CS$2,0)/CS$1</f>
        <v>4.0189974457215838</v>
      </c>
      <c r="CT23" s="87">
        <f>VLOOKUP($B23,Raw_Data[#All],CT$2,0)/CT$1</f>
        <v>4.0493917737742633</v>
      </c>
      <c r="CU23" s="87">
        <f>VLOOKUP($B23,Raw_Data[#All],CU$2,0)/CU$1</f>
        <v>4.0330523627075348</v>
      </c>
      <c r="CV23" s="87">
        <f>VLOOKUP($B23,Raw_Data[#All],CV$2,0)/CV$1</f>
        <v>4.0255427841634743</v>
      </c>
      <c r="CW23" s="87">
        <f>VLOOKUP($B23,Raw_Data[#All],CW$2,0)/CW$1</f>
        <v>3.992801579008475</v>
      </c>
      <c r="CX23" s="87">
        <f>VLOOKUP($B23,Raw_Data[#All],CX$2,0)/CX$1</f>
        <v>4.0103201087628229</v>
      </c>
      <c r="CY23" s="87">
        <f>VLOOKUP($B23,Raw_Data[#All],CY$2,0)/CY$1</f>
        <v>3.908489428125443</v>
      </c>
      <c r="CZ23" s="87">
        <f>VLOOKUP($B23,Raw_Data[#All],CZ$2,0)/CZ$1</f>
        <v>3.9818419643224985</v>
      </c>
      <c r="DA23" s="87">
        <f>VLOOKUP($B23,Raw_Data[#All],DA$2,0)/DA$1</f>
        <v>3.9183087027914612</v>
      </c>
      <c r="DB23" s="87">
        <f>VLOOKUP($B23,Raw_Data[#All],DB$2,0)/DB$1</f>
        <v>3.9245090996168583</v>
      </c>
      <c r="DC23" s="87">
        <f>VLOOKUP($B23,Raw_Data[#All],DC$2,0)/DC$1</f>
        <v>3.8713507096217148</v>
      </c>
      <c r="DD23" s="87">
        <f>VLOOKUP($B23,Raw_Data[#All],DD$2,0)/DD$1</f>
        <v>3.8787869271193185</v>
      </c>
      <c r="DE23" s="87">
        <f>VLOOKUP($B23,Raw_Data[#All],DE$2,0)/DE$1</f>
        <v>3.8811541021351612</v>
      </c>
      <c r="DF23" s="87">
        <f>VLOOKUP($B23,Raw_Data[#All],DF$2,0)/DF$1</f>
        <v>3.8555136494252875</v>
      </c>
      <c r="DG23" s="87">
        <f>VLOOKUP($B23,Raw_Data[#All],DG$2,0)/DG$1</f>
        <v>3.8555008210180617</v>
      </c>
      <c r="DH23" s="87">
        <f>VLOOKUP($B23,Raw_Data[#All],DH$2,0)/DH$1</f>
        <v>3.8190453384418901</v>
      </c>
      <c r="DI23" s="87">
        <f>VLOOKUP($B23,Raw_Data[#All],DI$2,0)/DI$1</f>
        <v>3.8883871556285348</v>
      </c>
      <c r="DJ23" s="87">
        <f>VLOOKUP($B23,Raw_Data[#All],DJ$2,0)/DJ$1</f>
        <v>3.8816052043422733</v>
      </c>
      <c r="DK23" s="87">
        <f>VLOOKUP($B23,Raw_Data[#All],DK$2,0)/DK$1</f>
        <v>3.975166611762917</v>
      </c>
      <c r="DL23" s="87">
        <f>VLOOKUP($B23,Raw_Data[#All],DL$2,0)/DL$1</f>
        <v>3.9396095602992158</v>
      </c>
      <c r="DM23" s="87">
        <f>VLOOKUP($B23,Raw_Data[#All],DM$2,0)/DM$1</f>
        <v>3.8581078384418901</v>
      </c>
      <c r="DN23" s="87">
        <f>VLOOKUP($B23,Raw_Data[#All],DN$2,0)/DN$1</f>
        <v>3.9276150455238334</v>
      </c>
      <c r="DO23" s="87">
        <f>VLOOKUP($B23,Raw_Data[#All],DO$2,0)/DO$1</f>
        <v>3.9147486934231859</v>
      </c>
      <c r="DP23" s="87">
        <f>VLOOKUP($B23,Raw_Data[#All],DP$2,0)/DP$1</f>
        <v>3.904898098681489</v>
      </c>
      <c r="DQ23" s="87">
        <f>VLOOKUP($B23,Raw_Data[#All],DQ$2,0)/DQ$1</f>
        <v>3.866858237547893</v>
      </c>
      <c r="DR23" s="87">
        <f>VLOOKUP($B23,Raw_Data[#All],DR$2,0)/DR$1</f>
        <v>3.8092173531289912</v>
      </c>
      <c r="DS23" s="87">
        <f>VLOOKUP($B23,Raw_Data[#All],DS$2,0)/DS$1</f>
        <v>3.8757577392837232</v>
      </c>
      <c r="DT23" s="87">
        <f>VLOOKUP($B23,Raw_Data[#All],DT$2,0)/DT$1</f>
        <v>3.8952239048024486</v>
      </c>
      <c r="DU23" s="87">
        <f>VLOOKUP($B23,Raw_Data[#All],DU$2,0)/DU$1</f>
        <v>3.9203947862669968</v>
      </c>
      <c r="DV23" s="87">
        <f>VLOOKUP($B23,Raw_Data[#All],DV$2,0)/DV$1</f>
        <v>3.905005169372985</v>
      </c>
      <c r="DW23" s="87">
        <f>VLOOKUP($B23,Raw_Data[#All],DW$2,0)/DW$1</f>
        <v>3.9188158822744512</v>
      </c>
      <c r="DX23" s="87">
        <f>VLOOKUP($B23,Raw_Data[#All],DX$2,0)/DX$1</f>
        <v>3.8726540684460025</v>
      </c>
      <c r="DY23" s="87">
        <f>VLOOKUP($B23,Raw_Data[#All],DY$2,0)/DY$1</f>
        <v>3.8763951357654509</v>
      </c>
      <c r="DZ23" s="87">
        <f>VLOOKUP($B23,Raw_Data[#All],DZ$2,0)/DZ$1</f>
        <v>3.9004946380425305</v>
      </c>
      <c r="EA23" s="87">
        <f>VLOOKUP($B23,Raw_Data[#All],EA$2,0)/EA$1</f>
        <v>3.9371807151979565</v>
      </c>
      <c r="EB23" s="87">
        <f>VLOOKUP($B23,Raw_Data[#All],EB$2,0)/EB$1</f>
        <v>4.0081218071519791</v>
      </c>
      <c r="EC23" s="87">
        <f>VLOOKUP($B23,Raw_Data[#All],EC$2,0)/EC$1</f>
        <v>3.9233314226526286</v>
      </c>
      <c r="ED23" s="87">
        <f>VLOOKUP($B23,Raw_Data[#All],ED$2,0)/ED$1</f>
        <v>3.9166956925577616</v>
      </c>
      <c r="EE23" s="87">
        <f>VLOOKUP($B23,Raw_Data[#All],EE$2,0)/EE$1</f>
        <v>3.9930365505078145</v>
      </c>
      <c r="EF23" s="87">
        <f>VLOOKUP($B23,Raw_Data[#All],EF$2,0)/EF$1</f>
        <v>4.0071953110746215</v>
      </c>
      <c r="EG23" s="87">
        <f>VLOOKUP($B23,Raw_Data[#All],EG$2,0)/EG$1</f>
        <v>4.0237368295019156</v>
      </c>
      <c r="EH23" s="87">
        <f>VLOOKUP($B23,Raw_Data[#All],EH$2,0)/EH$1</f>
        <v>4.0387531928480209</v>
      </c>
      <c r="EI23" s="87">
        <f>VLOOKUP($B23,Raw_Data[#All],EI$2,0)/EI$1</f>
        <v>4.2361111111111116</v>
      </c>
      <c r="EJ23" s="87">
        <f>VLOOKUP($B23,Raw_Data[#All],EJ$2,0)/EJ$1</f>
        <v>4.2464878671775228</v>
      </c>
      <c r="EK23" s="87">
        <f>VLOOKUP($B23,Raw_Data[#All],EK$2,0)/EK$1</f>
        <v>4.2749574286930612</v>
      </c>
      <c r="EL23" s="87">
        <f>VLOOKUP($B23,Raw_Data[#All],EL$2,0)/EL$1</f>
        <v>4.2708143282855922</v>
      </c>
      <c r="EM23" s="87">
        <f>VLOOKUP($B23,Raw_Data[#All],EM$2,0)/EM$1</f>
        <v>4.2412713830877991</v>
      </c>
      <c r="EN23" s="87">
        <f>VLOOKUP($B23,Raw_Data[#All],EN$2,0)/EN$1</f>
        <v>4.1640313000466254</v>
      </c>
      <c r="EO23" s="87">
        <f>VLOOKUP($B23,Raw_Data[#All],EO$2,0)/EO$1</f>
        <v>4.1738505747126435</v>
      </c>
      <c r="EP23" s="87">
        <f>VLOOKUP($B23,Raw_Data[#All],EP$2,0)/EP$1</f>
        <v>4.0954761334610472</v>
      </c>
      <c r="EQ23" s="87">
        <f>VLOOKUP($B23,Raw_Data[#All],EQ$2,0)/EQ$1</f>
        <v>4.308031169600385</v>
      </c>
      <c r="ER23" s="87">
        <f>VLOOKUP($B23,Raw_Data[#All],ER$2,0)/ER$1</f>
        <v>4.2898130410103592</v>
      </c>
      <c r="ES23" s="87">
        <f>VLOOKUP($B23,Raw_Data[#All],ES$2,0)/ES$1</f>
        <v>4.3088608278020617</v>
      </c>
      <c r="ET23" s="87">
        <f>VLOOKUP($B23,Raw_Data[#All],ET$2,0)/ET$1</f>
        <v>4.281114528807584</v>
      </c>
      <c r="EU23" s="87">
        <f>VLOOKUP($B23,Raw_Data[#All],EU$2,0)/EU$1</f>
        <v>4.2791358624287232</v>
      </c>
      <c r="EV23" s="87">
        <f>VLOOKUP($B23,Raw_Data[#All],EV$2,0)/EV$1</f>
        <v>4.2187721725556973</v>
      </c>
      <c r="EW23" s="87">
        <f>VLOOKUP($B23,Raw_Data[#All],EW$2,0)/EW$1</f>
        <v>4.2875458971902933</v>
      </c>
      <c r="EX23" s="87">
        <f>VLOOKUP($B23,Raw_Data[#All],EX$2,0)/EX$1</f>
        <v>4.2989225262173303</v>
      </c>
      <c r="EY23" s="87">
        <f>VLOOKUP($B23,Raw_Data[#All],EY$2,0)/EY$1</f>
        <v>4.3278050174601894</v>
      </c>
      <c r="EZ23" s="87">
        <f>VLOOKUP($B23,Raw_Data[#All],EZ$2,0)/EZ$1</f>
        <v>4.309723996026678</v>
      </c>
      <c r="FA23" s="87">
        <f>VLOOKUP($B23,Raw_Data[#All],FA$2,0)/FA$1</f>
        <v>4.2863097772101604</v>
      </c>
      <c r="FB23" s="87">
        <f>VLOOKUP($B23,Raw_Data[#All],FB$2,0)/FB$1</f>
        <v>4.2530509436639701</v>
      </c>
      <c r="FC23" s="87">
        <f>VLOOKUP($B23,Raw_Data[#All],FC$2,0)/FC$1</f>
        <v>4.2712324393358871</v>
      </c>
      <c r="FD23" s="87">
        <f>VLOOKUP($B23,Raw_Data[#All],FD$2,0)/FD$1</f>
        <v>4.2909881864623252</v>
      </c>
      <c r="FE23" s="87">
        <f>VLOOKUP($B23,Raw_Data[#All],FE$2,0)/FE$1</f>
        <v>4.3147349936143042</v>
      </c>
      <c r="FF23" s="87">
        <f>VLOOKUP($B23,Raw_Data[#All],FF$2,0)/FF$1</f>
        <v>4.3384319125159641</v>
      </c>
      <c r="FG23" s="105">
        <f>VLOOKUP($B23,Raw_Data[#All],FG$2,0)/FG$1</f>
        <v>4.1395300917687132</v>
      </c>
    </row>
    <row r="24" spans="2:163">
      <c r="B24" s="104">
        <f t="shared" si="0"/>
        <v>45847</v>
      </c>
      <c r="C24" s="87">
        <f>VLOOKUP($B24,Raw_Data[#All],C$2,0)/C$1</f>
        <v>4.5146981392622614</v>
      </c>
      <c r="D24" s="87">
        <f>VLOOKUP($B24,Raw_Data[#All],D$2,0)/D$1</f>
        <v>4.6516088605717947</v>
      </c>
      <c r="E24" s="87">
        <f>VLOOKUP($B24,Raw_Data[#All],E$2,0)/E$1</f>
        <v>4.6688765479931691</v>
      </c>
      <c r="F24" s="87">
        <f>VLOOKUP($B24,Raw_Data[#All],F$2,0)/F$1</f>
        <v>4.6341516240274725</v>
      </c>
      <c r="G24" s="87">
        <f>VLOOKUP($B24,Raw_Data[#All],G$2,0)/G$1</f>
        <v>4.7264195617547031</v>
      </c>
      <c r="H24" s="87">
        <f>VLOOKUP($B24,Raw_Data[#All],H$2,0)/H$1</f>
        <v>4.7553584838874778</v>
      </c>
      <c r="I24" s="87">
        <f>VLOOKUP($B24,Raw_Data[#All],I$2,0)/I$1</f>
        <v>4.7556933143914923</v>
      </c>
      <c r="J24" s="87">
        <f>VLOOKUP($B24,Raw_Data[#All],J$2,0)/J$1</f>
        <v>4.6646306721061146</v>
      </c>
      <c r="K24" s="87">
        <f>VLOOKUP($B24,Raw_Data[#All],K$2,0)/K$1</f>
        <v>4.6507478678471825</v>
      </c>
      <c r="L24" s="87">
        <f>VLOOKUP($B24,Raw_Data[#All],L$2,0)/L$1</f>
        <v>4.5117226259438112</v>
      </c>
      <c r="M24" s="87">
        <f>VLOOKUP($B24,Raw_Data[#All],M$2,0)/M$1</f>
        <v>4.6717774302555739</v>
      </c>
      <c r="N24" s="87">
        <f>VLOOKUP($B24,Raw_Data[#All],N$2,0)/N$1</f>
        <v>4.6587359670144117</v>
      </c>
      <c r="O24" s="87">
        <f>VLOOKUP($B24,Raw_Data[#All],O$2,0)/O$1</f>
        <v>4.6798700801609776</v>
      </c>
      <c r="P24" s="87">
        <f>VLOOKUP($B24,Raw_Data[#All],P$2,0)/P$1</f>
        <v>4.6809304461377295</v>
      </c>
      <c r="Q24" s="87">
        <f>VLOOKUP($B24,Raw_Data[#All],Q$2,0)/Q$1</f>
        <v>4.7198186175326811</v>
      </c>
      <c r="R24" s="87">
        <f>VLOOKUP($B24,Raw_Data[#All],R$2,0)/R$1</f>
        <v>4.7362731451585898</v>
      </c>
      <c r="S24" s="87">
        <f>VLOOKUP($B24,Raw_Data[#All],S$2,0)/S$1</f>
        <v>4.6377373111197215</v>
      </c>
      <c r="T24" s="87">
        <f>VLOOKUP($B24,Raw_Data[#All],T$2,0)/T$1</f>
        <v>4.5897608831872034</v>
      </c>
      <c r="U24" s="87">
        <f>VLOOKUP($B24,Raw_Data[#All],U$2,0)/U$1</f>
        <v>4.6043977595055985</v>
      </c>
      <c r="V24" s="87">
        <f>VLOOKUP($B24,Raw_Data[#All],V$2,0)/V$1</f>
        <v>4.6727988481830662</v>
      </c>
      <c r="W24" s="87">
        <f>VLOOKUP($B24,Raw_Data[#All],W$2,0)/W$1</f>
        <v>4.5481626718573143</v>
      </c>
      <c r="X24" s="87">
        <f>VLOOKUP($B24,Raw_Data[#All],X$2,0)/X$1</f>
        <v>4.5346483137032312</v>
      </c>
      <c r="Y24" s="87">
        <f>VLOOKUP($B24,Raw_Data[#All],Y$2,0)/Y$1</f>
        <v>4.5752461322081572</v>
      </c>
      <c r="Z24" s="87">
        <f>VLOOKUP($B24,Raw_Data[#All],Z$2,0)/Z$1</f>
        <v>4.5501915708812257</v>
      </c>
      <c r="AA24" s="87">
        <f>VLOOKUP($B24,Raw_Data[#All],AA$2,0)/AA$1</f>
        <v>4.4784482758620694</v>
      </c>
      <c r="AB24" s="87">
        <f>VLOOKUP($B24,Raw_Data[#All],AB$2,0)/AB$1</f>
        <v>4.4434730991311859</v>
      </c>
      <c r="AC24" s="87">
        <f>VLOOKUP($B24,Raw_Data[#All],AC$2,0)/AC$1</f>
        <v>4.4456284424742716</v>
      </c>
      <c r="AD24" s="87">
        <f>VLOOKUP($B24,Raw_Data[#All],AD$2,0)/AD$1</f>
        <v>4.3995080648975922</v>
      </c>
      <c r="AE24" s="87">
        <f>VLOOKUP($B24,Raw_Data[#All],AE$2,0)/AE$1</f>
        <v>4.5742869306087695</v>
      </c>
      <c r="AF24" s="87">
        <f>VLOOKUP($B24,Raw_Data[#All],AF$2,0)/AF$1</f>
        <v>4.5983237547892717</v>
      </c>
      <c r="AG24" s="87">
        <f>VLOOKUP($B24,Raw_Data[#All],AG$2,0)/AG$1</f>
        <v>4.5619089189582427</v>
      </c>
      <c r="AH24" s="87">
        <f>VLOOKUP($B24,Raw_Data[#All],AH$2,0)/AH$1</f>
        <v>4.5740504233479973</v>
      </c>
      <c r="AI24" s="87">
        <f>VLOOKUP($B24,Raw_Data[#All],AI$2,0)/AI$1</f>
        <v>4.5981316457875927</v>
      </c>
      <c r="AJ24" s="87">
        <f>VLOOKUP($B24,Raw_Data[#All],AJ$2,0)/AJ$1</f>
        <v>4.5944006773142769</v>
      </c>
      <c r="AK24" s="87">
        <f>VLOOKUP($B24,Raw_Data[#All],AK$2,0)/AK$1</f>
        <v>4.6495520446185559</v>
      </c>
      <c r="AL24" s="87">
        <f>VLOOKUP($B24,Raw_Data[#All],AL$2,0)/AL$1</f>
        <v>4.6008102898197176</v>
      </c>
      <c r="AM24" s="87">
        <f>VLOOKUP($B24,Raw_Data[#All],AM$2,0)/AM$1</f>
        <v>4.646729901798996</v>
      </c>
      <c r="AN24" s="87">
        <f>VLOOKUP($B24,Raw_Data[#All],AN$2,0)/AN$1</f>
        <v>4.5518293703751533</v>
      </c>
      <c r="AO24" s="87">
        <f>VLOOKUP($B24,Raw_Data[#All],AO$2,0)/AO$1</f>
        <v>4.5485288982641432</v>
      </c>
      <c r="AP24" s="87">
        <f>VLOOKUP($B24,Raw_Data[#All],AP$2,0)/AP$1</f>
        <v>4.5316438742759289</v>
      </c>
      <c r="AQ24" s="87">
        <f>VLOOKUP($B24,Raw_Data[#All],AQ$2,0)/AQ$1</f>
        <v>4.6023561428008737</v>
      </c>
      <c r="AR24" s="87">
        <f>VLOOKUP($B24,Raw_Data[#All],AR$2,0)/AR$1</f>
        <v>4.6225521726700967</v>
      </c>
      <c r="AS24" s="87">
        <f>VLOOKUP($B24,Raw_Data[#All],AS$2,0)/AS$1</f>
        <v>4.6401256394311723</v>
      </c>
      <c r="AT24" s="87">
        <f>VLOOKUP($B24,Raw_Data[#All],AT$2,0)/AT$1</f>
        <v>4.6498220418078944</v>
      </c>
      <c r="AU24" s="87">
        <f>VLOOKUP($B24,Raw_Data[#All],AU$2,0)/AU$1</f>
        <v>4.4878077832797318</v>
      </c>
      <c r="AV24" s="87">
        <f>VLOOKUP($B24,Raw_Data[#All],AV$2,0)/AV$1</f>
        <v>4.4262288371483773</v>
      </c>
      <c r="AW24" s="87">
        <f>VLOOKUP($B24,Raw_Data[#All],AW$2,0)/AW$1</f>
        <v>4.6417568777012708</v>
      </c>
      <c r="AX24" s="87">
        <f>VLOOKUP($B24,Raw_Data[#All],AX$2,0)/AX$1</f>
        <v>4.6169029970995812</v>
      </c>
      <c r="AY24" s="87">
        <f>VLOOKUP($B24,Raw_Data[#All],AY$2,0)/AY$1</f>
        <v>4.4770966807832924</v>
      </c>
      <c r="AZ24" s="87">
        <f>VLOOKUP($B24,Raw_Data[#All],AZ$2,0)/AZ$1</f>
        <v>4.5453763791215254</v>
      </c>
      <c r="BA24" s="87">
        <f>VLOOKUP($B24,Raw_Data[#All],BA$2,0)/BA$1</f>
        <v>4.5928536137446283</v>
      </c>
      <c r="BB24" s="87">
        <f>VLOOKUP($B24,Raw_Data[#All],BB$2,0)/BB$1</f>
        <v>4.6281828703703702</v>
      </c>
      <c r="BC24" s="87">
        <f>VLOOKUP($B24,Raw_Data[#All],BC$2,0)/BC$1</f>
        <v>4.5725630924756722</v>
      </c>
      <c r="BD24" s="87">
        <f>VLOOKUP($B24,Raw_Data[#All],BD$2,0)/BD$1</f>
        <v>4.619520378417028</v>
      </c>
      <c r="BE24" s="87">
        <f>VLOOKUP($B24,Raw_Data[#All],BE$2,0)/BE$1</f>
        <v>4.5295270987354526</v>
      </c>
      <c r="BF24" s="87">
        <f>VLOOKUP($B24,Raw_Data[#All],BF$2,0)/BF$1</f>
        <v>4.5175564700174302</v>
      </c>
      <c r="BG24" s="87">
        <f>VLOOKUP($B24,Raw_Data[#All],BG$2,0)/BG$1</f>
        <v>4.5442842952421501</v>
      </c>
      <c r="BH24" s="87">
        <f>VLOOKUP($B24,Raw_Data[#All],BH$2,0)/BH$1</f>
        <v>4.5307903683218544</v>
      </c>
      <c r="BI24" s="87">
        <f>VLOOKUP($B24,Raw_Data[#All],BI$2,0)/BI$1</f>
        <v>4.5681546352044435</v>
      </c>
      <c r="BJ24" s="87">
        <f>VLOOKUP($B24,Raw_Data[#All],BJ$2,0)/BJ$1</f>
        <v>4.5729442023290705</v>
      </c>
      <c r="BK24" s="87">
        <f>VLOOKUP($B24,Raw_Data[#All],BK$2,0)/BK$1</f>
        <v>4.5427481877214761</v>
      </c>
      <c r="BL24" s="87">
        <f>VLOOKUP($B24,Raw_Data[#All],BL$2,0)/BL$1</f>
        <v>4.5397737639116951</v>
      </c>
      <c r="BM24" s="87">
        <f>VLOOKUP($B24,Raw_Data[#All],BM$2,0)/BM$1</f>
        <v>4.4784254698047796</v>
      </c>
      <c r="BN24" s="87">
        <f>VLOOKUP($B24,Raw_Data[#All],BN$2,0)/BN$1</f>
        <v>4.44382183908046</v>
      </c>
      <c r="BO24" s="87">
        <f>VLOOKUP($B24,Raw_Data[#All],BO$2,0)/BO$1</f>
        <v>4.5220295281068852</v>
      </c>
      <c r="BP24" s="87">
        <f>VLOOKUP($B24,Raw_Data[#All],BP$2,0)/BP$1</f>
        <v>4.4785405462406418</v>
      </c>
      <c r="BQ24" s="87">
        <f>VLOOKUP($B24,Raw_Data[#All],BQ$2,0)/BQ$1</f>
        <v>4.4945803293428126</v>
      </c>
      <c r="BR24" s="87">
        <f>VLOOKUP($B24,Raw_Data[#All],BR$2,0)/BR$1</f>
        <v>4.4373841912595475</v>
      </c>
      <c r="BS24" s="87">
        <f>VLOOKUP($B24,Raw_Data[#All],BS$2,0)/BS$1</f>
        <v>4.4612869342029509</v>
      </c>
      <c r="BT24" s="87">
        <f>VLOOKUP($B24,Raw_Data[#All],BT$2,0)/BT$1</f>
        <v>4.4743554254982598</v>
      </c>
      <c r="BU24" s="87">
        <f>VLOOKUP($B24,Raw_Data[#All],BU$2,0)/BU$1</f>
        <v>4.4406966951980786</v>
      </c>
      <c r="BV24" s="87">
        <f>VLOOKUP($B24,Raw_Data[#All],BV$2,0)/BV$1</f>
        <v>4.4201508301782821</v>
      </c>
      <c r="BW24" s="87">
        <f>VLOOKUP($B24,Raw_Data[#All],BW$2,0)/BW$1</f>
        <v>4.4987691339515434</v>
      </c>
      <c r="BX24" s="87">
        <f>VLOOKUP($B24,Raw_Data[#All],BX$2,0)/BX$1</f>
        <v>4.4366970926301557</v>
      </c>
      <c r="BY24" s="87">
        <f>VLOOKUP($B24,Raw_Data[#All],BY$2,0)/BY$1</f>
        <v>4.5275091731030424</v>
      </c>
      <c r="BZ24" s="87">
        <f>VLOOKUP($B24,Raw_Data[#All],BZ$2,0)/BZ$1</f>
        <v>4.4026471612678506</v>
      </c>
      <c r="CA24" s="87">
        <f>VLOOKUP($B24,Raw_Data[#All],CA$2,0)/CA$1</f>
        <v>4.4746220079924202</v>
      </c>
      <c r="CB24" s="87">
        <f>VLOOKUP($B24,Raw_Data[#All],CB$2,0)/CB$1</f>
        <v>4.4784571448843478</v>
      </c>
      <c r="CC24" s="87">
        <f>VLOOKUP($B24,Raw_Data[#All],CC$2,0)/CC$1</f>
        <v>4.5020677491941852</v>
      </c>
      <c r="CD24" s="87">
        <f>VLOOKUP($B24,Raw_Data[#All],CD$2,0)/CD$1</f>
        <v>4.420115841922545</v>
      </c>
      <c r="CE24" s="87">
        <f>VLOOKUP($B24,Raw_Data[#All],CE$2,0)/CE$1</f>
        <v>4.4576973267953184</v>
      </c>
      <c r="CF24" s="87">
        <f>VLOOKUP($B24,Raw_Data[#All],CF$2,0)/CF$1</f>
        <v>4.4177920827462511</v>
      </c>
      <c r="CG24" s="87">
        <f>VLOOKUP($B24,Raw_Data[#All],CG$2,0)/CG$1</f>
        <v>4.3877059353174506</v>
      </c>
      <c r="CH24" s="87">
        <f>VLOOKUP($B24,Raw_Data[#All],CH$2,0)/CH$1</f>
        <v>4.420542022566698</v>
      </c>
      <c r="CI24" s="87">
        <f>VLOOKUP($B24,Raw_Data[#All],CI$2,0)/CI$1</f>
        <v>4.4382711167352102</v>
      </c>
      <c r="CJ24" s="87">
        <f>VLOOKUP($B24,Raw_Data[#All],CJ$2,0)/CJ$1</f>
        <v>4.3978927967209058</v>
      </c>
      <c r="CK24" s="87">
        <f>VLOOKUP($B24,Raw_Data[#All],CK$2,0)/CK$1</f>
        <v>4.484884134767479</v>
      </c>
      <c r="CL24" s="87">
        <f>VLOOKUP($B24,Raw_Data[#All],CL$2,0)/CL$1</f>
        <v>4.4666608808123343</v>
      </c>
      <c r="CM24" s="87">
        <f>VLOOKUP($B24,Raw_Data[#All],CM$2,0)/CM$1</f>
        <v>4.5469348659003836</v>
      </c>
      <c r="CN24" s="87">
        <f>VLOOKUP($B24,Raw_Data[#All],CN$2,0)/CN$1</f>
        <v>4.4924310720456759</v>
      </c>
      <c r="CO24" s="87">
        <f>VLOOKUP($B24,Raw_Data[#All],CO$2,0)/CO$1</f>
        <v>4.5318357846166526</v>
      </c>
      <c r="CP24" s="87">
        <f>VLOOKUP($B24,Raw_Data[#All],CP$2,0)/CP$1</f>
        <v>4.510917766425429</v>
      </c>
      <c r="CQ24" s="87">
        <f>VLOOKUP($B24,Raw_Data[#All],CQ$2,0)/CQ$1</f>
        <v>4.4813902572523263</v>
      </c>
      <c r="CR24" s="87">
        <f>VLOOKUP($B24,Raw_Data[#All],CR$2,0)/CR$1</f>
        <v>4.5297533524904212</v>
      </c>
      <c r="CS24" s="87">
        <f>VLOOKUP($B24,Raw_Data[#All],CS$2,0)/CS$1</f>
        <v>4.4950810185185182</v>
      </c>
      <c r="CT24" s="87">
        <f>VLOOKUP($B24,Raw_Data[#All],CT$2,0)/CT$1</f>
        <v>4.4917257683215128</v>
      </c>
      <c r="CU24" s="87">
        <f>VLOOKUP($B24,Raw_Data[#All],CU$2,0)/CU$1</f>
        <v>4.5608684546615583</v>
      </c>
      <c r="CV24" s="87">
        <f>VLOOKUP($B24,Raw_Data[#All],CV$2,0)/CV$1</f>
        <v>4.5358581393064155</v>
      </c>
      <c r="CW24" s="87">
        <f>VLOOKUP($B24,Raw_Data[#All],CW$2,0)/CW$1</f>
        <v>4.4919129401888025</v>
      </c>
      <c r="CX24" s="87">
        <f>VLOOKUP($B24,Raw_Data[#All],CX$2,0)/CX$1</f>
        <v>4.540075392411322</v>
      </c>
      <c r="CY24" s="87">
        <f>VLOOKUP($B24,Raw_Data[#All],CY$2,0)/CY$1</f>
        <v>4.4346885199375619</v>
      </c>
      <c r="CZ24" s="87">
        <f>VLOOKUP($B24,Raw_Data[#All],CZ$2,0)/CZ$1</f>
        <v>4.5434227330779056</v>
      </c>
      <c r="DA24" s="87">
        <f>VLOOKUP($B24,Raw_Data[#All],DA$2,0)/DA$1</f>
        <v>4.4768290457945632</v>
      </c>
      <c r="DB24" s="87">
        <f>VLOOKUP($B24,Raw_Data[#All],DB$2,0)/DB$1</f>
        <v>4.5183289431673046</v>
      </c>
      <c r="DC24" s="87">
        <f>VLOOKUP($B24,Raw_Data[#All],DC$2,0)/DC$1</f>
        <v>4.3919648157142088</v>
      </c>
      <c r="DD24" s="87">
        <f>VLOOKUP($B24,Raw_Data[#All],DD$2,0)/DD$1</f>
        <v>4.4599899503800007</v>
      </c>
      <c r="DE24" s="87">
        <f>VLOOKUP($B24,Raw_Data[#All],DE$2,0)/DE$1</f>
        <v>4.3956523303293586</v>
      </c>
      <c r="DF24" s="87">
        <f>VLOOKUP($B24,Raw_Data[#All],DF$2,0)/DF$1</f>
        <v>4.3857758620689662</v>
      </c>
      <c r="DG24" s="87">
        <f>VLOOKUP($B24,Raw_Data[#All],DG$2,0)/DG$1</f>
        <v>4.3646688560481666</v>
      </c>
      <c r="DH24" s="87">
        <f>VLOOKUP($B24,Raw_Data[#All],DH$2,0)/DH$1</f>
        <v>4.3246627554278421</v>
      </c>
      <c r="DI24" s="87">
        <f>VLOOKUP($B24,Raw_Data[#All],DI$2,0)/DI$1</f>
        <v>4.3963692756796204</v>
      </c>
      <c r="DJ24" s="87">
        <f>VLOOKUP($B24,Raw_Data[#All],DJ$2,0)/DJ$1</f>
        <v>4.406778815453384</v>
      </c>
      <c r="DK24" s="87">
        <f>VLOOKUP($B24,Raw_Data[#All],DK$2,0)/DK$1</f>
        <v>4.4855687606112058</v>
      </c>
      <c r="DL24" s="87">
        <f>VLOOKUP($B24,Raw_Data[#All],DL$2,0)/DL$1</f>
        <v>4.4612297026090122</v>
      </c>
      <c r="DM24" s="87">
        <f>VLOOKUP($B24,Raw_Data[#All],DM$2,0)/DM$1</f>
        <v>4.4448435504469987</v>
      </c>
      <c r="DN24" s="87">
        <f>VLOOKUP($B24,Raw_Data[#All],DN$2,0)/DN$1</f>
        <v>4.5108762822889634</v>
      </c>
      <c r="DO24" s="87">
        <f>VLOOKUP($B24,Raw_Data[#All],DO$2,0)/DO$1</f>
        <v>4.4632392235718239</v>
      </c>
      <c r="DP24" s="87">
        <f>VLOOKUP($B24,Raw_Data[#All],DP$2,0)/DP$1</f>
        <v>4.4543377763387486</v>
      </c>
      <c r="DQ24" s="87">
        <f>VLOOKUP($B24,Raw_Data[#All],DQ$2,0)/DQ$1</f>
        <v>4.4094599525634006</v>
      </c>
      <c r="DR24" s="87">
        <f>VLOOKUP($B24,Raw_Data[#All],DR$2,0)/DR$1</f>
        <v>4.4205978607918262</v>
      </c>
      <c r="DS24" s="87">
        <f>VLOOKUP($B24,Raw_Data[#All],DS$2,0)/DS$1</f>
        <v>4.388457179860775</v>
      </c>
      <c r="DT24" s="87">
        <f>VLOOKUP($B24,Raw_Data[#All],DT$2,0)/DT$1</f>
        <v>4.3994911715218228</v>
      </c>
      <c r="DU24" s="87">
        <f>VLOOKUP($B24,Raw_Data[#All],DU$2,0)/DU$1</f>
        <v>4.4317200060100665</v>
      </c>
      <c r="DV24" s="87">
        <f>VLOOKUP($B24,Raw_Data[#All],DV$2,0)/DV$1</f>
        <v>4.4089683553285086</v>
      </c>
      <c r="DW24" s="87">
        <f>VLOOKUP($B24,Raw_Data[#All],DW$2,0)/DW$1</f>
        <v>4.4341034292140833</v>
      </c>
      <c r="DX24" s="87">
        <f>VLOOKUP($B24,Raw_Data[#All],DX$2,0)/DX$1</f>
        <v>4.4061843842673767</v>
      </c>
      <c r="DY24" s="87">
        <f>VLOOKUP($B24,Raw_Data[#All],DY$2,0)/DY$1</f>
        <v>4.3669831750791275</v>
      </c>
      <c r="DZ24" s="87">
        <f>VLOOKUP($B24,Raw_Data[#All],DZ$2,0)/DZ$1</f>
        <v>4.4042551034888193</v>
      </c>
      <c r="EA24" s="87">
        <f>VLOOKUP($B24,Raw_Data[#All],EA$2,0)/EA$1</f>
        <v>4.4921376117496807</v>
      </c>
      <c r="EB24" s="87">
        <f>VLOOKUP($B24,Raw_Data[#All],EB$2,0)/EB$1</f>
        <v>4.526660280970626</v>
      </c>
      <c r="EC24" s="87">
        <f>VLOOKUP($B24,Raw_Data[#All],EC$2,0)/EC$1</f>
        <v>4.4098007863959534</v>
      </c>
      <c r="ED24" s="87">
        <f>VLOOKUP($B24,Raw_Data[#All],ED$2,0)/ED$1</f>
        <v>4.4285963079066528</v>
      </c>
      <c r="EE24" s="87">
        <f>VLOOKUP($B24,Raw_Data[#All],EE$2,0)/EE$1</f>
        <v>4.4853433071823874</v>
      </c>
      <c r="EF24" s="87">
        <f>VLOOKUP($B24,Raw_Data[#All],EF$2,0)/EF$1</f>
        <v>4.4710705163291369</v>
      </c>
      <c r="EG24" s="87">
        <f>VLOOKUP($B24,Raw_Data[#All],EG$2,0)/EG$1</f>
        <v>4.5248144157088124</v>
      </c>
      <c r="EH24" s="87">
        <f>VLOOKUP($B24,Raw_Data[#All],EH$2,0)/EH$1</f>
        <v>4.5542484833971901</v>
      </c>
      <c r="EI24" s="87">
        <f>VLOOKUP($B24,Raw_Data[#All],EI$2,0)/EI$1</f>
        <v>4.5790762026394214</v>
      </c>
      <c r="EJ24" s="87">
        <f>VLOOKUP($B24,Raw_Data[#All],EJ$2,0)/EJ$1</f>
        <v>4.6821571293206441</v>
      </c>
      <c r="EK24" s="87">
        <f>VLOOKUP($B24,Raw_Data[#All],EK$2,0)/EK$1</f>
        <v>4.5959273449694908</v>
      </c>
      <c r="EL24" s="87">
        <f>VLOOKUP($B24,Raw_Data[#All],EL$2,0)/EL$1</f>
        <v>4.7892720306513406</v>
      </c>
      <c r="EM24" s="87">
        <f>VLOOKUP($B24,Raw_Data[#All],EM$2,0)/EM$1</f>
        <v>4.6705520479197027</v>
      </c>
      <c r="EN24" s="87">
        <f>VLOOKUP($B24,Raw_Data[#All],EN$2,0)/EN$1</f>
        <v>4.6509152830991907</v>
      </c>
      <c r="EO24" s="87">
        <f>VLOOKUP($B24,Raw_Data[#All],EO$2,0)/EO$1</f>
        <v>4.6964798850574709</v>
      </c>
      <c r="EP24" s="87">
        <f>VLOOKUP($B24,Raw_Data[#All],EP$2,0)/EP$1</f>
        <v>4.6061821519795654</v>
      </c>
      <c r="EQ24" s="87">
        <f>VLOOKUP($B24,Raw_Data[#All],EQ$2,0)/EQ$1</f>
        <v>4.4640179910044981</v>
      </c>
      <c r="ER24" s="87">
        <f>VLOOKUP($B24,Raw_Data[#All],ER$2,0)/ER$1</f>
        <v>4.4242674187597562</v>
      </c>
      <c r="ES24" s="87">
        <f>VLOOKUP($B24,Raw_Data[#All],ES$2,0)/ES$1</f>
        <v>4.4347309913118567</v>
      </c>
      <c r="ET24" s="87">
        <f>VLOOKUP($B24,Raw_Data[#All],ET$2,0)/ET$1</f>
        <v>4.4327972946234242</v>
      </c>
      <c r="EU24" s="87">
        <f>VLOOKUP($B24,Raw_Data[#All],EU$2,0)/EU$1</f>
        <v>4.513068192038566</v>
      </c>
      <c r="EV24" s="87">
        <f>VLOOKUP($B24,Raw_Data[#All],EV$2,0)/EV$1</f>
        <v>4.5095430679721868</v>
      </c>
      <c r="EW24" s="87">
        <f>VLOOKUP($B24,Raw_Data[#All],EW$2,0)/EW$1</f>
        <v>4.5889208173690932</v>
      </c>
      <c r="EX24" s="87">
        <f>VLOOKUP($B24,Raw_Data[#All],EX$2,0)/EX$1</f>
        <v>4.4979134063641109</v>
      </c>
      <c r="EY24" s="87">
        <f>VLOOKUP($B24,Raw_Data[#All],EY$2,0)/EY$1</f>
        <v>4.4633336012646359</v>
      </c>
      <c r="EZ24" s="87">
        <f>VLOOKUP($B24,Raw_Data[#All],EZ$2,0)/EZ$1</f>
        <v>4.4288793103448274</v>
      </c>
      <c r="FA24" s="87">
        <f>VLOOKUP($B24,Raw_Data[#All],FA$2,0)/FA$1</f>
        <v>4.4414733219809852</v>
      </c>
      <c r="FB24" s="87">
        <f>VLOOKUP($B24,Raw_Data[#All],FB$2,0)/FB$1</f>
        <v>4.4218727827444306</v>
      </c>
      <c r="FC24" s="87">
        <f>VLOOKUP($B24,Raw_Data[#All],FC$2,0)/FC$1</f>
        <v>4.422493614303959</v>
      </c>
      <c r="FD24" s="87">
        <f>VLOOKUP($B24,Raw_Data[#All],FD$2,0)/FD$1</f>
        <v>4.451778017241379</v>
      </c>
      <c r="FE24" s="87">
        <f>VLOOKUP($B24,Raw_Data[#All],FE$2,0)/FE$1</f>
        <v>4.4143341138072936</v>
      </c>
      <c r="FF24" s="87">
        <f>VLOOKUP($B24,Raw_Data[#All],FF$2,0)/FF$1</f>
        <v>4.474576947637293</v>
      </c>
      <c r="FG24" s="105">
        <f>VLOOKUP($B24,Raw_Data[#All],FG$2,0)/FG$1</f>
        <v>4.5202538118608953</v>
      </c>
    </row>
    <row r="25" spans="2:163">
      <c r="B25" s="104">
        <f t="shared" si="0"/>
        <v>45848</v>
      </c>
      <c r="C25" s="87">
        <f>VLOOKUP($B25,Raw_Data[#All],C$2,0)/C$1</f>
        <v>4.0493150140573615</v>
      </c>
      <c r="D25" s="87">
        <f>VLOOKUP($B25,Raw_Data[#All],D$2,0)/D$1</f>
        <v>4.0840233233362513</v>
      </c>
      <c r="E25" s="87">
        <f>VLOOKUP($B25,Raw_Data[#All],E$2,0)/E$1</f>
        <v>4.7523450093513366</v>
      </c>
      <c r="F25" s="87">
        <f>VLOOKUP($B25,Raw_Data[#All],F$2,0)/F$1</f>
        <v>4.7138549505343637</v>
      </c>
      <c r="G25" s="87">
        <f>VLOOKUP($B25,Raw_Data[#All],G$2,0)/G$1</f>
        <v>4.8651828892045863</v>
      </c>
      <c r="H25" s="87">
        <f>VLOOKUP($B25,Raw_Data[#All],H$2,0)/H$1</f>
        <v>4.8963221260780339</v>
      </c>
      <c r="I25" s="87">
        <f>VLOOKUP($B25,Raw_Data[#All],I$2,0)/I$1</f>
        <v>4.8335653230396867</v>
      </c>
      <c r="J25" s="87">
        <f>VLOOKUP($B25,Raw_Data[#All],J$2,0)/J$1</f>
        <v>4.7593044191717766</v>
      </c>
      <c r="K25" s="87">
        <f>VLOOKUP($B25,Raw_Data[#All],K$2,0)/K$1</f>
        <v>4.7030770923319025</v>
      </c>
      <c r="L25" s="87">
        <f>VLOOKUP($B25,Raw_Data[#All],L$2,0)/L$1</f>
        <v>4.5310004630460874</v>
      </c>
      <c r="M25" s="87">
        <f>VLOOKUP($B25,Raw_Data[#All],M$2,0)/M$1</f>
        <v>4.7240078301855846</v>
      </c>
      <c r="N25" s="87">
        <f>VLOOKUP($B25,Raw_Data[#All],N$2,0)/N$1</f>
        <v>4.6925060149908404</v>
      </c>
      <c r="O25" s="87">
        <f>VLOOKUP($B25,Raw_Data[#All],O$2,0)/O$1</f>
        <v>4.8070340438096695</v>
      </c>
      <c r="P25" s="87">
        <f>VLOOKUP($B25,Raw_Data[#All],P$2,0)/P$1</f>
        <v>4.7424435930183053</v>
      </c>
      <c r="Q25" s="87">
        <f>VLOOKUP($B25,Raw_Data[#All],Q$2,0)/Q$1</f>
        <v>4.8895776830685778</v>
      </c>
      <c r="R25" s="87">
        <f>VLOOKUP($B25,Raw_Data[#All],R$2,0)/R$1</f>
        <v>4.8903908428640444</v>
      </c>
      <c r="S25" s="87">
        <f>VLOOKUP($B25,Raw_Data[#All],S$2,0)/S$1</f>
        <v>4.8708750077728507</v>
      </c>
      <c r="T25" s="87">
        <f>VLOOKUP($B25,Raw_Data[#All],T$2,0)/T$1</f>
        <v>4.836196134142666</v>
      </c>
      <c r="U25" s="87">
        <f>VLOOKUP($B25,Raw_Data[#All],U$2,0)/U$1</f>
        <v>4.8752278043250534</v>
      </c>
      <c r="V25" s="87">
        <f>VLOOKUP($B25,Raw_Data[#All],V$2,0)/V$1</f>
        <v>4.8867077073198733</v>
      </c>
      <c r="W25" s="87">
        <f>VLOOKUP($B25,Raw_Data[#All],W$2,0)/W$1</f>
        <v>4.7986966549687669</v>
      </c>
      <c r="X25" s="87">
        <f>VLOOKUP($B25,Raw_Data[#All],X$2,0)/X$1</f>
        <v>4.7963672484745281</v>
      </c>
      <c r="Y25" s="87">
        <f>VLOOKUP($B25,Raw_Data[#All],Y$2,0)/Y$1</f>
        <v>4.7747223434696151</v>
      </c>
      <c r="Z25" s="87">
        <f>VLOOKUP($B25,Raw_Data[#All],Z$2,0)/Z$1</f>
        <v>4.7738026819923371</v>
      </c>
      <c r="AA25" s="87">
        <f>VLOOKUP($B25,Raw_Data[#All],AA$2,0)/AA$1</f>
        <v>4.734099616858237</v>
      </c>
      <c r="AB25" s="87">
        <f>VLOOKUP($B25,Raw_Data[#All],AB$2,0)/AB$1</f>
        <v>4.6730883384598787</v>
      </c>
      <c r="AC25" s="87">
        <f>VLOOKUP($B25,Raw_Data[#All],AC$2,0)/AC$1</f>
        <v>4.6405145181838421</v>
      </c>
      <c r="AD25" s="87">
        <f>VLOOKUP($B25,Raw_Data[#All],AD$2,0)/AD$1</f>
        <v>4.6648219100326385</v>
      </c>
      <c r="AE25" s="87">
        <f>VLOOKUP($B25,Raw_Data[#All],AE$2,0)/AE$1</f>
        <v>4.7849675985052738</v>
      </c>
      <c r="AF25" s="87">
        <f>VLOOKUP($B25,Raw_Data[#All],AF$2,0)/AF$1</f>
        <v>4.789990421455939</v>
      </c>
      <c r="AG25" s="87">
        <f>VLOOKUP($B25,Raw_Data[#All],AG$2,0)/AG$1</f>
        <v>4.7750618361705222</v>
      </c>
      <c r="AH25" s="87">
        <f>VLOOKUP($B25,Raw_Data[#All],AH$2,0)/AH$1</f>
        <v>4.7552622865521972</v>
      </c>
      <c r="AI25" s="87">
        <f>VLOOKUP($B25,Raw_Data[#All],AI$2,0)/AI$1</f>
        <v>4.7776486288690858</v>
      </c>
      <c r="AJ25" s="87">
        <f>VLOOKUP($B25,Raw_Data[#All],AJ$2,0)/AJ$1</f>
        <v>4.7943423211407197</v>
      </c>
      <c r="AK25" s="87">
        <f>VLOOKUP($B25,Raw_Data[#All],AK$2,0)/AK$1</f>
        <v>4.8991921018267393</v>
      </c>
      <c r="AL25" s="87">
        <f>VLOOKUP($B25,Raw_Data[#All],AL$2,0)/AL$1</f>
        <v>4.8044829021194762</v>
      </c>
      <c r="AM25" s="87">
        <f>VLOOKUP($B25,Raw_Data[#All],AM$2,0)/AM$1</f>
        <v>4.8238552384232349</v>
      </c>
      <c r="AN25" s="87">
        <f>VLOOKUP($B25,Raw_Data[#All],AN$2,0)/AN$1</f>
        <v>4.7317768498189521</v>
      </c>
      <c r="AO25" s="87">
        <f>VLOOKUP($B25,Raw_Data[#All],AO$2,0)/AO$1</f>
        <v>4.7657382295119604</v>
      </c>
      <c r="AP25" s="87">
        <f>VLOOKUP($B25,Raw_Data[#All],AP$2,0)/AP$1</f>
        <v>4.7305810265903245</v>
      </c>
      <c r="AQ25" s="87">
        <f>VLOOKUP($B25,Raw_Data[#All],AQ$2,0)/AQ$1</f>
        <v>4.9248487127152938</v>
      </c>
      <c r="AR25" s="87">
        <f>VLOOKUP($B25,Raw_Data[#All],AR$2,0)/AR$1</f>
        <v>4.9381342910234416</v>
      </c>
      <c r="AS25" s="87">
        <f>VLOOKUP($B25,Raw_Data[#All],AS$2,0)/AS$1</f>
        <v>4.9672057481855356</v>
      </c>
      <c r="AT25" s="87">
        <f>VLOOKUP($B25,Raw_Data[#All],AT$2,0)/AT$1</f>
        <v>4.9462999432855952</v>
      </c>
      <c r="AU25" s="87">
        <f>VLOOKUP($B25,Raw_Data[#All],AU$2,0)/AU$1</f>
        <v>4.7966120441744513</v>
      </c>
      <c r="AV25" s="87">
        <f>VLOOKUP($B25,Raw_Data[#All],AV$2,0)/AV$1</f>
        <v>4.7549693814061635</v>
      </c>
      <c r="AW25" s="87">
        <f>VLOOKUP($B25,Raw_Data[#All],AW$2,0)/AW$1</f>
        <v>4.9970541805899726</v>
      </c>
      <c r="AX25" s="87">
        <f>VLOOKUP($B25,Raw_Data[#All],AX$2,0)/AX$1</f>
        <v>4.9734128262971318</v>
      </c>
      <c r="AY25" s="87">
        <f>VLOOKUP($B25,Raw_Data[#All],AY$2,0)/AY$1</f>
        <v>4.5402142831288241</v>
      </c>
      <c r="AZ25" s="87">
        <f>VLOOKUP($B25,Raw_Data[#All],AZ$2,0)/AZ$1</f>
        <v>4.5762849928045828</v>
      </c>
      <c r="BA25" s="87">
        <f>VLOOKUP($B25,Raw_Data[#All],BA$2,0)/BA$1</f>
        <v>4.6763337714759814</v>
      </c>
      <c r="BB25" s="87">
        <f>VLOOKUP($B25,Raw_Data[#All],BB$2,0)/BB$1</f>
        <v>4.6793682151979565</v>
      </c>
      <c r="BC25" s="87">
        <f>VLOOKUP($B25,Raw_Data[#All],BC$2,0)/BC$1</f>
        <v>4.6870109546165892</v>
      </c>
      <c r="BD25" s="87">
        <f>VLOOKUP($B25,Raw_Data[#All],BD$2,0)/BD$1</f>
        <v>4.7402049758905811</v>
      </c>
      <c r="BE25" s="87">
        <f>VLOOKUP($B25,Raw_Data[#All],BE$2,0)/BE$1</f>
        <v>4.5934739985249946</v>
      </c>
      <c r="BF25" s="87">
        <f>VLOOKUP($B25,Raw_Data[#All],BF$2,0)/BF$1</f>
        <v>4.6179625869287859</v>
      </c>
      <c r="BG25" s="87">
        <f>VLOOKUP($B25,Raw_Data[#All],BG$2,0)/BG$1</f>
        <v>4.5031827119949721</v>
      </c>
      <c r="BH25" s="87">
        <f>VLOOKUP($B25,Raw_Data[#All],BH$2,0)/BH$1</f>
        <v>4.5019904528720645</v>
      </c>
      <c r="BI25" s="87">
        <f>VLOOKUP($B25,Raw_Data[#All],BI$2,0)/BI$1</f>
        <v>4.5682559954590598</v>
      </c>
      <c r="BJ25" s="87">
        <f>VLOOKUP($B25,Raw_Data[#All],BJ$2,0)/BJ$1</f>
        <v>4.5442773451453879</v>
      </c>
      <c r="BK25" s="87">
        <f>VLOOKUP($B25,Raw_Data[#All],BK$2,0)/BK$1</f>
        <v>4.5072671019732704</v>
      </c>
      <c r="BL25" s="87">
        <f>VLOOKUP($B25,Raw_Data[#All],BL$2,0)/BL$1</f>
        <v>4.5450951772790855</v>
      </c>
      <c r="BM25" s="87">
        <f>VLOOKUP($B25,Raw_Data[#All],BM$2,0)/BM$1</f>
        <v>4.398969166210545</v>
      </c>
      <c r="BN25" s="87">
        <f>VLOOKUP($B25,Raw_Data[#All],BN$2,0)/BN$1</f>
        <v>4.3881704980842908</v>
      </c>
      <c r="BO25" s="87">
        <f>VLOOKUP($B25,Raw_Data[#All],BO$2,0)/BO$1</f>
        <v>4.4534778895990375</v>
      </c>
      <c r="BP25" s="87">
        <f>VLOOKUP($B25,Raw_Data[#All],BP$2,0)/BP$1</f>
        <v>4.4317400059253904</v>
      </c>
      <c r="BQ25" s="87">
        <f>VLOOKUP($B25,Raw_Data[#All],BQ$2,0)/BQ$1</f>
        <v>4.4131366061468134</v>
      </c>
      <c r="BR25" s="87">
        <f>VLOOKUP($B25,Raw_Data[#All],BR$2,0)/BR$1</f>
        <v>4.4206173453247164</v>
      </c>
      <c r="BS25" s="87">
        <f>VLOOKUP($B25,Raw_Data[#All],BS$2,0)/BS$1</f>
        <v>4.3749258349338334</v>
      </c>
      <c r="BT25" s="87">
        <f>VLOOKUP($B25,Raw_Data[#All],BT$2,0)/BT$1</f>
        <v>4.4358490192976907</v>
      </c>
      <c r="BU25" s="87">
        <f>VLOOKUP($B25,Raw_Data[#All],BU$2,0)/BU$1</f>
        <v>4.3797871060593234</v>
      </c>
      <c r="BV25" s="87">
        <f>VLOOKUP($B25,Raw_Data[#All],BV$2,0)/BV$1</f>
        <v>4.3765753997816121</v>
      </c>
      <c r="BW25" s="87">
        <f>VLOOKUP($B25,Raw_Data[#All],BW$2,0)/BW$1</f>
        <v>4.4120995058026544</v>
      </c>
      <c r="BX25" s="87">
        <f>VLOOKUP($B25,Raw_Data[#All],BX$2,0)/BX$1</f>
        <v>4.3818082788671022</v>
      </c>
      <c r="BY25" s="87">
        <f>VLOOKUP($B25,Raw_Data[#All],BY$2,0)/BY$1</f>
        <v>4.4546311500334488</v>
      </c>
      <c r="BZ25" s="87">
        <f>VLOOKUP($B25,Raw_Data[#All],BZ$2,0)/BZ$1</f>
        <v>4.3706293706293708</v>
      </c>
      <c r="CA25" s="87">
        <f>VLOOKUP($B25,Raw_Data[#All],CA$2,0)/CA$1</f>
        <v>4.4184381823425207</v>
      </c>
      <c r="CB25" s="87">
        <f>VLOOKUP($B25,Raw_Data[#All],CB$2,0)/CB$1</f>
        <v>4.4277706825599541</v>
      </c>
      <c r="CC25" s="87">
        <f>VLOOKUP($B25,Raw_Data[#All],CC$2,0)/CC$1</f>
        <v>4.4259968781041579</v>
      </c>
      <c r="CD25" s="87">
        <f>VLOOKUP($B25,Raw_Data[#All],CD$2,0)/CD$1</f>
        <v>4.3777543935387548</v>
      </c>
      <c r="CE25" s="87">
        <f>VLOOKUP($B25,Raw_Data[#All],CE$2,0)/CE$1</f>
        <v>4.4689674944637776</v>
      </c>
      <c r="CF25" s="87">
        <f>VLOOKUP($B25,Raw_Data[#All],CF$2,0)/CF$1</f>
        <v>4.4350460599245656</v>
      </c>
      <c r="CG25" s="87">
        <f>VLOOKUP($B25,Raw_Data[#All],CG$2,0)/CG$1</f>
        <v>4.3975859635461028</v>
      </c>
      <c r="CH25" s="87">
        <f>VLOOKUP($B25,Raw_Data[#All],CH$2,0)/CH$1</f>
        <v>4.4594713346690567</v>
      </c>
      <c r="CI25" s="87">
        <f>VLOOKUP($B25,Raw_Data[#All],CI$2,0)/CI$1</f>
        <v>4.4694123695033214</v>
      </c>
      <c r="CJ25" s="87">
        <f>VLOOKUP($B25,Raw_Data[#All],CJ$2,0)/CJ$1</f>
        <v>4.4338381268081557</v>
      </c>
      <c r="CK25" s="87">
        <f>VLOOKUP($B25,Raw_Data[#All],CK$2,0)/CK$1</f>
        <v>4.4692146472635237</v>
      </c>
      <c r="CL25" s="87">
        <f>VLOOKUP($B25,Raw_Data[#All],CL$2,0)/CL$1</f>
        <v>4.4362011573575071</v>
      </c>
      <c r="CM25" s="87">
        <f>VLOOKUP($B25,Raw_Data[#All],CM$2,0)/CM$1</f>
        <v>4.5810983397190297</v>
      </c>
      <c r="CN25" s="87">
        <f>VLOOKUP($B25,Raw_Data[#All],CN$2,0)/CN$1</f>
        <v>4.471630606265494</v>
      </c>
      <c r="CO25" s="87">
        <f>VLOOKUP($B25,Raw_Data[#All],CO$2,0)/CO$1</f>
        <v>4.6154678037325425</v>
      </c>
      <c r="CP25" s="87">
        <f>VLOOKUP($B25,Raw_Data[#All],CP$2,0)/CP$1</f>
        <v>4.6313590889740315</v>
      </c>
      <c r="CQ25" s="87">
        <f>VLOOKUP($B25,Raw_Data[#All],CQ$2,0)/CQ$1</f>
        <v>4.6596424010217108</v>
      </c>
      <c r="CR25" s="87">
        <f>VLOOKUP($B25,Raw_Data[#All],CR$2,0)/CR$1</f>
        <v>4.7299050127713924</v>
      </c>
      <c r="CS25" s="87">
        <f>VLOOKUP($B25,Raw_Data[#All],CS$2,0)/CS$1</f>
        <v>4.6931373722860785</v>
      </c>
      <c r="CT25" s="87">
        <f>VLOOKUP($B25,Raw_Data[#All],CT$2,0)/CT$1</f>
        <v>4.6787677871072342</v>
      </c>
      <c r="CU25" s="87">
        <f>VLOOKUP($B25,Raw_Data[#All],CU$2,0)/CU$1</f>
        <v>4.7511111111111104</v>
      </c>
      <c r="CV25" s="87">
        <f>VLOOKUP($B25,Raw_Data[#All],CV$2,0)/CV$1</f>
        <v>4.7024756852343055</v>
      </c>
      <c r="CW25" s="87">
        <f>VLOOKUP($B25,Raw_Data[#All],CW$2,0)/CW$1</f>
        <v>4.7314435245469726</v>
      </c>
      <c r="CX25" s="87">
        <f>VLOOKUP($B25,Raw_Data[#All],CX$2,0)/CX$1</f>
        <v>4.7428727392576118</v>
      </c>
      <c r="CY25" s="87">
        <f>VLOOKUP($B25,Raw_Data[#All],CY$2,0)/CY$1</f>
        <v>4.6577444302540085</v>
      </c>
      <c r="CZ25" s="87">
        <f>VLOOKUP($B25,Raw_Data[#All],CZ$2,0)/CZ$1</f>
        <v>4.7598154327853992</v>
      </c>
      <c r="DA25" s="87">
        <f>VLOOKUP($B25,Raw_Data[#All],DA$2,0)/DA$1</f>
        <v>4.7181627440248128</v>
      </c>
      <c r="DB25" s="87">
        <f>VLOOKUP($B25,Raw_Data[#All],DB$2,0)/DB$1</f>
        <v>4.7301045657726686</v>
      </c>
      <c r="DC25" s="87">
        <f>VLOOKUP($B25,Raw_Data[#All],DC$2,0)/DC$1</f>
        <v>4.6791412587915753</v>
      </c>
      <c r="DD25" s="87">
        <f>VLOOKUP($B25,Raw_Data[#All],DD$2,0)/DD$1</f>
        <v>4.7119632351401712</v>
      </c>
      <c r="DE25" s="87">
        <f>VLOOKUP($B25,Raw_Data[#All],DE$2,0)/DE$1</f>
        <v>4.6847175004047275</v>
      </c>
      <c r="DF25" s="87">
        <f>VLOOKUP($B25,Raw_Data[#All],DF$2,0)/DF$1</f>
        <v>4.6733816251596423</v>
      </c>
      <c r="DG25" s="87">
        <f>VLOOKUP($B25,Raw_Data[#All],DG$2,0)/DG$1</f>
        <v>4.6316821747856229</v>
      </c>
      <c r="DH25" s="87">
        <f>VLOOKUP($B25,Raw_Data[#All],DH$2,0)/DH$1</f>
        <v>4.5874740581098337</v>
      </c>
      <c r="DI25" s="87">
        <f>VLOOKUP($B25,Raw_Data[#All],DI$2,0)/DI$1</f>
        <v>4.6478288633461045</v>
      </c>
      <c r="DJ25" s="87">
        <f>VLOOKUP($B25,Raw_Data[#All],DJ$2,0)/DJ$1</f>
        <v>4.6891962005108558</v>
      </c>
      <c r="DK25" s="87">
        <f>VLOOKUP($B25,Raw_Data[#All],DK$2,0)/DK$1</f>
        <v>4.6555507690748295</v>
      </c>
      <c r="DL25" s="87">
        <f>VLOOKUP($B25,Raw_Data[#All],DL$2,0)/DL$1</f>
        <v>4.6602353585112208</v>
      </c>
      <c r="DM25" s="87">
        <f>VLOOKUP($B25,Raw_Data[#All],DM$2,0)/DM$1</f>
        <v>4.653625878033206</v>
      </c>
      <c r="DN25" s="87">
        <f>VLOOKUP($B25,Raw_Data[#All],DN$2,0)/DN$1</f>
        <v>4.7086268693610185</v>
      </c>
      <c r="DO25" s="87">
        <f>VLOOKUP($B25,Raw_Data[#All],DO$2,0)/DO$1</f>
        <v>4.6590219468673855</v>
      </c>
      <c r="DP25" s="87">
        <f>VLOOKUP($B25,Raw_Data[#All],DP$2,0)/DP$1</f>
        <v>4.6326425988883502</v>
      </c>
      <c r="DQ25" s="87">
        <f>VLOOKUP($B25,Raw_Data[#All],DQ$2,0)/DQ$1</f>
        <v>4.6494252873563218</v>
      </c>
      <c r="DR25" s="87">
        <f>VLOOKUP($B25,Raw_Data[#All],DR$2,0)/DR$1</f>
        <v>4.5609335089399741</v>
      </c>
      <c r="DS25" s="87">
        <f>VLOOKUP($B25,Raw_Data[#All],DS$2,0)/DS$1</f>
        <v>4.644514597161514</v>
      </c>
      <c r="DT25" s="87">
        <f>VLOOKUP($B25,Raw_Data[#All],DT$2,0)/DT$1</f>
        <v>4.6775223499361429</v>
      </c>
      <c r="DU25" s="87">
        <f>VLOOKUP($B25,Raw_Data[#All],DU$2,0)/DU$1</f>
        <v>4.7433983171812777</v>
      </c>
      <c r="DV25" s="87">
        <f>VLOOKUP($B25,Raw_Data[#All],DV$2,0)/DV$1</f>
        <v>4.7351456546858843</v>
      </c>
      <c r="DW25" s="87">
        <f>VLOOKUP($B25,Raw_Data[#All],DW$2,0)/DW$1</f>
        <v>4.7245572901774651</v>
      </c>
      <c r="DX25" s="87">
        <f>VLOOKUP($B25,Raw_Data[#All],DX$2,0)/DX$1</f>
        <v>4.6873714743381605</v>
      </c>
      <c r="DY25" s="87">
        <f>VLOOKUP($B25,Raw_Data[#All],DY$2,0)/DY$1</f>
        <v>4.6740518629574099</v>
      </c>
      <c r="DZ25" s="87">
        <f>VLOOKUP($B25,Raw_Data[#All],DZ$2,0)/DZ$1</f>
        <v>4.682083561393906</v>
      </c>
      <c r="EA25" s="87">
        <f>VLOOKUP($B25,Raw_Data[#All],EA$2,0)/EA$1</f>
        <v>4.6315752713920819</v>
      </c>
      <c r="EB25" s="87">
        <f>VLOOKUP($B25,Raw_Data[#All],EB$2,0)/EB$1</f>
        <v>4.665100175606641</v>
      </c>
      <c r="EC25" s="87">
        <f>VLOOKUP($B25,Raw_Data[#All],EC$2,0)/EC$1</f>
        <v>4.6611558612644686</v>
      </c>
      <c r="ED25" s="87">
        <f>VLOOKUP($B25,Raw_Data[#All],ED$2,0)/ED$1</f>
        <v>4.6218506908162089</v>
      </c>
      <c r="EE25" s="87">
        <f>VLOOKUP($B25,Raw_Data[#All],EE$2,0)/EE$1</f>
        <v>4.6354578442701042</v>
      </c>
      <c r="EF25" s="87">
        <f>VLOOKUP($B25,Raw_Data[#All],EF$2,0)/EF$1</f>
        <v>4.6067095420543698</v>
      </c>
      <c r="EG25" s="87">
        <f>VLOOKUP($B25,Raw_Data[#All],EG$2,0)/EG$1</f>
        <v>4.5663713282247764</v>
      </c>
      <c r="EH25" s="87">
        <f>VLOOKUP($B25,Raw_Data[#All],EH$2,0)/EH$1</f>
        <v>4.5943087484035763</v>
      </c>
      <c r="EI25" s="87">
        <f>VLOOKUP($B25,Raw_Data[#All],EI$2,0)/EI$1</f>
        <v>4.7352153398609342</v>
      </c>
      <c r="EJ25" s="87">
        <f>VLOOKUP($B25,Raw_Data[#All],EJ$2,0)/EJ$1</f>
        <v>4.7990050673587934</v>
      </c>
      <c r="EK25" s="87">
        <f>VLOOKUP($B25,Raw_Data[#All],EK$2,0)/EK$1</f>
        <v>4.7396055058890312</v>
      </c>
      <c r="EL25" s="87">
        <f>VLOOKUP($B25,Raw_Data[#All],EL$2,0)/EL$1</f>
        <v>5.3241500942650362</v>
      </c>
      <c r="EM25" s="87">
        <f>VLOOKUP($B25,Raw_Data[#All],EM$2,0)/EM$1</f>
        <v>4.8027179680895076</v>
      </c>
      <c r="EN25" s="87">
        <f>VLOOKUP($B25,Raw_Data[#All],EN$2,0)/EN$1</f>
        <v>4.7405177481805829</v>
      </c>
      <c r="EO25" s="87">
        <f>VLOOKUP($B25,Raw_Data[#All],EO$2,0)/EO$1</f>
        <v>4.7578923212005106</v>
      </c>
      <c r="EP25" s="87">
        <f>VLOOKUP($B25,Raw_Data[#All],EP$2,0)/EP$1</f>
        <v>4.7195282567049812</v>
      </c>
      <c r="EQ25" s="87">
        <f>VLOOKUP($B25,Raw_Data[#All],EQ$2,0)/EQ$1</f>
        <v>4.731523127325227</v>
      </c>
      <c r="ER25" s="87">
        <f>VLOOKUP($B25,Raw_Data[#All],ER$2,0)/ER$1</f>
        <v>4.7203153824322408</v>
      </c>
      <c r="ES25" s="87">
        <f>VLOOKUP($B25,Raw_Data[#All],ES$2,0)/ES$1</f>
        <v>4.6993776194844683</v>
      </c>
      <c r="ET25" s="87">
        <f>VLOOKUP($B25,Raw_Data[#All],ET$2,0)/ET$1</f>
        <v>4.6831885309301535</v>
      </c>
      <c r="EU25" s="87">
        <f>VLOOKUP($B25,Raw_Data[#All],EU$2,0)/EU$1</f>
        <v>4.6850772579281568</v>
      </c>
      <c r="EV25" s="87">
        <f>VLOOKUP($B25,Raw_Data[#All],EV$2,0)/EV$1</f>
        <v>4.6486536824180504</v>
      </c>
      <c r="EW25" s="87">
        <f>VLOOKUP($B25,Raw_Data[#All],EW$2,0)/EW$1</f>
        <v>4.7471663473818646</v>
      </c>
      <c r="EX25" s="87">
        <f>VLOOKUP($B25,Raw_Data[#All],EX$2,0)/EX$1</f>
        <v>4.7291925242386634</v>
      </c>
      <c r="EY25" s="87">
        <f>VLOOKUP($B25,Raw_Data[#All],EY$2,0)/EY$1</f>
        <v>4.7507345783207855</v>
      </c>
      <c r="EZ25" s="87">
        <f>VLOOKUP($B25,Raw_Data[#All],EZ$2,0)/EZ$1</f>
        <v>4.7205814531006105</v>
      </c>
      <c r="FA25" s="87">
        <f>VLOOKUP($B25,Raw_Data[#All],FA$2,0)/FA$1</f>
        <v>4.7310025542784162</v>
      </c>
      <c r="FB25" s="87">
        <f>VLOOKUP($B25,Raw_Data[#All],FB$2,0)/FB$1</f>
        <v>4.7162356321839081</v>
      </c>
      <c r="FC25" s="87">
        <f>VLOOKUP($B25,Raw_Data[#All],FC$2,0)/FC$1</f>
        <v>4.7161025968497237</v>
      </c>
      <c r="FD25" s="87">
        <f>VLOOKUP($B25,Raw_Data[#All],FD$2,0)/FD$1</f>
        <v>4.7394835568326954</v>
      </c>
      <c r="FE25" s="87">
        <f>VLOOKUP($B25,Raw_Data[#All],FE$2,0)/FE$1</f>
        <v>4.7114907052646515</v>
      </c>
      <c r="FF25" s="87">
        <f>VLOOKUP($B25,Raw_Data[#All],FF$2,0)/FF$1</f>
        <v>4.7502594189016598</v>
      </c>
      <c r="FG25" s="105">
        <f>VLOOKUP($B25,Raw_Data[#All],FG$2,0)/FG$1</f>
        <v>4.6642173687409247</v>
      </c>
    </row>
    <row r="26" spans="2:163">
      <c r="B26" s="104">
        <f t="shared" si="0"/>
        <v>45849</v>
      </c>
      <c r="C26" s="87">
        <f>VLOOKUP($B26,Raw_Data[#All],C$2,0)/C$1</f>
        <v>5.2734976504833151</v>
      </c>
      <c r="D26" s="87">
        <f>VLOOKUP($B26,Raw_Data[#All],D$2,0)/D$1</f>
        <v>5.3687679672440094</v>
      </c>
      <c r="E26" s="87">
        <f>VLOOKUP($B26,Raw_Data[#All],E$2,0)/E$1</f>
        <v>5.3183520599250933</v>
      </c>
      <c r="F26" s="87">
        <f>VLOOKUP($B26,Raw_Data[#All],F$2,0)/F$1</f>
        <v>5.3203895644473116</v>
      </c>
      <c r="G26" s="87">
        <f>VLOOKUP($B26,Raw_Data[#All],G$2,0)/G$1</f>
        <v>5.3568575678868848</v>
      </c>
      <c r="H26" s="87">
        <f>VLOOKUP($B26,Raw_Data[#All],H$2,0)/H$1</f>
        <v>5.4156442378061902</v>
      </c>
      <c r="I26" s="87">
        <f>VLOOKUP($B26,Raw_Data[#All],I$2,0)/I$1</f>
        <v>5.4764398907495897</v>
      </c>
      <c r="J26" s="87">
        <f>VLOOKUP($B26,Raw_Data[#All],J$2,0)/J$1</f>
        <v>5.4059302140073386</v>
      </c>
      <c r="K26" s="87">
        <f>VLOOKUP($B26,Raw_Data[#All],K$2,0)/K$1</f>
        <v>5.4316204361406477</v>
      </c>
      <c r="L26" s="87">
        <f>VLOOKUP($B26,Raw_Data[#All],L$2,0)/L$1</f>
        <v>5.2543446007881229</v>
      </c>
      <c r="M26" s="87">
        <f>VLOOKUP($B26,Raw_Data[#All],M$2,0)/M$1</f>
        <v>5.4133703699653326</v>
      </c>
      <c r="N26" s="87">
        <f>VLOOKUP($B26,Raw_Data[#All],N$2,0)/N$1</f>
        <v>5.4566370580835262</v>
      </c>
      <c r="O26" s="87">
        <f>VLOOKUP($B26,Raw_Data[#All],O$2,0)/O$1</f>
        <v>5.415382596428298</v>
      </c>
      <c r="P26" s="87">
        <f>VLOOKUP($B26,Raw_Data[#All],P$2,0)/P$1</f>
        <v>5.4722305929848218</v>
      </c>
      <c r="Q26" s="87">
        <f>VLOOKUP($B26,Raw_Data[#All],Q$2,0)/Q$1</f>
        <v>5.4235845040442738</v>
      </c>
      <c r="R26" s="87">
        <f>VLOOKUP($B26,Raw_Data[#All],R$2,0)/R$1</f>
        <v>5.4651513194713504</v>
      </c>
      <c r="S26" s="87">
        <f>VLOOKUP($B26,Raw_Data[#All],S$2,0)/S$1</f>
        <v>5.3839310057830012</v>
      </c>
      <c r="T26" s="87">
        <f>VLOOKUP($B26,Raw_Data[#All],T$2,0)/T$1</f>
        <v>5.3304537909987992</v>
      </c>
      <c r="U26" s="87">
        <f>VLOOKUP($B26,Raw_Data[#All],U$2,0)/U$1</f>
        <v>5.4206188624372782</v>
      </c>
      <c r="V26" s="87">
        <f>VLOOKUP($B26,Raw_Data[#All],V$2,0)/V$1</f>
        <v>5.4676386317868948</v>
      </c>
      <c r="W26" s="87">
        <f>VLOOKUP($B26,Raw_Data[#All],W$2,0)/W$1</f>
        <v>5.3189927491960658</v>
      </c>
      <c r="X26" s="87">
        <f>VLOOKUP($B26,Raw_Data[#All],X$2,0)/X$1</f>
        <v>5.3271368431010835</v>
      </c>
      <c r="Y26" s="87">
        <f>VLOOKUP($B26,Raw_Data[#All],Y$2,0)/Y$1</f>
        <v>5.2833794073427418</v>
      </c>
      <c r="Z26" s="87">
        <f>VLOOKUP($B26,Raw_Data[#All],Z$2,0)/Z$1</f>
        <v>5.2843869731800766</v>
      </c>
      <c r="AA26" s="87">
        <f>VLOOKUP($B26,Raw_Data[#All],AA$2,0)/AA$1</f>
        <v>5.2422892720306509</v>
      </c>
      <c r="AB26" s="87">
        <f>VLOOKUP($B26,Raw_Data[#All],AB$2,0)/AB$1</f>
        <v>5.1995035346176683</v>
      </c>
      <c r="AC26" s="87">
        <f>VLOOKUP($B26,Raw_Data[#All],AC$2,0)/AC$1</f>
        <v>5.2149430023348442</v>
      </c>
      <c r="AD26" s="87">
        <f>VLOOKUP($B26,Raw_Data[#All],AD$2,0)/AD$1</f>
        <v>5.1814956719171281</v>
      </c>
      <c r="AE26" s="87">
        <f>VLOOKUP($B26,Raw_Data[#All],AE$2,0)/AE$1</f>
        <v>5.2879712407170896</v>
      </c>
      <c r="AF26" s="87">
        <f>VLOOKUP($B26,Raw_Data[#All],AF$2,0)/AF$1</f>
        <v>5.2969827586206897</v>
      </c>
      <c r="AG26" s="87">
        <f>VLOOKUP($B26,Raw_Data[#All],AG$2,0)/AG$1</f>
        <v>5.2921577186090492</v>
      </c>
      <c r="AH26" s="87">
        <f>VLOOKUP($B26,Raw_Data[#All],AH$2,0)/AH$1</f>
        <v>5.2619081405799166</v>
      </c>
      <c r="AI26" s="87">
        <f>VLOOKUP($B26,Raw_Data[#All],AI$2,0)/AI$1</f>
        <v>5.3004625444248328</v>
      </c>
      <c r="AJ26" s="87">
        <f>VLOOKUP($B26,Raw_Data[#All],AJ$2,0)/AJ$1</f>
        <v>5.2921874476827329</v>
      </c>
      <c r="AK26" s="87">
        <f>VLOOKUP($B26,Raw_Data[#All],AK$2,0)/AK$1</f>
        <v>5.420379697791553</v>
      </c>
      <c r="AL26" s="87">
        <f>VLOOKUP($B26,Raw_Data[#All],AL$2,0)/AL$1</f>
        <v>5.3333715996766493</v>
      </c>
      <c r="AM26" s="87">
        <f>VLOOKUP($B26,Raw_Data[#All],AM$2,0)/AM$1</f>
        <v>5.3690071318897354</v>
      </c>
      <c r="AN26" s="87">
        <f>VLOOKUP($B26,Raw_Data[#All],AN$2,0)/AN$1</f>
        <v>5.2767852444980177</v>
      </c>
      <c r="AO26" s="87">
        <f>VLOOKUP($B26,Raw_Data[#All],AO$2,0)/AO$1</f>
        <v>5.3064416605679678</v>
      </c>
      <c r="AP26" s="87">
        <f>VLOOKUP($B26,Raw_Data[#All],AP$2,0)/AP$1</f>
        <v>5.2998885492750913</v>
      </c>
      <c r="AQ26" s="87">
        <f>VLOOKUP($B26,Raw_Data[#All],AQ$2,0)/AQ$1</f>
        <v>5.2138611379668429</v>
      </c>
      <c r="AR26" s="87">
        <f>VLOOKUP($B26,Raw_Data[#All],AR$2,0)/AR$1</f>
        <v>5.1977469268153218</v>
      </c>
      <c r="AS26" s="87">
        <f>VLOOKUP($B26,Raw_Data[#All],AS$2,0)/AS$1</f>
        <v>5.2731341318941682</v>
      </c>
      <c r="AT26" s="87">
        <f>VLOOKUP($B26,Raw_Data[#All],AT$2,0)/AT$1</f>
        <v>5.1936997887723342</v>
      </c>
      <c r="AU26" s="87">
        <f>VLOOKUP($B26,Raw_Data[#All],AU$2,0)/AU$1</f>
        <v>5.1004815627818338</v>
      </c>
      <c r="AV26" s="87">
        <f>VLOOKUP($B26,Raw_Data[#All],AV$2,0)/AV$1</f>
        <v>5.0744588531944856</v>
      </c>
      <c r="AW26" s="87">
        <f>VLOOKUP($B26,Raw_Data[#All],AW$2,0)/AW$1</f>
        <v>5.3480339466334446</v>
      </c>
      <c r="AX26" s="87">
        <f>VLOOKUP($B26,Raw_Data[#All],AX$2,0)/AX$1</f>
        <v>5.3157338776094827</v>
      </c>
      <c r="AY26" s="87">
        <f>VLOOKUP($B26,Raw_Data[#All],AY$2,0)/AY$1</f>
        <v>5.2277210699677861</v>
      </c>
      <c r="AZ26" s="87">
        <f>VLOOKUP($B26,Raw_Data[#All],AZ$2,0)/AZ$1</f>
        <v>5.2747382044946454</v>
      </c>
      <c r="BA26" s="87">
        <f>VLOOKUP($B26,Raw_Data[#All],BA$2,0)/BA$1</f>
        <v>5.3430563712466554</v>
      </c>
      <c r="BB26" s="87">
        <f>VLOOKUP($B26,Raw_Data[#All],BB$2,0)/BB$1</f>
        <v>5.3694723818646235</v>
      </c>
      <c r="BC26" s="87">
        <f>VLOOKUP($B26,Raw_Data[#All],BC$2,0)/BC$1</f>
        <v>5.3070530462468302</v>
      </c>
      <c r="BD26" s="87">
        <f>VLOOKUP($B26,Raw_Data[#All],BD$2,0)/BD$1</f>
        <v>5.3589828208936057</v>
      </c>
      <c r="BE26" s="87">
        <f>VLOOKUP($B26,Raw_Data[#All],BE$2,0)/BE$1</f>
        <v>5.2424316011008587</v>
      </c>
      <c r="BF26" s="87">
        <f>VLOOKUP($B26,Raw_Data[#All],BF$2,0)/BF$1</f>
        <v>5.2373358011824109</v>
      </c>
      <c r="BG26" s="87">
        <f>VLOOKUP($B26,Raw_Data[#All],BG$2,0)/BG$1</f>
        <v>5.2227391595207679</v>
      </c>
      <c r="BH26" s="87">
        <f>VLOOKUP($B26,Raw_Data[#All],BH$2,0)/BH$1</f>
        <v>5.2240140212432395</v>
      </c>
      <c r="BI26" s="87">
        <f>VLOOKUP($B26,Raw_Data[#All],BI$2,0)/BI$1</f>
        <v>5.2855825173832827</v>
      </c>
      <c r="BJ26" s="87">
        <f>VLOOKUP($B26,Raw_Data[#All],BJ$2,0)/BJ$1</f>
        <v>5.2921161677502315</v>
      </c>
      <c r="BK26" s="87">
        <f>VLOOKUP($B26,Raw_Data[#All],BK$2,0)/BK$1</f>
        <v>5.2816901408450709</v>
      </c>
      <c r="BL26" s="87">
        <f>VLOOKUP($B26,Raw_Data[#All],BL$2,0)/BL$1</f>
        <v>5.2819335482170731</v>
      </c>
      <c r="BM26" s="87">
        <f>VLOOKUP($B26,Raw_Data[#All],BM$2,0)/BM$1</f>
        <v>5.2102262360883049</v>
      </c>
      <c r="BN26" s="87">
        <f>VLOOKUP($B26,Raw_Data[#All],BN$2,0)/BN$1</f>
        <v>5.1874521072796931</v>
      </c>
      <c r="BO26" s="87">
        <f>VLOOKUP($B26,Raw_Data[#All],BO$2,0)/BO$1</f>
        <v>5.1014121827821688</v>
      </c>
      <c r="BP26" s="87">
        <f>VLOOKUP($B26,Raw_Data[#All],BP$2,0)/BP$1</f>
        <v>4.9581958692999502</v>
      </c>
      <c r="BQ26" s="87">
        <f>VLOOKUP($B26,Raw_Data[#All],BQ$2,0)/BQ$1</f>
        <v>5.0473225138137972</v>
      </c>
      <c r="BR26" s="87">
        <f>VLOOKUP($B26,Raw_Data[#All],BR$2,0)/BR$1</f>
        <v>4.9178379355538491</v>
      </c>
      <c r="BS26" s="87">
        <f>VLOOKUP($B26,Raw_Data[#All],BS$2,0)/BS$1</f>
        <v>5.0559259535979395</v>
      </c>
      <c r="BT26" s="87">
        <f>VLOOKUP($B26,Raw_Data[#All],BT$2,0)/BT$1</f>
        <v>4.9628776494780134</v>
      </c>
      <c r="BU26" s="87">
        <f>VLOOKUP($B26,Raw_Data[#All],BU$2,0)/BU$1</f>
        <v>4.9808181579193604</v>
      </c>
      <c r="BV26" s="87">
        <f>VLOOKUP($B26,Raw_Data[#All],BV$2,0)/BV$1</f>
        <v>4.9132573399597925</v>
      </c>
      <c r="BW26" s="87">
        <f>VLOOKUP($B26,Raw_Data[#All],BW$2,0)/BW$1</f>
        <v>5.1251688970329647</v>
      </c>
      <c r="BX26" s="87">
        <f>VLOOKUP($B26,Raw_Data[#All],BX$2,0)/BX$1</f>
        <v>4.9521542333408455</v>
      </c>
      <c r="BY26" s="87">
        <f>VLOOKUP($B26,Raw_Data[#All],BY$2,0)/BY$1</f>
        <v>5.1593383202578602</v>
      </c>
      <c r="BZ26" s="87">
        <f>VLOOKUP($B26,Raw_Data[#All],BZ$2,0)/BZ$1</f>
        <v>4.9457885664782211</v>
      </c>
      <c r="CA26" s="87">
        <f>VLOOKUP($B26,Raw_Data[#All],CA$2,0)/CA$1</f>
        <v>5.0434639311168796</v>
      </c>
      <c r="CB26" s="87">
        <f>VLOOKUP($B26,Raw_Data[#All],CB$2,0)/CB$1</f>
        <v>5.1594650205761319</v>
      </c>
      <c r="CC26" s="87">
        <f>VLOOKUP($B26,Raw_Data[#All],CC$2,0)/CC$1</f>
        <v>5.1605546433132643</v>
      </c>
      <c r="CD26" s="87">
        <f>VLOOKUP($B26,Raw_Data[#All],CD$2,0)/CD$1</f>
        <v>5.0729408378752723</v>
      </c>
      <c r="CE26" s="87">
        <f>VLOOKUP($B26,Raw_Data[#All],CE$2,0)/CE$1</f>
        <v>4.8933288516292315</v>
      </c>
      <c r="CF26" s="87">
        <f>VLOOKUP($B26,Raw_Data[#All],CF$2,0)/CF$1</f>
        <v>4.9060477693885316</v>
      </c>
      <c r="CG26" s="87">
        <f>VLOOKUP($B26,Raw_Data[#All],CG$2,0)/CG$1</f>
        <v>4.7529262891490038</v>
      </c>
      <c r="CH26" s="87">
        <f>VLOOKUP($B26,Raw_Data[#All],CH$2,0)/CH$1</f>
        <v>4.8960420401420084</v>
      </c>
      <c r="CI26" s="87">
        <f>VLOOKUP($B26,Raw_Data[#All],CI$2,0)/CI$1</f>
        <v>4.8874466149952545</v>
      </c>
      <c r="CJ26" s="87">
        <f>VLOOKUP($B26,Raw_Data[#All],CJ$2,0)/CJ$1</f>
        <v>4.8441834128807155</v>
      </c>
      <c r="CK26" s="87">
        <f>VLOOKUP($B26,Raw_Data[#All],CK$2,0)/CK$1</f>
        <v>4.9792885953812078</v>
      </c>
      <c r="CL26" s="87">
        <f>VLOOKUP($B26,Raw_Data[#All],CL$2,0)/CL$1</f>
        <v>4.9091667529878809</v>
      </c>
      <c r="CM26" s="87">
        <f>VLOOKUP($B26,Raw_Data[#All],CM$2,0)/CM$1</f>
        <v>5.0898558657179347</v>
      </c>
      <c r="CN26" s="87">
        <f>VLOOKUP($B26,Raw_Data[#All],CN$2,0)/CN$1</f>
        <v>4.9948350987904728</v>
      </c>
      <c r="CO26" s="87">
        <f>VLOOKUP($B26,Raw_Data[#All],CO$2,0)/CO$1</f>
        <v>5.1429571952375062</v>
      </c>
      <c r="CP26" s="87">
        <f>VLOOKUP($B26,Raw_Data[#All],CP$2,0)/CP$1</f>
        <v>5.1911274301121049</v>
      </c>
      <c r="CQ26" s="87">
        <f>VLOOKUP($B26,Raw_Data[#All],CQ$2,0)/CQ$1</f>
        <v>5.2013318737456666</v>
      </c>
      <c r="CR26" s="87">
        <f>VLOOKUP($B26,Raw_Data[#All],CR$2,0)/CR$1</f>
        <v>5.2501396871008934</v>
      </c>
      <c r="CS26" s="87">
        <f>VLOOKUP($B26,Raw_Data[#All],CS$2,0)/CS$1</f>
        <v>5.1906728927203067</v>
      </c>
      <c r="CT26" s="87">
        <f>VLOOKUP($B26,Raw_Data[#All],CT$2,0)/CT$1</f>
        <v>5.2188346331168542</v>
      </c>
      <c r="CU26" s="87">
        <f>VLOOKUP($B26,Raw_Data[#All],CU$2,0)/CU$1</f>
        <v>5.2756066411238827</v>
      </c>
      <c r="CV26" s="87">
        <f>VLOOKUP($B26,Raw_Data[#All],CV$2,0)/CV$1</f>
        <v>5.2239905688181549</v>
      </c>
      <c r="CW26" s="87">
        <f>VLOOKUP($B26,Raw_Data[#All],CW$2,0)/CW$1</f>
        <v>5.194071573381918</v>
      </c>
      <c r="CX26" s="87">
        <f>VLOOKUP($B26,Raw_Data[#All],CX$2,0)/CX$1</f>
        <v>5.2208214888971289</v>
      </c>
      <c r="CY26" s="87">
        <f>VLOOKUP($B26,Raw_Data[#All],CY$2,0)/CY$1</f>
        <v>5.0485578969774378</v>
      </c>
      <c r="CZ26" s="87">
        <f>VLOOKUP($B26,Raw_Data[#All],CZ$2,0)/CZ$1</f>
        <v>5.2021278787129734</v>
      </c>
      <c r="DA26" s="87">
        <f>VLOOKUP($B26,Raw_Data[#All],DA$2,0)/DA$1</f>
        <v>5.0995712461229701</v>
      </c>
      <c r="DB26" s="87">
        <f>VLOOKUP($B26,Raw_Data[#All],DB$2,0)/DB$1</f>
        <v>5.1552522349936147</v>
      </c>
      <c r="DC26" s="87">
        <f>VLOOKUP($B26,Raw_Data[#All],DC$2,0)/DC$1</f>
        <v>5.0502311442088033</v>
      </c>
      <c r="DD26" s="87">
        <f>VLOOKUP($B26,Raw_Data[#All],DD$2,0)/DD$1</f>
        <v>5.0754244917614058</v>
      </c>
      <c r="DE26" s="87">
        <f>VLOOKUP($B26,Raw_Data[#All],DE$2,0)/DE$1</f>
        <v>5.0527044771823793</v>
      </c>
      <c r="DF26" s="87">
        <f>VLOOKUP($B26,Raw_Data[#All],DF$2,0)/DF$1</f>
        <v>5.011474297573435</v>
      </c>
      <c r="DG26" s="87">
        <f>VLOOKUP($B26,Raw_Data[#All],DG$2,0)/DG$1</f>
        <v>4.9757343550446995</v>
      </c>
      <c r="DH26" s="87">
        <f>VLOOKUP($B26,Raw_Data[#All],DH$2,0)/DH$1</f>
        <v>4.9217253352490422</v>
      </c>
      <c r="DI26" s="87">
        <f>VLOOKUP($B26,Raw_Data[#All],DI$2,0)/DI$1</f>
        <v>5.0536854588578723</v>
      </c>
      <c r="DJ26" s="87">
        <f>VLOOKUP($B26,Raw_Data[#All],DJ$2,0)/DJ$1</f>
        <v>5.0466954022988508</v>
      </c>
      <c r="DK26" s="87">
        <f>VLOOKUP($B26,Raw_Data[#All],DK$2,0)/DK$1</f>
        <v>5.1161341002964802</v>
      </c>
      <c r="DL26" s="87">
        <f>VLOOKUP($B26,Raw_Data[#All],DL$2,0)/DL$1</f>
        <v>5.0827859879584016</v>
      </c>
      <c r="DM26" s="87">
        <f>VLOOKUP($B26,Raw_Data[#All],DM$2,0)/DM$1</f>
        <v>5.1156409642401028</v>
      </c>
      <c r="DN26" s="87">
        <f>VLOOKUP($B26,Raw_Data[#All],DN$2,0)/DN$1</f>
        <v>5.1653586289292628</v>
      </c>
      <c r="DO26" s="87">
        <f>VLOOKUP($B26,Raw_Data[#All],DO$2,0)/DO$1</f>
        <v>5.0872258906007986</v>
      </c>
      <c r="DP26" s="87">
        <f>VLOOKUP($B26,Raw_Data[#All],DP$2,0)/DP$1</f>
        <v>5.0282409655891929</v>
      </c>
      <c r="DQ26" s="87">
        <f>VLOOKUP($B26,Raw_Data[#All],DQ$2,0)/DQ$1</f>
        <v>5.0459770114942524</v>
      </c>
      <c r="DR26" s="87">
        <f>VLOOKUP($B26,Raw_Data[#All],DR$2,0)/DR$1</f>
        <v>4.9904214559386979</v>
      </c>
      <c r="DS26" s="87">
        <f>VLOOKUP($B26,Raw_Data[#All],DS$2,0)/DS$1</f>
        <v>4.9982012123828543</v>
      </c>
      <c r="DT26" s="87">
        <f>VLOOKUP($B26,Raw_Data[#All],DT$2,0)/DT$1</f>
        <v>5.0148999574286934</v>
      </c>
      <c r="DU26" s="87">
        <f>VLOOKUP($B26,Raw_Data[#All],DU$2,0)/DU$1</f>
        <v>5.1069134550371871</v>
      </c>
      <c r="DV26" s="87">
        <f>VLOOKUP($B26,Raw_Data[#All],DV$2,0)/DV$1</f>
        <v>5.0850412536236291</v>
      </c>
      <c r="DW26" s="87">
        <f>VLOOKUP($B26,Raw_Data[#All],DW$2,0)/DW$1</f>
        <v>5.0861592421036574</v>
      </c>
      <c r="DX26" s="87">
        <f>VLOOKUP($B26,Raw_Data[#All],DX$2,0)/DX$1</f>
        <v>5.0508149879862323</v>
      </c>
      <c r="DY26" s="87">
        <f>VLOOKUP($B26,Raw_Data[#All],DY$2,0)/DY$1</f>
        <v>5.0042571306939125</v>
      </c>
      <c r="DZ26" s="87">
        <f>VLOOKUP($B26,Raw_Data[#All],DZ$2,0)/DZ$1</f>
        <v>5.0401893409556244</v>
      </c>
      <c r="EA26" s="87">
        <f>VLOOKUP($B26,Raw_Data[#All],EA$2,0)/EA$1</f>
        <v>5.0304318326947639</v>
      </c>
      <c r="EB26" s="87">
        <f>VLOOKUP($B26,Raw_Data[#All],EB$2,0)/EB$1</f>
        <v>5.0660021551724137</v>
      </c>
      <c r="EC26" s="87">
        <f>VLOOKUP($B26,Raw_Data[#All],EC$2,0)/EC$1</f>
        <v>5.0637563982663085</v>
      </c>
      <c r="ED26" s="87">
        <f>VLOOKUP($B26,Raw_Data[#All],ED$2,0)/ED$1</f>
        <v>4.9944850806919776</v>
      </c>
      <c r="EE26" s="87">
        <f>VLOOKUP($B26,Raw_Data[#All],EE$2,0)/EE$1</f>
        <v>5.0438889902491431</v>
      </c>
      <c r="EF26" s="87">
        <f>VLOOKUP($B26,Raw_Data[#All],EF$2,0)/EF$1</f>
        <v>5.0134555738004014</v>
      </c>
      <c r="EG26" s="87">
        <f>VLOOKUP($B26,Raw_Data[#All],EG$2,0)/EG$1</f>
        <v>4.9189315932311617</v>
      </c>
      <c r="EH26" s="87">
        <f>VLOOKUP($B26,Raw_Data[#All],EH$2,0)/EH$1</f>
        <v>4.9399844348659006</v>
      </c>
      <c r="EI26" s="87">
        <f>VLOOKUP($B26,Raw_Data[#All],EI$2,0)/EI$1</f>
        <v>5.0670498084291191</v>
      </c>
      <c r="EJ26" s="87">
        <f>VLOOKUP($B26,Raw_Data[#All],EJ$2,0)/EJ$1</f>
        <v>5.1482099452066086</v>
      </c>
      <c r="EK26" s="87">
        <f>VLOOKUP($B26,Raw_Data[#All],EK$2,0)/EK$1</f>
        <v>5.0932577692635164</v>
      </c>
      <c r="EL26" s="87">
        <f>VLOOKUP($B26,Raw_Data[#All],EL$2,0)/EL$1</f>
        <v>5.7472784771635341</v>
      </c>
      <c r="EM26" s="87">
        <f>VLOOKUP($B26,Raw_Data[#All],EM$2,0)/EM$1</f>
        <v>5.1752468836004537</v>
      </c>
      <c r="EN26" s="87">
        <f>VLOOKUP($B26,Raw_Data[#All],EN$2,0)/EN$1</f>
        <v>5.2069269598005228</v>
      </c>
      <c r="EO26" s="87">
        <f>VLOOKUP($B26,Raw_Data[#All],EO$2,0)/EO$1</f>
        <v>5.1736111111111107</v>
      </c>
      <c r="EP26" s="87">
        <f>VLOOKUP($B26,Raw_Data[#All],EP$2,0)/EP$1</f>
        <v>5.5772569444444446</v>
      </c>
      <c r="EQ26" s="87">
        <f>VLOOKUP($B26,Raw_Data[#All],EQ$2,0)/EQ$1</f>
        <v>5.086438262350307</v>
      </c>
      <c r="ER26" s="87">
        <f>VLOOKUP($B26,Raw_Data[#All],ER$2,0)/ER$1</f>
        <v>5.0506864623243937</v>
      </c>
      <c r="ES26" s="87">
        <f>VLOOKUP($B26,Raw_Data[#All],ES$2,0)/ES$1</f>
        <v>5.044475023833936</v>
      </c>
      <c r="ET26" s="87">
        <f>VLOOKUP($B26,Raw_Data[#All],ET$2,0)/ET$1</f>
        <v>5.0272966020901917</v>
      </c>
      <c r="EU26" s="87">
        <f>VLOOKUP($B26,Raw_Data[#All],EU$2,0)/EU$1</f>
        <v>5.040157933552786</v>
      </c>
      <c r="EV26" s="87">
        <f>VLOOKUP($B26,Raw_Data[#All],EV$2,0)/EV$1</f>
        <v>4.9988470271037322</v>
      </c>
      <c r="EW26" s="87">
        <f>VLOOKUP($B26,Raw_Data[#All],EW$2,0)/EW$1</f>
        <v>5.110103368454662</v>
      </c>
      <c r="EX26" s="87">
        <f>VLOOKUP($B26,Raw_Data[#All],EX$2,0)/EX$1</f>
        <v>5.0527494468728076</v>
      </c>
      <c r="EY26" s="87">
        <f>VLOOKUP($B26,Raw_Data[#All],EY$2,0)/EY$1</f>
        <v>5.092704230635265</v>
      </c>
      <c r="EZ26" s="87">
        <f>VLOOKUP($B26,Raw_Data[#All],EZ$2,0)/EZ$1</f>
        <v>5.0806637576273594</v>
      </c>
      <c r="FA26" s="87">
        <f>VLOOKUP($B26,Raw_Data[#All],FA$2,0)/FA$1</f>
        <v>5.088246771675891</v>
      </c>
      <c r="FB26" s="87">
        <f>VLOOKUP($B26,Raw_Data[#All],FB$2,0)/FB$1</f>
        <v>5.0832801191996593</v>
      </c>
      <c r="FC26" s="87">
        <f>VLOOKUP($B26,Raw_Data[#All],FC$2,0)/FC$1</f>
        <v>5.1033241095501634</v>
      </c>
      <c r="FD26" s="87">
        <f>VLOOKUP($B26,Raw_Data[#All],FD$2,0)/FD$1</f>
        <v>5.1162396232439331</v>
      </c>
      <c r="FE26" s="87">
        <f>VLOOKUP($B26,Raw_Data[#All],FE$2,0)/FE$1</f>
        <v>5.075431034482758</v>
      </c>
      <c r="FF26" s="87">
        <f>VLOOKUP($B26,Raw_Data[#All],FF$2,0)/FF$1</f>
        <v>5.1402857598978287</v>
      </c>
      <c r="FG26" s="105">
        <f>VLOOKUP($B26,Raw_Data[#All],FG$2,0)/FG$1</f>
        <v>5.1670150824166203</v>
      </c>
    </row>
    <row r="27" spans="2:163">
      <c r="B27" s="104">
        <f t="shared" si="0"/>
        <v>45850</v>
      </c>
      <c r="C27" s="87">
        <f>VLOOKUP($B27,Raw_Data[#All],C$2,0)/C$1</f>
        <v>3.5909357335161287</v>
      </c>
      <c r="D27" s="87">
        <f>VLOOKUP($B27,Raw_Data[#All],D$2,0)/D$1</f>
        <v>3.6711773118850477</v>
      </c>
      <c r="E27" s="87">
        <f>VLOOKUP($B27,Raw_Data[#All],E$2,0)/E$1</f>
        <v>3.6414252299568068</v>
      </c>
      <c r="F27" s="87">
        <f>VLOOKUP($B27,Raw_Data[#All],F$2,0)/F$1</f>
        <v>3.6077306451108315</v>
      </c>
      <c r="G27" s="87">
        <f>VLOOKUP($B27,Raw_Data[#All],G$2,0)/G$1</f>
        <v>3.6874883407235211</v>
      </c>
      <c r="H27" s="87">
        <f>VLOOKUP($B27,Raw_Data[#All],H$2,0)/H$1</f>
        <v>3.6843792003290905</v>
      </c>
      <c r="I27" s="87">
        <f>VLOOKUP($B27,Raw_Data[#All],I$2,0)/I$1</f>
        <v>3.7201582313296115</v>
      </c>
      <c r="J27" s="87">
        <f>VLOOKUP($B27,Raw_Data[#All],J$2,0)/J$1</f>
        <v>3.6527109875333319</v>
      </c>
      <c r="K27" s="87">
        <f>VLOOKUP($B27,Raw_Data[#All],K$2,0)/K$1</f>
        <v>3.6891146603144533</v>
      </c>
      <c r="L27" s="87">
        <f>VLOOKUP($B27,Raw_Data[#All],L$2,0)/L$1</f>
        <v>3.6728532143903383</v>
      </c>
      <c r="M27" s="87">
        <f>VLOOKUP($B27,Raw_Data[#All],M$2,0)/M$1</f>
        <v>3.6816307783160722</v>
      </c>
      <c r="N27" s="87">
        <f>VLOOKUP($B27,Raw_Data[#All],N$2,0)/N$1</f>
        <v>3.6615628931268862</v>
      </c>
      <c r="O27" s="87">
        <f>VLOOKUP($B27,Raw_Data[#All],O$2,0)/O$1</f>
        <v>3.6847366061176055</v>
      </c>
      <c r="P27" s="87">
        <f>VLOOKUP($B27,Raw_Data[#All],P$2,0)/P$1</f>
        <v>3.6514223121481288</v>
      </c>
      <c r="Q27" s="87">
        <f>VLOOKUP($B27,Raw_Data[#All],Q$2,0)/Q$1</f>
        <v>3.7057605196569421</v>
      </c>
      <c r="R27" s="87">
        <f>VLOOKUP($B27,Raw_Data[#All],R$2,0)/R$1</f>
        <v>3.7083434978307763</v>
      </c>
      <c r="S27" s="87">
        <f>VLOOKUP($B27,Raw_Data[#All],S$2,0)/S$1</f>
        <v>3.7090131588388076</v>
      </c>
      <c r="T27" s="87">
        <f>VLOOKUP($B27,Raw_Data[#All],T$2,0)/T$1</f>
        <v>3.6271231841424267</v>
      </c>
      <c r="U27" s="87">
        <f>VLOOKUP($B27,Raw_Data[#All],U$2,0)/U$1</f>
        <v>3.6795002415562919</v>
      </c>
      <c r="V27" s="87">
        <f>VLOOKUP($B27,Raw_Data[#All],V$2,0)/V$1</f>
        <v>3.7089174929805173</v>
      </c>
      <c r="W27" s="87">
        <f>VLOOKUP($B27,Raw_Data[#All],W$2,0)/W$1</f>
        <v>3.7009884015553003</v>
      </c>
      <c r="X27" s="87">
        <f>VLOOKUP($B27,Raw_Data[#All],X$2,0)/X$1</f>
        <v>3.5718272550967316</v>
      </c>
      <c r="Y27" s="87">
        <f>VLOOKUP($B27,Raw_Data[#All],Y$2,0)/Y$1</f>
        <v>3.6835928027547404</v>
      </c>
      <c r="Z27" s="87">
        <f>VLOOKUP($B27,Raw_Data[#All],Z$2,0)/Z$1</f>
        <v>3.6733716475095783</v>
      </c>
      <c r="AA27" s="87">
        <f>VLOOKUP($B27,Raw_Data[#All],AA$2,0)/AA$1</f>
        <v>3.6058908045977014</v>
      </c>
      <c r="AB27" s="87">
        <f>VLOOKUP($B27,Raw_Data[#All],AB$2,0)/AB$1</f>
        <v>3.5388268307160975</v>
      </c>
      <c r="AC27" s="87">
        <f>VLOOKUP($B27,Raw_Data[#All],AC$2,0)/AC$1</f>
        <v>3.5393489905232802</v>
      </c>
      <c r="AD27" s="87">
        <f>VLOOKUP($B27,Raw_Data[#All],AD$2,0)/AD$1</f>
        <v>3.5382432240669788</v>
      </c>
      <c r="AE27" s="87">
        <f>VLOOKUP($B27,Raw_Data[#All],AE$2,0)/AE$1</f>
        <v>3.6882834303013103</v>
      </c>
      <c r="AF27" s="87">
        <f>VLOOKUP($B27,Raw_Data[#All],AF$2,0)/AF$1</f>
        <v>3.7404214559386975</v>
      </c>
      <c r="AG27" s="87">
        <f>VLOOKUP($B27,Raw_Data[#All],AG$2,0)/AG$1</f>
        <v>3.7212764925554098</v>
      </c>
      <c r="AH27" s="87">
        <f>VLOOKUP($B27,Raw_Data[#All],AH$2,0)/AH$1</f>
        <v>3.6937230972990869</v>
      </c>
      <c r="AI27" s="87">
        <f>VLOOKUP($B27,Raw_Data[#All],AI$2,0)/AI$1</f>
        <v>3.744935688626764</v>
      </c>
      <c r="AJ27" s="87">
        <f>VLOOKUP($B27,Raw_Data[#All],AJ$2,0)/AJ$1</f>
        <v>3.7248936913149748</v>
      </c>
      <c r="AK27" s="87">
        <f>VLOOKUP($B27,Raw_Data[#All],AK$2,0)/AK$1</f>
        <v>3.7665083396711965</v>
      </c>
      <c r="AL27" s="87">
        <f>VLOOKUP($B27,Raw_Data[#All],AL$2,0)/AL$1</f>
        <v>3.730346645237514</v>
      </c>
      <c r="AM27" s="87">
        <f>VLOOKUP($B27,Raw_Data[#All],AM$2,0)/AM$1</f>
        <v>3.7710046350108337</v>
      </c>
      <c r="AN27" s="87">
        <f>VLOOKUP($B27,Raw_Data[#All],AN$2,0)/AN$1</f>
        <v>3.7036080378454135</v>
      </c>
      <c r="AO27" s="87">
        <f>VLOOKUP($B27,Raw_Data[#All],AO$2,0)/AO$1</f>
        <v>3.7412525530825929</v>
      </c>
      <c r="AP27" s="87">
        <f>VLOOKUP($B27,Raw_Data[#All],AP$2,0)/AP$1</f>
        <v>3.6852401930537018</v>
      </c>
      <c r="AQ27" s="87">
        <f>VLOOKUP($B27,Raw_Data[#All],AQ$2,0)/AQ$1</f>
        <v>3.7581909979589647</v>
      </c>
      <c r="AR27" s="87">
        <f>VLOOKUP($B27,Raw_Data[#All],AR$2,0)/AR$1</f>
        <v>3.7067163379073751</v>
      </c>
      <c r="AS27" s="87">
        <f>VLOOKUP($B27,Raw_Data[#All],AS$2,0)/AS$1</f>
        <v>3.8289615229242036</v>
      </c>
      <c r="AT27" s="87">
        <f>VLOOKUP($B27,Raw_Data[#All],AT$2,0)/AT$1</f>
        <v>3.4106792778068047</v>
      </c>
      <c r="AU27" s="87">
        <f>VLOOKUP($B27,Raw_Data[#All],AU$2,0)/AU$1</f>
        <v>3.74010924498443</v>
      </c>
      <c r="AV27" s="87">
        <f>VLOOKUP($B27,Raw_Data[#All],AV$2,0)/AV$1</f>
        <v>3.7027622228771655</v>
      </c>
      <c r="AW27" s="87">
        <f>VLOOKUP($B27,Raw_Data[#All],AW$2,0)/AW$1</f>
        <v>3.81422898236556</v>
      </c>
      <c r="AX27" s="87">
        <f>VLOOKUP($B27,Raw_Data[#All],AX$2,0)/AX$1</f>
        <v>3.8275235435241881</v>
      </c>
      <c r="AY27" s="87">
        <f>VLOOKUP($B27,Raw_Data[#All],AY$2,0)/AY$1</f>
        <v>3.4882542440366313</v>
      </c>
      <c r="AZ27" s="87">
        <f>VLOOKUP($B27,Raw_Data[#All],AZ$2,0)/AZ$1</f>
        <v>3.5565722664204835</v>
      </c>
      <c r="BA27" s="87">
        <f>VLOOKUP($B27,Raw_Data[#All],BA$2,0)/BA$1</f>
        <v>3.5801381547668987</v>
      </c>
      <c r="BB27" s="87">
        <f>VLOOKUP($B27,Raw_Data[#All],BB$2,0)/BB$1</f>
        <v>3.6227350734355044</v>
      </c>
      <c r="BC27" s="87">
        <f>VLOOKUP($B27,Raw_Data[#All],BC$2,0)/BC$1</f>
        <v>3.5568326947637292</v>
      </c>
      <c r="BD27" s="87">
        <f>VLOOKUP($B27,Raw_Data[#All],BD$2,0)/BD$1</f>
        <v>3.6642648919201357</v>
      </c>
      <c r="BE27" s="87">
        <f>VLOOKUP($B27,Raw_Data[#All],BE$2,0)/BE$1</f>
        <v>3.5924486895832213</v>
      </c>
      <c r="BF27" s="87">
        <f>VLOOKUP($B27,Raw_Data[#All],BF$2,0)/BF$1</f>
        <v>3.5715376736329496</v>
      </c>
      <c r="BG27" s="87">
        <f>VLOOKUP($B27,Raw_Data[#All],BG$2,0)/BG$1</f>
        <v>3.5369660848588049</v>
      </c>
      <c r="BH27" s="87">
        <f>VLOOKUP($B27,Raw_Data[#All],BH$2,0)/BH$1</f>
        <v>3.5987564073206388</v>
      </c>
      <c r="BI27" s="87">
        <f>VLOOKUP($B27,Raw_Data[#All],BI$2,0)/BI$1</f>
        <v>3.5553122909444745</v>
      </c>
      <c r="BJ27" s="87">
        <f>VLOOKUP($B27,Raw_Data[#All],BJ$2,0)/BJ$1</f>
        <v>3.6013074230192181</v>
      </c>
      <c r="BK27" s="87">
        <f>VLOOKUP($B27,Raw_Data[#All],BK$2,0)/BK$1</f>
        <v>3.5446908783479936</v>
      </c>
      <c r="BL27" s="87">
        <f>VLOOKUP($B27,Raw_Data[#All],BL$2,0)/BL$1</f>
        <v>3.553031685215593</v>
      </c>
      <c r="BM27" s="87">
        <f>VLOOKUP($B27,Raw_Data[#All],BM$2,0)/BM$1</f>
        <v>3.5512680167852579</v>
      </c>
      <c r="BN27" s="87">
        <f>VLOOKUP($B27,Raw_Data[#All],BN$2,0)/BN$1</f>
        <v>3.5577586206896554</v>
      </c>
      <c r="BO27" s="87">
        <f>VLOOKUP($B27,Raw_Data[#All],BO$2,0)/BO$1</f>
        <v>3.5627347394110078</v>
      </c>
      <c r="BP27" s="87">
        <f>VLOOKUP($B27,Raw_Data[#All],BP$2,0)/BP$1</f>
        <v>3.5233475442270126</v>
      </c>
      <c r="BQ27" s="87">
        <f>VLOOKUP($B27,Raw_Data[#All],BQ$2,0)/BQ$1</f>
        <v>3.5185401022328042</v>
      </c>
      <c r="BR27" s="87">
        <f>VLOOKUP($B27,Raw_Data[#All],BR$2,0)/BR$1</f>
        <v>3.4975369458128083</v>
      </c>
      <c r="BS27" s="87">
        <f>VLOOKUP($B27,Raw_Data[#All],BS$2,0)/BS$1</f>
        <v>3.5186104872699784</v>
      </c>
      <c r="BT27" s="87">
        <f>VLOOKUP($B27,Raw_Data[#All],BT$2,0)/BT$1</f>
        <v>3.5279579247073709</v>
      </c>
      <c r="BU27" s="87">
        <f>VLOOKUP($B27,Raw_Data[#All],BU$2,0)/BU$1</f>
        <v>3.5072694948558798</v>
      </c>
      <c r="BV27" s="87">
        <f>VLOOKUP($B27,Raw_Data[#All],BV$2,0)/BV$1</f>
        <v>3.2111622495943508</v>
      </c>
      <c r="BW27" s="87">
        <f>VLOOKUP($B27,Raw_Data[#All],BW$2,0)/BW$1</f>
        <v>3.5950080515297911</v>
      </c>
      <c r="BX27" s="87">
        <f>VLOOKUP($B27,Raw_Data[#All],BX$2,0)/BX$1</f>
        <v>3.4795000375629175</v>
      </c>
      <c r="BY27" s="87">
        <f>VLOOKUP($B27,Raw_Data[#All],BY$2,0)/BY$1</f>
        <v>3.6146080398953959</v>
      </c>
      <c r="BZ27" s="87">
        <f>VLOOKUP($B27,Raw_Data[#All],BZ$2,0)/BZ$1</f>
        <v>3.5216443837133493</v>
      </c>
      <c r="CA27" s="87">
        <f>VLOOKUP($B27,Raw_Data[#All],CA$2,0)/CA$1</f>
        <v>3.545039756107609</v>
      </c>
      <c r="CB27" s="87">
        <f>VLOOKUP($B27,Raw_Data[#All],CB$2,0)/CB$1</f>
        <v>3.6378955583936428</v>
      </c>
      <c r="CC27" s="87">
        <f>VLOOKUP($B27,Raw_Data[#All],CC$2,0)/CC$1</f>
        <v>3.5047335238906117</v>
      </c>
      <c r="CD27" s="87">
        <f>VLOOKUP($B27,Raw_Data[#All],CD$2,0)/CD$1</f>
        <v>3.5972604464590869</v>
      </c>
      <c r="CE27" s="87">
        <f>VLOOKUP($B27,Raw_Data[#All],CE$2,0)/CE$1</f>
        <v>3.5059118949699464</v>
      </c>
      <c r="CF27" s="87">
        <f>VLOOKUP($B27,Raw_Data[#All],CF$2,0)/CF$1</f>
        <v>3.5117989433646168</v>
      </c>
      <c r="CG27" s="87">
        <f>VLOOKUP($B27,Raw_Data[#All],CG$2,0)/CG$1</f>
        <v>3.4530455308690042</v>
      </c>
      <c r="CH27" s="87">
        <f>VLOOKUP($B27,Raw_Data[#All],CH$2,0)/CH$1</f>
        <v>3.3785018805581917</v>
      </c>
      <c r="CI27" s="87">
        <f>VLOOKUP($B27,Raw_Data[#All],CI$2,0)/CI$1</f>
        <v>3.5075431034482758</v>
      </c>
      <c r="CJ27" s="87">
        <f>VLOOKUP($B27,Raw_Data[#All],CJ$2,0)/CJ$1</f>
        <v>3.4445621226084202</v>
      </c>
      <c r="CK27" s="87">
        <f>VLOOKUP($B27,Raw_Data[#All],CK$2,0)/CK$1</f>
        <v>3.54085930085416</v>
      </c>
      <c r="CL27" s="87">
        <f>VLOOKUP($B27,Raw_Data[#All],CL$2,0)/CL$1</f>
        <v>3.4600342111967479</v>
      </c>
      <c r="CM27" s="87">
        <f>VLOOKUP($B27,Raw_Data[#All],CM$2,0)/CM$1</f>
        <v>3.6377485860244478</v>
      </c>
      <c r="CN27" s="87">
        <f>VLOOKUP($B27,Raw_Data[#All],CN$2,0)/CN$1</f>
        <v>3.5409623619562764</v>
      </c>
      <c r="CO27" s="87">
        <f>VLOOKUP($B27,Raw_Data[#All],CO$2,0)/CO$1</f>
        <v>3.6043134346805092</v>
      </c>
      <c r="CP27" s="87">
        <f>VLOOKUP($B27,Raw_Data[#All],CP$2,0)/CP$1</f>
        <v>3.6484496949056333</v>
      </c>
      <c r="CQ27" s="87">
        <f>VLOOKUP($B27,Raw_Data[#All],CQ$2,0)/CQ$1</f>
        <v>3.6326400291917529</v>
      </c>
      <c r="CR27" s="87">
        <f>VLOOKUP($B27,Raw_Data[#All],CR$2,0)/CR$1</f>
        <v>3.6646412037037037</v>
      </c>
      <c r="CS27" s="87">
        <f>VLOOKUP($B27,Raw_Data[#All],CS$2,0)/CS$1</f>
        <v>3.6082175925925926</v>
      </c>
      <c r="CT27" s="87">
        <f>VLOOKUP($B27,Raw_Data[#All],CT$2,0)/CT$1</f>
        <v>3.6373105803284331</v>
      </c>
      <c r="CU27" s="87">
        <f>VLOOKUP($B27,Raw_Data[#All],CU$2,0)/CU$1</f>
        <v>3.6920561941251595</v>
      </c>
      <c r="CV27" s="87">
        <f>VLOOKUP($B27,Raw_Data[#All],CV$2,0)/CV$1</f>
        <v>3.6534531879359466</v>
      </c>
      <c r="CW27" s="87">
        <f>VLOOKUP($B27,Raw_Data[#All],CW$2,0)/CW$1</f>
        <v>3.6591377970688317</v>
      </c>
      <c r="CX27" s="87">
        <f>VLOOKUP($B27,Raw_Data[#All],CX$2,0)/CX$1</f>
        <v>3.6591068265150577</v>
      </c>
      <c r="CY27" s="87">
        <f>VLOOKUP($B27,Raw_Data[#All],CY$2,0)/CY$1</f>
        <v>3.5365226337448559</v>
      </c>
      <c r="CZ27" s="87">
        <f>VLOOKUP($B27,Raw_Data[#All],CZ$2,0)/CZ$1</f>
        <v>3.660703250525275</v>
      </c>
      <c r="DA27" s="87">
        <f>VLOOKUP($B27,Raw_Data[#All],DA$2,0)/DA$1</f>
        <v>3.6247491333698227</v>
      </c>
      <c r="DB27" s="87">
        <f>VLOOKUP($B27,Raw_Data[#All],DB$2,0)/DB$1</f>
        <v>3.6262771392081738</v>
      </c>
      <c r="DC27" s="87">
        <f>VLOOKUP($B27,Raw_Data[#All],DC$2,0)/DC$1</f>
        <v>3.611335959563255</v>
      </c>
      <c r="DD27" s="87">
        <f>VLOOKUP($B27,Raw_Data[#All],DD$2,0)/DD$1</f>
        <v>3.6015849088206351</v>
      </c>
      <c r="DE27" s="87">
        <f>VLOOKUP($B27,Raw_Data[#All],DE$2,0)/DE$1</f>
        <v>3.5111884589786486</v>
      </c>
      <c r="DF27" s="87">
        <f>VLOOKUP($B27,Raw_Data[#All],DF$2,0)/DF$1</f>
        <v>3.5966934067688379</v>
      </c>
      <c r="DG27" s="87">
        <f>VLOOKUP($B27,Raw_Data[#All],DG$2,0)/DG$1</f>
        <v>3.6386608283160005</v>
      </c>
      <c r="DH27" s="87">
        <f>VLOOKUP($B27,Raw_Data[#All],DH$2,0)/DH$1</f>
        <v>3.5958453065134099</v>
      </c>
      <c r="DI27" s="87">
        <f>VLOOKUP($B27,Raw_Data[#All],DI$2,0)/DI$1</f>
        <v>3.6949461777047983</v>
      </c>
      <c r="DJ27" s="87">
        <f>VLOOKUP($B27,Raw_Data[#All],DJ$2,0)/DJ$1</f>
        <v>3.1898048371647509</v>
      </c>
      <c r="DK27" s="87">
        <f>VLOOKUP($B27,Raw_Data[#All],DK$2,0)/DK$1</f>
        <v>3.624103590705217</v>
      </c>
      <c r="DL27" s="87">
        <f>VLOOKUP($B27,Raw_Data[#All],DL$2,0)/DL$1</f>
        <v>3.6292191205984308</v>
      </c>
      <c r="DM27" s="87">
        <f>VLOOKUP($B27,Raw_Data[#All],DM$2,0)/DM$1</f>
        <v>3.5810783844189014</v>
      </c>
      <c r="DN27" s="87">
        <f>VLOOKUP($B27,Raw_Data[#All],DN$2,0)/DN$1</f>
        <v>3.6345424957772012</v>
      </c>
      <c r="DO27" s="87">
        <f>VLOOKUP($B27,Raw_Data[#All],DO$2,0)/DO$1</f>
        <v>3.6083258607103068</v>
      </c>
      <c r="DP27" s="87">
        <f>VLOOKUP($B27,Raw_Data[#All],DP$2,0)/DP$1</f>
        <v>3.6132246865612583</v>
      </c>
      <c r="DQ27" s="87">
        <f>VLOOKUP($B27,Raw_Data[#All],DQ$2,0)/DQ$1</f>
        <v>3.6233351578179165</v>
      </c>
      <c r="DR27" s="87">
        <f>VLOOKUP($B27,Raw_Data[#All],DR$2,0)/DR$1</f>
        <v>3.5385735951468709</v>
      </c>
      <c r="DS27" s="87">
        <f>VLOOKUP($B27,Raw_Data[#All],DS$2,0)/DS$1</f>
        <v>3.597890022125088</v>
      </c>
      <c r="DT27" s="87">
        <f>VLOOKUP($B27,Raw_Data[#All],DT$2,0)/DT$1</f>
        <v>3.6026982099779032</v>
      </c>
      <c r="DU27" s="87">
        <f>VLOOKUP($B27,Raw_Data[#All],DU$2,0)/DU$1</f>
        <v>3.6815885357974603</v>
      </c>
      <c r="DV27" s="87">
        <f>VLOOKUP($B27,Raw_Data[#All],DV$2,0)/DV$1</f>
        <v>3.4675343104461875</v>
      </c>
      <c r="DW27" s="87">
        <f>VLOOKUP($B27,Raw_Data[#All],DW$2,0)/DW$1</f>
        <v>3.6893597148357826</v>
      </c>
      <c r="DX27" s="87">
        <f>VLOOKUP($B27,Raw_Data[#All],DX$2,0)/DX$1</f>
        <v>3.5562374180141565</v>
      </c>
      <c r="DY27" s="87">
        <f>VLOOKUP($B27,Raw_Data[#All],DY$2,0)/DY$1</f>
        <v>3.5860773317045185</v>
      </c>
      <c r="DZ27" s="87">
        <f>VLOOKUP($B27,Raw_Data[#All],DZ$2,0)/DZ$1</f>
        <v>3.5860244480934136</v>
      </c>
      <c r="EA27" s="87">
        <f>VLOOKUP($B27,Raw_Data[#All],EA$2,0)/EA$1</f>
        <v>3.4895334450830138</v>
      </c>
      <c r="EB27" s="87">
        <f>VLOOKUP($B27,Raw_Data[#All],EB$2,0)/EB$1</f>
        <v>3.7119352650063857</v>
      </c>
      <c r="EC27" s="87">
        <f>VLOOKUP($B27,Raw_Data[#All],EC$2,0)/EC$1</f>
        <v>3.6458301907663841</v>
      </c>
      <c r="ED27" s="87">
        <f>VLOOKUP($B27,Raw_Data[#All],ED$2,0)/ED$1</f>
        <v>3.6043190525949149</v>
      </c>
      <c r="EE27" s="87">
        <f>VLOOKUP($B27,Raw_Data[#All],EE$2,0)/EE$1</f>
        <v>3.6888544264023189</v>
      </c>
      <c r="EF27" s="87">
        <f>VLOOKUP($B27,Raw_Data[#All],EF$2,0)/EF$1</f>
        <v>3.6651614668856043</v>
      </c>
      <c r="EG27" s="87">
        <f>VLOOKUP($B27,Raw_Data[#All],EG$2,0)/EG$1</f>
        <v>3.2285181194125161</v>
      </c>
      <c r="EH27" s="87">
        <f>VLOOKUP($B27,Raw_Data[#All],EH$2,0)/EH$1</f>
        <v>0</v>
      </c>
      <c r="EI27" s="87">
        <f>VLOOKUP($B27,Raw_Data[#All],EI$2,0)/EI$1</f>
        <v>3.7520842202355613</v>
      </c>
      <c r="EJ27" s="87">
        <f>VLOOKUP($B27,Raw_Data[#All],EJ$2,0)/EJ$1</f>
        <v>3.7567461788818854</v>
      </c>
      <c r="EK27" s="87">
        <f>VLOOKUP($B27,Raw_Data[#All],EK$2,0)/EK$1</f>
        <v>3.7787356321839085</v>
      </c>
      <c r="EL27" s="87">
        <f>VLOOKUP($B27,Raw_Data[#All],EL$2,0)/EL$1</f>
        <v>4.22287092785177</v>
      </c>
      <c r="EM27" s="87">
        <f>VLOOKUP($B27,Raw_Data[#All],EM$2,0)/EM$1</f>
        <v>3.7903602971597152</v>
      </c>
      <c r="EN27" s="87">
        <f>VLOOKUP($B27,Raw_Data[#All],EN$2,0)/EN$1</f>
        <v>4.0789900464229962</v>
      </c>
      <c r="EO27" s="87">
        <f>VLOOKUP($B27,Raw_Data[#All],EO$2,0)/EO$1</f>
        <v>3.7427662037037037</v>
      </c>
      <c r="EP27" s="87">
        <f>VLOOKUP($B27,Raw_Data[#All],EP$2,0)/EP$1</f>
        <v>4.1252594189016598</v>
      </c>
      <c r="EQ27" s="87">
        <f>VLOOKUP($B27,Raw_Data[#All],EQ$2,0)/EQ$1</f>
        <v>3.737853295574435</v>
      </c>
      <c r="ER27" s="87">
        <f>VLOOKUP($B27,Raw_Data[#All],ER$2,0)/ER$1</f>
        <v>3.7476053639846745</v>
      </c>
      <c r="ES27" s="87">
        <f>VLOOKUP($B27,Raw_Data[#All],ES$2,0)/ES$1</f>
        <v>3.713642005288436</v>
      </c>
      <c r="ET27" s="87">
        <f>VLOOKUP($B27,Raw_Data[#All],ET$2,0)/ET$1</f>
        <v>3.7390948500710528</v>
      </c>
      <c r="EU27" s="87">
        <f>VLOOKUP($B27,Raw_Data[#All],EU$2,0)/EU$1</f>
        <v>3.7465148489917803</v>
      </c>
      <c r="EV27" s="87">
        <f>VLOOKUP($B27,Raw_Data[#All],EV$2,0)/EV$1</f>
        <v>3.6998013339009512</v>
      </c>
      <c r="EW27" s="87">
        <f>VLOOKUP($B27,Raw_Data[#All],EW$2,0)/EW$1</f>
        <v>3.7450610632183907</v>
      </c>
      <c r="EX27" s="87">
        <f>VLOOKUP($B27,Raw_Data[#All],EX$2,0)/EX$1</f>
        <v>3.7713381181083951</v>
      </c>
      <c r="EY27" s="87">
        <f>VLOOKUP($B27,Raw_Data[#All],EY$2,0)/EY$1</f>
        <v>3.7138404379783689</v>
      </c>
      <c r="EZ27" s="87">
        <f>VLOOKUP($B27,Raw_Data[#All],EZ$2,0)/EZ$1</f>
        <v>3.765919894990776</v>
      </c>
      <c r="FA27" s="87">
        <f>VLOOKUP($B27,Raw_Data[#All],FA$2,0)/FA$1</f>
        <v>3.7751436781609198</v>
      </c>
      <c r="FB27" s="87">
        <f>VLOOKUP($B27,Raw_Data[#All],FB$2,0)/FB$1</f>
        <v>3.7247676316162908</v>
      </c>
      <c r="FC27" s="87">
        <f>VLOOKUP($B27,Raw_Data[#All],FC$2,0)/FC$1</f>
        <v>3.733769689229459</v>
      </c>
      <c r="FD27" s="87">
        <f>VLOOKUP($B27,Raw_Data[#All],FD$2,0)/FD$1</f>
        <v>3.720116938058748</v>
      </c>
      <c r="FE27" s="87">
        <f>VLOOKUP($B27,Raw_Data[#All],FE$2,0)/FE$1</f>
        <v>3.7487139917695473</v>
      </c>
      <c r="FF27" s="87">
        <f>VLOOKUP($B27,Raw_Data[#All],FF$2,0)/FF$1</f>
        <v>3.7506485472541509</v>
      </c>
      <c r="FG27" s="105">
        <f>VLOOKUP($B27,Raw_Data[#All],FG$2,0)/FG$1</f>
        <v>3.6165751975584128</v>
      </c>
    </row>
    <row r="28" spans="2:163">
      <c r="B28" s="104">
        <f t="shared" si="0"/>
        <v>45851</v>
      </c>
      <c r="C28" s="87">
        <f>VLOOKUP($B28,Raw_Data[#All],C$2,0)/C$1</f>
        <v>5.6609940492156685</v>
      </c>
      <c r="D28" s="87">
        <f>VLOOKUP($B28,Raw_Data[#All],D$2,0)/D$1</f>
        <v>5.7770220174972851</v>
      </c>
      <c r="E28" s="87">
        <f>VLOOKUP($B28,Raw_Data[#All],E$2,0)/E$1</f>
        <v>5.7369858558028515</v>
      </c>
      <c r="F28" s="87">
        <f>VLOOKUP($B28,Raw_Data[#All],F$2,0)/F$1</f>
        <v>5.72492245049225</v>
      </c>
      <c r="G28" s="87">
        <f>VLOOKUP($B28,Raw_Data[#All],G$2,0)/G$1</f>
        <v>5.8049564481180127</v>
      </c>
      <c r="H28" s="87">
        <f>VLOOKUP($B28,Raw_Data[#All],H$2,0)/H$1</f>
        <v>5.841979135276306</v>
      </c>
      <c r="I28" s="87">
        <f>VLOOKUP($B28,Raw_Data[#All],I$2,0)/I$1</f>
        <v>5.8806281420255333</v>
      </c>
      <c r="J28" s="87">
        <f>VLOOKUP($B28,Raw_Data[#All],J$2,0)/J$1</f>
        <v>5.7568202019281181</v>
      </c>
      <c r="K28" s="87">
        <f>VLOOKUP($B28,Raw_Data[#All],K$2,0)/K$1</f>
        <v>5.8135185424349825</v>
      </c>
      <c r="L28" s="87">
        <f>VLOOKUP($B28,Raw_Data[#All],L$2,0)/L$1</f>
        <v>5.7131854735827483</v>
      </c>
      <c r="M28" s="87">
        <f>VLOOKUP($B28,Raw_Data[#All],M$2,0)/M$1</f>
        <v>5.7393948010192357</v>
      </c>
      <c r="N28" s="87">
        <f>VLOOKUP($B28,Raw_Data[#All],N$2,0)/N$1</f>
        <v>5.806439268921511</v>
      </c>
      <c r="O28" s="87">
        <f>VLOOKUP($B28,Raw_Data[#All],O$2,0)/O$1</f>
        <v>5.7718966328014787</v>
      </c>
      <c r="P28" s="87">
        <f>VLOOKUP($B28,Raw_Data[#All],P$2,0)/P$1</f>
        <v>5.7949593659266911</v>
      </c>
      <c r="Q28" s="87">
        <f>VLOOKUP($B28,Raw_Data[#All],Q$2,0)/Q$1</f>
        <v>5.8340867019673679</v>
      </c>
      <c r="R28" s="87">
        <f>VLOOKUP($B28,Raw_Data[#All],R$2,0)/R$1</f>
        <v>5.8365740142829123</v>
      </c>
      <c r="S28" s="87">
        <f>VLOOKUP($B28,Raw_Data[#All],S$2,0)/S$1</f>
        <v>5.7921850560362769</v>
      </c>
      <c r="T28" s="87">
        <f>VLOOKUP($B28,Raw_Data[#All],T$2,0)/T$1</f>
        <v>5.7500442454594589</v>
      </c>
      <c r="U28" s="87">
        <f>VLOOKUP($B28,Raw_Data[#All],U$2,0)/U$1</f>
        <v>5.7697992451963778</v>
      </c>
      <c r="V28" s="87">
        <f>VLOOKUP($B28,Raw_Data[#All],V$2,0)/V$1</f>
        <v>5.8039997895351112</v>
      </c>
      <c r="W28" s="87">
        <f>VLOOKUP($B28,Raw_Data[#All],W$2,0)/W$1</f>
        <v>5.723920075396995</v>
      </c>
      <c r="X28" s="87">
        <f>VLOOKUP($B28,Raw_Data[#All],X$2,0)/X$1</f>
        <v>5.6993519701054822</v>
      </c>
      <c r="Y28" s="87">
        <f>VLOOKUP($B28,Raw_Data[#All],Y$2,0)/Y$1</f>
        <v>5.6655511906494</v>
      </c>
      <c r="Z28" s="87">
        <f>VLOOKUP($B28,Raw_Data[#All],Z$2,0)/Z$1</f>
        <v>5.6749042145593878</v>
      </c>
      <c r="AA28" s="87">
        <f>VLOOKUP($B28,Raw_Data[#All],AA$2,0)/AA$1</f>
        <v>5.5893678160919542</v>
      </c>
      <c r="AB28" s="87">
        <f>VLOOKUP($B28,Raw_Data[#All],AB$2,0)/AB$1</f>
        <v>5.5238789056176136</v>
      </c>
      <c r="AC28" s="87">
        <f>VLOOKUP($B28,Raw_Data[#All],AC$2,0)/AC$1</f>
        <v>5.5392163827439393</v>
      </c>
      <c r="AD28" s="87">
        <f>VLOOKUP($B28,Raw_Data[#All],AD$2,0)/AD$1</f>
        <v>5.5201740693439296</v>
      </c>
      <c r="AE28" s="87">
        <f>VLOOKUP($B28,Raw_Data[#All],AE$2,0)/AE$1</f>
        <v>5.6914999290478221</v>
      </c>
      <c r="AF28" s="87">
        <f>VLOOKUP($B28,Raw_Data[#All],AF$2,0)/AF$1</f>
        <v>5.7113984674329501</v>
      </c>
      <c r="AG28" s="87">
        <f>VLOOKUP($B28,Raw_Data[#All],AG$2,0)/AG$1</f>
        <v>5.6877152141228962</v>
      </c>
      <c r="AH28" s="87">
        <f>VLOOKUP($B28,Raw_Data[#All],AH$2,0)/AH$1</f>
        <v>5.6647746085804833</v>
      </c>
      <c r="AI28" s="87">
        <f>VLOOKUP($B28,Raw_Data[#All],AI$2,0)/AI$1</f>
        <v>5.7224924782718913</v>
      </c>
      <c r="AJ28" s="87">
        <f>VLOOKUP($B28,Raw_Data[#All],AJ$2,0)/AJ$1</f>
        <v>5.713356388805181</v>
      </c>
      <c r="AK28" s="87">
        <f>VLOOKUP($B28,Raw_Data[#All],AK$2,0)/AK$1</f>
        <v>5.7843882885856273</v>
      </c>
      <c r="AL28" s="87">
        <f>VLOOKUP($B28,Raw_Data[#All],AL$2,0)/AL$1</f>
        <v>5.7196703354523315</v>
      </c>
      <c r="AM28" s="87">
        <f>VLOOKUP($B28,Raw_Data[#All],AM$2,0)/AM$1</f>
        <v>5.7807529859706008</v>
      </c>
      <c r="AN28" s="87">
        <f>VLOOKUP($B28,Raw_Data[#All],AN$2,0)/AN$1</f>
        <v>5.681403992136266</v>
      </c>
      <c r="AO28" s="87">
        <f>VLOOKUP($B28,Raw_Data[#All],AO$2,0)/AO$1</f>
        <v>5.7091470910404141</v>
      </c>
      <c r="AP28" s="87">
        <f>VLOOKUP($B28,Raw_Data[#All],AP$2,0)/AP$1</f>
        <v>5.6763337016468878</v>
      </c>
      <c r="AQ28" s="87">
        <f>VLOOKUP($B28,Raw_Data[#All],AQ$2,0)/AQ$1</f>
        <v>5.6448061016220867</v>
      </c>
      <c r="AR28" s="87">
        <f>VLOOKUP($B28,Raw_Data[#All],AR$2,0)/AR$1</f>
        <v>5.5958315465980553</v>
      </c>
      <c r="AS28" s="87">
        <f>VLOOKUP($B28,Raw_Data[#All],AS$2,0)/AS$1</f>
        <v>5.2958291158488144</v>
      </c>
      <c r="AT28" s="87">
        <f>VLOOKUP($B28,Raw_Data[#All],AT$2,0)/AT$1</f>
        <v>5.2374190033448107</v>
      </c>
      <c r="AU28" s="87">
        <f>VLOOKUP($B28,Raw_Data[#All],AU$2,0)/AU$1</f>
        <v>5.5407371483996126</v>
      </c>
      <c r="AV28" s="87">
        <f>VLOOKUP($B28,Raw_Data[#All],AV$2,0)/AV$1</f>
        <v>5.3329567410027181</v>
      </c>
      <c r="AW28" s="87">
        <f>VLOOKUP($B28,Raw_Data[#All],AW$2,0)/AW$1</f>
        <v>5.7351730837557167</v>
      </c>
      <c r="AX28" s="87">
        <f>VLOOKUP($B28,Raw_Data[#All],AX$2,0)/AX$1</f>
        <v>5.7410391377519963</v>
      </c>
      <c r="AY28" s="87">
        <f>VLOOKUP($B28,Raw_Data[#All],AY$2,0)/AY$1</f>
        <v>2.8091631375104065</v>
      </c>
      <c r="AZ28" s="87">
        <f>VLOOKUP($B28,Raw_Data[#All],AZ$2,0)/AZ$1</f>
        <v>2.6316670739544015</v>
      </c>
      <c r="BA28" s="87">
        <f>VLOOKUP($B28,Raw_Data[#All],BA$2,0)/BA$1</f>
        <v>0</v>
      </c>
      <c r="BB28" s="87">
        <f>VLOOKUP($B28,Raw_Data[#All],BB$2,0)/BB$1</f>
        <v>0</v>
      </c>
      <c r="BC28" s="87">
        <f>VLOOKUP($B28,Raw_Data[#All],BC$2,0)/BC$1</f>
        <v>2.7754393538754885</v>
      </c>
      <c r="BD28" s="87">
        <f>VLOOKUP($B28,Raw_Data[#All],BD$2,0)/BD$1</f>
        <v>2.8376693617879467</v>
      </c>
      <c r="BE28" s="87">
        <f>VLOOKUP($B28,Raw_Data[#All],BE$2,0)/BE$1</f>
        <v>2.720531361862105</v>
      </c>
      <c r="BF28" s="87">
        <f>VLOOKUP($B28,Raw_Data[#All],BF$2,0)/BF$1</f>
        <v>2.7132563028985248</v>
      </c>
      <c r="BG28" s="87">
        <f>VLOOKUP($B28,Raw_Data[#All],BG$2,0)/BG$1</f>
        <v>5.5917918465811187</v>
      </c>
      <c r="BH28" s="87">
        <f>VLOOKUP($B28,Raw_Data[#All],BH$2,0)/BH$1</f>
        <v>5.5769230769230766</v>
      </c>
      <c r="BI28" s="87">
        <f>VLOOKUP($B28,Raw_Data[#All],BI$2,0)/BI$1</f>
        <v>5.6142938231060828</v>
      </c>
      <c r="BJ28" s="87">
        <f>VLOOKUP($B28,Raw_Data[#All],BJ$2,0)/BJ$1</f>
        <v>5.6837625919839967</v>
      </c>
      <c r="BK28" s="87">
        <f>VLOOKUP($B28,Raw_Data[#All],BK$2,0)/BK$1</f>
        <v>5.6625834187757453</v>
      </c>
      <c r="BL28" s="87">
        <f>VLOOKUP($B28,Raw_Data[#All],BL$2,0)/BL$1</f>
        <v>5.6098846520302459</v>
      </c>
      <c r="BM28" s="87">
        <f>VLOOKUP($B28,Raw_Data[#All],BM$2,0)/BM$1</f>
        <v>5.6276226965882135</v>
      </c>
      <c r="BN28" s="87">
        <f>VLOOKUP($B28,Raw_Data[#All],BN$2,0)/BN$1</f>
        <v>5.6138888888888889</v>
      </c>
      <c r="BO28" s="87">
        <f>VLOOKUP($B28,Raw_Data[#All],BO$2,0)/BO$1</f>
        <v>5.5043492946221928</v>
      </c>
      <c r="BP28" s="87">
        <f>VLOOKUP($B28,Raw_Data[#All],BP$2,0)/BP$1</f>
        <v>5.5361222839868836</v>
      </c>
      <c r="BQ28" s="87">
        <f>VLOOKUP($B28,Raw_Data[#All],BQ$2,0)/BQ$1</f>
        <v>5.5597709871007792</v>
      </c>
      <c r="BR28" s="87">
        <f>VLOOKUP($B28,Raw_Data[#All],BR$2,0)/BR$1</f>
        <v>5.5161567315948847</v>
      </c>
      <c r="BS28" s="87">
        <f>VLOOKUP($B28,Raw_Data[#All],BS$2,0)/BS$1</f>
        <v>5.4698878843947911</v>
      </c>
      <c r="BT28" s="87">
        <f>VLOOKUP($B28,Raw_Data[#All],BT$2,0)/BT$1</f>
        <v>5.5516944795950645</v>
      </c>
      <c r="BU28" s="87">
        <f>VLOOKUP($B28,Raw_Data[#All],BU$2,0)/BU$1</f>
        <v>5.4770062959216865</v>
      </c>
      <c r="BV28" s="87">
        <f>VLOOKUP($B28,Raw_Data[#All],BV$2,0)/BV$1</f>
        <v>5.4882591258380877</v>
      </c>
      <c r="BW28" s="87">
        <f>VLOOKUP($B28,Raw_Data[#All],BW$2,0)/BW$1</f>
        <v>5.5637459048253657</v>
      </c>
      <c r="BX28" s="87">
        <f>VLOOKUP($B28,Raw_Data[#All],BX$2,0)/BX$1</f>
        <v>5.5204811809781376</v>
      </c>
      <c r="BY28" s="87">
        <f>VLOOKUP($B28,Raw_Data[#All],BY$2,0)/BY$1</f>
        <v>5.6274199760789791</v>
      </c>
      <c r="BZ28" s="87">
        <f>VLOOKUP($B28,Raw_Data[#All],BZ$2,0)/BZ$1</f>
        <v>5.5352820870062249</v>
      </c>
      <c r="CA28" s="87">
        <f>VLOOKUP($B28,Raw_Data[#All],CA$2,0)/CA$1</f>
        <v>5.5978865406006681</v>
      </c>
      <c r="CB28" s="87">
        <f>VLOOKUP($B28,Raw_Data[#All],CB$2,0)/CB$1</f>
        <v>5.6687686249467859</v>
      </c>
      <c r="CC28" s="87">
        <f>VLOOKUP($B28,Raw_Data[#All],CC$2,0)/CC$1</f>
        <v>5.6670011555069024</v>
      </c>
      <c r="CD28" s="87">
        <f>VLOOKUP($B28,Raw_Data[#All],CD$2,0)/CD$1</f>
        <v>5.631194574856548</v>
      </c>
      <c r="CE28" s="87">
        <f>VLOOKUP($B28,Raw_Data[#All],CE$2,0)/CE$1</f>
        <v>5.4676625276811137</v>
      </c>
      <c r="CF28" s="87">
        <f>VLOOKUP($B28,Raw_Data[#All],CF$2,0)/CF$1</f>
        <v>5.5400745244344085</v>
      </c>
      <c r="CG28" s="87">
        <f>VLOOKUP($B28,Raw_Data[#All],CG$2,0)/CG$1</f>
        <v>5.4549923344608571</v>
      </c>
      <c r="CH28" s="87">
        <f>VLOOKUP($B28,Raw_Data[#All],CH$2,0)/CH$1</f>
        <v>5.5091567366164007</v>
      </c>
      <c r="CI28" s="87">
        <f>VLOOKUP($B28,Raw_Data[#All],CI$2,0)/CI$1</f>
        <v>5.542154381524834</v>
      </c>
      <c r="CJ28" s="87">
        <f>VLOOKUP($B28,Raw_Data[#All],CJ$2,0)/CJ$1</f>
        <v>5.4901906844742765</v>
      </c>
      <c r="CK28" s="87">
        <f>VLOOKUP($B28,Raw_Data[#All],CK$2,0)/CK$1</f>
        <v>5.5491240904776973</v>
      </c>
      <c r="CL28" s="87">
        <f>VLOOKUP($B28,Raw_Data[#All],CL$2,0)/CL$1</f>
        <v>5.4633769418773603</v>
      </c>
      <c r="CM28" s="87">
        <f>VLOOKUP($B28,Raw_Data[#All],CM$2,0)/CM$1</f>
        <v>5.6283981025360337</v>
      </c>
      <c r="CN28" s="87">
        <f>VLOOKUP($B28,Raw_Data[#All],CN$2,0)/CN$1</f>
        <v>5.5195421080309508</v>
      </c>
      <c r="CO28" s="87">
        <f>VLOOKUP($B28,Raw_Data[#All],CO$2,0)/CO$1</f>
        <v>5.572137766242327</v>
      </c>
      <c r="CP28" s="87">
        <f>VLOOKUP($B28,Raw_Data[#All],CP$2,0)/CP$1</f>
        <v>5.5966634738186469</v>
      </c>
      <c r="CQ28" s="87">
        <f>VLOOKUP($B28,Raw_Data[#All],CQ$2,0)/CQ$1</f>
        <v>5.5642218573253057</v>
      </c>
      <c r="CR28" s="87">
        <f>VLOOKUP($B28,Raw_Data[#All],CR$2,0)/CR$1</f>
        <v>5.615421455938697</v>
      </c>
      <c r="CS28" s="87">
        <f>VLOOKUP($B28,Raw_Data[#All],CS$2,0)/CS$1</f>
        <v>5.5722182311621964</v>
      </c>
      <c r="CT28" s="87">
        <f>VLOOKUP($B28,Raw_Data[#All],CT$2,0)/CT$1</f>
        <v>5.6310969810602973</v>
      </c>
      <c r="CU28" s="87">
        <f>VLOOKUP($B28,Raw_Data[#All],CU$2,0)/CU$1</f>
        <v>5.7449808429118772</v>
      </c>
      <c r="CV28" s="87">
        <f>VLOOKUP($B28,Raw_Data[#All],CV$2,0)/CV$1</f>
        <v>5.7075351213282248</v>
      </c>
      <c r="CW28" s="87">
        <f>VLOOKUP($B28,Raw_Data[#All],CW$2,0)/CW$1</f>
        <v>5.7090355366217436</v>
      </c>
      <c r="CX28" s="87">
        <f>VLOOKUP($B28,Raw_Data[#All],CX$2,0)/CX$1</f>
        <v>5.7480533926585089</v>
      </c>
      <c r="CY28" s="87">
        <f>VLOOKUP($B28,Raw_Data[#All],CY$2,0)/CY$1</f>
        <v>5.5424737476940544</v>
      </c>
      <c r="CZ28" s="87">
        <f>VLOOKUP($B28,Raw_Data[#All],CZ$2,0)/CZ$1</f>
        <v>5.7394018044741069</v>
      </c>
      <c r="DA28" s="87">
        <f>VLOOKUP($B28,Raw_Data[#All],DA$2,0)/DA$1</f>
        <v>5.6615124977193938</v>
      </c>
      <c r="DB28" s="87">
        <f>VLOOKUP($B28,Raw_Data[#All],DB$2,0)/DB$1</f>
        <v>5.6901540549169853</v>
      </c>
      <c r="DC28" s="87">
        <f>VLOOKUP($B28,Raw_Data[#All],DC$2,0)/DC$1</f>
        <v>5.6025938517439249</v>
      </c>
      <c r="DD28" s="87">
        <f>VLOOKUP($B28,Raw_Data[#All],DD$2,0)/DD$1</f>
        <v>5.5952306178422626</v>
      </c>
      <c r="DE28" s="87">
        <f>VLOOKUP($B28,Raw_Data[#All],DE$2,0)/DE$1</f>
        <v>5.5496195564189739</v>
      </c>
      <c r="DF28" s="87">
        <f>VLOOKUP($B28,Raw_Data[#All],DF$2,0)/DF$1</f>
        <v>5.6146731321839081</v>
      </c>
      <c r="DG28" s="87">
        <f>VLOOKUP($B28,Raw_Data[#All],DG$2,0)/DG$1</f>
        <v>5.5961047254150698</v>
      </c>
      <c r="DH28" s="87">
        <f>VLOOKUP($B28,Raw_Data[#All],DH$2,0)/DH$1</f>
        <v>5.5006285919540225</v>
      </c>
      <c r="DI28" s="87">
        <f>VLOOKUP($B28,Raw_Data[#All],DI$2,0)/DI$1</f>
        <v>5.6969531107462137</v>
      </c>
      <c r="DJ28" s="87">
        <f>VLOOKUP($B28,Raw_Data[#All],DJ$2,0)/DJ$1</f>
        <v>5.5934207375478922</v>
      </c>
      <c r="DK28" s="87">
        <f>VLOOKUP($B28,Raw_Data[#All],DK$2,0)/DK$1</f>
        <v>5.6771659529179228</v>
      </c>
      <c r="DL28" s="87">
        <f>VLOOKUP($B28,Raw_Data[#All],DL$2,0)/DL$1</f>
        <v>5.6843185550082094</v>
      </c>
      <c r="DM28" s="87">
        <f>VLOOKUP($B28,Raw_Data[#All],DM$2,0)/DM$1</f>
        <v>5.5705719189016607</v>
      </c>
      <c r="DN28" s="87">
        <f>VLOOKUP($B28,Raw_Data[#All],DN$2,0)/DN$1</f>
        <v>5.7200902237053519</v>
      </c>
      <c r="DO28" s="87">
        <f>VLOOKUP($B28,Raw_Data[#All],DO$2,0)/DO$1</f>
        <v>5.7026982962419499</v>
      </c>
      <c r="DP28" s="87">
        <f>VLOOKUP($B28,Raw_Data[#All],DP$2,0)/DP$1</f>
        <v>5.6838990520389263</v>
      </c>
      <c r="DQ28" s="87">
        <f>VLOOKUP($B28,Raw_Data[#All],DQ$2,0)/DQ$1</f>
        <v>5.6651158547710274</v>
      </c>
      <c r="DR28" s="87">
        <f>VLOOKUP($B28,Raw_Data[#All],DR$2,0)/DR$1</f>
        <v>5.6441071998722858</v>
      </c>
      <c r="DS28" s="87">
        <f>VLOOKUP($B28,Raw_Data[#All],DS$2,0)/DS$1</f>
        <v>5.6193675462738115</v>
      </c>
      <c r="DT28" s="87">
        <f>VLOOKUP($B28,Raw_Data[#All],DT$2,0)/DT$1</f>
        <v>5.6337043118652312</v>
      </c>
      <c r="DU28" s="87">
        <f>VLOOKUP($B28,Raw_Data[#All],DU$2,0)/DU$1</f>
        <v>5.7296596799639383</v>
      </c>
      <c r="DV28" s="87">
        <f>VLOOKUP($B28,Raw_Data[#All],DV$2,0)/DV$1</f>
        <v>5.4990472136066</v>
      </c>
      <c r="DW28" s="87">
        <f>VLOOKUP($B28,Raw_Data[#All],DW$2,0)/DW$1</f>
        <v>5.722536741579459</v>
      </c>
      <c r="DX28" s="87">
        <f>VLOOKUP($B28,Raw_Data[#All],DX$2,0)/DX$1</f>
        <v>5.621901855098816</v>
      </c>
      <c r="DY28" s="87">
        <f>VLOOKUP($B28,Raw_Data[#All],DY$2,0)/DY$1</f>
        <v>5.6258444851648246</v>
      </c>
      <c r="DZ28" s="87">
        <f>VLOOKUP($B28,Raw_Data[#All],DZ$2,0)/DZ$1</f>
        <v>5.6609195402298846</v>
      </c>
      <c r="EA28" s="87">
        <f>VLOOKUP($B28,Raw_Data[#All],EA$2,0)/EA$1</f>
        <v>5.6493953544061304</v>
      </c>
      <c r="EB28" s="87">
        <f>VLOOKUP($B28,Raw_Data[#All],EB$2,0)/EB$1</f>
        <v>5.77147190293742</v>
      </c>
      <c r="EC28" s="87">
        <f>VLOOKUP($B28,Raw_Data[#All],EC$2,0)/EC$1</f>
        <v>5.6482738508261177</v>
      </c>
      <c r="ED28" s="87">
        <f>VLOOKUP($B28,Raw_Data[#All],ED$2,0)/ED$1</f>
        <v>5.6119238360617674</v>
      </c>
      <c r="EE28" s="87">
        <f>VLOOKUP($B28,Raw_Data[#All],EE$2,0)/EE$1</f>
        <v>5.7566036205882947</v>
      </c>
      <c r="EF28" s="87">
        <f>VLOOKUP($B28,Raw_Data[#All],EF$2,0)/EF$1</f>
        <v>5.7134875022806053</v>
      </c>
      <c r="EG28" s="87">
        <f>VLOOKUP($B28,Raw_Data[#All],EG$2,0)/EG$1</f>
        <v>4.5991977969348659</v>
      </c>
      <c r="EH28" s="87">
        <f>VLOOKUP($B28,Raw_Data[#All],EH$2,0)/EH$1</f>
        <v>0</v>
      </c>
      <c r="EI28" s="87">
        <f>VLOOKUP($B28,Raw_Data[#All],EI$2,0)/EI$1</f>
        <v>5.8601621257272596</v>
      </c>
      <c r="EJ28" s="87">
        <f>VLOOKUP($B28,Raw_Data[#All],EJ$2,0)/EJ$1</f>
        <v>5.9518291929304166</v>
      </c>
      <c r="EK28" s="87">
        <f>VLOOKUP($B28,Raw_Data[#All],EK$2,0)/EK$1</f>
        <v>5.8740421455938705</v>
      </c>
      <c r="EL28" s="87">
        <f>VLOOKUP($B28,Raw_Data[#All],EL$2,0)/EL$1</f>
        <v>6.6242980802367768</v>
      </c>
      <c r="EM28" s="87">
        <f>VLOOKUP($B28,Raw_Data[#All],EM$2,0)/EM$1</f>
        <v>5.9247567139747819</v>
      </c>
      <c r="EN28" s="87">
        <f>VLOOKUP($B28,Raw_Data[#All],EN$2,0)/EN$1</f>
        <v>6.4319163169737887</v>
      </c>
      <c r="EO28" s="87">
        <f>VLOOKUP($B28,Raw_Data[#All],EO$2,0)/EO$1</f>
        <v>5.9481261973180075</v>
      </c>
      <c r="EP28" s="87">
        <f>VLOOKUP($B28,Raw_Data[#All],EP$2,0)/EP$1</f>
        <v>6.410091395274585</v>
      </c>
      <c r="EQ28" s="87">
        <f>VLOOKUP($B28,Raw_Data[#All],EQ$2,0)/EQ$1</f>
        <v>5.9878856867862362</v>
      </c>
      <c r="ER28" s="87">
        <f>VLOOKUP($B28,Raw_Data[#All],ER$2,0)/ER$1</f>
        <v>5.9948382290336317</v>
      </c>
      <c r="ES28" s="87">
        <f>VLOOKUP($B28,Raw_Data[#All],ES$2,0)/ES$1</f>
        <v>5.9258359865450689</v>
      </c>
      <c r="ET28" s="87">
        <f>VLOOKUP($B28,Raw_Data[#All],ET$2,0)/ET$1</f>
        <v>5.9189556239094854</v>
      </c>
      <c r="EU28" s="87">
        <f>VLOOKUP($B28,Raw_Data[#All],EU$2,0)/EU$1</f>
        <v>5.905015019876604</v>
      </c>
      <c r="EV28" s="87">
        <f>VLOOKUP($B28,Raw_Data[#All],EV$2,0)/EV$1</f>
        <v>5.8155952887753655</v>
      </c>
      <c r="EW28" s="87">
        <f>VLOOKUP($B28,Raw_Data[#All],EW$2,0)/EW$1</f>
        <v>5.969079262452107</v>
      </c>
      <c r="EX28" s="87">
        <f>VLOOKUP($B28,Raw_Data[#All],EX$2,0)/EX$1</f>
        <v>5.9468368319752498</v>
      </c>
      <c r="EY28" s="87">
        <f>VLOOKUP($B28,Raw_Data[#All],EY$2,0)/EY$1</f>
        <v>5.841259634363082</v>
      </c>
      <c r="EZ28" s="87">
        <f>VLOOKUP($B28,Raw_Data[#All],EZ$2,0)/EZ$1</f>
        <v>5.8673016886618417</v>
      </c>
      <c r="FA28" s="87">
        <f>VLOOKUP($B28,Raw_Data[#All],FA$2,0)/FA$1</f>
        <v>5.9146622676316163</v>
      </c>
      <c r="FB28" s="87">
        <f>VLOOKUP($B28,Raw_Data[#All],FB$2,0)/FB$1</f>
        <v>5.8573240385979854</v>
      </c>
      <c r="FC28" s="87">
        <f>VLOOKUP($B28,Raw_Data[#All],FC$2,0)/FC$1</f>
        <v>5.9148839931885906</v>
      </c>
      <c r="FD28" s="87">
        <f>VLOOKUP($B28,Raw_Data[#All],FD$2,0)/FD$1</f>
        <v>5.9873383620689653</v>
      </c>
      <c r="FE28" s="87">
        <f>VLOOKUP($B28,Raw_Data[#All],FE$2,0)/FE$1</f>
        <v>5.8758159500496667</v>
      </c>
      <c r="FF28" s="87">
        <f>VLOOKUP($B28,Raw_Data[#All],FF$2,0)/FF$1</f>
        <v>5.9945222701149419</v>
      </c>
      <c r="FG28" s="105">
        <f>VLOOKUP($B28,Raw_Data[#All],FG$2,0)/FG$1</f>
        <v>5.4695221951091995</v>
      </c>
    </row>
    <row r="29" spans="2:163">
      <c r="B29" s="104">
        <f t="shared" si="0"/>
        <v>45852</v>
      </c>
      <c r="C29" s="87">
        <f>VLOOKUP($B29,Raw_Data[#All],C$2,0)/C$1</f>
        <v>4.8258476638949315</v>
      </c>
      <c r="D29" s="87">
        <f>VLOOKUP($B29,Raw_Data[#All],D$2,0)/D$1</f>
        <v>4.876806290986841</v>
      </c>
      <c r="E29" s="87">
        <f>VLOOKUP($B29,Raw_Data[#All],E$2,0)/E$1</f>
        <v>4.8733623200883942</v>
      </c>
      <c r="F29" s="87">
        <f>VLOOKUP($B29,Raw_Data[#All],F$2,0)/F$1</f>
        <v>4.8801441975641398</v>
      </c>
      <c r="G29" s="87">
        <f>VLOOKUP($B29,Raw_Data[#All],G$2,0)/G$1</f>
        <v>4.9180382759099022</v>
      </c>
      <c r="H29" s="87">
        <f>VLOOKUP($B29,Raw_Data[#All],H$2,0)/H$1</f>
        <v>4.9133984817828287</v>
      </c>
      <c r="I29" s="87">
        <f>VLOOKUP($B29,Raw_Data[#All],I$2,0)/I$1</f>
        <v>4.9189471015636581</v>
      </c>
      <c r="J29" s="87">
        <f>VLOOKUP($B29,Raw_Data[#All],J$2,0)/J$1</f>
        <v>4.818378649406295</v>
      </c>
      <c r="K29" s="87">
        <f>VLOOKUP($B29,Raw_Data[#All],K$2,0)/K$1</f>
        <v>4.8884775256982405</v>
      </c>
      <c r="L29" s="87">
        <f>VLOOKUP($B29,Raw_Data[#All],L$2,0)/L$1</f>
        <v>4.8412885911114056</v>
      </c>
      <c r="M29" s="87">
        <f>VLOOKUP($B29,Raw_Data[#All],M$2,0)/M$1</f>
        <v>4.8479784779256567</v>
      </c>
      <c r="N29" s="87">
        <f>VLOOKUP($B29,Raw_Data[#All],N$2,0)/N$1</f>
        <v>4.876949789774276</v>
      </c>
      <c r="O29" s="87">
        <f>VLOOKUP($B29,Raw_Data[#All],O$2,0)/O$1</f>
        <v>4.8414168698942488</v>
      </c>
      <c r="P29" s="87">
        <f>VLOOKUP($B29,Raw_Data[#All],P$2,0)/P$1</f>
        <v>4.8735536518049756</v>
      </c>
      <c r="Q29" s="87">
        <f>VLOOKUP($B29,Raw_Data[#All],Q$2,0)/Q$1</f>
        <v>4.4577419987467772</v>
      </c>
      <c r="R29" s="87">
        <f>VLOOKUP($B29,Raw_Data[#All],R$2,0)/R$1</f>
        <v>0</v>
      </c>
      <c r="S29" s="87">
        <f>VLOOKUP($B29,Raw_Data[#All],S$2,0)/S$1</f>
        <v>4.9056495472613246</v>
      </c>
      <c r="T29" s="87">
        <f>VLOOKUP($B29,Raw_Data[#All],T$2,0)/T$1</f>
        <v>4.9109590023964289</v>
      </c>
      <c r="U29" s="87">
        <f>VLOOKUP($B29,Raw_Data[#All],U$2,0)/U$1</f>
        <v>4.9594137596203982</v>
      </c>
      <c r="V29" s="87">
        <f>VLOOKUP($B29,Raw_Data[#All],V$2,0)/V$1</f>
        <v>4.9686455149453987</v>
      </c>
      <c r="W29" s="87">
        <f>VLOOKUP($B29,Raw_Data[#All],W$2,0)/W$1</f>
        <v>4.9855315440755108</v>
      </c>
      <c r="X29" s="87">
        <f>VLOOKUP($B29,Raw_Data[#All],X$2,0)/X$1</f>
        <v>4.9325954306797222</v>
      </c>
      <c r="Y29" s="87">
        <f>VLOOKUP($B29,Raw_Data[#All],Y$2,0)/Y$1</f>
        <v>5.0334157815606959</v>
      </c>
      <c r="Z29" s="87">
        <f>VLOOKUP($B29,Raw_Data[#All],Z$2,0)/Z$1</f>
        <v>4.9924329501915716</v>
      </c>
      <c r="AA29" s="87">
        <f>VLOOKUP($B29,Raw_Data[#All],AA$2,0)/AA$1</f>
        <v>4.9272030651340994</v>
      </c>
      <c r="AB29" s="87">
        <f>VLOOKUP($B29,Raw_Data[#All],AB$2,0)/AB$1</f>
        <v>4.8818196535535048</v>
      </c>
      <c r="AC29" s="87">
        <f>VLOOKUP($B29,Raw_Data[#All],AC$2,0)/AC$1</f>
        <v>4.7948605013521259</v>
      </c>
      <c r="AD29" s="87">
        <f>VLOOKUP($B29,Raw_Data[#All],AD$2,0)/AD$1</f>
        <v>4.8367153871623856</v>
      </c>
      <c r="AE29" s="87">
        <f>VLOOKUP($B29,Raw_Data[#All],AE$2,0)/AE$1</f>
        <v>5.0189678823139872</v>
      </c>
      <c r="AF29" s="87">
        <f>VLOOKUP($B29,Raw_Data[#All],AF$2,0)/AF$1</f>
        <v>5.0537835249042145</v>
      </c>
      <c r="AG29" s="87">
        <f>VLOOKUP($B29,Raw_Data[#All],AG$2,0)/AG$1</f>
        <v>5.0551918133760116</v>
      </c>
      <c r="AH29" s="87">
        <f>VLOOKUP($B29,Raw_Data[#All],AH$2,0)/AH$1</f>
        <v>5.0069060120145696</v>
      </c>
      <c r="AI29" s="87">
        <f>VLOOKUP($B29,Raw_Data[#All],AI$2,0)/AI$1</f>
        <v>5.1159709367122508</v>
      </c>
      <c r="AJ29" s="87">
        <f>VLOOKUP($B29,Raw_Data[#All],AJ$2,0)/AJ$1</f>
        <v>5.1116181401600489</v>
      </c>
      <c r="AK29" s="87">
        <f>VLOOKUP($B29,Raw_Data[#All],AK$2,0)/AK$1</f>
        <v>5.1206107308393243</v>
      </c>
      <c r="AL29" s="87">
        <f>VLOOKUP($B29,Raw_Data[#All],AL$2,0)/AL$1</f>
        <v>5.0905716513362123</v>
      </c>
      <c r="AM29" s="87">
        <f>VLOOKUP($B29,Raw_Data[#All],AM$2,0)/AM$1</f>
        <v>5.1030082129139336</v>
      </c>
      <c r="AN29" s="87">
        <f>VLOOKUP($B29,Raw_Data[#All],AN$2,0)/AN$1</f>
        <v>5.0349419547404821</v>
      </c>
      <c r="AO29" s="87">
        <f>VLOOKUP($B29,Raw_Data[#All],AO$2,0)/AO$1</f>
        <v>5.0629720512195009</v>
      </c>
      <c r="AP29" s="87">
        <f>VLOOKUP($B29,Raw_Data[#All],AP$2,0)/AP$1</f>
        <v>5.0191570881226051</v>
      </c>
      <c r="AQ29" s="87">
        <f>VLOOKUP($B29,Raw_Data[#All],AQ$2,0)/AQ$1</f>
        <v>4.9826780534966169</v>
      </c>
      <c r="AR29" s="87">
        <f>VLOOKUP($B29,Raw_Data[#All],AR$2,0)/AR$1</f>
        <v>4.9337121212121211</v>
      </c>
      <c r="AS29" s="87">
        <f>VLOOKUP($B29,Raw_Data[#All],AS$2,0)/AS$1</f>
        <v>5.0552622859295635</v>
      </c>
      <c r="AT29" s="87">
        <f>VLOOKUP($B29,Raw_Data[#All],AT$2,0)/AT$1</f>
        <v>4.960590187068223</v>
      </c>
      <c r="AU29" s="87">
        <f>VLOOKUP($B29,Raw_Data[#All],AU$2,0)/AU$1</f>
        <v>4.873951367263941</v>
      </c>
      <c r="AV29" s="87">
        <f>VLOOKUP($B29,Raw_Data[#All],AV$2,0)/AV$1</f>
        <v>4.8313930641516842</v>
      </c>
      <c r="AW29" s="87">
        <f>VLOOKUP($B29,Raw_Data[#All],AW$2,0)/AW$1</f>
        <v>5.0331236029844968</v>
      </c>
      <c r="AX29" s="87">
        <f>VLOOKUP($B29,Raw_Data[#All],AX$2,0)/AX$1</f>
        <v>5.0482060371683319</v>
      </c>
      <c r="AY29" s="87">
        <f>VLOOKUP($B29,Raw_Data[#All],AY$2,0)/AY$1</f>
        <v>4.3837550222608321</v>
      </c>
      <c r="AZ29" s="87">
        <f>VLOOKUP($B29,Raw_Data[#All],AZ$2,0)/AZ$1</f>
        <v>4.4292541203942539</v>
      </c>
      <c r="BA29" s="87">
        <f>VLOOKUP($B29,Raw_Data[#All],BA$2,0)/BA$1</f>
        <v>1.0143002302579447</v>
      </c>
      <c r="BB29" s="87">
        <f>VLOOKUP($B29,Raw_Data[#All],BB$2,0)/BB$1</f>
        <v>1.0438118614303959</v>
      </c>
      <c r="BC29" s="87">
        <f>VLOOKUP($B29,Raw_Data[#All],BC$2,0)/BC$1</f>
        <v>4.480645045239509</v>
      </c>
      <c r="BD29" s="87">
        <f>VLOOKUP($B29,Raw_Data[#All],BD$2,0)/BD$1</f>
        <v>4.5090570742350069</v>
      </c>
      <c r="BE29" s="87">
        <f>VLOOKUP($B29,Raw_Data[#All],BE$2,0)/BE$1</f>
        <v>4.4884697713740946</v>
      </c>
      <c r="BF29" s="87">
        <f>VLOOKUP($B29,Raw_Data[#All],BF$2,0)/BF$1</f>
        <v>4.4666121583496556</v>
      </c>
      <c r="BG29" s="87">
        <f>VLOOKUP($B29,Raw_Data[#All],BG$2,0)/BG$1</f>
        <v>4.8361004682843758</v>
      </c>
      <c r="BH29" s="87">
        <f>VLOOKUP($B29,Raw_Data[#All],BH$2,0)/BH$1</f>
        <v>4.8245583132233003</v>
      </c>
      <c r="BI29" s="87">
        <f>VLOOKUP($B29,Raw_Data[#All],BI$2,0)/BI$1</f>
        <v>4.7769567597153806</v>
      </c>
      <c r="BJ29" s="87">
        <f>VLOOKUP($B29,Raw_Data[#All],BJ$2,0)/BJ$1</f>
        <v>4.816835750517968</v>
      </c>
      <c r="BK29" s="87">
        <f>VLOOKUP($B29,Raw_Data[#All],BK$2,0)/BK$1</f>
        <v>4.7863490007734795</v>
      </c>
      <c r="BL29" s="87">
        <f>VLOOKUP($B29,Raw_Data[#All],BL$2,0)/BL$1</f>
        <v>4.7766526789515291</v>
      </c>
      <c r="BM29" s="87">
        <f>VLOOKUP($B29,Raw_Data[#All],BM$2,0)/BM$1</f>
        <v>4.77061667578909</v>
      </c>
      <c r="BN29" s="87">
        <f>VLOOKUP($B29,Raw_Data[#All],BN$2,0)/BN$1</f>
        <v>4.7631226053639848</v>
      </c>
      <c r="BO29" s="87">
        <f>VLOOKUP($B29,Raw_Data[#All],BO$2,0)/BO$1</f>
        <v>4.6927188264872868</v>
      </c>
      <c r="BP29" s="87">
        <f>VLOOKUP($B29,Raw_Data[#All],BP$2,0)/BP$1</f>
        <v>4.8546019694390461</v>
      </c>
      <c r="BQ29" s="87">
        <f>VLOOKUP($B29,Raw_Data[#All],BQ$2,0)/BQ$1</f>
        <v>4.87725165492028</v>
      </c>
      <c r="BR29" s="87">
        <f>VLOOKUP($B29,Raw_Data[#All],BR$2,0)/BR$1</f>
        <v>4.8142540787273473</v>
      </c>
      <c r="BS29" s="87">
        <f>VLOOKUP($B29,Raw_Data[#All],BS$2,0)/BS$1</f>
        <v>4.7893712120879171</v>
      </c>
      <c r="BT29" s="87">
        <f>VLOOKUP($B29,Raw_Data[#All],BT$2,0)/BT$1</f>
        <v>4.9011388801012341</v>
      </c>
      <c r="BU29" s="87">
        <f>VLOOKUP($B29,Raw_Data[#All],BU$2,0)/BU$1</f>
        <v>4.695608004241838</v>
      </c>
      <c r="BV29" s="87">
        <f>VLOOKUP($B29,Raw_Data[#All],BV$2,0)/BV$1</f>
        <v>4.8628445469481889</v>
      </c>
      <c r="BW29" s="87">
        <f>VLOOKUP($B29,Raw_Data[#All],BW$2,0)/BW$1</f>
        <v>4.8384603994299145</v>
      </c>
      <c r="BX29" s="87">
        <f>VLOOKUP($B29,Raw_Data[#All],BX$2,0)/BX$1</f>
        <v>4.8624727668845313</v>
      </c>
      <c r="BY29" s="87">
        <f>VLOOKUP($B29,Raw_Data[#All],BY$2,0)/BY$1</f>
        <v>4.8948387358349041</v>
      </c>
      <c r="BZ29" s="87">
        <f>VLOOKUP($B29,Raw_Data[#All],BZ$2,0)/BZ$1</f>
        <v>4.8254427564772389</v>
      </c>
      <c r="CA29" s="87">
        <f>VLOOKUP($B29,Raw_Data[#All],CA$2,0)/CA$1</f>
        <v>4.8902587236847532</v>
      </c>
      <c r="CB29" s="87">
        <f>VLOOKUP($B29,Raw_Data[#All],CB$2,0)/CB$1</f>
        <v>4.8249698453242518</v>
      </c>
      <c r="CC29" s="87">
        <f>VLOOKUP($B29,Raw_Data[#All],CC$2,0)/CC$1</f>
        <v>4.8579942832816396</v>
      </c>
      <c r="CD29" s="87">
        <f>VLOOKUP($B29,Raw_Data[#All],CD$2,0)/CD$1</f>
        <v>4.8021333621139357</v>
      </c>
      <c r="CE29" s="87">
        <f>VLOOKUP($B29,Raw_Data[#All],CE$2,0)/CE$1</f>
        <v>4.9010894495412849</v>
      </c>
      <c r="CF29" s="87">
        <f>VLOOKUP($B29,Raw_Data[#All],CF$2,0)/CF$1</f>
        <v>4.8546500378995683</v>
      </c>
      <c r="CG29" s="87">
        <f>VLOOKUP($B29,Raw_Data[#All],CG$2,0)/CG$1</f>
        <v>4.7718102839899732</v>
      </c>
      <c r="CH29" s="87">
        <f>VLOOKUP($B29,Raw_Data[#All],CH$2,0)/CH$1</f>
        <v>4.7878220675594925</v>
      </c>
      <c r="CI29" s="87">
        <f>VLOOKUP($B29,Raw_Data[#All],CI$2,0)/CI$1</f>
        <v>4.836631999367289</v>
      </c>
      <c r="CJ29" s="87">
        <f>VLOOKUP($B29,Raw_Data[#All],CJ$2,0)/CJ$1</f>
        <v>4.7568417626049362</v>
      </c>
      <c r="CK29" s="87">
        <f>VLOOKUP($B29,Raw_Data[#All],CK$2,0)/CK$1</f>
        <v>4.8472101391964575</v>
      </c>
      <c r="CL29" s="87">
        <f>VLOOKUP($B29,Raw_Data[#All],CL$2,0)/CL$1</f>
        <v>4.7826805116561637</v>
      </c>
      <c r="CM29" s="87">
        <f>VLOOKUP($B29,Raw_Data[#All],CM$2,0)/CM$1</f>
        <v>4.8631180441525261</v>
      </c>
      <c r="CN29" s="87">
        <f>VLOOKUP($B29,Raw_Data[#All],CN$2,0)/CN$1</f>
        <v>4.8032642175644193</v>
      </c>
      <c r="CO29" s="87">
        <f>VLOOKUP($B29,Raw_Data[#All],CO$2,0)/CO$1</f>
        <v>4.8887652947719697</v>
      </c>
      <c r="CP29" s="87">
        <f>VLOOKUP($B29,Raw_Data[#All],CP$2,0)/CP$1</f>
        <v>4.8652352064708388</v>
      </c>
      <c r="CQ29" s="87">
        <f>VLOOKUP($B29,Raw_Data[#All],CQ$2,0)/CQ$1</f>
        <v>4.876026272577997</v>
      </c>
      <c r="CR29" s="87">
        <f>VLOOKUP($B29,Raw_Data[#All],CR$2,0)/CR$1</f>
        <v>4.9759039750957852</v>
      </c>
      <c r="CS29" s="87">
        <f>VLOOKUP($B29,Raw_Data[#All],CS$2,0)/CS$1</f>
        <v>4.93165309706258</v>
      </c>
      <c r="CT29" s="87">
        <f>VLOOKUP($B29,Raw_Data[#All],CT$2,0)/CT$1</f>
        <v>4.8851933371375775</v>
      </c>
      <c r="CU29" s="87">
        <f>VLOOKUP($B29,Raw_Data[#All],CU$2,0)/CU$1</f>
        <v>4.9501915708812261</v>
      </c>
      <c r="CV29" s="87">
        <f>VLOOKUP($B29,Raw_Data[#All],CV$2,0)/CV$1</f>
        <v>4.8978288633461045</v>
      </c>
      <c r="CW29" s="87">
        <f>VLOOKUP($B29,Raw_Data[#All],CW$2,0)/CW$1</f>
        <v>4.8527717493234732</v>
      </c>
      <c r="CX29" s="87">
        <f>VLOOKUP($B29,Raw_Data[#All],CX$2,0)/CX$1</f>
        <v>4.9527252502780872</v>
      </c>
      <c r="CY29" s="87">
        <f>VLOOKUP($B29,Raw_Data[#All],CY$2,0)/CY$1</f>
        <v>4.7343284376330352</v>
      </c>
      <c r="CZ29" s="87">
        <f>VLOOKUP($B29,Raw_Data[#All],CZ$2,0)/CZ$1</f>
        <v>4.9517467968524702</v>
      </c>
      <c r="DA29" s="87">
        <f>VLOOKUP($B29,Raw_Data[#All],DA$2,0)/DA$1</f>
        <v>4.8558657179346829</v>
      </c>
      <c r="DB29" s="87">
        <f>VLOOKUP($B29,Raw_Data[#All],DB$2,0)/DB$1</f>
        <v>4.9076069604086845</v>
      </c>
      <c r="DC29" s="87">
        <f>VLOOKUP($B29,Raw_Data[#All],DC$2,0)/DC$1</f>
        <v>4.7852697282031915</v>
      </c>
      <c r="DD29" s="87">
        <f>VLOOKUP($B29,Raw_Data[#All],DD$2,0)/DD$1</f>
        <v>4.8763687373071205</v>
      </c>
      <c r="DE29" s="87">
        <f>VLOOKUP($B29,Raw_Data[#All],DE$2,0)/DE$1</f>
        <v>4.8055510585865138</v>
      </c>
      <c r="DF29" s="87">
        <f>VLOOKUP($B29,Raw_Data[#All],DF$2,0)/DF$1</f>
        <v>4.8503851372924647</v>
      </c>
      <c r="DG29" s="87">
        <f>VLOOKUP($B29,Raw_Data[#All],DG$2,0)/DG$1</f>
        <v>4.8253056011676696</v>
      </c>
      <c r="DH29" s="87">
        <f>VLOOKUP($B29,Raw_Data[#All],DH$2,0)/DH$1</f>
        <v>4.7091515006385691</v>
      </c>
      <c r="DI29" s="87">
        <f>VLOOKUP($B29,Raw_Data[#All],DI$2,0)/DI$1</f>
        <v>4.9099616858237551</v>
      </c>
      <c r="DJ29" s="87">
        <f>VLOOKUP($B29,Raw_Data[#All],DJ$2,0)/DJ$1</f>
        <v>4.9069085249042139</v>
      </c>
      <c r="DK29" s="87">
        <f>VLOOKUP($B29,Raw_Data[#All],DK$2,0)/DK$1</f>
        <v>4.9001849834021733</v>
      </c>
      <c r="DL29" s="87">
        <f>VLOOKUP($B29,Raw_Data[#All],DL$2,0)/DL$1</f>
        <v>4.8619777412880856</v>
      </c>
      <c r="DM29" s="87">
        <f>VLOOKUP($B29,Raw_Data[#All],DM$2,0)/DM$1</f>
        <v>4.798750798212005</v>
      </c>
      <c r="DN29" s="87">
        <f>VLOOKUP($B29,Raw_Data[#All],DN$2,0)/DN$1</f>
        <v>4.9175009269558769</v>
      </c>
      <c r="DO29" s="87">
        <f>VLOOKUP($B29,Raw_Data[#All],DO$2,0)/DO$1</f>
        <v>4.790992998378667</v>
      </c>
      <c r="DP29" s="87">
        <f>VLOOKUP($B29,Raw_Data[#All],DP$2,0)/DP$1</f>
        <v>4.8648660802619039</v>
      </c>
      <c r="DQ29" s="87">
        <f>VLOOKUP($B29,Raw_Data[#All],DQ$2,0)/DQ$1</f>
        <v>4.7748586024448088</v>
      </c>
      <c r="DR29" s="87">
        <f>VLOOKUP($B29,Raw_Data[#All],DR$2,0)/DR$1</f>
        <v>4.8353687739463602</v>
      </c>
      <c r="DS29" s="87">
        <f>VLOOKUP($B29,Raw_Data[#All],DS$2,0)/DS$1</f>
        <v>4.872600867015632</v>
      </c>
      <c r="DT29" s="87">
        <f>VLOOKUP($B29,Raw_Data[#All],DT$2,0)/DT$1</f>
        <v>4.9496239534553705</v>
      </c>
      <c r="DU29" s="87">
        <f>VLOOKUP($B29,Raw_Data[#All],DU$2,0)/DU$1</f>
        <v>4.944453835173916</v>
      </c>
      <c r="DV29" s="87">
        <f>VLOOKUP($B29,Raw_Data[#All],DV$2,0)/DV$1</f>
        <v>4.937511403028644</v>
      </c>
      <c r="DW29" s="87">
        <f>VLOOKUP($B29,Raw_Data[#All],DW$2,0)/DW$1</f>
        <v>4.9973790053563603</v>
      </c>
      <c r="DX29" s="87">
        <f>VLOOKUP($B29,Raw_Data[#All],DX$2,0)/DX$1</f>
        <v>4.9464792086066192</v>
      </c>
      <c r="DY29" s="87">
        <f>VLOOKUP($B29,Raw_Data[#All],DY$2,0)/DY$1</f>
        <v>4.9126362744553651</v>
      </c>
      <c r="DZ29" s="87">
        <f>VLOOKUP($B29,Raw_Data[#All],DZ$2,0)/DZ$1</f>
        <v>4.9792718279308312</v>
      </c>
      <c r="EA29" s="87">
        <f>VLOOKUP($B29,Raw_Data[#All],EA$2,0)/EA$1</f>
        <v>4.9346463920817367</v>
      </c>
      <c r="EB29" s="87">
        <f>VLOOKUP($B29,Raw_Data[#All],EB$2,0)/EB$1</f>
        <v>5.0282367496807154</v>
      </c>
      <c r="EC29" s="87">
        <f>VLOOKUP($B29,Raw_Data[#All],EC$2,0)/EC$1</f>
        <v>4.9937148661015076</v>
      </c>
      <c r="ED29" s="87">
        <f>VLOOKUP($B29,Raw_Data[#All],ED$2,0)/ED$1</f>
        <v>4.9790433066295137</v>
      </c>
      <c r="EE29" s="87">
        <f>VLOOKUP($B29,Raw_Data[#All],EE$2,0)/EE$1</f>
        <v>5.0152547183198521</v>
      </c>
      <c r="EF29" s="87">
        <f>VLOOKUP($B29,Raw_Data[#All],EF$2,0)/EF$1</f>
        <v>5.0161352855318366</v>
      </c>
      <c r="EG29" s="87">
        <f>VLOOKUP($B29,Raw_Data[#All],EG$2,0)/EG$1</f>
        <v>4.8621587643678161</v>
      </c>
      <c r="EH29" s="87">
        <f>VLOOKUP($B29,Raw_Data[#All],EH$2,0)/EH$1</f>
        <v>4.8321759259259256</v>
      </c>
      <c r="EI29" s="87">
        <f>VLOOKUP($B29,Raw_Data[#All],EI$2,0)/EI$1</f>
        <v>4.9865634312473395</v>
      </c>
      <c r="EJ29" s="87">
        <f>VLOOKUP($B29,Raw_Data[#All],EJ$2,0)/EJ$1</f>
        <v>5.1516087834219091</v>
      </c>
      <c r="EK29" s="87">
        <f>VLOOKUP($B29,Raw_Data[#All],EK$2,0)/EK$1</f>
        <v>5.0628813679579965</v>
      </c>
      <c r="EL29" s="87">
        <f>VLOOKUP($B29,Raw_Data[#All],EL$2,0)/EL$1</f>
        <v>5.7390176164122524</v>
      </c>
      <c r="EM29" s="87">
        <f>VLOOKUP($B29,Raw_Data[#All],EM$2,0)/EM$1</f>
        <v>5.1351788894285262</v>
      </c>
      <c r="EN29" s="87">
        <f>VLOOKUP($B29,Raw_Data[#All],EN$2,0)/EN$1</f>
        <v>5.5501327819335478</v>
      </c>
      <c r="EO29" s="87">
        <f>VLOOKUP($B29,Raw_Data[#All],EO$2,0)/EO$1</f>
        <v>5.1500139687100894</v>
      </c>
      <c r="EP29" s="87">
        <f>VLOOKUP($B29,Raw_Data[#All],EP$2,0)/EP$1</f>
        <v>5.5831936462324387</v>
      </c>
      <c r="EQ29" s="87">
        <f>VLOOKUP($B29,Raw_Data[#All],EQ$2,0)/EQ$1</f>
        <v>4.9608991800396094</v>
      </c>
      <c r="ER29" s="87">
        <f>VLOOKUP($B29,Raw_Data[#All],ER$2,0)/ER$1</f>
        <v>4.9681158649070527</v>
      </c>
      <c r="ES29" s="87">
        <f>VLOOKUP($B29,Raw_Data[#All],ES$2,0)/ES$1</f>
        <v>4.8394582051697164</v>
      </c>
      <c r="ET29" s="87">
        <f>VLOOKUP($B29,Raw_Data[#All],ET$2,0)/ET$1</f>
        <v>4.8944111668735273</v>
      </c>
      <c r="EU29" s="87">
        <f>VLOOKUP($B29,Raw_Data[#All],EU$2,0)/EU$1</f>
        <v>4.9197740722752874</v>
      </c>
      <c r="EV29" s="87">
        <f>VLOOKUP($B29,Raw_Data[#All],EV$2,0)/EV$1</f>
        <v>4.9128618561089832</v>
      </c>
      <c r="EW29" s="87">
        <f>VLOOKUP($B29,Raw_Data[#All],EW$2,0)/EW$1</f>
        <v>5.0963840996168583</v>
      </c>
      <c r="EX29" s="87">
        <f>VLOOKUP($B29,Raw_Data[#All],EX$2,0)/EX$1</f>
        <v>5.0134009677477387</v>
      </c>
      <c r="EY29" s="87">
        <f>VLOOKUP($B29,Raw_Data[#All],EY$2,0)/EY$1</f>
        <v>4.8892550616688544</v>
      </c>
      <c r="EZ29" s="87">
        <f>VLOOKUP($B29,Raw_Data[#All],EZ$2,0)/EZ$1</f>
        <v>4.8860774088264511</v>
      </c>
      <c r="FA29" s="87">
        <f>VLOOKUP($B29,Raw_Data[#All],FA$2,0)/FA$1</f>
        <v>4.9326841209025112</v>
      </c>
      <c r="FB29" s="87">
        <f>VLOOKUP($B29,Raw_Data[#All],FB$2,0)/FB$1</f>
        <v>4.8941925642117212</v>
      </c>
      <c r="FC29" s="87">
        <f>VLOOKUP($B29,Raw_Data[#All],FC$2,0)/FC$1</f>
        <v>4.9118862636582943</v>
      </c>
      <c r="FD29" s="87">
        <f>VLOOKUP($B29,Raw_Data[#All],FD$2,0)/FD$1</f>
        <v>4.9791467113665391</v>
      </c>
      <c r="FE29" s="87">
        <f>VLOOKUP($B29,Raw_Data[#All],FE$2,0)/FE$1</f>
        <v>4.7684741734071237</v>
      </c>
      <c r="FF29" s="87">
        <f>VLOOKUP($B29,Raw_Data[#All],FF$2,0)/FF$1</f>
        <v>4.9211266762452102</v>
      </c>
      <c r="FG29" s="105">
        <f>VLOOKUP($B29,Raw_Data[#All],FG$2,0)/FG$1</f>
        <v>4.8186511102805296</v>
      </c>
    </row>
    <row r="30" spans="2:163">
      <c r="B30" s="104">
        <f t="shared" si="0"/>
        <v>45853</v>
      </c>
      <c r="C30" s="87">
        <f>VLOOKUP($B30,Raw_Data[#All],C$2,0)/C$1</f>
        <v>5.5362660070137792</v>
      </c>
      <c r="D30" s="87">
        <f>VLOOKUP($B30,Raw_Data[#All],D$2,0)/D$1</f>
        <v>5.6292182664389818</v>
      </c>
      <c r="E30" s="87">
        <f>VLOOKUP($B30,Raw_Data[#All],E$2,0)/E$1</f>
        <v>5.5694749379367741</v>
      </c>
      <c r="F30" s="87">
        <f>VLOOKUP($B30,Raw_Data[#All],F$2,0)/F$1</f>
        <v>5.5564192221706161</v>
      </c>
      <c r="G30" s="87">
        <f>VLOOKUP($B30,Raw_Data[#All],G$2,0)/G$1</f>
        <v>5.6258699613988261</v>
      </c>
      <c r="H30" s="87">
        <f>VLOOKUP($B30,Raw_Data[#All],H$2,0)/H$1</f>
        <v>5.6507430845542688</v>
      </c>
      <c r="I30" s="87">
        <f>VLOOKUP($B30,Raw_Data[#All],I$2,0)/I$1</f>
        <v>5.7064206140791436</v>
      </c>
      <c r="J30" s="87">
        <f>VLOOKUP($B30,Raw_Data[#All],J$2,0)/J$1</f>
        <v>5.5703899537343027</v>
      </c>
      <c r="K30" s="87">
        <f>VLOOKUP($B30,Raw_Data[#All],K$2,0)/K$1</f>
        <v>5.6490210991050454</v>
      </c>
      <c r="L30" s="87">
        <f>VLOOKUP($B30,Raw_Data[#All],L$2,0)/L$1</f>
        <v>5.587926782018692</v>
      </c>
      <c r="M30" s="87">
        <f>VLOOKUP($B30,Raw_Data[#All],M$2,0)/M$1</f>
        <v>5.5527389245524441</v>
      </c>
      <c r="N30" s="87">
        <f>VLOOKUP($B30,Raw_Data[#All],N$2,0)/N$1</f>
        <v>5.6172122012235661</v>
      </c>
      <c r="O30" s="87">
        <f>VLOOKUP($B30,Raw_Data[#All],O$2,0)/O$1</f>
        <v>5.5605253660830476</v>
      </c>
      <c r="P30" s="87">
        <f>VLOOKUP($B30,Raw_Data[#All],P$2,0)/P$1</f>
        <v>5.6073107848905339</v>
      </c>
      <c r="Q30" s="87">
        <f>VLOOKUP($B30,Raw_Data[#All],Q$2,0)/Q$1</f>
        <v>5.6318490775419612</v>
      </c>
      <c r="R30" s="87">
        <f>VLOOKUP($B30,Raw_Data[#All],R$2,0)/R$1</f>
        <v>5.6364410387398891</v>
      </c>
      <c r="S30" s="87">
        <f>VLOOKUP($B30,Raw_Data[#All],S$2,0)/S$1</f>
        <v>5.593295736651025</v>
      </c>
      <c r="T30" s="87">
        <f>VLOOKUP($B30,Raw_Data[#All],T$2,0)/T$1</f>
        <v>5.5747843930718783</v>
      </c>
      <c r="U30" s="87">
        <f>VLOOKUP($B30,Raw_Data[#All],U$2,0)/U$1</f>
        <v>5.6001836784479169</v>
      </c>
      <c r="V30" s="87">
        <f>VLOOKUP($B30,Raw_Data[#All],V$2,0)/V$1</f>
        <v>5.6287877700766762</v>
      </c>
      <c r="W30" s="87">
        <f>VLOOKUP($B30,Raw_Data[#All],W$2,0)/W$1</f>
        <v>5.5673955358538292</v>
      </c>
      <c r="X30" s="87">
        <f>VLOOKUP($B30,Raw_Data[#All],X$2,0)/X$1</f>
        <v>5.5433517808996742</v>
      </c>
      <c r="Y30" s="87">
        <f>VLOOKUP($B30,Raw_Data[#All],Y$2,0)/Y$1</f>
        <v>5.6043940055288815</v>
      </c>
      <c r="Z30" s="87">
        <f>VLOOKUP($B30,Raw_Data[#All],Z$2,0)/Z$1</f>
        <v>5.5705938697318009</v>
      </c>
      <c r="AA30" s="87">
        <f>VLOOKUP($B30,Raw_Data[#All],AA$2,0)/AA$1</f>
        <v>5.5159961685823751</v>
      </c>
      <c r="AB30" s="87">
        <f>VLOOKUP($B30,Raw_Data[#All],AB$2,0)/AB$1</f>
        <v>5.444552371701473</v>
      </c>
      <c r="AC30" s="87">
        <f>VLOOKUP($B30,Raw_Data[#All],AC$2,0)/AC$1</f>
        <v>5.4137125915822484</v>
      </c>
      <c r="AD30" s="87">
        <f>VLOOKUP($B30,Raw_Data[#All],AD$2,0)/AD$1</f>
        <v>5.4393358876117492</v>
      </c>
      <c r="AE30" s="87">
        <f>VLOOKUP($B30,Raw_Data[#All],AE$2,0)/AE$1</f>
        <v>5.6319474007852044</v>
      </c>
      <c r="AF30" s="87">
        <f>VLOOKUP($B30,Raw_Data[#All],AF$2,0)/AF$1</f>
        <v>5.6318965517241377</v>
      </c>
      <c r="AG30" s="87">
        <f>VLOOKUP($B30,Raw_Data[#All],AG$2,0)/AG$1</f>
        <v>5.5516756389737623</v>
      </c>
      <c r="AH30" s="87">
        <f>VLOOKUP($B30,Raw_Data[#All],AH$2,0)/AH$1</f>
        <v>5.5743815335130789</v>
      </c>
      <c r="AI30" s="87">
        <f>VLOOKUP($B30,Raw_Data[#All],AI$2,0)/AI$1</f>
        <v>5.5834421532471374</v>
      </c>
      <c r="AJ30" s="87">
        <f>VLOOKUP($B30,Raw_Data[#All],AJ$2,0)/AJ$1</f>
        <v>5.5824854946642359</v>
      </c>
      <c r="AK30" s="87">
        <f>VLOOKUP($B30,Raw_Data[#All],AK$2,0)/AK$1</f>
        <v>5.6654277938018094</v>
      </c>
      <c r="AL30" s="87">
        <f>VLOOKUP($B30,Raw_Data[#All],AL$2,0)/AL$1</f>
        <v>5.5875079522244695</v>
      </c>
      <c r="AM30" s="87">
        <f>VLOOKUP($B30,Raw_Data[#All],AM$2,0)/AM$1</f>
        <v>5.6412243316543975</v>
      </c>
      <c r="AN30" s="87">
        <f>VLOOKUP($B30,Raw_Data[#All],AN$2,0)/AN$1</f>
        <v>5.5394836913628076</v>
      </c>
      <c r="AO30" s="87">
        <f>VLOOKUP($B30,Raw_Data[#All],AO$2,0)/AO$1</f>
        <v>5.57291890883522</v>
      </c>
      <c r="AP30" s="87">
        <f>VLOOKUP($B30,Raw_Data[#All],AP$2,0)/AP$1</f>
        <v>5.5288647810925999</v>
      </c>
      <c r="AQ30" s="87">
        <f>VLOOKUP($B30,Raw_Data[#All],AQ$2,0)/AQ$1</f>
        <v>5.4966519855337133</v>
      </c>
      <c r="AR30" s="87">
        <f>VLOOKUP($B30,Raw_Data[#All],AR$2,0)/AR$1</f>
        <v>5.4391795311606623</v>
      </c>
      <c r="AS30" s="87">
        <f>VLOOKUP($B30,Raw_Data[#All],AS$2,0)/AS$1</f>
        <v>5.5604980187279001</v>
      </c>
      <c r="AT30" s="87">
        <f>VLOOKUP($B30,Raw_Data[#All],AT$2,0)/AT$1</f>
        <v>5.5273769810966868</v>
      </c>
      <c r="AU30" s="87">
        <f>VLOOKUP($B30,Raw_Data[#All],AU$2,0)/AU$1</f>
        <v>5.3835911310769653</v>
      </c>
      <c r="AV30" s="87">
        <f>VLOOKUP($B30,Raw_Data[#All],AV$2,0)/AV$1</f>
        <v>5.3037708353800301</v>
      </c>
      <c r="AW30" s="87">
        <f>VLOOKUP($B30,Raw_Data[#All],AW$2,0)/AW$1</f>
        <v>5.5675087362659594</v>
      </c>
      <c r="AX30" s="87">
        <f>VLOOKUP($B30,Raw_Data[#All],AX$2,0)/AX$1</f>
        <v>5.5919898306298563</v>
      </c>
      <c r="AY30" s="87">
        <f>VLOOKUP($B30,Raw_Data[#All],AY$2,0)/AY$1</f>
        <v>5.3810131393202303</v>
      </c>
      <c r="AZ30" s="87">
        <f>VLOOKUP($B30,Raw_Data[#All],AZ$2,0)/AZ$1</f>
        <v>5.4442604107270531</v>
      </c>
      <c r="BA30" s="87">
        <f>VLOOKUP($B30,Raw_Data[#All],BA$2,0)/BA$1</f>
        <v>5.5104361849894197</v>
      </c>
      <c r="BB30" s="87">
        <f>VLOOKUP($B30,Raw_Data[#All],BB$2,0)/BB$1</f>
        <v>5.5776061621966795</v>
      </c>
      <c r="BC30" s="87">
        <f>VLOOKUP($B30,Raw_Data[#All],BC$2,0)/BC$1</f>
        <v>5.4906193225765838</v>
      </c>
      <c r="BD30" s="87">
        <f>VLOOKUP($B30,Raw_Data[#All],BD$2,0)/BD$1</f>
        <v>5.5209192747006943</v>
      </c>
      <c r="BE30" s="87">
        <f>VLOOKUP($B30,Raw_Data[#All],BE$2,0)/BE$1</f>
        <v>5.4973198064504532</v>
      </c>
      <c r="BF30" s="87">
        <f>VLOOKUP($B30,Raw_Data[#All],BF$2,0)/BF$1</f>
        <v>5.4710776473970775</v>
      </c>
      <c r="BG30" s="87">
        <f>VLOOKUP($B30,Raw_Data[#All],BG$2,0)/BG$1</f>
        <v>5.4713251839688617</v>
      </c>
      <c r="BH30" s="87">
        <f>VLOOKUP($B30,Raw_Data[#All],BH$2,0)/BH$1</f>
        <v>5.4946627679625157</v>
      </c>
      <c r="BI30" s="87">
        <f>VLOOKUP($B30,Raw_Data[#All],BI$2,0)/BI$1</f>
        <v>5.4449208376411447</v>
      </c>
      <c r="BJ30" s="87">
        <f>VLOOKUP($B30,Raw_Data[#All],BJ$2,0)/BJ$1</f>
        <v>5.5084571693934414</v>
      </c>
      <c r="BK30" s="87">
        <f>VLOOKUP($B30,Raw_Data[#All],BK$2,0)/BK$1</f>
        <v>5.4837389599410002</v>
      </c>
      <c r="BL30" s="87">
        <f>VLOOKUP($B30,Raw_Data[#All],BL$2,0)/BL$1</f>
        <v>5.4322508058140242</v>
      </c>
      <c r="BM30" s="87">
        <f>VLOOKUP($B30,Raw_Data[#All],BM$2,0)/BM$1</f>
        <v>5.4656996898376207</v>
      </c>
      <c r="BN30" s="87">
        <f>VLOOKUP($B30,Raw_Data[#All],BN$2,0)/BN$1</f>
        <v>5.4554118773946358</v>
      </c>
      <c r="BO30" s="87">
        <f>VLOOKUP($B30,Raw_Data[#All],BO$2,0)/BO$1</f>
        <v>5.3971689743181113</v>
      </c>
      <c r="BP30" s="87">
        <f>VLOOKUP($B30,Raw_Data[#All],BP$2,0)/BP$1</f>
        <v>5.4094796201724389</v>
      </c>
      <c r="BQ30" s="87">
        <f>VLOOKUP($B30,Raw_Data[#All],BQ$2,0)/BQ$1</f>
        <v>5.4681467985052787</v>
      </c>
      <c r="BR30" s="87">
        <f>VLOOKUP($B30,Raw_Data[#All],BR$2,0)/BR$1</f>
        <v>5.37949111944683</v>
      </c>
      <c r="BS30" s="87">
        <f>VLOOKUP($B30,Raw_Data[#All],BS$2,0)/BS$1</f>
        <v>5.4245318261526903</v>
      </c>
      <c r="BT30" s="87">
        <f>VLOOKUP($B30,Raw_Data[#All],BT$2,0)/BT$1</f>
        <v>5.447099414742171</v>
      </c>
      <c r="BU30" s="87">
        <f>VLOOKUP($B30,Raw_Data[#All],BU$2,0)/BU$1</f>
        <v>5.4207752048513793</v>
      </c>
      <c r="BV30" s="87">
        <f>VLOOKUP($B30,Raw_Data[#All],BV$2,0)/BV$1</f>
        <v>5.4034043942811083</v>
      </c>
      <c r="BW30" s="87">
        <f>VLOOKUP($B30,Raw_Data[#All],BW$2,0)/BW$1</f>
        <v>5.4636570603587096</v>
      </c>
      <c r="BX30" s="87">
        <f>VLOOKUP($B30,Raw_Data[#All],BX$2,0)/BX$1</f>
        <v>5.4498159417023508</v>
      </c>
      <c r="BY30" s="87">
        <f>VLOOKUP($B30,Raw_Data[#All],BY$2,0)/BY$1</f>
        <v>5.5160250562549411</v>
      </c>
      <c r="BZ30" s="87">
        <f>VLOOKUP($B30,Raw_Data[#All],BZ$2,0)/BZ$1</f>
        <v>5.4506157954433814</v>
      </c>
      <c r="CA30" s="87">
        <f>VLOOKUP($B30,Raw_Data[#All],CA$2,0)/CA$1</f>
        <v>5.5177048572487948</v>
      </c>
      <c r="CB30" s="87">
        <f>VLOOKUP($B30,Raw_Data[#All],CB$2,0)/CB$1</f>
        <v>5.4935610898254579</v>
      </c>
      <c r="CC30" s="87">
        <f>VLOOKUP($B30,Raw_Data[#All],CC$2,0)/CC$1</f>
        <v>5.5213971497496397</v>
      </c>
      <c r="CD30" s="87">
        <f>VLOOKUP($B30,Raw_Data[#All],CD$2,0)/CD$1</f>
        <v>5.4706977497166909</v>
      </c>
      <c r="CE30" s="87">
        <f>VLOOKUP($B30,Raw_Data[#All],CE$2,0)/CE$1</f>
        <v>5.3942581461562797</v>
      </c>
      <c r="CF30" s="87">
        <f>VLOOKUP($B30,Raw_Data[#All],CF$2,0)/CF$1</f>
        <v>5.4142889335539781</v>
      </c>
      <c r="CG30" s="87">
        <f>VLOOKUP($B30,Raw_Data[#All],CG$2,0)/CG$1</f>
        <v>5.2726741780838582</v>
      </c>
      <c r="CH30" s="87">
        <f>VLOOKUP($B30,Raw_Data[#All],CH$2,0)/CH$1</f>
        <v>5.3551530809518786</v>
      </c>
      <c r="CI30" s="87">
        <f>VLOOKUP($B30,Raw_Data[#All],CI$2,0)/CI$1</f>
        <v>5.3710257829800696</v>
      </c>
      <c r="CJ30" s="87">
        <f>VLOOKUP($B30,Raw_Data[#All],CJ$2,0)/CJ$1</f>
        <v>5.3150947462048794</v>
      </c>
      <c r="CK30" s="87">
        <f>VLOOKUP($B30,Raw_Data[#All],CK$2,0)/CK$1</f>
        <v>5.3879310344827589</v>
      </c>
      <c r="CL30" s="87">
        <f>VLOOKUP($B30,Raw_Data[#All],CL$2,0)/CL$1</f>
        <v>5.3303396203173072</v>
      </c>
      <c r="CM30" s="87">
        <f>VLOOKUP($B30,Raw_Data[#All],CM$2,0)/CM$1</f>
        <v>5.4636471446816275</v>
      </c>
      <c r="CN30" s="87">
        <f>VLOOKUP($B30,Raw_Data[#All],CN$2,0)/CN$1</f>
        <v>5.358162422056945</v>
      </c>
      <c r="CO30" s="87">
        <f>VLOOKUP($B30,Raw_Data[#All],CO$2,0)/CO$1</f>
        <v>5.4505005561735267</v>
      </c>
      <c r="CP30" s="87">
        <f>VLOOKUP($B30,Raw_Data[#All],CP$2,0)/CP$1</f>
        <v>5.4672644387682698</v>
      </c>
      <c r="CQ30" s="87">
        <f>VLOOKUP($B30,Raw_Data[#All],CQ$2,0)/CQ$1</f>
        <v>5.4636471446816275</v>
      </c>
      <c r="CR30" s="87">
        <f>VLOOKUP($B30,Raw_Data[#All],CR$2,0)/CR$1</f>
        <v>5.5229286398467439</v>
      </c>
      <c r="CS30" s="87">
        <f>VLOOKUP($B30,Raw_Data[#All],CS$2,0)/CS$1</f>
        <v>5.469348659003832</v>
      </c>
      <c r="CT30" s="87">
        <f>VLOOKUP($B30,Raw_Data[#All],CT$2,0)/CT$1</f>
        <v>5.4564640453610869</v>
      </c>
      <c r="CU30" s="87">
        <f>VLOOKUP($B30,Raw_Data[#All],CU$2,0)/CU$1</f>
        <v>5.4523627075351211</v>
      </c>
      <c r="CV30" s="87">
        <f>VLOOKUP($B30,Raw_Data[#All],CV$2,0)/CV$1</f>
        <v>5.3593182041457901</v>
      </c>
      <c r="CW30" s="87">
        <f>VLOOKUP($B30,Raw_Data[#All],CW$2,0)/CW$1</f>
        <v>5.3205351481213548</v>
      </c>
      <c r="CX30" s="87">
        <f>VLOOKUP($B30,Raw_Data[#All],CX$2,0)/CX$1</f>
        <v>5.3248465373048246</v>
      </c>
      <c r="CY30" s="87">
        <f>VLOOKUP($B30,Raw_Data[#All],CY$2,0)/CY$1</f>
        <v>5.2367142046260824</v>
      </c>
      <c r="CZ30" s="87">
        <f>VLOOKUP($B30,Raw_Data[#All],CZ$2,0)/CZ$1</f>
        <v>5.3480204342273314</v>
      </c>
      <c r="DA30" s="87">
        <f>VLOOKUP($B30,Raw_Data[#All],DA$2,0)/DA$1</f>
        <v>5.3278142674694404</v>
      </c>
      <c r="DB30" s="87">
        <f>VLOOKUP($B30,Raw_Data[#All],DB$2,0)/DB$1</f>
        <v>5.2951887771392085</v>
      </c>
      <c r="DC30" s="87">
        <f>VLOOKUP($B30,Raw_Data[#All],DC$2,0)/DC$1</f>
        <v>5.2542586296835934</v>
      </c>
      <c r="DD30" s="87">
        <f>VLOOKUP($B30,Raw_Data[#All],DD$2,0)/DD$1</f>
        <v>5.2688796767372228</v>
      </c>
      <c r="DE30" s="87">
        <f>VLOOKUP($B30,Raw_Data[#All],DE$2,0)/DE$1</f>
        <v>5.2565071142050259</v>
      </c>
      <c r="DF30" s="87">
        <f>VLOOKUP($B30,Raw_Data[#All],DF$2,0)/DF$1</f>
        <v>5.2048411558109837</v>
      </c>
      <c r="DG30" s="87">
        <f>VLOOKUP($B30,Raw_Data[#All],DG$2,0)/DG$1</f>
        <v>5.2843003101623784</v>
      </c>
      <c r="DH30" s="87">
        <f>VLOOKUP($B30,Raw_Data[#All],DH$2,0)/DH$1</f>
        <v>5.1822916666666661</v>
      </c>
      <c r="DI30" s="87">
        <f>VLOOKUP($B30,Raw_Data[#All],DI$2,0)/DI$1</f>
        <v>5.3115307425652247</v>
      </c>
      <c r="DJ30" s="87">
        <f>VLOOKUP($B30,Raw_Data[#All],DJ$2,0)/DJ$1</f>
        <v>5.2456497445721579</v>
      </c>
      <c r="DK30" s="87">
        <f>VLOOKUP($B30,Raw_Data[#All],DK$2,0)/DK$1</f>
        <v>5.2153156120923398</v>
      </c>
      <c r="DL30" s="87">
        <f>VLOOKUP($B30,Raw_Data[#All],DL$2,0)/DL$1</f>
        <v>5.1580915891260721</v>
      </c>
      <c r="DM30" s="87">
        <f>VLOOKUP($B30,Raw_Data[#All],DM$2,0)/DM$1</f>
        <v>5.1815433429118771</v>
      </c>
      <c r="DN30" s="87">
        <f>VLOOKUP($B30,Raw_Data[#All],DN$2,0)/DN$1</f>
        <v>5.2152597536357277</v>
      </c>
      <c r="DO30" s="87">
        <f>VLOOKUP($B30,Raw_Data[#All],DO$2,0)/DO$1</f>
        <v>5.1842341240727157</v>
      </c>
      <c r="DP30" s="87">
        <f>VLOOKUP($B30,Raw_Data[#All],DP$2,0)/DP$1</f>
        <v>5.0878707750975849</v>
      </c>
      <c r="DQ30" s="87">
        <f>VLOOKUP($B30,Raw_Data[#All],DQ$2,0)/DQ$1</f>
        <v>5.1274858602444811</v>
      </c>
      <c r="DR30" s="87">
        <f>VLOOKUP($B30,Raw_Data[#All],DR$2,0)/DR$1</f>
        <v>5.0084810025542783</v>
      </c>
      <c r="DS30" s="87">
        <f>VLOOKUP($B30,Raw_Data[#All],DS$2,0)/DS$1</f>
        <v>5.0248232691166157</v>
      </c>
      <c r="DT30" s="87">
        <f>VLOOKUP($B30,Raw_Data[#All],DT$2,0)/DT$1</f>
        <v>5.0278740700196636</v>
      </c>
      <c r="DU30" s="87">
        <f>VLOOKUP($B30,Raw_Data[#All],DU$2,0)/DU$1</f>
        <v>5.2288520772293587</v>
      </c>
      <c r="DV30" s="87">
        <f>VLOOKUP($B30,Raw_Data[#All],DV$2,0)/DV$1</f>
        <v>5.1968416144661358</v>
      </c>
      <c r="DW30" s="87">
        <f>VLOOKUP($B30,Raw_Data[#All],DW$2,0)/DW$1</f>
        <v>5.2144450162978213</v>
      </c>
      <c r="DX30" s="87">
        <f>VLOOKUP($B30,Raw_Data[#All],DX$2,0)/DX$1</f>
        <v>5.0261921769811888</v>
      </c>
      <c r="DY30" s="87">
        <f>VLOOKUP($B30,Raw_Data[#All],DY$2,0)/DY$1</f>
        <v>5.0098561830196022</v>
      </c>
      <c r="DZ30" s="87">
        <f>VLOOKUP($B30,Raw_Data[#All],DZ$2,0)/DZ$1</f>
        <v>4.9671085973767966</v>
      </c>
      <c r="EA30" s="87">
        <f>VLOOKUP($B30,Raw_Data[#All],EA$2,0)/EA$1</f>
        <v>4.9575450989782883</v>
      </c>
      <c r="EB30" s="87">
        <f>VLOOKUP($B30,Raw_Data[#All],EB$2,0)/EB$1</f>
        <v>4.9934147509578546</v>
      </c>
      <c r="EC30" s="87">
        <f>VLOOKUP($B30,Raw_Data[#All],EC$2,0)/EC$1</f>
        <v>4.9276958196317411</v>
      </c>
      <c r="ED30" s="87">
        <f>VLOOKUP($B30,Raw_Data[#All],ED$2,0)/ED$1</f>
        <v>4.9187275049344015</v>
      </c>
      <c r="EE30" s="87">
        <f>VLOOKUP($B30,Raw_Data[#All],EE$2,0)/EE$1</f>
        <v>4.894230574307203</v>
      </c>
      <c r="EF30" s="87">
        <f>VLOOKUP($B30,Raw_Data[#All],EF$2,0)/EF$1</f>
        <v>4.868751140302864</v>
      </c>
      <c r="EG30" s="87">
        <f>VLOOKUP($B30,Raw_Data[#All],EG$2,0)/EG$1</f>
        <v>4.7619332694763736</v>
      </c>
      <c r="EH30" s="87">
        <f>VLOOKUP($B30,Raw_Data[#All],EH$2,0)/EH$1</f>
        <v>4.7381365740740744</v>
      </c>
      <c r="EI30" s="87">
        <f>VLOOKUP($B30,Raw_Data[#All],EI$2,0)/EI$1</f>
        <v>4.9602224350787569</v>
      </c>
      <c r="EJ30" s="87">
        <f>VLOOKUP($B30,Raw_Data[#All],EJ$2,0)/EJ$1</f>
        <v>5.1376014501709717</v>
      </c>
      <c r="EK30" s="87">
        <f>VLOOKUP($B30,Raw_Data[#All],EK$2,0)/EK$1</f>
        <v>4.9613754079750247</v>
      </c>
      <c r="EL30" s="87">
        <f>VLOOKUP($B30,Raw_Data[#All],EL$2,0)/EL$1</f>
        <v>5.583480305702528</v>
      </c>
      <c r="EM30" s="87">
        <f>VLOOKUP($B30,Raw_Data[#All],EM$2,0)/EM$1</f>
        <v>4.9803482452826797</v>
      </c>
      <c r="EN30" s="87">
        <f>VLOOKUP($B30,Raw_Data[#All],EN$2,0)/EN$1</f>
        <v>5.4471000831154086</v>
      </c>
      <c r="EO30" s="87">
        <f>VLOOKUP($B30,Raw_Data[#All],EO$2,0)/EO$1</f>
        <v>4.9683708492975738</v>
      </c>
      <c r="EP30" s="87">
        <f>VLOOKUP($B30,Raw_Data[#All],EP$2,0)/EP$1</f>
        <v>5.4144715836526185</v>
      </c>
      <c r="EQ30" s="87">
        <f>VLOOKUP($B30,Raw_Data[#All],EQ$2,0)/EQ$1</f>
        <v>5.0242471356914136</v>
      </c>
      <c r="ER30" s="87">
        <f>VLOOKUP($B30,Raw_Data[#All],ER$2,0)/ER$1</f>
        <v>4.9747232865048963</v>
      </c>
      <c r="ES30" s="87">
        <f>VLOOKUP($B30,Raw_Data[#All],ES$2,0)/ES$1</f>
        <v>5.0548630223229551</v>
      </c>
      <c r="ET30" s="87">
        <f>VLOOKUP($B30,Raw_Data[#All],ET$2,0)/ET$1</f>
        <v>5.0115572104401638</v>
      </c>
      <c r="EU30" s="87">
        <f>VLOOKUP($B30,Raw_Data[#All],EU$2,0)/EU$1</f>
        <v>5.0053064234705813</v>
      </c>
      <c r="EV30" s="87">
        <f>VLOOKUP($B30,Raw_Data[#All],EV$2,0)/EV$1</f>
        <v>4.9355665531431816</v>
      </c>
      <c r="EW30" s="87">
        <f>VLOOKUP($B30,Raw_Data[#All],EW$2,0)/EW$1</f>
        <v>5.0121727330779047</v>
      </c>
      <c r="EX30" s="87">
        <f>VLOOKUP($B30,Raw_Data[#All],EX$2,0)/EX$1</f>
        <v>4.9987858183584271</v>
      </c>
      <c r="EY30" s="87">
        <f>VLOOKUP($B30,Raw_Data[#All],EY$2,0)/EY$1</f>
        <v>5.1265082299565057</v>
      </c>
      <c r="EZ30" s="87">
        <f>VLOOKUP($B30,Raw_Data[#All],EZ$2,0)/EZ$1</f>
        <v>5.0826592876401309</v>
      </c>
      <c r="FA30" s="87">
        <f>VLOOKUP($B30,Raw_Data[#All],FA$2,0)/FA$1</f>
        <v>5.0243454661558111</v>
      </c>
      <c r="FB30" s="87">
        <f>VLOOKUP($B30,Raw_Data[#All],FB$2,0)/FB$1</f>
        <v>4.9830601674471406</v>
      </c>
      <c r="FC30" s="87">
        <f>VLOOKUP($B30,Raw_Data[#All],FC$2,0)/FC$1</f>
        <v>4.9989800624379166</v>
      </c>
      <c r="FD30" s="87">
        <f>VLOOKUP($B30,Raw_Data[#All],FD$2,0)/FD$1</f>
        <v>5.0085308908045976</v>
      </c>
      <c r="FE30" s="87">
        <f>VLOOKUP($B30,Raw_Data[#All],FE$2,0)/FE$1</f>
        <v>5.1408400737902653</v>
      </c>
      <c r="FF30" s="87">
        <f>VLOOKUP($B30,Raw_Data[#All],FF$2,0)/FF$1</f>
        <v>5.1010735951468709</v>
      </c>
      <c r="FG30" s="105">
        <f>VLOOKUP($B30,Raw_Data[#All],FG$2,0)/FG$1</f>
        <v>5.3514207650767363</v>
      </c>
    </row>
    <row r="31" spans="2:163">
      <c r="B31" s="104">
        <f t="shared" si="0"/>
        <v>45854</v>
      </c>
      <c r="C31" s="87">
        <f>VLOOKUP($B31,Raw_Data[#All],C$2,0)/C$1</f>
        <v>4.9081552568573104</v>
      </c>
      <c r="D31" s="87">
        <f>VLOOKUP($B31,Raw_Data[#All],D$2,0)/D$1</f>
        <v>4.7053252400017218</v>
      </c>
      <c r="E31" s="87">
        <f>VLOOKUP($B31,Raw_Data[#All],E$2,0)/E$1</f>
        <v>4.589569551470623</v>
      </c>
      <c r="F31" s="87">
        <f>VLOOKUP($B31,Raw_Data[#All],F$2,0)/F$1</f>
        <v>4.5964176820097178</v>
      </c>
      <c r="G31" s="87">
        <f>VLOOKUP($B31,Raw_Data[#All],G$2,0)/G$1</f>
        <v>4.6139643453346153</v>
      </c>
      <c r="H31" s="87">
        <f>VLOOKUP($B31,Raw_Data[#All],H$2,0)/H$1</f>
        <v>4.6570139815651892</v>
      </c>
      <c r="I31" s="87">
        <f>VLOOKUP($B31,Raw_Data[#All],I$2,0)/I$1</f>
        <v>4.7263717288255576</v>
      </c>
      <c r="J31" s="87">
        <f>VLOOKUP($B31,Raw_Data[#All],J$2,0)/J$1</f>
        <v>4.6265697290152019</v>
      </c>
      <c r="K31" s="87">
        <f>VLOOKUP($B31,Raw_Data[#All],K$2,0)/K$1</f>
        <v>4.7569369705492655</v>
      </c>
      <c r="L31" s="87">
        <f>VLOOKUP($B31,Raw_Data[#All],L$2,0)/L$1</f>
        <v>4.6997287872917477</v>
      </c>
      <c r="M31" s="87">
        <f>VLOOKUP($B31,Raw_Data[#All],M$2,0)/M$1</f>
        <v>4.6967115407749258</v>
      </c>
      <c r="N31" s="87">
        <f>VLOOKUP($B31,Raw_Data[#All],N$2,0)/N$1</f>
        <v>4.7442612443258181</v>
      </c>
      <c r="O31" s="87">
        <f>VLOOKUP($B31,Raw_Data[#All],O$2,0)/O$1</f>
        <v>4.6537548801959732</v>
      </c>
      <c r="P31" s="87">
        <f>VLOOKUP($B31,Raw_Data[#All],P$2,0)/P$1</f>
        <v>4.7094867048373441</v>
      </c>
      <c r="Q31" s="87">
        <f>VLOOKUP($B31,Raw_Data[#All],Q$2,0)/Q$1</f>
        <v>4.641755277167908</v>
      </c>
      <c r="R31" s="87">
        <f>VLOOKUP($B31,Raw_Data[#All],R$2,0)/R$1</f>
        <v>4.6706941993006827</v>
      </c>
      <c r="S31" s="87">
        <f>VLOOKUP($B31,Raw_Data[#All],S$2,0)/S$1</f>
        <v>4.6209957859189421</v>
      </c>
      <c r="T31" s="87">
        <f>VLOOKUP($B31,Raw_Data[#All],T$2,0)/T$1</f>
        <v>4.6311363668976995</v>
      </c>
      <c r="U31" s="87">
        <f>VLOOKUP($B31,Raw_Data[#All],U$2,0)/U$1</f>
        <v>4.7063297315137689</v>
      </c>
      <c r="V31" s="87">
        <f>VLOOKUP($B31,Raw_Data[#All],V$2,0)/V$1</f>
        <v>4.7361774793002995</v>
      </c>
      <c r="W31" s="87">
        <f>VLOOKUP($B31,Raw_Data[#All],W$2,0)/W$1</f>
        <v>4.6923262719690833</v>
      </c>
      <c r="X31" s="87">
        <f>VLOOKUP($B31,Raw_Data[#All],X$2,0)/X$1</f>
        <v>4.6538006716806208</v>
      </c>
      <c r="Y31" s="87">
        <f>VLOOKUP($B31,Raw_Data[#All],Y$2,0)/Y$1</f>
        <v>4.7287453319753627</v>
      </c>
      <c r="Z31" s="87">
        <f>VLOOKUP($B31,Raw_Data[#All],Z$2,0)/Z$1</f>
        <v>4.6951628352490422</v>
      </c>
      <c r="AA31" s="87">
        <f>VLOOKUP($B31,Raw_Data[#All],AA$2,0)/AA$1</f>
        <v>4.7246168582375478</v>
      </c>
      <c r="AB31" s="87">
        <f>VLOOKUP($B31,Raw_Data[#All],AB$2,0)/AB$1</f>
        <v>4.6586800496465388</v>
      </c>
      <c r="AC31" s="87">
        <f>VLOOKUP($B31,Raw_Data[#All],AC$2,0)/AC$1</f>
        <v>4.6081203320877675</v>
      </c>
      <c r="AD31" s="87">
        <f>VLOOKUP($B31,Raw_Data[#All],AD$2,0)/AD$1</f>
        <v>4.6095265124639324</v>
      </c>
      <c r="AE31" s="87">
        <f>VLOOKUP($B31,Raw_Data[#All],AE$2,0)/AE$1</f>
        <v>4.7788657111773336</v>
      </c>
      <c r="AF31" s="87">
        <f>VLOOKUP($B31,Raw_Data[#All],AF$2,0)/AF$1</f>
        <v>4.8328544061302683</v>
      </c>
      <c r="AG31" s="87">
        <f>VLOOKUP($B31,Raw_Data[#All],AG$2,0)/AG$1</f>
        <v>4.872690237159901</v>
      </c>
      <c r="AH31" s="87">
        <f>VLOOKUP($B31,Raw_Data[#All],AH$2,0)/AH$1</f>
        <v>4.8148148148148149</v>
      </c>
      <c r="AI31" s="87">
        <f>VLOOKUP($B31,Raw_Data[#All],AI$2,0)/AI$1</f>
        <v>5.0876060097292175</v>
      </c>
      <c r="AJ31" s="87">
        <f>VLOOKUP($B31,Raw_Data[#All],AJ$2,0)/AJ$1</f>
        <v>5.0153782867201437</v>
      </c>
      <c r="AK31" s="87">
        <f>VLOOKUP($B31,Raw_Data[#All],AK$2,0)/AK$1</f>
        <v>4.9199994260048499</v>
      </c>
      <c r="AL31" s="87">
        <f>VLOOKUP($B31,Raw_Data[#All],AL$2,0)/AL$1</f>
        <v>4.9012967507091236</v>
      </c>
      <c r="AM31" s="87">
        <f>VLOOKUP($B31,Raw_Data[#All],AM$2,0)/AM$1</f>
        <v>4.9682150185830931</v>
      </c>
      <c r="AN31" s="87">
        <f>VLOOKUP($B31,Raw_Data[#All],AN$2,0)/AN$1</f>
        <v>4.9068453704899522</v>
      </c>
      <c r="AO31" s="87">
        <f>VLOOKUP($B31,Raw_Data[#All],AO$2,0)/AO$1</f>
        <v>4.974863795734259</v>
      </c>
      <c r="AP31" s="87">
        <f>VLOOKUP($B31,Raw_Data[#All],AP$2,0)/AP$1</f>
        <v>5.0386250902846532</v>
      </c>
      <c r="AQ31" s="87">
        <f>VLOOKUP($B31,Raw_Data[#All],AQ$2,0)/AQ$1</f>
        <v>4.8224836180040827</v>
      </c>
      <c r="AR31" s="87">
        <f>VLOOKUP($B31,Raw_Data[#All],AR$2,0)/AR$1</f>
        <v>4.7704045168667806</v>
      </c>
      <c r="AS31" s="87">
        <f>VLOOKUP($B31,Raw_Data[#All],AS$2,0)/AS$1</f>
        <v>4.9391093580496834</v>
      </c>
      <c r="AT31" s="87">
        <f>VLOOKUP($B31,Raw_Data[#All],AT$2,0)/AT$1</f>
        <v>4.8543958129585718</v>
      </c>
      <c r="AU31" s="87">
        <f>VLOOKUP($B31,Raw_Data[#All],AU$2,0)/AU$1</f>
        <v>4.7947827862575938</v>
      </c>
      <c r="AV31" s="87">
        <f>VLOOKUP($B31,Raw_Data[#All],AV$2,0)/AV$1</f>
        <v>4.7456773749877197</v>
      </c>
      <c r="AW31" s="87">
        <f>VLOOKUP($B31,Raw_Data[#All],AW$2,0)/AW$1</f>
        <v>4.9006291910465078</v>
      </c>
      <c r="AX31" s="87">
        <f>VLOOKUP($B31,Raw_Data[#All],AX$2,0)/AX$1</f>
        <v>4.9051097504207402</v>
      </c>
      <c r="AY31" s="87">
        <f>VLOOKUP($B31,Raw_Data[#All],AY$2,0)/AY$1</f>
        <v>4.5865457704419592</v>
      </c>
      <c r="AZ31" s="87">
        <f>VLOOKUP($B31,Raw_Data[#All],AZ$2,0)/AZ$1</f>
        <v>4.6480581425869101</v>
      </c>
      <c r="BA31" s="87">
        <f>VLOOKUP($B31,Raw_Data[#All],BA$2,0)/BA$1</f>
        <v>4.6909229894379649</v>
      </c>
      <c r="BB31" s="87">
        <f>VLOOKUP($B31,Raw_Data[#All],BB$2,0)/BB$1</f>
        <v>4.8112228607918262</v>
      </c>
      <c r="BC31" s="87">
        <f>VLOOKUP($B31,Raw_Data[#All],BC$2,0)/BC$1</f>
        <v>4.6633568974511181</v>
      </c>
      <c r="BD31" s="87">
        <f>VLOOKUP($B31,Raw_Data[#All],BD$2,0)/BD$1</f>
        <v>4.6302916964596736</v>
      </c>
      <c r="BE31" s="87">
        <f>VLOOKUP($B31,Raw_Data[#All],BE$2,0)/BE$1</f>
        <v>4.7478999154569825</v>
      </c>
      <c r="BF31" s="87">
        <f>VLOOKUP($B31,Raw_Data[#All],BF$2,0)/BF$1</f>
        <v>4.7035885640352921</v>
      </c>
      <c r="BG31" s="87">
        <f>VLOOKUP($B31,Raw_Data[#All],BG$2,0)/BG$1</f>
        <v>4.8997547081838269</v>
      </c>
      <c r="BH31" s="87">
        <f>VLOOKUP($B31,Raw_Data[#All],BH$2,0)/BH$1</f>
        <v>4.7682795793627024</v>
      </c>
      <c r="BI31" s="87">
        <f>VLOOKUP($B31,Raw_Data[#All],BI$2,0)/BI$1</f>
        <v>4.6625717123801413</v>
      </c>
      <c r="BJ31" s="87">
        <f>VLOOKUP($B31,Raw_Data[#All],BJ$2,0)/BJ$1</f>
        <v>4.7644138029577769</v>
      </c>
      <c r="BK31" s="87">
        <f>VLOOKUP($B31,Raw_Data[#All],BK$2,0)/BK$1</f>
        <v>4.7231665857212244</v>
      </c>
      <c r="BL31" s="87">
        <f>VLOOKUP($B31,Raw_Data[#All],BL$2,0)/BL$1</f>
        <v>4.6615581098339716</v>
      </c>
      <c r="BM31" s="87">
        <f>VLOOKUP($B31,Raw_Data[#All],BM$2,0)/BM$1</f>
        <v>4.7368180988870643</v>
      </c>
      <c r="BN31" s="87">
        <f>VLOOKUP($B31,Raw_Data[#All],BN$2,0)/BN$1</f>
        <v>4.7255747126436782</v>
      </c>
      <c r="BO31" s="87">
        <f>VLOOKUP($B31,Raw_Data[#All],BO$2,0)/BO$1</f>
        <v>4.7148875034787219</v>
      </c>
      <c r="BP31" s="87">
        <f>VLOOKUP($B31,Raw_Data[#All],BP$2,0)/BP$1</f>
        <v>4.7814886789894695</v>
      </c>
      <c r="BQ31" s="87">
        <f>VLOOKUP($B31,Raw_Data[#All],BQ$2,0)/BQ$1</f>
        <v>4.7534210407385116</v>
      </c>
      <c r="BR31" s="87">
        <f>VLOOKUP($B31,Raw_Data[#All],BR$2,0)/BR$1</f>
        <v>4.7814886789894704</v>
      </c>
      <c r="BS31" s="87">
        <f>VLOOKUP($B31,Raw_Data[#All],BS$2,0)/BS$1</f>
        <v>4.7175574532045905</v>
      </c>
      <c r="BT31" s="87">
        <f>VLOOKUP($B31,Raw_Data[#All],BT$2,0)/BT$1</f>
        <v>4.8026732046820628</v>
      </c>
      <c r="BU31" s="87">
        <f>VLOOKUP($B31,Raw_Data[#All],BU$2,0)/BU$1</f>
        <v>4.7324121890469675</v>
      </c>
      <c r="BV31" s="87">
        <f>VLOOKUP($B31,Raw_Data[#All],BV$2,0)/BV$1</f>
        <v>4.7560490249104515</v>
      </c>
      <c r="BW31" s="87">
        <f>VLOOKUP($B31,Raw_Data[#All],BW$2,0)/BW$1</f>
        <v>4.8091694893294097</v>
      </c>
      <c r="BX31" s="87">
        <f>VLOOKUP($B31,Raw_Data[#All],BX$2,0)/BX$1</f>
        <v>4.7859852753361878</v>
      </c>
      <c r="BY31" s="87">
        <f>VLOOKUP($B31,Raw_Data[#All],BY$2,0)/BY$1</f>
        <v>4.7994080561130366</v>
      </c>
      <c r="BZ31" s="87">
        <f>VLOOKUP($B31,Raw_Data[#All],BZ$2,0)/BZ$1</f>
        <v>4.7589064830444139</v>
      </c>
      <c r="CA31" s="87">
        <f>VLOOKUP($B31,Raw_Data[#All],CA$2,0)/CA$1</f>
        <v>4.8047212952663454</v>
      </c>
      <c r="CB31" s="87">
        <f>VLOOKUP($B31,Raw_Data[#All],CB$2,0)/CB$1</f>
        <v>4.7879416773094938</v>
      </c>
      <c r="CC31" s="87">
        <f>VLOOKUP($B31,Raw_Data[#All],CC$2,0)/CC$1</f>
        <v>4.7978876522937828</v>
      </c>
      <c r="CD31" s="87">
        <f>VLOOKUP($B31,Raw_Data[#All],CD$2,0)/CD$1</f>
        <v>4.7627399132984376</v>
      </c>
      <c r="CE31" s="87">
        <f>VLOOKUP($B31,Raw_Data[#All],CE$2,0)/CE$1</f>
        <v>4.8753361278076559</v>
      </c>
      <c r="CF31" s="87">
        <f>VLOOKUP($B31,Raw_Data[#All],CF$2,0)/CF$1</f>
        <v>4.8440882365661402</v>
      </c>
      <c r="CG31" s="87">
        <f>VLOOKUP($B31,Raw_Data[#All],CG$2,0)/CG$1</f>
        <v>4.8627746818192872</v>
      </c>
      <c r="CH31" s="87">
        <f>VLOOKUP($B31,Raw_Data[#All],CH$2,0)/CH$1</f>
        <v>4.8527189004885933</v>
      </c>
      <c r="CI31" s="87">
        <f>VLOOKUP($B31,Raw_Data[#All],CI$2,0)/CI$1</f>
        <v>4.9339113413476747</v>
      </c>
      <c r="CJ31" s="87">
        <f>VLOOKUP($B31,Raw_Data[#All],CJ$2,0)/CJ$1</f>
        <v>4.9259773782833349</v>
      </c>
      <c r="CK31" s="87">
        <f>VLOOKUP($B31,Raw_Data[#All],CK$2,0)/CK$1</f>
        <v>4.8988650743435622</v>
      </c>
      <c r="CL31" s="87">
        <f>VLOOKUP($B31,Raw_Data[#All],CL$2,0)/CL$1</f>
        <v>4.939794452858818</v>
      </c>
      <c r="CM31" s="87">
        <f>VLOOKUP($B31,Raw_Data[#All],CM$2,0)/CM$1</f>
        <v>5.1250228060572889</v>
      </c>
      <c r="CN31" s="87">
        <f>VLOOKUP($B31,Raw_Data[#All],CN$2,0)/CN$1</f>
        <v>4.98736946886034</v>
      </c>
      <c r="CO31" s="87">
        <f>VLOOKUP($B31,Raw_Data[#All],CO$2,0)/CO$1</f>
        <v>5.101707658715446</v>
      </c>
      <c r="CP31" s="87">
        <f>VLOOKUP($B31,Raw_Data[#All],CP$2,0)/CP$1</f>
        <v>5.1169824038597982</v>
      </c>
      <c r="CQ31" s="87">
        <f>VLOOKUP($B31,Raw_Data[#All],CQ$2,0)/CQ$1</f>
        <v>5.0838350665936867</v>
      </c>
      <c r="CR31" s="87">
        <f>VLOOKUP($B31,Raw_Data[#All],CR$2,0)/CR$1</f>
        <v>5.1337005108556832</v>
      </c>
      <c r="CS31" s="87">
        <f>VLOOKUP($B31,Raw_Data[#All],CS$2,0)/CS$1</f>
        <v>5.0845605842911876</v>
      </c>
      <c r="CT31" s="87">
        <f>VLOOKUP($B31,Raw_Data[#All],CT$2,0)/CT$1</f>
        <v>5.1607293280073918</v>
      </c>
      <c r="CU31" s="87">
        <f>VLOOKUP($B31,Raw_Data[#All],CU$2,0)/CU$1</f>
        <v>5.2829118773946355</v>
      </c>
      <c r="CV31" s="87">
        <f>VLOOKUP($B31,Raw_Data[#All],CV$2,0)/CV$1</f>
        <v>5.2826407309165928</v>
      </c>
      <c r="CW31" s="87">
        <f>VLOOKUP($B31,Raw_Data[#All],CW$2,0)/CW$1</f>
        <v>5.2400217917459289</v>
      </c>
      <c r="CX31" s="87">
        <f>VLOOKUP($B31,Raw_Data[#All],CX$2,0)/CX$1</f>
        <v>5.3065649075104027</v>
      </c>
      <c r="CY31" s="87">
        <f>VLOOKUP($B31,Raw_Data[#All],CY$2,0)/CY$1</f>
        <v>5.0716617000141904</v>
      </c>
      <c r="CZ31" s="87">
        <f>VLOOKUP($B31,Raw_Data[#All],CZ$2,0)/CZ$1</f>
        <v>5.2754088905368111</v>
      </c>
      <c r="DA31" s="87">
        <f>VLOOKUP($B31,Raw_Data[#All],DA$2,0)/DA$1</f>
        <v>5.1880587484035754</v>
      </c>
      <c r="DB31" s="87">
        <f>VLOOKUP($B31,Raw_Data[#All],DB$2,0)/DB$1</f>
        <v>5.2436043263090681</v>
      </c>
      <c r="DC31" s="87">
        <f>VLOOKUP($B31,Raw_Data[#All],DC$2,0)/DC$1</f>
        <v>5.1322558595506633</v>
      </c>
      <c r="DD31" s="87">
        <f>VLOOKUP($B31,Raw_Data[#All],DD$2,0)/DD$1</f>
        <v>5.2003119569541276</v>
      </c>
      <c r="DE31" s="87">
        <f>VLOOKUP($B31,Raw_Data[#All],DE$2,0)/DE$1</f>
        <v>5.159237673807854</v>
      </c>
      <c r="DF31" s="87">
        <f>VLOOKUP($B31,Raw_Data[#All],DF$2,0)/DF$1</f>
        <v>5.1778017241379306</v>
      </c>
      <c r="DG31" s="87">
        <f>VLOOKUP($B31,Raw_Data[#All],DG$2,0)/DG$1</f>
        <v>5.1683999270206167</v>
      </c>
      <c r="DH31" s="87">
        <f>VLOOKUP($B31,Raw_Data[#All],DH$2,0)/DH$1</f>
        <v>5.1632842432950197</v>
      </c>
      <c r="DI31" s="87">
        <f>VLOOKUP($B31,Raw_Data[#All],DI$2,0)/DI$1</f>
        <v>5.2334884145228973</v>
      </c>
      <c r="DJ31" s="87">
        <f>VLOOKUP($B31,Raw_Data[#All],DJ$2,0)/DJ$1</f>
        <v>5.193765964240102</v>
      </c>
      <c r="DK31" s="87">
        <f>VLOOKUP($B31,Raw_Data[#All],DK$2,0)/DK$1</f>
        <v>5.2707599523604385</v>
      </c>
      <c r="DL31" s="87">
        <f>VLOOKUP($B31,Raw_Data[#All],DL$2,0)/DL$1</f>
        <v>5.272942893632548</v>
      </c>
      <c r="DM31" s="87">
        <f>VLOOKUP($B31,Raw_Data[#All],DM$2,0)/DM$1</f>
        <v>5.2371188537675613</v>
      </c>
      <c r="DN31" s="87">
        <f>VLOOKUP($B31,Raw_Data[#All],DN$2,0)/DN$1</f>
        <v>5.3087278045565034</v>
      </c>
      <c r="DO31" s="87">
        <f>VLOOKUP($B31,Raw_Data[#All],DO$2,0)/DO$1</f>
        <v>5.2397126889667858</v>
      </c>
      <c r="DP31" s="87">
        <f>VLOOKUP($B31,Raw_Data[#All],DP$2,0)/DP$1</f>
        <v>5.2558325688485965</v>
      </c>
      <c r="DQ31" s="87">
        <f>VLOOKUP($B31,Raw_Data[#All],DQ$2,0)/DQ$1</f>
        <v>5.2166575442437511</v>
      </c>
      <c r="DR31" s="87">
        <f>VLOOKUP($B31,Raw_Data[#All],DR$2,0)/DR$1</f>
        <v>5.2682990102171141</v>
      </c>
      <c r="DS31" s="87">
        <f>VLOOKUP($B31,Raw_Data[#All],DS$2,0)/DS$1</f>
        <v>5.2335276023959851</v>
      </c>
      <c r="DT31" s="87">
        <f>VLOOKUP($B31,Raw_Data[#All],DT$2,0)/DT$1</f>
        <v>5.2827951103813167</v>
      </c>
      <c r="DU31" s="87">
        <f>VLOOKUP($B31,Raw_Data[#All],DU$2,0)/DU$1</f>
        <v>5.2754770490571703</v>
      </c>
      <c r="DV31" s="87">
        <f>VLOOKUP($B31,Raw_Data[#All],DV$2,0)/DV$1</f>
        <v>5.2716961625007599</v>
      </c>
      <c r="DW31" s="87">
        <f>VLOOKUP($B31,Raw_Data[#All],DW$2,0)/DW$1</f>
        <v>5.2810182802462782</v>
      </c>
      <c r="DX31" s="87">
        <f>VLOOKUP($B31,Raw_Data[#All],DX$2,0)/DX$1</f>
        <v>5.2698768318289062</v>
      </c>
      <c r="DY31" s="87">
        <f>VLOOKUP($B31,Raw_Data[#All],DY$2,0)/DY$1</f>
        <v>5.2610731671201441</v>
      </c>
      <c r="DZ31" s="87">
        <f>VLOOKUP($B31,Raw_Data[#All],DZ$2,0)/DZ$1</f>
        <v>5.300431794684668</v>
      </c>
      <c r="EA31" s="87">
        <f>VLOOKUP($B31,Raw_Data[#All],EA$2,0)/EA$1</f>
        <v>5.3645833333333339</v>
      </c>
      <c r="EB31" s="87">
        <f>VLOOKUP($B31,Raw_Data[#All],EB$2,0)/EB$1</f>
        <v>5.4392660440613021</v>
      </c>
      <c r="EC31" s="87">
        <f>VLOOKUP($B31,Raw_Data[#All],EC$2,0)/EC$1</f>
        <v>5.3032954214056574</v>
      </c>
      <c r="ED31" s="87">
        <f>VLOOKUP($B31,Raw_Data[#All],ED$2,0)/ED$1</f>
        <v>5.3021014745152675</v>
      </c>
      <c r="EE31" s="87">
        <f>VLOOKUP($B31,Raw_Data[#All],EE$2,0)/EE$1</f>
        <v>5.4245474264631355</v>
      </c>
      <c r="EF31" s="87">
        <f>VLOOKUP($B31,Raw_Data[#All],EF$2,0)/EF$1</f>
        <v>5.4383324210910411</v>
      </c>
      <c r="EG31" s="87">
        <f>VLOOKUP($B31,Raw_Data[#All],EG$2,0)/EG$1</f>
        <v>5.3766562899106001</v>
      </c>
      <c r="EH31" s="87">
        <f>VLOOKUP($B31,Raw_Data[#All],EH$2,0)/EH$1</f>
        <v>5.3854865102171141</v>
      </c>
      <c r="EI31" s="87">
        <f>VLOOKUP($B31,Raw_Data[#All],EI$2,0)/EI$1</f>
        <v>5.5665087980701013</v>
      </c>
      <c r="EJ31" s="87">
        <f>VLOOKUP($B31,Raw_Data[#All],EJ$2,0)/EJ$1</f>
        <v>6.3779714085609527</v>
      </c>
      <c r="EK31" s="87">
        <f>VLOOKUP($B31,Raw_Data[#All],EK$2,0)/EK$1</f>
        <v>5.614844969490564</v>
      </c>
      <c r="EL31" s="87">
        <f>VLOOKUP($B31,Raw_Data[#All],EL$2,0)/EL$1</f>
        <v>6.350980153662146</v>
      </c>
      <c r="EM31" s="87">
        <f>VLOOKUP($B31,Raw_Data[#All],EM$2,0)/EM$1</f>
        <v>5.6733311747881929</v>
      </c>
      <c r="EN31" s="87">
        <f>VLOOKUP($B31,Raw_Data[#All],EN$2,0)/EN$1</f>
        <v>6.2672059032212291</v>
      </c>
      <c r="EO31" s="87">
        <f>VLOOKUP($B31,Raw_Data[#All],EO$2,0)/EO$1</f>
        <v>5.6917005906768834</v>
      </c>
      <c r="EP31" s="87">
        <f>VLOOKUP($B31,Raw_Data[#All],EP$2,0)/EP$1</f>
        <v>6.1268259099616857</v>
      </c>
      <c r="EQ31" s="87">
        <f>VLOOKUP($B31,Raw_Data[#All],EQ$2,0)/EQ$1</f>
        <v>5.6051141096118613</v>
      </c>
      <c r="ER31" s="87">
        <f>VLOOKUP($B31,Raw_Data[#All],ER$2,0)/ER$1</f>
        <v>5.6030048247481199</v>
      </c>
      <c r="ES31" s="87">
        <f>VLOOKUP($B31,Raw_Data[#All],ES$2,0)/ES$1</f>
        <v>5.5648193117838582</v>
      </c>
      <c r="ET31" s="87">
        <f>VLOOKUP($B31,Raw_Data[#All],ET$2,0)/ET$1</f>
        <v>5.5586134945047041</v>
      </c>
      <c r="EU31" s="87">
        <f>VLOOKUP($B31,Raw_Data[#All],EU$2,0)/EU$1</f>
        <v>5.5557804040076997</v>
      </c>
      <c r="EV31" s="87">
        <f>VLOOKUP($B31,Raw_Data[#All],EV$2,0)/EV$1</f>
        <v>5.5074411096920679</v>
      </c>
      <c r="EW31" s="87">
        <f>VLOOKUP($B31,Raw_Data[#All],EW$2,0)/EW$1</f>
        <v>5.6891064016602817</v>
      </c>
      <c r="EX31" s="87">
        <f>VLOOKUP($B31,Raw_Data[#All],EX$2,0)/EX$1</f>
        <v>5.6297555447628307</v>
      </c>
      <c r="EY31" s="87">
        <f>VLOOKUP($B31,Raw_Data[#All],EY$2,0)/EY$1</f>
        <v>5.4563763184452831</v>
      </c>
      <c r="EZ31" s="87">
        <f>VLOOKUP($B31,Raw_Data[#All],EZ$2,0)/EZ$1</f>
        <v>5.4845590322122888</v>
      </c>
      <c r="FA31" s="87">
        <f>VLOOKUP($B31,Raw_Data[#All],FA$2,0)/FA$1</f>
        <v>5.4746257272598271</v>
      </c>
      <c r="FB31" s="87">
        <f>VLOOKUP($B31,Raw_Data[#All],FB$2,0)/FB$1</f>
        <v>5.4578189300411522</v>
      </c>
      <c r="FC31" s="87">
        <f>VLOOKUP($B31,Raw_Data[#All],FC$2,0)/FC$1</f>
        <v>5.4974634596282108</v>
      </c>
      <c r="FD31" s="87">
        <f>VLOOKUP($B31,Raw_Data[#All],FD$2,0)/FD$1</f>
        <v>5.5748623084291191</v>
      </c>
      <c r="FE31" s="87">
        <f>VLOOKUP($B31,Raw_Data[#All],FE$2,0)/FE$1</f>
        <v>5.5014545196537536</v>
      </c>
      <c r="FF31" s="87">
        <f>VLOOKUP($B31,Raw_Data[#All],FF$2,0)/FF$1</f>
        <v>5.6252494412515963</v>
      </c>
      <c r="FG31" s="105">
        <f>VLOOKUP($B31,Raw_Data[#All],FG$2,0)/FG$1</f>
        <v>5.0445622412681281</v>
      </c>
    </row>
    <row r="32" spans="2:163">
      <c r="B32" s="104">
        <f>B31+1</f>
        <v>45855</v>
      </c>
      <c r="C32" s="87">
        <f>VLOOKUP($B32,Raw_Data[#All],C$2,0)/C$1</f>
        <v>4.4154024975412032</v>
      </c>
      <c r="D32" s="87">
        <f>VLOOKUP($B32,Raw_Data[#All],D$2,0)/D$1</f>
        <v>4.5383883172853849</v>
      </c>
      <c r="E32" s="87">
        <f>VLOOKUP($B32,Raw_Data[#All],E$2,0)/E$1</f>
        <v>4.5197334749188034</v>
      </c>
      <c r="F32" s="87">
        <f>VLOOKUP($B32,Raw_Data[#All],F$2,0)/F$1</f>
        <v>4.4967885238761038</v>
      </c>
      <c r="G32" s="87">
        <f>VLOOKUP($B32,Raw_Data[#All],G$2,0)/G$1</f>
        <v>4.5876562343048199</v>
      </c>
      <c r="H32" s="87">
        <f>VLOOKUP($B32,Raw_Data[#All],H$2,0)/H$1</f>
        <v>4.6359674927413526</v>
      </c>
      <c r="I32" s="87">
        <f>VLOOKUP($B32,Raw_Data[#All],I$2,0)/I$1</f>
        <v>4.6369241513242541</v>
      </c>
      <c r="J32" s="87">
        <f>VLOOKUP($B32,Raw_Data[#All],J$2,0)/J$1</f>
        <v>4.5481687444446974</v>
      </c>
      <c r="K32" s="87">
        <f>VLOOKUP($B32,Raw_Data[#All],K$2,0)/K$1</f>
        <v>4.5039486083009264</v>
      </c>
      <c r="L32" s="87">
        <f>VLOOKUP($B32,Raw_Data[#All],L$2,0)/L$1</f>
        <v>4.3639731244270985</v>
      </c>
      <c r="M32" s="87">
        <f>VLOOKUP($B32,Raw_Data[#All],M$2,0)/M$1</f>
        <v>4.4645181045701596</v>
      </c>
      <c r="N32" s="87">
        <f>VLOOKUP($B32,Raw_Data[#All],N$2,0)/N$1</f>
        <v>4.4982086568035164</v>
      </c>
      <c r="O32" s="87">
        <f>VLOOKUP($B32,Raw_Data[#All],O$2,0)/O$1</f>
        <v>4.5021379906168999</v>
      </c>
      <c r="P32" s="87">
        <f>VLOOKUP($B32,Raw_Data[#All],P$2,0)/P$1</f>
        <v>4.5560865010690659</v>
      </c>
      <c r="Q32" s="87">
        <f>VLOOKUP($B32,Raw_Data[#All],Q$2,0)/Q$1</f>
        <v>4.6273575654952381</v>
      </c>
      <c r="R32" s="87">
        <f>VLOOKUP($B32,Raw_Data[#All],R$2,0)/R$1</f>
        <v>4.6187476382491228</v>
      </c>
      <c r="S32" s="87">
        <f>VLOOKUP($B32,Raw_Data[#All],S$2,0)/S$1</f>
        <v>4.5932526870147949</v>
      </c>
      <c r="T32" s="87">
        <f>VLOOKUP($B32,Raw_Data[#All],T$2,0)/T$1</f>
        <v>4.5695275541588343</v>
      </c>
      <c r="U32" s="87">
        <f>VLOOKUP($B32,Raw_Data[#All],U$2,0)/U$1</f>
        <v>4.577085156963757</v>
      </c>
      <c r="V32" s="87">
        <f>VLOOKUP($B32,Raw_Data[#All],V$2,0)/V$1</f>
        <v>4.5980359799293034</v>
      </c>
      <c r="W32" s="87">
        <f>VLOOKUP($B32,Raw_Data[#All],W$2,0)/W$1</f>
        <v>4.5211675167772523</v>
      </c>
      <c r="X32" s="87">
        <f>VLOOKUP($B32,Raw_Data[#All],X$2,0)/X$1</f>
        <v>4.5085379121139022</v>
      </c>
      <c r="Y32" s="87">
        <f>VLOOKUP($B32,Raw_Data[#All],Y$2,0)/Y$1</f>
        <v>4.5337310247829672</v>
      </c>
      <c r="Z32" s="87">
        <f>VLOOKUP($B32,Raw_Data[#All],Z$2,0)/Z$1</f>
        <v>4.5125000000000002</v>
      </c>
      <c r="AA32" s="87">
        <f>VLOOKUP($B32,Raw_Data[#All],AA$2,0)/AA$1</f>
        <v>4.458333333333333</v>
      </c>
      <c r="AB32" s="87">
        <f>VLOOKUP($B32,Raw_Data[#All],AB$2,0)/AB$1</f>
        <v>4.3721331822351734</v>
      </c>
      <c r="AC32" s="87">
        <f>VLOOKUP($B32,Raw_Data[#All],AC$2,0)/AC$1</f>
        <v>4.373215122970036</v>
      </c>
      <c r="AD32" s="87">
        <f>VLOOKUP($B32,Raw_Data[#All],AD$2,0)/AD$1</f>
        <v>4.3857906437727641</v>
      </c>
      <c r="AE32" s="87">
        <f>VLOOKUP($B32,Raw_Data[#All],AE$2,0)/AE$1</f>
        <v>4.5631710893524433</v>
      </c>
      <c r="AF32" s="87">
        <f>VLOOKUP($B32,Raw_Data[#All],AF$2,0)/AF$1</f>
        <v>4.5962643678160919</v>
      </c>
      <c r="AG32" s="87">
        <f>VLOOKUP($B32,Raw_Data[#All],AG$2,0)/AG$1</f>
        <v>4.5656918376254909</v>
      </c>
      <c r="AH32" s="87">
        <f>VLOOKUP($B32,Raw_Data[#All],AH$2,0)/AH$1</f>
        <v>4.5461425665767941</v>
      </c>
      <c r="AI32" s="87">
        <f>VLOOKUP($B32,Raw_Data[#All],AI$2,0)/AI$1</f>
        <v>4.5478114043269668</v>
      </c>
      <c r="AJ32" s="87">
        <f>VLOOKUP($B32,Raw_Data[#All],AJ$2,0)/AJ$1</f>
        <v>4.540540799096914</v>
      </c>
      <c r="AK32" s="87">
        <f>VLOOKUP($B32,Raw_Data[#All],AK$2,0)/AK$1</f>
        <v>4.5844992609812438</v>
      </c>
      <c r="AL32" s="87">
        <f>VLOOKUP($B32,Raw_Data[#All],AL$2,0)/AL$1</f>
        <v>4.5568518279353869</v>
      </c>
      <c r="AM32" s="87">
        <f>VLOOKUP($B32,Raw_Data[#All],AM$2,0)/AM$1</f>
        <v>4.6032019362769718</v>
      </c>
      <c r="AN32" s="87">
        <f>VLOOKUP($B32,Raw_Data[#All],AN$2,0)/AN$1</f>
        <v>4.5330788621502807</v>
      </c>
      <c r="AO32" s="87">
        <f>VLOOKUP($B32,Raw_Data[#All],AO$2,0)/AO$1</f>
        <v>4.5396798063723027</v>
      </c>
      <c r="AP32" s="87">
        <f>VLOOKUP($B32,Raw_Data[#All],AP$2,0)/AP$1</f>
        <v>4.4985434873075327</v>
      </c>
      <c r="AQ32" s="87">
        <f>VLOOKUP($B32,Raw_Data[#All],AQ$2,0)/AQ$1</f>
        <v>4.454515343574319</v>
      </c>
      <c r="AR32" s="87">
        <f>VLOOKUP($B32,Raw_Data[#All],AR$2,0)/AR$1</f>
        <v>4.4126554459691247</v>
      </c>
      <c r="AS32" s="87">
        <f>VLOOKUP($B32,Raw_Data[#All],AS$2,0)/AS$1</f>
        <v>4.3388724224171975</v>
      </c>
      <c r="AT32" s="87">
        <f>VLOOKUP($B32,Raw_Data[#All],AT$2,0)/AT$1</f>
        <v>4.2907350097575572</v>
      </c>
      <c r="AU32" s="87">
        <f>VLOOKUP($B32,Raw_Data[#All],AU$2,0)/AU$1</f>
        <v>4.2081014855275924</v>
      </c>
      <c r="AV32" s="87">
        <f>VLOOKUP($B32,Raw_Data[#All],AV$2,0)/AV$1</f>
        <v>4.3305661983822903</v>
      </c>
      <c r="AW32" s="87">
        <f>VLOOKUP($B32,Raw_Data[#All],AW$2,0)/AW$1</f>
        <v>4.5601284467211451</v>
      </c>
      <c r="AX32" s="87">
        <f>VLOOKUP($B32,Raw_Data[#All],AX$2,0)/AX$1</f>
        <v>4.566056146381638</v>
      </c>
      <c r="AY32" s="87">
        <f>VLOOKUP($B32,Raw_Data[#All],AY$2,0)/AY$1</f>
        <v>4.3711767473848049</v>
      </c>
      <c r="AZ32" s="87">
        <f>VLOOKUP($B32,Raw_Data[#All],AZ$2,0)/AZ$1</f>
        <v>4.4045905853177292</v>
      </c>
      <c r="BA32" s="87">
        <f>VLOOKUP($B32,Raw_Data[#All],BA$2,0)/BA$1</f>
        <v>4.4765127574088055</v>
      </c>
      <c r="BB32" s="87">
        <f>VLOOKUP($B32,Raw_Data[#All],BB$2,0)/BB$1</f>
        <v>4.8820641762452111</v>
      </c>
      <c r="BC32" s="87">
        <f>VLOOKUP($B32,Raw_Data[#All],BC$2,0)/BC$1</f>
        <v>4.4564963214793236</v>
      </c>
      <c r="BD32" s="87">
        <f>VLOOKUP($B32,Raw_Data[#All],BD$2,0)/BD$1</f>
        <v>4.5028692957849765</v>
      </c>
      <c r="BE32" s="87">
        <f>VLOOKUP($B32,Raw_Data[#All],BE$2,0)/BE$1</f>
        <v>4.352616336589139</v>
      </c>
      <c r="BF32" s="87">
        <f>VLOOKUP($B32,Raw_Data[#All],BF$2,0)/BF$1</f>
        <v>4.3900159930996061</v>
      </c>
      <c r="BG32" s="87">
        <f>VLOOKUP($B32,Raw_Data[#All],BG$2,0)/BG$1</f>
        <v>4.3017292059437651</v>
      </c>
      <c r="BH32" s="87">
        <f>VLOOKUP($B32,Raw_Data[#All],BH$2,0)/BH$1</f>
        <v>4.2865195258142359</v>
      </c>
      <c r="BI32" s="87">
        <f>VLOOKUP($B32,Raw_Data[#All],BI$2,0)/BI$1</f>
        <v>4.3944738389182829</v>
      </c>
      <c r="BJ32" s="87">
        <f>VLOOKUP($B32,Raw_Data[#All],BJ$2,0)/BJ$1</f>
        <v>4.3683467885975569</v>
      </c>
      <c r="BK32" s="87">
        <f>VLOOKUP($B32,Raw_Data[#All],BK$2,0)/BK$1</f>
        <v>4.3287824006619546</v>
      </c>
      <c r="BL32" s="87">
        <f>VLOOKUP($B32,Raw_Data[#All],BL$2,0)/BL$1</f>
        <v>4.3503821281599055</v>
      </c>
      <c r="BM32" s="87">
        <f>VLOOKUP($B32,Raw_Data[#All],BM$2,0)/BM$1</f>
        <v>4.2501368363437324</v>
      </c>
      <c r="BN32" s="87">
        <f>VLOOKUP($B32,Raw_Data[#All],BN$2,0)/BN$1</f>
        <v>4.2476053639846745</v>
      </c>
      <c r="BO32" s="87">
        <f>VLOOKUP($B32,Raw_Data[#All],BO$2,0)/BO$1</f>
        <v>4.1787480406172026</v>
      </c>
      <c r="BP32" s="87">
        <f>VLOOKUP($B32,Raw_Data[#All],BP$2,0)/BP$1</f>
        <v>4.1874431940866614</v>
      </c>
      <c r="BQ32" s="87">
        <f>VLOOKUP($B32,Raw_Data[#All],BQ$2,0)/BQ$1</f>
        <v>4.2039613427748428</v>
      </c>
      <c r="BR32" s="87">
        <f>VLOOKUP($B32,Raw_Data[#All],BR$2,0)/BR$1</f>
        <v>4.1410945903195193</v>
      </c>
      <c r="BS32" s="87">
        <f>VLOOKUP($B32,Raw_Data[#All],BS$2,0)/BS$1</f>
        <v>4.1721420629095558</v>
      </c>
      <c r="BT32" s="87">
        <f>VLOOKUP($B32,Raw_Data[#All],BT$2,0)/BT$1</f>
        <v>4.1744107877254031</v>
      </c>
      <c r="BU32" s="87">
        <f>VLOOKUP($B32,Raw_Data[#All],BU$2,0)/BU$1</f>
        <v>4.147377144868579</v>
      </c>
      <c r="BV32" s="87">
        <f>VLOOKUP($B32,Raw_Data[#All],BV$2,0)/BV$1</f>
        <v>4.1549734159259524</v>
      </c>
      <c r="BW32" s="87">
        <f>VLOOKUP($B32,Raw_Data[#All],BW$2,0)/BW$1</f>
        <v>4.3163603383493436</v>
      </c>
      <c r="BX32" s="87">
        <f>VLOOKUP($B32,Raw_Data[#All],BX$2,0)/BX$1</f>
        <v>4.2563481331229802</v>
      </c>
      <c r="BY32" s="87">
        <f>VLOOKUP($B32,Raw_Data[#All],BY$2,0)/BY$1</f>
        <v>4.2596647002777273</v>
      </c>
      <c r="BZ32" s="87">
        <f>VLOOKUP($B32,Raw_Data[#All],BZ$2,0)/BZ$1</f>
        <v>4.165885200367959</v>
      </c>
      <c r="CA32" s="87">
        <f>VLOOKUP($B32,Raw_Data[#All],CA$2,0)/CA$1</f>
        <v>4.2207390928191817</v>
      </c>
      <c r="CB32" s="87">
        <f>VLOOKUP($B32,Raw_Data[#All],CB$2,0)/CB$1</f>
        <v>4.2478182205193704</v>
      </c>
      <c r="CC32" s="87">
        <f>VLOOKUP($B32,Raw_Data[#All],CC$2,0)/CC$1</f>
        <v>4.2753755397433553</v>
      </c>
      <c r="CD32" s="87">
        <f>VLOOKUP($B32,Raw_Data[#All],CD$2,0)/CD$1</f>
        <v>4.2132102962603213</v>
      </c>
      <c r="CE32" s="87">
        <f>VLOOKUP($B32,Raw_Data[#All],CE$2,0)/CE$1</f>
        <v>4.1492506327111673</v>
      </c>
      <c r="CF32" s="87">
        <f>VLOOKUP($B32,Raw_Data[#All],CF$2,0)/CF$1</f>
        <v>4.1429576230484004</v>
      </c>
      <c r="CG32" s="87">
        <f>VLOOKUP($B32,Raw_Data[#All],CG$2,0)/CG$1</f>
        <v>4.0821064414863839</v>
      </c>
      <c r="CH32" s="87">
        <f>VLOOKUP($B32,Raw_Data[#All],CH$2,0)/CH$1</f>
        <v>4.0871823262680582</v>
      </c>
      <c r="CI32" s="87">
        <f>VLOOKUP($B32,Raw_Data[#All],CI$2,0)/CI$1</f>
        <v>4.155281161024992</v>
      </c>
      <c r="CJ32" s="87">
        <f>VLOOKUP($B32,Raw_Data[#All],CJ$2,0)/CJ$1</f>
        <v>4.1161529327079576</v>
      </c>
      <c r="CK32" s="87">
        <f>VLOOKUP($B32,Raw_Data[#All],CK$2,0)/CK$1</f>
        <v>4.1934415533059157</v>
      </c>
      <c r="CL32" s="87">
        <f>VLOOKUP($B32,Raw_Data[#All],CL$2,0)/CL$1</f>
        <v>4.1368111917086843</v>
      </c>
      <c r="CM32" s="87">
        <f>VLOOKUP($B32,Raw_Data[#All],CM$2,0)/CM$1</f>
        <v>4.2855774493705532</v>
      </c>
      <c r="CN32" s="87">
        <f>VLOOKUP($B32,Raw_Data[#All],CN$2,0)/CN$1</f>
        <v>4.1823491848846812</v>
      </c>
      <c r="CO32" s="87">
        <f>VLOOKUP($B32,Raw_Data[#All],CO$2,0)/CO$1</f>
        <v>4.2656449553001279</v>
      </c>
      <c r="CP32" s="87">
        <f>VLOOKUP($B32,Raw_Data[#All],CP$2,0)/CP$1</f>
        <v>4.2695473251028808</v>
      </c>
      <c r="CQ32" s="87">
        <f>VLOOKUP($B32,Raw_Data[#All],CQ$2,0)/CQ$1</f>
        <v>4.290822842546981</v>
      </c>
      <c r="CR32" s="87">
        <f>VLOOKUP($B32,Raw_Data[#All],CR$2,0)/CR$1</f>
        <v>4.3764467592592595</v>
      </c>
      <c r="CS32" s="87">
        <f>VLOOKUP($B32,Raw_Data[#All],CS$2,0)/CS$1</f>
        <v>4.3520015166028099</v>
      </c>
      <c r="CT32" s="87">
        <f>VLOOKUP($B32,Raw_Data[#All],CT$2,0)/CT$1</f>
        <v>4.2877005153845458</v>
      </c>
      <c r="CU32" s="87">
        <f>VLOOKUP($B32,Raw_Data[#All],CU$2,0)/CU$1</f>
        <v>4.3725670498084286</v>
      </c>
      <c r="CV32" s="87">
        <f>VLOOKUP($B32,Raw_Data[#All],CV$2,0)/CV$1</f>
        <v>4.3416838589252382</v>
      </c>
      <c r="CW32" s="87">
        <f>VLOOKUP($B32,Raw_Data[#All],CW$2,0)/CW$1</f>
        <v>4.3495074529557289</v>
      </c>
      <c r="CX32" s="87">
        <f>VLOOKUP($B32,Raw_Data[#All],CX$2,0)/CX$1</f>
        <v>4.4059242780043677</v>
      </c>
      <c r="CY32" s="87">
        <f>VLOOKUP($B32,Raw_Data[#All],CY$2,0)/CY$1</f>
        <v>4.2441819213849863</v>
      </c>
      <c r="CZ32" s="87">
        <f>VLOOKUP($B32,Raw_Data[#All],CZ$2,0)/CZ$1</f>
        <v>4.4158633049066864</v>
      </c>
      <c r="DA32" s="87">
        <f>VLOOKUP($B32,Raw_Data[#All],DA$2,0)/DA$1</f>
        <v>4.3584656084656084</v>
      </c>
      <c r="DB32" s="87">
        <f>VLOOKUP($B32,Raw_Data[#All],DB$2,0)/DB$1</f>
        <v>4.3941570881226051</v>
      </c>
      <c r="DC32" s="87">
        <f>VLOOKUP($B32,Raw_Data[#All],DC$2,0)/DC$1</f>
        <v>4.3219470077167985</v>
      </c>
      <c r="DD32" s="87">
        <f>VLOOKUP($B32,Raw_Data[#All],DD$2,0)/DD$1</f>
        <v>4.3643091933086282</v>
      </c>
      <c r="DE32" s="87">
        <f>VLOOKUP($B32,Raw_Data[#All],DE$2,0)/DE$1</f>
        <v>4.3415987624341197</v>
      </c>
      <c r="DF32" s="87">
        <f>VLOOKUP($B32,Raw_Data[#All],DF$2,0)/DF$1</f>
        <v>4.3522509578544062</v>
      </c>
      <c r="DG32" s="87">
        <f>VLOOKUP($B32,Raw_Data[#All],DG$2,0)/DG$1</f>
        <v>4.2911421273490236</v>
      </c>
      <c r="DH32" s="87">
        <f>VLOOKUP($B32,Raw_Data[#All],DH$2,0)/DH$1</f>
        <v>4.2595087005108558</v>
      </c>
      <c r="DI32" s="87">
        <f>VLOOKUP($B32,Raw_Data[#All],DI$2,0)/DI$1</f>
        <v>4.4072249589490964</v>
      </c>
      <c r="DJ32" s="87">
        <f>VLOOKUP($B32,Raw_Data[#All],DJ$2,0)/DJ$1</f>
        <v>4.3999441251596423</v>
      </c>
      <c r="DK32" s="87">
        <f>VLOOKUP($B32,Raw_Data[#All],DK$2,0)/DK$1</f>
        <v>3.3677115272533764</v>
      </c>
      <c r="DL32" s="87">
        <f>VLOOKUP($B32,Raw_Data[#All],DL$2,0)/DL$1</f>
        <v>3.4015690567414705</v>
      </c>
      <c r="DM32" s="87">
        <f>VLOOKUP($B32,Raw_Data[#All],DM$2,0)/DM$1</f>
        <v>3.3558828224776502</v>
      </c>
      <c r="DN32" s="87">
        <f>VLOOKUP($B32,Raw_Data[#All],DN$2,0)/DN$1</f>
        <v>3.4149054505005561</v>
      </c>
      <c r="DO32" s="87">
        <f>VLOOKUP($B32,Raw_Data[#All],DO$2,0)/DO$1</f>
        <v>3.4357762017336486</v>
      </c>
      <c r="DP32" s="87">
        <f>VLOOKUP($B32,Raw_Data[#All],DP$2,0)/DP$1</f>
        <v>3.4213839871926326</v>
      </c>
      <c r="DQ32" s="87">
        <f>VLOOKUP($B32,Raw_Data[#All],DQ$2,0)/DQ$1</f>
        <v>3.4124247400109464</v>
      </c>
      <c r="DR32" s="87">
        <f>VLOOKUP($B32,Raw_Data[#All],DR$2,0)/DR$1</f>
        <v>3.3917025862068968</v>
      </c>
      <c r="DS32" s="87">
        <f>VLOOKUP($B32,Raw_Data[#All],DS$2,0)/DS$1</f>
        <v>4.348299246307989</v>
      </c>
      <c r="DT32" s="87">
        <f>VLOOKUP($B32,Raw_Data[#All],DT$2,0)/DT$1</f>
        <v>4.386060937785075</v>
      </c>
      <c r="DU32" s="87">
        <f>VLOOKUP($B32,Raw_Data[#All],DU$2,0)/DU$1</f>
        <v>4.4460408684546611</v>
      </c>
      <c r="DV32" s="87">
        <f>VLOOKUP($B32,Raw_Data[#All],DV$2,0)/DV$1</f>
        <v>4.4220945083014049</v>
      </c>
      <c r="DW32" s="87">
        <f>VLOOKUP($B32,Raw_Data[#All],DW$2,0)/DW$1</f>
        <v>4.4757534168239266</v>
      </c>
      <c r="DX32" s="87">
        <f>VLOOKUP($B32,Raw_Data[#All],DX$2,0)/DX$1</f>
        <v>4.4062385003355189</v>
      </c>
      <c r="DY32" s="87">
        <f>VLOOKUP($B32,Raw_Data[#All],DY$2,0)/DY$1</f>
        <v>4.3766542654598624</v>
      </c>
      <c r="DZ32" s="87">
        <f>VLOOKUP($B32,Raw_Data[#All],DZ$2,0)/DZ$1</f>
        <v>4.3897099069512864</v>
      </c>
      <c r="EA32" s="87">
        <f>VLOOKUP($B32,Raw_Data[#All],EA$2,0)/EA$1</f>
        <v>4.4141123882503193</v>
      </c>
      <c r="EB32" s="87">
        <f>VLOOKUP($B32,Raw_Data[#All],EB$2,0)/EB$1</f>
        <v>4.4975754310344822</v>
      </c>
      <c r="EC32" s="87">
        <f>VLOOKUP($B32,Raw_Data[#All],EC$2,0)/EC$1</f>
        <v>4.4215665570539322</v>
      </c>
      <c r="ED32" s="87">
        <f>VLOOKUP($B32,Raw_Data[#All],ED$2,0)/ED$1</f>
        <v>4.3824451410658307</v>
      </c>
      <c r="EE32" s="87">
        <f>VLOOKUP($B32,Raw_Data[#All],EE$2,0)/EE$1</f>
        <v>4.4874211924020351</v>
      </c>
      <c r="EF32" s="87">
        <f>VLOOKUP($B32,Raw_Data[#All],EF$2,0)/EF$1</f>
        <v>4.4549352307972994</v>
      </c>
      <c r="EG32" s="87">
        <f>VLOOKUP($B32,Raw_Data[#All],EG$2,0)/EG$1</f>
        <v>4.3557930236270757</v>
      </c>
      <c r="EH32" s="87">
        <f>VLOOKUP($B32,Raw_Data[#All],EH$2,0)/EH$1</f>
        <v>4.3627773786717752</v>
      </c>
      <c r="EI32" s="87">
        <f>VLOOKUP($B32,Raw_Data[#All],EI$2,0)/EI$1</f>
        <v>4.3762860082304531</v>
      </c>
      <c r="EJ32" s="87">
        <f>VLOOKUP($B32,Raw_Data[#All],EJ$2,0)/EJ$1</f>
        <v>5.0558748403575997</v>
      </c>
      <c r="EK32" s="87">
        <f>VLOOKUP($B32,Raw_Data[#All],EK$2,0)/EK$1</f>
        <v>4.449854548034625</v>
      </c>
      <c r="EL32" s="87">
        <f>VLOOKUP($B32,Raw_Data[#All],EL$2,0)/EL$1</f>
        <v>5.0504267266719367</v>
      </c>
      <c r="EM32" s="87">
        <f>VLOOKUP($B32,Raw_Data[#All],EM$2,0)/EM$1</f>
        <v>4.5270987354523058</v>
      </c>
      <c r="EN32" s="87">
        <f>VLOOKUP($B32,Raw_Data[#All],EN$2,0)/EN$1</f>
        <v>5.041050903119868</v>
      </c>
      <c r="EO32" s="87">
        <f>VLOOKUP($B32,Raw_Data[#All],EO$2,0)/EO$1</f>
        <v>4.573954342273308</v>
      </c>
      <c r="EP32" s="87">
        <f>VLOOKUP($B32,Raw_Data[#All],EP$2,0)/EP$1</f>
        <v>4.9571459929757342</v>
      </c>
      <c r="EQ32" s="87">
        <f>VLOOKUP($B32,Raw_Data[#All],EQ$2,0)/EQ$1</f>
        <v>4.3881762822292565</v>
      </c>
      <c r="ER32" s="87">
        <f>VLOOKUP($B32,Raw_Data[#All],ER$2,0)/ER$1</f>
        <v>4.3702994181921389</v>
      </c>
      <c r="ES32" s="87">
        <f>VLOOKUP($B32,Raw_Data[#All],ES$2,0)/ES$1</f>
        <v>4.3714136671883148</v>
      </c>
      <c r="ET32" s="87">
        <f>VLOOKUP($B32,Raw_Data[#All],ET$2,0)/ET$1</f>
        <v>4.3740219092331776</v>
      </c>
      <c r="EU32" s="87">
        <f>VLOOKUP($B32,Raw_Data[#All],EU$2,0)/EU$1</f>
        <v>4.3852643318403404</v>
      </c>
      <c r="EV32" s="87">
        <f>VLOOKUP($B32,Raw_Data[#All],EV$2,0)/EV$1</f>
        <v>4.3348676741875973</v>
      </c>
      <c r="EW32" s="87">
        <f>VLOOKUP($B32,Raw_Data[#All],EW$2,0)/EW$1</f>
        <v>4.5088002873563218</v>
      </c>
      <c r="EX32" s="87">
        <f>VLOOKUP($B32,Raw_Data[#All],EX$2,0)/EX$1</f>
        <v>4.4385084453078631</v>
      </c>
      <c r="EY32" s="87">
        <f>VLOOKUP($B32,Raw_Data[#All],EY$2,0)/EY$1</f>
        <v>4.3566969429038389</v>
      </c>
      <c r="EZ32" s="87">
        <f>VLOOKUP($B32,Raw_Data[#All],EZ$2,0)/EZ$1</f>
        <v>4.3669291897261244</v>
      </c>
      <c r="FA32" s="87">
        <f>VLOOKUP($B32,Raw_Data[#All],FA$2,0)/FA$1</f>
        <v>4.3665300837235703</v>
      </c>
      <c r="FB32" s="87">
        <f>VLOOKUP($B32,Raw_Data[#All],FB$2,0)/FB$1</f>
        <v>4.3291914999290482</v>
      </c>
      <c r="FC32" s="87">
        <f>VLOOKUP($B32,Raw_Data[#All],FC$2,0)/FC$1</f>
        <v>4.3517631616290622</v>
      </c>
      <c r="FD32" s="87">
        <f>VLOOKUP($B32,Raw_Data[#All],FD$2,0)/FD$1</f>
        <v>4.3844288793103452</v>
      </c>
      <c r="FE32" s="87">
        <f>VLOOKUP($B32,Raw_Data[#All],FE$2,0)/FE$1</f>
        <v>4.3497232865048954</v>
      </c>
      <c r="FF32" s="87">
        <f>VLOOKUP($B32,Raw_Data[#All],FF$2,0)/FF$1</f>
        <v>4.4355643358876113</v>
      </c>
      <c r="FG32" s="105">
        <f>VLOOKUP($B32,Raw_Data[#All],FG$2,0)/FG$1</f>
        <v>4.35486194897004</v>
      </c>
    </row>
    <row r="33" spans="2:163">
      <c r="B33" s="104">
        <f t="shared" si="0"/>
        <v>45856</v>
      </c>
      <c r="C33" s="87">
        <f>VLOOKUP($B33,Raw_Data[#All],C$2,0)/C$1</f>
        <v>2.3316345284574651</v>
      </c>
      <c r="D33" s="87">
        <f>VLOOKUP($B33,Raw_Data[#All],D$2,0)/D$1</f>
        <v>2.3686866512644635</v>
      </c>
      <c r="E33" s="87">
        <f>VLOOKUP($B33,Raw_Data[#All],E$2,0)/E$1</f>
        <v>2.3605550533097994</v>
      </c>
      <c r="F33" s="87">
        <f>VLOOKUP($B33,Raw_Data[#All],F$2,0)/F$1</f>
        <v>2.3574087755480204</v>
      </c>
      <c r="G33" s="87">
        <f>VLOOKUP($B33,Raw_Data[#All],G$2,0)/G$1</f>
        <v>2.3859065057566928</v>
      </c>
      <c r="H33" s="87">
        <f>VLOOKUP($B33,Raw_Data[#All],H$2,0)/H$1</f>
        <v>2.3868631643395943</v>
      </c>
      <c r="I33" s="87">
        <f>VLOOKUP($B33,Raw_Data[#All],I$2,0)/I$1</f>
        <v>2.4059963359976275</v>
      </c>
      <c r="J33" s="87">
        <f>VLOOKUP($B33,Raw_Data[#All],J$2,0)/J$1</f>
        <v>2.3565877338924723</v>
      </c>
      <c r="K33" s="87">
        <f>VLOOKUP($B33,Raw_Data[#All],K$2,0)/K$1</f>
        <v>2.3639033583499551</v>
      </c>
      <c r="L33" s="87">
        <f>VLOOKUP($B33,Raw_Data[#All],L$2,0)/L$1</f>
        <v>2.3294053165250754</v>
      </c>
      <c r="M33" s="87">
        <f>VLOOKUP($B33,Raw_Data[#All],M$2,0)/M$1</f>
        <v>2.3643660939840991</v>
      </c>
      <c r="N33" s="87">
        <f>VLOOKUP($B33,Raw_Data[#All],N$2,0)/N$1</f>
        <v>2.356728418978193</v>
      </c>
      <c r="O33" s="87">
        <f>VLOOKUP($B33,Raw_Data[#All],O$2,0)/O$1</f>
        <v>2.3569296048818362</v>
      </c>
      <c r="P33" s="87">
        <f>VLOOKUP($B33,Raw_Data[#All],P$2,0)/P$1</f>
        <v>2.3466835038577254</v>
      </c>
      <c r="Q33" s="87">
        <f>VLOOKUP($B33,Raw_Data[#All],Q$2,0)/Q$1</f>
        <v>2.3782532370934799</v>
      </c>
      <c r="R33" s="87">
        <f>VLOOKUP($B33,Raw_Data[#All],R$2,0)/R$1</f>
        <v>2.3777749078020287</v>
      </c>
      <c r="S33" s="87">
        <f>VLOOKUP($B33,Raw_Data[#All],S$2,0)/S$1</f>
        <v>2.3637120266333751</v>
      </c>
      <c r="T33" s="87">
        <f>VLOOKUP($B33,Raw_Data[#All],T$2,0)/T$1</f>
        <v>2.3593592300811723</v>
      </c>
      <c r="U33" s="87">
        <f>VLOOKUP($B33,Raw_Data[#All],U$2,0)/U$1</f>
        <v>2.3579720751359652</v>
      </c>
      <c r="V33" s="87">
        <f>VLOOKUP($B33,Raw_Data[#All],V$2,0)/V$1</f>
        <v>2.3674908280358364</v>
      </c>
      <c r="W33" s="87">
        <f>VLOOKUP($B33,Raw_Data[#All],W$2,0)/W$1</f>
        <v>2.3421849026043224</v>
      </c>
      <c r="X33" s="87">
        <f>VLOOKUP($B33,Raw_Data[#All],X$2,0)/X$1</f>
        <v>2.3295492171609666</v>
      </c>
      <c r="Y33" s="87">
        <f>VLOOKUP($B33,Raw_Data[#All],Y$2,0)/Y$1</f>
        <v>2.3320238614869777</v>
      </c>
      <c r="Z33" s="87">
        <f>VLOOKUP($B33,Raw_Data[#All],Z$2,0)/Z$1</f>
        <v>2.3302681992337169</v>
      </c>
      <c r="AA33" s="87">
        <f>VLOOKUP($B33,Raw_Data[#All],AA$2,0)/AA$1</f>
        <v>2.2959770114942528</v>
      </c>
      <c r="AB33" s="87">
        <f>VLOOKUP($B33,Raw_Data[#All],AB$2,0)/AB$1</f>
        <v>2.2653931250337274</v>
      </c>
      <c r="AC33" s="87">
        <f>VLOOKUP($B33,Raw_Data[#All],AC$2,0)/AC$1</f>
        <v>2.2638042330297563</v>
      </c>
      <c r="AD33" s="87">
        <f>VLOOKUP($B33,Raw_Data[#All],AD$2,0)/AD$1</f>
        <v>2.2614824275105248</v>
      </c>
      <c r="AE33" s="87">
        <f>VLOOKUP($B33,Raw_Data[#All],AE$2,0)/AE$1</f>
        <v>2.3475710704318624</v>
      </c>
      <c r="AF33" s="87">
        <f>VLOOKUP($B33,Raw_Data[#All],AF$2,0)/AF$1</f>
        <v>2.3587164750957856</v>
      </c>
      <c r="AG33" s="87">
        <f>VLOOKUP($B33,Raw_Data[#All],AG$2,0)/AG$1</f>
        <v>2.3454095736941656</v>
      </c>
      <c r="AH33" s="87">
        <f>VLOOKUP($B33,Raw_Data[#All],AH$2,0)/AH$1</f>
        <v>2.3395298235655835</v>
      </c>
      <c r="AI33" s="87">
        <f>VLOOKUP($B33,Raw_Data[#All],AI$2,0)/AI$1</f>
        <v>2.3683518207604477</v>
      </c>
      <c r="AJ33" s="87">
        <f>VLOOKUP($B33,Raw_Data[#All],AJ$2,0)/AJ$1</f>
        <v>2.3672516633901108</v>
      </c>
      <c r="AK33" s="87">
        <f>VLOOKUP($B33,Raw_Data[#All],AK$2,0)/AK$1</f>
        <v>2.3865761667647241</v>
      </c>
      <c r="AL33" s="87">
        <f>VLOOKUP($B33,Raw_Data[#All],AL$2,0)/AL$1</f>
        <v>2.3603158886640738</v>
      </c>
      <c r="AM33" s="87">
        <f>VLOOKUP($B33,Raw_Data[#All],AM$2,0)/AM$1</f>
        <v>2.3803578859758634</v>
      </c>
      <c r="AN33" s="87">
        <f>VLOOKUP($B33,Raw_Data[#All],AN$2,0)/AN$1</f>
        <v>2.3403217242814294</v>
      </c>
      <c r="AO33" s="87">
        <f>VLOOKUP($B33,Raw_Data[#All],AO$2,0)/AO$1</f>
        <v>2.3517537943471045</v>
      </c>
      <c r="AP33" s="87">
        <f>VLOOKUP($B33,Raw_Data[#All],AP$2,0)/AP$1</f>
        <v>2.3453441818416634</v>
      </c>
      <c r="AQ33" s="87">
        <f>VLOOKUP($B33,Raw_Data[#All],AQ$2,0)/AQ$1</f>
        <v>2.3865345364700827</v>
      </c>
      <c r="AR33" s="87">
        <f>VLOOKUP($B33,Raw_Data[#All],AR$2,0)/AR$1</f>
        <v>2.3298134648370494</v>
      </c>
      <c r="AS33" s="87">
        <f>VLOOKUP($B33,Raw_Data[#All],AS$2,0)/AS$1</f>
        <v>2.3916881890764503</v>
      </c>
      <c r="AT33" s="87">
        <f>VLOOKUP($B33,Raw_Data[#All],AT$2,0)/AT$1</f>
        <v>2.3742793474717434</v>
      </c>
      <c r="AU33" s="87">
        <f>VLOOKUP($B33,Raw_Data[#All],AU$2,0)/AU$1</f>
        <v>2.1281501522963571</v>
      </c>
      <c r="AV33" s="87">
        <f>VLOOKUP($B33,Raw_Data[#All],AV$2,0)/AV$1</f>
        <v>2.318990077610767</v>
      </c>
      <c r="AW33" s="87">
        <f>VLOOKUP($B33,Raw_Data[#All],AW$2,0)/AW$1</f>
        <v>2.3857539273844268</v>
      </c>
      <c r="AX33" s="87">
        <f>VLOOKUP($B33,Raw_Data[#All],AX$2,0)/AX$1</f>
        <v>2.4003652379417768</v>
      </c>
      <c r="AY33" s="87">
        <f>VLOOKUP($B33,Raw_Data[#All],AY$2,0)/AY$1</f>
        <v>2.2686140369927972</v>
      </c>
      <c r="AZ33" s="87">
        <f>VLOOKUP($B33,Raw_Data[#All],AZ$2,0)/AZ$1</f>
        <v>2.302080787784988</v>
      </c>
      <c r="BA33" s="87">
        <f>VLOOKUP($B33,Raw_Data[#All],BA$2,0)/BA$1</f>
        <v>2.3254187991162567</v>
      </c>
      <c r="BB33" s="87">
        <f>VLOOKUP($B33,Raw_Data[#All],BB$2,0)/BB$1</f>
        <v>2.3402578224776502</v>
      </c>
      <c r="BC33" s="87">
        <f>VLOOKUP($B33,Raw_Data[#All],BC$2,0)/BC$1</f>
        <v>2.324483298256975</v>
      </c>
      <c r="BD33" s="87">
        <f>VLOOKUP($B33,Raw_Data[#All],BD$2,0)/BD$1</f>
        <v>2.3334800066002965</v>
      </c>
      <c r="BE33" s="87">
        <f>VLOOKUP($B33,Raw_Data[#All],BE$2,0)/BE$1</f>
        <v>2.3046966344683684</v>
      </c>
      <c r="BF33" s="87">
        <f>VLOOKUP($B33,Raw_Data[#All],BF$2,0)/BF$1</f>
        <v>2.2960879800176102</v>
      </c>
      <c r="BG33" s="87">
        <f>VLOOKUP($B33,Raw_Data[#All],BG$2,0)/BG$1</f>
        <v>2.2937825619817955</v>
      </c>
      <c r="BH33" s="87">
        <f>VLOOKUP($B33,Raw_Data[#All],BH$2,0)/BH$1</f>
        <v>2.3097179898187452</v>
      </c>
      <c r="BI33" s="87">
        <f>VLOOKUP($B33,Raw_Data[#All],BI$2,0)/BI$1</f>
        <v>2.3034117861704066</v>
      </c>
      <c r="BJ33" s="87">
        <f>VLOOKUP($B33,Raw_Data[#All],BJ$2,0)/BJ$1</f>
        <v>2.3281774665999859</v>
      </c>
      <c r="BK33" s="87">
        <f>VLOOKUP($B33,Raw_Data[#All],BK$2,0)/BK$1</f>
        <v>2.319086935405537</v>
      </c>
      <c r="BL33" s="87">
        <f>VLOOKUP($B33,Raw_Data[#All],BL$2,0)/BL$1</f>
        <v>2.2998641772588133</v>
      </c>
      <c r="BM33" s="87">
        <f>VLOOKUP($B33,Raw_Data[#All],BM$2,0)/BM$1</f>
        <v>2.2879036672140121</v>
      </c>
      <c r="BN33" s="87">
        <f>VLOOKUP($B33,Raw_Data[#All],BN$2,0)/BN$1</f>
        <v>2.2921455938697317</v>
      </c>
      <c r="BO33" s="87">
        <f>VLOOKUP($B33,Raw_Data[#All],BO$2,0)/BO$1</f>
        <v>2.2273335981522933</v>
      </c>
      <c r="BP33" s="87">
        <f>VLOOKUP($B33,Raw_Data[#All],BP$2,0)/BP$1</f>
        <v>2.2717343818261249</v>
      </c>
      <c r="BQ33" s="87">
        <f>VLOOKUP($B33,Raw_Data[#All],BQ$2,0)/BQ$1</f>
        <v>2.2763330344209147</v>
      </c>
      <c r="BR33" s="87">
        <f>VLOOKUP($B33,Raw_Data[#All],BR$2,0)/BR$1</f>
        <v>2.275048583178922</v>
      </c>
      <c r="BS33" s="87">
        <f>VLOOKUP($B33,Raw_Data[#All],BS$2,0)/BS$1</f>
        <v>2.2695608988586273</v>
      </c>
      <c r="BT33" s="87">
        <f>VLOOKUP($B33,Raw_Data[#All],BT$2,0)/BT$1</f>
        <v>2.2846804808604873</v>
      </c>
      <c r="BU33" s="87">
        <f>VLOOKUP($B33,Raw_Data[#All],BU$2,0)/BU$1</f>
        <v>2.2385499329415279</v>
      </c>
      <c r="BV33" s="87">
        <f>VLOOKUP($B33,Raw_Data[#All],BV$2,0)/BV$1</f>
        <v>2.262962925166597</v>
      </c>
      <c r="BW33" s="87">
        <f>VLOOKUP($B33,Raw_Data[#All],BW$2,0)/BW$1</f>
        <v>2.369648509078794</v>
      </c>
      <c r="BX33" s="87">
        <f>VLOOKUP($B33,Raw_Data[#All],BX$2,0)/BX$1</f>
        <v>2.3551949515438357</v>
      </c>
      <c r="BY33" s="87">
        <f>VLOOKUP($B33,Raw_Data[#All],BY$2,0)/BY$1</f>
        <v>2.3013845810780675</v>
      </c>
      <c r="BZ33" s="87">
        <f>VLOOKUP($B33,Raw_Data[#All],BZ$2,0)/BZ$1</f>
        <v>2.2765229661781383</v>
      </c>
      <c r="CA33" s="87">
        <f>VLOOKUP($B33,Raw_Data[#All],CA$2,0)/CA$1</f>
        <v>2.2937008198409758</v>
      </c>
      <c r="CB33" s="87">
        <f>VLOOKUP($B33,Raw_Data[#All],CB$2,0)/CB$1</f>
        <v>2.3152582659287639</v>
      </c>
      <c r="CC33" s="87">
        <f>VLOOKUP($B33,Raw_Data[#All],CC$2,0)/CC$1</f>
        <v>2.3145614141782724</v>
      </c>
      <c r="CD33" s="87">
        <f>VLOOKUP($B33,Raw_Data[#All],CD$2,0)/CD$1</f>
        <v>2.3019984530426494</v>
      </c>
      <c r="CE33" s="87">
        <f>VLOOKUP($B33,Raw_Data[#All],CE$2,0)/CE$1</f>
        <v>2.2720262575134451</v>
      </c>
      <c r="CF33" s="87">
        <f>VLOOKUP($B33,Raw_Data[#All],CF$2,0)/CF$1</f>
        <v>2.2809393629685948</v>
      </c>
      <c r="CG33" s="87">
        <f>VLOOKUP($B33,Raw_Data[#All],CG$2,0)/CG$1</f>
        <v>2.257318764753121</v>
      </c>
      <c r="CH33" s="87">
        <f>VLOOKUP($B33,Raw_Data[#All],CH$2,0)/CH$1</f>
        <v>2.1770536749973637</v>
      </c>
      <c r="CI33" s="87">
        <f>VLOOKUP($B33,Raw_Data[#All],CI$2,0)/CI$1</f>
        <v>2.2685661183169881</v>
      </c>
      <c r="CJ33" s="87">
        <f>VLOOKUP($B33,Raw_Data[#All],CJ$2,0)/CJ$1</f>
        <v>2.2495174431133056</v>
      </c>
      <c r="CK33" s="87">
        <f>VLOOKUP($B33,Raw_Data[#All],CK$2,0)/CK$1</f>
        <v>2.2790948275862069</v>
      </c>
      <c r="CL33" s="87">
        <f>VLOOKUP($B33,Raw_Data[#All],CL$2,0)/CL$1</f>
        <v>2.2551393784312683</v>
      </c>
      <c r="CM33" s="87">
        <f>VLOOKUP($B33,Raw_Data[#All],CM$2,0)/CM$1</f>
        <v>2.3180988870644041</v>
      </c>
      <c r="CN33" s="87">
        <f>VLOOKUP($B33,Raw_Data[#All],CN$2,0)/CN$1</f>
        <v>2.2856565998046725</v>
      </c>
      <c r="CO33" s="87">
        <f>VLOOKUP($B33,Raw_Data[#All],CO$2,0)/CO$1</f>
        <v>2.2990565649075103</v>
      </c>
      <c r="CP33" s="87">
        <f>VLOOKUP($B33,Raw_Data[#All],CP$2,0)/CP$1</f>
        <v>2.3171651057187459</v>
      </c>
      <c r="CQ33" s="87">
        <f>VLOOKUP($B33,Raw_Data[#All],CQ$2,0)/CQ$1</f>
        <v>2.3062853493887978</v>
      </c>
      <c r="CR33" s="87">
        <f>VLOOKUP($B33,Raw_Data[#All],CR$2,0)/CR$1</f>
        <v>2.3243434706257982</v>
      </c>
      <c r="CS33" s="87">
        <f>VLOOKUP($B33,Raw_Data[#All],CS$2,0)/CS$1</f>
        <v>2.2942608556832695</v>
      </c>
      <c r="CT33" s="87">
        <f>VLOOKUP($B33,Raw_Data[#All],CT$2,0)/CT$1</f>
        <v>2.320679691675045</v>
      </c>
      <c r="CU33" s="87">
        <f>VLOOKUP($B33,Raw_Data[#All],CU$2,0)/CU$1</f>
        <v>2.3348659003831416</v>
      </c>
      <c r="CV33" s="87">
        <f>VLOOKUP($B33,Raw_Data[#All],CV$2,0)/CV$1</f>
        <v>2.31967776795363</v>
      </c>
      <c r="CW33" s="87">
        <f>VLOOKUP($B33,Raw_Data[#All],CW$2,0)/CW$1</f>
        <v>2.3168019719743858</v>
      </c>
      <c r="CX33" s="87">
        <f>VLOOKUP($B33,Raw_Data[#All],CX$2,0)/CX$1</f>
        <v>2.3217154863428502</v>
      </c>
      <c r="CY33" s="87">
        <f>VLOOKUP($B33,Raw_Data[#All],CY$2,0)/CY$1</f>
        <v>2.2487849439477796</v>
      </c>
      <c r="CZ33" s="87">
        <f>VLOOKUP($B33,Raw_Data[#All],CZ$2,0)/CZ$1</f>
        <v>2.3200160672351999</v>
      </c>
      <c r="DA33" s="87">
        <f>VLOOKUP($B33,Raw_Data[#All],DA$2,0)/DA$1</f>
        <v>2.293970078452837</v>
      </c>
      <c r="DB33" s="87">
        <f>VLOOKUP($B33,Raw_Data[#All],DB$2,0)/DB$1</f>
        <v>2.2948595146871007</v>
      </c>
      <c r="DC33" s="87">
        <f>VLOOKUP($B33,Raw_Data[#All],DC$2,0)/DC$1</f>
        <v>2.2827514255391868</v>
      </c>
      <c r="DD33" s="87">
        <f>VLOOKUP($B33,Raw_Data[#All],DD$2,0)/DD$1</f>
        <v>2.2856081066934655</v>
      </c>
      <c r="DE33" s="87">
        <f>VLOOKUP($B33,Raw_Data[#All],DE$2,0)/DE$1</f>
        <v>2.2854046372744774</v>
      </c>
      <c r="DF33" s="87">
        <f>VLOOKUP($B33,Raw_Data[#All],DF$2,0)/DF$1</f>
        <v>2.2780471743295019</v>
      </c>
      <c r="DG33" s="87">
        <f>VLOOKUP($B33,Raw_Data[#All],DG$2,0)/DG$1</f>
        <v>2.279374201787995</v>
      </c>
      <c r="DH33" s="87">
        <f>VLOOKUP($B33,Raw_Data[#All],DH$2,0)/DH$1</f>
        <v>2.2298551245210727</v>
      </c>
      <c r="DI33" s="87">
        <f>VLOOKUP($B33,Raw_Data[#All],DI$2,0)/DI$1</f>
        <v>2.3225232621784344</v>
      </c>
      <c r="DJ33" s="87">
        <f>VLOOKUP($B33,Raw_Data[#All],DJ$2,0)/DJ$1</f>
        <v>2.1449453224776502</v>
      </c>
      <c r="DK33" s="87">
        <f>VLOOKUP($B33,Raw_Data[#All],DK$2,0)/DK$1</f>
        <v>2.2995717507538704</v>
      </c>
      <c r="DL33" s="87">
        <f>VLOOKUP($B33,Raw_Data[#All],DL$2,0)/DL$1</f>
        <v>2.3018153621601898</v>
      </c>
      <c r="DM33" s="87">
        <f>VLOOKUP($B33,Raw_Data[#All],DM$2,0)/DM$1</f>
        <v>2.2775981800766281</v>
      </c>
      <c r="DN33" s="87">
        <f>VLOOKUP($B33,Raw_Data[#All],DN$2,0)/DN$1</f>
        <v>2.304154822230462</v>
      </c>
      <c r="DO33" s="87">
        <f>VLOOKUP($B33,Raw_Data[#All],DO$2,0)/DO$1</f>
        <v>2.2872566868653932</v>
      </c>
      <c r="DP33" s="87">
        <f>VLOOKUP($B33,Raw_Data[#All],DP$2,0)/DP$1</f>
        <v>2.2899915456981996</v>
      </c>
      <c r="DQ33" s="87">
        <f>VLOOKUP($B33,Raw_Data[#All],DQ$2,0)/DQ$1</f>
        <v>2.2852581645685093</v>
      </c>
      <c r="DR33" s="87">
        <f>VLOOKUP($B33,Raw_Data[#All],DR$2,0)/DR$1</f>
        <v>2.2845326468710092</v>
      </c>
      <c r="DS33" s="87">
        <f>VLOOKUP($B33,Raw_Data[#All],DS$2,0)/DS$1</f>
        <v>2.2864389401543361</v>
      </c>
      <c r="DT33" s="87">
        <f>VLOOKUP($B33,Raw_Data[#All],DT$2,0)/DT$1</f>
        <v>2.2932757607087106</v>
      </c>
      <c r="DU33" s="87">
        <f>VLOOKUP($B33,Raw_Data[#All],DU$2,0)/DU$1</f>
        <v>2.3239238224025236</v>
      </c>
      <c r="DV33" s="87">
        <f>VLOOKUP($B33,Raw_Data[#All],DV$2,0)/DV$1</f>
        <v>2.2362606174866708</v>
      </c>
      <c r="DW33" s="87">
        <f>VLOOKUP($B33,Raw_Data[#All],DW$2,0)/DW$1</f>
        <v>2.328158060273346</v>
      </c>
      <c r="DX33" s="87">
        <f>VLOOKUP($B33,Raw_Data[#All],DX$2,0)/DX$1</f>
        <v>2.2770417992510334</v>
      </c>
      <c r="DY33" s="87">
        <f>VLOOKUP($B33,Raw_Data[#All],DY$2,0)/DY$1</f>
        <v>2.2812205008606807</v>
      </c>
      <c r="DZ33" s="87">
        <f>VLOOKUP($B33,Raw_Data[#All],DZ$2,0)/DZ$1</f>
        <v>2.2890693101421067</v>
      </c>
      <c r="EA33" s="87">
        <f>VLOOKUP($B33,Raw_Data[#All],EA$2,0)/EA$1</f>
        <v>2.2788453863346101</v>
      </c>
      <c r="EB33" s="87">
        <f>VLOOKUP($B33,Raw_Data[#All],EB$2,0)/EB$1</f>
        <v>2.3372146392081734</v>
      </c>
      <c r="EC33" s="87">
        <f>VLOOKUP($B33,Raw_Data[#All],EC$2,0)/EC$1</f>
        <v>2.3036775575466861</v>
      </c>
      <c r="ED33" s="87">
        <f>VLOOKUP($B33,Raw_Data[#All],ED$2,0)/ED$1</f>
        <v>2.2861952861952863</v>
      </c>
      <c r="EE33" s="87">
        <f>VLOOKUP($B33,Raw_Data[#All],EE$2,0)/EE$1</f>
        <v>2.3132437308682516</v>
      </c>
      <c r="EF33" s="87">
        <f>VLOOKUP($B33,Raw_Data[#All],EF$2,0)/EF$1</f>
        <v>2.2971971355592045</v>
      </c>
      <c r="EG33" s="87">
        <f>VLOOKUP($B33,Raw_Data[#All],EG$2,0)/EG$1</f>
        <v>2.257393438697318</v>
      </c>
      <c r="EH33" s="87">
        <f>VLOOKUP($B33,Raw_Data[#All],EH$2,0)/EH$1</f>
        <v>2.261783604725415</v>
      </c>
      <c r="EI33" s="87">
        <f>VLOOKUP($B33,Raw_Data[#All],EI$2,0)/EI$1</f>
        <v>2.3764101745423583</v>
      </c>
      <c r="EJ33" s="87">
        <f>VLOOKUP($B33,Raw_Data[#All],EJ$2,0)/EJ$1</f>
        <v>2.6942487537593212</v>
      </c>
      <c r="EK33" s="87">
        <f>VLOOKUP($B33,Raw_Data[#All],EK$2,0)/EK$1</f>
        <v>2.3963654746700724</v>
      </c>
      <c r="EL33" s="87">
        <f>VLOOKUP($B33,Raw_Data[#All],EL$2,0)/EL$1</f>
        <v>2.7006933041415797</v>
      </c>
      <c r="EM33" s="87">
        <f>VLOOKUP($B33,Raw_Data[#All],EM$2,0)/EM$1</f>
        <v>2.3927023186372387</v>
      </c>
      <c r="EN33" s="87">
        <f>VLOOKUP($B33,Raw_Data[#All],EN$2,0)/EN$1</f>
        <v>2.6448944839749435</v>
      </c>
      <c r="EO33" s="87">
        <f>VLOOKUP($B33,Raw_Data[#All],EO$2,0)/EO$1</f>
        <v>2.3646531768837802</v>
      </c>
      <c r="EP33" s="87">
        <f>VLOOKUP($B33,Raw_Data[#All],EP$2,0)/EP$1</f>
        <v>2.6056633141762453</v>
      </c>
      <c r="EQ33" s="87">
        <f>VLOOKUP($B33,Raw_Data[#All],EQ$2,0)/EQ$1</f>
        <v>2.378810594702649</v>
      </c>
      <c r="ER33" s="87">
        <f>VLOOKUP($B33,Raw_Data[#All],ER$2,0)/ER$1</f>
        <v>2.3835940825883357</v>
      </c>
      <c r="ES33" s="87">
        <f>VLOOKUP($B33,Raw_Data[#All],ES$2,0)/ES$1</f>
        <v>2.3533538395121689</v>
      </c>
      <c r="ET33" s="87">
        <f>VLOOKUP($B33,Raw_Data[#All],ET$2,0)/ET$1</f>
        <v>2.3681038979727664</v>
      </c>
      <c r="EU33" s="87">
        <f>VLOOKUP($B33,Raw_Data[#All],EU$2,0)/EU$1</f>
        <v>2.3751641393700647</v>
      </c>
      <c r="EV33" s="87">
        <f>VLOOKUP($B33,Raw_Data[#All],EV$2,0)/EV$1</f>
        <v>2.3521533986093375</v>
      </c>
      <c r="EW33" s="87">
        <f>VLOOKUP($B33,Raw_Data[#All],EW$2,0)/EW$1</f>
        <v>2.3681453544061299</v>
      </c>
      <c r="EX33" s="87">
        <f>VLOOKUP($B33,Raw_Data[#All],EX$2,0)/EX$1</f>
        <v>2.3945011062543848</v>
      </c>
      <c r="EY33" s="87">
        <f>VLOOKUP($B33,Raw_Data[#All],EY$2,0)/EY$1</f>
        <v>2.3625735694701211</v>
      </c>
      <c r="EZ33" s="87">
        <f>VLOOKUP($B33,Raw_Data[#All],EZ$2,0)/EZ$1</f>
        <v>2.3823080743578826</v>
      </c>
      <c r="FA33" s="87">
        <f>VLOOKUP($B33,Raw_Data[#All],FA$2,0)/FA$1</f>
        <v>2.3937491130977722</v>
      </c>
      <c r="FB33" s="87">
        <f>VLOOKUP($B33,Raw_Data[#All],FB$2,0)/FB$1</f>
        <v>2.364082233574571</v>
      </c>
      <c r="FC33" s="87">
        <f>VLOOKUP($B33,Raw_Data[#All],FC$2,0)/FC$1</f>
        <v>2.3760110685398041</v>
      </c>
      <c r="FD33" s="87">
        <f>VLOOKUP($B33,Raw_Data[#All],FD$2,0)/FD$1</f>
        <v>2.369991219667944</v>
      </c>
      <c r="FE33" s="87">
        <f>VLOOKUP($B33,Raw_Data[#All],FE$2,0)/FE$1</f>
        <v>2.3661664538101319</v>
      </c>
      <c r="FF33" s="87">
        <f>VLOOKUP($B33,Raw_Data[#All],FF$2,0)/FF$1</f>
        <v>2.3790209929757342</v>
      </c>
      <c r="FG33" s="105">
        <f>VLOOKUP($B33,Raw_Data[#All],FG$2,0)/FG$1</f>
        <v>2.3278175983557459</v>
      </c>
    </row>
    <row r="34" spans="2:163">
      <c r="B34" s="104">
        <f t="shared" si="0"/>
        <v>45857</v>
      </c>
      <c r="C34" s="87">
        <f>VLOOKUP($B34,Raw_Data[#All],C$2,0)/C$1</f>
        <v>2.0256509601724635</v>
      </c>
      <c r="D34" s="87">
        <f>VLOOKUP($B34,Raw_Data[#All],D$2,0)/D$1</f>
        <v>2.0620775754444876</v>
      </c>
      <c r="E34" s="87">
        <f>VLOOKUP($B34,Raw_Data[#All],E$2,0)/E$1</f>
        <v>2.0596859289872333</v>
      </c>
      <c r="F34" s="87">
        <f>VLOOKUP($B34,Raw_Data[#All],F$2,0)/F$1</f>
        <v>2.055633499462147</v>
      </c>
      <c r="G34" s="87">
        <f>VLOOKUP($B34,Raw_Data[#All],G$2,0)/G$1</f>
        <v>2.0821674056854218</v>
      </c>
      <c r="H34" s="87">
        <f>VLOOKUP($B34,Raw_Data[#All],H$2,0)/H$1</f>
        <v>2.0850373814341268</v>
      </c>
      <c r="I34" s="87">
        <f>VLOOKUP($B34,Raw_Data[#All],I$2,0)/I$1</f>
        <v>2.0807324178110695</v>
      </c>
      <c r="J34" s="87">
        <f>VLOOKUP($B34,Raw_Data[#All],J$2,0)/J$1</f>
        <v>2.0543792875538438</v>
      </c>
      <c r="K34" s="87">
        <f>VLOOKUP($B34,Raw_Data[#All],K$2,0)/K$1</f>
        <v>2.0540416433481137</v>
      </c>
      <c r="L34" s="87">
        <f>VLOOKUP($B34,Raw_Data[#All],L$2,0)/L$1</f>
        <v>2.0048950586367544</v>
      </c>
      <c r="M34" s="87">
        <f>VLOOKUP($B34,Raw_Data[#All],M$2,0)/M$1</f>
        <v>2.0599074813267571</v>
      </c>
      <c r="N34" s="87">
        <f>VLOOKUP($B34,Raw_Data[#All],N$2,0)/N$1</f>
        <v>2.050693338307958</v>
      </c>
      <c r="O34" s="87">
        <f>VLOOKUP($B34,Raw_Data[#All],O$2,0)/O$1</f>
        <v>2.0535645935630624</v>
      </c>
      <c r="P34" s="87">
        <f>VLOOKUP($B34,Raw_Data[#All],P$2,0)/P$1</f>
        <v>2.0486843552838643</v>
      </c>
      <c r="Q34" s="87">
        <f>VLOOKUP($B34,Raw_Data[#All],Q$2,0)/Q$1</f>
        <v>2.068774185524799</v>
      </c>
      <c r="R34" s="87">
        <f>VLOOKUP($B34,Raw_Data[#All],R$2,0)/R$1</f>
        <v>2.0638473938228552</v>
      </c>
      <c r="S34" s="87">
        <f>VLOOKUP($B34,Raw_Data[#All],S$2,0)/S$1</f>
        <v>2.061838410798762</v>
      </c>
      <c r="T34" s="87">
        <f>VLOOKUP($B34,Raw_Data[#All],T$2,0)/T$1</f>
        <v>2.0501671760873621</v>
      </c>
      <c r="U34" s="87">
        <f>VLOOKUP($B34,Raw_Data[#All],U$2,0)/U$1</f>
        <v>2.058777103333477</v>
      </c>
      <c r="V34" s="87">
        <f>VLOOKUP($B34,Raw_Data[#All],V$2,0)/V$1</f>
        <v>2.0666695366424155</v>
      </c>
      <c r="W34" s="87">
        <f>VLOOKUP($B34,Raw_Data[#All],W$2,0)/W$1</f>
        <v>2.0523895448237979</v>
      </c>
      <c r="X34" s="87">
        <f>VLOOKUP($B34,Raw_Data[#All],X$2,0)/X$1</f>
        <v>2.0315973700392602</v>
      </c>
      <c r="Y34" s="87">
        <f>VLOOKUP($B34,Raw_Data[#All],Y$2,0)/Y$1</f>
        <v>2.0524273728114841</v>
      </c>
      <c r="Z34" s="87">
        <f>VLOOKUP($B34,Raw_Data[#All],Z$2,0)/Z$1</f>
        <v>2.043199233716475</v>
      </c>
      <c r="AA34" s="87">
        <f>VLOOKUP($B34,Raw_Data[#All],AA$2,0)/AA$1</f>
        <v>2.0225095785440614</v>
      </c>
      <c r="AB34" s="87">
        <f>VLOOKUP($B34,Raw_Data[#All],AB$2,0)/AB$1</f>
        <v>1.9874804381846636</v>
      </c>
      <c r="AC34" s="87">
        <f>VLOOKUP($B34,Raw_Data[#All],AC$2,0)/AC$1</f>
        <v>1.9891166901098278</v>
      </c>
      <c r="AD34" s="87">
        <f>VLOOKUP($B34,Raw_Data[#All],AD$2,0)/AD$1</f>
        <v>1.9890260631001373</v>
      </c>
      <c r="AE34" s="87">
        <f>VLOOKUP($B34,Raw_Data[#All],AE$2,0)/AE$1</f>
        <v>2.0708575753275626</v>
      </c>
      <c r="AF34" s="87">
        <f>VLOOKUP($B34,Raw_Data[#All],AF$2,0)/AF$1</f>
        <v>2.0862068965517242</v>
      </c>
      <c r="AG34" s="87">
        <f>VLOOKUP($B34,Raw_Data[#All],AG$2,0)/AG$1</f>
        <v>2.0772103399776904</v>
      </c>
      <c r="AH34" s="87">
        <f>VLOOKUP($B34,Raw_Data[#All],AH$2,0)/AH$1</f>
        <v>2.0656544155905587</v>
      </c>
      <c r="AI34" s="87">
        <f>VLOOKUP($B34,Raw_Data[#All],AI$2,0)/AI$1</f>
        <v>2.0792974299367168</v>
      </c>
      <c r="AJ34" s="87">
        <f>VLOOKUP($B34,Raw_Data[#All],AJ$2,0)/AJ$1</f>
        <v>2.071261497840343</v>
      </c>
      <c r="AK34" s="87">
        <f>VLOOKUP($B34,Raw_Data[#All],AK$2,0)/AK$1</f>
        <v>2.0896293426320547</v>
      </c>
      <c r="AL34" s="87">
        <f>VLOOKUP($B34,Raw_Data[#All],AL$2,0)/AL$1</f>
        <v>2.0699221758242805</v>
      </c>
      <c r="AM34" s="87">
        <f>VLOOKUP($B34,Raw_Data[#All],AM$2,0)/AM$1</f>
        <v>2.0854678777964324</v>
      </c>
      <c r="AN34" s="87">
        <f>VLOOKUP($B34,Raw_Data[#All],AN$2,0)/AN$1</f>
        <v>2.0552852995058859</v>
      </c>
      <c r="AO34" s="87">
        <f>VLOOKUP($B34,Raw_Data[#All],AO$2,0)/AO$1</f>
        <v>2.0659998756343838</v>
      </c>
      <c r="AP34" s="87">
        <f>VLOOKUP($B34,Raw_Data[#All],AP$2,0)/AP$1</f>
        <v>2.0537546457732434</v>
      </c>
      <c r="AQ34" s="87">
        <f>VLOOKUP($B34,Raw_Data[#All],AQ$2,0)/AQ$1</f>
        <v>2.1123375228273717</v>
      </c>
      <c r="AR34" s="87">
        <f>VLOOKUP($B34,Raw_Data[#All],AR$2,0)/AR$1</f>
        <v>2.0642599342481418</v>
      </c>
      <c r="AS34" s="87">
        <f>VLOOKUP($B34,Raw_Data[#All],AS$2,0)/AS$1</f>
        <v>2.1165795935782272</v>
      </c>
      <c r="AT34" s="87">
        <f>VLOOKUP($B34,Raw_Data[#All],AT$2,0)/AT$1</f>
        <v>2.1025860875545375</v>
      </c>
      <c r="AU34" s="87">
        <f>VLOOKUP($B34,Raw_Data[#All],AU$2,0)/AU$1</f>
        <v>1.8857096669899773</v>
      </c>
      <c r="AV34" s="87">
        <f>VLOOKUP($B34,Raw_Data[#All],AV$2,0)/AV$1</f>
        <v>2.0380194518125552</v>
      </c>
      <c r="AW34" s="87">
        <f>VLOOKUP($B34,Raw_Data[#All],AW$2,0)/AW$1</f>
        <v>2.1155031054783247</v>
      </c>
      <c r="AX34" s="87">
        <f>VLOOKUP($B34,Raw_Data[#All],AX$2,0)/AX$1</f>
        <v>2.1237959680595839</v>
      </c>
      <c r="AY34" s="87">
        <f>VLOOKUP($B34,Raw_Data[#All],AY$2,0)/AY$1</f>
        <v>1.9636587396387593</v>
      </c>
      <c r="AZ34" s="87">
        <f>VLOOKUP($B34,Raw_Data[#All],AZ$2,0)/AZ$1</f>
        <v>2.0070234507227092</v>
      </c>
      <c r="BA34" s="87">
        <f>VLOOKUP($B34,Raw_Data[#All],BA$2,0)/BA$1</f>
        <v>2.0322361122763839</v>
      </c>
      <c r="BB34" s="87">
        <f>VLOOKUP($B34,Raw_Data[#All],BB$2,0)/BB$1</f>
        <v>2.0464160280970627</v>
      </c>
      <c r="BC34" s="87">
        <f>VLOOKUP($B34,Raw_Data[#All],BC$2,0)/BC$1</f>
        <v>2.0110445559692769</v>
      </c>
      <c r="BD34" s="87">
        <f>VLOOKUP($B34,Raw_Data[#All],BD$2,0)/BD$1</f>
        <v>2.0364666409988446</v>
      </c>
      <c r="BE34" s="87">
        <f>VLOOKUP($B34,Raw_Data[#All],BE$2,0)/BE$1</f>
        <v>2.0177900095335746</v>
      </c>
      <c r="BF34" s="87">
        <f>VLOOKUP($B34,Raw_Data[#All],BF$2,0)/BF$1</f>
        <v>2.0054268720012938</v>
      </c>
      <c r="BG34" s="87">
        <f>VLOOKUP($B34,Raw_Data[#All],BG$2,0)/BG$1</f>
        <v>2.0008514261387824</v>
      </c>
      <c r="BH34" s="87">
        <f>VLOOKUP($B34,Raw_Data[#All],BH$2,0)/BH$1</f>
        <v>2.0063060365327368</v>
      </c>
      <c r="BI34" s="87">
        <f>VLOOKUP($B34,Raw_Data[#All],BI$2,0)/BI$1</f>
        <v>2.0084534452350544</v>
      </c>
      <c r="BJ34" s="87">
        <f>VLOOKUP($B34,Raw_Data[#All],BJ$2,0)/BJ$1</f>
        <v>2.0316853611488175</v>
      </c>
      <c r="BK34" s="87">
        <f>VLOOKUP($B34,Raw_Data[#All],BK$2,0)/BK$1</f>
        <v>2.0213875847678668</v>
      </c>
      <c r="BL34" s="87">
        <f>VLOOKUP($B34,Raw_Data[#All],BL$2,0)/BL$1</f>
        <v>2.0038922337772913</v>
      </c>
      <c r="BM34" s="87">
        <f>VLOOKUP($B34,Raw_Data[#All],BM$2,0)/BM$1</f>
        <v>1.982758620689655</v>
      </c>
      <c r="BN34" s="87">
        <f>VLOOKUP($B34,Raw_Data[#All],BN$2,0)/BN$1</f>
        <v>1.9774904214559388</v>
      </c>
      <c r="BO34" s="87">
        <f>VLOOKUP($B34,Raw_Data[#All],BO$2,0)/BO$1</f>
        <v>1.9618803414737414</v>
      </c>
      <c r="BP34" s="87">
        <f>VLOOKUP($B34,Raw_Data[#All],BP$2,0)/BP$1</f>
        <v>1.9970573909200926</v>
      </c>
      <c r="BQ34" s="87">
        <f>VLOOKUP($B34,Raw_Data[#All],BQ$2,0)/BQ$1</f>
        <v>1.9975595426402133</v>
      </c>
      <c r="BR34" s="87">
        <f>VLOOKUP($B34,Raw_Data[#All],BR$2,0)/BR$1</f>
        <v>1.988068875129932</v>
      </c>
      <c r="BS34" s="87">
        <f>VLOOKUP($B34,Raw_Data[#All],BS$2,0)/BS$1</f>
        <v>1.9786140911428234</v>
      </c>
      <c r="BT34" s="87">
        <f>VLOOKUP($B34,Raw_Data[#All],BT$2,0)/BT$1</f>
        <v>1.9974889275545713</v>
      </c>
      <c r="BU34" s="87">
        <f>VLOOKUP($B34,Raw_Data[#All],BU$2,0)/BU$1</f>
        <v>1.9805641823099305</v>
      </c>
      <c r="BV34" s="87">
        <f>VLOOKUP($B34,Raw_Data[#All],BV$2,0)/BV$1</f>
        <v>1.9792634017409763</v>
      </c>
      <c r="BW34" s="87">
        <f>VLOOKUP($B34,Raw_Data[#All],BW$2,0)/BW$1</f>
        <v>2.1049660355007682</v>
      </c>
      <c r="BX34" s="87">
        <f>VLOOKUP($B34,Raw_Data[#All],BX$2,0)/BX$1</f>
        <v>2.0861505521748929</v>
      </c>
      <c r="BY34" s="87">
        <f>VLOOKUP($B34,Raw_Data[#All],BY$2,0)/BY$1</f>
        <v>2.0114942528735633</v>
      </c>
      <c r="BZ34" s="87">
        <f>VLOOKUP($B34,Raw_Data[#All],BZ$2,0)/BZ$1</f>
        <v>1.9902830247657832</v>
      </c>
      <c r="CA34" s="87">
        <f>VLOOKUP($B34,Raw_Data[#All],CA$2,0)/CA$1</f>
        <v>2.0037696205660613</v>
      </c>
      <c r="CB34" s="87">
        <f>VLOOKUP($B34,Raw_Data[#All],CB$2,0)/CB$1</f>
        <v>2.0208067262664966</v>
      </c>
      <c r="CC34" s="87">
        <f>VLOOKUP($B34,Raw_Data[#All],CC$2,0)/CC$1</f>
        <v>2.0196030732429198</v>
      </c>
      <c r="CD34" s="87">
        <f>VLOOKUP($B34,Raw_Data[#All],CD$2,0)/CD$1</f>
        <v>2.0105948590649905</v>
      </c>
      <c r="CE34" s="87">
        <f>VLOOKUP($B34,Raw_Data[#All],CE$2,0)/CE$1</f>
        <v>1.9610586048718761</v>
      </c>
      <c r="CF34" s="87">
        <f>VLOOKUP($B34,Raw_Data[#All],CF$2,0)/CF$1</f>
        <v>1.9691385986037482</v>
      </c>
      <c r="CG34" s="87">
        <f>VLOOKUP($B34,Raw_Data[#All],CG$2,0)/CG$1</f>
        <v>1.9815540359671964</v>
      </c>
      <c r="CH34" s="87">
        <f>VLOOKUP($B34,Raw_Data[#All],CH$2,0)/CH$1</f>
        <v>1.9237934549544797</v>
      </c>
      <c r="CI34" s="87">
        <f>VLOOKUP($B34,Raw_Data[#All],CI$2,0)/CI$1</f>
        <v>1.9755911894969946</v>
      </c>
      <c r="CJ34" s="87">
        <f>VLOOKUP($B34,Raw_Data[#All],CJ$2,0)/CJ$1</f>
        <v>1.957140695707192</v>
      </c>
      <c r="CK34" s="87">
        <f>VLOOKUP($B34,Raw_Data[#All],CK$2,0)/CK$1</f>
        <v>1.994473663397659</v>
      </c>
      <c r="CL34" s="87">
        <f>VLOOKUP($B34,Raw_Data[#All],CL$2,0)/CL$1</f>
        <v>1.9508221045765175</v>
      </c>
      <c r="CM34" s="87">
        <f>VLOOKUP($B34,Raw_Data[#All],CM$2,0)/CM$1</f>
        <v>2.0423280423280423</v>
      </c>
      <c r="CN34" s="87">
        <f>VLOOKUP($B34,Raw_Data[#All],CN$2,0)/CN$1</f>
        <v>1.9959056419502665</v>
      </c>
      <c r="CO34" s="87">
        <f>VLOOKUP($B34,Raw_Data[#All],CO$2,0)/CO$1</f>
        <v>2.0152020763811644</v>
      </c>
      <c r="CP34" s="87">
        <f>VLOOKUP($B34,Raw_Data[#All],CP$2,0)/CP$1</f>
        <v>2.0314052078898821</v>
      </c>
      <c r="CQ34" s="87">
        <f>VLOOKUP($B34,Raw_Data[#All],CQ$2,0)/CQ$1</f>
        <v>2.0236726874657909</v>
      </c>
      <c r="CR34" s="87">
        <f>VLOOKUP($B34,Raw_Data[#All],CR$2,0)/CR$1</f>
        <v>2.0411777618135378</v>
      </c>
      <c r="CS34" s="87">
        <f>VLOOKUP($B34,Raw_Data[#All],CS$2,0)/CS$1</f>
        <v>2.0057072158365261</v>
      </c>
      <c r="CT34" s="87">
        <f>VLOOKUP($B34,Raw_Data[#All],CT$2,0)/CT$1</f>
        <v>2.0404336838672861</v>
      </c>
      <c r="CU34" s="87">
        <f>VLOOKUP($B34,Raw_Data[#All],CU$2,0)/CU$1</f>
        <v>2.0582375478927202</v>
      </c>
      <c r="CV34" s="87">
        <f>VLOOKUP($B34,Raw_Data[#All],CV$2,0)/CV$1</f>
        <v>2.0319284802043427</v>
      </c>
      <c r="CW34" s="87">
        <f>VLOOKUP($B34,Raw_Data[#All],CW$2,0)/CW$1</f>
        <v>2.0361885879127257</v>
      </c>
      <c r="CX34" s="87">
        <f>VLOOKUP($B34,Raw_Data[#All],CX$2,0)/CX$1</f>
        <v>2.0418263090676887</v>
      </c>
      <c r="CY34" s="87">
        <f>VLOOKUP($B34,Raw_Data[#All],CY$2,0)/CY$1</f>
        <v>1.9699872286079181</v>
      </c>
      <c r="CZ34" s="87">
        <f>VLOOKUP($B34,Raw_Data[#All],CZ$2,0)/CZ$1</f>
        <v>2.0357495983191201</v>
      </c>
      <c r="DA34" s="87">
        <f>VLOOKUP($B34,Raw_Data[#All],DA$2,0)/DA$1</f>
        <v>2.0062032475825577</v>
      </c>
      <c r="DB34" s="87">
        <f>VLOOKUP($B34,Raw_Data[#All],DB$2,0)/DB$1</f>
        <v>2.0110951468710088</v>
      </c>
      <c r="DC34" s="87">
        <f>VLOOKUP($B34,Raw_Data[#All],DC$2,0)/DC$1</f>
        <v>2.0065475869264118</v>
      </c>
      <c r="DD34" s="87">
        <f>VLOOKUP($B34,Raw_Data[#All],DD$2,0)/DD$1</f>
        <v>1.9992986202709209</v>
      </c>
      <c r="DE34" s="87">
        <f>VLOOKUP($B34,Raw_Data[#All],DE$2,0)/DE$1</f>
        <v>2.0080315867105574</v>
      </c>
      <c r="DF34" s="87">
        <f>VLOOKUP($B34,Raw_Data[#All],DF$2,0)/DF$1</f>
        <v>1.996727330779055</v>
      </c>
      <c r="DG34" s="87">
        <f>VLOOKUP($B34,Raw_Data[#All],DG$2,0)/DG$1</f>
        <v>2.0037858055099433</v>
      </c>
      <c r="DH34" s="87">
        <f>VLOOKUP($B34,Raw_Data[#All],DH$2,0)/DH$1</f>
        <v>1.9699373403575988</v>
      </c>
      <c r="DI34" s="87">
        <f>VLOOKUP($B34,Raw_Data[#All],DI$2,0)/DI$1</f>
        <v>2.0422368180988868</v>
      </c>
      <c r="DJ34" s="87">
        <f>VLOOKUP($B34,Raw_Data[#All],DJ$2,0)/DJ$1</f>
        <v>1.8722561462324394</v>
      </c>
      <c r="DK34" s="87">
        <f>VLOOKUP($B34,Raw_Data[#All],DK$2,0)/DK$1</f>
        <v>2.0205762359678685</v>
      </c>
      <c r="DL34" s="87">
        <f>VLOOKUP($B34,Raw_Data[#All],DL$2,0)/DL$1</f>
        <v>2.0237182995803686</v>
      </c>
      <c r="DM34" s="87">
        <f>VLOOKUP($B34,Raw_Data[#All],DM$2,0)/DM$1</f>
        <v>1.959061701787995</v>
      </c>
      <c r="DN34" s="87">
        <f>VLOOKUP($B34,Raw_Data[#All],DN$2,0)/DN$1</f>
        <v>2.0192188851810653</v>
      </c>
      <c r="DO34" s="87">
        <f>VLOOKUP($B34,Raw_Data[#All],DO$2,0)/DO$1</f>
        <v>1.9767125893318116</v>
      </c>
      <c r="DP34" s="87">
        <f>VLOOKUP($B34,Raw_Data[#All],DP$2,0)/DP$1</f>
        <v>2.0118090407065639</v>
      </c>
      <c r="DQ34" s="87">
        <f>VLOOKUP($B34,Raw_Data[#All],DQ$2,0)/DQ$1</f>
        <v>1.9661558109833972</v>
      </c>
      <c r="DR34" s="87">
        <f>VLOOKUP($B34,Raw_Data[#All],DR$2,0)/DR$1</f>
        <v>2.0005687260536398</v>
      </c>
      <c r="DS34" s="87">
        <f>VLOOKUP($B34,Raw_Data[#All],DS$2,0)/DS$1</f>
        <v>1.9698523195366324</v>
      </c>
      <c r="DT34" s="87">
        <f>VLOOKUP($B34,Raw_Data[#All],DT$2,0)/DT$1</f>
        <v>2.0045510754323015</v>
      </c>
      <c r="DU34" s="87">
        <f>VLOOKUP($B34,Raw_Data[#All],DU$2,0)/DU$1</f>
        <v>2.0483059124032752</v>
      </c>
      <c r="DV34" s="87">
        <f>VLOOKUP($B34,Raw_Data[#All],DV$2,0)/DV$1</f>
        <v>1.8756208315595289</v>
      </c>
      <c r="DW34" s="87">
        <f>VLOOKUP($B34,Raw_Data[#All],DW$2,0)/DW$1</f>
        <v>2.0560511618154438</v>
      </c>
      <c r="DX34" s="87">
        <f>VLOOKUP($B34,Raw_Data[#All],DX$2,0)/DX$1</f>
        <v>1.9974240751563954</v>
      </c>
      <c r="DY34" s="87">
        <f>VLOOKUP($B34,Raw_Data[#All],DY$2,0)/DY$1</f>
        <v>1.9975660317989152</v>
      </c>
      <c r="DZ34" s="87">
        <f>VLOOKUP($B34,Raw_Data[#All],DZ$2,0)/DZ$1</f>
        <v>1.9672505017332602</v>
      </c>
      <c r="EA34" s="87">
        <f>VLOOKUP($B34,Raw_Data[#All],EA$2,0)/EA$1</f>
        <v>1.9214459610472541</v>
      </c>
      <c r="EB34" s="87">
        <f>VLOOKUP($B34,Raw_Data[#All],EB$2,0)/EB$1</f>
        <v>2.0663713282247764</v>
      </c>
      <c r="EC34" s="87">
        <f>VLOOKUP($B34,Raw_Data[#All],EC$2,0)/EC$1</f>
        <v>2.0310033084944843</v>
      </c>
      <c r="ED34" s="87">
        <f>VLOOKUP($B34,Raw_Data[#All],ED$2,0)/ED$1</f>
        <v>2.0089399744572161</v>
      </c>
      <c r="EE34" s="87">
        <f>VLOOKUP($B34,Raw_Data[#All],EE$2,0)/EE$1</f>
        <v>2.0447910965152341</v>
      </c>
      <c r="EF34" s="87">
        <f>VLOOKUP($B34,Raw_Data[#All],EF$2,0)/EF$1</f>
        <v>2.0312785075716109</v>
      </c>
      <c r="EG34" s="87">
        <f>VLOOKUP($B34,Raw_Data[#All],EG$2,0)/EG$1</f>
        <v>1.9988725255427842</v>
      </c>
      <c r="EH34" s="87">
        <f>VLOOKUP($B34,Raw_Data[#All],EH$2,0)/EH$1</f>
        <v>2.0007183908045976</v>
      </c>
      <c r="EI34" s="87">
        <f>VLOOKUP($B34,Raw_Data[#All],EI$2,0)/EI$1</f>
        <v>2.0673247481197672</v>
      </c>
      <c r="EJ34" s="87">
        <f>VLOOKUP($B34,Raw_Data[#All],EJ$2,0)/EJ$1</f>
        <v>2.3486487043216742</v>
      </c>
      <c r="EK34" s="87">
        <f>VLOOKUP($B34,Raw_Data[#All],EK$2,0)/EK$1</f>
        <v>2.0878565346956153</v>
      </c>
      <c r="EL34" s="87">
        <f>VLOOKUP($B34,Raw_Data[#All],EL$2,0)/EL$1</f>
        <v>2.3522167487684729</v>
      </c>
      <c r="EM34" s="87">
        <f>VLOOKUP($B34,Raw_Data[#All],EM$2,0)/EM$1</f>
        <v>2.094148543881424</v>
      </c>
      <c r="EN34" s="87">
        <f>VLOOKUP($B34,Raw_Data[#All],EN$2,0)/EN$1</f>
        <v>2.3220113928926187</v>
      </c>
      <c r="EO34" s="87">
        <f>VLOOKUP($B34,Raw_Data[#All],EO$2,0)/EO$1</f>
        <v>2.0722082535121329</v>
      </c>
      <c r="EP34" s="87">
        <f>VLOOKUP($B34,Raw_Data[#All],EP$2,0)/EP$1</f>
        <v>2.2937619731800769</v>
      </c>
      <c r="EQ34" s="87">
        <f>VLOOKUP($B34,Raw_Data[#All],EQ$2,0)/EQ$1</f>
        <v>2.0576285931108518</v>
      </c>
      <c r="ER34" s="87">
        <f>VLOOKUP($B34,Raw_Data[#All],ER$2,0)/ER$1</f>
        <v>2.0660830850007099</v>
      </c>
      <c r="ES34" s="87">
        <f>VLOOKUP($B34,Raw_Data[#All],ES$2,0)/ES$1</f>
        <v>2.021882251362582</v>
      </c>
      <c r="ET34" s="87">
        <f>VLOOKUP($B34,Raw_Data[#All],ET$2,0)/ET$1</f>
        <v>2.0513373985933483</v>
      </c>
      <c r="EU34" s="87">
        <f>VLOOKUP($B34,Raw_Data[#All],EU$2,0)/EU$1</f>
        <v>2.0566887917543579</v>
      </c>
      <c r="EV34" s="87">
        <f>VLOOKUP($B34,Raw_Data[#All],EV$2,0)/EV$1</f>
        <v>2.0029356463743437</v>
      </c>
      <c r="EW34" s="87">
        <f>VLOOKUP($B34,Raw_Data[#All],EW$2,0)/EW$1</f>
        <v>2.0527518358876118</v>
      </c>
      <c r="EX34" s="87">
        <f>VLOOKUP($B34,Raw_Data[#All],EX$2,0)/EX$1</f>
        <v>2.0761606677099635</v>
      </c>
      <c r="EY34" s="87">
        <f>VLOOKUP($B34,Raw_Data[#All],EY$2,0)/EY$1</f>
        <v>2.0181478802168455</v>
      </c>
      <c r="EZ34" s="87">
        <f>VLOOKUP($B34,Raw_Data[#All],EZ$2,0)/EZ$1</f>
        <v>2.0553072229317442</v>
      </c>
      <c r="FA34" s="87">
        <f>VLOOKUP($B34,Raw_Data[#All],FA$2,0)/FA$1</f>
        <v>2.0673690932311621</v>
      </c>
      <c r="FB34" s="87">
        <f>VLOOKUP($B34,Raw_Data[#All],FB$2,0)/FB$1</f>
        <v>2.0364162054775079</v>
      </c>
      <c r="FC34" s="87">
        <f>VLOOKUP($B34,Raw_Data[#All],FC$2,0)/FC$1</f>
        <v>2.0481233148857672</v>
      </c>
      <c r="FD34" s="87">
        <f>VLOOKUP($B34,Raw_Data[#All],FD$2,0)/FD$1</f>
        <v>2.0457674808429118</v>
      </c>
      <c r="FE34" s="87">
        <f>VLOOKUP($B34,Raw_Data[#All],FE$2,0)/FE$1</f>
        <v>2.0530012771392085</v>
      </c>
      <c r="FF34" s="87">
        <f>VLOOKUP($B34,Raw_Data[#All],FF$2,0)/FF$1</f>
        <v>2.0411777618135378</v>
      </c>
      <c r="FG34" s="105">
        <f>VLOOKUP($B34,Raw_Data[#All],FG$2,0)/FG$1</f>
        <v>2.0337260596241169</v>
      </c>
    </row>
    <row r="35" spans="2:163">
      <c r="B35" s="106">
        <f>B34+1</f>
        <v>45858</v>
      </c>
      <c r="C35" s="94">
        <f>VLOOKUP($B35,Raw_Data[#All],C$2,0)/C$1</f>
        <v>2.1160551962566685</v>
      </c>
      <c r="D35" s="94">
        <f>VLOOKUP($B35,Raw_Data[#All],D$2,0)/D$1</f>
        <v>2.1740066296439795</v>
      </c>
      <c r="E35" s="94">
        <f>VLOOKUP($B35,Raw_Data[#All],E$2,0)/E$1</f>
        <v>2.1864431912217008</v>
      </c>
      <c r="F35" s="94">
        <f>VLOOKUP($B35,Raw_Data[#All],F$2,0)/F$1</f>
        <v>2.176921170233503</v>
      </c>
      <c r="G35" s="94">
        <f>VLOOKUP($B35,Raw_Data[#All],G$2,0)/G$1</f>
        <v>2.2146646194172992</v>
      </c>
      <c r="H35" s="94">
        <f>VLOOKUP($B35,Raw_Data[#All],H$2,0)/H$1</f>
        <v>2.2160996072916515</v>
      </c>
      <c r="I35" s="94">
        <f>VLOOKUP($B35,Raw_Data[#All],I$2,0)/I$1</f>
        <v>2.2213612294976106</v>
      </c>
      <c r="J35" s="94">
        <f>VLOOKUP($B35,Raw_Data[#All],J$2,0)/J$1</f>
        <v>2.1792738792533672</v>
      </c>
      <c r="K35" s="94">
        <f>VLOOKUP($B35,Raw_Data[#All],K$2,0)/K$1</f>
        <v>2.1559736153562836</v>
      </c>
      <c r="L35" s="94">
        <f>VLOOKUP($B35,Raw_Data[#All],L$2,0)/L$1</f>
        <v>2.1046862154014798</v>
      </c>
      <c r="M35" s="94">
        <f>VLOOKUP($B35,Raw_Data[#All],M$2,0)/M$1</f>
        <v>2.1753042945724563</v>
      </c>
      <c r="N35" s="94">
        <f>VLOOKUP($B35,Raw_Data[#All],N$2,0)/N$1</f>
        <v>2.1560214482854283</v>
      </c>
      <c r="O35" s="94">
        <f>VLOOKUP($B35,Raw_Data[#All],O$2,0)/O$1</f>
        <v>2.1817346704432365</v>
      </c>
      <c r="P35" s="94">
        <f>VLOOKUP($B35,Raw_Data[#All],P$2,0)/P$1</f>
        <v>2.1651097048229939</v>
      </c>
      <c r="Q35" s="94">
        <f>VLOOKUP($B35,Raw_Data[#All],Q$2,0)/Q$1</f>
        <v>2.2160517743625063</v>
      </c>
      <c r="R35" s="94">
        <f>VLOOKUP($B35,Raw_Data[#All],R$2,0)/R$1</f>
        <v>2.2072983483289565</v>
      </c>
      <c r="S35" s="94">
        <f>VLOOKUP($B35,Raw_Data[#All],S$2,0)/S$1</f>
        <v>2.2159561085042161</v>
      </c>
      <c r="T35" s="94">
        <f>VLOOKUP($B35,Raw_Data[#All],T$2,0)/T$1</f>
        <v>2.2163866048665222</v>
      </c>
      <c r="U35" s="94">
        <f>VLOOKUP($B35,Raw_Data[#All],U$2,0)/U$1</f>
        <v>2.2089246679198893</v>
      </c>
      <c r="V35" s="94">
        <f>VLOOKUP($B35,Raw_Data[#All],V$2,0)/V$1</f>
        <v>2.2100248252902261</v>
      </c>
      <c r="W35" s="94">
        <f>VLOOKUP($B35,Raw_Data[#All],W$2,0)/W$1</f>
        <v>2.2225063817493811</v>
      </c>
      <c r="X35" s="94">
        <f>VLOOKUP($B35,Raw_Data[#All],X$2,0)/X$1</f>
        <v>2.1842864575942484</v>
      </c>
      <c r="Y35" s="94">
        <f>VLOOKUP($B35,Raw_Data[#All],Y$2,0)/Y$1</f>
        <v>2.2403608322421067</v>
      </c>
      <c r="Z35" s="94">
        <f>VLOOKUP($B35,Raw_Data[#All],Z$2,0)/Z$1</f>
        <v>2.2023467432950192</v>
      </c>
      <c r="AA35" s="94">
        <f>VLOOKUP($B35,Raw_Data[#All],AA$2,0)/AA$1</f>
        <v>2.1805555555555554</v>
      </c>
      <c r="AB35" s="94">
        <f>VLOOKUP($B35,Raw_Data[#All],AB$2,0)/AB$1</f>
        <v>2.1267065997517673</v>
      </c>
      <c r="AC35" s="94">
        <f>VLOOKUP($B35,Raw_Data[#All],AC$2,0)/AC$1</f>
        <v>2.1203036718146904</v>
      </c>
      <c r="AD35" s="94">
        <f>VLOOKUP($B35,Raw_Data[#All],AD$2,0)/AD$1</f>
        <v>2.1342415212147015</v>
      </c>
      <c r="AE35" s="94">
        <f>VLOOKUP($B35,Raw_Data[#All],AE$2,0)/AE$1</f>
        <v>2.2487110354287876</v>
      </c>
      <c r="AF35" s="94">
        <f>VLOOKUP($B35,Raw_Data[#All],AF$2,0)/AF$1</f>
        <v>2.2825670498084292</v>
      </c>
      <c r="AG35" s="94">
        <f>VLOOKUP($B35,Raw_Data[#All],AG$2,0)/AG$1</f>
        <v>2.2760560647946066</v>
      </c>
      <c r="AH35" s="94">
        <f>VLOOKUP($B35,Raw_Data[#All],AH$2,0)/AH$1</f>
        <v>2.243034861170238</v>
      </c>
      <c r="AI35" s="94">
        <f>VLOOKUP($B35,Raw_Data[#All],AI$2,0)/AI$1</f>
        <v>2.2552747762614738</v>
      </c>
      <c r="AJ35" s="94">
        <f>VLOOKUP($B35,Raw_Data[#All],AJ$2,0)/AJ$1</f>
        <v>2.2439383720540893</v>
      </c>
      <c r="AK35" s="94">
        <f>VLOOKUP($B35,Raw_Data[#All],AK$2,0)/AK$1</f>
        <v>2.249008662543468</v>
      </c>
      <c r="AL35" s="94">
        <f>VLOOKUP($B35,Raw_Data[#All],AL$2,0)/AL$1</f>
        <v>2.2348979484456688</v>
      </c>
      <c r="AM35" s="94">
        <f>VLOOKUP($B35,Raw_Data[#All],AM$2,0)/AM$1</f>
        <v>2.2583360837267592</v>
      </c>
      <c r="AN35" s="94">
        <f>VLOOKUP($B35,Raw_Data[#All],AN$2,0)/AN$1</f>
        <v>2.240350902368208</v>
      </c>
      <c r="AO35" s="94">
        <f>VLOOKUP($B35,Raw_Data[#All],AO$2,0)/AO$1</f>
        <v>2.2552747762614738</v>
      </c>
      <c r="AP35" s="94">
        <f>VLOOKUP($B35,Raw_Data[#All],AP$2,0)/AP$1</f>
        <v>2.2354719435954098</v>
      </c>
      <c r="AQ35" s="94">
        <f>VLOOKUP($B35,Raw_Data[#All],AQ$2,0)/AQ$1</f>
        <v>2.334926773373438</v>
      </c>
      <c r="AR35" s="94">
        <f>VLOOKUP($B35,Raw_Data[#All],AR$2,0)/AR$1</f>
        <v>2.273129288164665</v>
      </c>
      <c r="AS35" s="94">
        <f>VLOOKUP($B35,Raw_Data[#All],AS$2,0)/AS$1</f>
        <v>2.3448457421940603</v>
      </c>
      <c r="AT35" s="94">
        <f>VLOOKUP($B35,Raw_Data[#All],AT$2,0)/AT$1</f>
        <v>2.3085442260716569</v>
      </c>
      <c r="AU35" s="94">
        <f>VLOOKUP($B35,Raw_Data[#All],AU$2,0)/AU$1</f>
        <v>2.0896506542787621</v>
      </c>
      <c r="AV35" s="94">
        <f>VLOOKUP($B35,Raw_Data[#All],AV$2,0)/AV$1</f>
        <v>2.2861610505288668</v>
      </c>
      <c r="AW35" s="94">
        <f>VLOOKUP($B35,Raw_Data[#All],AW$2,0)/AW$1</f>
        <v>2.3450521477497084</v>
      </c>
      <c r="AX35" s="94">
        <f>VLOOKUP($B35,Raw_Data[#All],AX$2,0)/AX$1</f>
        <v>2.3533677086690301</v>
      </c>
      <c r="AY35" s="94">
        <f>VLOOKUP($B35,Raw_Data[#All],AY$2,0)/AY$1</f>
        <v>2.1048249900459695</v>
      </c>
      <c r="AZ35" s="94">
        <f>VLOOKUP($B35,Raw_Data[#All],AZ$2,0)/AZ$1</f>
        <v>2.1337351905654058</v>
      </c>
      <c r="BA35" s="94">
        <f>VLOOKUP($B35,Raw_Data[#All],BA$2,0)/BA$1</f>
        <v>2.1618144698940065</v>
      </c>
      <c r="BB35" s="94">
        <f>VLOOKUP($B35,Raw_Data[#All],BB$2,0)/BB$1</f>
        <v>2.1751277139208174</v>
      </c>
      <c r="BC35" s="94">
        <f>VLOOKUP($B35,Raw_Data[#All],BC$2,0)/BC$1</f>
        <v>2.1756336229381401</v>
      </c>
      <c r="BD35" s="94">
        <f>VLOOKUP($B35,Raw_Data[#All],BD$2,0)/BD$1</f>
        <v>2.1808481381662173</v>
      </c>
      <c r="BE35" s="94">
        <f>VLOOKUP($B35,Raw_Data[#All],BE$2,0)/BE$1</f>
        <v>2.1486518086809494</v>
      </c>
      <c r="BF35" s="94">
        <f>VLOOKUP($B35,Raw_Data[#All],BF$2,0)/BF$1</f>
        <v>2.151431292565904</v>
      </c>
      <c r="BG35" s="94">
        <f>VLOOKUP($B35,Raw_Data[#All],BG$2,0)/BG$1</f>
        <v>2.1199497253137101</v>
      </c>
      <c r="BH35" s="94">
        <f>VLOOKUP($B35,Raw_Data[#All],BH$2,0)/BH$1</f>
        <v>2.140177203149495</v>
      </c>
      <c r="BI35" s="94">
        <f>VLOOKUP($B35,Raw_Data[#All],BI$2,0)/BI$1</f>
        <v>2.1133613087636074</v>
      </c>
      <c r="BJ35" s="94">
        <f>VLOOKUP($B35,Raw_Data[#All],BJ$2,0)/BJ$1</f>
        <v>2.149567764520969</v>
      </c>
      <c r="BK35" s="94">
        <f>VLOOKUP($B35,Raw_Data[#All],BK$2,0)/BK$1</f>
        <v>2.1293148417966292</v>
      </c>
      <c r="BL35" s="94">
        <f>VLOOKUP($B35,Raw_Data[#All],BL$2,0)/BL$1</f>
        <v>2.1133613087636074</v>
      </c>
      <c r="BM35" s="94">
        <f>VLOOKUP($B35,Raw_Data[#All],BM$2,0)/BM$1</f>
        <v>2.0826491516146688</v>
      </c>
      <c r="BN35" s="94">
        <f>VLOOKUP($B35,Raw_Data[#All],BN$2,0)/BN$1</f>
        <v>2.0670498084291187</v>
      </c>
      <c r="BO35" s="94">
        <f>VLOOKUP($B35,Raw_Data[#All],BO$2,0)/BO$1</f>
        <v>2.0903254656730406</v>
      </c>
      <c r="BP35" s="94">
        <f>VLOOKUP($B35,Raw_Data[#All],BP$2,0)/BP$1</f>
        <v>2.0999984935448395</v>
      </c>
      <c r="BQ35" s="94">
        <f>VLOOKUP($B35,Raw_Data[#All],BQ$2,0)/BQ$1</f>
        <v>2.1060243141862882</v>
      </c>
      <c r="BR35" s="94">
        <f>VLOOKUP($B35,Raw_Data[#All],BR$2,0)/BR$1</f>
        <v>2.086139106069508</v>
      </c>
      <c r="BS35" s="94">
        <f>VLOOKUP($B35,Raw_Data[#All],BS$2,0)/BS$1</f>
        <v>2.0977176936971782</v>
      </c>
      <c r="BT35" s="94">
        <f>VLOOKUP($B35,Raw_Data[#All],BT$2,0)/BT$1</f>
        <v>2.0928899082568808</v>
      </c>
      <c r="BU35" s="94">
        <f>VLOOKUP($B35,Raw_Data[#All],BU$2,0)/BU$1</f>
        <v>2.0830455685711868</v>
      </c>
      <c r="BV35" s="94">
        <f>VLOOKUP($B35,Raw_Data[#All],BV$2,0)/BV$1</f>
        <v>2.0700880693124879</v>
      </c>
      <c r="BW35" s="94">
        <f>VLOOKUP($B35,Raw_Data[#All],BW$2,0)/BW$1</f>
        <v>2.1910341125733432</v>
      </c>
      <c r="BX35" s="94">
        <f>VLOOKUP($B35,Raw_Data[#All],BX$2,0)/BX$1</f>
        <v>2.1734843362632406</v>
      </c>
      <c r="BY35" s="94">
        <f>VLOOKUP($B35,Raw_Data[#All],BY$2,0)/BY$1</f>
        <v>2.1057592896673354</v>
      </c>
      <c r="BZ35" s="94">
        <f>VLOOKUP($B35,Raw_Data[#All],BZ$2,0)/BZ$1</f>
        <v>2.0769141458796629</v>
      </c>
      <c r="CA35" s="94">
        <f>VLOOKUP($B35,Raw_Data[#All],CA$2,0)/CA$1</f>
        <v>2.0902855024100853</v>
      </c>
      <c r="CB35" s="94">
        <f>VLOOKUP($B35,Raw_Data[#All],CB$2,0)/CB$1</f>
        <v>2.1090534979423867</v>
      </c>
      <c r="CC35" s="94">
        <f>VLOOKUP($B35,Raw_Data[#All],CC$2,0)/CC$1</f>
        <v>2.0986640718441483</v>
      </c>
      <c r="CD35" s="94">
        <f>VLOOKUP($B35,Raw_Data[#All],CD$2,0)/CD$1</f>
        <v>2.0874930296979839</v>
      </c>
      <c r="CE35" s="94">
        <f>VLOOKUP($B35,Raw_Data[#All],CE$2,0)/CE$1</f>
        <v>2.0384668617526098</v>
      </c>
      <c r="CF35" s="94">
        <f>VLOOKUP($B35,Raw_Data[#All],CF$2,0)/CF$1</f>
        <v>2.0478513335412312</v>
      </c>
      <c r="CG35" s="94">
        <f>VLOOKUP($B35,Raw_Data[#All],CG$2,0)/CG$1</f>
        <v>2.0438517509064802</v>
      </c>
      <c r="CH35" s="94">
        <f>VLOOKUP($B35,Raw_Data[#All],CH$2,0)/CH$1</f>
        <v>1.8805142535765753</v>
      </c>
      <c r="CI35" s="94">
        <f>VLOOKUP($B35,Raw_Data[#All],CI$2,0)/CI$1</f>
        <v>2.0396037646314458</v>
      </c>
      <c r="CJ35" s="94">
        <f>VLOOKUP($B35,Raw_Data[#All],CJ$2,0)/CJ$1</f>
        <v>1.9632844128394518</v>
      </c>
      <c r="CK35" s="94">
        <f>VLOOKUP($B35,Raw_Data[#All],CK$2,0)/CK$1</f>
        <v>2.0828060740272067</v>
      </c>
      <c r="CL35" s="94">
        <f>VLOOKUP($B35,Raw_Data[#All],CL$2,0)/CL$1</f>
        <v>2.0168368361082103</v>
      </c>
      <c r="CM35" s="94">
        <f>VLOOKUP($B35,Raw_Data[#All],CM$2,0)/CM$1</f>
        <v>2.1224685276409416</v>
      </c>
      <c r="CN35" s="94">
        <f>VLOOKUP($B35,Raw_Data[#All],CN$2,0)/CN$1</f>
        <v>2.0765720081135903</v>
      </c>
      <c r="CO35" s="94">
        <f>VLOOKUP($B35,Raw_Data[#All],CO$2,0)/CO$1</f>
        <v>2.1085671322045072</v>
      </c>
      <c r="CP35" s="94">
        <f>VLOOKUP($B35,Raw_Data[#All],CP$2,0)/CP$1</f>
        <v>2.1321573009791401</v>
      </c>
      <c r="CQ35" s="94">
        <f>VLOOKUP($B35,Raw_Data[#All],CQ$2,0)/CQ$1</f>
        <v>2.1307243203794926</v>
      </c>
      <c r="CR35" s="94">
        <f>VLOOKUP($B35,Raw_Data[#All],CR$2,0)/CR$1</f>
        <v>2.1537755427841634</v>
      </c>
      <c r="CS35" s="94">
        <f>VLOOKUP($B35,Raw_Data[#All],CS$2,0)/CS$1</f>
        <v>2.1192029853128989</v>
      </c>
      <c r="CT35" s="94">
        <f>VLOOKUP($B35,Raw_Data[#All],CT$2,0)/CT$1</f>
        <v>2.1461373332246407</v>
      </c>
      <c r="CU35" s="94">
        <f>VLOOKUP($B35,Raw_Data[#All],CU$2,0)/CU$1</f>
        <v>2.1347126436781609</v>
      </c>
      <c r="CV35" s="94">
        <f>VLOOKUP($B35,Raw_Data[#All],CV$2,0)/CV$1</f>
        <v>2.0832105314863938</v>
      </c>
      <c r="CW35" s="94">
        <f>VLOOKUP($B35,Raw_Data[#All],CW$2,0)/CW$1</f>
        <v>2.0912484705588152</v>
      </c>
      <c r="CX35" s="94">
        <f>VLOOKUP($B35,Raw_Data[#All],CX$2,0)/CX$1</f>
        <v>2.090028014666502</v>
      </c>
      <c r="CY35" s="94">
        <f>VLOOKUP($B35,Raw_Data[#All],CY$2,0)/CY$1</f>
        <v>2.0672804030083727</v>
      </c>
      <c r="CZ35" s="94">
        <f>VLOOKUP($B35,Raw_Data[#All],CZ$2,0)/CZ$1</f>
        <v>2.1081551518147736</v>
      </c>
      <c r="DA35" s="94">
        <f>VLOOKUP($B35,Raw_Data[#All],DA$2,0)/DA$1</f>
        <v>2.105820105820106</v>
      </c>
      <c r="DB35" s="94">
        <f>VLOOKUP($B35,Raw_Data[#All],DB$2,0)/DB$1</f>
        <v>2.0691151819923372</v>
      </c>
      <c r="DC35" s="94">
        <f>VLOOKUP($B35,Raw_Data[#All],DC$2,0)/DC$1</f>
        <v>2.1308887809616319</v>
      </c>
      <c r="DD35" s="94">
        <f>VLOOKUP($B35,Raw_Data[#All],DD$2,0)/DD$1</f>
        <v>2.0823126688022109</v>
      </c>
      <c r="DE35" s="94">
        <f>VLOOKUP($B35,Raw_Data[#All],DE$2,0)/DE$1</f>
        <v>2.130753871890346</v>
      </c>
      <c r="DF35" s="94">
        <f>VLOOKUP($B35,Raw_Data[#All],DF$2,0)/DF$1</f>
        <v>2.0747525542784162</v>
      </c>
      <c r="DG35" s="94">
        <f>VLOOKUP($B35,Raw_Data[#All],DG$2,0)/DG$1</f>
        <v>2.1133004926108372</v>
      </c>
      <c r="DH35" s="94">
        <f>VLOOKUP($B35,Raw_Data[#All],DH$2,0)/DH$1</f>
        <v>2.1188038793103452</v>
      </c>
      <c r="DI35" s="94">
        <f>VLOOKUP($B35,Raw_Data[#All],DI$2,0)/DI$1</f>
        <v>2.1935778142674693</v>
      </c>
      <c r="DJ35" s="94">
        <f>VLOOKUP($B35,Raw_Data[#All],DJ$2,0)/DJ$1</f>
        <v>1.7294260855683268</v>
      </c>
      <c r="DK35" s="94">
        <f>VLOOKUP($B35,Raw_Data[#All],DK$2,0)/DK$1</f>
        <v>2.0478422826445022</v>
      </c>
      <c r="DL35" s="94">
        <f>VLOOKUP($B35,Raw_Data[#All],DL$2,0)/DL$1</f>
        <v>2.0443805874840359</v>
      </c>
      <c r="DM35" s="94">
        <f>VLOOKUP($B35,Raw_Data[#All],DM$2,0)/DM$1</f>
        <v>2.0553959131545336</v>
      </c>
      <c r="DN35" s="94">
        <f>VLOOKUP($B35,Raw_Data[#All],DN$2,0)/DN$1</f>
        <v>2.0429077575907386</v>
      </c>
      <c r="DO35" s="94">
        <f>VLOOKUP($B35,Raw_Data[#All],DO$2,0)/DO$1</f>
        <v>2.0816010434499064</v>
      </c>
      <c r="DP35" s="94">
        <f>VLOOKUP($B35,Raw_Data[#All],DP$2,0)/DP$1</f>
        <v>2.0168456460345725</v>
      </c>
      <c r="DQ35" s="94">
        <f>VLOOKUP($B35,Raw_Data[#All],DQ$2,0)/DQ$1</f>
        <v>2.0500364896916619</v>
      </c>
      <c r="DR35" s="94">
        <f>VLOOKUP($B35,Raw_Data[#All],DR$2,0)/DR$1</f>
        <v>1.9878971104725414</v>
      </c>
      <c r="DS35" s="94">
        <f>VLOOKUP($B35,Raw_Data[#All],DS$2,0)/DS$1</f>
        <v>2.0263342507150184</v>
      </c>
      <c r="DT35" s="94">
        <f>VLOOKUP($B35,Raw_Data[#All],DT$2,0)/DT$1</f>
        <v>2.034401670416996</v>
      </c>
      <c r="DU35" s="94">
        <f>VLOOKUP($B35,Raw_Data[#All],DU$2,0)/DU$1</f>
        <v>2.1210840658102317</v>
      </c>
      <c r="DV35" s="94">
        <f>VLOOKUP($B35,Raw_Data[#All],DV$2,0)/DV$1</f>
        <v>1.7747166980883455</v>
      </c>
      <c r="DW35" s="94">
        <f>VLOOKUP($B35,Raw_Data[#All],DW$2,0)/DW$1</f>
        <v>2.1512170946036102</v>
      </c>
      <c r="DX35" s="94">
        <f>VLOOKUP($B35,Raw_Data[#All],DX$2,0)/DX$1</f>
        <v>2.0112236725328483</v>
      </c>
      <c r="DY35" s="94">
        <f>VLOOKUP($B35,Raw_Data[#All],DY$2,0)/DY$1</f>
        <v>2.0310677994336168</v>
      </c>
      <c r="DZ35" s="94">
        <f>VLOOKUP($B35,Raw_Data[#All],DZ$2,0)/DZ$1</f>
        <v>2.0247217661010763</v>
      </c>
      <c r="EA35" s="94">
        <f>VLOOKUP($B35,Raw_Data[#All],EA$2,0)/EA$1</f>
        <v>1.8735532407407407</v>
      </c>
      <c r="EB35" s="94">
        <f>VLOOKUP($B35,Raw_Data[#All],EB$2,0)/EB$1</f>
        <v>2.0309506704980844</v>
      </c>
      <c r="EC35" s="94">
        <f>VLOOKUP($B35,Raw_Data[#All],EC$2,0)/EC$1</f>
        <v>2.0234611478162932</v>
      </c>
      <c r="ED35" s="94">
        <f>VLOOKUP($B35,Raw_Data[#All],ED$2,0)/ED$1</f>
        <v>1.9730059212817834</v>
      </c>
      <c r="EE35" s="94">
        <f>VLOOKUP($B35,Raw_Data[#All],EE$2,0)/EE$1</f>
        <v>1.9848871860366113</v>
      </c>
      <c r="EF35" s="94">
        <f>VLOOKUP($B35,Raw_Data[#All],EF$2,0)/EF$1</f>
        <v>1.952597609925196</v>
      </c>
      <c r="EG35" s="94">
        <f>VLOOKUP($B35,Raw_Data[#All],EG$2,0)/EG$1</f>
        <v>1.9231920498084292</v>
      </c>
      <c r="EH35" s="94">
        <f>VLOOKUP($B35,Raw_Data[#All],EH$2,0)/EH$1</f>
        <v>1.9227929438058746</v>
      </c>
      <c r="EI35" s="94">
        <f>VLOOKUP($B35,Raw_Data[#All],EI$2,0)/EI$1</f>
        <v>2.0378352490421454</v>
      </c>
      <c r="EJ35" s="94">
        <f>VLOOKUP($B35,Raw_Data[#All],EJ$2,0)/EJ$1</f>
        <v>2.3051847732047954</v>
      </c>
      <c r="EK35" s="94">
        <f>VLOOKUP($B35,Raw_Data[#All],EK$2,0)/EK$1</f>
        <v>2.0563715056052221</v>
      </c>
      <c r="EL35" s="94">
        <f>VLOOKUP($B35,Raw_Data[#All],EL$2,0)/EL$1</f>
        <v>2.2792373654442621</v>
      </c>
      <c r="EM35" s="94">
        <f>VLOOKUP($B35,Raw_Data[#All],EM$2,0)/EM$1</f>
        <v>2.0360477038476072</v>
      </c>
      <c r="EN35" s="94">
        <f>VLOOKUP($B35,Raw_Data[#All],EN$2,0)/EN$1</f>
        <v>2.2614486407589856</v>
      </c>
      <c r="EO35" s="94">
        <f>VLOOKUP($B35,Raw_Data[#All],EO$2,0)/EO$1</f>
        <v>1.9958293422733078</v>
      </c>
      <c r="EP35" s="94">
        <f>VLOOKUP($B35,Raw_Data[#All],EP$2,0)/EP$1</f>
        <v>2.2191790389527459</v>
      </c>
      <c r="EQ35" s="94">
        <f>VLOOKUP($B35,Raw_Data[#All],EQ$2,0)/EQ$1</f>
        <v>2.0227849038443741</v>
      </c>
      <c r="ER35" s="94">
        <f>VLOOKUP($B35,Raw_Data[#All],ER$2,0)/ER$1</f>
        <v>2.0296757485454804</v>
      </c>
      <c r="ES35" s="94">
        <f>VLOOKUP($B35,Raw_Data[#All],ES$2,0)/ES$1</f>
        <v>2.0041641933336933</v>
      </c>
      <c r="ET35" s="94">
        <f>VLOOKUP($B35,Raw_Data[#All],ET$2,0)/ET$1</f>
        <v>2.0342039465400323</v>
      </c>
      <c r="EU35" s="94">
        <f>VLOOKUP($B35,Raw_Data[#All],EU$2,0)/EU$1</f>
        <v>2.0323601892324574</v>
      </c>
      <c r="EV35" s="94">
        <f>VLOOKUP($B35,Raw_Data[#All],EV$2,0)/EV$1</f>
        <v>2.0118933588761174</v>
      </c>
      <c r="EW35" s="94">
        <f>VLOOKUP($B35,Raw_Data[#All],EW$2,0)/EW$1</f>
        <v>2.0093490581098337</v>
      </c>
      <c r="EX35" s="94">
        <f>VLOOKUP($B35,Raw_Data[#All],EX$2,0)/EX$1</f>
        <v>2.0364074613710361</v>
      </c>
      <c r="EY35" s="94">
        <f>VLOOKUP($B35,Raw_Data[#All],EY$2,0)/EY$1</f>
        <v>2.0235958166992649</v>
      </c>
      <c r="EZ35" s="94">
        <f>VLOOKUP($B35,Raw_Data[#All],EZ$2,0)/EZ$1</f>
        <v>2.0539325244785016</v>
      </c>
      <c r="FA35" s="94">
        <f>VLOOKUP($B35,Raw_Data[#All],FA$2,0)/FA$1</f>
        <v>2.0475468284376332</v>
      </c>
      <c r="FB35" s="94">
        <f>VLOOKUP($B35,Raw_Data[#All],FB$2,0)/FB$1</f>
        <v>1.9699872286079181</v>
      </c>
      <c r="FC35" s="94">
        <f>VLOOKUP($B35,Raw_Data[#All],FC$2,0)/FC$1</f>
        <v>2.0159287640130552</v>
      </c>
      <c r="FD35" s="94">
        <f>VLOOKUP($B35,Raw_Data[#All],FD$2,0)/FD$1</f>
        <v>2.008351293103448</v>
      </c>
      <c r="FE35" s="94">
        <f>VLOOKUP($B35,Raw_Data[#All],FE$2,0)/FE$1</f>
        <v>2.0538438342557117</v>
      </c>
      <c r="FF35" s="94">
        <f>VLOOKUP($B35,Raw_Data[#All],FF$2,0)/FF$1</f>
        <v>2.022818885696041</v>
      </c>
      <c r="FG35" s="107">
        <f>VLOOKUP($B35,Raw_Data[#All],FG$2,0)/FG$1</f>
        <v>2.1163726341684743</v>
      </c>
    </row>
    <row r="36" spans="2:163">
      <c r="B36" s="106">
        <f t="shared" ref="B36:B53" si="1">B35+1</f>
        <v>45859</v>
      </c>
      <c r="C36" s="87" t="e">
        <f>VLOOKUP($B36,Raw_Data[#All],C$2,0)/C$1</f>
        <v>#N/A</v>
      </c>
      <c r="D36" s="87" t="e">
        <f>VLOOKUP($B36,Raw_Data[#All],D$2,0)/D$1</f>
        <v>#N/A</v>
      </c>
      <c r="E36" s="87" t="e">
        <f>VLOOKUP($B36,Raw_Data[#All],E$2,0)/E$1</f>
        <v>#N/A</v>
      </c>
      <c r="F36" s="87" t="e">
        <f>VLOOKUP($B36,Raw_Data[#All],F$2,0)/F$1</f>
        <v>#N/A</v>
      </c>
      <c r="G36" s="87" t="e">
        <f>VLOOKUP($B36,Raw_Data[#All],G$2,0)/G$1</f>
        <v>#N/A</v>
      </c>
      <c r="H36" s="87" t="e">
        <f>VLOOKUP($B36,Raw_Data[#All],H$2,0)/H$1</f>
        <v>#N/A</v>
      </c>
      <c r="I36" s="87" t="e">
        <f>VLOOKUP($B36,Raw_Data[#All],I$2,0)/I$1</f>
        <v>#N/A</v>
      </c>
      <c r="J36" s="87" t="e">
        <f>VLOOKUP($B36,Raw_Data[#All],J$2,0)/J$1</f>
        <v>#N/A</v>
      </c>
      <c r="K36" s="87" t="e">
        <f>VLOOKUP($B36,Raw_Data[#All],K$2,0)/K$1</f>
        <v>#N/A</v>
      </c>
      <c r="L36" s="87" t="e">
        <f>VLOOKUP($B36,Raw_Data[#All],L$2,0)/L$1</f>
        <v>#N/A</v>
      </c>
      <c r="M36" s="87" t="e">
        <f>VLOOKUP($B36,Raw_Data[#All],M$2,0)/M$1</f>
        <v>#N/A</v>
      </c>
      <c r="N36" s="87" t="e">
        <f>VLOOKUP($B36,Raw_Data[#All],N$2,0)/N$1</f>
        <v>#N/A</v>
      </c>
      <c r="O36" s="87" t="e">
        <f>VLOOKUP($B36,Raw_Data[#All],O$2,0)/O$1</f>
        <v>#N/A</v>
      </c>
      <c r="P36" s="87" t="e">
        <f>VLOOKUP($B36,Raw_Data[#All],P$2,0)/P$1</f>
        <v>#N/A</v>
      </c>
      <c r="Q36" s="87" t="e">
        <f>VLOOKUP($B36,Raw_Data[#All],Q$2,0)/Q$1</f>
        <v>#N/A</v>
      </c>
      <c r="R36" s="87" t="e">
        <f>VLOOKUP($B36,Raw_Data[#All],R$2,0)/R$1</f>
        <v>#N/A</v>
      </c>
      <c r="S36" s="87" t="e">
        <f>VLOOKUP($B36,Raw_Data[#All],S$2,0)/S$1</f>
        <v>#N/A</v>
      </c>
      <c r="T36" s="87" t="e">
        <f>VLOOKUP($B36,Raw_Data[#All],T$2,0)/T$1</f>
        <v>#N/A</v>
      </c>
      <c r="U36" s="87" t="e">
        <f>VLOOKUP($B36,Raw_Data[#All],U$2,0)/U$1</f>
        <v>#N/A</v>
      </c>
      <c r="V36" s="87" t="e">
        <f>VLOOKUP($B36,Raw_Data[#All],V$2,0)/V$1</f>
        <v>#N/A</v>
      </c>
      <c r="W36" s="87" t="e">
        <f>VLOOKUP($B36,Raw_Data[#All],W$2,0)/W$1</f>
        <v>#N/A</v>
      </c>
      <c r="X36" s="87" t="e">
        <f>VLOOKUP($B36,Raw_Data[#All],X$2,0)/X$1</f>
        <v>#N/A</v>
      </c>
      <c r="Y36" s="87" t="e">
        <f>VLOOKUP($B36,Raw_Data[#All],Y$2,0)/Y$1</f>
        <v>#N/A</v>
      </c>
      <c r="Z36" s="87" t="e">
        <f>VLOOKUP($B36,Raw_Data[#All],Z$2,0)/Z$1</f>
        <v>#N/A</v>
      </c>
      <c r="AA36" s="87" t="e">
        <f>VLOOKUP($B36,Raw_Data[#All],AA$2,0)/AA$1</f>
        <v>#N/A</v>
      </c>
      <c r="AB36" s="87" t="e">
        <f>VLOOKUP($B36,Raw_Data[#All],AB$2,0)/AB$1</f>
        <v>#N/A</v>
      </c>
      <c r="AC36" s="87" t="e">
        <f>VLOOKUP($B36,Raw_Data[#All],AC$2,0)/AC$1</f>
        <v>#N/A</v>
      </c>
      <c r="AD36" s="87" t="e">
        <f>VLOOKUP($B36,Raw_Data[#All],AD$2,0)/AD$1</f>
        <v>#N/A</v>
      </c>
      <c r="AE36" s="87" t="e">
        <f>VLOOKUP($B36,Raw_Data[#All],AE$2,0)/AE$1</f>
        <v>#N/A</v>
      </c>
      <c r="AF36" s="87" t="e">
        <f>VLOOKUP($B36,Raw_Data[#All],AF$2,0)/AF$1</f>
        <v>#N/A</v>
      </c>
      <c r="AG36" s="87" t="e">
        <f>VLOOKUP($B36,Raw_Data[#All],AG$2,0)/AG$1</f>
        <v>#N/A</v>
      </c>
      <c r="AH36" s="87" t="e">
        <f>VLOOKUP($B36,Raw_Data[#All],AH$2,0)/AH$1</f>
        <v>#N/A</v>
      </c>
      <c r="AI36" s="87" t="e">
        <f>VLOOKUP($B36,Raw_Data[#All],AI$2,0)/AI$1</f>
        <v>#N/A</v>
      </c>
      <c r="AJ36" s="87" t="e">
        <f>VLOOKUP($B36,Raw_Data[#All],AJ$2,0)/AJ$1</f>
        <v>#N/A</v>
      </c>
      <c r="AK36" s="87" t="e">
        <f>VLOOKUP($B36,Raw_Data[#All],AK$2,0)/AK$1</f>
        <v>#N/A</v>
      </c>
      <c r="AL36" s="87" t="e">
        <f>VLOOKUP($B36,Raw_Data[#All],AL$2,0)/AL$1</f>
        <v>#N/A</v>
      </c>
      <c r="AM36" s="87" t="e">
        <f>VLOOKUP($B36,Raw_Data[#All],AM$2,0)/AM$1</f>
        <v>#N/A</v>
      </c>
      <c r="AN36" s="87" t="e">
        <f>VLOOKUP($B36,Raw_Data[#All],AN$2,0)/AN$1</f>
        <v>#N/A</v>
      </c>
      <c r="AO36" s="87" t="e">
        <f>VLOOKUP($B36,Raw_Data[#All],AO$2,0)/AO$1</f>
        <v>#N/A</v>
      </c>
      <c r="AP36" s="87" t="e">
        <f>VLOOKUP($B36,Raw_Data[#All],AP$2,0)/AP$1</f>
        <v>#N/A</v>
      </c>
      <c r="AQ36" s="87" t="e">
        <f>VLOOKUP($B36,Raw_Data[#All],AQ$2,0)/AQ$1</f>
        <v>#N/A</v>
      </c>
      <c r="AR36" s="87" t="e">
        <f>VLOOKUP($B36,Raw_Data[#All],AR$2,0)/AR$1</f>
        <v>#N/A</v>
      </c>
      <c r="AS36" s="87" t="e">
        <f>VLOOKUP($B36,Raw_Data[#All],AS$2,0)/AS$1</f>
        <v>#N/A</v>
      </c>
      <c r="AT36" s="87" t="e">
        <f>VLOOKUP($B36,Raw_Data[#All],AT$2,0)/AT$1</f>
        <v>#N/A</v>
      </c>
      <c r="AU36" s="87" t="e">
        <f>VLOOKUP($B36,Raw_Data[#All],AU$2,0)/AU$1</f>
        <v>#N/A</v>
      </c>
      <c r="AV36" s="87" t="e">
        <f>VLOOKUP($B36,Raw_Data[#All],AV$2,0)/AV$1</f>
        <v>#N/A</v>
      </c>
      <c r="AW36" s="87" t="e">
        <f>VLOOKUP($B36,Raw_Data[#All],AW$2,0)/AW$1</f>
        <v>#N/A</v>
      </c>
      <c r="AX36" s="87" t="e">
        <f>VLOOKUP($B36,Raw_Data[#All],AX$2,0)/AX$1</f>
        <v>#N/A</v>
      </c>
      <c r="AY36" s="87" t="e">
        <f>VLOOKUP($B36,Raw_Data[#All],AY$2,0)/AY$1</f>
        <v>#N/A</v>
      </c>
      <c r="AZ36" s="87" t="e">
        <f>VLOOKUP($B36,Raw_Data[#All],AZ$2,0)/AZ$1</f>
        <v>#N/A</v>
      </c>
      <c r="BA36" s="87" t="e">
        <f>VLOOKUP($B36,Raw_Data[#All],BA$2,0)/BA$1</f>
        <v>#N/A</v>
      </c>
      <c r="BB36" s="87" t="e">
        <f>VLOOKUP($B36,Raw_Data[#All],BB$2,0)/BB$1</f>
        <v>#N/A</v>
      </c>
      <c r="BC36" s="87" t="e">
        <f>VLOOKUP($B36,Raw_Data[#All],BC$2,0)/BC$1</f>
        <v>#N/A</v>
      </c>
      <c r="BD36" s="87" t="e">
        <f>VLOOKUP($B36,Raw_Data[#All],BD$2,0)/BD$1</f>
        <v>#N/A</v>
      </c>
      <c r="BE36" s="87" t="e">
        <f>VLOOKUP($B36,Raw_Data[#All],BE$2,0)/BE$1</f>
        <v>#N/A</v>
      </c>
      <c r="BF36" s="87" t="e">
        <f>VLOOKUP($B36,Raw_Data[#All],BF$2,0)/BF$1</f>
        <v>#N/A</v>
      </c>
      <c r="BG36" s="87" t="e">
        <f>VLOOKUP($B36,Raw_Data[#All],BG$2,0)/BG$1</f>
        <v>#N/A</v>
      </c>
      <c r="BH36" s="87" t="e">
        <f>VLOOKUP($B36,Raw_Data[#All],BH$2,0)/BH$1</f>
        <v>#N/A</v>
      </c>
      <c r="BI36" s="87" t="e">
        <f>VLOOKUP($B36,Raw_Data[#All],BI$2,0)/BI$1</f>
        <v>#N/A</v>
      </c>
      <c r="BJ36" s="87" t="e">
        <f>VLOOKUP($B36,Raw_Data[#All],BJ$2,0)/BJ$1</f>
        <v>#N/A</v>
      </c>
      <c r="BK36" s="87" t="e">
        <f>VLOOKUP($B36,Raw_Data[#All],BK$2,0)/BK$1</f>
        <v>#N/A</v>
      </c>
      <c r="BL36" s="87" t="e">
        <f>VLOOKUP($B36,Raw_Data[#All],BL$2,0)/BL$1</f>
        <v>#N/A</v>
      </c>
      <c r="BM36" s="87" t="e">
        <f>VLOOKUP($B36,Raw_Data[#All],BM$2,0)/BM$1</f>
        <v>#N/A</v>
      </c>
      <c r="BN36" s="87" t="e">
        <f>VLOOKUP($B36,Raw_Data[#All],BN$2,0)/BN$1</f>
        <v>#N/A</v>
      </c>
      <c r="BO36" s="87" t="e">
        <f>VLOOKUP($B36,Raw_Data[#All],BO$2,0)/BO$1</f>
        <v>#N/A</v>
      </c>
      <c r="BP36" s="87" t="e">
        <f>VLOOKUP($B36,Raw_Data[#All],BP$2,0)/BP$1</f>
        <v>#N/A</v>
      </c>
      <c r="BQ36" s="87" t="e">
        <f>VLOOKUP($B36,Raw_Data[#All],BQ$2,0)/BQ$1</f>
        <v>#N/A</v>
      </c>
      <c r="BR36" s="87" t="e">
        <f>VLOOKUP($B36,Raw_Data[#All],BR$2,0)/BR$1</f>
        <v>#N/A</v>
      </c>
      <c r="BS36" s="87" t="e">
        <f>VLOOKUP($B36,Raw_Data[#All],BS$2,0)/BS$1</f>
        <v>#N/A</v>
      </c>
      <c r="BT36" s="87" t="e">
        <f>VLOOKUP($B36,Raw_Data[#All],BT$2,0)/BT$1</f>
        <v>#N/A</v>
      </c>
      <c r="BU36" s="87" t="e">
        <f>VLOOKUP($B36,Raw_Data[#All],BU$2,0)/BU$1</f>
        <v>#N/A</v>
      </c>
      <c r="BV36" s="87" t="e">
        <f>VLOOKUP($B36,Raw_Data[#All],BV$2,0)/BV$1</f>
        <v>#N/A</v>
      </c>
      <c r="BW36" s="87" t="e">
        <f>VLOOKUP($B36,Raw_Data[#All],BW$2,0)/BW$1</f>
        <v>#N/A</v>
      </c>
      <c r="BX36" s="87" t="e">
        <f>VLOOKUP($B36,Raw_Data[#All],BX$2,0)/BX$1</f>
        <v>#N/A</v>
      </c>
      <c r="BY36" s="87" t="e">
        <f>VLOOKUP($B36,Raw_Data[#All],BY$2,0)/BY$1</f>
        <v>#N/A</v>
      </c>
      <c r="BZ36" s="87" t="e">
        <f>VLOOKUP($B36,Raw_Data[#All],BZ$2,0)/BZ$1</f>
        <v>#N/A</v>
      </c>
      <c r="CA36" s="87" t="e">
        <f>VLOOKUP($B36,Raw_Data[#All],CA$2,0)/CA$1</f>
        <v>#N/A</v>
      </c>
      <c r="CB36" s="87" t="e">
        <f>VLOOKUP($B36,Raw_Data[#All],CB$2,0)/CB$1</f>
        <v>#N/A</v>
      </c>
      <c r="CC36" s="87" t="e">
        <f>VLOOKUP($B36,Raw_Data[#All],CC$2,0)/CC$1</f>
        <v>#N/A</v>
      </c>
      <c r="CD36" s="87" t="e">
        <f>VLOOKUP($B36,Raw_Data[#All],CD$2,0)/CD$1</f>
        <v>#N/A</v>
      </c>
      <c r="CE36" s="87" t="e">
        <f>VLOOKUP($B36,Raw_Data[#All],CE$2,0)/CE$1</f>
        <v>#N/A</v>
      </c>
      <c r="CF36" s="87" t="e">
        <f>VLOOKUP($B36,Raw_Data[#All],CF$2,0)/CF$1</f>
        <v>#N/A</v>
      </c>
      <c r="CG36" s="87" t="e">
        <f>VLOOKUP($B36,Raw_Data[#All],CG$2,0)/CG$1</f>
        <v>#N/A</v>
      </c>
      <c r="CH36" s="87" t="e">
        <f>VLOOKUP($B36,Raw_Data[#All],CH$2,0)/CH$1</f>
        <v>#N/A</v>
      </c>
      <c r="CI36" s="87" t="e">
        <f>VLOOKUP($B36,Raw_Data[#All],CI$2,0)/CI$1</f>
        <v>#N/A</v>
      </c>
      <c r="CJ36" s="87" t="e">
        <f>VLOOKUP($B36,Raw_Data[#All],CJ$2,0)/CJ$1</f>
        <v>#N/A</v>
      </c>
      <c r="CK36" s="87" t="e">
        <f>VLOOKUP($B36,Raw_Data[#All],CK$2,0)/CK$1</f>
        <v>#N/A</v>
      </c>
      <c r="CL36" s="87" t="e">
        <f>VLOOKUP($B36,Raw_Data[#All],CL$2,0)/CL$1</f>
        <v>#N/A</v>
      </c>
      <c r="CM36" s="87" t="e">
        <f>VLOOKUP($B36,Raw_Data[#All],CM$2,0)/CM$1</f>
        <v>#N/A</v>
      </c>
      <c r="CN36" s="87" t="e">
        <f>VLOOKUP($B36,Raw_Data[#All],CN$2,0)/CN$1</f>
        <v>#N/A</v>
      </c>
      <c r="CO36" s="87" t="e">
        <f>VLOOKUP($B36,Raw_Data[#All],CO$2,0)/CO$1</f>
        <v>#N/A</v>
      </c>
      <c r="CP36" s="87" t="e">
        <f>VLOOKUP($B36,Raw_Data[#All],CP$2,0)/CP$1</f>
        <v>#N/A</v>
      </c>
      <c r="CQ36" s="87" t="e">
        <f>VLOOKUP($B36,Raw_Data[#All],CQ$2,0)/CQ$1</f>
        <v>#N/A</v>
      </c>
      <c r="CR36" s="87" t="e">
        <f>VLOOKUP($B36,Raw_Data[#All],CR$2,0)/CR$1</f>
        <v>#N/A</v>
      </c>
      <c r="CS36" s="87" t="e">
        <f>VLOOKUP($B36,Raw_Data[#All],CS$2,0)/CS$1</f>
        <v>#N/A</v>
      </c>
      <c r="CT36" s="87" t="e">
        <f>VLOOKUP($B36,Raw_Data[#All],CT$2,0)/CT$1</f>
        <v>#N/A</v>
      </c>
      <c r="CU36" s="87" t="e">
        <f>VLOOKUP($B36,Raw_Data[#All],CU$2,0)/CU$1</f>
        <v>#N/A</v>
      </c>
      <c r="CV36" s="87" t="e">
        <f>VLOOKUP($B36,Raw_Data[#All],CV$2,0)/CV$1</f>
        <v>#N/A</v>
      </c>
      <c r="CW36" s="87" t="e">
        <f>VLOOKUP($B36,Raw_Data[#All],CW$2,0)/CW$1</f>
        <v>#N/A</v>
      </c>
      <c r="CX36" s="87" t="e">
        <f>VLOOKUP($B36,Raw_Data[#All],CX$2,0)/CX$1</f>
        <v>#N/A</v>
      </c>
      <c r="CY36" s="87" t="e">
        <f>VLOOKUP($B36,Raw_Data[#All],CY$2,0)/CY$1</f>
        <v>#N/A</v>
      </c>
      <c r="CZ36" s="87" t="e">
        <f>VLOOKUP($B36,Raw_Data[#All],CZ$2,0)/CZ$1</f>
        <v>#N/A</v>
      </c>
      <c r="DA36" s="87" t="e">
        <f>VLOOKUP($B36,Raw_Data[#All],DA$2,0)/DA$1</f>
        <v>#N/A</v>
      </c>
      <c r="DB36" s="87" t="e">
        <f>VLOOKUP($B36,Raw_Data[#All],DB$2,0)/DB$1</f>
        <v>#N/A</v>
      </c>
      <c r="DC36" s="87" t="e">
        <f>VLOOKUP($B36,Raw_Data[#All],DC$2,0)/DC$1</f>
        <v>#N/A</v>
      </c>
      <c r="DD36" s="87" t="e">
        <f>VLOOKUP($B36,Raw_Data[#All],DD$2,0)/DD$1</f>
        <v>#N/A</v>
      </c>
      <c r="DE36" s="87" t="e">
        <f>VLOOKUP($B36,Raw_Data[#All],DE$2,0)/DE$1</f>
        <v>#N/A</v>
      </c>
      <c r="DF36" s="87" t="e">
        <f>VLOOKUP($B36,Raw_Data[#All],DF$2,0)/DF$1</f>
        <v>#N/A</v>
      </c>
      <c r="DG36" s="87" t="e">
        <f>VLOOKUP($B36,Raw_Data[#All],DG$2,0)/DG$1</f>
        <v>#N/A</v>
      </c>
      <c r="DH36" s="87" t="e">
        <f>VLOOKUP($B36,Raw_Data[#All],DH$2,0)/DH$1</f>
        <v>#N/A</v>
      </c>
      <c r="DI36" s="87" t="e">
        <f>VLOOKUP($B36,Raw_Data[#All],DI$2,0)/DI$1</f>
        <v>#N/A</v>
      </c>
      <c r="DJ36" s="87" t="e">
        <f>VLOOKUP($B36,Raw_Data[#All],DJ$2,0)/DJ$1</f>
        <v>#N/A</v>
      </c>
      <c r="DK36" s="87" t="e">
        <f>VLOOKUP($B36,Raw_Data[#All],DK$2,0)/DK$1</f>
        <v>#N/A</v>
      </c>
      <c r="DL36" s="87" t="e">
        <f>VLOOKUP($B36,Raw_Data[#All],DL$2,0)/DL$1</f>
        <v>#N/A</v>
      </c>
      <c r="DM36" s="87" t="e">
        <f>VLOOKUP($B36,Raw_Data[#All],DM$2,0)/DM$1</f>
        <v>#N/A</v>
      </c>
      <c r="DN36" s="87" t="e">
        <f>VLOOKUP($B36,Raw_Data[#All],DN$2,0)/DN$1</f>
        <v>#N/A</v>
      </c>
      <c r="DO36" s="87" t="e">
        <f>VLOOKUP($B36,Raw_Data[#All],DO$2,0)/DO$1</f>
        <v>#N/A</v>
      </c>
      <c r="DP36" s="87" t="e">
        <f>VLOOKUP($B36,Raw_Data[#All],DP$2,0)/DP$1</f>
        <v>#N/A</v>
      </c>
      <c r="DQ36" s="87" t="e">
        <f>VLOOKUP($B36,Raw_Data[#All],DQ$2,0)/DQ$1</f>
        <v>#N/A</v>
      </c>
      <c r="DR36" s="87" t="e">
        <f>VLOOKUP($B36,Raw_Data[#All],DR$2,0)/DR$1</f>
        <v>#N/A</v>
      </c>
      <c r="DS36" s="87" t="e">
        <f>VLOOKUP($B36,Raw_Data[#All],DS$2,0)/DS$1</f>
        <v>#N/A</v>
      </c>
      <c r="DT36" s="87" t="e">
        <f>VLOOKUP($B36,Raw_Data[#All],DT$2,0)/DT$1</f>
        <v>#N/A</v>
      </c>
      <c r="DU36" s="87" t="e">
        <f>VLOOKUP($B36,Raw_Data[#All],DU$2,0)/DU$1</f>
        <v>#N/A</v>
      </c>
      <c r="DV36" s="87" t="e">
        <f>VLOOKUP($B36,Raw_Data[#All],DV$2,0)/DV$1</f>
        <v>#N/A</v>
      </c>
      <c r="DW36" s="87" t="e">
        <f>VLOOKUP($B36,Raw_Data[#All],DW$2,0)/DW$1</f>
        <v>#N/A</v>
      </c>
      <c r="DX36" s="87" t="e">
        <f>VLOOKUP($B36,Raw_Data[#All],DX$2,0)/DX$1</f>
        <v>#N/A</v>
      </c>
      <c r="DY36" s="87" t="e">
        <f>VLOOKUP($B36,Raw_Data[#All],DY$2,0)/DY$1</f>
        <v>#N/A</v>
      </c>
      <c r="DZ36" s="87" t="e">
        <f>VLOOKUP($B36,Raw_Data[#All],DZ$2,0)/DZ$1</f>
        <v>#N/A</v>
      </c>
      <c r="EA36" s="87" t="e">
        <f>VLOOKUP($B36,Raw_Data[#All],EA$2,0)/EA$1</f>
        <v>#N/A</v>
      </c>
      <c r="EB36" s="87" t="e">
        <f>VLOOKUP($B36,Raw_Data[#All],EB$2,0)/EB$1</f>
        <v>#N/A</v>
      </c>
      <c r="EC36" s="87" t="e">
        <f>VLOOKUP($B36,Raw_Data[#All],EC$2,0)/EC$1</f>
        <v>#N/A</v>
      </c>
      <c r="ED36" s="87" t="e">
        <f>VLOOKUP($B36,Raw_Data[#All],ED$2,0)/ED$1</f>
        <v>#N/A</v>
      </c>
      <c r="EE36" s="87" t="e">
        <f>VLOOKUP($B36,Raw_Data[#All],EE$2,0)/EE$1</f>
        <v>#N/A</v>
      </c>
      <c r="EF36" s="87" t="e">
        <f>VLOOKUP($B36,Raw_Data[#All],EF$2,0)/EF$1</f>
        <v>#N/A</v>
      </c>
      <c r="EG36" s="87" t="e">
        <f>VLOOKUP($B36,Raw_Data[#All],EG$2,0)/EG$1</f>
        <v>#N/A</v>
      </c>
      <c r="EH36" s="87" t="e">
        <f>VLOOKUP($B36,Raw_Data[#All],EH$2,0)/EH$1</f>
        <v>#N/A</v>
      </c>
      <c r="EI36" s="87" t="e">
        <f>VLOOKUP($B36,Raw_Data[#All],EI$2,0)/EI$1</f>
        <v>#N/A</v>
      </c>
      <c r="EJ36" s="87" t="e">
        <f>VLOOKUP($B36,Raw_Data[#All],EJ$2,0)/EJ$1</f>
        <v>#N/A</v>
      </c>
      <c r="EK36" s="87" t="e">
        <f>VLOOKUP($B36,Raw_Data[#All],EK$2,0)/EK$1</f>
        <v>#N/A</v>
      </c>
      <c r="EL36" s="87" t="e">
        <f>VLOOKUP($B36,Raw_Data[#All],EL$2,0)/EL$1</f>
        <v>#N/A</v>
      </c>
      <c r="EM36" s="87" t="e">
        <f>VLOOKUP($B36,Raw_Data[#All],EM$2,0)/EM$1</f>
        <v>#N/A</v>
      </c>
      <c r="EN36" s="87" t="e">
        <f>VLOOKUP($B36,Raw_Data[#All],EN$2,0)/EN$1</f>
        <v>#N/A</v>
      </c>
      <c r="EO36" s="87" t="e">
        <f>VLOOKUP($B36,Raw_Data[#All],EO$2,0)/EO$1</f>
        <v>#N/A</v>
      </c>
      <c r="EP36" s="87" t="e">
        <f>VLOOKUP($B36,Raw_Data[#All],EP$2,0)/EP$1</f>
        <v>#N/A</v>
      </c>
      <c r="EQ36" s="87" t="e">
        <f>VLOOKUP($B36,Raw_Data[#All],EQ$2,0)/EQ$1</f>
        <v>#N/A</v>
      </c>
      <c r="ER36" s="87" t="e">
        <f>VLOOKUP($B36,Raw_Data[#All],ER$2,0)/ER$1</f>
        <v>#N/A</v>
      </c>
      <c r="ES36" s="87" t="e">
        <f>VLOOKUP($B36,Raw_Data[#All],ES$2,0)/ES$1</f>
        <v>#N/A</v>
      </c>
      <c r="ET36" s="87" t="e">
        <f>VLOOKUP($B36,Raw_Data[#All],ET$2,0)/ET$1</f>
        <v>#N/A</v>
      </c>
      <c r="EU36" s="87" t="e">
        <f>VLOOKUP($B36,Raw_Data[#All],EU$2,0)/EU$1</f>
        <v>#N/A</v>
      </c>
      <c r="EV36" s="87" t="e">
        <f>VLOOKUP($B36,Raw_Data[#All],EV$2,0)/EV$1</f>
        <v>#N/A</v>
      </c>
      <c r="EW36" s="87" t="e">
        <f>VLOOKUP($B36,Raw_Data[#All],EW$2,0)/EW$1</f>
        <v>#N/A</v>
      </c>
      <c r="EX36" s="87" t="e">
        <f>VLOOKUP($B36,Raw_Data[#All],EX$2,0)/EX$1</f>
        <v>#N/A</v>
      </c>
      <c r="EY36" s="87" t="e">
        <f>VLOOKUP($B36,Raw_Data[#All],EY$2,0)/EY$1</f>
        <v>#N/A</v>
      </c>
      <c r="EZ36" s="87" t="e">
        <f>VLOOKUP($B36,Raw_Data[#All],EZ$2,0)/EZ$1</f>
        <v>#N/A</v>
      </c>
      <c r="FA36" s="87" t="e">
        <f>VLOOKUP($B36,Raw_Data[#All],FA$2,0)/FA$1</f>
        <v>#N/A</v>
      </c>
      <c r="FB36" s="87" t="e">
        <f>VLOOKUP($B36,Raw_Data[#All],FB$2,0)/FB$1</f>
        <v>#N/A</v>
      </c>
      <c r="FC36" s="87" t="e">
        <f>VLOOKUP($B36,Raw_Data[#All],FC$2,0)/FC$1</f>
        <v>#N/A</v>
      </c>
      <c r="FD36" s="87" t="e">
        <f>VLOOKUP($B36,Raw_Data[#All],FD$2,0)/FD$1</f>
        <v>#N/A</v>
      </c>
      <c r="FE36" s="87" t="e">
        <f>VLOOKUP($B36,Raw_Data[#All],FE$2,0)/FE$1</f>
        <v>#N/A</v>
      </c>
      <c r="FF36" s="87" t="e">
        <f>VLOOKUP($B36,Raw_Data[#All],FF$2,0)/FF$1</f>
        <v>#N/A</v>
      </c>
      <c r="FG36" s="105" t="e">
        <f>VLOOKUP($B36,Raw_Data[#All],FG$2,0)/FG$1</f>
        <v>#N/A</v>
      </c>
    </row>
    <row r="37" spans="2:163">
      <c r="B37" s="106">
        <f t="shared" si="1"/>
        <v>45860</v>
      </c>
      <c r="C37" s="87" t="e">
        <f>VLOOKUP($B37,Raw_Data[#All],C$2,0)/C$1</f>
        <v>#N/A</v>
      </c>
      <c r="D37" s="87" t="e">
        <f>VLOOKUP($B37,Raw_Data[#All],D$2,0)/D$1</f>
        <v>#N/A</v>
      </c>
      <c r="E37" s="87" t="e">
        <f>VLOOKUP($B37,Raw_Data[#All],E$2,0)/E$1</f>
        <v>#N/A</v>
      </c>
      <c r="F37" s="87" t="e">
        <f>VLOOKUP($B37,Raw_Data[#All],F$2,0)/F$1</f>
        <v>#N/A</v>
      </c>
      <c r="G37" s="87" t="e">
        <f>VLOOKUP($B37,Raw_Data[#All],G$2,0)/G$1</f>
        <v>#N/A</v>
      </c>
      <c r="H37" s="87" t="e">
        <f>VLOOKUP($B37,Raw_Data[#All],H$2,0)/H$1</f>
        <v>#N/A</v>
      </c>
      <c r="I37" s="87" t="e">
        <f>VLOOKUP($B37,Raw_Data[#All],I$2,0)/I$1</f>
        <v>#N/A</v>
      </c>
      <c r="J37" s="87" t="e">
        <f>VLOOKUP($B37,Raw_Data[#All],J$2,0)/J$1</f>
        <v>#N/A</v>
      </c>
      <c r="K37" s="87" t="e">
        <f>VLOOKUP($B37,Raw_Data[#All],K$2,0)/K$1</f>
        <v>#N/A</v>
      </c>
      <c r="L37" s="87" t="e">
        <f>VLOOKUP($B37,Raw_Data[#All],L$2,0)/L$1</f>
        <v>#N/A</v>
      </c>
      <c r="M37" s="87" t="e">
        <f>VLOOKUP($B37,Raw_Data[#All],M$2,0)/M$1</f>
        <v>#N/A</v>
      </c>
      <c r="N37" s="87" t="e">
        <f>VLOOKUP($B37,Raw_Data[#All],N$2,0)/N$1</f>
        <v>#N/A</v>
      </c>
      <c r="O37" s="87" t="e">
        <f>VLOOKUP($B37,Raw_Data[#All],O$2,0)/O$1</f>
        <v>#N/A</v>
      </c>
      <c r="P37" s="87" t="e">
        <f>VLOOKUP($B37,Raw_Data[#All],P$2,0)/P$1</f>
        <v>#N/A</v>
      </c>
      <c r="Q37" s="87" t="e">
        <f>VLOOKUP($B37,Raw_Data[#All],Q$2,0)/Q$1</f>
        <v>#N/A</v>
      </c>
      <c r="R37" s="87" t="e">
        <f>VLOOKUP($B37,Raw_Data[#All],R$2,0)/R$1</f>
        <v>#N/A</v>
      </c>
      <c r="S37" s="87" t="e">
        <f>VLOOKUP($B37,Raw_Data[#All],S$2,0)/S$1</f>
        <v>#N/A</v>
      </c>
      <c r="T37" s="87" t="e">
        <f>VLOOKUP($B37,Raw_Data[#All],T$2,0)/T$1</f>
        <v>#N/A</v>
      </c>
      <c r="U37" s="87" t="e">
        <f>VLOOKUP($B37,Raw_Data[#All],U$2,0)/U$1</f>
        <v>#N/A</v>
      </c>
      <c r="V37" s="87" t="e">
        <f>VLOOKUP($B37,Raw_Data[#All],V$2,0)/V$1</f>
        <v>#N/A</v>
      </c>
      <c r="W37" s="87" t="e">
        <f>VLOOKUP($B37,Raw_Data[#All],W$2,0)/W$1</f>
        <v>#N/A</v>
      </c>
      <c r="X37" s="87" t="e">
        <f>VLOOKUP($B37,Raw_Data[#All],X$2,0)/X$1</f>
        <v>#N/A</v>
      </c>
      <c r="Y37" s="87" t="e">
        <f>VLOOKUP($B37,Raw_Data[#All],Y$2,0)/Y$1</f>
        <v>#N/A</v>
      </c>
      <c r="Z37" s="87" t="e">
        <f>VLOOKUP($B37,Raw_Data[#All],Z$2,0)/Z$1</f>
        <v>#N/A</v>
      </c>
      <c r="AA37" s="87" t="e">
        <f>VLOOKUP($B37,Raw_Data[#All],AA$2,0)/AA$1</f>
        <v>#N/A</v>
      </c>
      <c r="AB37" s="87" t="e">
        <f>VLOOKUP($B37,Raw_Data[#All],AB$2,0)/AB$1</f>
        <v>#N/A</v>
      </c>
      <c r="AC37" s="87" t="e">
        <f>VLOOKUP($B37,Raw_Data[#All],AC$2,0)/AC$1</f>
        <v>#N/A</v>
      </c>
      <c r="AD37" s="87" t="e">
        <f>VLOOKUP($B37,Raw_Data[#All],AD$2,0)/AD$1</f>
        <v>#N/A</v>
      </c>
      <c r="AE37" s="87" t="e">
        <f>VLOOKUP($B37,Raw_Data[#All],AE$2,0)/AE$1</f>
        <v>#N/A</v>
      </c>
      <c r="AF37" s="87" t="e">
        <f>VLOOKUP($B37,Raw_Data[#All],AF$2,0)/AF$1</f>
        <v>#N/A</v>
      </c>
      <c r="AG37" s="87" t="e">
        <f>VLOOKUP($B37,Raw_Data[#All],AG$2,0)/AG$1</f>
        <v>#N/A</v>
      </c>
      <c r="AH37" s="87" t="e">
        <f>VLOOKUP($B37,Raw_Data[#All],AH$2,0)/AH$1</f>
        <v>#N/A</v>
      </c>
      <c r="AI37" s="87" t="e">
        <f>VLOOKUP($B37,Raw_Data[#All],AI$2,0)/AI$1</f>
        <v>#N/A</v>
      </c>
      <c r="AJ37" s="87" t="e">
        <f>VLOOKUP($B37,Raw_Data[#All],AJ$2,0)/AJ$1</f>
        <v>#N/A</v>
      </c>
      <c r="AK37" s="87" t="e">
        <f>VLOOKUP($B37,Raw_Data[#All],AK$2,0)/AK$1</f>
        <v>#N/A</v>
      </c>
      <c r="AL37" s="87" t="e">
        <f>VLOOKUP($B37,Raw_Data[#All],AL$2,0)/AL$1</f>
        <v>#N/A</v>
      </c>
      <c r="AM37" s="87" t="e">
        <f>VLOOKUP($B37,Raw_Data[#All],AM$2,0)/AM$1</f>
        <v>#N/A</v>
      </c>
      <c r="AN37" s="87" t="e">
        <f>VLOOKUP($B37,Raw_Data[#All],AN$2,0)/AN$1</f>
        <v>#N/A</v>
      </c>
      <c r="AO37" s="87" t="e">
        <f>VLOOKUP($B37,Raw_Data[#All],AO$2,0)/AO$1</f>
        <v>#N/A</v>
      </c>
      <c r="AP37" s="87" t="e">
        <f>VLOOKUP($B37,Raw_Data[#All],AP$2,0)/AP$1</f>
        <v>#N/A</v>
      </c>
      <c r="AQ37" s="87" t="e">
        <f>VLOOKUP($B37,Raw_Data[#All],AQ$2,0)/AQ$1</f>
        <v>#N/A</v>
      </c>
      <c r="AR37" s="87" t="e">
        <f>VLOOKUP($B37,Raw_Data[#All],AR$2,0)/AR$1</f>
        <v>#N/A</v>
      </c>
      <c r="AS37" s="87" t="e">
        <f>VLOOKUP($B37,Raw_Data[#All],AS$2,0)/AS$1</f>
        <v>#N/A</v>
      </c>
      <c r="AT37" s="87" t="e">
        <f>VLOOKUP($B37,Raw_Data[#All],AT$2,0)/AT$1</f>
        <v>#N/A</v>
      </c>
      <c r="AU37" s="87" t="e">
        <f>VLOOKUP($B37,Raw_Data[#All],AU$2,0)/AU$1</f>
        <v>#N/A</v>
      </c>
      <c r="AV37" s="87" t="e">
        <f>VLOOKUP($B37,Raw_Data[#All],AV$2,0)/AV$1</f>
        <v>#N/A</v>
      </c>
      <c r="AW37" s="87" t="e">
        <f>VLOOKUP($B37,Raw_Data[#All],AW$2,0)/AW$1</f>
        <v>#N/A</v>
      </c>
      <c r="AX37" s="87" t="e">
        <f>VLOOKUP($B37,Raw_Data[#All],AX$2,0)/AX$1</f>
        <v>#N/A</v>
      </c>
      <c r="AY37" s="87" t="e">
        <f>VLOOKUP($B37,Raw_Data[#All],AY$2,0)/AY$1</f>
        <v>#N/A</v>
      </c>
      <c r="AZ37" s="87" t="e">
        <f>VLOOKUP($B37,Raw_Data[#All],AZ$2,0)/AZ$1</f>
        <v>#N/A</v>
      </c>
      <c r="BA37" s="87" t="e">
        <f>VLOOKUP($B37,Raw_Data[#All],BA$2,0)/BA$1</f>
        <v>#N/A</v>
      </c>
      <c r="BB37" s="87" t="e">
        <f>VLOOKUP($B37,Raw_Data[#All],BB$2,0)/BB$1</f>
        <v>#N/A</v>
      </c>
      <c r="BC37" s="87" t="e">
        <f>VLOOKUP($B37,Raw_Data[#All],BC$2,0)/BC$1</f>
        <v>#N/A</v>
      </c>
      <c r="BD37" s="87" t="e">
        <f>VLOOKUP($B37,Raw_Data[#All],BD$2,0)/BD$1</f>
        <v>#N/A</v>
      </c>
      <c r="BE37" s="87" t="e">
        <f>VLOOKUP($B37,Raw_Data[#All],BE$2,0)/BE$1</f>
        <v>#N/A</v>
      </c>
      <c r="BF37" s="87" t="e">
        <f>VLOOKUP($B37,Raw_Data[#All],BF$2,0)/BF$1</f>
        <v>#N/A</v>
      </c>
      <c r="BG37" s="87" t="e">
        <f>VLOOKUP($B37,Raw_Data[#All],BG$2,0)/BG$1</f>
        <v>#N/A</v>
      </c>
      <c r="BH37" s="87" t="e">
        <f>VLOOKUP($B37,Raw_Data[#All],BH$2,0)/BH$1</f>
        <v>#N/A</v>
      </c>
      <c r="BI37" s="87" t="e">
        <f>VLOOKUP($B37,Raw_Data[#All],BI$2,0)/BI$1</f>
        <v>#N/A</v>
      </c>
      <c r="BJ37" s="87" t="e">
        <f>VLOOKUP($B37,Raw_Data[#All],BJ$2,0)/BJ$1</f>
        <v>#N/A</v>
      </c>
      <c r="BK37" s="87" t="e">
        <f>VLOOKUP($B37,Raw_Data[#All],BK$2,0)/BK$1</f>
        <v>#N/A</v>
      </c>
      <c r="BL37" s="87" t="e">
        <f>VLOOKUP($B37,Raw_Data[#All],BL$2,0)/BL$1</f>
        <v>#N/A</v>
      </c>
      <c r="BM37" s="87" t="e">
        <f>VLOOKUP($B37,Raw_Data[#All],BM$2,0)/BM$1</f>
        <v>#N/A</v>
      </c>
      <c r="BN37" s="87" t="e">
        <f>VLOOKUP($B37,Raw_Data[#All],BN$2,0)/BN$1</f>
        <v>#N/A</v>
      </c>
      <c r="BO37" s="87" t="e">
        <f>VLOOKUP($B37,Raw_Data[#All],BO$2,0)/BO$1</f>
        <v>#N/A</v>
      </c>
      <c r="BP37" s="87" t="e">
        <f>VLOOKUP($B37,Raw_Data[#All],BP$2,0)/BP$1</f>
        <v>#N/A</v>
      </c>
      <c r="BQ37" s="87" t="e">
        <f>VLOOKUP($B37,Raw_Data[#All],BQ$2,0)/BQ$1</f>
        <v>#N/A</v>
      </c>
      <c r="BR37" s="87" t="e">
        <f>VLOOKUP($B37,Raw_Data[#All],BR$2,0)/BR$1</f>
        <v>#N/A</v>
      </c>
      <c r="BS37" s="87" t="e">
        <f>VLOOKUP($B37,Raw_Data[#All],BS$2,0)/BS$1</f>
        <v>#N/A</v>
      </c>
      <c r="BT37" s="87" t="e">
        <f>VLOOKUP($B37,Raw_Data[#All],BT$2,0)/BT$1</f>
        <v>#N/A</v>
      </c>
      <c r="BU37" s="87" t="e">
        <f>VLOOKUP($B37,Raw_Data[#All],BU$2,0)/BU$1</f>
        <v>#N/A</v>
      </c>
      <c r="BV37" s="87" t="e">
        <f>VLOOKUP($B37,Raw_Data[#All],BV$2,0)/BV$1</f>
        <v>#N/A</v>
      </c>
      <c r="BW37" s="87" t="e">
        <f>VLOOKUP($B37,Raw_Data[#All],BW$2,0)/BW$1</f>
        <v>#N/A</v>
      </c>
      <c r="BX37" s="87" t="e">
        <f>VLOOKUP($B37,Raw_Data[#All],BX$2,0)/BX$1</f>
        <v>#N/A</v>
      </c>
      <c r="BY37" s="87" t="e">
        <f>VLOOKUP($B37,Raw_Data[#All],BY$2,0)/BY$1</f>
        <v>#N/A</v>
      </c>
      <c r="BZ37" s="87" t="e">
        <f>VLOOKUP($B37,Raw_Data[#All],BZ$2,0)/BZ$1</f>
        <v>#N/A</v>
      </c>
      <c r="CA37" s="87" t="e">
        <f>VLOOKUP($B37,Raw_Data[#All],CA$2,0)/CA$1</f>
        <v>#N/A</v>
      </c>
      <c r="CB37" s="87" t="e">
        <f>VLOOKUP($B37,Raw_Data[#All],CB$2,0)/CB$1</f>
        <v>#N/A</v>
      </c>
      <c r="CC37" s="87" t="e">
        <f>VLOOKUP($B37,Raw_Data[#All],CC$2,0)/CC$1</f>
        <v>#N/A</v>
      </c>
      <c r="CD37" s="87" t="e">
        <f>VLOOKUP($B37,Raw_Data[#All],CD$2,0)/CD$1</f>
        <v>#N/A</v>
      </c>
      <c r="CE37" s="87" t="e">
        <f>VLOOKUP($B37,Raw_Data[#All],CE$2,0)/CE$1</f>
        <v>#N/A</v>
      </c>
      <c r="CF37" s="87" t="e">
        <f>VLOOKUP($B37,Raw_Data[#All],CF$2,0)/CF$1</f>
        <v>#N/A</v>
      </c>
      <c r="CG37" s="87" t="e">
        <f>VLOOKUP($B37,Raw_Data[#All],CG$2,0)/CG$1</f>
        <v>#N/A</v>
      </c>
      <c r="CH37" s="87" t="e">
        <f>VLOOKUP($B37,Raw_Data[#All],CH$2,0)/CH$1</f>
        <v>#N/A</v>
      </c>
      <c r="CI37" s="87" t="e">
        <f>VLOOKUP($B37,Raw_Data[#All],CI$2,0)/CI$1</f>
        <v>#N/A</v>
      </c>
      <c r="CJ37" s="87" t="e">
        <f>VLOOKUP($B37,Raw_Data[#All],CJ$2,0)/CJ$1</f>
        <v>#N/A</v>
      </c>
      <c r="CK37" s="87" t="e">
        <f>VLOOKUP($B37,Raw_Data[#All],CK$2,0)/CK$1</f>
        <v>#N/A</v>
      </c>
      <c r="CL37" s="87" t="e">
        <f>VLOOKUP($B37,Raw_Data[#All],CL$2,0)/CL$1</f>
        <v>#N/A</v>
      </c>
      <c r="CM37" s="87" t="e">
        <f>VLOOKUP($B37,Raw_Data[#All],CM$2,0)/CM$1</f>
        <v>#N/A</v>
      </c>
      <c r="CN37" s="87" t="e">
        <f>VLOOKUP($B37,Raw_Data[#All],CN$2,0)/CN$1</f>
        <v>#N/A</v>
      </c>
      <c r="CO37" s="87" t="e">
        <f>VLOOKUP($B37,Raw_Data[#All],CO$2,0)/CO$1</f>
        <v>#N/A</v>
      </c>
      <c r="CP37" s="87" t="e">
        <f>VLOOKUP($B37,Raw_Data[#All],CP$2,0)/CP$1</f>
        <v>#N/A</v>
      </c>
      <c r="CQ37" s="87" t="e">
        <f>VLOOKUP($B37,Raw_Data[#All],CQ$2,0)/CQ$1</f>
        <v>#N/A</v>
      </c>
      <c r="CR37" s="87" t="e">
        <f>VLOOKUP($B37,Raw_Data[#All],CR$2,0)/CR$1</f>
        <v>#N/A</v>
      </c>
      <c r="CS37" s="87" t="e">
        <f>VLOOKUP($B37,Raw_Data[#All],CS$2,0)/CS$1</f>
        <v>#N/A</v>
      </c>
      <c r="CT37" s="87" t="e">
        <f>VLOOKUP($B37,Raw_Data[#All],CT$2,0)/CT$1</f>
        <v>#N/A</v>
      </c>
      <c r="CU37" s="87" t="e">
        <f>VLOOKUP($B37,Raw_Data[#All],CU$2,0)/CU$1</f>
        <v>#N/A</v>
      </c>
      <c r="CV37" s="87" t="e">
        <f>VLOOKUP($B37,Raw_Data[#All],CV$2,0)/CV$1</f>
        <v>#N/A</v>
      </c>
      <c r="CW37" s="87" t="e">
        <f>VLOOKUP($B37,Raw_Data[#All],CW$2,0)/CW$1</f>
        <v>#N/A</v>
      </c>
      <c r="CX37" s="87" t="e">
        <f>VLOOKUP($B37,Raw_Data[#All],CX$2,0)/CX$1</f>
        <v>#N/A</v>
      </c>
      <c r="CY37" s="87" t="e">
        <f>VLOOKUP($B37,Raw_Data[#All],CY$2,0)/CY$1</f>
        <v>#N/A</v>
      </c>
      <c r="CZ37" s="87" t="e">
        <f>VLOOKUP($B37,Raw_Data[#All],CZ$2,0)/CZ$1</f>
        <v>#N/A</v>
      </c>
      <c r="DA37" s="87" t="e">
        <f>VLOOKUP($B37,Raw_Data[#All],DA$2,0)/DA$1</f>
        <v>#N/A</v>
      </c>
      <c r="DB37" s="87" t="e">
        <f>VLOOKUP($B37,Raw_Data[#All],DB$2,0)/DB$1</f>
        <v>#N/A</v>
      </c>
      <c r="DC37" s="87" t="e">
        <f>VLOOKUP($B37,Raw_Data[#All],DC$2,0)/DC$1</f>
        <v>#N/A</v>
      </c>
      <c r="DD37" s="87" t="e">
        <f>VLOOKUP($B37,Raw_Data[#All],DD$2,0)/DD$1</f>
        <v>#N/A</v>
      </c>
      <c r="DE37" s="87" t="e">
        <f>VLOOKUP($B37,Raw_Data[#All],DE$2,0)/DE$1</f>
        <v>#N/A</v>
      </c>
      <c r="DF37" s="87" t="e">
        <f>VLOOKUP($B37,Raw_Data[#All],DF$2,0)/DF$1</f>
        <v>#N/A</v>
      </c>
      <c r="DG37" s="87" t="e">
        <f>VLOOKUP($B37,Raw_Data[#All],DG$2,0)/DG$1</f>
        <v>#N/A</v>
      </c>
      <c r="DH37" s="87" t="e">
        <f>VLOOKUP($B37,Raw_Data[#All],DH$2,0)/DH$1</f>
        <v>#N/A</v>
      </c>
      <c r="DI37" s="87" t="e">
        <f>VLOOKUP($B37,Raw_Data[#All],DI$2,0)/DI$1</f>
        <v>#N/A</v>
      </c>
      <c r="DJ37" s="87" t="e">
        <f>VLOOKUP($B37,Raw_Data[#All],DJ$2,0)/DJ$1</f>
        <v>#N/A</v>
      </c>
      <c r="DK37" s="87" t="e">
        <f>VLOOKUP($B37,Raw_Data[#All],DK$2,0)/DK$1</f>
        <v>#N/A</v>
      </c>
      <c r="DL37" s="87" t="e">
        <f>VLOOKUP($B37,Raw_Data[#All],DL$2,0)/DL$1</f>
        <v>#N/A</v>
      </c>
      <c r="DM37" s="87" t="e">
        <f>VLOOKUP($B37,Raw_Data[#All],DM$2,0)/DM$1</f>
        <v>#N/A</v>
      </c>
      <c r="DN37" s="87" t="e">
        <f>VLOOKUP($B37,Raw_Data[#All],DN$2,0)/DN$1</f>
        <v>#N/A</v>
      </c>
      <c r="DO37" s="87" t="e">
        <f>VLOOKUP($B37,Raw_Data[#All],DO$2,0)/DO$1</f>
        <v>#N/A</v>
      </c>
      <c r="DP37" s="87" t="e">
        <f>VLOOKUP($B37,Raw_Data[#All],DP$2,0)/DP$1</f>
        <v>#N/A</v>
      </c>
      <c r="DQ37" s="87" t="e">
        <f>VLOOKUP($B37,Raw_Data[#All],DQ$2,0)/DQ$1</f>
        <v>#N/A</v>
      </c>
      <c r="DR37" s="87" t="e">
        <f>VLOOKUP($B37,Raw_Data[#All],DR$2,0)/DR$1</f>
        <v>#N/A</v>
      </c>
      <c r="DS37" s="87" t="e">
        <f>VLOOKUP($B37,Raw_Data[#All],DS$2,0)/DS$1</f>
        <v>#N/A</v>
      </c>
      <c r="DT37" s="87" t="e">
        <f>VLOOKUP($B37,Raw_Data[#All],DT$2,0)/DT$1</f>
        <v>#N/A</v>
      </c>
      <c r="DU37" s="87" t="e">
        <f>VLOOKUP($B37,Raw_Data[#All],DU$2,0)/DU$1</f>
        <v>#N/A</v>
      </c>
      <c r="DV37" s="87" t="e">
        <f>VLOOKUP($B37,Raw_Data[#All],DV$2,0)/DV$1</f>
        <v>#N/A</v>
      </c>
      <c r="DW37" s="87" t="e">
        <f>VLOOKUP($B37,Raw_Data[#All],DW$2,0)/DW$1</f>
        <v>#N/A</v>
      </c>
      <c r="DX37" s="87" t="e">
        <f>VLOOKUP($B37,Raw_Data[#All],DX$2,0)/DX$1</f>
        <v>#N/A</v>
      </c>
      <c r="DY37" s="87" t="e">
        <f>VLOOKUP($B37,Raw_Data[#All],DY$2,0)/DY$1</f>
        <v>#N/A</v>
      </c>
      <c r="DZ37" s="87" t="e">
        <f>VLOOKUP($B37,Raw_Data[#All],DZ$2,0)/DZ$1</f>
        <v>#N/A</v>
      </c>
      <c r="EA37" s="87" t="e">
        <f>VLOOKUP($B37,Raw_Data[#All],EA$2,0)/EA$1</f>
        <v>#N/A</v>
      </c>
      <c r="EB37" s="87" t="e">
        <f>VLOOKUP($B37,Raw_Data[#All],EB$2,0)/EB$1</f>
        <v>#N/A</v>
      </c>
      <c r="EC37" s="87" t="e">
        <f>VLOOKUP($B37,Raw_Data[#All],EC$2,0)/EC$1</f>
        <v>#N/A</v>
      </c>
      <c r="ED37" s="87" t="e">
        <f>VLOOKUP($B37,Raw_Data[#All],ED$2,0)/ED$1</f>
        <v>#N/A</v>
      </c>
      <c r="EE37" s="87" t="e">
        <f>VLOOKUP($B37,Raw_Data[#All],EE$2,0)/EE$1</f>
        <v>#N/A</v>
      </c>
      <c r="EF37" s="87" t="e">
        <f>VLOOKUP($B37,Raw_Data[#All],EF$2,0)/EF$1</f>
        <v>#N/A</v>
      </c>
      <c r="EG37" s="87" t="e">
        <f>VLOOKUP($B37,Raw_Data[#All],EG$2,0)/EG$1</f>
        <v>#N/A</v>
      </c>
      <c r="EH37" s="87" t="e">
        <f>VLOOKUP($B37,Raw_Data[#All],EH$2,0)/EH$1</f>
        <v>#N/A</v>
      </c>
      <c r="EI37" s="87" t="e">
        <f>VLOOKUP($B37,Raw_Data[#All],EI$2,0)/EI$1</f>
        <v>#N/A</v>
      </c>
      <c r="EJ37" s="87" t="e">
        <f>VLOOKUP($B37,Raw_Data[#All],EJ$2,0)/EJ$1</f>
        <v>#N/A</v>
      </c>
      <c r="EK37" s="87" t="e">
        <f>VLOOKUP($B37,Raw_Data[#All],EK$2,0)/EK$1</f>
        <v>#N/A</v>
      </c>
      <c r="EL37" s="87" t="e">
        <f>VLOOKUP($B37,Raw_Data[#All],EL$2,0)/EL$1</f>
        <v>#N/A</v>
      </c>
      <c r="EM37" s="87" t="e">
        <f>VLOOKUP($B37,Raw_Data[#All],EM$2,0)/EM$1</f>
        <v>#N/A</v>
      </c>
      <c r="EN37" s="87" t="e">
        <f>VLOOKUP($B37,Raw_Data[#All],EN$2,0)/EN$1</f>
        <v>#N/A</v>
      </c>
      <c r="EO37" s="87" t="e">
        <f>VLOOKUP($B37,Raw_Data[#All],EO$2,0)/EO$1</f>
        <v>#N/A</v>
      </c>
      <c r="EP37" s="87" t="e">
        <f>VLOOKUP($B37,Raw_Data[#All],EP$2,0)/EP$1</f>
        <v>#N/A</v>
      </c>
      <c r="EQ37" s="87" t="e">
        <f>VLOOKUP($B37,Raw_Data[#All],EQ$2,0)/EQ$1</f>
        <v>#N/A</v>
      </c>
      <c r="ER37" s="87" t="e">
        <f>VLOOKUP($B37,Raw_Data[#All],ER$2,0)/ER$1</f>
        <v>#N/A</v>
      </c>
      <c r="ES37" s="87" t="e">
        <f>VLOOKUP($B37,Raw_Data[#All],ES$2,0)/ES$1</f>
        <v>#N/A</v>
      </c>
      <c r="ET37" s="87" t="e">
        <f>VLOOKUP($B37,Raw_Data[#All],ET$2,0)/ET$1</f>
        <v>#N/A</v>
      </c>
      <c r="EU37" s="87" t="e">
        <f>VLOOKUP($B37,Raw_Data[#All],EU$2,0)/EU$1</f>
        <v>#N/A</v>
      </c>
      <c r="EV37" s="87" t="e">
        <f>VLOOKUP($B37,Raw_Data[#All],EV$2,0)/EV$1</f>
        <v>#N/A</v>
      </c>
      <c r="EW37" s="87" t="e">
        <f>VLOOKUP($B37,Raw_Data[#All],EW$2,0)/EW$1</f>
        <v>#N/A</v>
      </c>
      <c r="EX37" s="87" t="e">
        <f>VLOOKUP($B37,Raw_Data[#All],EX$2,0)/EX$1</f>
        <v>#N/A</v>
      </c>
      <c r="EY37" s="87" t="e">
        <f>VLOOKUP($B37,Raw_Data[#All],EY$2,0)/EY$1</f>
        <v>#N/A</v>
      </c>
      <c r="EZ37" s="87" t="e">
        <f>VLOOKUP($B37,Raw_Data[#All],EZ$2,0)/EZ$1</f>
        <v>#N/A</v>
      </c>
      <c r="FA37" s="87" t="e">
        <f>VLOOKUP($B37,Raw_Data[#All],FA$2,0)/FA$1</f>
        <v>#N/A</v>
      </c>
      <c r="FB37" s="87" t="e">
        <f>VLOOKUP($B37,Raw_Data[#All],FB$2,0)/FB$1</f>
        <v>#N/A</v>
      </c>
      <c r="FC37" s="87" t="e">
        <f>VLOOKUP($B37,Raw_Data[#All],FC$2,0)/FC$1</f>
        <v>#N/A</v>
      </c>
      <c r="FD37" s="87" t="e">
        <f>VLOOKUP($B37,Raw_Data[#All],FD$2,0)/FD$1</f>
        <v>#N/A</v>
      </c>
      <c r="FE37" s="87" t="e">
        <f>VLOOKUP($B37,Raw_Data[#All],FE$2,0)/FE$1</f>
        <v>#N/A</v>
      </c>
      <c r="FF37" s="87" t="e">
        <f>VLOOKUP($B37,Raw_Data[#All],FF$2,0)/FF$1</f>
        <v>#N/A</v>
      </c>
      <c r="FG37" s="105" t="e">
        <f>VLOOKUP($B37,Raw_Data[#All],FG$2,0)/FG$1</f>
        <v>#N/A</v>
      </c>
    </row>
    <row r="38" spans="2:163">
      <c r="B38" s="106">
        <f t="shared" si="1"/>
        <v>45861</v>
      </c>
      <c r="C38" s="87" t="e">
        <f>VLOOKUP($B38,Raw_Data[#All],C$2,0)/C$1</f>
        <v>#N/A</v>
      </c>
      <c r="D38" s="87" t="e">
        <f>VLOOKUP($B38,Raw_Data[#All],D$2,0)/D$1</f>
        <v>#N/A</v>
      </c>
      <c r="E38" s="87" t="e">
        <f>VLOOKUP($B38,Raw_Data[#All],E$2,0)/E$1</f>
        <v>#N/A</v>
      </c>
      <c r="F38" s="87" t="e">
        <f>VLOOKUP($B38,Raw_Data[#All],F$2,0)/F$1</f>
        <v>#N/A</v>
      </c>
      <c r="G38" s="87" t="e">
        <f>VLOOKUP($B38,Raw_Data[#All],G$2,0)/G$1</f>
        <v>#N/A</v>
      </c>
      <c r="H38" s="87" t="e">
        <f>VLOOKUP($B38,Raw_Data[#All],H$2,0)/H$1</f>
        <v>#N/A</v>
      </c>
      <c r="I38" s="87" t="e">
        <f>VLOOKUP($B38,Raw_Data[#All],I$2,0)/I$1</f>
        <v>#N/A</v>
      </c>
      <c r="J38" s="87" t="e">
        <f>VLOOKUP($B38,Raw_Data[#All],J$2,0)/J$1</f>
        <v>#N/A</v>
      </c>
      <c r="K38" s="87" t="e">
        <f>VLOOKUP($B38,Raw_Data[#All],K$2,0)/K$1</f>
        <v>#N/A</v>
      </c>
      <c r="L38" s="87" t="e">
        <f>VLOOKUP($B38,Raw_Data[#All],L$2,0)/L$1</f>
        <v>#N/A</v>
      </c>
      <c r="M38" s="87" t="e">
        <f>VLOOKUP($B38,Raw_Data[#All],M$2,0)/M$1</f>
        <v>#N/A</v>
      </c>
      <c r="N38" s="87" t="e">
        <f>VLOOKUP($B38,Raw_Data[#All],N$2,0)/N$1</f>
        <v>#N/A</v>
      </c>
      <c r="O38" s="87" t="e">
        <f>VLOOKUP($B38,Raw_Data[#All],O$2,0)/O$1</f>
        <v>#N/A</v>
      </c>
      <c r="P38" s="87" t="e">
        <f>VLOOKUP($B38,Raw_Data[#All],P$2,0)/P$1</f>
        <v>#N/A</v>
      </c>
      <c r="Q38" s="87" t="e">
        <f>VLOOKUP($B38,Raw_Data[#All],Q$2,0)/Q$1</f>
        <v>#N/A</v>
      </c>
      <c r="R38" s="87" t="e">
        <f>VLOOKUP($B38,Raw_Data[#All],R$2,0)/R$1</f>
        <v>#N/A</v>
      </c>
      <c r="S38" s="87" t="e">
        <f>VLOOKUP($B38,Raw_Data[#All],S$2,0)/S$1</f>
        <v>#N/A</v>
      </c>
      <c r="T38" s="87" t="e">
        <f>VLOOKUP($B38,Raw_Data[#All],T$2,0)/T$1</f>
        <v>#N/A</v>
      </c>
      <c r="U38" s="87" t="e">
        <f>VLOOKUP($B38,Raw_Data[#All],U$2,0)/U$1</f>
        <v>#N/A</v>
      </c>
      <c r="V38" s="87" t="e">
        <f>VLOOKUP($B38,Raw_Data[#All],V$2,0)/V$1</f>
        <v>#N/A</v>
      </c>
      <c r="W38" s="87" t="e">
        <f>VLOOKUP($B38,Raw_Data[#All],W$2,0)/W$1</f>
        <v>#N/A</v>
      </c>
      <c r="X38" s="87" t="e">
        <f>VLOOKUP($B38,Raw_Data[#All],X$2,0)/X$1</f>
        <v>#N/A</v>
      </c>
      <c r="Y38" s="87" t="e">
        <f>VLOOKUP($B38,Raw_Data[#All],Y$2,0)/Y$1</f>
        <v>#N/A</v>
      </c>
      <c r="Z38" s="87" t="e">
        <f>VLOOKUP($B38,Raw_Data[#All],Z$2,0)/Z$1</f>
        <v>#N/A</v>
      </c>
      <c r="AA38" s="87" t="e">
        <f>VLOOKUP($B38,Raw_Data[#All],AA$2,0)/AA$1</f>
        <v>#N/A</v>
      </c>
      <c r="AB38" s="87" t="e">
        <f>VLOOKUP($B38,Raw_Data[#All],AB$2,0)/AB$1</f>
        <v>#N/A</v>
      </c>
      <c r="AC38" s="87" t="e">
        <f>VLOOKUP($B38,Raw_Data[#All],AC$2,0)/AC$1</f>
        <v>#N/A</v>
      </c>
      <c r="AD38" s="87" t="e">
        <f>VLOOKUP($B38,Raw_Data[#All],AD$2,0)/AD$1</f>
        <v>#N/A</v>
      </c>
      <c r="AE38" s="87" t="e">
        <f>VLOOKUP($B38,Raw_Data[#All],AE$2,0)/AE$1</f>
        <v>#N/A</v>
      </c>
      <c r="AF38" s="87" t="e">
        <f>VLOOKUP($B38,Raw_Data[#All],AF$2,0)/AF$1</f>
        <v>#N/A</v>
      </c>
      <c r="AG38" s="87" t="e">
        <f>VLOOKUP($B38,Raw_Data[#All],AG$2,0)/AG$1</f>
        <v>#N/A</v>
      </c>
      <c r="AH38" s="87" t="e">
        <f>VLOOKUP($B38,Raw_Data[#All],AH$2,0)/AH$1</f>
        <v>#N/A</v>
      </c>
      <c r="AI38" s="87" t="e">
        <f>VLOOKUP($B38,Raw_Data[#All],AI$2,0)/AI$1</f>
        <v>#N/A</v>
      </c>
      <c r="AJ38" s="87" t="e">
        <f>VLOOKUP($B38,Raw_Data[#All],AJ$2,0)/AJ$1</f>
        <v>#N/A</v>
      </c>
      <c r="AK38" s="87" t="e">
        <f>VLOOKUP($B38,Raw_Data[#All],AK$2,0)/AK$1</f>
        <v>#N/A</v>
      </c>
      <c r="AL38" s="87" t="e">
        <f>VLOOKUP($B38,Raw_Data[#All],AL$2,0)/AL$1</f>
        <v>#N/A</v>
      </c>
      <c r="AM38" s="87" t="e">
        <f>VLOOKUP($B38,Raw_Data[#All],AM$2,0)/AM$1</f>
        <v>#N/A</v>
      </c>
      <c r="AN38" s="87" t="e">
        <f>VLOOKUP($B38,Raw_Data[#All],AN$2,0)/AN$1</f>
        <v>#N/A</v>
      </c>
      <c r="AO38" s="87" t="e">
        <f>VLOOKUP($B38,Raw_Data[#All],AO$2,0)/AO$1</f>
        <v>#N/A</v>
      </c>
      <c r="AP38" s="87" t="e">
        <f>VLOOKUP($B38,Raw_Data[#All],AP$2,0)/AP$1</f>
        <v>#N/A</v>
      </c>
      <c r="AQ38" s="87" t="e">
        <f>VLOOKUP($B38,Raw_Data[#All],AQ$2,0)/AQ$1</f>
        <v>#N/A</v>
      </c>
      <c r="AR38" s="87" t="e">
        <f>VLOOKUP($B38,Raw_Data[#All],AR$2,0)/AR$1</f>
        <v>#N/A</v>
      </c>
      <c r="AS38" s="87" t="e">
        <f>VLOOKUP($B38,Raw_Data[#All],AS$2,0)/AS$1</f>
        <v>#N/A</v>
      </c>
      <c r="AT38" s="87" t="e">
        <f>VLOOKUP($B38,Raw_Data[#All],AT$2,0)/AT$1</f>
        <v>#N/A</v>
      </c>
      <c r="AU38" s="87" t="e">
        <f>VLOOKUP($B38,Raw_Data[#All],AU$2,0)/AU$1</f>
        <v>#N/A</v>
      </c>
      <c r="AV38" s="87" t="e">
        <f>VLOOKUP($B38,Raw_Data[#All],AV$2,0)/AV$1</f>
        <v>#N/A</v>
      </c>
      <c r="AW38" s="87" t="e">
        <f>VLOOKUP($B38,Raw_Data[#All],AW$2,0)/AW$1</f>
        <v>#N/A</v>
      </c>
      <c r="AX38" s="87" t="e">
        <f>VLOOKUP($B38,Raw_Data[#All],AX$2,0)/AX$1</f>
        <v>#N/A</v>
      </c>
      <c r="AY38" s="87" t="e">
        <f>VLOOKUP($B38,Raw_Data[#All],AY$2,0)/AY$1</f>
        <v>#N/A</v>
      </c>
      <c r="AZ38" s="87" t="e">
        <f>VLOOKUP($B38,Raw_Data[#All],AZ$2,0)/AZ$1</f>
        <v>#N/A</v>
      </c>
      <c r="BA38" s="87" t="e">
        <f>VLOOKUP($B38,Raw_Data[#All],BA$2,0)/BA$1</f>
        <v>#N/A</v>
      </c>
      <c r="BB38" s="87" t="e">
        <f>VLOOKUP($B38,Raw_Data[#All],BB$2,0)/BB$1</f>
        <v>#N/A</v>
      </c>
      <c r="BC38" s="87" t="e">
        <f>VLOOKUP($B38,Raw_Data[#All],BC$2,0)/BC$1</f>
        <v>#N/A</v>
      </c>
      <c r="BD38" s="87" t="e">
        <f>VLOOKUP($B38,Raw_Data[#All],BD$2,0)/BD$1</f>
        <v>#N/A</v>
      </c>
      <c r="BE38" s="87" t="e">
        <f>VLOOKUP($B38,Raw_Data[#All],BE$2,0)/BE$1</f>
        <v>#N/A</v>
      </c>
      <c r="BF38" s="87" t="e">
        <f>VLOOKUP($B38,Raw_Data[#All],BF$2,0)/BF$1</f>
        <v>#N/A</v>
      </c>
      <c r="BG38" s="87" t="e">
        <f>VLOOKUP($B38,Raw_Data[#All],BG$2,0)/BG$1</f>
        <v>#N/A</v>
      </c>
      <c r="BH38" s="87" t="e">
        <f>VLOOKUP($B38,Raw_Data[#All],BH$2,0)/BH$1</f>
        <v>#N/A</v>
      </c>
      <c r="BI38" s="87" t="e">
        <f>VLOOKUP($B38,Raw_Data[#All],BI$2,0)/BI$1</f>
        <v>#N/A</v>
      </c>
      <c r="BJ38" s="87" t="e">
        <f>VLOOKUP($B38,Raw_Data[#All],BJ$2,0)/BJ$1</f>
        <v>#N/A</v>
      </c>
      <c r="BK38" s="87" t="e">
        <f>VLOOKUP($B38,Raw_Data[#All],BK$2,0)/BK$1</f>
        <v>#N/A</v>
      </c>
      <c r="BL38" s="87" t="e">
        <f>VLOOKUP($B38,Raw_Data[#All],BL$2,0)/BL$1</f>
        <v>#N/A</v>
      </c>
      <c r="BM38" s="87" t="e">
        <f>VLOOKUP($B38,Raw_Data[#All],BM$2,0)/BM$1</f>
        <v>#N/A</v>
      </c>
      <c r="BN38" s="87" t="e">
        <f>VLOOKUP($B38,Raw_Data[#All],BN$2,0)/BN$1</f>
        <v>#N/A</v>
      </c>
      <c r="BO38" s="87" t="e">
        <f>VLOOKUP($B38,Raw_Data[#All],BO$2,0)/BO$1</f>
        <v>#N/A</v>
      </c>
      <c r="BP38" s="87" t="e">
        <f>VLOOKUP($B38,Raw_Data[#All],BP$2,0)/BP$1</f>
        <v>#N/A</v>
      </c>
      <c r="BQ38" s="87" t="e">
        <f>VLOOKUP($B38,Raw_Data[#All],BQ$2,0)/BQ$1</f>
        <v>#N/A</v>
      </c>
      <c r="BR38" s="87" t="e">
        <f>VLOOKUP($B38,Raw_Data[#All],BR$2,0)/BR$1</f>
        <v>#N/A</v>
      </c>
      <c r="BS38" s="87" t="e">
        <f>VLOOKUP($B38,Raw_Data[#All],BS$2,0)/BS$1</f>
        <v>#N/A</v>
      </c>
      <c r="BT38" s="87" t="e">
        <f>VLOOKUP($B38,Raw_Data[#All],BT$2,0)/BT$1</f>
        <v>#N/A</v>
      </c>
      <c r="BU38" s="87" t="e">
        <f>VLOOKUP($B38,Raw_Data[#All],BU$2,0)/BU$1</f>
        <v>#N/A</v>
      </c>
      <c r="BV38" s="87" t="e">
        <f>VLOOKUP($B38,Raw_Data[#All],BV$2,0)/BV$1</f>
        <v>#N/A</v>
      </c>
      <c r="BW38" s="87" t="e">
        <f>VLOOKUP($B38,Raw_Data[#All],BW$2,0)/BW$1</f>
        <v>#N/A</v>
      </c>
      <c r="BX38" s="87" t="e">
        <f>VLOOKUP($B38,Raw_Data[#All],BX$2,0)/BX$1</f>
        <v>#N/A</v>
      </c>
      <c r="BY38" s="87" t="e">
        <f>VLOOKUP($B38,Raw_Data[#All],BY$2,0)/BY$1</f>
        <v>#N/A</v>
      </c>
      <c r="BZ38" s="87" t="e">
        <f>VLOOKUP($B38,Raw_Data[#All],BZ$2,0)/BZ$1</f>
        <v>#N/A</v>
      </c>
      <c r="CA38" s="87" t="e">
        <f>VLOOKUP($B38,Raw_Data[#All],CA$2,0)/CA$1</f>
        <v>#N/A</v>
      </c>
      <c r="CB38" s="87" t="e">
        <f>VLOOKUP($B38,Raw_Data[#All],CB$2,0)/CB$1</f>
        <v>#N/A</v>
      </c>
      <c r="CC38" s="87" t="e">
        <f>VLOOKUP($B38,Raw_Data[#All],CC$2,0)/CC$1</f>
        <v>#N/A</v>
      </c>
      <c r="CD38" s="87" t="e">
        <f>VLOOKUP($B38,Raw_Data[#All],CD$2,0)/CD$1</f>
        <v>#N/A</v>
      </c>
      <c r="CE38" s="87" t="e">
        <f>VLOOKUP($B38,Raw_Data[#All],CE$2,0)/CE$1</f>
        <v>#N/A</v>
      </c>
      <c r="CF38" s="87" t="e">
        <f>VLOOKUP($B38,Raw_Data[#All],CF$2,0)/CF$1</f>
        <v>#N/A</v>
      </c>
      <c r="CG38" s="87" t="e">
        <f>VLOOKUP($B38,Raw_Data[#All],CG$2,0)/CG$1</f>
        <v>#N/A</v>
      </c>
      <c r="CH38" s="87" t="e">
        <f>VLOOKUP($B38,Raw_Data[#All],CH$2,0)/CH$1</f>
        <v>#N/A</v>
      </c>
      <c r="CI38" s="87" t="e">
        <f>VLOOKUP($B38,Raw_Data[#All],CI$2,0)/CI$1</f>
        <v>#N/A</v>
      </c>
      <c r="CJ38" s="87" t="e">
        <f>VLOOKUP($B38,Raw_Data[#All],CJ$2,0)/CJ$1</f>
        <v>#N/A</v>
      </c>
      <c r="CK38" s="87" t="e">
        <f>VLOOKUP($B38,Raw_Data[#All],CK$2,0)/CK$1</f>
        <v>#N/A</v>
      </c>
      <c r="CL38" s="87" t="e">
        <f>VLOOKUP($B38,Raw_Data[#All],CL$2,0)/CL$1</f>
        <v>#N/A</v>
      </c>
      <c r="CM38" s="87" t="e">
        <f>VLOOKUP($B38,Raw_Data[#All],CM$2,0)/CM$1</f>
        <v>#N/A</v>
      </c>
      <c r="CN38" s="87" t="e">
        <f>VLOOKUP($B38,Raw_Data[#All],CN$2,0)/CN$1</f>
        <v>#N/A</v>
      </c>
      <c r="CO38" s="87" t="e">
        <f>VLOOKUP($B38,Raw_Data[#All],CO$2,0)/CO$1</f>
        <v>#N/A</v>
      </c>
      <c r="CP38" s="87" t="e">
        <f>VLOOKUP($B38,Raw_Data[#All],CP$2,0)/CP$1</f>
        <v>#N/A</v>
      </c>
      <c r="CQ38" s="87" t="e">
        <f>VLOOKUP($B38,Raw_Data[#All],CQ$2,0)/CQ$1</f>
        <v>#N/A</v>
      </c>
      <c r="CR38" s="87" t="e">
        <f>VLOOKUP($B38,Raw_Data[#All],CR$2,0)/CR$1</f>
        <v>#N/A</v>
      </c>
      <c r="CS38" s="87" t="e">
        <f>VLOOKUP($B38,Raw_Data[#All],CS$2,0)/CS$1</f>
        <v>#N/A</v>
      </c>
      <c r="CT38" s="87" t="e">
        <f>VLOOKUP($B38,Raw_Data[#All],CT$2,0)/CT$1</f>
        <v>#N/A</v>
      </c>
      <c r="CU38" s="87" t="e">
        <f>VLOOKUP($B38,Raw_Data[#All],CU$2,0)/CU$1</f>
        <v>#N/A</v>
      </c>
      <c r="CV38" s="87" t="e">
        <f>VLOOKUP($B38,Raw_Data[#All],CV$2,0)/CV$1</f>
        <v>#N/A</v>
      </c>
      <c r="CW38" s="87" t="e">
        <f>VLOOKUP($B38,Raw_Data[#All],CW$2,0)/CW$1</f>
        <v>#N/A</v>
      </c>
      <c r="CX38" s="87" t="e">
        <f>VLOOKUP($B38,Raw_Data[#All],CX$2,0)/CX$1</f>
        <v>#N/A</v>
      </c>
      <c r="CY38" s="87" t="e">
        <f>VLOOKUP($B38,Raw_Data[#All],CY$2,0)/CY$1</f>
        <v>#N/A</v>
      </c>
      <c r="CZ38" s="87" t="e">
        <f>VLOOKUP($B38,Raw_Data[#All],CZ$2,0)/CZ$1</f>
        <v>#N/A</v>
      </c>
      <c r="DA38" s="87" t="e">
        <f>VLOOKUP($B38,Raw_Data[#All],DA$2,0)/DA$1</f>
        <v>#N/A</v>
      </c>
      <c r="DB38" s="87" t="e">
        <f>VLOOKUP($B38,Raw_Data[#All],DB$2,0)/DB$1</f>
        <v>#N/A</v>
      </c>
      <c r="DC38" s="87" t="e">
        <f>VLOOKUP($B38,Raw_Data[#All],DC$2,0)/DC$1</f>
        <v>#N/A</v>
      </c>
      <c r="DD38" s="87" t="e">
        <f>VLOOKUP($B38,Raw_Data[#All],DD$2,0)/DD$1</f>
        <v>#N/A</v>
      </c>
      <c r="DE38" s="87" t="e">
        <f>VLOOKUP($B38,Raw_Data[#All],DE$2,0)/DE$1</f>
        <v>#N/A</v>
      </c>
      <c r="DF38" s="87" t="e">
        <f>VLOOKUP($B38,Raw_Data[#All],DF$2,0)/DF$1</f>
        <v>#N/A</v>
      </c>
      <c r="DG38" s="87" t="e">
        <f>VLOOKUP($B38,Raw_Data[#All],DG$2,0)/DG$1</f>
        <v>#N/A</v>
      </c>
      <c r="DH38" s="87" t="e">
        <f>VLOOKUP($B38,Raw_Data[#All],DH$2,0)/DH$1</f>
        <v>#N/A</v>
      </c>
      <c r="DI38" s="87" t="e">
        <f>VLOOKUP($B38,Raw_Data[#All],DI$2,0)/DI$1</f>
        <v>#N/A</v>
      </c>
      <c r="DJ38" s="87" t="e">
        <f>VLOOKUP($B38,Raw_Data[#All],DJ$2,0)/DJ$1</f>
        <v>#N/A</v>
      </c>
      <c r="DK38" s="87" t="e">
        <f>VLOOKUP($B38,Raw_Data[#All],DK$2,0)/DK$1</f>
        <v>#N/A</v>
      </c>
      <c r="DL38" s="87" t="e">
        <f>VLOOKUP($B38,Raw_Data[#All],DL$2,0)/DL$1</f>
        <v>#N/A</v>
      </c>
      <c r="DM38" s="87" t="e">
        <f>VLOOKUP($B38,Raw_Data[#All],DM$2,0)/DM$1</f>
        <v>#N/A</v>
      </c>
      <c r="DN38" s="87" t="e">
        <f>VLOOKUP($B38,Raw_Data[#All],DN$2,0)/DN$1</f>
        <v>#N/A</v>
      </c>
      <c r="DO38" s="87" t="e">
        <f>VLOOKUP($B38,Raw_Data[#All],DO$2,0)/DO$1</f>
        <v>#N/A</v>
      </c>
      <c r="DP38" s="87" t="e">
        <f>VLOOKUP($B38,Raw_Data[#All],DP$2,0)/DP$1</f>
        <v>#N/A</v>
      </c>
      <c r="DQ38" s="87" t="e">
        <f>VLOOKUP($B38,Raw_Data[#All],DQ$2,0)/DQ$1</f>
        <v>#N/A</v>
      </c>
      <c r="DR38" s="87" t="e">
        <f>VLOOKUP($B38,Raw_Data[#All],DR$2,0)/DR$1</f>
        <v>#N/A</v>
      </c>
      <c r="DS38" s="87" t="e">
        <f>VLOOKUP($B38,Raw_Data[#All],DS$2,0)/DS$1</f>
        <v>#N/A</v>
      </c>
      <c r="DT38" s="87" t="e">
        <f>VLOOKUP($B38,Raw_Data[#All],DT$2,0)/DT$1</f>
        <v>#N/A</v>
      </c>
      <c r="DU38" s="87" t="e">
        <f>VLOOKUP($B38,Raw_Data[#All],DU$2,0)/DU$1</f>
        <v>#N/A</v>
      </c>
      <c r="DV38" s="87" t="e">
        <f>VLOOKUP($B38,Raw_Data[#All],DV$2,0)/DV$1</f>
        <v>#N/A</v>
      </c>
      <c r="DW38" s="87" t="e">
        <f>VLOOKUP($B38,Raw_Data[#All],DW$2,0)/DW$1</f>
        <v>#N/A</v>
      </c>
      <c r="DX38" s="87" t="e">
        <f>VLOOKUP($B38,Raw_Data[#All],DX$2,0)/DX$1</f>
        <v>#N/A</v>
      </c>
      <c r="DY38" s="87" t="e">
        <f>VLOOKUP($B38,Raw_Data[#All],DY$2,0)/DY$1</f>
        <v>#N/A</v>
      </c>
      <c r="DZ38" s="87" t="e">
        <f>VLOOKUP($B38,Raw_Data[#All],DZ$2,0)/DZ$1</f>
        <v>#N/A</v>
      </c>
      <c r="EA38" s="87" t="e">
        <f>VLOOKUP($B38,Raw_Data[#All],EA$2,0)/EA$1</f>
        <v>#N/A</v>
      </c>
      <c r="EB38" s="87" t="e">
        <f>VLOOKUP($B38,Raw_Data[#All],EB$2,0)/EB$1</f>
        <v>#N/A</v>
      </c>
      <c r="EC38" s="87" t="e">
        <f>VLOOKUP($B38,Raw_Data[#All],EC$2,0)/EC$1</f>
        <v>#N/A</v>
      </c>
      <c r="ED38" s="87" t="e">
        <f>VLOOKUP($B38,Raw_Data[#All],ED$2,0)/ED$1</f>
        <v>#N/A</v>
      </c>
      <c r="EE38" s="87" t="e">
        <f>VLOOKUP($B38,Raw_Data[#All],EE$2,0)/EE$1</f>
        <v>#N/A</v>
      </c>
      <c r="EF38" s="87" t="e">
        <f>VLOOKUP($B38,Raw_Data[#All],EF$2,0)/EF$1</f>
        <v>#N/A</v>
      </c>
      <c r="EG38" s="87" t="e">
        <f>VLOOKUP($B38,Raw_Data[#All],EG$2,0)/EG$1</f>
        <v>#N/A</v>
      </c>
      <c r="EH38" s="87" t="e">
        <f>VLOOKUP($B38,Raw_Data[#All],EH$2,0)/EH$1</f>
        <v>#N/A</v>
      </c>
      <c r="EI38" s="87" t="e">
        <f>VLOOKUP($B38,Raw_Data[#All],EI$2,0)/EI$1</f>
        <v>#N/A</v>
      </c>
      <c r="EJ38" s="87" t="e">
        <f>VLOOKUP($B38,Raw_Data[#All],EJ$2,0)/EJ$1</f>
        <v>#N/A</v>
      </c>
      <c r="EK38" s="87" t="e">
        <f>VLOOKUP($B38,Raw_Data[#All],EK$2,0)/EK$1</f>
        <v>#N/A</v>
      </c>
      <c r="EL38" s="87" t="e">
        <f>VLOOKUP($B38,Raw_Data[#All],EL$2,0)/EL$1</f>
        <v>#N/A</v>
      </c>
      <c r="EM38" s="87" t="e">
        <f>VLOOKUP($B38,Raw_Data[#All],EM$2,0)/EM$1</f>
        <v>#N/A</v>
      </c>
      <c r="EN38" s="87" t="e">
        <f>VLOOKUP($B38,Raw_Data[#All],EN$2,0)/EN$1</f>
        <v>#N/A</v>
      </c>
      <c r="EO38" s="87" t="e">
        <f>VLOOKUP($B38,Raw_Data[#All],EO$2,0)/EO$1</f>
        <v>#N/A</v>
      </c>
      <c r="EP38" s="87" t="e">
        <f>VLOOKUP($B38,Raw_Data[#All],EP$2,0)/EP$1</f>
        <v>#N/A</v>
      </c>
      <c r="EQ38" s="87" t="e">
        <f>VLOOKUP($B38,Raw_Data[#All],EQ$2,0)/EQ$1</f>
        <v>#N/A</v>
      </c>
      <c r="ER38" s="87" t="e">
        <f>VLOOKUP($B38,Raw_Data[#All],ER$2,0)/ER$1</f>
        <v>#N/A</v>
      </c>
      <c r="ES38" s="87" t="e">
        <f>VLOOKUP($B38,Raw_Data[#All],ES$2,0)/ES$1</f>
        <v>#N/A</v>
      </c>
      <c r="ET38" s="87" t="e">
        <f>VLOOKUP($B38,Raw_Data[#All],ET$2,0)/ET$1</f>
        <v>#N/A</v>
      </c>
      <c r="EU38" s="87" t="e">
        <f>VLOOKUP($B38,Raw_Data[#All],EU$2,0)/EU$1</f>
        <v>#N/A</v>
      </c>
      <c r="EV38" s="87" t="e">
        <f>VLOOKUP($B38,Raw_Data[#All],EV$2,0)/EV$1</f>
        <v>#N/A</v>
      </c>
      <c r="EW38" s="87" t="e">
        <f>VLOOKUP($B38,Raw_Data[#All],EW$2,0)/EW$1</f>
        <v>#N/A</v>
      </c>
      <c r="EX38" s="87" t="e">
        <f>VLOOKUP($B38,Raw_Data[#All],EX$2,0)/EX$1</f>
        <v>#N/A</v>
      </c>
      <c r="EY38" s="87" t="e">
        <f>VLOOKUP($B38,Raw_Data[#All],EY$2,0)/EY$1</f>
        <v>#N/A</v>
      </c>
      <c r="EZ38" s="87" t="e">
        <f>VLOOKUP($B38,Raw_Data[#All],EZ$2,0)/EZ$1</f>
        <v>#N/A</v>
      </c>
      <c r="FA38" s="87" t="e">
        <f>VLOOKUP($B38,Raw_Data[#All],FA$2,0)/FA$1</f>
        <v>#N/A</v>
      </c>
      <c r="FB38" s="87" t="e">
        <f>VLOOKUP($B38,Raw_Data[#All],FB$2,0)/FB$1</f>
        <v>#N/A</v>
      </c>
      <c r="FC38" s="87" t="e">
        <f>VLOOKUP($B38,Raw_Data[#All],FC$2,0)/FC$1</f>
        <v>#N/A</v>
      </c>
      <c r="FD38" s="87" t="e">
        <f>VLOOKUP($B38,Raw_Data[#All],FD$2,0)/FD$1</f>
        <v>#N/A</v>
      </c>
      <c r="FE38" s="87" t="e">
        <f>VLOOKUP($B38,Raw_Data[#All],FE$2,0)/FE$1</f>
        <v>#N/A</v>
      </c>
      <c r="FF38" s="87" t="e">
        <f>VLOOKUP($B38,Raw_Data[#All],FF$2,0)/FF$1</f>
        <v>#N/A</v>
      </c>
      <c r="FG38" s="105" t="e">
        <f>VLOOKUP($B38,Raw_Data[#All],FG$2,0)/FG$1</f>
        <v>#N/A</v>
      </c>
    </row>
    <row r="39" spans="2:163">
      <c r="B39" s="106">
        <f t="shared" si="1"/>
        <v>45862</v>
      </c>
      <c r="C39" s="87" t="e">
        <f>VLOOKUP($B39,Raw_Data[#All],C$2,0)/C$1</f>
        <v>#N/A</v>
      </c>
      <c r="D39" s="87" t="e">
        <f>VLOOKUP($B39,Raw_Data[#All],D$2,0)/D$1</f>
        <v>#N/A</v>
      </c>
      <c r="E39" s="87" t="e">
        <f>VLOOKUP($B39,Raw_Data[#All],E$2,0)/E$1</f>
        <v>#N/A</v>
      </c>
      <c r="F39" s="87" t="e">
        <f>VLOOKUP($B39,Raw_Data[#All],F$2,0)/F$1</f>
        <v>#N/A</v>
      </c>
      <c r="G39" s="87" t="e">
        <f>VLOOKUP($B39,Raw_Data[#All],G$2,0)/G$1</f>
        <v>#N/A</v>
      </c>
      <c r="H39" s="87" t="e">
        <f>VLOOKUP($B39,Raw_Data[#All],H$2,0)/H$1</f>
        <v>#N/A</v>
      </c>
      <c r="I39" s="87" t="e">
        <f>VLOOKUP($B39,Raw_Data[#All],I$2,0)/I$1</f>
        <v>#N/A</v>
      </c>
      <c r="J39" s="87" t="e">
        <f>VLOOKUP($B39,Raw_Data[#All],J$2,0)/J$1</f>
        <v>#N/A</v>
      </c>
      <c r="K39" s="87" t="e">
        <f>VLOOKUP($B39,Raw_Data[#All],K$2,0)/K$1</f>
        <v>#N/A</v>
      </c>
      <c r="L39" s="87" t="e">
        <f>VLOOKUP($B39,Raw_Data[#All],L$2,0)/L$1</f>
        <v>#N/A</v>
      </c>
      <c r="M39" s="87" t="e">
        <f>VLOOKUP($B39,Raw_Data[#All],M$2,0)/M$1</f>
        <v>#N/A</v>
      </c>
      <c r="N39" s="87" t="e">
        <f>VLOOKUP($B39,Raw_Data[#All],N$2,0)/N$1</f>
        <v>#N/A</v>
      </c>
      <c r="O39" s="87" t="e">
        <f>VLOOKUP($B39,Raw_Data[#All],O$2,0)/O$1</f>
        <v>#N/A</v>
      </c>
      <c r="P39" s="87" t="e">
        <f>VLOOKUP($B39,Raw_Data[#All],P$2,0)/P$1</f>
        <v>#N/A</v>
      </c>
      <c r="Q39" s="87" t="e">
        <f>VLOOKUP($B39,Raw_Data[#All],Q$2,0)/Q$1</f>
        <v>#N/A</v>
      </c>
      <c r="R39" s="87" t="e">
        <f>VLOOKUP($B39,Raw_Data[#All],R$2,0)/R$1</f>
        <v>#N/A</v>
      </c>
      <c r="S39" s="87" t="e">
        <f>VLOOKUP($B39,Raw_Data[#All],S$2,0)/S$1</f>
        <v>#N/A</v>
      </c>
      <c r="T39" s="87" t="e">
        <f>VLOOKUP($B39,Raw_Data[#All],T$2,0)/T$1</f>
        <v>#N/A</v>
      </c>
      <c r="U39" s="87" t="e">
        <f>VLOOKUP($B39,Raw_Data[#All],U$2,0)/U$1</f>
        <v>#N/A</v>
      </c>
      <c r="V39" s="87" t="e">
        <f>VLOOKUP($B39,Raw_Data[#All],V$2,0)/V$1</f>
        <v>#N/A</v>
      </c>
      <c r="W39" s="87" t="e">
        <f>VLOOKUP($B39,Raw_Data[#All],W$2,0)/W$1</f>
        <v>#N/A</v>
      </c>
      <c r="X39" s="87" t="e">
        <f>VLOOKUP($B39,Raw_Data[#All],X$2,0)/X$1</f>
        <v>#N/A</v>
      </c>
      <c r="Y39" s="87" t="e">
        <f>VLOOKUP($B39,Raw_Data[#All],Y$2,0)/Y$1</f>
        <v>#N/A</v>
      </c>
      <c r="Z39" s="87" t="e">
        <f>VLOOKUP($B39,Raw_Data[#All],Z$2,0)/Z$1</f>
        <v>#N/A</v>
      </c>
      <c r="AA39" s="87" t="e">
        <f>VLOOKUP($B39,Raw_Data[#All],AA$2,0)/AA$1</f>
        <v>#N/A</v>
      </c>
      <c r="AB39" s="87" t="e">
        <f>VLOOKUP($B39,Raw_Data[#All],AB$2,0)/AB$1</f>
        <v>#N/A</v>
      </c>
      <c r="AC39" s="87" t="e">
        <f>VLOOKUP($B39,Raw_Data[#All],AC$2,0)/AC$1</f>
        <v>#N/A</v>
      </c>
      <c r="AD39" s="87" t="e">
        <f>VLOOKUP($B39,Raw_Data[#All],AD$2,0)/AD$1</f>
        <v>#N/A</v>
      </c>
      <c r="AE39" s="87" t="e">
        <f>VLOOKUP($B39,Raw_Data[#All],AE$2,0)/AE$1</f>
        <v>#N/A</v>
      </c>
      <c r="AF39" s="87" t="e">
        <f>VLOOKUP($B39,Raw_Data[#All],AF$2,0)/AF$1</f>
        <v>#N/A</v>
      </c>
      <c r="AG39" s="87" t="e">
        <f>VLOOKUP($B39,Raw_Data[#All],AG$2,0)/AG$1</f>
        <v>#N/A</v>
      </c>
      <c r="AH39" s="87" t="e">
        <f>VLOOKUP($B39,Raw_Data[#All],AH$2,0)/AH$1</f>
        <v>#N/A</v>
      </c>
      <c r="AI39" s="87" t="e">
        <f>VLOOKUP($B39,Raw_Data[#All],AI$2,0)/AI$1</f>
        <v>#N/A</v>
      </c>
      <c r="AJ39" s="87" t="e">
        <f>VLOOKUP($B39,Raw_Data[#All],AJ$2,0)/AJ$1</f>
        <v>#N/A</v>
      </c>
      <c r="AK39" s="87" t="e">
        <f>VLOOKUP($B39,Raw_Data[#All],AK$2,0)/AK$1</f>
        <v>#N/A</v>
      </c>
      <c r="AL39" s="87" t="e">
        <f>VLOOKUP($B39,Raw_Data[#All],AL$2,0)/AL$1</f>
        <v>#N/A</v>
      </c>
      <c r="AM39" s="87" t="e">
        <f>VLOOKUP($B39,Raw_Data[#All],AM$2,0)/AM$1</f>
        <v>#N/A</v>
      </c>
      <c r="AN39" s="87" t="e">
        <f>VLOOKUP($B39,Raw_Data[#All],AN$2,0)/AN$1</f>
        <v>#N/A</v>
      </c>
      <c r="AO39" s="87" t="e">
        <f>VLOOKUP($B39,Raw_Data[#All],AO$2,0)/AO$1</f>
        <v>#N/A</v>
      </c>
      <c r="AP39" s="87" t="e">
        <f>VLOOKUP($B39,Raw_Data[#All],AP$2,0)/AP$1</f>
        <v>#N/A</v>
      </c>
      <c r="AQ39" s="87" t="e">
        <f>VLOOKUP($B39,Raw_Data[#All],AQ$2,0)/AQ$1</f>
        <v>#N/A</v>
      </c>
      <c r="AR39" s="87" t="e">
        <f>VLOOKUP($B39,Raw_Data[#All],AR$2,0)/AR$1</f>
        <v>#N/A</v>
      </c>
      <c r="AS39" s="87" t="e">
        <f>VLOOKUP($B39,Raw_Data[#All],AS$2,0)/AS$1</f>
        <v>#N/A</v>
      </c>
      <c r="AT39" s="87" t="e">
        <f>VLOOKUP($B39,Raw_Data[#All],AT$2,0)/AT$1</f>
        <v>#N/A</v>
      </c>
      <c r="AU39" s="87" t="e">
        <f>VLOOKUP($B39,Raw_Data[#All],AU$2,0)/AU$1</f>
        <v>#N/A</v>
      </c>
      <c r="AV39" s="87" t="e">
        <f>VLOOKUP($B39,Raw_Data[#All],AV$2,0)/AV$1</f>
        <v>#N/A</v>
      </c>
      <c r="AW39" s="87" t="e">
        <f>VLOOKUP($B39,Raw_Data[#All],AW$2,0)/AW$1</f>
        <v>#N/A</v>
      </c>
      <c r="AX39" s="87" t="e">
        <f>VLOOKUP($B39,Raw_Data[#All],AX$2,0)/AX$1</f>
        <v>#N/A</v>
      </c>
      <c r="AY39" s="87" t="e">
        <f>VLOOKUP($B39,Raw_Data[#All],AY$2,0)/AY$1</f>
        <v>#N/A</v>
      </c>
      <c r="AZ39" s="87" t="e">
        <f>VLOOKUP($B39,Raw_Data[#All],AZ$2,0)/AZ$1</f>
        <v>#N/A</v>
      </c>
      <c r="BA39" s="87" t="e">
        <f>VLOOKUP($B39,Raw_Data[#All],BA$2,0)/BA$1</f>
        <v>#N/A</v>
      </c>
      <c r="BB39" s="87" t="e">
        <f>VLOOKUP($B39,Raw_Data[#All],BB$2,0)/BB$1</f>
        <v>#N/A</v>
      </c>
      <c r="BC39" s="87" t="e">
        <f>VLOOKUP($B39,Raw_Data[#All],BC$2,0)/BC$1</f>
        <v>#N/A</v>
      </c>
      <c r="BD39" s="87" t="e">
        <f>VLOOKUP($B39,Raw_Data[#All],BD$2,0)/BD$1</f>
        <v>#N/A</v>
      </c>
      <c r="BE39" s="87" t="e">
        <f>VLOOKUP($B39,Raw_Data[#All],BE$2,0)/BE$1</f>
        <v>#N/A</v>
      </c>
      <c r="BF39" s="87" t="e">
        <f>VLOOKUP($B39,Raw_Data[#All],BF$2,0)/BF$1</f>
        <v>#N/A</v>
      </c>
      <c r="BG39" s="87" t="e">
        <f>VLOOKUP($B39,Raw_Data[#All],BG$2,0)/BG$1</f>
        <v>#N/A</v>
      </c>
      <c r="BH39" s="87" t="e">
        <f>VLOOKUP($B39,Raw_Data[#All],BH$2,0)/BH$1</f>
        <v>#N/A</v>
      </c>
      <c r="BI39" s="87" t="e">
        <f>VLOOKUP($B39,Raw_Data[#All],BI$2,0)/BI$1</f>
        <v>#N/A</v>
      </c>
      <c r="BJ39" s="87" t="e">
        <f>VLOOKUP($B39,Raw_Data[#All],BJ$2,0)/BJ$1</f>
        <v>#N/A</v>
      </c>
      <c r="BK39" s="87" t="e">
        <f>VLOOKUP($B39,Raw_Data[#All],BK$2,0)/BK$1</f>
        <v>#N/A</v>
      </c>
      <c r="BL39" s="87" t="e">
        <f>VLOOKUP($B39,Raw_Data[#All],BL$2,0)/BL$1</f>
        <v>#N/A</v>
      </c>
      <c r="BM39" s="87" t="e">
        <f>VLOOKUP($B39,Raw_Data[#All],BM$2,0)/BM$1</f>
        <v>#N/A</v>
      </c>
      <c r="BN39" s="87" t="e">
        <f>VLOOKUP($B39,Raw_Data[#All],BN$2,0)/BN$1</f>
        <v>#N/A</v>
      </c>
      <c r="BO39" s="87" t="e">
        <f>VLOOKUP($B39,Raw_Data[#All],BO$2,0)/BO$1</f>
        <v>#N/A</v>
      </c>
      <c r="BP39" s="87" t="e">
        <f>VLOOKUP($B39,Raw_Data[#All],BP$2,0)/BP$1</f>
        <v>#N/A</v>
      </c>
      <c r="BQ39" s="87" t="e">
        <f>VLOOKUP($B39,Raw_Data[#All],BQ$2,0)/BQ$1</f>
        <v>#N/A</v>
      </c>
      <c r="BR39" s="87" t="e">
        <f>VLOOKUP($B39,Raw_Data[#All],BR$2,0)/BR$1</f>
        <v>#N/A</v>
      </c>
      <c r="BS39" s="87" t="e">
        <f>VLOOKUP($B39,Raw_Data[#All],BS$2,0)/BS$1</f>
        <v>#N/A</v>
      </c>
      <c r="BT39" s="87" t="e">
        <f>VLOOKUP($B39,Raw_Data[#All],BT$2,0)/BT$1</f>
        <v>#N/A</v>
      </c>
      <c r="BU39" s="87" t="e">
        <f>VLOOKUP($B39,Raw_Data[#All],BU$2,0)/BU$1</f>
        <v>#N/A</v>
      </c>
      <c r="BV39" s="87" t="e">
        <f>VLOOKUP($B39,Raw_Data[#All],BV$2,0)/BV$1</f>
        <v>#N/A</v>
      </c>
      <c r="BW39" s="87" t="e">
        <f>VLOOKUP($B39,Raw_Data[#All],BW$2,0)/BW$1</f>
        <v>#N/A</v>
      </c>
      <c r="BX39" s="87" t="e">
        <f>VLOOKUP($B39,Raw_Data[#All],BX$2,0)/BX$1</f>
        <v>#N/A</v>
      </c>
      <c r="BY39" s="87" t="e">
        <f>VLOOKUP($B39,Raw_Data[#All],BY$2,0)/BY$1</f>
        <v>#N/A</v>
      </c>
      <c r="BZ39" s="87" t="e">
        <f>VLOOKUP($B39,Raw_Data[#All],BZ$2,0)/BZ$1</f>
        <v>#N/A</v>
      </c>
      <c r="CA39" s="87" t="e">
        <f>VLOOKUP($B39,Raw_Data[#All],CA$2,0)/CA$1</f>
        <v>#N/A</v>
      </c>
      <c r="CB39" s="87" t="e">
        <f>VLOOKUP($B39,Raw_Data[#All],CB$2,0)/CB$1</f>
        <v>#N/A</v>
      </c>
      <c r="CC39" s="87" t="e">
        <f>VLOOKUP($B39,Raw_Data[#All],CC$2,0)/CC$1</f>
        <v>#N/A</v>
      </c>
      <c r="CD39" s="87" t="e">
        <f>VLOOKUP($B39,Raw_Data[#All],CD$2,0)/CD$1</f>
        <v>#N/A</v>
      </c>
      <c r="CE39" s="87" t="e">
        <f>VLOOKUP($B39,Raw_Data[#All],CE$2,0)/CE$1</f>
        <v>#N/A</v>
      </c>
      <c r="CF39" s="87" t="e">
        <f>VLOOKUP($B39,Raw_Data[#All],CF$2,0)/CF$1</f>
        <v>#N/A</v>
      </c>
      <c r="CG39" s="87" t="e">
        <f>VLOOKUP($B39,Raw_Data[#All],CG$2,0)/CG$1</f>
        <v>#N/A</v>
      </c>
      <c r="CH39" s="87" t="e">
        <f>VLOOKUP($B39,Raw_Data[#All],CH$2,0)/CH$1</f>
        <v>#N/A</v>
      </c>
      <c r="CI39" s="87" t="e">
        <f>VLOOKUP($B39,Raw_Data[#All],CI$2,0)/CI$1</f>
        <v>#N/A</v>
      </c>
      <c r="CJ39" s="87" t="e">
        <f>VLOOKUP($B39,Raw_Data[#All],CJ$2,0)/CJ$1</f>
        <v>#N/A</v>
      </c>
      <c r="CK39" s="87" t="e">
        <f>VLOOKUP($B39,Raw_Data[#All],CK$2,0)/CK$1</f>
        <v>#N/A</v>
      </c>
      <c r="CL39" s="87" t="e">
        <f>VLOOKUP($B39,Raw_Data[#All],CL$2,0)/CL$1</f>
        <v>#N/A</v>
      </c>
      <c r="CM39" s="87" t="e">
        <f>VLOOKUP($B39,Raw_Data[#All],CM$2,0)/CM$1</f>
        <v>#N/A</v>
      </c>
      <c r="CN39" s="87" t="e">
        <f>VLOOKUP($B39,Raw_Data[#All],CN$2,0)/CN$1</f>
        <v>#N/A</v>
      </c>
      <c r="CO39" s="87" t="e">
        <f>VLOOKUP($B39,Raw_Data[#All],CO$2,0)/CO$1</f>
        <v>#N/A</v>
      </c>
      <c r="CP39" s="87" t="e">
        <f>VLOOKUP($B39,Raw_Data[#All],CP$2,0)/CP$1</f>
        <v>#N/A</v>
      </c>
      <c r="CQ39" s="87" t="e">
        <f>VLOOKUP($B39,Raw_Data[#All],CQ$2,0)/CQ$1</f>
        <v>#N/A</v>
      </c>
      <c r="CR39" s="87" t="e">
        <f>VLOOKUP($B39,Raw_Data[#All],CR$2,0)/CR$1</f>
        <v>#N/A</v>
      </c>
      <c r="CS39" s="87" t="e">
        <f>VLOOKUP($B39,Raw_Data[#All],CS$2,0)/CS$1</f>
        <v>#N/A</v>
      </c>
      <c r="CT39" s="87" t="e">
        <f>VLOOKUP($B39,Raw_Data[#All],CT$2,0)/CT$1</f>
        <v>#N/A</v>
      </c>
      <c r="CU39" s="87" t="e">
        <f>VLOOKUP($B39,Raw_Data[#All],CU$2,0)/CU$1</f>
        <v>#N/A</v>
      </c>
      <c r="CV39" s="87" t="e">
        <f>VLOOKUP($B39,Raw_Data[#All],CV$2,0)/CV$1</f>
        <v>#N/A</v>
      </c>
      <c r="CW39" s="87" t="e">
        <f>VLOOKUP($B39,Raw_Data[#All],CW$2,0)/CW$1</f>
        <v>#N/A</v>
      </c>
      <c r="CX39" s="87" t="e">
        <f>VLOOKUP($B39,Raw_Data[#All],CX$2,0)/CX$1</f>
        <v>#N/A</v>
      </c>
      <c r="CY39" s="87" t="e">
        <f>VLOOKUP($B39,Raw_Data[#All],CY$2,0)/CY$1</f>
        <v>#N/A</v>
      </c>
      <c r="CZ39" s="87" t="e">
        <f>VLOOKUP($B39,Raw_Data[#All],CZ$2,0)/CZ$1</f>
        <v>#N/A</v>
      </c>
      <c r="DA39" s="87" t="e">
        <f>VLOOKUP($B39,Raw_Data[#All],DA$2,0)/DA$1</f>
        <v>#N/A</v>
      </c>
      <c r="DB39" s="87" t="e">
        <f>VLOOKUP($B39,Raw_Data[#All],DB$2,0)/DB$1</f>
        <v>#N/A</v>
      </c>
      <c r="DC39" s="87" t="e">
        <f>VLOOKUP($B39,Raw_Data[#All],DC$2,0)/DC$1</f>
        <v>#N/A</v>
      </c>
      <c r="DD39" s="87" t="e">
        <f>VLOOKUP($B39,Raw_Data[#All],DD$2,0)/DD$1</f>
        <v>#N/A</v>
      </c>
      <c r="DE39" s="87" t="e">
        <f>VLOOKUP($B39,Raw_Data[#All],DE$2,0)/DE$1</f>
        <v>#N/A</v>
      </c>
      <c r="DF39" s="87" t="e">
        <f>VLOOKUP($B39,Raw_Data[#All],DF$2,0)/DF$1</f>
        <v>#N/A</v>
      </c>
      <c r="DG39" s="87" t="e">
        <f>VLOOKUP($B39,Raw_Data[#All],DG$2,0)/DG$1</f>
        <v>#N/A</v>
      </c>
      <c r="DH39" s="87" t="e">
        <f>VLOOKUP($B39,Raw_Data[#All],DH$2,0)/DH$1</f>
        <v>#N/A</v>
      </c>
      <c r="DI39" s="87" t="e">
        <f>VLOOKUP($B39,Raw_Data[#All],DI$2,0)/DI$1</f>
        <v>#N/A</v>
      </c>
      <c r="DJ39" s="87" t="e">
        <f>VLOOKUP($B39,Raw_Data[#All],DJ$2,0)/DJ$1</f>
        <v>#N/A</v>
      </c>
      <c r="DK39" s="87" t="e">
        <f>VLOOKUP($B39,Raw_Data[#All],DK$2,0)/DK$1</f>
        <v>#N/A</v>
      </c>
      <c r="DL39" s="87" t="e">
        <f>VLOOKUP($B39,Raw_Data[#All],DL$2,0)/DL$1</f>
        <v>#N/A</v>
      </c>
      <c r="DM39" s="87" t="e">
        <f>VLOOKUP($B39,Raw_Data[#All],DM$2,0)/DM$1</f>
        <v>#N/A</v>
      </c>
      <c r="DN39" s="87" t="e">
        <f>VLOOKUP($B39,Raw_Data[#All],DN$2,0)/DN$1</f>
        <v>#N/A</v>
      </c>
      <c r="DO39" s="87" t="e">
        <f>VLOOKUP($B39,Raw_Data[#All],DO$2,0)/DO$1</f>
        <v>#N/A</v>
      </c>
      <c r="DP39" s="87" t="e">
        <f>VLOOKUP($B39,Raw_Data[#All],DP$2,0)/DP$1</f>
        <v>#N/A</v>
      </c>
      <c r="DQ39" s="87" t="e">
        <f>VLOOKUP($B39,Raw_Data[#All],DQ$2,0)/DQ$1</f>
        <v>#N/A</v>
      </c>
      <c r="DR39" s="87" t="e">
        <f>VLOOKUP($B39,Raw_Data[#All],DR$2,0)/DR$1</f>
        <v>#N/A</v>
      </c>
      <c r="DS39" s="87" t="e">
        <f>VLOOKUP($B39,Raw_Data[#All],DS$2,0)/DS$1</f>
        <v>#N/A</v>
      </c>
      <c r="DT39" s="87" t="e">
        <f>VLOOKUP($B39,Raw_Data[#All],DT$2,0)/DT$1</f>
        <v>#N/A</v>
      </c>
      <c r="DU39" s="87" t="e">
        <f>VLOOKUP($B39,Raw_Data[#All],DU$2,0)/DU$1</f>
        <v>#N/A</v>
      </c>
      <c r="DV39" s="87" t="e">
        <f>VLOOKUP($B39,Raw_Data[#All],DV$2,0)/DV$1</f>
        <v>#N/A</v>
      </c>
      <c r="DW39" s="87" t="e">
        <f>VLOOKUP($B39,Raw_Data[#All],DW$2,0)/DW$1</f>
        <v>#N/A</v>
      </c>
      <c r="DX39" s="87" t="e">
        <f>VLOOKUP($B39,Raw_Data[#All],DX$2,0)/DX$1</f>
        <v>#N/A</v>
      </c>
      <c r="DY39" s="87" t="e">
        <f>VLOOKUP($B39,Raw_Data[#All],DY$2,0)/DY$1</f>
        <v>#N/A</v>
      </c>
      <c r="DZ39" s="87" t="e">
        <f>VLOOKUP($B39,Raw_Data[#All],DZ$2,0)/DZ$1</f>
        <v>#N/A</v>
      </c>
      <c r="EA39" s="87" t="e">
        <f>VLOOKUP($B39,Raw_Data[#All],EA$2,0)/EA$1</f>
        <v>#N/A</v>
      </c>
      <c r="EB39" s="87" t="e">
        <f>VLOOKUP($B39,Raw_Data[#All],EB$2,0)/EB$1</f>
        <v>#N/A</v>
      </c>
      <c r="EC39" s="87" t="e">
        <f>VLOOKUP($B39,Raw_Data[#All],EC$2,0)/EC$1</f>
        <v>#N/A</v>
      </c>
      <c r="ED39" s="87" t="e">
        <f>VLOOKUP($B39,Raw_Data[#All],ED$2,0)/ED$1</f>
        <v>#N/A</v>
      </c>
      <c r="EE39" s="87" t="e">
        <f>VLOOKUP($B39,Raw_Data[#All],EE$2,0)/EE$1</f>
        <v>#N/A</v>
      </c>
      <c r="EF39" s="87" t="e">
        <f>VLOOKUP($B39,Raw_Data[#All],EF$2,0)/EF$1</f>
        <v>#N/A</v>
      </c>
      <c r="EG39" s="87" t="e">
        <f>VLOOKUP($B39,Raw_Data[#All],EG$2,0)/EG$1</f>
        <v>#N/A</v>
      </c>
      <c r="EH39" s="87" t="e">
        <f>VLOOKUP($B39,Raw_Data[#All],EH$2,0)/EH$1</f>
        <v>#N/A</v>
      </c>
      <c r="EI39" s="87" t="e">
        <f>VLOOKUP($B39,Raw_Data[#All],EI$2,0)/EI$1</f>
        <v>#N/A</v>
      </c>
      <c r="EJ39" s="87" t="e">
        <f>VLOOKUP($B39,Raw_Data[#All],EJ$2,0)/EJ$1</f>
        <v>#N/A</v>
      </c>
      <c r="EK39" s="87" t="e">
        <f>VLOOKUP($B39,Raw_Data[#All],EK$2,0)/EK$1</f>
        <v>#N/A</v>
      </c>
      <c r="EL39" s="87" t="e">
        <f>VLOOKUP($B39,Raw_Data[#All],EL$2,0)/EL$1</f>
        <v>#N/A</v>
      </c>
      <c r="EM39" s="87" t="e">
        <f>VLOOKUP($B39,Raw_Data[#All],EM$2,0)/EM$1</f>
        <v>#N/A</v>
      </c>
      <c r="EN39" s="87" t="e">
        <f>VLOOKUP($B39,Raw_Data[#All],EN$2,0)/EN$1</f>
        <v>#N/A</v>
      </c>
      <c r="EO39" s="87" t="e">
        <f>VLOOKUP($B39,Raw_Data[#All],EO$2,0)/EO$1</f>
        <v>#N/A</v>
      </c>
      <c r="EP39" s="87" t="e">
        <f>VLOOKUP($B39,Raw_Data[#All],EP$2,0)/EP$1</f>
        <v>#N/A</v>
      </c>
      <c r="EQ39" s="87" t="e">
        <f>VLOOKUP($B39,Raw_Data[#All],EQ$2,0)/EQ$1</f>
        <v>#N/A</v>
      </c>
      <c r="ER39" s="87" t="e">
        <f>VLOOKUP($B39,Raw_Data[#All],ER$2,0)/ER$1</f>
        <v>#N/A</v>
      </c>
      <c r="ES39" s="87" t="e">
        <f>VLOOKUP($B39,Raw_Data[#All],ES$2,0)/ES$1</f>
        <v>#N/A</v>
      </c>
      <c r="ET39" s="87" t="e">
        <f>VLOOKUP($B39,Raw_Data[#All],ET$2,0)/ET$1</f>
        <v>#N/A</v>
      </c>
      <c r="EU39" s="87" t="e">
        <f>VLOOKUP($B39,Raw_Data[#All],EU$2,0)/EU$1</f>
        <v>#N/A</v>
      </c>
      <c r="EV39" s="87" t="e">
        <f>VLOOKUP($B39,Raw_Data[#All],EV$2,0)/EV$1</f>
        <v>#N/A</v>
      </c>
      <c r="EW39" s="87" t="e">
        <f>VLOOKUP($B39,Raw_Data[#All],EW$2,0)/EW$1</f>
        <v>#N/A</v>
      </c>
      <c r="EX39" s="87" t="e">
        <f>VLOOKUP($B39,Raw_Data[#All],EX$2,0)/EX$1</f>
        <v>#N/A</v>
      </c>
      <c r="EY39" s="87" t="e">
        <f>VLOOKUP($B39,Raw_Data[#All],EY$2,0)/EY$1</f>
        <v>#N/A</v>
      </c>
      <c r="EZ39" s="87" t="e">
        <f>VLOOKUP($B39,Raw_Data[#All],EZ$2,0)/EZ$1</f>
        <v>#N/A</v>
      </c>
      <c r="FA39" s="87" t="e">
        <f>VLOOKUP($B39,Raw_Data[#All],FA$2,0)/FA$1</f>
        <v>#N/A</v>
      </c>
      <c r="FB39" s="87" t="e">
        <f>VLOOKUP($B39,Raw_Data[#All],FB$2,0)/FB$1</f>
        <v>#N/A</v>
      </c>
      <c r="FC39" s="87" t="e">
        <f>VLOOKUP($B39,Raw_Data[#All],FC$2,0)/FC$1</f>
        <v>#N/A</v>
      </c>
      <c r="FD39" s="87" t="e">
        <f>VLOOKUP($B39,Raw_Data[#All],FD$2,0)/FD$1</f>
        <v>#N/A</v>
      </c>
      <c r="FE39" s="87" t="e">
        <f>VLOOKUP($B39,Raw_Data[#All],FE$2,0)/FE$1</f>
        <v>#N/A</v>
      </c>
      <c r="FF39" s="87" t="e">
        <f>VLOOKUP($B39,Raw_Data[#All],FF$2,0)/FF$1</f>
        <v>#N/A</v>
      </c>
      <c r="FG39" s="105" t="e">
        <f>VLOOKUP($B39,Raw_Data[#All],FG$2,0)/FG$1</f>
        <v>#N/A</v>
      </c>
    </row>
    <row r="40" spans="2:163">
      <c r="B40" s="106">
        <f t="shared" si="1"/>
        <v>45863</v>
      </c>
      <c r="C40" s="87" t="e">
        <f>VLOOKUP($B40,Raw_Data[#All],C$2,0)/C$1</f>
        <v>#N/A</v>
      </c>
      <c r="D40" s="87" t="e">
        <f>VLOOKUP($B40,Raw_Data[#All],D$2,0)/D$1</f>
        <v>#N/A</v>
      </c>
      <c r="E40" s="87" t="e">
        <f>VLOOKUP($B40,Raw_Data[#All],E$2,0)/E$1</f>
        <v>#N/A</v>
      </c>
      <c r="F40" s="87" t="e">
        <f>VLOOKUP($B40,Raw_Data[#All],F$2,0)/F$1</f>
        <v>#N/A</v>
      </c>
      <c r="G40" s="87" t="e">
        <f>VLOOKUP($B40,Raw_Data[#All],G$2,0)/G$1</f>
        <v>#N/A</v>
      </c>
      <c r="H40" s="87" t="e">
        <f>VLOOKUP($B40,Raw_Data[#All],H$2,0)/H$1</f>
        <v>#N/A</v>
      </c>
      <c r="I40" s="87" t="e">
        <f>VLOOKUP($B40,Raw_Data[#All],I$2,0)/I$1</f>
        <v>#N/A</v>
      </c>
      <c r="J40" s="87" t="e">
        <f>VLOOKUP($B40,Raw_Data[#All],J$2,0)/J$1</f>
        <v>#N/A</v>
      </c>
      <c r="K40" s="87" t="e">
        <f>VLOOKUP($B40,Raw_Data[#All],K$2,0)/K$1</f>
        <v>#N/A</v>
      </c>
      <c r="L40" s="87" t="e">
        <f>VLOOKUP($B40,Raw_Data[#All],L$2,0)/L$1</f>
        <v>#N/A</v>
      </c>
      <c r="M40" s="87" t="e">
        <f>VLOOKUP($B40,Raw_Data[#All],M$2,0)/M$1</f>
        <v>#N/A</v>
      </c>
      <c r="N40" s="87" t="e">
        <f>VLOOKUP($B40,Raw_Data[#All],N$2,0)/N$1</f>
        <v>#N/A</v>
      </c>
      <c r="O40" s="87" t="e">
        <f>VLOOKUP($B40,Raw_Data[#All],O$2,0)/O$1</f>
        <v>#N/A</v>
      </c>
      <c r="P40" s="87" t="e">
        <f>VLOOKUP($B40,Raw_Data[#All],P$2,0)/P$1</f>
        <v>#N/A</v>
      </c>
      <c r="Q40" s="87" t="e">
        <f>VLOOKUP($B40,Raw_Data[#All],Q$2,0)/Q$1</f>
        <v>#N/A</v>
      </c>
      <c r="R40" s="87" t="e">
        <f>VLOOKUP($B40,Raw_Data[#All],R$2,0)/R$1</f>
        <v>#N/A</v>
      </c>
      <c r="S40" s="87" t="e">
        <f>VLOOKUP($B40,Raw_Data[#All],S$2,0)/S$1</f>
        <v>#N/A</v>
      </c>
      <c r="T40" s="87" t="e">
        <f>VLOOKUP($B40,Raw_Data[#All],T$2,0)/T$1</f>
        <v>#N/A</v>
      </c>
      <c r="U40" s="87" t="e">
        <f>VLOOKUP($B40,Raw_Data[#All],U$2,0)/U$1</f>
        <v>#N/A</v>
      </c>
      <c r="V40" s="87" t="e">
        <f>VLOOKUP($B40,Raw_Data[#All],V$2,0)/V$1</f>
        <v>#N/A</v>
      </c>
      <c r="W40" s="87" t="e">
        <f>VLOOKUP($B40,Raw_Data[#All],W$2,0)/W$1</f>
        <v>#N/A</v>
      </c>
      <c r="X40" s="87" t="e">
        <f>VLOOKUP($B40,Raw_Data[#All],X$2,0)/X$1</f>
        <v>#N/A</v>
      </c>
      <c r="Y40" s="87" t="e">
        <f>VLOOKUP($B40,Raw_Data[#All],Y$2,0)/Y$1</f>
        <v>#N/A</v>
      </c>
      <c r="Z40" s="87" t="e">
        <f>VLOOKUP($B40,Raw_Data[#All],Z$2,0)/Z$1</f>
        <v>#N/A</v>
      </c>
      <c r="AA40" s="87" t="e">
        <f>VLOOKUP($B40,Raw_Data[#All],AA$2,0)/AA$1</f>
        <v>#N/A</v>
      </c>
      <c r="AB40" s="87" t="e">
        <f>VLOOKUP($B40,Raw_Data[#All],AB$2,0)/AB$1</f>
        <v>#N/A</v>
      </c>
      <c r="AC40" s="87" t="e">
        <f>VLOOKUP($B40,Raw_Data[#All],AC$2,0)/AC$1</f>
        <v>#N/A</v>
      </c>
      <c r="AD40" s="87" t="e">
        <f>VLOOKUP($B40,Raw_Data[#All],AD$2,0)/AD$1</f>
        <v>#N/A</v>
      </c>
      <c r="AE40" s="87" t="e">
        <f>VLOOKUP($B40,Raw_Data[#All],AE$2,0)/AE$1</f>
        <v>#N/A</v>
      </c>
      <c r="AF40" s="87" t="e">
        <f>VLOOKUP($B40,Raw_Data[#All],AF$2,0)/AF$1</f>
        <v>#N/A</v>
      </c>
      <c r="AG40" s="87" t="e">
        <f>VLOOKUP($B40,Raw_Data[#All],AG$2,0)/AG$1</f>
        <v>#N/A</v>
      </c>
      <c r="AH40" s="87" t="e">
        <f>VLOOKUP($B40,Raw_Data[#All],AH$2,0)/AH$1</f>
        <v>#N/A</v>
      </c>
      <c r="AI40" s="87" t="e">
        <f>VLOOKUP($B40,Raw_Data[#All],AI$2,0)/AI$1</f>
        <v>#N/A</v>
      </c>
      <c r="AJ40" s="87" t="e">
        <f>VLOOKUP($B40,Raw_Data[#All],AJ$2,0)/AJ$1</f>
        <v>#N/A</v>
      </c>
      <c r="AK40" s="87" t="e">
        <f>VLOOKUP($B40,Raw_Data[#All],AK$2,0)/AK$1</f>
        <v>#N/A</v>
      </c>
      <c r="AL40" s="87" t="e">
        <f>VLOOKUP($B40,Raw_Data[#All],AL$2,0)/AL$1</f>
        <v>#N/A</v>
      </c>
      <c r="AM40" s="87" t="e">
        <f>VLOOKUP($B40,Raw_Data[#All],AM$2,0)/AM$1</f>
        <v>#N/A</v>
      </c>
      <c r="AN40" s="87" t="e">
        <f>VLOOKUP($B40,Raw_Data[#All],AN$2,0)/AN$1</f>
        <v>#N/A</v>
      </c>
      <c r="AO40" s="87" t="e">
        <f>VLOOKUP($B40,Raw_Data[#All],AO$2,0)/AO$1</f>
        <v>#N/A</v>
      </c>
      <c r="AP40" s="87" t="e">
        <f>VLOOKUP($B40,Raw_Data[#All],AP$2,0)/AP$1</f>
        <v>#N/A</v>
      </c>
      <c r="AQ40" s="87" t="e">
        <f>VLOOKUP($B40,Raw_Data[#All],AQ$2,0)/AQ$1</f>
        <v>#N/A</v>
      </c>
      <c r="AR40" s="87" t="e">
        <f>VLOOKUP($B40,Raw_Data[#All],AR$2,0)/AR$1</f>
        <v>#N/A</v>
      </c>
      <c r="AS40" s="87" t="e">
        <f>VLOOKUP($B40,Raw_Data[#All],AS$2,0)/AS$1</f>
        <v>#N/A</v>
      </c>
      <c r="AT40" s="87" t="e">
        <f>VLOOKUP($B40,Raw_Data[#All],AT$2,0)/AT$1</f>
        <v>#N/A</v>
      </c>
      <c r="AU40" s="87" t="e">
        <f>VLOOKUP($B40,Raw_Data[#All],AU$2,0)/AU$1</f>
        <v>#N/A</v>
      </c>
      <c r="AV40" s="87" t="e">
        <f>VLOOKUP($B40,Raw_Data[#All],AV$2,0)/AV$1</f>
        <v>#N/A</v>
      </c>
      <c r="AW40" s="87" t="e">
        <f>VLOOKUP($B40,Raw_Data[#All],AW$2,0)/AW$1</f>
        <v>#N/A</v>
      </c>
      <c r="AX40" s="87" t="e">
        <f>VLOOKUP($B40,Raw_Data[#All],AX$2,0)/AX$1</f>
        <v>#N/A</v>
      </c>
      <c r="AY40" s="87" t="e">
        <f>VLOOKUP($B40,Raw_Data[#All],AY$2,0)/AY$1</f>
        <v>#N/A</v>
      </c>
      <c r="AZ40" s="87" t="e">
        <f>VLOOKUP($B40,Raw_Data[#All],AZ$2,0)/AZ$1</f>
        <v>#N/A</v>
      </c>
      <c r="BA40" s="87" t="e">
        <f>VLOOKUP($B40,Raw_Data[#All],BA$2,0)/BA$1</f>
        <v>#N/A</v>
      </c>
      <c r="BB40" s="87" t="e">
        <f>VLOOKUP($B40,Raw_Data[#All],BB$2,0)/BB$1</f>
        <v>#N/A</v>
      </c>
      <c r="BC40" s="87" t="e">
        <f>VLOOKUP($B40,Raw_Data[#All],BC$2,0)/BC$1</f>
        <v>#N/A</v>
      </c>
      <c r="BD40" s="87" t="e">
        <f>VLOOKUP($B40,Raw_Data[#All],BD$2,0)/BD$1</f>
        <v>#N/A</v>
      </c>
      <c r="BE40" s="87" t="e">
        <f>VLOOKUP($B40,Raw_Data[#All],BE$2,0)/BE$1</f>
        <v>#N/A</v>
      </c>
      <c r="BF40" s="87" t="e">
        <f>VLOOKUP($B40,Raw_Data[#All],BF$2,0)/BF$1</f>
        <v>#N/A</v>
      </c>
      <c r="BG40" s="87" t="e">
        <f>VLOOKUP($B40,Raw_Data[#All],BG$2,0)/BG$1</f>
        <v>#N/A</v>
      </c>
      <c r="BH40" s="87" t="e">
        <f>VLOOKUP($B40,Raw_Data[#All],BH$2,0)/BH$1</f>
        <v>#N/A</v>
      </c>
      <c r="BI40" s="87" t="e">
        <f>VLOOKUP($B40,Raw_Data[#All],BI$2,0)/BI$1</f>
        <v>#N/A</v>
      </c>
      <c r="BJ40" s="87" t="e">
        <f>VLOOKUP($B40,Raw_Data[#All],BJ$2,0)/BJ$1</f>
        <v>#N/A</v>
      </c>
      <c r="BK40" s="87" t="e">
        <f>VLOOKUP($B40,Raw_Data[#All],BK$2,0)/BK$1</f>
        <v>#N/A</v>
      </c>
      <c r="BL40" s="87" t="e">
        <f>VLOOKUP($B40,Raw_Data[#All],BL$2,0)/BL$1</f>
        <v>#N/A</v>
      </c>
      <c r="BM40" s="87" t="e">
        <f>VLOOKUP($B40,Raw_Data[#All],BM$2,0)/BM$1</f>
        <v>#N/A</v>
      </c>
      <c r="BN40" s="87" t="e">
        <f>VLOOKUP($B40,Raw_Data[#All],BN$2,0)/BN$1</f>
        <v>#N/A</v>
      </c>
      <c r="BO40" s="87" t="e">
        <f>VLOOKUP($B40,Raw_Data[#All],BO$2,0)/BO$1</f>
        <v>#N/A</v>
      </c>
      <c r="BP40" s="87" t="e">
        <f>VLOOKUP($B40,Raw_Data[#All],BP$2,0)/BP$1</f>
        <v>#N/A</v>
      </c>
      <c r="BQ40" s="87" t="e">
        <f>VLOOKUP($B40,Raw_Data[#All],BQ$2,0)/BQ$1</f>
        <v>#N/A</v>
      </c>
      <c r="BR40" s="87" t="e">
        <f>VLOOKUP($B40,Raw_Data[#All],BR$2,0)/BR$1</f>
        <v>#N/A</v>
      </c>
      <c r="BS40" s="87" t="e">
        <f>VLOOKUP($B40,Raw_Data[#All],BS$2,0)/BS$1</f>
        <v>#N/A</v>
      </c>
      <c r="BT40" s="87" t="e">
        <f>VLOOKUP($B40,Raw_Data[#All],BT$2,0)/BT$1</f>
        <v>#N/A</v>
      </c>
      <c r="BU40" s="87" t="e">
        <f>VLOOKUP($B40,Raw_Data[#All],BU$2,0)/BU$1</f>
        <v>#N/A</v>
      </c>
      <c r="BV40" s="87" t="e">
        <f>VLOOKUP($B40,Raw_Data[#All],BV$2,0)/BV$1</f>
        <v>#N/A</v>
      </c>
      <c r="BW40" s="87" t="e">
        <f>VLOOKUP($B40,Raw_Data[#All],BW$2,0)/BW$1</f>
        <v>#N/A</v>
      </c>
      <c r="BX40" s="87" t="e">
        <f>VLOOKUP($B40,Raw_Data[#All],BX$2,0)/BX$1</f>
        <v>#N/A</v>
      </c>
      <c r="BY40" s="87" t="e">
        <f>VLOOKUP($B40,Raw_Data[#All],BY$2,0)/BY$1</f>
        <v>#N/A</v>
      </c>
      <c r="BZ40" s="87" t="e">
        <f>VLOOKUP($B40,Raw_Data[#All],BZ$2,0)/BZ$1</f>
        <v>#N/A</v>
      </c>
      <c r="CA40" s="87" t="e">
        <f>VLOOKUP($B40,Raw_Data[#All],CA$2,0)/CA$1</f>
        <v>#N/A</v>
      </c>
      <c r="CB40" s="87" t="e">
        <f>VLOOKUP($B40,Raw_Data[#All],CB$2,0)/CB$1</f>
        <v>#N/A</v>
      </c>
      <c r="CC40" s="87" t="e">
        <f>VLOOKUP($B40,Raw_Data[#All],CC$2,0)/CC$1</f>
        <v>#N/A</v>
      </c>
      <c r="CD40" s="87" t="e">
        <f>VLOOKUP($B40,Raw_Data[#All],CD$2,0)/CD$1</f>
        <v>#N/A</v>
      </c>
      <c r="CE40" s="87" t="e">
        <f>VLOOKUP($B40,Raw_Data[#All],CE$2,0)/CE$1</f>
        <v>#N/A</v>
      </c>
      <c r="CF40" s="87" t="e">
        <f>VLOOKUP($B40,Raw_Data[#All],CF$2,0)/CF$1</f>
        <v>#N/A</v>
      </c>
      <c r="CG40" s="87" t="e">
        <f>VLOOKUP($B40,Raw_Data[#All],CG$2,0)/CG$1</f>
        <v>#N/A</v>
      </c>
      <c r="CH40" s="87" t="e">
        <f>VLOOKUP($B40,Raw_Data[#All],CH$2,0)/CH$1</f>
        <v>#N/A</v>
      </c>
      <c r="CI40" s="87" t="e">
        <f>VLOOKUP($B40,Raw_Data[#All],CI$2,0)/CI$1</f>
        <v>#N/A</v>
      </c>
      <c r="CJ40" s="87" t="e">
        <f>VLOOKUP($B40,Raw_Data[#All],CJ$2,0)/CJ$1</f>
        <v>#N/A</v>
      </c>
      <c r="CK40" s="87" t="e">
        <f>VLOOKUP($B40,Raw_Data[#All],CK$2,0)/CK$1</f>
        <v>#N/A</v>
      </c>
      <c r="CL40" s="87" t="e">
        <f>VLOOKUP($B40,Raw_Data[#All],CL$2,0)/CL$1</f>
        <v>#N/A</v>
      </c>
      <c r="CM40" s="87" t="e">
        <f>VLOOKUP($B40,Raw_Data[#All],CM$2,0)/CM$1</f>
        <v>#N/A</v>
      </c>
      <c r="CN40" s="87" t="e">
        <f>VLOOKUP($B40,Raw_Data[#All],CN$2,0)/CN$1</f>
        <v>#N/A</v>
      </c>
      <c r="CO40" s="87" t="e">
        <f>VLOOKUP($B40,Raw_Data[#All],CO$2,0)/CO$1</f>
        <v>#N/A</v>
      </c>
      <c r="CP40" s="87" t="e">
        <f>VLOOKUP($B40,Raw_Data[#All],CP$2,0)/CP$1</f>
        <v>#N/A</v>
      </c>
      <c r="CQ40" s="87" t="e">
        <f>VLOOKUP($B40,Raw_Data[#All],CQ$2,0)/CQ$1</f>
        <v>#N/A</v>
      </c>
      <c r="CR40" s="87" t="e">
        <f>VLOOKUP($B40,Raw_Data[#All],CR$2,0)/CR$1</f>
        <v>#N/A</v>
      </c>
      <c r="CS40" s="87" t="e">
        <f>VLOOKUP($B40,Raw_Data[#All],CS$2,0)/CS$1</f>
        <v>#N/A</v>
      </c>
      <c r="CT40" s="87" t="e">
        <f>VLOOKUP($B40,Raw_Data[#All],CT$2,0)/CT$1</f>
        <v>#N/A</v>
      </c>
      <c r="CU40" s="87" t="e">
        <f>VLOOKUP($B40,Raw_Data[#All],CU$2,0)/CU$1</f>
        <v>#N/A</v>
      </c>
      <c r="CV40" s="87" t="e">
        <f>VLOOKUP($B40,Raw_Data[#All],CV$2,0)/CV$1</f>
        <v>#N/A</v>
      </c>
      <c r="CW40" s="87" t="e">
        <f>VLOOKUP($B40,Raw_Data[#All],CW$2,0)/CW$1</f>
        <v>#N/A</v>
      </c>
      <c r="CX40" s="87" t="e">
        <f>VLOOKUP($B40,Raw_Data[#All],CX$2,0)/CX$1</f>
        <v>#N/A</v>
      </c>
      <c r="CY40" s="87" t="e">
        <f>VLOOKUP($B40,Raw_Data[#All],CY$2,0)/CY$1</f>
        <v>#N/A</v>
      </c>
      <c r="CZ40" s="87" t="e">
        <f>VLOOKUP($B40,Raw_Data[#All],CZ$2,0)/CZ$1</f>
        <v>#N/A</v>
      </c>
      <c r="DA40" s="87" t="e">
        <f>VLOOKUP($B40,Raw_Data[#All],DA$2,0)/DA$1</f>
        <v>#N/A</v>
      </c>
      <c r="DB40" s="87" t="e">
        <f>VLOOKUP($B40,Raw_Data[#All],DB$2,0)/DB$1</f>
        <v>#N/A</v>
      </c>
      <c r="DC40" s="87" t="e">
        <f>VLOOKUP($B40,Raw_Data[#All],DC$2,0)/DC$1</f>
        <v>#N/A</v>
      </c>
      <c r="DD40" s="87" t="e">
        <f>VLOOKUP($B40,Raw_Data[#All],DD$2,0)/DD$1</f>
        <v>#N/A</v>
      </c>
      <c r="DE40" s="87" t="e">
        <f>VLOOKUP($B40,Raw_Data[#All],DE$2,0)/DE$1</f>
        <v>#N/A</v>
      </c>
      <c r="DF40" s="87" t="e">
        <f>VLOOKUP($B40,Raw_Data[#All],DF$2,0)/DF$1</f>
        <v>#N/A</v>
      </c>
      <c r="DG40" s="87" t="e">
        <f>VLOOKUP($B40,Raw_Data[#All],DG$2,0)/DG$1</f>
        <v>#N/A</v>
      </c>
      <c r="DH40" s="87" t="e">
        <f>VLOOKUP($B40,Raw_Data[#All],DH$2,0)/DH$1</f>
        <v>#N/A</v>
      </c>
      <c r="DI40" s="87" t="e">
        <f>VLOOKUP($B40,Raw_Data[#All],DI$2,0)/DI$1</f>
        <v>#N/A</v>
      </c>
      <c r="DJ40" s="87" t="e">
        <f>VLOOKUP($B40,Raw_Data[#All],DJ$2,0)/DJ$1</f>
        <v>#N/A</v>
      </c>
      <c r="DK40" s="87" t="e">
        <f>VLOOKUP($B40,Raw_Data[#All],DK$2,0)/DK$1</f>
        <v>#N/A</v>
      </c>
      <c r="DL40" s="87" t="e">
        <f>VLOOKUP($B40,Raw_Data[#All],DL$2,0)/DL$1</f>
        <v>#N/A</v>
      </c>
      <c r="DM40" s="87" t="e">
        <f>VLOOKUP($B40,Raw_Data[#All],DM$2,0)/DM$1</f>
        <v>#N/A</v>
      </c>
      <c r="DN40" s="87" t="e">
        <f>VLOOKUP($B40,Raw_Data[#All],DN$2,0)/DN$1</f>
        <v>#N/A</v>
      </c>
      <c r="DO40" s="87" t="e">
        <f>VLOOKUP($B40,Raw_Data[#All],DO$2,0)/DO$1</f>
        <v>#N/A</v>
      </c>
      <c r="DP40" s="87" t="e">
        <f>VLOOKUP($B40,Raw_Data[#All],DP$2,0)/DP$1</f>
        <v>#N/A</v>
      </c>
      <c r="DQ40" s="87" t="e">
        <f>VLOOKUP($B40,Raw_Data[#All],DQ$2,0)/DQ$1</f>
        <v>#N/A</v>
      </c>
      <c r="DR40" s="87" t="e">
        <f>VLOOKUP($B40,Raw_Data[#All],DR$2,0)/DR$1</f>
        <v>#N/A</v>
      </c>
      <c r="DS40" s="87" t="e">
        <f>VLOOKUP($B40,Raw_Data[#All],DS$2,0)/DS$1</f>
        <v>#N/A</v>
      </c>
      <c r="DT40" s="87" t="e">
        <f>VLOOKUP($B40,Raw_Data[#All],DT$2,0)/DT$1</f>
        <v>#N/A</v>
      </c>
      <c r="DU40" s="87" t="e">
        <f>VLOOKUP($B40,Raw_Data[#All],DU$2,0)/DU$1</f>
        <v>#N/A</v>
      </c>
      <c r="DV40" s="87" t="e">
        <f>VLOOKUP($B40,Raw_Data[#All],DV$2,0)/DV$1</f>
        <v>#N/A</v>
      </c>
      <c r="DW40" s="87" t="e">
        <f>VLOOKUP($B40,Raw_Data[#All],DW$2,0)/DW$1</f>
        <v>#N/A</v>
      </c>
      <c r="DX40" s="87" t="e">
        <f>VLOOKUP($B40,Raw_Data[#All],DX$2,0)/DX$1</f>
        <v>#N/A</v>
      </c>
      <c r="DY40" s="87" t="e">
        <f>VLOOKUP($B40,Raw_Data[#All],DY$2,0)/DY$1</f>
        <v>#N/A</v>
      </c>
      <c r="DZ40" s="87" t="e">
        <f>VLOOKUP($B40,Raw_Data[#All],DZ$2,0)/DZ$1</f>
        <v>#N/A</v>
      </c>
      <c r="EA40" s="87" t="e">
        <f>VLOOKUP($B40,Raw_Data[#All],EA$2,0)/EA$1</f>
        <v>#N/A</v>
      </c>
      <c r="EB40" s="87" t="e">
        <f>VLOOKUP($B40,Raw_Data[#All],EB$2,0)/EB$1</f>
        <v>#N/A</v>
      </c>
      <c r="EC40" s="87" t="e">
        <f>VLOOKUP($B40,Raw_Data[#All],EC$2,0)/EC$1</f>
        <v>#N/A</v>
      </c>
      <c r="ED40" s="87" t="e">
        <f>VLOOKUP($B40,Raw_Data[#All],ED$2,0)/ED$1</f>
        <v>#N/A</v>
      </c>
      <c r="EE40" s="87" t="e">
        <f>VLOOKUP($B40,Raw_Data[#All],EE$2,0)/EE$1</f>
        <v>#N/A</v>
      </c>
      <c r="EF40" s="87" t="e">
        <f>VLOOKUP($B40,Raw_Data[#All],EF$2,0)/EF$1</f>
        <v>#N/A</v>
      </c>
      <c r="EG40" s="87" t="e">
        <f>VLOOKUP($B40,Raw_Data[#All],EG$2,0)/EG$1</f>
        <v>#N/A</v>
      </c>
      <c r="EH40" s="87" t="e">
        <f>VLOOKUP($B40,Raw_Data[#All],EH$2,0)/EH$1</f>
        <v>#N/A</v>
      </c>
      <c r="EI40" s="87" t="e">
        <f>VLOOKUP($B40,Raw_Data[#All],EI$2,0)/EI$1</f>
        <v>#N/A</v>
      </c>
      <c r="EJ40" s="87" t="e">
        <f>VLOOKUP($B40,Raw_Data[#All],EJ$2,0)/EJ$1</f>
        <v>#N/A</v>
      </c>
      <c r="EK40" s="87" t="e">
        <f>VLOOKUP($B40,Raw_Data[#All],EK$2,0)/EK$1</f>
        <v>#N/A</v>
      </c>
      <c r="EL40" s="87" t="e">
        <f>VLOOKUP($B40,Raw_Data[#All],EL$2,0)/EL$1</f>
        <v>#N/A</v>
      </c>
      <c r="EM40" s="87" t="e">
        <f>VLOOKUP($B40,Raw_Data[#All],EM$2,0)/EM$1</f>
        <v>#N/A</v>
      </c>
      <c r="EN40" s="87" t="e">
        <f>VLOOKUP($B40,Raw_Data[#All],EN$2,0)/EN$1</f>
        <v>#N/A</v>
      </c>
      <c r="EO40" s="87" t="e">
        <f>VLOOKUP($B40,Raw_Data[#All],EO$2,0)/EO$1</f>
        <v>#N/A</v>
      </c>
      <c r="EP40" s="87" t="e">
        <f>VLOOKUP($B40,Raw_Data[#All],EP$2,0)/EP$1</f>
        <v>#N/A</v>
      </c>
      <c r="EQ40" s="87" t="e">
        <f>VLOOKUP($B40,Raw_Data[#All],EQ$2,0)/EQ$1</f>
        <v>#N/A</v>
      </c>
      <c r="ER40" s="87" t="e">
        <f>VLOOKUP($B40,Raw_Data[#All],ER$2,0)/ER$1</f>
        <v>#N/A</v>
      </c>
      <c r="ES40" s="87" t="e">
        <f>VLOOKUP($B40,Raw_Data[#All],ES$2,0)/ES$1</f>
        <v>#N/A</v>
      </c>
      <c r="ET40" s="87" t="e">
        <f>VLOOKUP($B40,Raw_Data[#All],ET$2,0)/ET$1</f>
        <v>#N/A</v>
      </c>
      <c r="EU40" s="87" t="e">
        <f>VLOOKUP($B40,Raw_Data[#All],EU$2,0)/EU$1</f>
        <v>#N/A</v>
      </c>
      <c r="EV40" s="87" t="e">
        <f>VLOOKUP($B40,Raw_Data[#All],EV$2,0)/EV$1</f>
        <v>#N/A</v>
      </c>
      <c r="EW40" s="87" t="e">
        <f>VLOOKUP($B40,Raw_Data[#All],EW$2,0)/EW$1</f>
        <v>#N/A</v>
      </c>
      <c r="EX40" s="87" t="e">
        <f>VLOOKUP($B40,Raw_Data[#All],EX$2,0)/EX$1</f>
        <v>#N/A</v>
      </c>
      <c r="EY40" s="87" t="e">
        <f>VLOOKUP($B40,Raw_Data[#All],EY$2,0)/EY$1</f>
        <v>#N/A</v>
      </c>
      <c r="EZ40" s="87" t="e">
        <f>VLOOKUP($B40,Raw_Data[#All],EZ$2,0)/EZ$1</f>
        <v>#N/A</v>
      </c>
      <c r="FA40" s="87" t="e">
        <f>VLOOKUP($B40,Raw_Data[#All],FA$2,0)/FA$1</f>
        <v>#N/A</v>
      </c>
      <c r="FB40" s="87" t="e">
        <f>VLOOKUP($B40,Raw_Data[#All],FB$2,0)/FB$1</f>
        <v>#N/A</v>
      </c>
      <c r="FC40" s="87" t="e">
        <f>VLOOKUP($B40,Raw_Data[#All],FC$2,0)/FC$1</f>
        <v>#N/A</v>
      </c>
      <c r="FD40" s="87" t="e">
        <f>VLOOKUP($B40,Raw_Data[#All],FD$2,0)/FD$1</f>
        <v>#N/A</v>
      </c>
      <c r="FE40" s="87" t="e">
        <f>VLOOKUP($B40,Raw_Data[#All],FE$2,0)/FE$1</f>
        <v>#N/A</v>
      </c>
      <c r="FF40" s="87" t="e">
        <f>VLOOKUP($B40,Raw_Data[#All],FF$2,0)/FF$1</f>
        <v>#N/A</v>
      </c>
      <c r="FG40" s="105" t="e">
        <f>VLOOKUP($B40,Raw_Data[#All],FG$2,0)/FG$1</f>
        <v>#N/A</v>
      </c>
    </row>
    <row r="41" spans="2:163">
      <c r="B41" s="106">
        <f t="shared" si="1"/>
        <v>45864</v>
      </c>
      <c r="C41" s="87" t="e">
        <f>VLOOKUP($B41,Raw_Data[#All],C$2,0)/C$1</f>
        <v>#N/A</v>
      </c>
      <c r="D41" s="87" t="e">
        <f>VLOOKUP($B41,Raw_Data[#All],D$2,0)/D$1</f>
        <v>#N/A</v>
      </c>
      <c r="E41" s="87" t="e">
        <f>VLOOKUP($B41,Raw_Data[#All],E$2,0)/E$1</f>
        <v>#N/A</v>
      </c>
      <c r="F41" s="87" t="e">
        <f>VLOOKUP($B41,Raw_Data[#All],F$2,0)/F$1</f>
        <v>#N/A</v>
      </c>
      <c r="G41" s="87" t="e">
        <f>VLOOKUP($B41,Raw_Data[#All],G$2,0)/G$1</f>
        <v>#N/A</v>
      </c>
      <c r="H41" s="87" t="e">
        <f>VLOOKUP($B41,Raw_Data[#All],H$2,0)/H$1</f>
        <v>#N/A</v>
      </c>
      <c r="I41" s="87" t="e">
        <f>VLOOKUP($B41,Raw_Data[#All],I$2,0)/I$1</f>
        <v>#N/A</v>
      </c>
      <c r="J41" s="87" t="e">
        <f>VLOOKUP($B41,Raw_Data[#All],J$2,0)/J$1</f>
        <v>#N/A</v>
      </c>
      <c r="K41" s="87" t="e">
        <f>VLOOKUP($B41,Raw_Data[#All],K$2,0)/K$1</f>
        <v>#N/A</v>
      </c>
      <c r="L41" s="87" t="e">
        <f>VLOOKUP($B41,Raw_Data[#All],L$2,0)/L$1</f>
        <v>#N/A</v>
      </c>
      <c r="M41" s="87" t="e">
        <f>VLOOKUP($B41,Raw_Data[#All],M$2,0)/M$1</f>
        <v>#N/A</v>
      </c>
      <c r="N41" s="87" t="e">
        <f>VLOOKUP($B41,Raw_Data[#All],N$2,0)/N$1</f>
        <v>#N/A</v>
      </c>
      <c r="O41" s="87" t="e">
        <f>VLOOKUP($B41,Raw_Data[#All],O$2,0)/O$1</f>
        <v>#N/A</v>
      </c>
      <c r="P41" s="87" t="e">
        <f>VLOOKUP($B41,Raw_Data[#All],P$2,0)/P$1</f>
        <v>#N/A</v>
      </c>
      <c r="Q41" s="87" t="e">
        <f>VLOOKUP($B41,Raw_Data[#All],Q$2,0)/Q$1</f>
        <v>#N/A</v>
      </c>
      <c r="R41" s="87" t="e">
        <f>VLOOKUP($B41,Raw_Data[#All],R$2,0)/R$1</f>
        <v>#N/A</v>
      </c>
      <c r="S41" s="87" t="e">
        <f>VLOOKUP($B41,Raw_Data[#All],S$2,0)/S$1</f>
        <v>#N/A</v>
      </c>
      <c r="T41" s="87" t="e">
        <f>VLOOKUP($B41,Raw_Data[#All],T$2,0)/T$1</f>
        <v>#N/A</v>
      </c>
      <c r="U41" s="87" t="e">
        <f>VLOOKUP($B41,Raw_Data[#All],U$2,0)/U$1</f>
        <v>#N/A</v>
      </c>
      <c r="V41" s="87" t="e">
        <f>VLOOKUP($B41,Raw_Data[#All],V$2,0)/V$1</f>
        <v>#N/A</v>
      </c>
      <c r="W41" s="87" t="e">
        <f>VLOOKUP($B41,Raw_Data[#All],W$2,0)/W$1</f>
        <v>#N/A</v>
      </c>
      <c r="X41" s="87" t="e">
        <f>VLOOKUP($B41,Raw_Data[#All],X$2,0)/X$1</f>
        <v>#N/A</v>
      </c>
      <c r="Y41" s="87" t="e">
        <f>VLOOKUP($B41,Raw_Data[#All],Y$2,0)/Y$1</f>
        <v>#N/A</v>
      </c>
      <c r="Z41" s="87" t="e">
        <f>VLOOKUP($B41,Raw_Data[#All],Z$2,0)/Z$1</f>
        <v>#N/A</v>
      </c>
      <c r="AA41" s="87" t="e">
        <f>VLOOKUP($B41,Raw_Data[#All],AA$2,0)/AA$1</f>
        <v>#N/A</v>
      </c>
      <c r="AB41" s="87" t="e">
        <f>VLOOKUP($B41,Raw_Data[#All],AB$2,0)/AB$1</f>
        <v>#N/A</v>
      </c>
      <c r="AC41" s="87" t="e">
        <f>VLOOKUP($B41,Raw_Data[#All],AC$2,0)/AC$1</f>
        <v>#N/A</v>
      </c>
      <c r="AD41" s="87" t="e">
        <f>VLOOKUP($B41,Raw_Data[#All],AD$2,0)/AD$1</f>
        <v>#N/A</v>
      </c>
      <c r="AE41" s="87" t="e">
        <f>VLOOKUP($B41,Raw_Data[#All],AE$2,0)/AE$1</f>
        <v>#N/A</v>
      </c>
      <c r="AF41" s="87" t="e">
        <f>VLOOKUP($B41,Raw_Data[#All],AF$2,0)/AF$1</f>
        <v>#N/A</v>
      </c>
      <c r="AG41" s="87" t="e">
        <f>VLOOKUP($B41,Raw_Data[#All],AG$2,0)/AG$1</f>
        <v>#N/A</v>
      </c>
      <c r="AH41" s="87" t="e">
        <f>VLOOKUP($B41,Raw_Data[#All],AH$2,0)/AH$1</f>
        <v>#N/A</v>
      </c>
      <c r="AI41" s="87" t="e">
        <f>VLOOKUP($B41,Raw_Data[#All],AI$2,0)/AI$1</f>
        <v>#N/A</v>
      </c>
      <c r="AJ41" s="87" t="e">
        <f>VLOOKUP($B41,Raw_Data[#All],AJ$2,0)/AJ$1</f>
        <v>#N/A</v>
      </c>
      <c r="AK41" s="87" t="e">
        <f>VLOOKUP($B41,Raw_Data[#All],AK$2,0)/AK$1</f>
        <v>#N/A</v>
      </c>
      <c r="AL41" s="87" t="e">
        <f>VLOOKUP($B41,Raw_Data[#All],AL$2,0)/AL$1</f>
        <v>#N/A</v>
      </c>
      <c r="AM41" s="87" t="e">
        <f>VLOOKUP($B41,Raw_Data[#All],AM$2,0)/AM$1</f>
        <v>#N/A</v>
      </c>
      <c r="AN41" s="87" t="e">
        <f>VLOOKUP($B41,Raw_Data[#All],AN$2,0)/AN$1</f>
        <v>#N/A</v>
      </c>
      <c r="AO41" s="87" t="e">
        <f>VLOOKUP($B41,Raw_Data[#All],AO$2,0)/AO$1</f>
        <v>#N/A</v>
      </c>
      <c r="AP41" s="87" t="e">
        <f>VLOOKUP($B41,Raw_Data[#All],AP$2,0)/AP$1</f>
        <v>#N/A</v>
      </c>
      <c r="AQ41" s="87" t="e">
        <f>VLOOKUP($B41,Raw_Data[#All],AQ$2,0)/AQ$1</f>
        <v>#N/A</v>
      </c>
      <c r="AR41" s="87" t="e">
        <f>VLOOKUP($B41,Raw_Data[#All],AR$2,0)/AR$1</f>
        <v>#N/A</v>
      </c>
      <c r="AS41" s="87" t="e">
        <f>VLOOKUP($B41,Raw_Data[#All],AS$2,0)/AS$1</f>
        <v>#N/A</v>
      </c>
      <c r="AT41" s="87" t="e">
        <f>VLOOKUP($B41,Raw_Data[#All],AT$2,0)/AT$1</f>
        <v>#N/A</v>
      </c>
      <c r="AU41" s="87" t="e">
        <f>VLOOKUP($B41,Raw_Data[#All],AU$2,0)/AU$1</f>
        <v>#N/A</v>
      </c>
      <c r="AV41" s="87" t="e">
        <f>VLOOKUP($B41,Raw_Data[#All],AV$2,0)/AV$1</f>
        <v>#N/A</v>
      </c>
      <c r="AW41" s="87" t="e">
        <f>VLOOKUP($B41,Raw_Data[#All],AW$2,0)/AW$1</f>
        <v>#N/A</v>
      </c>
      <c r="AX41" s="87" t="e">
        <f>VLOOKUP($B41,Raw_Data[#All],AX$2,0)/AX$1</f>
        <v>#N/A</v>
      </c>
      <c r="AY41" s="87" t="e">
        <f>VLOOKUP($B41,Raw_Data[#All],AY$2,0)/AY$1</f>
        <v>#N/A</v>
      </c>
      <c r="AZ41" s="87" t="e">
        <f>VLOOKUP($B41,Raw_Data[#All],AZ$2,0)/AZ$1</f>
        <v>#N/A</v>
      </c>
      <c r="BA41" s="87" t="e">
        <f>VLOOKUP($B41,Raw_Data[#All],BA$2,0)/BA$1</f>
        <v>#N/A</v>
      </c>
      <c r="BB41" s="87" t="e">
        <f>VLOOKUP($B41,Raw_Data[#All],BB$2,0)/BB$1</f>
        <v>#N/A</v>
      </c>
      <c r="BC41" s="87" t="e">
        <f>VLOOKUP($B41,Raw_Data[#All],BC$2,0)/BC$1</f>
        <v>#N/A</v>
      </c>
      <c r="BD41" s="87" t="e">
        <f>VLOOKUP($B41,Raw_Data[#All],BD$2,0)/BD$1</f>
        <v>#N/A</v>
      </c>
      <c r="BE41" s="87" t="e">
        <f>VLOOKUP($B41,Raw_Data[#All],BE$2,0)/BE$1</f>
        <v>#N/A</v>
      </c>
      <c r="BF41" s="87" t="e">
        <f>VLOOKUP($B41,Raw_Data[#All],BF$2,0)/BF$1</f>
        <v>#N/A</v>
      </c>
      <c r="BG41" s="87" t="e">
        <f>VLOOKUP($B41,Raw_Data[#All],BG$2,0)/BG$1</f>
        <v>#N/A</v>
      </c>
      <c r="BH41" s="87" t="e">
        <f>VLOOKUP($B41,Raw_Data[#All],BH$2,0)/BH$1</f>
        <v>#N/A</v>
      </c>
      <c r="BI41" s="87" t="e">
        <f>VLOOKUP($B41,Raw_Data[#All],BI$2,0)/BI$1</f>
        <v>#N/A</v>
      </c>
      <c r="BJ41" s="87" t="e">
        <f>VLOOKUP($B41,Raw_Data[#All],BJ$2,0)/BJ$1</f>
        <v>#N/A</v>
      </c>
      <c r="BK41" s="87" t="e">
        <f>VLOOKUP($B41,Raw_Data[#All],BK$2,0)/BK$1</f>
        <v>#N/A</v>
      </c>
      <c r="BL41" s="87" t="e">
        <f>VLOOKUP($B41,Raw_Data[#All],BL$2,0)/BL$1</f>
        <v>#N/A</v>
      </c>
      <c r="BM41" s="87" t="e">
        <f>VLOOKUP($B41,Raw_Data[#All],BM$2,0)/BM$1</f>
        <v>#N/A</v>
      </c>
      <c r="BN41" s="87" t="e">
        <f>VLOOKUP($B41,Raw_Data[#All],BN$2,0)/BN$1</f>
        <v>#N/A</v>
      </c>
      <c r="BO41" s="87" t="e">
        <f>VLOOKUP($B41,Raw_Data[#All],BO$2,0)/BO$1</f>
        <v>#N/A</v>
      </c>
      <c r="BP41" s="87" t="e">
        <f>VLOOKUP($B41,Raw_Data[#All],BP$2,0)/BP$1</f>
        <v>#N/A</v>
      </c>
      <c r="BQ41" s="87" t="e">
        <f>VLOOKUP($B41,Raw_Data[#All],BQ$2,0)/BQ$1</f>
        <v>#N/A</v>
      </c>
      <c r="BR41" s="87" t="e">
        <f>VLOOKUP($B41,Raw_Data[#All],BR$2,0)/BR$1</f>
        <v>#N/A</v>
      </c>
      <c r="BS41" s="87" t="e">
        <f>VLOOKUP($B41,Raw_Data[#All],BS$2,0)/BS$1</f>
        <v>#N/A</v>
      </c>
      <c r="BT41" s="87" t="e">
        <f>VLOOKUP($B41,Raw_Data[#All],BT$2,0)/BT$1</f>
        <v>#N/A</v>
      </c>
      <c r="BU41" s="87" t="e">
        <f>VLOOKUP($B41,Raw_Data[#All],BU$2,0)/BU$1</f>
        <v>#N/A</v>
      </c>
      <c r="BV41" s="87" t="e">
        <f>VLOOKUP($B41,Raw_Data[#All],BV$2,0)/BV$1</f>
        <v>#N/A</v>
      </c>
      <c r="BW41" s="87" t="e">
        <f>VLOOKUP($B41,Raw_Data[#All],BW$2,0)/BW$1</f>
        <v>#N/A</v>
      </c>
      <c r="BX41" s="87" t="e">
        <f>VLOOKUP($B41,Raw_Data[#All],BX$2,0)/BX$1</f>
        <v>#N/A</v>
      </c>
      <c r="BY41" s="87" t="e">
        <f>VLOOKUP($B41,Raw_Data[#All],BY$2,0)/BY$1</f>
        <v>#N/A</v>
      </c>
      <c r="BZ41" s="87" t="e">
        <f>VLOOKUP($B41,Raw_Data[#All],BZ$2,0)/BZ$1</f>
        <v>#N/A</v>
      </c>
      <c r="CA41" s="87" t="e">
        <f>VLOOKUP($B41,Raw_Data[#All],CA$2,0)/CA$1</f>
        <v>#N/A</v>
      </c>
      <c r="CB41" s="87" t="e">
        <f>VLOOKUP($B41,Raw_Data[#All],CB$2,0)/CB$1</f>
        <v>#N/A</v>
      </c>
      <c r="CC41" s="87" t="e">
        <f>VLOOKUP($B41,Raw_Data[#All],CC$2,0)/CC$1</f>
        <v>#N/A</v>
      </c>
      <c r="CD41" s="87" t="e">
        <f>VLOOKUP($B41,Raw_Data[#All],CD$2,0)/CD$1</f>
        <v>#N/A</v>
      </c>
      <c r="CE41" s="87" t="e">
        <f>VLOOKUP($B41,Raw_Data[#All],CE$2,0)/CE$1</f>
        <v>#N/A</v>
      </c>
      <c r="CF41" s="87" t="e">
        <f>VLOOKUP($B41,Raw_Data[#All],CF$2,0)/CF$1</f>
        <v>#N/A</v>
      </c>
      <c r="CG41" s="87" t="e">
        <f>VLOOKUP($B41,Raw_Data[#All],CG$2,0)/CG$1</f>
        <v>#N/A</v>
      </c>
      <c r="CH41" s="87" t="e">
        <f>VLOOKUP($B41,Raw_Data[#All],CH$2,0)/CH$1</f>
        <v>#N/A</v>
      </c>
      <c r="CI41" s="87" t="e">
        <f>VLOOKUP($B41,Raw_Data[#All],CI$2,0)/CI$1</f>
        <v>#N/A</v>
      </c>
      <c r="CJ41" s="87" t="e">
        <f>VLOOKUP($B41,Raw_Data[#All],CJ$2,0)/CJ$1</f>
        <v>#N/A</v>
      </c>
      <c r="CK41" s="87" t="e">
        <f>VLOOKUP($B41,Raw_Data[#All],CK$2,0)/CK$1</f>
        <v>#N/A</v>
      </c>
      <c r="CL41" s="87" t="e">
        <f>VLOOKUP($B41,Raw_Data[#All],CL$2,0)/CL$1</f>
        <v>#N/A</v>
      </c>
      <c r="CM41" s="87" t="e">
        <f>VLOOKUP($B41,Raw_Data[#All],CM$2,0)/CM$1</f>
        <v>#N/A</v>
      </c>
      <c r="CN41" s="87" t="e">
        <f>VLOOKUP($B41,Raw_Data[#All],CN$2,0)/CN$1</f>
        <v>#N/A</v>
      </c>
      <c r="CO41" s="87" t="e">
        <f>VLOOKUP($B41,Raw_Data[#All],CO$2,0)/CO$1</f>
        <v>#N/A</v>
      </c>
      <c r="CP41" s="87" t="e">
        <f>VLOOKUP($B41,Raw_Data[#All],CP$2,0)/CP$1</f>
        <v>#N/A</v>
      </c>
      <c r="CQ41" s="87" t="e">
        <f>VLOOKUP($B41,Raw_Data[#All],CQ$2,0)/CQ$1</f>
        <v>#N/A</v>
      </c>
      <c r="CR41" s="87" t="e">
        <f>VLOOKUP($B41,Raw_Data[#All],CR$2,0)/CR$1</f>
        <v>#N/A</v>
      </c>
      <c r="CS41" s="87" t="e">
        <f>VLOOKUP($B41,Raw_Data[#All],CS$2,0)/CS$1</f>
        <v>#N/A</v>
      </c>
      <c r="CT41" s="87" t="e">
        <f>VLOOKUP($B41,Raw_Data[#All],CT$2,0)/CT$1</f>
        <v>#N/A</v>
      </c>
      <c r="CU41" s="87" t="e">
        <f>VLOOKUP($B41,Raw_Data[#All],CU$2,0)/CU$1</f>
        <v>#N/A</v>
      </c>
      <c r="CV41" s="87" t="e">
        <f>VLOOKUP($B41,Raw_Data[#All],CV$2,0)/CV$1</f>
        <v>#N/A</v>
      </c>
      <c r="CW41" s="87" t="e">
        <f>VLOOKUP($B41,Raw_Data[#All],CW$2,0)/CW$1</f>
        <v>#N/A</v>
      </c>
      <c r="CX41" s="87" t="e">
        <f>VLOOKUP($B41,Raw_Data[#All],CX$2,0)/CX$1</f>
        <v>#N/A</v>
      </c>
      <c r="CY41" s="87" t="e">
        <f>VLOOKUP($B41,Raw_Data[#All],CY$2,0)/CY$1</f>
        <v>#N/A</v>
      </c>
      <c r="CZ41" s="87" t="e">
        <f>VLOOKUP($B41,Raw_Data[#All],CZ$2,0)/CZ$1</f>
        <v>#N/A</v>
      </c>
      <c r="DA41" s="87" t="e">
        <f>VLOOKUP($B41,Raw_Data[#All],DA$2,0)/DA$1</f>
        <v>#N/A</v>
      </c>
      <c r="DB41" s="87" t="e">
        <f>VLOOKUP($B41,Raw_Data[#All],DB$2,0)/DB$1</f>
        <v>#N/A</v>
      </c>
      <c r="DC41" s="87" t="e">
        <f>VLOOKUP($B41,Raw_Data[#All],DC$2,0)/DC$1</f>
        <v>#N/A</v>
      </c>
      <c r="DD41" s="87" t="e">
        <f>VLOOKUP($B41,Raw_Data[#All],DD$2,0)/DD$1</f>
        <v>#N/A</v>
      </c>
      <c r="DE41" s="87" t="e">
        <f>VLOOKUP($B41,Raw_Data[#All],DE$2,0)/DE$1</f>
        <v>#N/A</v>
      </c>
      <c r="DF41" s="87" t="e">
        <f>VLOOKUP($B41,Raw_Data[#All],DF$2,0)/DF$1</f>
        <v>#N/A</v>
      </c>
      <c r="DG41" s="87" t="e">
        <f>VLOOKUP($B41,Raw_Data[#All],DG$2,0)/DG$1</f>
        <v>#N/A</v>
      </c>
      <c r="DH41" s="87" t="e">
        <f>VLOOKUP($B41,Raw_Data[#All],DH$2,0)/DH$1</f>
        <v>#N/A</v>
      </c>
      <c r="DI41" s="87" t="e">
        <f>VLOOKUP($B41,Raw_Data[#All],DI$2,0)/DI$1</f>
        <v>#N/A</v>
      </c>
      <c r="DJ41" s="87" t="e">
        <f>VLOOKUP($B41,Raw_Data[#All],DJ$2,0)/DJ$1</f>
        <v>#N/A</v>
      </c>
      <c r="DK41" s="87" t="e">
        <f>VLOOKUP($B41,Raw_Data[#All],DK$2,0)/DK$1</f>
        <v>#N/A</v>
      </c>
      <c r="DL41" s="87" t="e">
        <f>VLOOKUP($B41,Raw_Data[#All],DL$2,0)/DL$1</f>
        <v>#N/A</v>
      </c>
      <c r="DM41" s="87" t="e">
        <f>VLOOKUP($B41,Raw_Data[#All],DM$2,0)/DM$1</f>
        <v>#N/A</v>
      </c>
      <c r="DN41" s="87" t="e">
        <f>VLOOKUP($B41,Raw_Data[#All],DN$2,0)/DN$1</f>
        <v>#N/A</v>
      </c>
      <c r="DO41" s="87" t="e">
        <f>VLOOKUP($B41,Raw_Data[#All],DO$2,0)/DO$1</f>
        <v>#N/A</v>
      </c>
      <c r="DP41" s="87" t="e">
        <f>VLOOKUP($B41,Raw_Data[#All],DP$2,0)/DP$1</f>
        <v>#N/A</v>
      </c>
      <c r="DQ41" s="87" t="e">
        <f>VLOOKUP($B41,Raw_Data[#All],DQ$2,0)/DQ$1</f>
        <v>#N/A</v>
      </c>
      <c r="DR41" s="87" t="e">
        <f>VLOOKUP($B41,Raw_Data[#All],DR$2,0)/DR$1</f>
        <v>#N/A</v>
      </c>
      <c r="DS41" s="87" t="e">
        <f>VLOOKUP($B41,Raw_Data[#All],DS$2,0)/DS$1</f>
        <v>#N/A</v>
      </c>
      <c r="DT41" s="87" t="e">
        <f>VLOOKUP($B41,Raw_Data[#All],DT$2,0)/DT$1</f>
        <v>#N/A</v>
      </c>
      <c r="DU41" s="87" t="e">
        <f>VLOOKUP($B41,Raw_Data[#All],DU$2,0)/DU$1</f>
        <v>#N/A</v>
      </c>
      <c r="DV41" s="87" t="e">
        <f>VLOOKUP($B41,Raw_Data[#All],DV$2,0)/DV$1</f>
        <v>#N/A</v>
      </c>
      <c r="DW41" s="87" t="e">
        <f>VLOOKUP($B41,Raw_Data[#All],DW$2,0)/DW$1</f>
        <v>#N/A</v>
      </c>
      <c r="DX41" s="87" t="e">
        <f>VLOOKUP($B41,Raw_Data[#All],DX$2,0)/DX$1</f>
        <v>#N/A</v>
      </c>
      <c r="DY41" s="87" t="e">
        <f>VLOOKUP($B41,Raw_Data[#All],DY$2,0)/DY$1</f>
        <v>#N/A</v>
      </c>
      <c r="DZ41" s="87" t="e">
        <f>VLOOKUP($B41,Raw_Data[#All],DZ$2,0)/DZ$1</f>
        <v>#N/A</v>
      </c>
      <c r="EA41" s="87" t="e">
        <f>VLOOKUP($B41,Raw_Data[#All],EA$2,0)/EA$1</f>
        <v>#N/A</v>
      </c>
      <c r="EB41" s="87" t="e">
        <f>VLOOKUP($B41,Raw_Data[#All],EB$2,0)/EB$1</f>
        <v>#N/A</v>
      </c>
      <c r="EC41" s="87" t="e">
        <f>VLOOKUP($B41,Raw_Data[#All],EC$2,0)/EC$1</f>
        <v>#N/A</v>
      </c>
      <c r="ED41" s="87" t="e">
        <f>VLOOKUP($B41,Raw_Data[#All],ED$2,0)/ED$1</f>
        <v>#N/A</v>
      </c>
      <c r="EE41" s="87" t="e">
        <f>VLOOKUP($B41,Raw_Data[#All],EE$2,0)/EE$1</f>
        <v>#N/A</v>
      </c>
      <c r="EF41" s="87" t="e">
        <f>VLOOKUP($B41,Raw_Data[#All],EF$2,0)/EF$1</f>
        <v>#N/A</v>
      </c>
      <c r="EG41" s="87" t="e">
        <f>VLOOKUP($B41,Raw_Data[#All],EG$2,0)/EG$1</f>
        <v>#N/A</v>
      </c>
      <c r="EH41" s="87" t="e">
        <f>VLOOKUP($B41,Raw_Data[#All],EH$2,0)/EH$1</f>
        <v>#N/A</v>
      </c>
      <c r="EI41" s="87" t="e">
        <f>VLOOKUP($B41,Raw_Data[#All],EI$2,0)/EI$1</f>
        <v>#N/A</v>
      </c>
      <c r="EJ41" s="87" t="e">
        <f>VLOOKUP($B41,Raw_Data[#All],EJ$2,0)/EJ$1</f>
        <v>#N/A</v>
      </c>
      <c r="EK41" s="87" t="e">
        <f>VLOOKUP($B41,Raw_Data[#All],EK$2,0)/EK$1</f>
        <v>#N/A</v>
      </c>
      <c r="EL41" s="87" t="e">
        <f>VLOOKUP($B41,Raw_Data[#All],EL$2,0)/EL$1</f>
        <v>#N/A</v>
      </c>
      <c r="EM41" s="87" t="e">
        <f>VLOOKUP($B41,Raw_Data[#All],EM$2,0)/EM$1</f>
        <v>#N/A</v>
      </c>
      <c r="EN41" s="87" t="e">
        <f>VLOOKUP($B41,Raw_Data[#All],EN$2,0)/EN$1</f>
        <v>#N/A</v>
      </c>
      <c r="EO41" s="87" t="e">
        <f>VLOOKUP($B41,Raw_Data[#All],EO$2,0)/EO$1</f>
        <v>#N/A</v>
      </c>
      <c r="EP41" s="87" t="e">
        <f>VLOOKUP($B41,Raw_Data[#All],EP$2,0)/EP$1</f>
        <v>#N/A</v>
      </c>
      <c r="EQ41" s="87" t="e">
        <f>VLOOKUP($B41,Raw_Data[#All],EQ$2,0)/EQ$1</f>
        <v>#N/A</v>
      </c>
      <c r="ER41" s="87" t="e">
        <f>VLOOKUP($B41,Raw_Data[#All],ER$2,0)/ER$1</f>
        <v>#N/A</v>
      </c>
      <c r="ES41" s="87" t="e">
        <f>VLOOKUP($B41,Raw_Data[#All],ES$2,0)/ES$1</f>
        <v>#N/A</v>
      </c>
      <c r="ET41" s="87" t="e">
        <f>VLOOKUP($B41,Raw_Data[#All],ET$2,0)/ET$1</f>
        <v>#N/A</v>
      </c>
      <c r="EU41" s="87" t="e">
        <f>VLOOKUP($B41,Raw_Data[#All],EU$2,0)/EU$1</f>
        <v>#N/A</v>
      </c>
      <c r="EV41" s="87" t="e">
        <f>VLOOKUP($B41,Raw_Data[#All],EV$2,0)/EV$1</f>
        <v>#N/A</v>
      </c>
      <c r="EW41" s="87" t="e">
        <f>VLOOKUP($B41,Raw_Data[#All],EW$2,0)/EW$1</f>
        <v>#N/A</v>
      </c>
      <c r="EX41" s="87" t="e">
        <f>VLOOKUP($B41,Raw_Data[#All],EX$2,0)/EX$1</f>
        <v>#N/A</v>
      </c>
      <c r="EY41" s="87" t="e">
        <f>VLOOKUP($B41,Raw_Data[#All],EY$2,0)/EY$1</f>
        <v>#N/A</v>
      </c>
      <c r="EZ41" s="87" t="e">
        <f>VLOOKUP($B41,Raw_Data[#All],EZ$2,0)/EZ$1</f>
        <v>#N/A</v>
      </c>
      <c r="FA41" s="87" t="e">
        <f>VLOOKUP($B41,Raw_Data[#All],FA$2,0)/FA$1</f>
        <v>#N/A</v>
      </c>
      <c r="FB41" s="87" t="e">
        <f>VLOOKUP($B41,Raw_Data[#All],FB$2,0)/FB$1</f>
        <v>#N/A</v>
      </c>
      <c r="FC41" s="87" t="e">
        <f>VLOOKUP($B41,Raw_Data[#All],FC$2,0)/FC$1</f>
        <v>#N/A</v>
      </c>
      <c r="FD41" s="87" t="e">
        <f>VLOOKUP($B41,Raw_Data[#All],FD$2,0)/FD$1</f>
        <v>#N/A</v>
      </c>
      <c r="FE41" s="87" t="e">
        <f>VLOOKUP($B41,Raw_Data[#All],FE$2,0)/FE$1</f>
        <v>#N/A</v>
      </c>
      <c r="FF41" s="87" t="e">
        <f>VLOOKUP($B41,Raw_Data[#All],FF$2,0)/FF$1</f>
        <v>#N/A</v>
      </c>
      <c r="FG41" s="105" t="e">
        <f>VLOOKUP($B41,Raw_Data[#All],FG$2,0)/FG$1</f>
        <v>#N/A</v>
      </c>
    </row>
    <row r="42" spans="2:163">
      <c r="B42" s="106">
        <f t="shared" si="1"/>
        <v>45865</v>
      </c>
      <c r="C42" s="87" t="e">
        <f>VLOOKUP($B42,Raw_Data[#All],C$2,0)/C$1</f>
        <v>#N/A</v>
      </c>
      <c r="D42" s="87" t="e">
        <f>VLOOKUP($B42,Raw_Data[#All],D$2,0)/D$1</f>
        <v>#N/A</v>
      </c>
      <c r="E42" s="87" t="e">
        <f>VLOOKUP($B42,Raw_Data[#All],E$2,0)/E$1</f>
        <v>#N/A</v>
      </c>
      <c r="F42" s="87" t="e">
        <f>VLOOKUP($B42,Raw_Data[#All],F$2,0)/F$1</f>
        <v>#N/A</v>
      </c>
      <c r="G42" s="87" t="e">
        <f>VLOOKUP($B42,Raw_Data[#All],G$2,0)/G$1</f>
        <v>#N/A</v>
      </c>
      <c r="H42" s="87" t="e">
        <f>VLOOKUP($B42,Raw_Data[#All],H$2,0)/H$1</f>
        <v>#N/A</v>
      </c>
      <c r="I42" s="87" t="e">
        <f>VLOOKUP($B42,Raw_Data[#All],I$2,0)/I$1</f>
        <v>#N/A</v>
      </c>
      <c r="J42" s="87" t="e">
        <f>VLOOKUP($B42,Raw_Data[#All],J$2,0)/J$1</f>
        <v>#N/A</v>
      </c>
      <c r="K42" s="87" t="e">
        <f>VLOOKUP($B42,Raw_Data[#All],K$2,0)/K$1</f>
        <v>#N/A</v>
      </c>
      <c r="L42" s="87" t="e">
        <f>VLOOKUP($B42,Raw_Data[#All],L$2,0)/L$1</f>
        <v>#N/A</v>
      </c>
      <c r="M42" s="87" t="e">
        <f>VLOOKUP($B42,Raw_Data[#All],M$2,0)/M$1</f>
        <v>#N/A</v>
      </c>
      <c r="N42" s="87" t="e">
        <f>VLOOKUP($B42,Raw_Data[#All],N$2,0)/N$1</f>
        <v>#N/A</v>
      </c>
      <c r="O42" s="87" t="e">
        <f>VLOOKUP($B42,Raw_Data[#All],O$2,0)/O$1</f>
        <v>#N/A</v>
      </c>
      <c r="P42" s="87" t="e">
        <f>VLOOKUP($B42,Raw_Data[#All],P$2,0)/P$1</f>
        <v>#N/A</v>
      </c>
      <c r="Q42" s="87" t="e">
        <f>VLOOKUP($B42,Raw_Data[#All],Q$2,0)/Q$1</f>
        <v>#N/A</v>
      </c>
      <c r="R42" s="87" t="e">
        <f>VLOOKUP($B42,Raw_Data[#All],R$2,0)/R$1</f>
        <v>#N/A</v>
      </c>
      <c r="S42" s="87" t="e">
        <f>VLOOKUP($B42,Raw_Data[#All],S$2,0)/S$1</f>
        <v>#N/A</v>
      </c>
      <c r="T42" s="87" t="e">
        <f>VLOOKUP($B42,Raw_Data[#All],T$2,0)/T$1</f>
        <v>#N/A</v>
      </c>
      <c r="U42" s="87" t="e">
        <f>VLOOKUP($B42,Raw_Data[#All],U$2,0)/U$1</f>
        <v>#N/A</v>
      </c>
      <c r="V42" s="87" t="e">
        <f>VLOOKUP($B42,Raw_Data[#All],V$2,0)/V$1</f>
        <v>#N/A</v>
      </c>
      <c r="W42" s="87" t="e">
        <f>VLOOKUP($B42,Raw_Data[#All],W$2,0)/W$1</f>
        <v>#N/A</v>
      </c>
      <c r="X42" s="87" t="e">
        <f>VLOOKUP($B42,Raw_Data[#All],X$2,0)/X$1</f>
        <v>#N/A</v>
      </c>
      <c r="Y42" s="87" t="e">
        <f>VLOOKUP($B42,Raw_Data[#All],Y$2,0)/Y$1</f>
        <v>#N/A</v>
      </c>
      <c r="Z42" s="87" t="e">
        <f>VLOOKUP($B42,Raw_Data[#All],Z$2,0)/Z$1</f>
        <v>#N/A</v>
      </c>
      <c r="AA42" s="87" t="e">
        <f>VLOOKUP($B42,Raw_Data[#All],AA$2,0)/AA$1</f>
        <v>#N/A</v>
      </c>
      <c r="AB42" s="87" t="e">
        <f>VLOOKUP($B42,Raw_Data[#All],AB$2,0)/AB$1</f>
        <v>#N/A</v>
      </c>
      <c r="AC42" s="87" t="e">
        <f>VLOOKUP($B42,Raw_Data[#All],AC$2,0)/AC$1</f>
        <v>#N/A</v>
      </c>
      <c r="AD42" s="87" t="e">
        <f>VLOOKUP($B42,Raw_Data[#All],AD$2,0)/AD$1</f>
        <v>#N/A</v>
      </c>
      <c r="AE42" s="87" t="e">
        <f>VLOOKUP($B42,Raw_Data[#All],AE$2,0)/AE$1</f>
        <v>#N/A</v>
      </c>
      <c r="AF42" s="87" t="e">
        <f>VLOOKUP($B42,Raw_Data[#All],AF$2,0)/AF$1</f>
        <v>#N/A</v>
      </c>
      <c r="AG42" s="87" t="e">
        <f>VLOOKUP($B42,Raw_Data[#All],AG$2,0)/AG$1</f>
        <v>#N/A</v>
      </c>
      <c r="AH42" s="87" t="e">
        <f>VLOOKUP($B42,Raw_Data[#All],AH$2,0)/AH$1</f>
        <v>#N/A</v>
      </c>
      <c r="AI42" s="87" t="e">
        <f>VLOOKUP($B42,Raw_Data[#All],AI$2,0)/AI$1</f>
        <v>#N/A</v>
      </c>
      <c r="AJ42" s="87" t="e">
        <f>VLOOKUP($B42,Raw_Data[#All],AJ$2,0)/AJ$1</f>
        <v>#N/A</v>
      </c>
      <c r="AK42" s="87" t="e">
        <f>VLOOKUP($B42,Raw_Data[#All],AK$2,0)/AK$1</f>
        <v>#N/A</v>
      </c>
      <c r="AL42" s="87" t="e">
        <f>VLOOKUP($B42,Raw_Data[#All],AL$2,0)/AL$1</f>
        <v>#N/A</v>
      </c>
      <c r="AM42" s="87" t="e">
        <f>VLOOKUP($B42,Raw_Data[#All],AM$2,0)/AM$1</f>
        <v>#N/A</v>
      </c>
      <c r="AN42" s="87" t="e">
        <f>VLOOKUP($B42,Raw_Data[#All],AN$2,0)/AN$1</f>
        <v>#N/A</v>
      </c>
      <c r="AO42" s="87" t="e">
        <f>VLOOKUP($B42,Raw_Data[#All],AO$2,0)/AO$1</f>
        <v>#N/A</v>
      </c>
      <c r="AP42" s="87" t="e">
        <f>VLOOKUP($B42,Raw_Data[#All],AP$2,0)/AP$1</f>
        <v>#N/A</v>
      </c>
      <c r="AQ42" s="87" t="e">
        <f>VLOOKUP($B42,Raw_Data[#All],AQ$2,0)/AQ$1</f>
        <v>#N/A</v>
      </c>
      <c r="AR42" s="87" t="e">
        <f>VLOOKUP($B42,Raw_Data[#All],AR$2,0)/AR$1</f>
        <v>#N/A</v>
      </c>
      <c r="AS42" s="87" t="e">
        <f>VLOOKUP($B42,Raw_Data[#All],AS$2,0)/AS$1</f>
        <v>#N/A</v>
      </c>
      <c r="AT42" s="87" t="e">
        <f>VLOOKUP($B42,Raw_Data[#All],AT$2,0)/AT$1</f>
        <v>#N/A</v>
      </c>
      <c r="AU42" s="87" t="e">
        <f>VLOOKUP($B42,Raw_Data[#All],AU$2,0)/AU$1</f>
        <v>#N/A</v>
      </c>
      <c r="AV42" s="87" t="e">
        <f>VLOOKUP($B42,Raw_Data[#All],AV$2,0)/AV$1</f>
        <v>#N/A</v>
      </c>
      <c r="AW42" s="87" t="e">
        <f>VLOOKUP($B42,Raw_Data[#All],AW$2,0)/AW$1</f>
        <v>#N/A</v>
      </c>
      <c r="AX42" s="87" t="e">
        <f>VLOOKUP($B42,Raw_Data[#All],AX$2,0)/AX$1</f>
        <v>#N/A</v>
      </c>
      <c r="AY42" s="87" t="e">
        <f>VLOOKUP($B42,Raw_Data[#All],AY$2,0)/AY$1</f>
        <v>#N/A</v>
      </c>
      <c r="AZ42" s="87" t="e">
        <f>VLOOKUP($B42,Raw_Data[#All],AZ$2,0)/AZ$1</f>
        <v>#N/A</v>
      </c>
      <c r="BA42" s="87" t="e">
        <f>VLOOKUP($B42,Raw_Data[#All],BA$2,0)/BA$1</f>
        <v>#N/A</v>
      </c>
      <c r="BB42" s="87" t="e">
        <f>VLOOKUP($B42,Raw_Data[#All],BB$2,0)/BB$1</f>
        <v>#N/A</v>
      </c>
      <c r="BC42" s="87" t="e">
        <f>VLOOKUP($B42,Raw_Data[#All],BC$2,0)/BC$1</f>
        <v>#N/A</v>
      </c>
      <c r="BD42" s="87" t="e">
        <f>VLOOKUP($B42,Raw_Data[#All],BD$2,0)/BD$1</f>
        <v>#N/A</v>
      </c>
      <c r="BE42" s="87" t="e">
        <f>VLOOKUP($B42,Raw_Data[#All],BE$2,0)/BE$1</f>
        <v>#N/A</v>
      </c>
      <c r="BF42" s="87" t="e">
        <f>VLOOKUP($B42,Raw_Data[#All],BF$2,0)/BF$1</f>
        <v>#N/A</v>
      </c>
      <c r="BG42" s="87" t="e">
        <f>VLOOKUP($B42,Raw_Data[#All],BG$2,0)/BG$1</f>
        <v>#N/A</v>
      </c>
      <c r="BH42" s="87" t="e">
        <f>VLOOKUP($B42,Raw_Data[#All],BH$2,0)/BH$1</f>
        <v>#N/A</v>
      </c>
      <c r="BI42" s="87" t="e">
        <f>VLOOKUP($B42,Raw_Data[#All],BI$2,0)/BI$1</f>
        <v>#N/A</v>
      </c>
      <c r="BJ42" s="87" t="e">
        <f>VLOOKUP($B42,Raw_Data[#All],BJ$2,0)/BJ$1</f>
        <v>#N/A</v>
      </c>
      <c r="BK42" s="87" t="e">
        <f>VLOOKUP($B42,Raw_Data[#All],BK$2,0)/BK$1</f>
        <v>#N/A</v>
      </c>
      <c r="BL42" s="87" t="e">
        <f>VLOOKUP($B42,Raw_Data[#All],BL$2,0)/BL$1</f>
        <v>#N/A</v>
      </c>
      <c r="BM42" s="87" t="e">
        <f>VLOOKUP($B42,Raw_Data[#All],BM$2,0)/BM$1</f>
        <v>#N/A</v>
      </c>
      <c r="BN42" s="87" t="e">
        <f>VLOOKUP($B42,Raw_Data[#All],BN$2,0)/BN$1</f>
        <v>#N/A</v>
      </c>
      <c r="BO42" s="87" t="e">
        <f>VLOOKUP($B42,Raw_Data[#All],BO$2,0)/BO$1</f>
        <v>#N/A</v>
      </c>
      <c r="BP42" s="87" t="e">
        <f>VLOOKUP($B42,Raw_Data[#All],BP$2,0)/BP$1</f>
        <v>#N/A</v>
      </c>
      <c r="BQ42" s="87" t="e">
        <f>VLOOKUP($B42,Raw_Data[#All],BQ$2,0)/BQ$1</f>
        <v>#N/A</v>
      </c>
      <c r="BR42" s="87" t="e">
        <f>VLOOKUP($B42,Raw_Data[#All],BR$2,0)/BR$1</f>
        <v>#N/A</v>
      </c>
      <c r="BS42" s="87" t="e">
        <f>VLOOKUP($B42,Raw_Data[#All],BS$2,0)/BS$1</f>
        <v>#N/A</v>
      </c>
      <c r="BT42" s="87" t="e">
        <f>VLOOKUP($B42,Raw_Data[#All],BT$2,0)/BT$1</f>
        <v>#N/A</v>
      </c>
      <c r="BU42" s="87" t="e">
        <f>VLOOKUP($B42,Raw_Data[#All],BU$2,0)/BU$1</f>
        <v>#N/A</v>
      </c>
      <c r="BV42" s="87" t="e">
        <f>VLOOKUP($B42,Raw_Data[#All],BV$2,0)/BV$1</f>
        <v>#N/A</v>
      </c>
      <c r="BW42" s="87" t="e">
        <f>VLOOKUP($B42,Raw_Data[#All],BW$2,0)/BW$1</f>
        <v>#N/A</v>
      </c>
      <c r="BX42" s="87" t="e">
        <f>VLOOKUP($B42,Raw_Data[#All],BX$2,0)/BX$1</f>
        <v>#N/A</v>
      </c>
      <c r="BY42" s="87" t="e">
        <f>VLOOKUP($B42,Raw_Data[#All],BY$2,0)/BY$1</f>
        <v>#N/A</v>
      </c>
      <c r="BZ42" s="87" t="e">
        <f>VLOOKUP($B42,Raw_Data[#All],BZ$2,0)/BZ$1</f>
        <v>#N/A</v>
      </c>
      <c r="CA42" s="87" t="e">
        <f>VLOOKUP($B42,Raw_Data[#All],CA$2,0)/CA$1</f>
        <v>#N/A</v>
      </c>
      <c r="CB42" s="87" t="e">
        <f>VLOOKUP($B42,Raw_Data[#All],CB$2,0)/CB$1</f>
        <v>#N/A</v>
      </c>
      <c r="CC42" s="87" t="e">
        <f>VLOOKUP($B42,Raw_Data[#All],CC$2,0)/CC$1</f>
        <v>#N/A</v>
      </c>
      <c r="CD42" s="87" t="e">
        <f>VLOOKUP($B42,Raw_Data[#All],CD$2,0)/CD$1</f>
        <v>#N/A</v>
      </c>
      <c r="CE42" s="87" t="e">
        <f>VLOOKUP($B42,Raw_Data[#All],CE$2,0)/CE$1</f>
        <v>#N/A</v>
      </c>
      <c r="CF42" s="87" t="e">
        <f>VLOOKUP($B42,Raw_Data[#All],CF$2,0)/CF$1</f>
        <v>#N/A</v>
      </c>
      <c r="CG42" s="87" t="e">
        <f>VLOOKUP($B42,Raw_Data[#All],CG$2,0)/CG$1</f>
        <v>#N/A</v>
      </c>
      <c r="CH42" s="87" t="e">
        <f>VLOOKUP($B42,Raw_Data[#All],CH$2,0)/CH$1</f>
        <v>#N/A</v>
      </c>
      <c r="CI42" s="87" t="e">
        <f>VLOOKUP($B42,Raw_Data[#All],CI$2,0)/CI$1</f>
        <v>#N/A</v>
      </c>
      <c r="CJ42" s="87" t="e">
        <f>VLOOKUP($B42,Raw_Data[#All],CJ$2,0)/CJ$1</f>
        <v>#N/A</v>
      </c>
      <c r="CK42" s="87" t="e">
        <f>VLOOKUP($B42,Raw_Data[#All],CK$2,0)/CK$1</f>
        <v>#N/A</v>
      </c>
      <c r="CL42" s="87" t="e">
        <f>VLOOKUP($B42,Raw_Data[#All],CL$2,0)/CL$1</f>
        <v>#N/A</v>
      </c>
      <c r="CM42" s="87" t="e">
        <f>VLOOKUP($B42,Raw_Data[#All],CM$2,0)/CM$1</f>
        <v>#N/A</v>
      </c>
      <c r="CN42" s="87" t="e">
        <f>VLOOKUP($B42,Raw_Data[#All],CN$2,0)/CN$1</f>
        <v>#N/A</v>
      </c>
      <c r="CO42" s="87" t="e">
        <f>VLOOKUP($B42,Raw_Data[#All],CO$2,0)/CO$1</f>
        <v>#N/A</v>
      </c>
      <c r="CP42" s="87" t="e">
        <f>VLOOKUP($B42,Raw_Data[#All],CP$2,0)/CP$1</f>
        <v>#N/A</v>
      </c>
      <c r="CQ42" s="87" t="e">
        <f>VLOOKUP($B42,Raw_Data[#All],CQ$2,0)/CQ$1</f>
        <v>#N/A</v>
      </c>
      <c r="CR42" s="87" t="e">
        <f>VLOOKUP($B42,Raw_Data[#All],CR$2,0)/CR$1</f>
        <v>#N/A</v>
      </c>
      <c r="CS42" s="87" t="e">
        <f>VLOOKUP($B42,Raw_Data[#All],CS$2,0)/CS$1</f>
        <v>#N/A</v>
      </c>
      <c r="CT42" s="87" t="e">
        <f>VLOOKUP($B42,Raw_Data[#All],CT$2,0)/CT$1</f>
        <v>#N/A</v>
      </c>
      <c r="CU42" s="87" t="e">
        <f>VLOOKUP($B42,Raw_Data[#All],CU$2,0)/CU$1</f>
        <v>#N/A</v>
      </c>
      <c r="CV42" s="87" t="e">
        <f>VLOOKUP($B42,Raw_Data[#All],CV$2,0)/CV$1</f>
        <v>#N/A</v>
      </c>
      <c r="CW42" s="87" t="e">
        <f>VLOOKUP($B42,Raw_Data[#All],CW$2,0)/CW$1</f>
        <v>#N/A</v>
      </c>
      <c r="CX42" s="87" t="e">
        <f>VLOOKUP($B42,Raw_Data[#All],CX$2,0)/CX$1</f>
        <v>#N/A</v>
      </c>
      <c r="CY42" s="87" t="e">
        <f>VLOOKUP($B42,Raw_Data[#All],CY$2,0)/CY$1</f>
        <v>#N/A</v>
      </c>
      <c r="CZ42" s="87" t="e">
        <f>VLOOKUP($B42,Raw_Data[#All],CZ$2,0)/CZ$1</f>
        <v>#N/A</v>
      </c>
      <c r="DA42" s="87" t="e">
        <f>VLOOKUP($B42,Raw_Data[#All],DA$2,0)/DA$1</f>
        <v>#N/A</v>
      </c>
      <c r="DB42" s="87" t="e">
        <f>VLOOKUP($B42,Raw_Data[#All],DB$2,0)/DB$1</f>
        <v>#N/A</v>
      </c>
      <c r="DC42" s="87" t="e">
        <f>VLOOKUP($B42,Raw_Data[#All],DC$2,0)/DC$1</f>
        <v>#N/A</v>
      </c>
      <c r="DD42" s="87" t="e">
        <f>VLOOKUP($B42,Raw_Data[#All],DD$2,0)/DD$1</f>
        <v>#N/A</v>
      </c>
      <c r="DE42" s="87" t="e">
        <f>VLOOKUP($B42,Raw_Data[#All],DE$2,0)/DE$1</f>
        <v>#N/A</v>
      </c>
      <c r="DF42" s="87" t="e">
        <f>VLOOKUP($B42,Raw_Data[#All],DF$2,0)/DF$1</f>
        <v>#N/A</v>
      </c>
      <c r="DG42" s="87" t="e">
        <f>VLOOKUP($B42,Raw_Data[#All],DG$2,0)/DG$1</f>
        <v>#N/A</v>
      </c>
      <c r="DH42" s="87" t="e">
        <f>VLOOKUP($B42,Raw_Data[#All],DH$2,0)/DH$1</f>
        <v>#N/A</v>
      </c>
      <c r="DI42" s="87" t="e">
        <f>VLOOKUP($B42,Raw_Data[#All],DI$2,0)/DI$1</f>
        <v>#N/A</v>
      </c>
      <c r="DJ42" s="87" t="e">
        <f>VLOOKUP($B42,Raw_Data[#All],DJ$2,0)/DJ$1</f>
        <v>#N/A</v>
      </c>
      <c r="DK42" s="87" t="e">
        <f>VLOOKUP($B42,Raw_Data[#All],DK$2,0)/DK$1</f>
        <v>#N/A</v>
      </c>
      <c r="DL42" s="87" t="e">
        <f>VLOOKUP($B42,Raw_Data[#All],DL$2,0)/DL$1</f>
        <v>#N/A</v>
      </c>
      <c r="DM42" s="87" t="e">
        <f>VLOOKUP($B42,Raw_Data[#All],DM$2,0)/DM$1</f>
        <v>#N/A</v>
      </c>
      <c r="DN42" s="87" t="e">
        <f>VLOOKUP($B42,Raw_Data[#All],DN$2,0)/DN$1</f>
        <v>#N/A</v>
      </c>
      <c r="DO42" s="87" t="e">
        <f>VLOOKUP($B42,Raw_Data[#All],DO$2,0)/DO$1</f>
        <v>#N/A</v>
      </c>
      <c r="DP42" s="87" t="e">
        <f>VLOOKUP($B42,Raw_Data[#All],DP$2,0)/DP$1</f>
        <v>#N/A</v>
      </c>
      <c r="DQ42" s="87" t="e">
        <f>VLOOKUP($B42,Raw_Data[#All],DQ$2,0)/DQ$1</f>
        <v>#N/A</v>
      </c>
      <c r="DR42" s="87" t="e">
        <f>VLOOKUP($B42,Raw_Data[#All],DR$2,0)/DR$1</f>
        <v>#N/A</v>
      </c>
      <c r="DS42" s="87" t="e">
        <f>VLOOKUP($B42,Raw_Data[#All],DS$2,0)/DS$1</f>
        <v>#N/A</v>
      </c>
      <c r="DT42" s="87" t="e">
        <f>VLOOKUP($B42,Raw_Data[#All],DT$2,0)/DT$1</f>
        <v>#N/A</v>
      </c>
      <c r="DU42" s="87" t="e">
        <f>VLOOKUP($B42,Raw_Data[#All],DU$2,0)/DU$1</f>
        <v>#N/A</v>
      </c>
      <c r="DV42" s="87" t="e">
        <f>VLOOKUP($B42,Raw_Data[#All],DV$2,0)/DV$1</f>
        <v>#N/A</v>
      </c>
      <c r="DW42" s="87" t="e">
        <f>VLOOKUP($B42,Raw_Data[#All],DW$2,0)/DW$1</f>
        <v>#N/A</v>
      </c>
      <c r="DX42" s="87" t="e">
        <f>VLOOKUP($B42,Raw_Data[#All],DX$2,0)/DX$1</f>
        <v>#N/A</v>
      </c>
      <c r="DY42" s="87" t="e">
        <f>VLOOKUP($B42,Raw_Data[#All],DY$2,0)/DY$1</f>
        <v>#N/A</v>
      </c>
      <c r="DZ42" s="87" t="e">
        <f>VLOOKUP($B42,Raw_Data[#All],DZ$2,0)/DZ$1</f>
        <v>#N/A</v>
      </c>
      <c r="EA42" s="87" t="e">
        <f>VLOOKUP($B42,Raw_Data[#All],EA$2,0)/EA$1</f>
        <v>#N/A</v>
      </c>
      <c r="EB42" s="87" t="e">
        <f>VLOOKUP($B42,Raw_Data[#All],EB$2,0)/EB$1</f>
        <v>#N/A</v>
      </c>
      <c r="EC42" s="87" t="e">
        <f>VLOOKUP($B42,Raw_Data[#All],EC$2,0)/EC$1</f>
        <v>#N/A</v>
      </c>
      <c r="ED42" s="87" t="e">
        <f>VLOOKUP($B42,Raw_Data[#All],ED$2,0)/ED$1</f>
        <v>#N/A</v>
      </c>
      <c r="EE42" s="87" t="e">
        <f>VLOOKUP($B42,Raw_Data[#All],EE$2,0)/EE$1</f>
        <v>#N/A</v>
      </c>
      <c r="EF42" s="87" t="e">
        <f>VLOOKUP($B42,Raw_Data[#All],EF$2,0)/EF$1</f>
        <v>#N/A</v>
      </c>
      <c r="EG42" s="87" t="e">
        <f>VLOOKUP($B42,Raw_Data[#All],EG$2,0)/EG$1</f>
        <v>#N/A</v>
      </c>
      <c r="EH42" s="87" t="e">
        <f>VLOOKUP($B42,Raw_Data[#All],EH$2,0)/EH$1</f>
        <v>#N/A</v>
      </c>
      <c r="EI42" s="87" t="e">
        <f>VLOOKUP($B42,Raw_Data[#All],EI$2,0)/EI$1</f>
        <v>#N/A</v>
      </c>
      <c r="EJ42" s="87" t="e">
        <f>VLOOKUP($B42,Raw_Data[#All],EJ$2,0)/EJ$1</f>
        <v>#N/A</v>
      </c>
      <c r="EK42" s="87" t="e">
        <f>VLOOKUP($B42,Raw_Data[#All],EK$2,0)/EK$1</f>
        <v>#N/A</v>
      </c>
      <c r="EL42" s="87" t="e">
        <f>VLOOKUP($B42,Raw_Data[#All],EL$2,0)/EL$1</f>
        <v>#N/A</v>
      </c>
      <c r="EM42" s="87" t="e">
        <f>VLOOKUP($B42,Raw_Data[#All],EM$2,0)/EM$1</f>
        <v>#N/A</v>
      </c>
      <c r="EN42" s="87" t="e">
        <f>VLOOKUP($B42,Raw_Data[#All],EN$2,0)/EN$1</f>
        <v>#N/A</v>
      </c>
      <c r="EO42" s="87" t="e">
        <f>VLOOKUP($B42,Raw_Data[#All],EO$2,0)/EO$1</f>
        <v>#N/A</v>
      </c>
      <c r="EP42" s="87" t="e">
        <f>VLOOKUP($B42,Raw_Data[#All],EP$2,0)/EP$1</f>
        <v>#N/A</v>
      </c>
      <c r="EQ42" s="87" t="e">
        <f>VLOOKUP($B42,Raw_Data[#All],EQ$2,0)/EQ$1</f>
        <v>#N/A</v>
      </c>
      <c r="ER42" s="87" t="e">
        <f>VLOOKUP($B42,Raw_Data[#All],ER$2,0)/ER$1</f>
        <v>#N/A</v>
      </c>
      <c r="ES42" s="87" t="e">
        <f>VLOOKUP($B42,Raw_Data[#All],ES$2,0)/ES$1</f>
        <v>#N/A</v>
      </c>
      <c r="ET42" s="87" t="e">
        <f>VLOOKUP($B42,Raw_Data[#All],ET$2,0)/ET$1</f>
        <v>#N/A</v>
      </c>
      <c r="EU42" s="87" t="e">
        <f>VLOOKUP($B42,Raw_Data[#All],EU$2,0)/EU$1</f>
        <v>#N/A</v>
      </c>
      <c r="EV42" s="87" t="e">
        <f>VLOOKUP($B42,Raw_Data[#All],EV$2,0)/EV$1</f>
        <v>#N/A</v>
      </c>
      <c r="EW42" s="87" t="e">
        <f>VLOOKUP($B42,Raw_Data[#All],EW$2,0)/EW$1</f>
        <v>#N/A</v>
      </c>
      <c r="EX42" s="87" t="e">
        <f>VLOOKUP($B42,Raw_Data[#All],EX$2,0)/EX$1</f>
        <v>#N/A</v>
      </c>
      <c r="EY42" s="87" t="e">
        <f>VLOOKUP($B42,Raw_Data[#All],EY$2,0)/EY$1</f>
        <v>#N/A</v>
      </c>
      <c r="EZ42" s="87" t="e">
        <f>VLOOKUP($B42,Raw_Data[#All],EZ$2,0)/EZ$1</f>
        <v>#N/A</v>
      </c>
      <c r="FA42" s="87" t="e">
        <f>VLOOKUP($B42,Raw_Data[#All],FA$2,0)/FA$1</f>
        <v>#N/A</v>
      </c>
      <c r="FB42" s="87" t="e">
        <f>VLOOKUP($B42,Raw_Data[#All],FB$2,0)/FB$1</f>
        <v>#N/A</v>
      </c>
      <c r="FC42" s="87" t="e">
        <f>VLOOKUP($B42,Raw_Data[#All],FC$2,0)/FC$1</f>
        <v>#N/A</v>
      </c>
      <c r="FD42" s="87" t="e">
        <f>VLOOKUP($B42,Raw_Data[#All],FD$2,0)/FD$1</f>
        <v>#N/A</v>
      </c>
      <c r="FE42" s="87" t="e">
        <f>VLOOKUP($B42,Raw_Data[#All],FE$2,0)/FE$1</f>
        <v>#N/A</v>
      </c>
      <c r="FF42" s="87" t="e">
        <f>VLOOKUP($B42,Raw_Data[#All],FF$2,0)/FF$1</f>
        <v>#N/A</v>
      </c>
      <c r="FG42" s="105" t="e">
        <f>VLOOKUP($B42,Raw_Data[#All],FG$2,0)/FG$1</f>
        <v>#N/A</v>
      </c>
    </row>
    <row r="43" spans="2:163">
      <c r="B43" s="106">
        <f t="shared" si="1"/>
        <v>45866</v>
      </c>
      <c r="C43" s="87" t="e">
        <f>VLOOKUP($B43,Raw_Data[#All],C$2,0)/C$1</f>
        <v>#N/A</v>
      </c>
      <c r="D43" s="87" t="e">
        <f>VLOOKUP($B43,Raw_Data[#All],D$2,0)/D$1</f>
        <v>#N/A</v>
      </c>
      <c r="E43" s="87" t="e">
        <f>VLOOKUP($B43,Raw_Data[#All],E$2,0)/E$1</f>
        <v>#N/A</v>
      </c>
      <c r="F43" s="87" t="e">
        <f>VLOOKUP($B43,Raw_Data[#All],F$2,0)/F$1</f>
        <v>#N/A</v>
      </c>
      <c r="G43" s="87" t="e">
        <f>VLOOKUP($B43,Raw_Data[#All],G$2,0)/G$1</f>
        <v>#N/A</v>
      </c>
      <c r="H43" s="87" t="e">
        <f>VLOOKUP($B43,Raw_Data[#All],H$2,0)/H$1</f>
        <v>#N/A</v>
      </c>
      <c r="I43" s="87" t="e">
        <f>VLOOKUP($B43,Raw_Data[#All],I$2,0)/I$1</f>
        <v>#N/A</v>
      </c>
      <c r="J43" s="87" t="e">
        <f>VLOOKUP($B43,Raw_Data[#All],J$2,0)/J$1</f>
        <v>#N/A</v>
      </c>
      <c r="K43" s="87" t="e">
        <f>VLOOKUP($B43,Raw_Data[#All],K$2,0)/K$1</f>
        <v>#N/A</v>
      </c>
      <c r="L43" s="87" t="e">
        <f>VLOOKUP($B43,Raw_Data[#All],L$2,0)/L$1</f>
        <v>#N/A</v>
      </c>
      <c r="M43" s="87" t="e">
        <f>VLOOKUP($B43,Raw_Data[#All],M$2,0)/M$1</f>
        <v>#N/A</v>
      </c>
      <c r="N43" s="87" t="e">
        <f>VLOOKUP($B43,Raw_Data[#All],N$2,0)/N$1</f>
        <v>#N/A</v>
      </c>
      <c r="O43" s="87" t="e">
        <f>VLOOKUP($B43,Raw_Data[#All],O$2,0)/O$1</f>
        <v>#N/A</v>
      </c>
      <c r="P43" s="87" t="e">
        <f>VLOOKUP($B43,Raw_Data[#All],P$2,0)/P$1</f>
        <v>#N/A</v>
      </c>
      <c r="Q43" s="87" t="e">
        <f>VLOOKUP($B43,Raw_Data[#All],Q$2,0)/Q$1</f>
        <v>#N/A</v>
      </c>
      <c r="R43" s="87" t="e">
        <f>VLOOKUP($B43,Raw_Data[#All],R$2,0)/R$1</f>
        <v>#N/A</v>
      </c>
      <c r="S43" s="87" t="e">
        <f>VLOOKUP($B43,Raw_Data[#All],S$2,0)/S$1</f>
        <v>#N/A</v>
      </c>
      <c r="T43" s="87" t="e">
        <f>VLOOKUP($B43,Raw_Data[#All],T$2,0)/T$1</f>
        <v>#N/A</v>
      </c>
      <c r="U43" s="87" t="e">
        <f>VLOOKUP($B43,Raw_Data[#All],U$2,0)/U$1</f>
        <v>#N/A</v>
      </c>
      <c r="V43" s="87" t="e">
        <f>VLOOKUP($B43,Raw_Data[#All],V$2,0)/V$1</f>
        <v>#N/A</v>
      </c>
      <c r="W43" s="87" t="e">
        <f>VLOOKUP($B43,Raw_Data[#All],W$2,0)/W$1</f>
        <v>#N/A</v>
      </c>
      <c r="X43" s="87" t="e">
        <f>VLOOKUP($B43,Raw_Data[#All],X$2,0)/X$1</f>
        <v>#N/A</v>
      </c>
      <c r="Y43" s="87" t="e">
        <f>VLOOKUP($B43,Raw_Data[#All],Y$2,0)/Y$1</f>
        <v>#N/A</v>
      </c>
      <c r="Z43" s="87" t="e">
        <f>VLOOKUP($B43,Raw_Data[#All],Z$2,0)/Z$1</f>
        <v>#N/A</v>
      </c>
      <c r="AA43" s="87" t="e">
        <f>VLOOKUP($B43,Raw_Data[#All],AA$2,0)/AA$1</f>
        <v>#N/A</v>
      </c>
      <c r="AB43" s="87" t="e">
        <f>VLOOKUP($B43,Raw_Data[#All],AB$2,0)/AB$1</f>
        <v>#N/A</v>
      </c>
      <c r="AC43" s="87" t="e">
        <f>VLOOKUP($B43,Raw_Data[#All],AC$2,0)/AC$1</f>
        <v>#N/A</v>
      </c>
      <c r="AD43" s="87" t="e">
        <f>VLOOKUP($B43,Raw_Data[#All],AD$2,0)/AD$1</f>
        <v>#N/A</v>
      </c>
      <c r="AE43" s="87" t="e">
        <f>VLOOKUP($B43,Raw_Data[#All],AE$2,0)/AE$1</f>
        <v>#N/A</v>
      </c>
      <c r="AF43" s="87" t="e">
        <f>VLOOKUP($B43,Raw_Data[#All],AF$2,0)/AF$1</f>
        <v>#N/A</v>
      </c>
      <c r="AG43" s="87" t="e">
        <f>VLOOKUP($B43,Raw_Data[#All],AG$2,0)/AG$1</f>
        <v>#N/A</v>
      </c>
      <c r="AH43" s="87" t="e">
        <f>VLOOKUP($B43,Raw_Data[#All],AH$2,0)/AH$1</f>
        <v>#N/A</v>
      </c>
      <c r="AI43" s="87" t="e">
        <f>VLOOKUP($B43,Raw_Data[#All],AI$2,0)/AI$1</f>
        <v>#N/A</v>
      </c>
      <c r="AJ43" s="87" t="e">
        <f>VLOOKUP($B43,Raw_Data[#All],AJ$2,0)/AJ$1</f>
        <v>#N/A</v>
      </c>
      <c r="AK43" s="87" t="e">
        <f>VLOOKUP($B43,Raw_Data[#All],AK$2,0)/AK$1</f>
        <v>#N/A</v>
      </c>
      <c r="AL43" s="87" t="e">
        <f>VLOOKUP($B43,Raw_Data[#All],AL$2,0)/AL$1</f>
        <v>#N/A</v>
      </c>
      <c r="AM43" s="87" t="e">
        <f>VLOOKUP($B43,Raw_Data[#All],AM$2,0)/AM$1</f>
        <v>#N/A</v>
      </c>
      <c r="AN43" s="87" t="e">
        <f>VLOOKUP($B43,Raw_Data[#All],AN$2,0)/AN$1</f>
        <v>#N/A</v>
      </c>
      <c r="AO43" s="87" t="e">
        <f>VLOOKUP($B43,Raw_Data[#All],AO$2,0)/AO$1</f>
        <v>#N/A</v>
      </c>
      <c r="AP43" s="87" t="e">
        <f>VLOOKUP($B43,Raw_Data[#All],AP$2,0)/AP$1</f>
        <v>#N/A</v>
      </c>
      <c r="AQ43" s="87" t="e">
        <f>VLOOKUP($B43,Raw_Data[#All],AQ$2,0)/AQ$1</f>
        <v>#N/A</v>
      </c>
      <c r="AR43" s="87" t="e">
        <f>VLOOKUP($B43,Raw_Data[#All],AR$2,0)/AR$1</f>
        <v>#N/A</v>
      </c>
      <c r="AS43" s="87" t="e">
        <f>VLOOKUP($B43,Raw_Data[#All],AS$2,0)/AS$1</f>
        <v>#N/A</v>
      </c>
      <c r="AT43" s="87" t="e">
        <f>VLOOKUP($B43,Raw_Data[#All],AT$2,0)/AT$1</f>
        <v>#N/A</v>
      </c>
      <c r="AU43" s="87" t="e">
        <f>VLOOKUP($B43,Raw_Data[#All],AU$2,0)/AU$1</f>
        <v>#N/A</v>
      </c>
      <c r="AV43" s="87" t="e">
        <f>VLOOKUP($B43,Raw_Data[#All],AV$2,0)/AV$1</f>
        <v>#N/A</v>
      </c>
      <c r="AW43" s="87" t="e">
        <f>VLOOKUP($B43,Raw_Data[#All],AW$2,0)/AW$1</f>
        <v>#N/A</v>
      </c>
      <c r="AX43" s="87" t="e">
        <f>VLOOKUP($B43,Raw_Data[#All],AX$2,0)/AX$1</f>
        <v>#N/A</v>
      </c>
      <c r="AY43" s="87" t="e">
        <f>VLOOKUP($B43,Raw_Data[#All],AY$2,0)/AY$1</f>
        <v>#N/A</v>
      </c>
      <c r="AZ43" s="87" t="e">
        <f>VLOOKUP($B43,Raw_Data[#All],AZ$2,0)/AZ$1</f>
        <v>#N/A</v>
      </c>
      <c r="BA43" s="87" t="e">
        <f>VLOOKUP($B43,Raw_Data[#All],BA$2,0)/BA$1</f>
        <v>#N/A</v>
      </c>
      <c r="BB43" s="87" t="e">
        <f>VLOOKUP($B43,Raw_Data[#All],BB$2,0)/BB$1</f>
        <v>#N/A</v>
      </c>
      <c r="BC43" s="87" t="e">
        <f>VLOOKUP($B43,Raw_Data[#All],BC$2,0)/BC$1</f>
        <v>#N/A</v>
      </c>
      <c r="BD43" s="87" t="e">
        <f>VLOOKUP($B43,Raw_Data[#All],BD$2,0)/BD$1</f>
        <v>#N/A</v>
      </c>
      <c r="BE43" s="87" t="e">
        <f>VLOOKUP($B43,Raw_Data[#All],BE$2,0)/BE$1</f>
        <v>#N/A</v>
      </c>
      <c r="BF43" s="87" t="e">
        <f>VLOOKUP($B43,Raw_Data[#All],BF$2,0)/BF$1</f>
        <v>#N/A</v>
      </c>
      <c r="BG43" s="87" t="e">
        <f>VLOOKUP($B43,Raw_Data[#All],BG$2,0)/BG$1</f>
        <v>#N/A</v>
      </c>
      <c r="BH43" s="87" t="e">
        <f>VLOOKUP($B43,Raw_Data[#All],BH$2,0)/BH$1</f>
        <v>#N/A</v>
      </c>
      <c r="BI43" s="87" t="e">
        <f>VLOOKUP($B43,Raw_Data[#All],BI$2,0)/BI$1</f>
        <v>#N/A</v>
      </c>
      <c r="BJ43" s="87" t="e">
        <f>VLOOKUP($B43,Raw_Data[#All],BJ$2,0)/BJ$1</f>
        <v>#N/A</v>
      </c>
      <c r="BK43" s="87" t="e">
        <f>VLOOKUP($B43,Raw_Data[#All],BK$2,0)/BK$1</f>
        <v>#N/A</v>
      </c>
      <c r="BL43" s="87" t="e">
        <f>VLOOKUP($B43,Raw_Data[#All],BL$2,0)/BL$1</f>
        <v>#N/A</v>
      </c>
      <c r="BM43" s="87" t="e">
        <f>VLOOKUP($B43,Raw_Data[#All],BM$2,0)/BM$1</f>
        <v>#N/A</v>
      </c>
      <c r="BN43" s="87" t="e">
        <f>VLOOKUP($B43,Raw_Data[#All],BN$2,0)/BN$1</f>
        <v>#N/A</v>
      </c>
      <c r="BO43" s="87" t="e">
        <f>VLOOKUP($B43,Raw_Data[#All],BO$2,0)/BO$1</f>
        <v>#N/A</v>
      </c>
      <c r="BP43" s="87" t="e">
        <f>VLOOKUP($B43,Raw_Data[#All],BP$2,0)/BP$1</f>
        <v>#N/A</v>
      </c>
      <c r="BQ43" s="87" t="e">
        <f>VLOOKUP($B43,Raw_Data[#All],BQ$2,0)/BQ$1</f>
        <v>#N/A</v>
      </c>
      <c r="BR43" s="87" t="e">
        <f>VLOOKUP($B43,Raw_Data[#All],BR$2,0)/BR$1</f>
        <v>#N/A</v>
      </c>
      <c r="BS43" s="87" t="e">
        <f>VLOOKUP($B43,Raw_Data[#All],BS$2,0)/BS$1</f>
        <v>#N/A</v>
      </c>
      <c r="BT43" s="87" t="e">
        <f>VLOOKUP($B43,Raw_Data[#All],BT$2,0)/BT$1</f>
        <v>#N/A</v>
      </c>
      <c r="BU43" s="87" t="e">
        <f>VLOOKUP($B43,Raw_Data[#All],BU$2,0)/BU$1</f>
        <v>#N/A</v>
      </c>
      <c r="BV43" s="87" t="e">
        <f>VLOOKUP($B43,Raw_Data[#All],BV$2,0)/BV$1</f>
        <v>#N/A</v>
      </c>
      <c r="BW43" s="87" t="e">
        <f>VLOOKUP($B43,Raw_Data[#All],BW$2,0)/BW$1</f>
        <v>#N/A</v>
      </c>
      <c r="BX43" s="87" t="e">
        <f>VLOOKUP($B43,Raw_Data[#All],BX$2,0)/BX$1</f>
        <v>#N/A</v>
      </c>
      <c r="BY43" s="87" t="e">
        <f>VLOOKUP($B43,Raw_Data[#All],BY$2,0)/BY$1</f>
        <v>#N/A</v>
      </c>
      <c r="BZ43" s="87" t="e">
        <f>VLOOKUP($B43,Raw_Data[#All],BZ$2,0)/BZ$1</f>
        <v>#N/A</v>
      </c>
      <c r="CA43" s="87" t="e">
        <f>VLOOKUP($B43,Raw_Data[#All],CA$2,0)/CA$1</f>
        <v>#N/A</v>
      </c>
      <c r="CB43" s="87" t="e">
        <f>VLOOKUP($B43,Raw_Data[#All],CB$2,0)/CB$1</f>
        <v>#N/A</v>
      </c>
      <c r="CC43" s="87" t="e">
        <f>VLOOKUP($B43,Raw_Data[#All],CC$2,0)/CC$1</f>
        <v>#N/A</v>
      </c>
      <c r="CD43" s="87" t="e">
        <f>VLOOKUP($B43,Raw_Data[#All],CD$2,0)/CD$1</f>
        <v>#N/A</v>
      </c>
      <c r="CE43" s="87" t="e">
        <f>VLOOKUP($B43,Raw_Data[#All],CE$2,0)/CE$1</f>
        <v>#N/A</v>
      </c>
      <c r="CF43" s="87" t="e">
        <f>VLOOKUP($B43,Raw_Data[#All],CF$2,0)/CF$1</f>
        <v>#N/A</v>
      </c>
      <c r="CG43" s="87" t="e">
        <f>VLOOKUP($B43,Raw_Data[#All],CG$2,0)/CG$1</f>
        <v>#N/A</v>
      </c>
      <c r="CH43" s="87" t="e">
        <f>VLOOKUP($B43,Raw_Data[#All],CH$2,0)/CH$1</f>
        <v>#N/A</v>
      </c>
      <c r="CI43" s="87" t="e">
        <f>VLOOKUP($B43,Raw_Data[#All],CI$2,0)/CI$1</f>
        <v>#N/A</v>
      </c>
      <c r="CJ43" s="87" t="e">
        <f>VLOOKUP($B43,Raw_Data[#All],CJ$2,0)/CJ$1</f>
        <v>#N/A</v>
      </c>
      <c r="CK43" s="87" t="e">
        <f>VLOOKUP($B43,Raw_Data[#All],CK$2,0)/CK$1</f>
        <v>#N/A</v>
      </c>
      <c r="CL43" s="87" t="e">
        <f>VLOOKUP($B43,Raw_Data[#All],CL$2,0)/CL$1</f>
        <v>#N/A</v>
      </c>
      <c r="CM43" s="87" t="e">
        <f>VLOOKUP($B43,Raw_Data[#All],CM$2,0)/CM$1</f>
        <v>#N/A</v>
      </c>
      <c r="CN43" s="87" t="e">
        <f>VLOOKUP($B43,Raw_Data[#All],CN$2,0)/CN$1</f>
        <v>#N/A</v>
      </c>
      <c r="CO43" s="87" t="e">
        <f>VLOOKUP($B43,Raw_Data[#All],CO$2,0)/CO$1</f>
        <v>#N/A</v>
      </c>
      <c r="CP43" s="87" t="e">
        <f>VLOOKUP($B43,Raw_Data[#All],CP$2,0)/CP$1</f>
        <v>#N/A</v>
      </c>
      <c r="CQ43" s="87" t="e">
        <f>VLOOKUP($B43,Raw_Data[#All],CQ$2,0)/CQ$1</f>
        <v>#N/A</v>
      </c>
      <c r="CR43" s="87" t="e">
        <f>VLOOKUP($B43,Raw_Data[#All],CR$2,0)/CR$1</f>
        <v>#N/A</v>
      </c>
      <c r="CS43" s="87" t="e">
        <f>VLOOKUP($B43,Raw_Data[#All],CS$2,0)/CS$1</f>
        <v>#N/A</v>
      </c>
      <c r="CT43" s="87" t="e">
        <f>VLOOKUP($B43,Raw_Data[#All],CT$2,0)/CT$1</f>
        <v>#N/A</v>
      </c>
      <c r="CU43" s="87" t="e">
        <f>VLOOKUP($B43,Raw_Data[#All],CU$2,0)/CU$1</f>
        <v>#N/A</v>
      </c>
      <c r="CV43" s="87" t="e">
        <f>VLOOKUP($B43,Raw_Data[#All],CV$2,0)/CV$1</f>
        <v>#N/A</v>
      </c>
      <c r="CW43" s="87" t="e">
        <f>VLOOKUP($B43,Raw_Data[#All],CW$2,0)/CW$1</f>
        <v>#N/A</v>
      </c>
      <c r="CX43" s="87" t="e">
        <f>VLOOKUP($B43,Raw_Data[#All],CX$2,0)/CX$1</f>
        <v>#N/A</v>
      </c>
      <c r="CY43" s="87" t="e">
        <f>VLOOKUP($B43,Raw_Data[#All],CY$2,0)/CY$1</f>
        <v>#N/A</v>
      </c>
      <c r="CZ43" s="87" t="e">
        <f>VLOOKUP($B43,Raw_Data[#All],CZ$2,0)/CZ$1</f>
        <v>#N/A</v>
      </c>
      <c r="DA43" s="87" t="e">
        <f>VLOOKUP($B43,Raw_Data[#All],DA$2,0)/DA$1</f>
        <v>#N/A</v>
      </c>
      <c r="DB43" s="87" t="e">
        <f>VLOOKUP($B43,Raw_Data[#All],DB$2,0)/DB$1</f>
        <v>#N/A</v>
      </c>
      <c r="DC43" s="87" t="e">
        <f>VLOOKUP($B43,Raw_Data[#All],DC$2,0)/DC$1</f>
        <v>#N/A</v>
      </c>
      <c r="DD43" s="87" t="e">
        <f>VLOOKUP($B43,Raw_Data[#All],DD$2,0)/DD$1</f>
        <v>#N/A</v>
      </c>
      <c r="DE43" s="87" t="e">
        <f>VLOOKUP($B43,Raw_Data[#All],DE$2,0)/DE$1</f>
        <v>#N/A</v>
      </c>
      <c r="DF43" s="87" t="e">
        <f>VLOOKUP($B43,Raw_Data[#All],DF$2,0)/DF$1</f>
        <v>#N/A</v>
      </c>
      <c r="DG43" s="87" t="e">
        <f>VLOOKUP($B43,Raw_Data[#All],DG$2,0)/DG$1</f>
        <v>#N/A</v>
      </c>
      <c r="DH43" s="87" t="e">
        <f>VLOOKUP($B43,Raw_Data[#All],DH$2,0)/DH$1</f>
        <v>#N/A</v>
      </c>
      <c r="DI43" s="87" t="e">
        <f>VLOOKUP($B43,Raw_Data[#All],DI$2,0)/DI$1</f>
        <v>#N/A</v>
      </c>
      <c r="DJ43" s="87" t="e">
        <f>VLOOKUP($B43,Raw_Data[#All],DJ$2,0)/DJ$1</f>
        <v>#N/A</v>
      </c>
      <c r="DK43" s="87" t="e">
        <f>VLOOKUP($B43,Raw_Data[#All],DK$2,0)/DK$1</f>
        <v>#N/A</v>
      </c>
      <c r="DL43" s="87" t="e">
        <f>VLOOKUP($B43,Raw_Data[#All],DL$2,0)/DL$1</f>
        <v>#N/A</v>
      </c>
      <c r="DM43" s="87" t="e">
        <f>VLOOKUP($B43,Raw_Data[#All],DM$2,0)/DM$1</f>
        <v>#N/A</v>
      </c>
      <c r="DN43" s="87" t="e">
        <f>VLOOKUP($B43,Raw_Data[#All],DN$2,0)/DN$1</f>
        <v>#N/A</v>
      </c>
      <c r="DO43" s="87" t="e">
        <f>VLOOKUP($B43,Raw_Data[#All],DO$2,0)/DO$1</f>
        <v>#N/A</v>
      </c>
      <c r="DP43" s="87" t="e">
        <f>VLOOKUP($B43,Raw_Data[#All],DP$2,0)/DP$1</f>
        <v>#N/A</v>
      </c>
      <c r="DQ43" s="87" t="e">
        <f>VLOOKUP($B43,Raw_Data[#All],DQ$2,0)/DQ$1</f>
        <v>#N/A</v>
      </c>
      <c r="DR43" s="87" t="e">
        <f>VLOOKUP($B43,Raw_Data[#All],DR$2,0)/DR$1</f>
        <v>#N/A</v>
      </c>
      <c r="DS43" s="87" t="e">
        <f>VLOOKUP($B43,Raw_Data[#All],DS$2,0)/DS$1</f>
        <v>#N/A</v>
      </c>
      <c r="DT43" s="87" t="e">
        <f>VLOOKUP($B43,Raw_Data[#All],DT$2,0)/DT$1</f>
        <v>#N/A</v>
      </c>
      <c r="DU43" s="87" t="e">
        <f>VLOOKUP($B43,Raw_Data[#All],DU$2,0)/DU$1</f>
        <v>#N/A</v>
      </c>
      <c r="DV43" s="87" t="e">
        <f>VLOOKUP($B43,Raw_Data[#All],DV$2,0)/DV$1</f>
        <v>#N/A</v>
      </c>
      <c r="DW43" s="87" t="e">
        <f>VLOOKUP($B43,Raw_Data[#All],DW$2,0)/DW$1</f>
        <v>#N/A</v>
      </c>
      <c r="DX43" s="87" t="e">
        <f>VLOOKUP($B43,Raw_Data[#All],DX$2,0)/DX$1</f>
        <v>#N/A</v>
      </c>
      <c r="DY43" s="87" t="e">
        <f>VLOOKUP($B43,Raw_Data[#All],DY$2,0)/DY$1</f>
        <v>#N/A</v>
      </c>
      <c r="DZ43" s="87" t="e">
        <f>VLOOKUP($B43,Raw_Data[#All],DZ$2,0)/DZ$1</f>
        <v>#N/A</v>
      </c>
      <c r="EA43" s="87" t="e">
        <f>VLOOKUP($B43,Raw_Data[#All],EA$2,0)/EA$1</f>
        <v>#N/A</v>
      </c>
      <c r="EB43" s="87" t="e">
        <f>VLOOKUP($B43,Raw_Data[#All],EB$2,0)/EB$1</f>
        <v>#N/A</v>
      </c>
      <c r="EC43" s="87" t="e">
        <f>VLOOKUP($B43,Raw_Data[#All],EC$2,0)/EC$1</f>
        <v>#N/A</v>
      </c>
      <c r="ED43" s="87" t="e">
        <f>VLOOKUP($B43,Raw_Data[#All],ED$2,0)/ED$1</f>
        <v>#N/A</v>
      </c>
      <c r="EE43" s="87" t="e">
        <f>VLOOKUP($B43,Raw_Data[#All],EE$2,0)/EE$1</f>
        <v>#N/A</v>
      </c>
      <c r="EF43" s="87" t="e">
        <f>VLOOKUP($B43,Raw_Data[#All],EF$2,0)/EF$1</f>
        <v>#N/A</v>
      </c>
      <c r="EG43" s="87" t="e">
        <f>VLOOKUP($B43,Raw_Data[#All],EG$2,0)/EG$1</f>
        <v>#N/A</v>
      </c>
      <c r="EH43" s="87" t="e">
        <f>VLOOKUP($B43,Raw_Data[#All],EH$2,0)/EH$1</f>
        <v>#N/A</v>
      </c>
      <c r="EI43" s="87" t="e">
        <f>VLOOKUP($B43,Raw_Data[#All],EI$2,0)/EI$1</f>
        <v>#N/A</v>
      </c>
      <c r="EJ43" s="87" t="e">
        <f>VLOOKUP($B43,Raw_Data[#All],EJ$2,0)/EJ$1</f>
        <v>#N/A</v>
      </c>
      <c r="EK43" s="87" t="e">
        <f>VLOOKUP($B43,Raw_Data[#All],EK$2,0)/EK$1</f>
        <v>#N/A</v>
      </c>
      <c r="EL43" s="87" t="e">
        <f>VLOOKUP($B43,Raw_Data[#All],EL$2,0)/EL$1</f>
        <v>#N/A</v>
      </c>
      <c r="EM43" s="87" t="e">
        <f>VLOOKUP($B43,Raw_Data[#All],EM$2,0)/EM$1</f>
        <v>#N/A</v>
      </c>
      <c r="EN43" s="87" t="e">
        <f>VLOOKUP($B43,Raw_Data[#All],EN$2,0)/EN$1</f>
        <v>#N/A</v>
      </c>
      <c r="EO43" s="87" t="e">
        <f>VLOOKUP($B43,Raw_Data[#All],EO$2,0)/EO$1</f>
        <v>#N/A</v>
      </c>
      <c r="EP43" s="87" t="e">
        <f>VLOOKUP($B43,Raw_Data[#All],EP$2,0)/EP$1</f>
        <v>#N/A</v>
      </c>
      <c r="EQ43" s="87" t="e">
        <f>VLOOKUP($B43,Raw_Data[#All],EQ$2,0)/EQ$1</f>
        <v>#N/A</v>
      </c>
      <c r="ER43" s="87" t="e">
        <f>VLOOKUP($B43,Raw_Data[#All],ER$2,0)/ER$1</f>
        <v>#N/A</v>
      </c>
      <c r="ES43" s="87" t="e">
        <f>VLOOKUP($B43,Raw_Data[#All],ES$2,0)/ES$1</f>
        <v>#N/A</v>
      </c>
      <c r="ET43" s="87" t="e">
        <f>VLOOKUP($B43,Raw_Data[#All],ET$2,0)/ET$1</f>
        <v>#N/A</v>
      </c>
      <c r="EU43" s="87" t="e">
        <f>VLOOKUP($B43,Raw_Data[#All],EU$2,0)/EU$1</f>
        <v>#N/A</v>
      </c>
      <c r="EV43" s="87" t="e">
        <f>VLOOKUP($B43,Raw_Data[#All],EV$2,0)/EV$1</f>
        <v>#N/A</v>
      </c>
      <c r="EW43" s="87" t="e">
        <f>VLOOKUP($B43,Raw_Data[#All],EW$2,0)/EW$1</f>
        <v>#N/A</v>
      </c>
      <c r="EX43" s="87" t="e">
        <f>VLOOKUP($B43,Raw_Data[#All],EX$2,0)/EX$1</f>
        <v>#N/A</v>
      </c>
      <c r="EY43" s="87" t="e">
        <f>VLOOKUP($B43,Raw_Data[#All],EY$2,0)/EY$1</f>
        <v>#N/A</v>
      </c>
      <c r="EZ43" s="87" t="e">
        <f>VLOOKUP($B43,Raw_Data[#All],EZ$2,0)/EZ$1</f>
        <v>#N/A</v>
      </c>
      <c r="FA43" s="87" t="e">
        <f>VLOOKUP($B43,Raw_Data[#All],FA$2,0)/FA$1</f>
        <v>#N/A</v>
      </c>
      <c r="FB43" s="87" t="e">
        <f>VLOOKUP($B43,Raw_Data[#All],FB$2,0)/FB$1</f>
        <v>#N/A</v>
      </c>
      <c r="FC43" s="87" t="e">
        <f>VLOOKUP($B43,Raw_Data[#All],FC$2,0)/FC$1</f>
        <v>#N/A</v>
      </c>
      <c r="FD43" s="87" t="e">
        <f>VLOOKUP($B43,Raw_Data[#All],FD$2,0)/FD$1</f>
        <v>#N/A</v>
      </c>
      <c r="FE43" s="87" t="e">
        <f>VLOOKUP($B43,Raw_Data[#All],FE$2,0)/FE$1</f>
        <v>#N/A</v>
      </c>
      <c r="FF43" s="87" t="e">
        <f>VLOOKUP($B43,Raw_Data[#All],FF$2,0)/FF$1</f>
        <v>#N/A</v>
      </c>
      <c r="FG43" s="105" t="e">
        <f>VLOOKUP($B43,Raw_Data[#All],FG$2,0)/FG$1</f>
        <v>#N/A</v>
      </c>
    </row>
    <row r="44" spans="2:163">
      <c r="B44" s="106">
        <f t="shared" si="1"/>
        <v>45867</v>
      </c>
      <c r="C44" s="87" t="e">
        <f>VLOOKUP($B44,Raw_Data[#All],C$2,0)/C$1</f>
        <v>#N/A</v>
      </c>
      <c r="D44" s="87" t="e">
        <f>VLOOKUP($B44,Raw_Data[#All],D$2,0)/D$1</f>
        <v>#N/A</v>
      </c>
      <c r="E44" s="87" t="e">
        <f>VLOOKUP($B44,Raw_Data[#All],E$2,0)/E$1</f>
        <v>#N/A</v>
      </c>
      <c r="F44" s="87" t="e">
        <f>VLOOKUP($B44,Raw_Data[#All],F$2,0)/F$1</f>
        <v>#N/A</v>
      </c>
      <c r="G44" s="87" t="e">
        <f>VLOOKUP($B44,Raw_Data[#All],G$2,0)/G$1</f>
        <v>#N/A</v>
      </c>
      <c r="H44" s="87" t="e">
        <f>VLOOKUP($B44,Raw_Data[#All],H$2,0)/H$1</f>
        <v>#N/A</v>
      </c>
      <c r="I44" s="87" t="e">
        <f>VLOOKUP($B44,Raw_Data[#All],I$2,0)/I$1</f>
        <v>#N/A</v>
      </c>
      <c r="J44" s="87" t="e">
        <f>VLOOKUP($B44,Raw_Data[#All],J$2,0)/J$1</f>
        <v>#N/A</v>
      </c>
      <c r="K44" s="87" t="e">
        <f>VLOOKUP($B44,Raw_Data[#All],K$2,0)/K$1</f>
        <v>#N/A</v>
      </c>
      <c r="L44" s="87" t="e">
        <f>VLOOKUP($B44,Raw_Data[#All],L$2,0)/L$1</f>
        <v>#N/A</v>
      </c>
      <c r="M44" s="87" t="e">
        <f>VLOOKUP($B44,Raw_Data[#All],M$2,0)/M$1</f>
        <v>#N/A</v>
      </c>
      <c r="N44" s="87" t="e">
        <f>VLOOKUP($B44,Raw_Data[#All],N$2,0)/N$1</f>
        <v>#N/A</v>
      </c>
      <c r="O44" s="87" t="e">
        <f>VLOOKUP($B44,Raw_Data[#All],O$2,0)/O$1</f>
        <v>#N/A</v>
      </c>
      <c r="P44" s="87" t="e">
        <f>VLOOKUP($B44,Raw_Data[#All],P$2,0)/P$1</f>
        <v>#N/A</v>
      </c>
      <c r="Q44" s="87" t="e">
        <f>VLOOKUP($B44,Raw_Data[#All],Q$2,0)/Q$1</f>
        <v>#N/A</v>
      </c>
      <c r="R44" s="87" t="e">
        <f>VLOOKUP($B44,Raw_Data[#All],R$2,0)/R$1</f>
        <v>#N/A</v>
      </c>
      <c r="S44" s="87" t="e">
        <f>VLOOKUP($B44,Raw_Data[#All],S$2,0)/S$1</f>
        <v>#N/A</v>
      </c>
      <c r="T44" s="87" t="e">
        <f>VLOOKUP($B44,Raw_Data[#All],T$2,0)/T$1</f>
        <v>#N/A</v>
      </c>
      <c r="U44" s="87" t="e">
        <f>VLOOKUP($B44,Raw_Data[#All],U$2,0)/U$1</f>
        <v>#N/A</v>
      </c>
      <c r="V44" s="87" t="e">
        <f>VLOOKUP($B44,Raw_Data[#All],V$2,0)/V$1</f>
        <v>#N/A</v>
      </c>
      <c r="W44" s="87" t="e">
        <f>VLOOKUP($B44,Raw_Data[#All],W$2,0)/W$1</f>
        <v>#N/A</v>
      </c>
      <c r="X44" s="87" t="e">
        <f>VLOOKUP($B44,Raw_Data[#All],X$2,0)/X$1</f>
        <v>#N/A</v>
      </c>
      <c r="Y44" s="87" t="e">
        <f>VLOOKUP($B44,Raw_Data[#All],Y$2,0)/Y$1</f>
        <v>#N/A</v>
      </c>
      <c r="Z44" s="87" t="e">
        <f>VLOOKUP($B44,Raw_Data[#All],Z$2,0)/Z$1</f>
        <v>#N/A</v>
      </c>
      <c r="AA44" s="87" t="e">
        <f>VLOOKUP($B44,Raw_Data[#All],AA$2,0)/AA$1</f>
        <v>#N/A</v>
      </c>
      <c r="AB44" s="87" t="e">
        <f>VLOOKUP($B44,Raw_Data[#All],AB$2,0)/AB$1</f>
        <v>#N/A</v>
      </c>
      <c r="AC44" s="87" t="e">
        <f>VLOOKUP($B44,Raw_Data[#All],AC$2,0)/AC$1</f>
        <v>#N/A</v>
      </c>
      <c r="AD44" s="87" t="e">
        <f>VLOOKUP($B44,Raw_Data[#All],AD$2,0)/AD$1</f>
        <v>#N/A</v>
      </c>
      <c r="AE44" s="87" t="e">
        <f>VLOOKUP($B44,Raw_Data[#All],AE$2,0)/AE$1</f>
        <v>#N/A</v>
      </c>
      <c r="AF44" s="87" t="e">
        <f>VLOOKUP($B44,Raw_Data[#All],AF$2,0)/AF$1</f>
        <v>#N/A</v>
      </c>
      <c r="AG44" s="87" t="e">
        <f>VLOOKUP($B44,Raw_Data[#All],AG$2,0)/AG$1</f>
        <v>#N/A</v>
      </c>
      <c r="AH44" s="87" t="e">
        <f>VLOOKUP($B44,Raw_Data[#All],AH$2,0)/AH$1</f>
        <v>#N/A</v>
      </c>
      <c r="AI44" s="87" t="e">
        <f>VLOOKUP($B44,Raw_Data[#All],AI$2,0)/AI$1</f>
        <v>#N/A</v>
      </c>
      <c r="AJ44" s="87" t="e">
        <f>VLOOKUP($B44,Raw_Data[#All],AJ$2,0)/AJ$1</f>
        <v>#N/A</v>
      </c>
      <c r="AK44" s="87" t="e">
        <f>VLOOKUP($B44,Raw_Data[#All],AK$2,0)/AK$1</f>
        <v>#N/A</v>
      </c>
      <c r="AL44" s="87" t="e">
        <f>VLOOKUP($B44,Raw_Data[#All],AL$2,0)/AL$1</f>
        <v>#N/A</v>
      </c>
      <c r="AM44" s="87" t="e">
        <f>VLOOKUP($B44,Raw_Data[#All],AM$2,0)/AM$1</f>
        <v>#N/A</v>
      </c>
      <c r="AN44" s="87" t="e">
        <f>VLOOKUP($B44,Raw_Data[#All],AN$2,0)/AN$1</f>
        <v>#N/A</v>
      </c>
      <c r="AO44" s="87" t="e">
        <f>VLOOKUP($B44,Raw_Data[#All],AO$2,0)/AO$1</f>
        <v>#N/A</v>
      </c>
      <c r="AP44" s="87" t="e">
        <f>VLOOKUP($B44,Raw_Data[#All],AP$2,0)/AP$1</f>
        <v>#N/A</v>
      </c>
      <c r="AQ44" s="87" t="e">
        <f>VLOOKUP($B44,Raw_Data[#All],AQ$2,0)/AQ$1</f>
        <v>#N/A</v>
      </c>
      <c r="AR44" s="87" t="e">
        <f>VLOOKUP($B44,Raw_Data[#All],AR$2,0)/AR$1</f>
        <v>#N/A</v>
      </c>
      <c r="AS44" s="87" t="e">
        <f>VLOOKUP($B44,Raw_Data[#All],AS$2,0)/AS$1</f>
        <v>#N/A</v>
      </c>
      <c r="AT44" s="87" t="e">
        <f>VLOOKUP($B44,Raw_Data[#All],AT$2,0)/AT$1</f>
        <v>#N/A</v>
      </c>
      <c r="AU44" s="87" t="e">
        <f>VLOOKUP($B44,Raw_Data[#All],AU$2,0)/AU$1</f>
        <v>#N/A</v>
      </c>
      <c r="AV44" s="87" t="e">
        <f>VLOOKUP($B44,Raw_Data[#All],AV$2,0)/AV$1</f>
        <v>#N/A</v>
      </c>
      <c r="AW44" s="87" t="e">
        <f>VLOOKUP($B44,Raw_Data[#All],AW$2,0)/AW$1</f>
        <v>#N/A</v>
      </c>
      <c r="AX44" s="87" t="e">
        <f>VLOOKUP($B44,Raw_Data[#All],AX$2,0)/AX$1</f>
        <v>#N/A</v>
      </c>
      <c r="AY44" s="87" t="e">
        <f>VLOOKUP($B44,Raw_Data[#All],AY$2,0)/AY$1</f>
        <v>#N/A</v>
      </c>
      <c r="AZ44" s="87" t="e">
        <f>VLOOKUP($B44,Raw_Data[#All],AZ$2,0)/AZ$1</f>
        <v>#N/A</v>
      </c>
      <c r="BA44" s="87" t="e">
        <f>VLOOKUP($B44,Raw_Data[#All],BA$2,0)/BA$1</f>
        <v>#N/A</v>
      </c>
      <c r="BB44" s="87" t="e">
        <f>VLOOKUP($B44,Raw_Data[#All],BB$2,0)/BB$1</f>
        <v>#N/A</v>
      </c>
      <c r="BC44" s="87" t="e">
        <f>VLOOKUP($B44,Raw_Data[#All],BC$2,0)/BC$1</f>
        <v>#N/A</v>
      </c>
      <c r="BD44" s="87" t="e">
        <f>VLOOKUP($B44,Raw_Data[#All],BD$2,0)/BD$1</f>
        <v>#N/A</v>
      </c>
      <c r="BE44" s="87" t="e">
        <f>VLOOKUP($B44,Raw_Data[#All],BE$2,0)/BE$1</f>
        <v>#N/A</v>
      </c>
      <c r="BF44" s="87" t="e">
        <f>VLOOKUP($B44,Raw_Data[#All],BF$2,0)/BF$1</f>
        <v>#N/A</v>
      </c>
      <c r="BG44" s="87" t="e">
        <f>VLOOKUP($B44,Raw_Data[#All],BG$2,0)/BG$1</f>
        <v>#N/A</v>
      </c>
      <c r="BH44" s="87" t="e">
        <f>VLOOKUP($B44,Raw_Data[#All],BH$2,0)/BH$1</f>
        <v>#N/A</v>
      </c>
      <c r="BI44" s="87" t="e">
        <f>VLOOKUP($B44,Raw_Data[#All],BI$2,0)/BI$1</f>
        <v>#N/A</v>
      </c>
      <c r="BJ44" s="87" t="e">
        <f>VLOOKUP($B44,Raw_Data[#All],BJ$2,0)/BJ$1</f>
        <v>#N/A</v>
      </c>
      <c r="BK44" s="87" t="e">
        <f>VLOOKUP($B44,Raw_Data[#All],BK$2,0)/BK$1</f>
        <v>#N/A</v>
      </c>
      <c r="BL44" s="87" t="e">
        <f>VLOOKUP($B44,Raw_Data[#All],BL$2,0)/BL$1</f>
        <v>#N/A</v>
      </c>
      <c r="BM44" s="87" t="e">
        <f>VLOOKUP($B44,Raw_Data[#All],BM$2,0)/BM$1</f>
        <v>#N/A</v>
      </c>
      <c r="BN44" s="87" t="e">
        <f>VLOOKUP($B44,Raw_Data[#All],BN$2,0)/BN$1</f>
        <v>#N/A</v>
      </c>
      <c r="BO44" s="87" t="e">
        <f>VLOOKUP($B44,Raw_Data[#All],BO$2,0)/BO$1</f>
        <v>#N/A</v>
      </c>
      <c r="BP44" s="87" t="e">
        <f>VLOOKUP($B44,Raw_Data[#All],BP$2,0)/BP$1</f>
        <v>#N/A</v>
      </c>
      <c r="BQ44" s="87" t="e">
        <f>VLOOKUP($B44,Raw_Data[#All],BQ$2,0)/BQ$1</f>
        <v>#N/A</v>
      </c>
      <c r="BR44" s="87" t="e">
        <f>VLOOKUP($B44,Raw_Data[#All],BR$2,0)/BR$1</f>
        <v>#N/A</v>
      </c>
      <c r="BS44" s="87" t="e">
        <f>VLOOKUP($B44,Raw_Data[#All],BS$2,0)/BS$1</f>
        <v>#N/A</v>
      </c>
      <c r="BT44" s="87" t="e">
        <f>VLOOKUP($B44,Raw_Data[#All],BT$2,0)/BT$1</f>
        <v>#N/A</v>
      </c>
      <c r="BU44" s="87" t="e">
        <f>VLOOKUP($B44,Raw_Data[#All],BU$2,0)/BU$1</f>
        <v>#N/A</v>
      </c>
      <c r="BV44" s="87" t="e">
        <f>VLOOKUP($B44,Raw_Data[#All],BV$2,0)/BV$1</f>
        <v>#N/A</v>
      </c>
      <c r="BW44" s="87" t="e">
        <f>VLOOKUP($B44,Raw_Data[#All],BW$2,0)/BW$1</f>
        <v>#N/A</v>
      </c>
      <c r="BX44" s="87" t="e">
        <f>VLOOKUP($B44,Raw_Data[#All],BX$2,0)/BX$1</f>
        <v>#N/A</v>
      </c>
      <c r="BY44" s="87" t="e">
        <f>VLOOKUP($B44,Raw_Data[#All],BY$2,0)/BY$1</f>
        <v>#N/A</v>
      </c>
      <c r="BZ44" s="87" t="e">
        <f>VLOOKUP($B44,Raw_Data[#All],BZ$2,0)/BZ$1</f>
        <v>#N/A</v>
      </c>
      <c r="CA44" s="87" t="e">
        <f>VLOOKUP($B44,Raw_Data[#All],CA$2,0)/CA$1</f>
        <v>#N/A</v>
      </c>
      <c r="CB44" s="87" t="e">
        <f>VLOOKUP($B44,Raw_Data[#All],CB$2,0)/CB$1</f>
        <v>#N/A</v>
      </c>
      <c r="CC44" s="87" t="e">
        <f>VLOOKUP($B44,Raw_Data[#All],CC$2,0)/CC$1</f>
        <v>#N/A</v>
      </c>
      <c r="CD44" s="87" t="e">
        <f>VLOOKUP($B44,Raw_Data[#All],CD$2,0)/CD$1</f>
        <v>#N/A</v>
      </c>
      <c r="CE44" s="87" t="e">
        <f>VLOOKUP($B44,Raw_Data[#All],CE$2,0)/CE$1</f>
        <v>#N/A</v>
      </c>
      <c r="CF44" s="87" t="e">
        <f>VLOOKUP($B44,Raw_Data[#All],CF$2,0)/CF$1</f>
        <v>#N/A</v>
      </c>
      <c r="CG44" s="87" t="e">
        <f>VLOOKUP($B44,Raw_Data[#All],CG$2,0)/CG$1</f>
        <v>#N/A</v>
      </c>
      <c r="CH44" s="87" t="e">
        <f>VLOOKUP($B44,Raw_Data[#All],CH$2,0)/CH$1</f>
        <v>#N/A</v>
      </c>
      <c r="CI44" s="87" t="e">
        <f>VLOOKUP($B44,Raw_Data[#All],CI$2,0)/CI$1</f>
        <v>#N/A</v>
      </c>
      <c r="CJ44" s="87" t="e">
        <f>VLOOKUP($B44,Raw_Data[#All],CJ$2,0)/CJ$1</f>
        <v>#N/A</v>
      </c>
      <c r="CK44" s="87" t="e">
        <f>VLOOKUP($B44,Raw_Data[#All],CK$2,0)/CK$1</f>
        <v>#N/A</v>
      </c>
      <c r="CL44" s="87" t="e">
        <f>VLOOKUP($B44,Raw_Data[#All],CL$2,0)/CL$1</f>
        <v>#N/A</v>
      </c>
      <c r="CM44" s="87" t="e">
        <f>VLOOKUP($B44,Raw_Data[#All],CM$2,0)/CM$1</f>
        <v>#N/A</v>
      </c>
      <c r="CN44" s="87" t="e">
        <f>VLOOKUP($B44,Raw_Data[#All],CN$2,0)/CN$1</f>
        <v>#N/A</v>
      </c>
      <c r="CO44" s="87" t="e">
        <f>VLOOKUP($B44,Raw_Data[#All],CO$2,0)/CO$1</f>
        <v>#N/A</v>
      </c>
      <c r="CP44" s="87" t="e">
        <f>VLOOKUP($B44,Raw_Data[#All],CP$2,0)/CP$1</f>
        <v>#N/A</v>
      </c>
      <c r="CQ44" s="87" t="e">
        <f>VLOOKUP($B44,Raw_Data[#All],CQ$2,0)/CQ$1</f>
        <v>#N/A</v>
      </c>
      <c r="CR44" s="87" t="e">
        <f>VLOOKUP($B44,Raw_Data[#All],CR$2,0)/CR$1</f>
        <v>#N/A</v>
      </c>
      <c r="CS44" s="87" t="e">
        <f>VLOOKUP($B44,Raw_Data[#All],CS$2,0)/CS$1</f>
        <v>#N/A</v>
      </c>
      <c r="CT44" s="87" t="e">
        <f>VLOOKUP($B44,Raw_Data[#All],CT$2,0)/CT$1</f>
        <v>#N/A</v>
      </c>
      <c r="CU44" s="87" t="e">
        <f>VLOOKUP($B44,Raw_Data[#All],CU$2,0)/CU$1</f>
        <v>#N/A</v>
      </c>
      <c r="CV44" s="87" t="e">
        <f>VLOOKUP($B44,Raw_Data[#All],CV$2,0)/CV$1</f>
        <v>#N/A</v>
      </c>
      <c r="CW44" s="87" t="e">
        <f>VLOOKUP($B44,Raw_Data[#All],CW$2,0)/CW$1</f>
        <v>#N/A</v>
      </c>
      <c r="CX44" s="87" t="e">
        <f>VLOOKUP($B44,Raw_Data[#All],CX$2,0)/CX$1</f>
        <v>#N/A</v>
      </c>
      <c r="CY44" s="87" t="e">
        <f>VLOOKUP($B44,Raw_Data[#All],CY$2,0)/CY$1</f>
        <v>#N/A</v>
      </c>
      <c r="CZ44" s="87" t="e">
        <f>VLOOKUP($B44,Raw_Data[#All],CZ$2,0)/CZ$1</f>
        <v>#N/A</v>
      </c>
      <c r="DA44" s="87" t="e">
        <f>VLOOKUP($B44,Raw_Data[#All],DA$2,0)/DA$1</f>
        <v>#N/A</v>
      </c>
      <c r="DB44" s="87" t="e">
        <f>VLOOKUP($B44,Raw_Data[#All],DB$2,0)/DB$1</f>
        <v>#N/A</v>
      </c>
      <c r="DC44" s="87" t="e">
        <f>VLOOKUP($B44,Raw_Data[#All],DC$2,0)/DC$1</f>
        <v>#N/A</v>
      </c>
      <c r="DD44" s="87" t="e">
        <f>VLOOKUP($B44,Raw_Data[#All],DD$2,0)/DD$1</f>
        <v>#N/A</v>
      </c>
      <c r="DE44" s="87" t="e">
        <f>VLOOKUP($B44,Raw_Data[#All],DE$2,0)/DE$1</f>
        <v>#N/A</v>
      </c>
      <c r="DF44" s="87" t="e">
        <f>VLOOKUP($B44,Raw_Data[#All],DF$2,0)/DF$1</f>
        <v>#N/A</v>
      </c>
      <c r="DG44" s="87" t="e">
        <f>VLOOKUP($B44,Raw_Data[#All],DG$2,0)/DG$1</f>
        <v>#N/A</v>
      </c>
      <c r="DH44" s="87" t="e">
        <f>VLOOKUP($B44,Raw_Data[#All],DH$2,0)/DH$1</f>
        <v>#N/A</v>
      </c>
      <c r="DI44" s="87" t="e">
        <f>VLOOKUP($B44,Raw_Data[#All],DI$2,0)/DI$1</f>
        <v>#N/A</v>
      </c>
      <c r="DJ44" s="87" t="e">
        <f>VLOOKUP($B44,Raw_Data[#All],DJ$2,0)/DJ$1</f>
        <v>#N/A</v>
      </c>
      <c r="DK44" s="87" t="e">
        <f>VLOOKUP($B44,Raw_Data[#All],DK$2,0)/DK$1</f>
        <v>#N/A</v>
      </c>
      <c r="DL44" s="87" t="e">
        <f>VLOOKUP($B44,Raw_Data[#All],DL$2,0)/DL$1</f>
        <v>#N/A</v>
      </c>
      <c r="DM44" s="87" t="e">
        <f>VLOOKUP($B44,Raw_Data[#All],DM$2,0)/DM$1</f>
        <v>#N/A</v>
      </c>
      <c r="DN44" s="87" t="e">
        <f>VLOOKUP($B44,Raw_Data[#All],DN$2,0)/DN$1</f>
        <v>#N/A</v>
      </c>
      <c r="DO44" s="87" t="e">
        <f>VLOOKUP($B44,Raw_Data[#All],DO$2,0)/DO$1</f>
        <v>#N/A</v>
      </c>
      <c r="DP44" s="87" t="e">
        <f>VLOOKUP($B44,Raw_Data[#All],DP$2,0)/DP$1</f>
        <v>#N/A</v>
      </c>
      <c r="DQ44" s="87" t="e">
        <f>VLOOKUP($B44,Raw_Data[#All],DQ$2,0)/DQ$1</f>
        <v>#N/A</v>
      </c>
      <c r="DR44" s="87" t="e">
        <f>VLOOKUP($B44,Raw_Data[#All],DR$2,0)/DR$1</f>
        <v>#N/A</v>
      </c>
      <c r="DS44" s="87" t="e">
        <f>VLOOKUP($B44,Raw_Data[#All],DS$2,0)/DS$1</f>
        <v>#N/A</v>
      </c>
      <c r="DT44" s="87" t="e">
        <f>VLOOKUP($B44,Raw_Data[#All],DT$2,0)/DT$1</f>
        <v>#N/A</v>
      </c>
      <c r="DU44" s="87" t="e">
        <f>VLOOKUP($B44,Raw_Data[#All],DU$2,0)/DU$1</f>
        <v>#N/A</v>
      </c>
      <c r="DV44" s="87" t="e">
        <f>VLOOKUP($B44,Raw_Data[#All],DV$2,0)/DV$1</f>
        <v>#N/A</v>
      </c>
      <c r="DW44" s="87" t="e">
        <f>VLOOKUP($B44,Raw_Data[#All],DW$2,0)/DW$1</f>
        <v>#N/A</v>
      </c>
      <c r="DX44" s="87" t="e">
        <f>VLOOKUP($B44,Raw_Data[#All],DX$2,0)/DX$1</f>
        <v>#N/A</v>
      </c>
      <c r="DY44" s="87" t="e">
        <f>VLOOKUP($B44,Raw_Data[#All],DY$2,0)/DY$1</f>
        <v>#N/A</v>
      </c>
      <c r="DZ44" s="87" t="e">
        <f>VLOOKUP($B44,Raw_Data[#All],DZ$2,0)/DZ$1</f>
        <v>#N/A</v>
      </c>
      <c r="EA44" s="87" t="e">
        <f>VLOOKUP($B44,Raw_Data[#All],EA$2,0)/EA$1</f>
        <v>#N/A</v>
      </c>
      <c r="EB44" s="87" t="e">
        <f>VLOOKUP($B44,Raw_Data[#All],EB$2,0)/EB$1</f>
        <v>#N/A</v>
      </c>
      <c r="EC44" s="87" t="e">
        <f>VLOOKUP($B44,Raw_Data[#All],EC$2,0)/EC$1</f>
        <v>#N/A</v>
      </c>
      <c r="ED44" s="87" t="e">
        <f>VLOOKUP($B44,Raw_Data[#All],ED$2,0)/ED$1</f>
        <v>#N/A</v>
      </c>
      <c r="EE44" s="87" t="e">
        <f>VLOOKUP($B44,Raw_Data[#All],EE$2,0)/EE$1</f>
        <v>#N/A</v>
      </c>
      <c r="EF44" s="87" t="e">
        <f>VLOOKUP($B44,Raw_Data[#All],EF$2,0)/EF$1</f>
        <v>#N/A</v>
      </c>
      <c r="EG44" s="87" t="e">
        <f>VLOOKUP($B44,Raw_Data[#All],EG$2,0)/EG$1</f>
        <v>#N/A</v>
      </c>
      <c r="EH44" s="87" t="e">
        <f>VLOOKUP($B44,Raw_Data[#All],EH$2,0)/EH$1</f>
        <v>#N/A</v>
      </c>
      <c r="EI44" s="87" t="e">
        <f>VLOOKUP($B44,Raw_Data[#All],EI$2,0)/EI$1</f>
        <v>#N/A</v>
      </c>
      <c r="EJ44" s="87" t="e">
        <f>VLOOKUP($B44,Raw_Data[#All],EJ$2,0)/EJ$1</f>
        <v>#N/A</v>
      </c>
      <c r="EK44" s="87" t="e">
        <f>VLOOKUP($B44,Raw_Data[#All],EK$2,0)/EK$1</f>
        <v>#N/A</v>
      </c>
      <c r="EL44" s="87" t="e">
        <f>VLOOKUP($B44,Raw_Data[#All],EL$2,0)/EL$1</f>
        <v>#N/A</v>
      </c>
      <c r="EM44" s="87" t="e">
        <f>VLOOKUP($B44,Raw_Data[#All],EM$2,0)/EM$1</f>
        <v>#N/A</v>
      </c>
      <c r="EN44" s="87" t="e">
        <f>VLOOKUP($B44,Raw_Data[#All],EN$2,0)/EN$1</f>
        <v>#N/A</v>
      </c>
      <c r="EO44" s="87" t="e">
        <f>VLOOKUP($B44,Raw_Data[#All],EO$2,0)/EO$1</f>
        <v>#N/A</v>
      </c>
      <c r="EP44" s="87" t="e">
        <f>VLOOKUP($B44,Raw_Data[#All],EP$2,0)/EP$1</f>
        <v>#N/A</v>
      </c>
      <c r="EQ44" s="87" t="e">
        <f>VLOOKUP($B44,Raw_Data[#All],EQ$2,0)/EQ$1</f>
        <v>#N/A</v>
      </c>
      <c r="ER44" s="87" t="e">
        <f>VLOOKUP($B44,Raw_Data[#All],ER$2,0)/ER$1</f>
        <v>#N/A</v>
      </c>
      <c r="ES44" s="87" t="e">
        <f>VLOOKUP($B44,Raw_Data[#All],ES$2,0)/ES$1</f>
        <v>#N/A</v>
      </c>
      <c r="ET44" s="87" t="e">
        <f>VLOOKUP($B44,Raw_Data[#All],ET$2,0)/ET$1</f>
        <v>#N/A</v>
      </c>
      <c r="EU44" s="87" t="e">
        <f>VLOOKUP($B44,Raw_Data[#All],EU$2,0)/EU$1</f>
        <v>#N/A</v>
      </c>
      <c r="EV44" s="87" t="e">
        <f>VLOOKUP($B44,Raw_Data[#All],EV$2,0)/EV$1</f>
        <v>#N/A</v>
      </c>
      <c r="EW44" s="87" t="e">
        <f>VLOOKUP($B44,Raw_Data[#All],EW$2,0)/EW$1</f>
        <v>#N/A</v>
      </c>
      <c r="EX44" s="87" t="e">
        <f>VLOOKUP($B44,Raw_Data[#All],EX$2,0)/EX$1</f>
        <v>#N/A</v>
      </c>
      <c r="EY44" s="87" t="e">
        <f>VLOOKUP($B44,Raw_Data[#All],EY$2,0)/EY$1</f>
        <v>#N/A</v>
      </c>
      <c r="EZ44" s="87" t="e">
        <f>VLOOKUP($B44,Raw_Data[#All],EZ$2,0)/EZ$1</f>
        <v>#N/A</v>
      </c>
      <c r="FA44" s="87" t="e">
        <f>VLOOKUP($B44,Raw_Data[#All],FA$2,0)/FA$1</f>
        <v>#N/A</v>
      </c>
      <c r="FB44" s="87" t="e">
        <f>VLOOKUP($B44,Raw_Data[#All],FB$2,0)/FB$1</f>
        <v>#N/A</v>
      </c>
      <c r="FC44" s="87" t="e">
        <f>VLOOKUP($B44,Raw_Data[#All],FC$2,0)/FC$1</f>
        <v>#N/A</v>
      </c>
      <c r="FD44" s="87" t="e">
        <f>VLOOKUP($B44,Raw_Data[#All],FD$2,0)/FD$1</f>
        <v>#N/A</v>
      </c>
      <c r="FE44" s="87" t="e">
        <f>VLOOKUP($B44,Raw_Data[#All],FE$2,0)/FE$1</f>
        <v>#N/A</v>
      </c>
      <c r="FF44" s="87" t="e">
        <f>VLOOKUP($B44,Raw_Data[#All],FF$2,0)/FF$1</f>
        <v>#N/A</v>
      </c>
      <c r="FG44" s="105" t="e">
        <f>VLOOKUP($B44,Raw_Data[#All],FG$2,0)/FG$1</f>
        <v>#N/A</v>
      </c>
    </row>
    <row r="45" spans="2:163">
      <c r="B45" s="106">
        <f t="shared" si="1"/>
        <v>45868</v>
      </c>
      <c r="C45" s="87" t="e">
        <f>VLOOKUP($B45,Raw_Data[#All],C$2,0)/C$1</f>
        <v>#N/A</v>
      </c>
      <c r="D45" s="87" t="e">
        <f>VLOOKUP($B45,Raw_Data[#All],D$2,0)/D$1</f>
        <v>#N/A</v>
      </c>
      <c r="E45" s="87" t="e">
        <f>VLOOKUP($B45,Raw_Data[#All],E$2,0)/E$1</f>
        <v>#N/A</v>
      </c>
      <c r="F45" s="87" t="e">
        <f>VLOOKUP($B45,Raw_Data[#All],F$2,0)/F$1</f>
        <v>#N/A</v>
      </c>
      <c r="G45" s="87" t="e">
        <f>VLOOKUP($B45,Raw_Data[#All],G$2,0)/G$1</f>
        <v>#N/A</v>
      </c>
      <c r="H45" s="87" t="e">
        <f>VLOOKUP($B45,Raw_Data[#All],H$2,0)/H$1</f>
        <v>#N/A</v>
      </c>
      <c r="I45" s="87" t="e">
        <f>VLOOKUP($B45,Raw_Data[#All],I$2,0)/I$1</f>
        <v>#N/A</v>
      </c>
      <c r="J45" s="87" t="e">
        <f>VLOOKUP($B45,Raw_Data[#All],J$2,0)/J$1</f>
        <v>#N/A</v>
      </c>
      <c r="K45" s="87" t="e">
        <f>VLOOKUP($B45,Raw_Data[#All],K$2,0)/K$1</f>
        <v>#N/A</v>
      </c>
      <c r="L45" s="87" t="e">
        <f>VLOOKUP($B45,Raw_Data[#All],L$2,0)/L$1</f>
        <v>#N/A</v>
      </c>
      <c r="M45" s="87" t="e">
        <f>VLOOKUP($B45,Raw_Data[#All],M$2,0)/M$1</f>
        <v>#N/A</v>
      </c>
      <c r="N45" s="87" t="e">
        <f>VLOOKUP($B45,Raw_Data[#All],N$2,0)/N$1</f>
        <v>#N/A</v>
      </c>
      <c r="O45" s="87" t="e">
        <f>VLOOKUP($B45,Raw_Data[#All],O$2,0)/O$1</f>
        <v>#N/A</v>
      </c>
      <c r="P45" s="87" t="e">
        <f>VLOOKUP($B45,Raw_Data[#All],P$2,0)/P$1</f>
        <v>#N/A</v>
      </c>
      <c r="Q45" s="87" t="e">
        <f>VLOOKUP($B45,Raw_Data[#All],Q$2,0)/Q$1</f>
        <v>#N/A</v>
      </c>
      <c r="R45" s="87" t="e">
        <f>VLOOKUP($B45,Raw_Data[#All],R$2,0)/R$1</f>
        <v>#N/A</v>
      </c>
      <c r="S45" s="87" t="e">
        <f>VLOOKUP($B45,Raw_Data[#All],S$2,0)/S$1</f>
        <v>#N/A</v>
      </c>
      <c r="T45" s="87" t="e">
        <f>VLOOKUP($B45,Raw_Data[#All],T$2,0)/T$1</f>
        <v>#N/A</v>
      </c>
      <c r="U45" s="87" t="e">
        <f>VLOOKUP($B45,Raw_Data[#All],U$2,0)/U$1</f>
        <v>#N/A</v>
      </c>
      <c r="V45" s="87" t="e">
        <f>VLOOKUP($B45,Raw_Data[#All],V$2,0)/V$1</f>
        <v>#N/A</v>
      </c>
      <c r="W45" s="87" t="e">
        <f>VLOOKUP($B45,Raw_Data[#All],W$2,0)/W$1</f>
        <v>#N/A</v>
      </c>
      <c r="X45" s="87" t="e">
        <f>VLOOKUP($B45,Raw_Data[#All],X$2,0)/X$1</f>
        <v>#N/A</v>
      </c>
      <c r="Y45" s="87" t="e">
        <f>VLOOKUP($B45,Raw_Data[#All],Y$2,0)/Y$1</f>
        <v>#N/A</v>
      </c>
      <c r="Z45" s="87" t="e">
        <f>VLOOKUP($B45,Raw_Data[#All],Z$2,0)/Z$1</f>
        <v>#N/A</v>
      </c>
      <c r="AA45" s="87" t="e">
        <f>VLOOKUP($B45,Raw_Data[#All],AA$2,0)/AA$1</f>
        <v>#N/A</v>
      </c>
      <c r="AB45" s="87" t="e">
        <f>VLOOKUP($B45,Raw_Data[#All],AB$2,0)/AB$1</f>
        <v>#N/A</v>
      </c>
      <c r="AC45" s="87" t="e">
        <f>VLOOKUP($B45,Raw_Data[#All],AC$2,0)/AC$1</f>
        <v>#N/A</v>
      </c>
      <c r="AD45" s="87" t="e">
        <f>VLOOKUP($B45,Raw_Data[#All],AD$2,0)/AD$1</f>
        <v>#N/A</v>
      </c>
      <c r="AE45" s="87" t="e">
        <f>VLOOKUP($B45,Raw_Data[#All],AE$2,0)/AE$1</f>
        <v>#N/A</v>
      </c>
      <c r="AF45" s="87" t="e">
        <f>VLOOKUP($B45,Raw_Data[#All],AF$2,0)/AF$1</f>
        <v>#N/A</v>
      </c>
      <c r="AG45" s="87" t="e">
        <f>VLOOKUP($B45,Raw_Data[#All],AG$2,0)/AG$1</f>
        <v>#N/A</v>
      </c>
      <c r="AH45" s="87" t="e">
        <f>VLOOKUP($B45,Raw_Data[#All],AH$2,0)/AH$1</f>
        <v>#N/A</v>
      </c>
      <c r="AI45" s="87" t="e">
        <f>VLOOKUP($B45,Raw_Data[#All],AI$2,0)/AI$1</f>
        <v>#N/A</v>
      </c>
      <c r="AJ45" s="87" t="e">
        <f>VLOOKUP($B45,Raw_Data[#All],AJ$2,0)/AJ$1</f>
        <v>#N/A</v>
      </c>
      <c r="AK45" s="87" t="e">
        <f>VLOOKUP($B45,Raw_Data[#All],AK$2,0)/AK$1</f>
        <v>#N/A</v>
      </c>
      <c r="AL45" s="87" t="e">
        <f>VLOOKUP($B45,Raw_Data[#All],AL$2,0)/AL$1</f>
        <v>#N/A</v>
      </c>
      <c r="AM45" s="87" t="e">
        <f>VLOOKUP($B45,Raw_Data[#All],AM$2,0)/AM$1</f>
        <v>#N/A</v>
      </c>
      <c r="AN45" s="87" t="e">
        <f>VLOOKUP($B45,Raw_Data[#All],AN$2,0)/AN$1</f>
        <v>#N/A</v>
      </c>
      <c r="AO45" s="87" t="e">
        <f>VLOOKUP($B45,Raw_Data[#All],AO$2,0)/AO$1</f>
        <v>#N/A</v>
      </c>
      <c r="AP45" s="87" t="e">
        <f>VLOOKUP($B45,Raw_Data[#All],AP$2,0)/AP$1</f>
        <v>#N/A</v>
      </c>
      <c r="AQ45" s="87" t="e">
        <f>VLOOKUP($B45,Raw_Data[#All],AQ$2,0)/AQ$1</f>
        <v>#N/A</v>
      </c>
      <c r="AR45" s="87" t="e">
        <f>VLOOKUP($B45,Raw_Data[#All],AR$2,0)/AR$1</f>
        <v>#N/A</v>
      </c>
      <c r="AS45" s="87" t="e">
        <f>VLOOKUP($B45,Raw_Data[#All],AS$2,0)/AS$1</f>
        <v>#N/A</v>
      </c>
      <c r="AT45" s="87" t="e">
        <f>VLOOKUP($B45,Raw_Data[#All],AT$2,0)/AT$1</f>
        <v>#N/A</v>
      </c>
      <c r="AU45" s="87" t="e">
        <f>VLOOKUP($B45,Raw_Data[#All],AU$2,0)/AU$1</f>
        <v>#N/A</v>
      </c>
      <c r="AV45" s="87" t="e">
        <f>VLOOKUP($B45,Raw_Data[#All],AV$2,0)/AV$1</f>
        <v>#N/A</v>
      </c>
      <c r="AW45" s="87" t="e">
        <f>VLOOKUP($B45,Raw_Data[#All],AW$2,0)/AW$1</f>
        <v>#N/A</v>
      </c>
      <c r="AX45" s="87" t="e">
        <f>VLOOKUP($B45,Raw_Data[#All],AX$2,0)/AX$1</f>
        <v>#N/A</v>
      </c>
      <c r="AY45" s="87" t="e">
        <f>VLOOKUP($B45,Raw_Data[#All],AY$2,0)/AY$1</f>
        <v>#N/A</v>
      </c>
      <c r="AZ45" s="87" t="e">
        <f>VLOOKUP($B45,Raw_Data[#All],AZ$2,0)/AZ$1</f>
        <v>#N/A</v>
      </c>
      <c r="BA45" s="87" t="e">
        <f>VLOOKUP($B45,Raw_Data[#All],BA$2,0)/BA$1</f>
        <v>#N/A</v>
      </c>
      <c r="BB45" s="87" t="e">
        <f>VLOOKUP($B45,Raw_Data[#All],BB$2,0)/BB$1</f>
        <v>#N/A</v>
      </c>
      <c r="BC45" s="87" t="e">
        <f>VLOOKUP($B45,Raw_Data[#All],BC$2,0)/BC$1</f>
        <v>#N/A</v>
      </c>
      <c r="BD45" s="87" t="e">
        <f>VLOOKUP($B45,Raw_Data[#All],BD$2,0)/BD$1</f>
        <v>#N/A</v>
      </c>
      <c r="BE45" s="87" t="e">
        <f>VLOOKUP($B45,Raw_Data[#All],BE$2,0)/BE$1</f>
        <v>#N/A</v>
      </c>
      <c r="BF45" s="87" t="e">
        <f>VLOOKUP($B45,Raw_Data[#All],BF$2,0)/BF$1</f>
        <v>#N/A</v>
      </c>
      <c r="BG45" s="87" t="e">
        <f>VLOOKUP($B45,Raw_Data[#All],BG$2,0)/BG$1</f>
        <v>#N/A</v>
      </c>
      <c r="BH45" s="87" t="e">
        <f>VLOOKUP($B45,Raw_Data[#All],BH$2,0)/BH$1</f>
        <v>#N/A</v>
      </c>
      <c r="BI45" s="87" t="e">
        <f>VLOOKUP($B45,Raw_Data[#All],BI$2,0)/BI$1</f>
        <v>#N/A</v>
      </c>
      <c r="BJ45" s="87" t="e">
        <f>VLOOKUP($B45,Raw_Data[#All],BJ$2,0)/BJ$1</f>
        <v>#N/A</v>
      </c>
      <c r="BK45" s="87" t="e">
        <f>VLOOKUP($B45,Raw_Data[#All],BK$2,0)/BK$1</f>
        <v>#N/A</v>
      </c>
      <c r="BL45" s="87" t="e">
        <f>VLOOKUP($B45,Raw_Data[#All],BL$2,0)/BL$1</f>
        <v>#N/A</v>
      </c>
      <c r="BM45" s="87" t="e">
        <f>VLOOKUP($B45,Raw_Data[#All],BM$2,0)/BM$1</f>
        <v>#N/A</v>
      </c>
      <c r="BN45" s="87" t="e">
        <f>VLOOKUP($B45,Raw_Data[#All],BN$2,0)/BN$1</f>
        <v>#N/A</v>
      </c>
      <c r="BO45" s="87" t="e">
        <f>VLOOKUP($B45,Raw_Data[#All],BO$2,0)/BO$1</f>
        <v>#N/A</v>
      </c>
      <c r="BP45" s="87" t="e">
        <f>VLOOKUP($B45,Raw_Data[#All],BP$2,0)/BP$1</f>
        <v>#N/A</v>
      </c>
      <c r="BQ45" s="87" t="e">
        <f>VLOOKUP($B45,Raw_Data[#All],BQ$2,0)/BQ$1</f>
        <v>#N/A</v>
      </c>
      <c r="BR45" s="87" t="e">
        <f>VLOOKUP($B45,Raw_Data[#All],BR$2,0)/BR$1</f>
        <v>#N/A</v>
      </c>
      <c r="BS45" s="87" t="e">
        <f>VLOOKUP($B45,Raw_Data[#All],BS$2,0)/BS$1</f>
        <v>#N/A</v>
      </c>
      <c r="BT45" s="87" t="e">
        <f>VLOOKUP($B45,Raw_Data[#All],BT$2,0)/BT$1</f>
        <v>#N/A</v>
      </c>
      <c r="BU45" s="87" t="e">
        <f>VLOOKUP($B45,Raw_Data[#All],BU$2,0)/BU$1</f>
        <v>#N/A</v>
      </c>
      <c r="BV45" s="87" t="e">
        <f>VLOOKUP($B45,Raw_Data[#All],BV$2,0)/BV$1</f>
        <v>#N/A</v>
      </c>
      <c r="BW45" s="87" t="e">
        <f>VLOOKUP($B45,Raw_Data[#All],BW$2,0)/BW$1</f>
        <v>#N/A</v>
      </c>
      <c r="BX45" s="87" t="e">
        <f>VLOOKUP($B45,Raw_Data[#All],BX$2,0)/BX$1</f>
        <v>#N/A</v>
      </c>
      <c r="BY45" s="87" t="e">
        <f>VLOOKUP($B45,Raw_Data[#All],BY$2,0)/BY$1</f>
        <v>#N/A</v>
      </c>
      <c r="BZ45" s="87" t="e">
        <f>VLOOKUP($B45,Raw_Data[#All],BZ$2,0)/BZ$1</f>
        <v>#N/A</v>
      </c>
      <c r="CA45" s="87" t="e">
        <f>VLOOKUP($B45,Raw_Data[#All],CA$2,0)/CA$1</f>
        <v>#N/A</v>
      </c>
      <c r="CB45" s="87" t="e">
        <f>VLOOKUP($B45,Raw_Data[#All],CB$2,0)/CB$1</f>
        <v>#N/A</v>
      </c>
      <c r="CC45" s="87" t="e">
        <f>VLOOKUP($B45,Raw_Data[#All],CC$2,0)/CC$1</f>
        <v>#N/A</v>
      </c>
      <c r="CD45" s="87" t="e">
        <f>VLOOKUP($B45,Raw_Data[#All],CD$2,0)/CD$1</f>
        <v>#N/A</v>
      </c>
      <c r="CE45" s="87" t="e">
        <f>VLOOKUP($B45,Raw_Data[#All],CE$2,0)/CE$1</f>
        <v>#N/A</v>
      </c>
      <c r="CF45" s="87" t="e">
        <f>VLOOKUP($B45,Raw_Data[#All],CF$2,0)/CF$1</f>
        <v>#N/A</v>
      </c>
      <c r="CG45" s="87" t="e">
        <f>VLOOKUP($B45,Raw_Data[#All],CG$2,0)/CG$1</f>
        <v>#N/A</v>
      </c>
      <c r="CH45" s="87" t="e">
        <f>VLOOKUP($B45,Raw_Data[#All],CH$2,0)/CH$1</f>
        <v>#N/A</v>
      </c>
      <c r="CI45" s="87" t="e">
        <f>VLOOKUP($B45,Raw_Data[#All],CI$2,0)/CI$1</f>
        <v>#N/A</v>
      </c>
      <c r="CJ45" s="87" t="e">
        <f>VLOOKUP($B45,Raw_Data[#All],CJ$2,0)/CJ$1</f>
        <v>#N/A</v>
      </c>
      <c r="CK45" s="87" t="e">
        <f>VLOOKUP($B45,Raw_Data[#All],CK$2,0)/CK$1</f>
        <v>#N/A</v>
      </c>
      <c r="CL45" s="87" t="e">
        <f>VLOOKUP($B45,Raw_Data[#All],CL$2,0)/CL$1</f>
        <v>#N/A</v>
      </c>
      <c r="CM45" s="87" t="e">
        <f>VLOOKUP($B45,Raw_Data[#All],CM$2,0)/CM$1</f>
        <v>#N/A</v>
      </c>
      <c r="CN45" s="87" t="e">
        <f>VLOOKUP($B45,Raw_Data[#All],CN$2,0)/CN$1</f>
        <v>#N/A</v>
      </c>
      <c r="CO45" s="87" t="e">
        <f>VLOOKUP($B45,Raw_Data[#All],CO$2,0)/CO$1</f>
        <v>#N/A</v>
      </c>
      <c r="CP45" s="87" t="e">
        <f>VLOOKUP($B45,Raw_Data[#All],CP$2,0)/CP$1</f>
        <v>#N/A</v>
      </c>
      <c r="CQ45" s="87" t="e">
        <f>VLOOKUP($B45,Raw_Data[#All],CQ$2,0)/CQ$1</f>
        <v>#N/A</v>
      </c>
      <c r="CR45" s="87" t="e">
        <f>VLOOKUP($B45,Raw_Data[#All],CR$2,0)/CR$1</f>
        <v>#N/A</v>
      </c>
      <c r="CS45" s="87" t="e">
        <f>VLOOKUP($B45,Raw_Data[#All],CS$2,0)/CS$1</f>
        <v>#N/A</v>
      </c>
      <c r="CT45" s="87" t="e">
        <f>VLOOKUP($B45,Raw_Data[#All],CT$2,0)/CT$1</f>
        <v>#N/A</v>
      </c>
      <c r="CU45" s="87" t="e">
        <f>VLOOKUP($B45,Raw_Data[#All],CU$2,0)/CU$1</f>
        <v>#N/A</v>
      </c>
      <c r="CV45" s="87" t="e">
        <f>VLOOKUP($B45,Raw_Data[#All],CV$2,0)/CV$1</f>
        <v>#N/A</v>
      </c>
      <c r="CW45" s="87" t="e">
        <f>VLOOKUP($B45,Raw_Data[#All],CW$2,0)/CW$1</f>
        <v>#N/A</v>
      </c>
      <c r="CX45" s="87" t="e">
        <f>VLOOKUP($B45,Raw_Data[#All],CX$2,0)/CX$1</f>
        <v>#N/A</v>
      </c>
      <c r="CY45" s="87" t="e">
        <f>VLOOKUP($B45,Raw_Data[#All],CY$2,0)/CY$1</f>
        <v>#N/A</v>
      </c>
      <c r="CZ45" s="87" t="e">
        <f>VLOOKUP($B45,Raw_Data[#All],CZ$2,0)/CZ$1</f>
        <v>#N/A</v>
      </c>
      <c r="DA45" s="87" t="e">
        <f>VLOOKUP($B45,Raw_Data[#All],DA$2,0)/DA$1</f>
        <v>#N/A</v>
      </c>
      <c r="DB45" s="87" t="e">
        <f>VLOOKUP($B45,Raw_Data[#All],DB$2,0)/DB$1</f>
        <v>#N/A</v>
      </c>
      <c r="DC45" s="87" t="e">
        <f>VLOOKUP($B45,Raw_Data[#All],DC$2,0)/DC$1</f>
        <v>#N/A</v>
      </c>
      <c r="DD45" s="87" t="e">
        <f>VLOOKUP($B45,Raw_Data[#All],DD$2,0)/DD$1</f>
        <v>#N/A</v>
      </c>
      <c r="DE45" s="87" t="e">
        <f>VLOOKUP($B45,Raw_Data[#All],DE$2,0)/DE$1</f>
        <v>#N/A</v>
      </c>
      <c r="DF45" s="87" t="e">
        <f>VLOOKUP($B45,Raw_Data[#All],DF$2,0)/DF$1</f>
        <v>#N/A</v>
      </c>
      <c r="DG45" s="87" t="e">
        <f>VLOOKUP($B45,Raw_Data[#All],DG$2,0)/DG$1</f>
        <v>#N/A</v>
      </c>
      <c r="DH45" s="87" t="e">
        <f>VLOOKUP($B45,Raw_Data[#All],DH$2,0)/DH$1</f>
        <v>#N/A</v>
      </c>
      <c r="DI45" s="87" t="e">
        <f>VLOOKUP($B45,Raw_Data[#All],DI$2,0)/DI$1</f>
        <v>#N/A</v>
      </c>
      <c r="DJ45" s="87" t="e">
        <f>VLOOKUP($B45,Raw_Data[#All],DJ$2,0)/DJ$1</f>
        <v>#N/A</v>
      </c>
      <c r="DK45" s="87" t="e">
        <f>VLOOKUP($B45,Raw_Data[#All],DK$2,0)/DK$1</f>
        <v>#N/A</v>
      </c>
      <c r="DL45" s="87" t="e">
        <f>VLOOKUP($B45,Raw_Data[#All],DL$2,0)/DL$1</f>
        <v>#N/A</v>
      </c>
      <c r="DM45" s="87" t="e">
        <f>VLOOKUP($B45,Raw_Data[#All],DM$2,0)/DM$1</f>
        <v>#N/A</v>
      </c>
      <c r="DN45" s="87" t="e">
        <f>VLOOKUP($B45,Raw_Data[#All],DN$2,0)/DN$1</f>
        <v>#N/A</v>
      </c>
      <c r="DO45" s="87" t="e">
        <f>VLOOKUP($B45,Raw_Data[#All],DO$2,0)/DO$1</f>
        <v>#N/A</v>
      </c>
      <c r="DP45" s="87" t="e">
        <f>VLOOKUP($B45,Raw_Data[#All],DP$2,0)/DP$1</f>
        <v>#N/A</v>
      </c>
      <c r="DQ45" s="87" t="e">
        <f>VLOOKUP($B45,Raw_Data[#All],DQ$2,0)/DQ$1</f>
        <v>#N/A</v>
      </c>
      <c r="DR45" s="87" t="e">
        <f>VLOOKUP($B45,Raw_Data[#All],DR$2,0)/DR$1</f>
        <v>#N/A</v>
      </c>
      <c r="DS45" s="87" t="e">
        <f>VLOOKUP($B45,Raw_Data[#All],DS$2,0)/DS$1</f>
        <v>#N/A</v>
      </c>
      <c r="DT45" s="87" t="e">
        <f>VLOOKUP($B45,Raw_Data[#All],DT$2,0)/DT$1</f>
        <v>#N/A</v>
      </c>
      <c r="DU45" s="87" t="e">
        <f>VLOOKUP($B45,Raw_Data[#All],DU$2,0)/DU$1</f>
        <v>#N/A</v>
      </c>
      <c r="DV45" s="87" t="e">
        <f>VLOOKUP($B45,Raw_Data[#All],DV$2,0)/DV$1</f>
        <v>#N/A</v>
      </c>
      <c r="DW45" s="87" t="e">
        <f>VLOOKUP($B45,Raw_Data[#All],DW$2,0)/DW$1</f>
        <v>#N/A</v>
      </c>
      <c r="DX45" s="87" t="e">
        <f>VLOOKUP($B45,Raw_Data[#All],DX$2,0)/DX$1</f>
        <v>#N/A</v>
      </c>
      <c r="DY45" s="87" t="e">
        <f>VLOOKUP($B45,Raw_Data[#All],DY$2,0)/DY$1</f>
        <v>#N/A</v>
      </c>
      <c r="DZ45" s="87" t="e">
        <f>VLOOKUP($B45,Raw_Data[#All],DZ$2,0)/DZ$1</f>
        <v>#N/A</v>
      </c>
      <c r="EA45" s="87" t="e">
        <f>VLOOKUP($B45,Raw_Data[#All],EA$2,0)/EA$1</f>
        <v>#N/A</v>
      </c>
      <c r="EB45" s="87" t="e">
        <f>VLOOKUP($B45,Raw_Data[#All],EB$2,0)/EB$1</f>
        <v>#N/A</v>
      </c>
      <c r="EC45" s="87" t="e">
        <f>VLOOKUP($B45,Raw_Data[#All],EC$2,0)/EC$1</f>
        <v>#N/A</v>
      </c>
      <c r="ED45" s="87" t="e">
        <f>VLOOKUP($B45,Raw_Data[#All],ED$2,0)/ED$1</f>
        <v>#N/A</v>
      </c>
      <c r="EE45" s="87" t="e">
        <f>VLOOKUP($B45,Raw_Data[#All],EE$2,0)/EE$1</f>
        <v>#N/A</v>
      </c>
      <c r="EF45" s="87" t="e">
        <f>VLOOKUP($B45,Raw_Data[#All],EF$2,0)/EF$1</f>
        <v>#N/A</v>
      </c>
      <c r="EG45" s="87" t="e">
        <f>VLOOKUP($B45,Raw_Data[#All],EG$2,0)/EG$1</f>
        <v>#N/A</v>
      </c>
      <c r="EH45" s="87" t="e">
        <f>VLOOKUP($B45,Raw_Data[#All],EH$2,0)/EH$1</f>
        <v>#N/A</v>
      </c>
      <c r="EI45" s="87" t="e">
        <f>VLOOKUP($B45,Raw_Data[#All],EI$2,0)/EI$1</f>
        <v>#N/A</v>
      </c>
      <c r="EJ45" s="87" t="e">
        <f>VLOOKUP($B45,Raw_Data[#All],EJ$2,0)/EJ$1</f>
        <v>#N/A</v>
      </c>
      <c r="EK45" s="87" t="e">
        <f>VLOOKUP($B45,Raw_Data[#All],EK$2,0)/EK$1</f>
        <v>#N/A</v>
      </c>
      <c r="EL45" s="87" t="e">
        <f>VLOOKUP($B45,Raw_Data[#All],EL$2,0)/EL$1</f>
        <v>#N/A</v>
      </c>
      <c r="EM45" s="87" t="e">
        <f>VLOOKUP($B45,Raw_Data[#All],EM$2,0)/EM$1</f>
        <v>#N/A</v>
      </c>
      <c r="EN45" s="87" t="e">
        <f>VLOOKUP($B45,Raw_Data[#All],EN$2,0)/EN$1</f>
        <v>#N/A</v>
      </c>
      <c r="EO45" s="87" t="e">
        <f>VLOOKUP($B45,Raw_Data[#All],EO$2,0)/EO$1</f>
        <v>#N/A</v>
      </c>
      <c r="EP45" s="87" t="e">
        <f>VLOOKUP($B45,Raw_Data[#All],EP$2,0)/EP$1</f>
        <v>#N/A</v>
      </c>
      <c r="EQ45" s="87" t="e">
        <f>VLOOKUP($B45,Raw_Data[#All],EQ$2,0)/EQ$1</f>
        <v>#N/A</v>
      </c>
      <c r="ER45" s="87" t="e">
        <f>VLOOKUP($B45,Raw_Data[#All],ER$2,0)/ER$1</f>
        <v>#N/A</v>
      </c>
      <c r="ES45" s="87" t="e">
        <f>VLOOKUP($B45,Raw_Data[#All],ES$2,0)/ES$1</f>
        <v>#N/A</v>
      </c>
      <c r="ET45" s="87" t="e">
        <f>VLOOKUP($B45,Raw_Data[#All],ET$2,0)/ET$1</f>
        <v>#N/A</v>
      </c>
      <c r="EU45" s="87" t="e">
        <f>VLOOKUP($B45,Raw_Data[#All],EU$2,0)/EU$1</f>
        <v>#N/A</v>
      </c>
      <c r="EV45" s="87" t="e">
        <f>VLOOKUP($B45,Raw_Data[#All],EV$2,0)/EV$1</f>
        <v>#N/A</v>
      </c>
      <c r="EW45" s="87" t="e">
        <f>VLOOKUP($B45,Raw_Data[#All],EW$2,0)/EW$1</f>
        <v>#N/A</v>
      </c>
      <c r="EX45" s="87" t="e">
        <f>VLOOKUP($B45,Raw_Data[#All],EX$2,0)/EX$1</f>
        <v>#N/A</v>
      </c>
      <c r="EY45" s="87" t="e">
        <f>VLOOKUP($B45,Raw_Data[#All],EY$2,0)/EY$1</f>
        <v>#N/A</v>
      </c>
      <c r="EZ45" s="87" t="e">
        <f>VLOOKUP($B45,Raw_Data[#All],EZ$2,0)/EZ$1</f>
        <v>#N/A</v>
      </c>
      <c r="FA45" s="87" t="e">
        <f>VLOOKUP($B45,Raw_Data[#All],FA$2,0)/FA$1</f>
        <v>#N/A</v>
      </c>
      <c r="FB45" s="87" t="e">
        <f>VLOOKUP($B45,Raw_Data[#All],FB$2,0)/FB$1</f>
        <v>#N/A</v>
      </c>
      <c r="FC45" s="87" t="e">
        <f>VLOOKUP($B45,Raw_Data[#All],FC$2,0)/FC$1</f>
        <v>#N/A</v>
      </c>
      <c r="FD45" s="87" t="e">
        <f>VLOOKUP($B45,Raw_Data[#All],FD$2,0)/FD$1</f>
        <v>#N/A</v>
      </c>
      <c r="FE45" s="87" t="e">
        <f>VLOOKUP($B45,Raw_Data[#All],FE$2,0)/FE$1</f>
        <v>#N/A</v>
      </c>
      <c r="FF45" s="87" t="e">
        <f>VLOOKUP($B45,Raw_Data[#All],FF$2,0)/FF$1</f>
        <v>#N/A</v>
      </c>
      <c r="FG45" s="105" t="e">
        <f>VLOOKUP($B45,Raw_Data[#All],FG$2,0)/FG$1</f>
        <v>#N/A</v>
      </c>
    </row>
    <row r="46" spans="2:163">
      <c r="B46" s="106">
        <f t="shared" si="1"/>
        <v>45869</v>
      </c>
      <c r="C46" s="87" t="e">
        <f>VLOOKUP($B46,Raw_Data[#All],C$2,0)/C$1</f>
        <v>#N/A</v>
      </c>
      <c r="D46" s="87" t="e">
        <f>VLOOKUP($B46,Raw_Data[#All],D$2,0)/D$1</f>
        <v>#N/A</v>
      </c>
      <c r="E46" s="87" t="e">
        <f>VLOOKUP($B46,Raw_Data[#All],E$2,0)/E$1</f>
        <v>#N/A</v>
      </c>
      <c r="F46" s="87" t="e">
        <f>VLOOKUP($B46,Raw_Data[#All],F$2,0)/F$1</f>
        <v>#N/A</v>
      </c>
      <c r="G46" s="87" t="e">
        <f>VLOOKUP($B46,Raw_Data[#All],G$2,0)/G$1</f>
        <v>#N/A</v>
      </c>
      <c r="H46" s="87" t="e">
        <f>VLOOKUP($B46,Raw_Data[#All],H$2,0)/H$1</f>
        <v>#N/A</v>
      </c>
      <c r="I46" s="87" t="e">
        <f>VLOOKUP($B46,Raw_Data[#All],I$2,0)/I$1</f>
        <v>#N/A</v>
      </c>
      <c r="J46" s="87" t="e">
        <f>VLOOKUP($B46,Raw_Data[#All],J$2,0)/J$1</f>
        <v>#N/A</v>
      </c>
      <c r="K46" s="87" t="e">
        <f>VLOOKUP($B46,Raw_Data[#All],K$2,0)/K$1</f>
        <v>#N/A</v>
      </c>
      <c r="L46" s="87" t="e">
        <f>VLOOKUP($B46,Raw_Data[#All],L$2,0)/L$1</f>
        <v>#N/A</v>
      </c>
      <c r="M46" s="87" t="e">
        <f>VLOOKUP($B46,Raw_Data[#All],M$2,0)/M$1</f>
        <v>#N/A</v>
      </c>
      <c r="N46" s="87" t="e">
        <f>VLOOKUP($B46,Raw_Data[#All],N$2,0)/N$1</f>
        <v>#N/A</v>
      </c>
      <c r="O46" s="87" t="e">
        <f>VLOOKUP($B46,Raw_Data[#All],O$2,0)/O$1</f>
        <v>#N/A</v>
      </c>
      <c r="P46" s="87" t="e">
        <f>VLOOKUP($B46,Raw_Data[#All],P$2,0)/P$1</f>
        <v>#N/A</v>
      </c>
      <c r="Q46" s="87" t="e">
        <f>VLOOKUP($B46,Raw_Data[#All],Q$2,0)/Q$1</f>
        <v>#N/A</v>
      </c>
      <c r="R46" s="87" t="e">
        <f>VLOOKUP($B46,Raw_Data[#All],R$2,0)/R$1</f>
        <v>#N/A</v>
      </c>
      <c r="S46" s="87" t="e">
        <f>VLOOKUP($B46,Raw_Data[#All],S$2,0)/S$1</f>
        <v>#N/A</v>
      </c>
      <c r="T46" s="87" t="e">
        <f>VLOOKUP($B46,Raw_Data[#All],T$2,0)/T$1</f>
        <v>#N/A</v>
      </c>
      <c r="U46" s="87" t="e">
        <f>VLOOKUP($B46,Raw_Data[#All],U$2,0)/U$1</f>
        <v>#N/A</v>
      </c>
      <c r="V46" s="87" t="e">
        <f>VLOOKUP($B46,Raw_Data[#All],V$2,0)/V$1</f>
        <v>#N/A</v>
      </c>
      <c r="W46" s="87" t="e">
        <f>VLOOKUP($B46,Raw_Data[#All],W$2,0)/W$1</f>
        <v>#N/A</v>
      </c>
      <c r="X46" s="87" t="e">
        <f>VLOOKUP($B46,Raw_Data[#All],X$2,0)/X$1</f>
        <v>#N/A</v>
      </c>
      <c r="Y46" s="87" t="e">
        <f>VLOOKUP($B46,Raw_Data[#All],Y$2,0)/Y$1</f>
        <v>#N/A</v>
      </c>
      <c r="Z46" s="87" t="e">
        <f>VLOOKUP($B46,Raw_Data[#All],Z$2,0)/Z$1</f>
        <v>#N/A</v>
      </c>
      <c r="AA46" s="87" t="e">
        <f>VLOOKUP($B46,Raw_Data[#All],AA$2,0)/AA$1</f>
        <v>#N/A</v>
      </c>
      <c r="AB46" s="87" t="e">
        <f>VLOOKUP($B46,Raw_Data[#All],AB$2,0)/AB$1</f>
        <v>#N/A</v>
      </c>
      <c r="AC46" s="87" t="e">
        <f>VLOOKUP($B46,Raw_Data[#All],AC$2,0)/AC$1</f>
        <v>#N/A</v>
      </c>
      <c r="AD46" s="87" t="e">
        <f>VLOOKUP($B46,Raw_Data[#All],AD$2,0)/AD$1</f>
        <v>#N/A</v>
      </c>
      <c r="AE46" s="87" t="e">
        <f>VLOOKUP($B46,Raw_Data[#All],AE$2,0)/AE$1</f>
        <v>#N/A</v>
      </c>
      <c r="AF46" s="87" t="e">
        <f>VLOOKUP($B46,Raw_Data[#All],AF$2,0)/AF$1</f>
        <v>#N/A</v>
      </c>
      <c r="AG46" s="87" t="e">
        <f>VLOOKUP($B46,Raw_Data[#All],AG$2,0)/AG$1</f>
        <v>#N/A</v>
      </c>
      <c r="AH46" s="87" t="e">
        <f>VLOOKUP($B46,Raw_Data[#All],AH$2,0)/AH$1</f>
        <v>#N/A</v>
      </c>
      <c r="AI46" s="87" t="e">
        <f>VLOOKUP($B46,Raw_Data[#All],AI$2,0)/AI$1</f>
        <v>#N/A</v>
      </c>
      <c r="AJ46" s="87" t="e">
        <f>VLOOKUP($B46,Raw_Data[#All],AJ$2,0)/AJ$1</f>
        <v>#N/A</v>
      </c>
      <c r="AK46" s="87" t="e">
        <f>VLOOKUP($B46,Raw_Data[#All],AK$2,0)/AK$1</f>
        <v>#N/A</v>
      </c>
      <c r="AL46" s="87" t="e">
        <f>VLOOKUP($B46,Raw_Data[#All],AL$2,0)/AL$1</f>
        <v>#N/A</v>
      </c>
      <c r="AM46" s="87" t="e">
        <f>VLOOKUP($B46,Raw_Data[#All],AM$2,0)/AM$1</f>
        <v>#N/A</v>
      </c>
      <c r="AN46" s="87" t="e">
        <f>VLOOKUP($B46,Raw_Data[#All],AN$2,0)/AN$1</f>
        <v>#N/A</v>
      </c>
      <c r="AO46" s="87" t="e">
        <f>VLOOKUP($B46,Raw_Data[#All],AO$2,0)/AO$1</f>
        <v>#N/A</v>
      </c>
      <c r="AP46" s="87" t="e">
        <f>VLOOKUP($B46,Raw_Data[#All],AP$2,0)/AP$1</f>
        <v>#N/A</v>
      </c>
      <c r="AQ46" s="87" t="e">
        <f>VLOOKUP($B46,Raw_Data[#All],AQ$2,0)/AQ$1</f>
        <v>#N/A</v>
      </c>
      <c r="AR46" s="87" t="e">
        <f>VLOOKUP($B46,Raw_Data[#All],AR$2,0)/AR$1</f>
        <v>#N/A</v>
      </c>
      <c r="AS46" s="87" t="e">
        <f>VLOOKUP($B46,Raw_Data[#All],AS$2,0)/AS$1</f>
        <v>#N/A</v>
      </c>
      <c r="AT46" s="87" t="e">
        <f>VLOOKUP($B46,Raw_Data[#All],AT$2,0)/AT$1</f>
        <v>#N/A</v>
      </c>
      <c r="AU46" s="87" t="e">
        <f>VLOOKUP($B46,Raw_Data[#All],AU$2,0)/AU$1</f>
        <v>#N/A</v>
      </c>
      <c r="AV46" s="87" t="e">
        <f>VLOOKUP($B46,Raw_Data[#All],AV$2,0)/AV$1</f>
        <v>#N/A</v>
      </c>
      <c r="AW46" s="87" t="e">
        <f>VLOOKUP($B46,Raw_Data[#All],AW$2,0)/AW$1</f>
        <v>#N/A</v>
      </c>
      <c r="AX46" s="87" t="e">
        <f>VLOOKUP($B46,Raw_Data[#All],AX$2,0)/AX$1</f>
        <v>#N/A</v>
      </c>
      <c r="AY46" s="87" t="e">
        <f>VLOOKUP($B46,Raw_Data[#All],AY$2,0)/AY$1</f>
        <v>#N/A</v>
      </c>
      <c r="AZ46" s="87" t="e">
        <f>VLOOKUP($B46,Raw_Data[#All],AZ$2,0)/AZ$1</f>
        <v>#N/A</v>
      </c>
      <c r="BA46" s="87" t="e">
        <f>VLOOKUP($B46,Raw_Data[#All],BA$2,0)/BA$1</f>
        <v>#N/A</v>
      </c>
      <c r="BB46" s="87" t="e">
        <f>VLOOKUP($B46,Raw_Data[#All],BB$2,0)/BB$1</f>
        <v>#N/A</v>
      </c>
      <c r="BC46" s="87" t="e">
        <f>VLOOKUP($B46,Raw_Data[#All],BC$2,0)/BC$1</f>
        <v>#N/A</v>
      </c>
      <c r="BD46" s="87" t="e">
        <f>VLOOKUP($B46,Raw_Data[#All],BD$2,0)/BD$1</f>
        <v>#N/A</v>
      </c>
      <c r="BE46" s="87" t="e">
        <f>VLOOKUP($B46,Raw_Data[#All],BE$2,0)/BE$1</f>
        <v>#N/A</v>
      </c>
      <c r="BF46" s="87" t="e">
        <f>VLOOKUP($B46,Raw_Data[#All],BF$2,0)/BF$1</f>
        <v>#N/A</v>
      </c>
      <c r="BG46" s="87" t="e">
        <f>VLOOKUP($B46,Raw_Data[#All],BG$2,0)/BG$1</f>
        <v>#N/A</v>
      </c>
      <c r="BH46" s="87" t="e">
        <f>VLOOKUP($B46,Raw_Data[#All],BH$2,0)/BH$1</f>
        <v>#N/A</v>
      </c>
      <c r="BI46" s="87" t="e">
        <f>VLOOKUP($B46,Raw_Data[#All],BI$2,0)/BI$1</f>
        <v>#N/A</v>
      </c>
      <c r="BJ46" s="87" t="e">
        <f>VLOOKUP($B46,Raw_Data[#All],BJ$2,0)/BJ$1</f>
        <v>#N/A</v>
      </c>
      <c r="BK46" s="87" t="e">
        <f>VLOOKUP($B46,Raw_Data[#All],BK$2,0)/BK$1</f>
        <v>#N/A</v>
      </c>
      <c r="BL46" s="87" t="e">
        <f>VLOOKUP($B46,Raw_Data[#All],BL$2,0)/BL$1</f>
        <v>#N/A</v>
      </c>
      <c r="BM46" s="87" t="e">
        <f>VLOOKUP($B46,Raw_Data[#All],BM$2,0)/BM$1</f>
        <v>#N/A</v>
      </c>
      <c r="BN46" s="87" t="e">
        <f>VLOOKUP($B46,Raw_Data[#All],BN$2,0)/BN$1</f>
        <v>#N/A</v>
      </c>
      <c r="BO46" s="87" t="e">
        <f>VLOOKUP($B46,Raw_Data[#All],BO$2,0)/BO$1</f>
        <v>#N/A</v>
      </c>
      <c r="BP46" s="87" t="e">
        <f>VLOOKUP($B46,Raw_Data[#All],BP$2,0)/BP$1</f>
        <v>#N/A</v>
      </c>
      <c r="BQ46" s="87" t="e">
        <f>VLOOKUP($B46,Raw_Data[#All],BQ$2,0)/BQ$1</f>
        <v>#N/A</v>
      </c>
      <c r="BR46" s="87" t="e">
        <f>VLOOKUP($B46,Raw_Data[#All],BR$2,0)/BR$1</f>
        <v>#N/A</v>
      </c>
      <c r="BS46" s="87" t="e">
        <f>VLOOKUP($B46,Raw_Data[#All],BS$2,0)/BS$1</f>
        <v>#N/A</v>
      </c>
      <c r="BT46" s="87" t="e">
        <f>VLOOKUP($B46,Raw_Data[#All],BT$2,0)/BT$1</f>
        <v>#N/A</v>
      </c>
      <c r="BU46" s="87" t="e">
        <f>VLOOKUP($B46,Raw_Data[#All],BU$2,0)/BU$1</f>
        <v>#N/A</v>
      </c>
      <c r="BV46" s="87" t="e">
        <f>VLOOKUP($B46,Raw_Data[#All],BV$2,0)/BV$1</f>
        <v>#N/A</v>
      </c>
      <c r="BW46" s="87" t="e">
        <f>VLOOKUP($B46,Raw_Data[#All],BW$2,0)/BW$1</f>
        <v>#N/A</v>
      </c>
      <c r="BX46" s="87" t="e">
        <f>VLOOKUP($B46,Raw_Data[#All],BX$2,0)/BX$1</f>
        <v>#N/A</v>
      </c>
      <c r="BY46" s="87" t="e">
        <f>VLOOKUP($B46,Raw_Data[#All],BY$2,0)/BY$1</f>
        <v>#N/A</v>
      </c>
      <c r="BZ46" s="87" t="e">
        <f>VLOOKUP($B46,Raw_Data[#All],BZ$2,0)/BZ$1</f>
        <v>#N/A</v>
      </c>
      <c r="CA46" s="87" t="e">
        <f>VLOOKUP($B46,Raw_Data[#All],CA$2,0)/CA$1</f>
        <v>#N/A</v>
      </c>
      <c r="CB46" s="87" t="e">
        <f>VLOOKUP($B46,Raw_Data[#All],CB$2,0)/CB$1</f>
        <v>#N/A</v>
      </c>
      <c r="CC46" s="87" t="e">
        <f>VLOOKUP($B46,Raw_Data[#All],CC$2,0)/CC$1</f>
        <v>#N/A</v>
      </c>
      <c r="CD46" s="87" t="e">
        <f>VLOOKUP($B46,Raw_Data[#All],CD$2,0)/CD$1</f>
        <v>#N/A</v>
      </c>
      <c r="CE46" s="87" t="e">
        <f>VLOOKUP($B46,Raw_Data[#All],CE$2,0)/CE$1</f>
        <v>#N/A</v>
      </c>
      <c r="CF46" s="87" t="e">
        <f>VLOOKUP($B46,Raw_Data[#All],CF$2,0)/CF$1</f>
        <v>#N/A</v>
      </c>
      <c r="CG46" s="87" t="e">
        <f>VLOOKUP($B46,Raw_Data[#All],CG$2,0)/CG$1</f>
        <v>#N/A</v>
      </c>
      <c r="CH46" s="87" t="e">
        <f>VLOOKUP($B46,Raw_Data[#All],CH$2,0)/CH$1</f>
        <v>#N/A</v>
      </c>
      <c r="CI46" s="87" t="e">
        <f>VLOOKUP($B46,Raw_Data[#All],CI$2,0)/CI$1</f>
        <v>#N/A</v>
      </c>
      <c r="CJ46" s="87" t="e">
        <f>VLOOKUP($B46,Raw_Data[#All],CJ$2,0)/CJ$1</f>
        <v>#N/A</v>
      </c>
      <c r="CK46" s="87" t="e">
        <f>VLOOKUP($B46,Raw_Data[#All],CK$2,0)/CK$1</f>
        <v>#N/A</v>
      </c>
      <c r="CL46" s="87" t="e">
        <f>VLOOKUP($B46,Raw_Data[#All],CL$2,0)/CL$1</f>
        <v>#N/A</v>
      </c>
      <c r="CM46" s="87" t="e">
        <f>VLOOKUP($B46,Raw_Data[#All],CM$2,0)/CM$1</f>
        <v>#N/A</v>
      </c>
      <c r="CN46" s="87" t="e">
        <f>VLOOKUP($B46,Raw_Data[#All],CN$2,0)/CN$1</f>
        <v>#N/A</v>
      </c>
      <c r="CO46" s="87" t="e">
        <f>VLOOKUP($B46,Raw_Data[#All],CO$2,0)/CO$1</f>
        <v>#N/A</v>
      </c>
      <c r="CP46" s="87" t="e">
        <f>VLOOKUP($B46,Raw_Data[#All],CP$2,0)/CP$1</f>
        <v>#N/A</v>
      </c>
      <c r="CQ46" s="87" t="e">
        <f>VLOOKUP($B46,Raw_Data[#All],CQ$2,0)/CQ$1</f>
        <v>#N/A</v>
      </c>
      <c r="CR46" s="87" t="e">
        <f>VLOOKUP($B46,Raw_Data[#All],CR$2,0)/CR$1</f>
        <v>#N/A</v>
      </c>
      <c r="CS46" s="87" t="e">
        <f>VLOOKUP($B46,Raw_Data[#All],CS$2,0)/CS$1</f>
        <v>#N/A</v>
      </c>
      <c r="CT46" s="87" t="e">
        <f>VLOOKUP($B46,Raw_Data[#All],CT$2,0)/CT$1</f>
        <v>#N/A</v>
      </c>
      <c r="CU46" s="87" t="e">
        <f>VLOOKUP($B46,Raw_Data[#All],CU$2,0)/CU$1</f>
        <v>#N/A</v>
      </c>
      <c r="CV46" s="87" t="e">
        <f>VLOOKUP($B46,Raw_Data[#All],CV$2,0)/CV$1</f>
        <v>#N/A</v>
      </c>
      <c r="CW46" s="87" t="e">
        <f>VLOOKUP($B46,Raw_Data[#All],CW$2,0)/CW$1</f>
        <v>#N/A</v>
      </c>
      <c r="CX46" s="87" t="e">
        <f>VLOOKUP($B46,Raw_Data[#All],CX$2,0)/CX$1</f>
        <v>#N/A</v>
      </c>
      <c r="CY46" s="87" t="e">
        <f>VLOOKUP($B46,Raw_Data[#All],CY$2,0)/CY$1</f>
        <v>#N/A</v>
      </c>
      <c r="CZ46" s="87" t="e">
        <f>VLOOKUP($B46,Raw_Data[#All],CZ$2,0)/CZ$1</f>
        <v>#N/A</v>
      </c>
      <c r="DA46" s="87" t="e">
        <f>VLOOKUP($B46,Raw_Data[#All],DA$2,0)/DA$1</f>
        <v>#N/A</v>
      </c>
      <c r="DB46" s="87" t="e">
        <f>VLOOKUP($B46,Raw_Data[#All],DB$2,0)/DB$1</f>
        <v>#N/A</v>
      </c>
      <c r="DC46" s="87" t="e">
        <f>VLOOKUP($B46,Raw_Data[#All],DC$2,0)/DC$1</f>
        <v>#N/A</v>
      </c>
      <c r="DD46" s="87" t="e">
        <f>VLOOKUP($B46,Raw_Data[#All],DD$2,0)/DD$1</f>
        <v>#N/A</v>
      </c>
      <c r="DE46" s="87" t="e">
        <f>VLOOKUP($B46,Raw_Data[#All],DE$2,0)/DE$1</f>
        <v>#N/A</v>
      </c>
      <c r="DF46" s="87" t="e">
        <f>VLOOKUP($B46,Raw_Data[#All],DF$2,0)/DF$1</f>
        <v>#N/A</v>
      </c>
      <c r="DG46" s="87" t="e">
        <f>VLOOKUP($B46,Raw_Data[#All],DG$2,0)/DG$1</f>
        <v>#N/A</v>
      </c>
      <c r="DH46" s="87" t="e">
        <f>VLOOKUP($B46,Raw_Data[#All],DH$2,0)/DH$1</f>
        <v>#N/A</v>
      </c>
      <c r="DI46" s="87" t="e">
        <f>VLOOKUP($B46,Raw_Data[#All],DI$2,0)/DI$1</f>
        <v>#N/A</v>
      </c>
      <c r="DJ46" s="87" t="e">
        <f>VLOOKUP($B46,Raw_Data[#All],DJ$2,0)/DJ$1</f>
        <v>#N/A</v>
      </c>
      <c r="DK46" s="87" t="e">
        <f>VLOOKUP($B46,Raw_Data[#All],DK$2,0)/DK$1</f>
        <v>#N/A</v>
      </c>
      <c r="DL46" s="87" t="e">
        <f>VLOOKUP($B46,Raw_Data[#All],DL$2,0)/DL$1</f>
        <v>#N/A</v>
      </c>
      <c r="DM46" s="87" t="e">
        <f>VLOOKUP($B46,Raw_Data[#All],DM$2,0)/DM$1</f>
        <v>#N/A</v>
      </c>
      <c r="DN46" s="87" t="e">
        <f>VLOOKUP($B46,Raw_Data[#All],DN$2,0)/DN$1</f>
        <v>#N/A</v>
      </c>
      <c r="DO46" s="87" t="e">
        <f>VLOOKUP($B46,Raw_Data[#All],DO$2,0)/DO$1</f>
        <v>#N/A</v>
      </c>
      <c r="DP46" s="87" t="e">
        <f>VLOOKUP($B46,Raw_Data[#All],DP$2,0)/DP$1</f>
        <v>#N/A</v>
      </c>
      <c r="DQ46" s="87" t="e">
        <f>VLOOKUP($B46,Raw_Data[#All],DQ$2,0)/DQ$1</f>
        <v>#N/A</v>
      </c>
      <c r="DR46" s="87" t="e">
        <f>VLOOKUP($B46,Raw_Data[#All],DR$2,0)/DR$1</f>
        <v>#N/A</v>
      </c>
      <c r="DS46" s="87" t="e">
        <f>VLOOKUP($B46,Raw_Data[#All],DS$2,0)/DS$1</f>
        <v>#N/A</v>
      </c>
      <c r="DT46" s="87" t="e">
        <f>VLOOKUP($B46,Raw_Data[#All],DT$2,0)/DT$1</f>
        <v>#N/A</v>
      </c>
      <c r="DU46" s="87" t="e">
        <f>VLOOKUP($B46,Raw_Data[#All],DU$2,0)/DU$1</f>
        <v>#N/A</v>
      </c>
      <c r="DV46" s="87" t="e">
        <f>VLOOKUP($B46,Raw_Data[#All],DV$2,0)/DV$1</f>
        <v>#N/A</v>
      </c>
      <c r="DW46" s="87" t="e">
        <f>VLOOKUP($B46,Raw_Data[#All],DW$2,0)/DW$1</f>
        <v>#N/A</v>
      </c>
      <c r="DX46" s="87" t="e">
        <f>VLOOKUP($B46,Raw_Data[#All],DX$2,0)/DX$1</f>
        <v>#N/A</v>
      </c>
      <c r="DY46" s="87" t="e">
        <f>VLOOKUP($B46,Raw_Data[#All],DY$2,0)/DY$1</f>
        <v>#N/A</v>
      </c>
      <c r="DZ46" s="87" t="e">
        <f>VLOOKUP($B46,Raw_Data[#All],DZ$2,0)/DZ$1</f>
        <v>#N/A</v>
      </c>
      <c r="EA46" s="87" t="e">
        <f>VLOOKUP($B46,Raw_Data[#All],EA$2,0)/EA$1</f>
        <v>#N/A</v>
      </c>
      <c r="EB46" s="87" t="e">
        <f>VLOOKUP($B46,Raw_Data[#All],EB$2,0)/EB$1</f>
        <v>#N/A</v>
      </c>
      <c r="EC46" s="87" t="e">
        <f>VLOOKUP($B46,Raw_Data[#All],EC$2,0)/EC$1</f>
        <v>#N/A</v>
      </c>
      <c r="ED46" s="87" t="e">
        <f>VLOOKUP($B46,Raw_Data[#All],ED$2,0)/ED$1</f>
        <v>#N/A</v>
      </c>
      <c r="EE46" s="87" t="e">
        <f>VLOOKUP($B46,Raw_Data[#All],EE$2,0)/EE$1</f>
        <v>#N/A</v>
      </c>
      <c r="EF46" s="87" t="e">
        <f>VLOOKUP($B46,Raw_Data[#All],EF$2,0)/EF$1</f>
        <v>#N/A</v>
      </c>
      <c r="EG46" s="87" t="e">
        <f>VLOOKUP($B46,Raw_Data[#All],EG$2,0)/EG$1</f>
        <v>#N/A</v>
      </c>
      <c r="EH46" s="87" t="e">
        <f>VLOOKUP($B46,Raw_Data[#All],EH$2,0)/EH$1</f>
        <v>#N/A</v>
      </c>
      <c r="EI46" s="87" t="e">
        <f>VLOOKUP($B46,Raw_Data[#All],EI$2,0)/EI$1</f>
        <v>#N/A</v>
      </c>
      <c r="EJ46" s="87" t="e">
        <f>VLOOKUP($B46,Raw_Data[#All],EJ$2,0)/EJ$1</f>
        <v>#N/A</v>
      </c>
      <c r="EK46" s="87" t="e">
        <f>VLOOKUP($B46,Raw_Data[#All],EK$2,0)/EK$1</f>
        <v>#N/A</v>
      </c>
      <c r="EL46" s="87" t="e">
        <f>VLOOKUP($B46,Raw_Data[#All],EL$2,0)/EL$1</f>
        <v>#N/A</v>
      </c>
      <c r="EM46" s="87" t="e">
        <f>VLOOKUP($B46,Raw_Data[#All],EM$2,0)/EM$1</f>
        <v>#N/A</v>
      </c>
      <c r="EN46" s="87" t="e">
        <f>VLOOKUP($B46,Raw_Data[#All],EN$2,0)/EN$1</f>
        <v>#N/A</v>
      </c>
      <c r="EO46" s="87" t="e">
        <f>VLOOKUP($B46,Raw_Data[#All],EO$2,0)/EO$1</f>
        <v>#N/A</v>
      </c>
      <c r="EP46" s="87" t="e">
        <f>VLOOKUP($B46,Raw_Data[#All],EP$2,0)/EP$1</f>
        <v>#N/A</v>
      </c>
      <c r="EQ46" s="87" t="e">
        <f>VLOOKUP($B46,Raw_Data[#All],EQ$2,0)/EQ$1</f>
        <v>#N/A</v>
      </c>
      <c r="ER46" s="87" t="e">
        <f>VLOOKUP($B46,Raw_Data[#All],ER$2,0)/ER$1</f>
        <v>#N/A</v>
      </c>
      <c r="ES46" s="87" t="e">
        <f>VLOOKUP($B46,Raw_Data[#All],ES$2,0)/ES$1</f>
        <v>#N/A</v>
      </c>
      <c r="ET46" s="87" t="e">
        <f>VLOOKUP($B46,Raw_Data[#All],ET$2,0)/ET$1</f>
        <v>#N/A</v>
      </c>
      <c r="EU46" s="87" t="e">
        <f>VLOOKUP($B46,Raw_Data[#All],EU$2,0)/EU$1</f>
        <v>#N/A</v>
      </c>
      <c r="EV46" s="87" t="e">
        <f>VLOOKUP($B46,Raw_Data[#All],EV$2,0)/EV$1</f>
        <v>#N/A</v>
      </c>
      <c r="EW46" s="87" t="e">
        <f>VLOOKUP($B46,Raw_Data[#All],EW$2,0)/EW$1</f>
        <v>#N/A</v>
      </c>
      <c r="EX46" s="87" t="e">
        <f>VLOOKUP($B46,Raw_Data[#All],EX$2,0)/EX$1</f>
        <v>#N/A</v>
      </c>
      <c r="EY46" s="87" t="e">
        <f>VLOOKUP($B46,Raw_Data[#All],EY$2,0)/EY$1</f>
        <v>#N/A</v>
      </c>
      <c r="EZ46" s="87" t="e">
        <f>VLOOKUP($B46,Raw_Data[#All],EZ$2,0)/EZ$1</f>
        <v>#N/A</v>
      </c>
      <c r="FA46" s="87" t="e">
        <f>VLOOKUP($B46,Raw_Data[#All],FA$2,0)/FA$1</f>
        <v>#N/A</v>
      </c>
      <c r="FB46" s="87" t="e">
        <f>VLOOKUP($B46,Raw_Data[#All],FB$2,0)/FB$1</f>
        <v>#N/A</v>
      </c>
      <c r="FC46" s="87" t="e">
        <f>VLOOKUP($B46,Raw_Data[#All],FC$2,0)/FC$1</f>
        <v>#N/A</v>
      </c>
      <c r="FD46" s="87" t="e">
        <f>VLOOKUP($B46,Raw_Data[#All],FD$2,0)/FD$1</f>
        <v>#N/A</v>
      </c>
      <c r="FE46" s="87" t="e">
        <f>VLOOKUP($B46,Raw_Data[#All],FE$2,0)/FE$1</f>
        <v>#N/A</v>
      </c>
      <c r="FF46" s="87" t="e">
        <f>VLOOKUP($B46,Raw_Data[#All],FF$2,0)/FF$1</f>
        <v>#N/A</v>
      </c>
      <c r="FG46" s="105" t="e">
        <f>VLOOKUP($B46,Raw_Data[#All],FG$2,0)/FG$1</f>
        <v>#N/A</v>
      </c>
    </row>
    <row r="47" spans="2:163">
      <c r="B47" s="106">
        <f t="shared" si="1"/>
        <v>45870</v>
      </c>
      <c r="C47" s="87" t="e">
        <f>VLOOKUP($B47,Raw_Data[#All],C$2,0)/C$1</f>
        <v>#N/A</v>
      </c>
      <c r="D47" s="87" t="e">
        <f>VLOOKUP($B47,Raw_Data[#All],D$2,0)/D$1</f>
        <v>#N/A</v>
      </c>
      <c r="E47" s="87" t="e">
        <f>VLOOKUP($B47,Raw_Data[#All],E$2,0)/E$1</f>
        <v>#N/A</v>
      </c>
      <c r="F47" s="87" t="e">
        <f>VLOOKUP($B47,Raw_Data[#All],F$2,0)/F$1</f>
        <v>#N/A</v>
      </c>
      <c r="G47" s="87" t="e">
        <f>VLOOKUP($B47,Raw_Data[#All],G$2,0)/G$1</f>
        <v>#N/A</v>
      </c>
      <c r="H47" s="87" t="e">
        <f>VLOOKUP($B47,Raw_Data[#All],H$2,0)/H$1</f>
        <v>#N/A</v>
      </c>
      <c r="I47" s="87" t="e">
        <f>VLOOKUP($B47,Raw_Data[#All],I$2,0)/I$1</f>
        <v>#N/A</v>
      </c>
      <c r="J47" s="87" t="e">
        <f>VLOOKUP($B47,Raw_Data[#All],J$2,0)/J$1</f>
        <v>#N/A</v>
      </c>
      <c r="K47" s="87" t="e">
        <f>VLOOKUP($B47,Raw_Data[#All],K$2,0)/K$1</f>
        <v>#N/A</v>
      </c>
      <c r="L47" s="87" t="e">
        <f>VLOOKUP($B47,Raw_Data[#All],L$2,0)/L$1</f>
        <v>#N/A</v>
      </c>
      <c r="M47" s="87" t="e">
        <f>VLOOKUP($B47,Raw_Data[#All],M$2,0)/M$1</f>
        <v>#N/A</v>
      </c>
      <c r="N47" s="87" t="e">
        <f>VLOOKUP($B47,Raw_Data[#All],N$2,0)/N$1</f>
        <v>#N/A</v>
      </c>
      <c r="O47" s="87" t="e">
        <f>VLOOKUP($B47,Raw_Data[#All],O$2,0)/O$1</f>
        <v>#N/A</v>
      </c>
      <c r="P47" s="87" t="e">
        <f>VLOOKUP($B47,Raw_Data[#All],P$2,0)/P$1</f>
        <v>#N/A</v>
      </c>
      <c r="Q47" s="87" t="e">
        <f>VLOOKUP($B47,Raw_Data[#All],Q$2,0)/Q$1</f>
        <v>#N/A</v>
      </c>
      <c r="R47" s="87" t="e">
        <f>VLOOKUP($B47,Raw_Data[#All],R$2,0)/R$1</f>
        <v>#N/A</v>
      </c>
      <c r="S47" s="87" t="e">
        <f>VLOOKUP($B47,Raw_Data[#All],S$2,0)/S$1</f>
        <v>#N/A</v>
      </c>
      <c r="T47" s="87" t="e">
        <f>VLOOKUP($B47,Raw_Data[#All],T$2,0)/T$1</f>
        <v>#N/A</v>
      </c>
      <c r="U47" s="87" t="e">
        <f>VLOOKUP($B47,Raw_Data[#All],U$2,0)/U$1</f>
        <v>#N/A</v>
      </c>
      <c r="V47" s="87" t="e">
        <f>VLOOKUP($B47,Raw_Data[#All],V$2,0)/V$1</f>
        <v>#N/A</v>
      </c>
      <c r="W47" s="87" t="e">
        <f>VLOOKUP($B47,Raw_Data[#All],W$2,0)/W$1</f>
        <v>#N/A</v>
      </c>
      <c r="X47" s="87" t="e">
        <f>VLOOKUP($B47,Raw_Data[#All],X$2,0)/X$1</f>
        <v>#N/A</v>
      </c>
      <c r="Y47" s="87" t="e">
        <f>VLOOKUP($B47,Raw_Data[#All],Y$2,0)/Y$1</f>
        <v>#N/A</v>
      </c>
      <c r="Z47" s="87" t="e">
        <f>VLOOKUP($B47,Raw_Data[#All],Z$2,0)/Z$1</f>
        <v>#N/A</v>
      </c>
      <c r="AA47" s="87" t="e">
        <f>VLOOKUP($B47,Raw_Data[#All],AA$2,0)/AA$1</f>
        <v>#N/A</v>
      </c>
      <c r="AB47" s="87" t="e">
        <f>VLOOKUP($B47,Raw_Data[#All],AB$2,0)/AB$1</f>
        <v>#N/A</v>
      </c>
      <c r="AC47" s="87" t="e">
        <f>VLOOKUP($B47,Raw_Data[#All],AC$2,0)/AC$1</f>
        <v>#N/A</v>
      </c>
      <c r="AD47" s="87" t="e">
        <f>VLOOKUP($B47,Raw_Data[#All],AD$2,0)/AD$1</f>
        <v>#N/A</v>
      </c>
      <c r="AE47" s="87" t="e">
        <f>VLOOKUP($B47,Raw_Data[#All],AE$2,0)/AE$1</f>
        <v>#N/A</v>
      </c>
      <c r="AF47" s="87" t="e">
        <f>VLOOKUP($B47,Raw_Data[#All],AF$2,0)/AF$1</f>
        <v>#N/A</v>
      </c>
      <c r="AG47" s="87" t="e">
        <f>VLOOKUP($B47,Raw_Data[#All],AG$2,0)/AG$1</f>
        <v>#N/A</v>
      </c>
      <c r="AH47" s="87" t="e">
        <f>VLOOKUP($B47,Raw_Data[#All],AH$2,0)/AH$1</f>
        <v>#N/A</v>
      </c>
      <c r="AI47" s="87" t="e">
        <f>VLOOKUP($B47,Raw_Data[#All],AI$2,0)/AI$1</f>
        <v>#N/A</v>
      </c>
      <c r="AJ47" s="87" t="e">
        <f>VLOOKUP($B47,Raw_Data[#All],AJ$2,0)/AJ$1</f>
        <v>#N/A</v>
      </c>
      <c r="AK47" s="87" t="e">
        <f>VLOOKUP($B47,Raw_Data[#All],AK$2,0)/AK$1</f>
        <v>#N/A</v>
      </c>
      <c r="AL47" s="87" t="e">
        <f>VLOOKUP($B47,Raw_Data[#All],AL$2,0)/AL$1</f>
        <v>#N/A</v>
      </c>
      <c r="AM47" s="87" t="e">
        <f>VLOOKUP($B47,Raw_Data[#All],AM$2,0)/AM$1</f>
        <v>#N/A</v>
      </c>
      <c r="AN47" s="87" t="e">
        <f>VLOOKUP($B47,Raw_Data[#All],AN$2,0)/AN$1</f>
        <v>#N/A</v>
      </c>
      <c r="AO47" s="87" t="e">
        <f>VLOOKUP($B47,Raw_Data[#All],AO$2,0)/AO$1</f>
        <v>#N/A</v>
      </c>
      <c r="AP47" s="87" t="e">
        <f>VLOOKUP($B47,Raw_Data[#All],AP$2,0)/AP$1</f>
        <v>#N/A</v>
      </c>
      <c r="AQ47" s="87" t="e">
        <f>VLOOKUP($B47,Raw_Data[#All],AQ$2,0)/AQ$1</f>
        <v>#N/A</v>
      </c>
      <c r="AR47" s="87" t="e">
        <f>VLOOKUP($B47,Raw_Data[#All],AR$2,0)/AR$1</f>
        <v>#N/A</v>
      </c>
      <c r="AS47" s="87" t="e">
        <f>VLOOKUP($B47,Raw_Data[#All],AS$2,0)/AS$1</f>
        <v>#N/A</v>
      </c>
      <c r="AT47" s="87" t="e">
        <f>VLOOKUP($B47,Raw_Data[#All],AT$2,0)/AT$1</f>
        <v>#N/A</v>
      </c>
      <c r="AU47" s="87" t="e">
        <f>VLOOKUP($B47,Raw_Data[#All],AU$2,0)/AU$1</f>
        <v>#N/A</v>
      </c>
      <c r="AV47" s="87" t="e">
        <f>VLOOKUP($B47,Raw_Data[#All],AV$2,0)/AV$1</f>
        <v>#N/A</v>
      </c>
      <c r="AW47" s="87" t="e">
        <f>VLOOKUP($B47,Raw_Data[#All],AW$2,0)/AW$1</f>
        <v>#N/A</v>
      </c>
      <c r="AX47" s="87" t="e">
        <f>VLOOKUP($B47,Raw_Data[#All],AX$2,0)/AX$1</f>
        <v>#N/A</v>
      </c>
      <c r="AY47" s="87" t="e">
        <f>VLOOKUP($B47,Raw_Data[#All],AY$2,0)/AY$1</f>
        <v>#N/A</v>
      </c>
      <c r="AZ47" s="87" t="e">
        <f>VLOOKUP($B47,Raw_Data[#All],AZ$2,0)/AZ$1</f>
        <v>#N/A</v>
      </c>
      <c r="BA47" s="87" t="e">
        <f>VLOOKUP($B47,Raw_Data[#All],BA$2,0)/BA$1</f>
        <v>#N/A</v>
      </c>
      <c r="BB47" s="87" t="e">
        <f>VLOOKUP($B47,Raw_Data[#All],BB$2,0)/BB$1</f>
        <v>#N/A</v>
      </c>
      <c r="BC47" s="87" t="e">
        <f>VLOOKUP($B47,Raw_Data[#All],BC$2,0)/BC$1</f>
        <v>#N/A</v>
      </c>
      <c r="BD47" s="87" t="e">
        <f>VLOOKUP($B47,Raw_Data[#All],BD$2,0)/BD$1</f>
        <v>#N/A</v>
      </c>
      <c r="BE47" s="87" t="e">
        <f>VLOOKUP($B47,Raw_Data[#All],BE$2,0)/BE$1</f>
        <v>#N/A</v>
      </c>
      <c r="BF47" s="87" t="e">
        <f>VLOOKUP($B47,Raw_Data[#All],BF$2,0)/BF$1</f>
        <v>#N/A</v>
      </c>
      <c r="BG47" s="87" t="e">
        <f>VLOOKUP($B47,Raw_Data[#All],BG$2,0)/BG$1</f>
        <v>#N/A</v>
      </c>
      <c r="BH47" s="87" t="e">
        <f>VLOOKUP($B47,Raw_Data[#All],BH$2,0)/BH$1</f>
        <v>#N/A</v>
      </c>
      <c r="BI47" s="87" t="e">
        <f>VLOOKUP($B47,Raw_Data[#All],BI$2,0)/BI$1</f>
        <v>#N/A</v>
      </c>
      <c r="BJ47" s="87" t="e">
        <f>VLOOKUP($B47,Raw_Data[#All],BJ$2,0)/BJ$1</f>
        <v>#N/A</v>
      </c>
      <c r="BK47" s="87" t="e">
        <f>VLOOKUP($B47,Raw_Data[#All],BK$2,0)/BK$1</f>
        <v>#N/A</v>
      </c>
      <c r="BL47" s="87" t="e">
        <f>VLOOKUP($B47,Raw_Data[#All],BL$2,0)/BL$1</f>
        <v>#N/A</v>
      </c>
      <c r="BM47" s="87" t="e">
        <f>VLOOKUP($B47,Raw_Data[#All],BM$2,0)/BM$1</f>
        <v>#N/A</v>
      </c>
      <c r="BN47" s="87" t="e">
        <f>VLOOKUP($B47,Raw_Data[#All],BN$2,0)/BN$1</f>
        <v>#N/A</v>
      </c>
      <c r="BO47" s="87" t="e">
        <f>VLOOKUP($B47,Raw_Data[#All],BO$2,0)/BO$1</f>
        <v>#N/A</v>
      </c>
      <c r="BP47" s="87" t="e">
        <f>VLOOKUP($B47,Raw_Data[#All],BP$2,0)/BP$1</f>
        <v>#N/A</v>
      </c>
      <c r="BQ47" s="87" t="e">
        <f>VLOOKUP($B47,Raw_Data[#All],BQ$2,0)/BQ$1</f>
        <v>#N/A</v>
      </c>
      <c r="BR47" s="87" t="e">
        <f>VLOOKUP($B47,Raw_Data[#All],BR$2,0)/BR$1</f>
        <v>#N/A</v>
      </c>
      <c r="BS47" s="87" t="e">
        <f>VLOOKUP($B47,Raw_Data[#All],BS$2,0)/BS$1</f>
        <v>#N/A</v>
      </c>
      <c r="BT47" s="87" t="e">
        <f>VLOOKUP($B47,Raw_Data[#All],BT$2,0)/BT$1</f>
        <v>#N/A</v>
      </c>
      <c r="BU47" s="87" t="e">
        <f>VLOOKUP($B47,Raw_Data[#All],BU$2,0)/BU$1</f>
        <v>#N/A</v>
      </c>
      <c r="BV47" s="87" t="e">
        <f>VLOOKUP($B47,Raw_Data[#All],BV$2,0)/BV$1</f>
        <v>#N/A</v>
      </c>
      <c r="BW47" s="87" t="e">
        <f>VLOOKUP($B47,Raw_Data[#All],BW$2,0)/BW$1</f>
        <v>#N/A</v>
      </c>
      <c r="BX47" s="87" t="e">
        <f>VLOOKUP($B47,Raw_Data[#All],BX$2,0)/BX$1</f>
        <v>#N/A</v>
      </c>
      <c r="BY47" s="87" t="e">
        <f>VLOOKUP($B47,Raw_Data[#All],BY$2,0)/BY$1</f>
        <v>#N/A</v>
      </c>
      <c r="BZ47" s="87" t="e">
        <f>VLOOKUP($B47,Raw_Data[#All],BZ$2,0)/BZ$1</f>
        <v>#N/A</v>
      </c>
      <c r="CA47" s="87" t="e">
        <f>VLOOKUP($B47,Raw_Data[#All],CA$2,0)/CA$1</f>
        <v>#N/A</v>
      </c>
      <c r="CB47" s="87" t="e">
        <f>VLOOKUP($B47,Raw_Data[#All],CB$2,0)/CB$1</f>
        <v>#N/A</v>
      </c>
      <c r="CC47" s="87" t="e">
        <f>VLOOKUP($B47,Raw_Data[#All],CC$2,0)/CC$1</f>
        <v>#N/A</v>
      </c>
      <c r="CD47" s="87" t="e">
        <f>VLOOKUP($B47,Raw_Data[#All],CD$2,0)/CD$1</f>
        <v>#N/A</v>
      </c>
      <c r="CE47" s="87" t="e">
        <f>VLOOKUP($B47,Raw_Data[#All],CE$2,0)/CE$1</f>
        <v>#N/A</v>
      </c>
      <c r="CF47" s="87" t="e">
        <f>VLOOKUP($B47,Raw_Data[#All],CF$2,0)/CF$1</f>
        <v>#N/A</v>
      </c>
      <c r="CG47" s="87" t="e">
        <f>VLOOKUP($B47,Raw_Data[#All],CG$2,0)/CG$1</f>
        <v>#N/A</v>
      </c>
      <c r="CH47" s="87" t="e">
        <f>VLOOKUP($B47,Raw_Data[#All],CH$2,0)/CH$1</f>
        <v>#N/A</v>
      </c>
      <c r="CI47" s="87" t="e">
        <f>VLOOKUP($B47,Raw_Data[#All],CI$2,0)/CI$1</f>
        <v>#N/A</v>
      </c>
      <c r="CJ47" s="87" t="e">
        <f>VLOOKUP($B47,Raw_Data[#All],CJ$2,0)/CJ$1</f>
        <v>#N/A</v>
      </c>
      <c r="CK47" s="87" t="e">
        <f>VLOOKUP($B47,Raw_Data[#All],CK$2,0)/CK$1</f>
        <v>#N/A</v>
      </c>
      <c r="CL47" s="87" t="e">
        <f>VLOOKUP($B47,Raw_Data[#All],CL$2,0)/CL$1</f>
        <v>#N/A</v>
      </c>
      <c r="CM47" s="87" t="e">
        <f>VLOOKUP($B47,Raw_Data[#All],CM$2,0)/CM$1</f>
        <v>#N/A</v>
      </c>
      <c r="CN47" s="87" t="e">
        <f>VLOOKUP($B47,Raw_Data[#All],CN$2,0)/CN$1</f>
        <v>#N/A</v>
      </c>
      <c r="CO47" s="87" t="e">
        <f>VLOOKUP($B47,Raw_Data[#All],CO$2,0)/CO$1</f>
        <v>#N/A</v>
      </c>
      <c r="CP47" s="87" t="e">
        <f>VLOOKUP($B47,Raw_Data[#All],CP$2,0)/CP$1</f>
        <v>#N/A</v>
      </c>
      <c r="CQ47" s="87" t="e">
        <f>VLOOKUP($B47,Raw_Data[#All],CQ$2,0)/CQ$1</f>
        <v>#N/A</v>
      </c>
      <c r="CR47" s="87" t="e">
        <f>VLOOKUP($B47,Raw_Data[#All],CR$2,0)/CR$1</f>
        <v>#N/A</v>
      </c>
      <c r="CS47" s="87" t="e">
        <f>VLOOKUP($B47,Raw_Data[#All],CS$2,0)/CS$1</f>
        <v>#N/A</v>
      </c>
      <c r="CT47" s="87" t="e">
        <f>VLOOKUP($B47,Raw_Data[#All],CT$2,0)/CT$1</f>
        <v>#N/A</v>
      </c>
      <c r="CU47" s="87" t="e">
        <f>VLOOKUP($B47,Raw_Data[#All],CU$2,0)/CU$1</f>
        <v>#N/A</v>
      </c>
      <c r="CV47" s="87" t="e">
        <f>VLOOKUP($B47,Raw_Data[#All],CV$2,0)/CV$1</f>
        <v>#N/A</v>
      </c>
      <c r="CW47" s="87" t="e">
        <f>VLOOKUP($B47,Raw_Data[#All],CW$2,0)/CW$1</f>
        <v>#N/A</v>
      </c>
      <c r="CX47" s="87" t="e">
        <f>VLOOKUP($B47,Raw_Data[#All],CX$2,0)/CX$1</f>
        <v>#N/A</v>
      </c>
      <c r="CY47" s="87" t="e">
        <f>VLOOKUP($B47,Raw_Data[#All],CY$2,0)/CY$1</f>
        <v>#N/A</v>
      </c>
      <c r="CZ47" s="87" t="e">
        <f>VLOOKUP($B47,Raw_Data[#All],CZ$2,0)/CZ$1</f>
        <v>#N/A</v>
      </c>
      <c r="DA47" s="87" t="e">
        <f>VLOOKUP($B47,Raw_Data[#All],DA$2,0)/DA$1</f>
        <v>#N/A</v>
      </c>
      <c r="DB47" s="87" t="e">
        <f>VLOOKUP($B47,Raw_Data[#All],DB$2,0)/DB$1</f>
        <v>#N/A</v>
      </c>
      <c r="DC47" s="87" t="e">
        <f>VLOOKUP($B47,Raw_Data[#All],DC$2,0)/DC$1</f>
        <v>#N/A</v>
      </c>
      <c r="DD47" s="87" t="e">
        <f>VLOOKUP($B47,Raw_Data[#All],DD$2,0)/DD$1</f>
        <v>#N/A</v>
      </c>
      <c r="DE47" s="87" t="e">
        <f>VLOOKUP($B47,Raw_Data[#All],DE$2,0)/DE$1</f>
        <v>#N/A</v>
      </c>
      <c r="DF47" s="87" t="e">
        <f>VLOOKUP($B47,Raw_Data[#All],DF$2,0)/DF$1</f>
        <v>#N/A</v>
      </c>
      <c r="DG47" s="87" t="e">
        <f>VLOOKUP($B47,Raw_Data[#All],DG$2,0)/DG$1</f>
        <v>#N/A</v>
      </c>
      <c r="DH47" s="87" t="e">
        <f>VLOOKUP($B47,Raw_Data[#All],DH$2,0)/DH$1</f>
        <v>#N/A</v>
      </c>
      <c r="DI47" s="87" t="e">
        <f>VLOOKUP($B47,Raw_Data[#All],DI$2,0)/DI$1</f>
        <v>#N/A</v>
      </c>
      <c r="DJ47" s="87" t="e">
        <f>VLOOKUP($B47,Raw_Data[#All],DJ$2,0)/DJ$1</f>
        <v>#N/A</v>
      </c>
      <c r="DK47" s="87" t="e">
        <f>VLOOKUP($B47,Raw_Data[#All],DK$2,0)/DK$1</f>
        <v>#N/A</v>
      </c>
      <c r="DL47" s="87" t="e">
        <f>VLOOKUP($B47,Raw_Data[#All],DL$2,0)/DL$1</f>
        <v>#N/A</v>
      </c>
      <c r="DM47" s="87" t="e">
        <f>VLOOKUP($B47,Raw_Data[#All],DM$2,0)/DM$1</f>
        <v>#N/A</v>
      </c>
      <c r="DN47" s="87" t="e">
        <f>VLOOKUP($B47,Raw_Data[#All],DN$2,0)/DN$1</f>
        <v>#N/A</v>
      </c>
      <c r="DO47" s="87" t="e">
        <f>VLOOKUP($B47,Raw_Data[#All],DO$2,0)/DO$1</f>
        <v>#N/A</v>
      </c>
      <c r="DP47" s="87" t="e">
        <f>VLOOKUP($B47,Raw_Data[#All],DP$2,0)/DP$1</f>
        <v>#N/A</v>
      </c>
      <c r="DQ47" s="87" t="e">
        <f>VLOOKUP($B47,Raw_Data[#All],DQ$2,0)/DQ$1</f>
        <v>#N/A</v>
      </c>
      <c r="DR47" s="87" t="e">
        <f>VLOOKUP($B47,Raw_Data[#All],DR$2,0)/DR$1</f>
        <v>#N/A</v>
      </c>
      <c r="DS47" s="87" t="e">
        <f>VLOOKUP($B47,Raw_Data[#All],DS$2,0)/DS$1</f>
        <v>#N/A</v>
      </c>
      <c r="DT47" s="87" t="e">
        <f>VLOOKUP($B47,Raw_Data[#All],DT$2,0)/DT$1</f>
        <v>#N/A</v>
      </c>
      <c r="DU47" s="87" t="e">
        <f>VLOOKUP($B47,Raw_Data[#All],DU$2,0)/DU$1</f>
        <v>#N/A</v>
      </c>
      <c r="DV47" s="87" t="e">
        <f>VLOOKUP($B47,Raw_Data[#All],DV$2,0)/DV$1</f>
        <v>#N/A</v>
      </c>
      <c r="DW47" s="87" t="e">
        <f>VLOOKUP($B47,Raw_Data[#All],DW$2,0)/DW$1</f>
        <v>#N/A</v>
      </c>
      <c r="DX47" s="87" t="e">
        <f>VLOOKUP($B47,Raw_Data[#All],DX$2,0)/DX$1</f>
        <v>#N/A</v>
      </c>
      <c r="DY47" s="87" t="e">
        <f>VLOOKUP($B47,Raw_Data[#All],DY$2,0)/DY$1</f>
        <v>#N/A</v>
      </c>
      <c r="DZ47" s="87" t="e">
        <f>VLOOKUP($B47,Raw_Data[#All],DZ$2,0)/DZ$1</f>
        <v>#N/A</v>
      </c>
      <c r="EA47" s="87" t="e">
        <f>VLOOKUP($B47,Raw_Data[#All],EA$2,0)/EA$1</f>
        <v>#N/A</v>
      </c>
      <c r="EB47" s="87" t="e">
        <f>VLOOKUP($B47,Raw_Data[#All],EB$2,0)/EB$1</f>
        <v>#N/A</v>
      </c>
      <c r="EC47" s="87" t="e">
        <f>VLOOKUP($B47,Raw_Data[#All],EC$2,0)/EC$1</f>
        <v>#N/A</v>
      </c>
      <c r="ED47" s="87" t="e">
        <f>VLOOKUP($B47,Raw_Data[#All],ED$2,0)/ED$1</f>
        <v>#N/A</v>
      </c>
      <c r="EE47" s="87" t="e">
        <f>VLOOKUP($B47,Raw_Data[#All],EE$2,0)/EE$1</f>
        <v>#N/A</v>
      </c>
      <c r="EF47" s="87" t="e">
        <f>VLOOKUP($B47,Raw_Data[#All],EF$2,0)/EF$1</f>
        <v>#N/A</v>
      </c>
      <c r="EG47" s="87" t="e">
        <f>VLOOKUP($B47,Raw_Data[#All],EG$2,0)/EG$1</f>
        <v>#N/A</v>
      </c>
      <c r="EH47" s="87" t="e">
        <f>VLOOKUP($B47,Raw_Data[#All],EH$2,0)/EH$1</f>
        <v>#N/A</v>
      </c>
      <c r="EI47" s="87" t="e">
        <f>VLOOKUP($B47,Raw_Data[#All],EI$2,0)/EI$1</f>
        <v>#N/A</v>
      </c>
      <c r="EJ47" s="87" t="e">
        <f>VLOOKUP($B47,Raw_Data[#All],EJ$2,0)/EJ$1</f>
        <v>#N/A</v>
      </c>
      <c r="EK47" s="87" t="e">
        <f>VLOOKUP($B47,Raw_Data[#All],EK$2,0)/EK$1</f>
        <v>#N/A</v>
      </c>
      <c r="EL47" s="87" t="e">
        <f>VLOOKUP($B47,Raw_Data[#All],EL$2,0)/EL$1</f>
        <v>#N/A</v>
      </c>
      <c r="EM47" s="87" t="e">
        <f>VLOOKUP($B47,Raw_Data[#All],EM$2,0)/EM$1</f>
        <v>#N/A</v>
      </c>
      <c r="EN47" s="87" t="e">
        <f>VLOOKUP($B47,Raw_Data[#All],EN$2,0)/EN$1</f>
        <v>#N/A</v>
      </c>
      <c r="EO47" s="87" t="e">
        <f>VLOOKUP($B47,Raw_Data[#All],EO$2,0)/EO$1</f>
        <v>#N/A</v>
      </c>
      <c r="EP47" s="87" t="e">
        <f>VLOOKUP($B47,Raw_Data[#All],EP$2,0)/EP$1</f>
        <v>#N/A</v>
      </c>
      <c r="EQ47" s="87" t="e">
        <f>VLOOKUP($B47,Raw_Data[#All],EQ$2,0)/EQ$1</f>
        <v>#N/A</v>
      </c>
      <c r="ER47" s="87" t="e">
        <f>VLOOKUP($B47,Raw_Data[#All],ER$2,0)/ER$1</f>
        <v>#N/A</v>
      </c>
      <c r="ES47" s="87" t="e">
        <f>VLOOKUP($B47,Raw_Data[#All],ES$2,0)/ES$1</f>
        <v>#N/A</v>
      </c>
      <c r="ET47" s="87" t="e">
        <f>VLOOKUP($B47,Raw_Data[#All],ET$2,0)/ET$1</f>
        <v>#N/A</v>
      </c>
      <c r="EU47" s="87" t="e">
        <f>VLOOKUP($B47,Raw_Data[#All],EU$2,0)/EU$1</f>
        <v>#N/A</v>
      </c>
      <c r="EV47" s="87" t="e">
        <f>VLOOKUP($B47,Raw_Data[#All],EV$2,0)/EV$1</f>
        <v>#N/A</v>
      </c>
      <c r="EW47" s="87" t="e">
        <f>VLOOKUP($B47,Raw_Data[#All],EW$2,0)/EW$1</f>
        <v>#N/A</v>
      </c>
      <c r="EX47" s="87" t="e">
        <f>VLOOKUP($B47,Raw_Data[#All],EX$2,0)/EX$1</f>
        <v>#N/A</v>
      </c>
      <c r="EY47" s="87" t="e">
        <f>VLOOKUP($B47,Raw_Data[#All],EY$2,0)/EY$1</f>
        <v>#N/A</v>
      </c>
      <c r="EZ47" s="87" t="e">
        <f>VLOOKUP($B47,Raw_Data[#All],EZ$2,0)/EZ$1</f>
        <v>#N/A</v>
      </c>
      <c r="FA47" s="87" t="e">
        <f>VLOOKUP($B47,Raw_Data[#All],FA$2,0)/FA$1</f>
        <v>#N/A</v>
      </c>
      <c r="FB47" s="87" t="e">
        <f>VLOOKUP($B47,Raw_Data[#All],FB$2,0)/FB$1</f>
        <v>#N/A</v>
      </c>
      <c r="FC47" s="87" t="e">
        <f>VLOOKUP($B47,Raw_Data[#All],FC$2,0)/FC$1</f>
        <v>#N/A</v>
      </c>
      <c r="FD47" s="87" t="e">
        <f>VLOOKUP($B47,Raw_Data[#All],FD$2,0)/FD$1</f>
        <v>#N/A</v>
      </c>
      <c r="FE47" s="87" t="e">
        <f>VLOOKUP($B47,Raw_Data[#All],FE$2,0)/FE$1</f>
        <v>#N/A</v>
      </c>
      <c r="FF47" s="87" t="e">
        <f>VLOOKUP($B47,Raw_Data[#All],FF$2,0)/FF$1</f>
        <v>#N/A</v>
      </c>
      <c r="FG47" s="105" t="e">
        <f>VLOOKUP($B47,Raw_Data[#All],FG$2,0)/FG$1</f>
        <v>#N/A</v>
      </c>
    </row>
    <row r="48" spans="2:163">
      <c r="B48" s="106">
        <f t="shared" si="1"/>
        <v>45871</v>
      </c>
      <c r="C48" s="87" t="e">
        <f>VLOOKUP($B48,Raw_Data[#All],C$2,0)/C$1</f>
        <v>#N/A</v>
      </c>
      <c r="D48" s="87" t="e">
        <f>VLOOKUP($B48,Raw_Data[#All],D$2,0)/D$1</f>
        <v>#N/A</v>
      </c>
      <c r="E48" s="87" t="e">
        <f>VLOOKUP($B48,Raw_Data[#All],E$2,0)/E$1</f>
        <v>#N/A</v>
      </c>
      <c r="F48" s="87" t="e">
        <f>VLOOKUP($B48,Raw_Data[#All],F$2,0)/F$1</f>
        <v>#N/A</v>
      </c>
      <c r="G48" s="87" t="e">
        <f>VLOOKUP($B48,Raw_Data[#All],G$2,0)/G$1</f>
        <v>#N/A</v>
      </c>
      <c r="H48" s="87" t="e">
        <f>VLOOKUP($B48,Raw_Data[#All],H$2,0)/H$1</f>
        <v>#N/A</v>
      </c>
      <c r="I48" s="87" t="e">
        <f>VLOOKUP($B48,Raw_Data[#All],I$2,0)/I$1</f>
        <v>#N/A</v>
      </c>
      <c r="J48" s="87" t="e">
        <f>VLOOKUP($B48,Raw_Data[#All],J$2,0)/J$1</f>
        <v>#N/A</v>
      </c>
      <c r="K48" s="87" t="e">
        <f>VLOOKUP($B48,Raw_Data[#All],K$2,0)/K$1</f>
        <v>#N/A</v>
      </c>
      <c r="L48" s="87" t="e">
        <f>VLOOKUP($B48,Raw_Data[#All],L$2,0)/L$1</f>
        <v>#N/A</v>
      </c>
      <c r="M48" s="87" t="e">
        <f>VLOOKUP($B48,Raw_Data[#All],M$2,0)/M$1</f>
        <v>#N/A</v>
      </c>
      <c r="N48" s="87" t="e">
        <f>VLOOKUP($B48,Raw_Data[#All],N$2,0)/N$1</f>
        <v>#N/A</v>
      </c>
      <c r="O48" s="87" t="e">
        <f>VLOOKUP($B48,Raw_Data[#All],O$2,0)/O$1</f>
        <v>#N/A</v>
      </c>
      <c r="P48" s="87" t="e">
        <f>VLOOKUP($B48,Raw_Data[#All],P$2,0)/P$1</f>
        <v>#N/A</v>
      </c>
      <c r="Q48" s="87" t="e">
        <f>VLOOKUP($B48,Raw_Data[#All],Q$2,0)/Q$1</f>
        <v>#N/A</v>
      </c>
      <c r="R48" s="87" t="e">
        <f>VLOOKUP($B48,Raw_Data[#All],R$2,0)/R$1</f>
        <v>#N/A</v>
      </c>
      <c r="S48" s="87" t="e">
        <f>VLOOKUP($B48,Raw_Data[#All],S$2,0)/S$1</f>
        <v>#N/A</v>
      </c>
      <c r="T48" s="87" t="e">
        <f>VLOOKUP($B48,Raw_Data[#All],T$2,0)/T$1</f>
        <v>#N/A</v>
      </c>
      <c r="U48" s="87" t="e">
        <f>VLOOKUP($B48,Raw_Data[#All],U$2,0)/U$1</f>
        <v>#N/A</v>
      </c>
      <c r="V48" s="87" t="e">
        <f>VLOOKUP($B48,Raw_Data[#All],V$2,0)/V$1</f>
        <v>#N/A</v>
      </c>
      <c r="W48" s="87" t="e">
        <f>VLOOKUP($B48,Raw_Data[#All],W$2,0)/W$1</f>
        <v>#N/A</v>
      </c>
      <c r="X48" s="87" t="e">
        <f>VLOOKUP($B48,Raw_Data[#All],X$2,0)/X$1</f>
        <v>#N/A</v>
      </c>
      <c r="Y48" s="87" t="e">
        <f>VLOOKUP($B48,Raw_Data[#All],Y$2,0)/Y$1</f>
        <v>#N/A</v>
      </c>
      <c r="Z48" s="87" t="e">
        <f>VLOOKUP($B48,Raw_Data[#All],Z$2,0)/Z$1</f>
        <v>#N/A</v>
      </c>
      <c r="AA48" s="87" t="e">
        <f>VLOOKUP($B48,Raw_Data[#All],AA$2,0)/AA$1</f>
        <v>#N/A</v>
      </c>
      <c r="AB48" s="87" t="e">
        <f>VLOOKUP($B48,Raw_Data[#All],AB$2,0)/AB$1</f>
        <v>#N/A</v>
      </c>
      <c r="AC48" s="87" t="e">
        <f>VLOOKUP($B48,Raw_Data[#All],AC$2,0)/AC$1</f>
        <v>#N/A</v>
      </c>
      <c r="AD48" s="87" t="e">
        <f>VLOOKUP($B48,Raw_Data[#All],AD$2,0)/AD$1</f>
        <v>#N/A</v>
      </c>
      <c r="AE48" s="87" t="e">
        <f>VLOOKUP($B48,Raw_Data[#All],AE$2,0)/AE$1</f>
        <v>#N/A</v>
      </c>
      <c r="AF48" s="87" t="e">
        <f>VLOOKUP($B48,Raw_Data[#All],AF$2,0)/AF$1</f>
        <v>#N/A</v>
      </c>
      <c r="AG48" s="87" t="e">
        <f>VLOOKUP($B48,Raw_Data[#All],AG$2,0)/AG$1</f>
        <v>#N/A</v>
      </c>
      <c r="AH48" s="87" t="e">
        <f>VLOOKUP($B48,Raw_Data[#All],AH$2,0)/AH$1</f>
        <v>#N/A</v>
      </c>
      <c r="AI48" s="87" t="e">
        <f>VLOOKUP($B48,Raw_Data[#All],AI$2,0)/AI$1</f>
        <v>#N/A</v>
      </c>
      <c r="AJ48" s="87" t="e">
        <f>VLOOKUP($B48,Raw_Data[#All],AJ$2,0)/AJ$1</f>
        <v>#N/A</v>
      </c>
      <c r="AK48" s="87" t="e">
        <f>VLOOKUP($B48,Raw_Data[#All],AK$2,0)/AK$1</f>
        <v>#N/A</v>
      </c>
      <c r="AL48" s="87" t="e">
        <f>VLOOKUP($B48,Raw_Data[#All],AL$2,0)/AL$1</f>
        <v>#N/A</v>
      </c>
      <c r="AM48" s="87" t="e">
        <f>VLOOKUP($B48,Raw_Data[#All],AM$2,0)/AM$1</f>
        <v>#N/A</v>
      </c>
      <c r="AN48" s="87" t="e">
        <f>VLOOKUP($B48,Raw_Data[#All],AN$2,0)/AN$1</f>
        <v>#N/A</v>
      </c>
      <c r="AO48" s="87" t="e">
        <f>VLOOKUP($B48,Raw_Data[#All],AO$2,0)/AO$1</f>
        <v>#N/A</v>
      </c>
      <c r="AP48" s="87" t="e">
        <f>VLOOKUP($B48,Raw_Data[#All],AP$2,0)/AP$1</f>
        <v>#N/A</v>
      </c>
      <c r="AQ48" s="87" t="e">
        <f>VLOOKUP($B48,Raw_Data[#All],AQ$2,0)/AQ$1</f>
        <v>#N/A</v>
      </c>
      <c r="AR48" s="87" t="e">
        <f>VLOOKUP($B48,Raw_Data[#All],AR$2,0)/AR$1</f>
        <v>#N/A</v>
      </c>
      <c r="AS48" s="87" t="e">
        <f>VLOOKUP($B48,Raw_Data[#All],AS$2,0)/AS$1</f>
        <v>#N/A</v>
      </c>
      <c r="AT48" s="87" t="e">
        <f>VLOOKUP($B48,Raw_Data[#All],AT$2,0)/AT$1</f>
        <v>#N/A</v>
      </c>
      <c r="AU48" s="87" t="e">
        <f>VLOOKUP($B48,Raw_Data[#All],AU$2,0)/AU$1</f>
        <v>#N/A</v>
      </c>
      <c r="AV48" s="87" t="e">
        <f>VLOOKUP($B48,Raw_Data[#All],AV$2,0)/AV$1</f>
        <v>#N/A</v>
      </c>
      <c r="AW48" s="87" t="e">
        <f>VLOOKUP($B48,Raw_Data[#All],AW$2,0)/AW$1</f>
        <v>#N/A</v>
      </c>
      <c r="AX48" s="87" t="e">
        <f>VLOOKUP($B48,Raw_Data[#All],AX$2,0)/AX$1</f>
        <v>#N/A</v>
      </c>
      <c r="AY48" s="87" t="e">
        <f>VLOOKUP($B48,Raw_Data[#All],AY$2,0)/AY$1</f>
        <v>#N/A</v>
      </c>
      <c r="AZ48" s="87" t="e">
        <f>VLOOKUP($B48,Raw_Data[#All],AZ$2,0)/AZ$1</f>
        <v>#N/A</v>
      </c>
      <c r="BA48" s="87" t="e">
        <f>VLOOKUP($B48,Raw_Data[#All],BA$2,0)/BA$1</f>
        <v>#N/A</v>
      </c>
      <c r="BB48" s="87" t="e">
        <f>VLOOKUP($B48,Raw_Data[#All],BB$2,0)/BB$1</f>
        <v>#N/A</v>
      </c>
      <c r="BC48" s="87" t="e">
        <f>VLOOKUP($B48,Raw_Data[#All],BC$2,0)/BC$1</f>
        <v>#N/A</v>
      </c>
      <c r="BD48" s="87" t="e">
        <f>VLOOKUP($B48,Raw_Data[#All],BD$2,0)/BD$1</f>
        <v>#N/A</v>
      </c>
      <c r="BE48" s="87" t="e">
        <f>VLOOKUP($B48,Raw_Data[#All],BE$2,0)/BE$1</f>
        <v>#N/A</v>
      </c>
      <c r="BF48" s="87" t="e">
        <f>VLOOKUP($B48,Raw_Data[#All],BF$2,0)/BF$1</f>
        <v>#N/A</v>
      </c>
      <c r="BG48" s="87" t="e">
        <f>VLOOKUP($B48,Raw_Data[#All],BG$2,0)/BG$1</f>
        <v>#N/A</v>
      </c>
      <c r="BH48" s="87" t="e">
        <f>VLOOKUP($B48,Raw_Data[#All],BH$2,0)/BH$1</f>
        <v>#N/A</v>
      </c>
      <c r="BI48" s="87" t="e">
        <f>VLOOKUP($B48,Raw_Data[#All],BI$2,0)/BI$1</f>
        <v>#N/A</v>
      </c>
      <c r="BJ48" s="87" t="e">
        <f>VLOOKUP($B48,Raw_Data[#All],BJ$2,0)/BJ$1</f>
        <v>#N/A</v>
      </c>
      <c r="BK48" s="87" t="e">
        <f>VLOOKUP($B48,Raw_Data[#All],BK$2,0)/BK$1</f>
        <v>#N/A</v>
      </c>
      <c r="BL48" s="87" t="e">
        <f>VLOOKUP($B48,Raw_Data[#All],BL$2,0)/BL$1</f>
        <v>#N/A</v>
      </c>
      <c r="BM48" s="87" t="e">
        <f>VLOOKUP($B48,Raw_Data[#All],BM$2,0)/BM$1</f>
        <v>#N/A</v>
      </c>
      <c r="BN48" s="87" t="e">
        <f>VLOOKUP($B48,Raw_Data[#All],BN$2,0)/BN$1</f>
        <v>#N/A</v>
      </c>
      <c r="BO48" s="87" t="e">
        <f>VLOOKUP($B48,Raw_Data[#All],BO$2,0)/BO$1</f>
        <v>#N/A</v>
      </c>
      <c r="BP48" s="87" t="e">
        <f>VLOOKUP($B48,Raw_Data[#All],BP$2,0)/BP$1</f>
        <v>#N/A</v>
      </c>
      <c r="BQ48" s="87" t="e">
        <f>VLOOKUP($B48,Raw_Data[#All],BQ$2,0)/BQ$1</f>
        <v>#N/A</v>
      </c>
      <c r="BR48" s="87" t="e">
        <f>VLOOKUP($B48,Raw_Data[#All],BR$2,0)/BR$1</f>
        <v>#N/A</v>
      </c>
      <c r="BS48" s="87" t="e">
        <f>VLOOKUP($B48,Raw_Data[#All],BS$2,0)/BS$1</f>
        <v>#N/A</v>
      </c>
      <c r="BT48" s="87" t="e">
        <f>VLOOKUP($B48,Raw_Data[#All],BT$2,0)/BT$1</f>
        <v>#N/A</v>
      </c>
      <c r="BU48" s="87" t="e">
        <f>VLOOKUP($B48,Raw_Data[#All],BU$2,0)/BU$1</f>
        <v>#N/A</v>
      </c>
      <c r="BV48" s="87" t="e">
        <f>VLOOKUP($B48,Raw_Data[#All],BV$2,0)/BV$1</f>
        <v>#N/A</v>
      </c>
      <c r="BW48" s="87" t="e">
        <f>VLOOKUP($B48,Raw_Data[#All],BW$2,0)/BW$1</f>
        <v>#N/A</v>
      </c>
      <c r="BX48" s="87" t="e">
        <f>VLOOKUP($B48,Raw_Data[#All],BX$2,0)/BX$1</f>
        <v>#N/A</v>
      </c>
      <c r="BY48" s="87" t="e">
        <f>VLOOKUP($B48,Raw_Data[#All],BY$2,0)/BY$1</f>
        <v>#N/A</v>
      </c>
      <c r="BZ48" s="87" t="e">
        <f>VLOOKUP($B48,Raw_Data[#All],BZ$2,0)/BZ$1</f>
        <v>#N/A</v>
      </c>
      <c r="CA48" s="87" t="e">
        <f>VLOOKUP($B48,Raw_Data[#All],CA$2,0)/CA$1</f>
        <v>#N/A</v>
      </c>
      <c r="CB48" s="87" t="e">
        <f>VLOOKUP($B48,Raw_Data[#All],CB$2,0)/CB$1</f>
        <v>#N/A</v>
      </c>
      <c r="CC48" s="87" t="e">
        <f>VLOOKUP($B48,Raw_Data[#All],CC$2,0)/CC$1</f>
        <v>#N/A</v>
      </c>
      <c r="CD48" s="87" t="e">
        <f>VLOOKUP($B48,Raw_Data[#All],CD$2,0)/CD$1</f>
        <v>#N/A</v>
      </c>
      <c r="CE48" s="87" t="e">
        <f>VLOOKUP($B48,Raw_Data[#All],CE$2,0)/CE$1</f>
        <v>#N/A</v>
      </c>
      <c r="CF48" s="87" t="e">
        <f>VLOOKUP($B48,Raw_Data[#All],CF$2,0)/CF$1</f>
        <v>#N/A</v>
      </c>
      <c r="CG48" s="87" t="e">
        <f>VLOOKUP($B48,Raw_Data[#All],CG$2,0)/CG$1</f>
        <v>#N/A</v>
      </c>
      <c r="CH48" s="87" t="e">
        <f>VLOOKUP($B48,Raw_Data[#All],CH$2,0)/CH$1</f>
        <v>#N/A</v>
      </c>
      <c r="CI48" s="87" t="e">
        <f>VLOOKUP($B48,Raw_Data[#All],CI$2,0)/CI$1</f>
        <v>#N/A</v>
      </c>
      <c r="CJ48" s="87" t="e">
        <f>VLOOKUP($B48,Raw_Data[#All],CJ$2,0)/CJ$1</f>
        <v>#N/A</v>
      </c>
      <c r="CK48" s="87" t="e">
        <f>VLOOKUP($B48,Raw_Data[#All],CK$2,0)/CK$1</f>
        <v>#N/A</v>
      </c>
      <c r="CL48" s="87" t="e">
        <f>VLOOKUP($B48,Raw_Data[#All],CL$2,0)/CL$1</f>
        <v>#N/A</v>
      </c>
      <c r="CM48" s="87" t="e">
        <f>VLOOKUP($B48,Raw_Data[#All],CM$2,0)/CM$1</f>
        <v>#N/A</v>
      </c>
      <c r="CN48" s="87" t="e">
        <f>VLOOKUP($B48,Raw_Data[#All],CN$2,0)/CN$1</f>
        <v>#N/A</v>
      </c>
      <c r="CO48" s="87" t="e">
        <f>VLOOKUP($B48,Raw_Data[#All],CO$2,0)/CO$1</f>
        <v>#N/A</v>
      </c>
      <c r="CP48" s="87" t="e">
        <f>VLOOKUP($B48,Raw_Data[#All],CP$2,0)/CP$1</f>
        <v>#N/A</v>
      </c>
      <c r="CQ48" s="87" t="e">
        <f>VLOOKUP($B48,Raw_Data[#All],CQ$2,0)/CQ$1</f>
        <v>#N/A</v>
      </c>
      <c r="CR48" s="87" t="e">
        <f>VLOOKUP($B48,Raw_Data[#All],CR$2,0)/CR$1</f>
        <v>#N/A</v>
      </c>
      <c r="CS48" s="87" t="e">
        <f>VLOOKUP($B48,Raw_Data[#All],CS$2,0)/CS$1</f>
        <v>#N/A</v>
      </c>
      <c r="CT48" s="87" t="e">
        <f>VLOOKUP($B48,Raw_Data[#All],CT$2,0)/CT$1</f>
        <v>#N/A</v>
      </c>
      <c r="CU48" s="87" t="e">
        <f>VLOOKUP($B48,Raw_Data[#All],CU$2,0)/CU$1</f>
        <v>#N/A</v>
      </c>
      <c r="CV48" s="87" t="e">
        <f>VLOOKUP($B48,Raw_Data[#All],CV$2,0)/CV$1</f>
        <v>#N/A</v>
      </c>
      <c r="CW48" s="87" t="e">
        <f>VLOOKUP($B48,Raw_Data[#All],CW$2,0)/CW$1</f>
        <v>#N/A</v>
      </c>
      <c r="CX48" s="87" t="e">
        <f>VLOOKUP($B48,Raw_Data[#All],CX$2,0)/CX$1</f>
        <v>#N/A</v>
      </c>
      <c r="CY48" s="87" t="e">
        <f>VLOOKUP($B48,Raw_Data[#All],CY$2,0)/CY$1</f>
        <v>#N/A</v>
      </c>
      <c r="CZ48" s="87" t="e">
        <f>VLOOKUP($B48,Raw_Data[#All],CZ$2,0)/CZ$1</f>
        <v>#N/A</v>
      </c>
      <c r="DA48" s="87" t="e">
        <f>VLOOKUP($B48,Raw_Data[#All],DA$2,0)/DA$1</f>
        <v>#N/A</v>
      </c>
      <c r="DB48" s="87" t="e">
        <f>VLOOKUP($B48,Raw_Data[#All],DB$2,0)/DB$1</f>
        <v>#N/A</v>
      </c>
      <c r="DC48" s="87" t="e">
        <f>VLOOKUP($B48,Raw_Data[#All],DC$2,0)/DC$1</f>
        <v>#N/A</v>
      </c>
      <c r="DD48" s="87" t="e">
        <f>VLOOKUP($B48,Raw_Data[#All],DD$2,0)/DD$1</f>
        <v>#N/A</v>
      </c>
      <c r="DE48" s="87" t="e">
        <f>VLOOKUP($B48,Raw_Data[#All],DE$2,0)/DE$1</f>
        <v>#N/A</v>
      </c>
      <c r="DF48" s="87" t="e">
        <f>VLOOKUP($B48,Raw_Data[#All],DF$2,0)/DF$1</f>
        <v>#N/A</v>
      </c>
      <c r="DG48" s="87" t="e">
        <f>VLOOKUP($B48,Raw_Data[#All],DG$2,0)/DG$1</f>
        <v>#N/A</v>
      </c>
      <c r="DH48" s="87" t="e">
        <f>VLOOKUP($B48,Raw_Data[#All],DH$2,0)/DH$1</f>
        <v>#N/A</v>
      </c>
      <c r="DI48" s="87" t="e">
        <f>VLOOKUP($B48,Raw_Data[#All],DI$2,0)/DI$1</f>
        <v>#N/A</v>
      </c>
      <c r="DJ48" s="87" t="e">
        <f>VLOOKUP($B48,Raw_Data[#All],DJ$2,0)/DJ$1</f>
        <v>#N/A</v>
      </c>
      <c r="DK48" s="87" t="e">
        <f>VLOOKUP($B48,Raw_Data[#All],DK$2,0)/DK$1</f>
        <v>#N/A</v>
      </c>
      <c r="DL48" s="87" t="e">
        <f>VLOOKUP($B48,Raw_Data[#All],DL$2,0)/DL$1</f>
        <v>#N/A</v>
      </c>
      <c r="DM48" s="87" t="e">
        <f>VLOOKUP($B48,Raw_Data[#All],DM$2,0)/DM$1</f>
        <v>#N/A</v>
      </c>
      <c r="DN48" s="87" t="e">
        <f>VLOOKUP($B48,Raw_Data[#All],DN$2,0)/DN$1</f>
        <v>#N/A</v>
      </c>
      <c r="DO48" s="87" t="e">
        <f>VLOOKUP($B48,Raw_Data[#All],DO$2,0)/DO$1</f>
        <v>#N/A</v>
      </c>
      <c r="DP48" s="87" t="e">
        <f>VLOOKUP($B48,Raw_Data[#All],DP$2,0)/DP$1</f>
        <v>#N/A</v>
      </c>
      <c r="DQ48" s="87" t="e">
        <f>VLOOKUP($B48,Raw_Data[#All],DQ$2,0)/DQ$1</f>
        <v>#N/A</v>
      </c>
      <c r="DR48" s="87" t="e">
        <f>VLOOKUP($B48,Raw_Data[#All],DR$2,0)/DR$1</f>
        <v>#N/A</v>
      </c>
      <c r="DS48" s="87" t="e">
        <f>VLOOKUP($B48,Raw_Data[#All],DS$2,0)/DS$1</f>
        <v>#N/A</v>
      </c>
      <c r="DT48" s="87" t="e">
        <f>VLOOKUP($B48,Raw_Data[#All],DT$2,0)/DT$1</f>
        <v>#N/A</v>
      </c>
      <c r="DU48" s="87" t="e">
        <f>VLOOKUP($B48,Raw_Data[#All],DU$2,0)/DU$1</f>
        <v>#N/A</v>
      </c>
      <c r="DV48" s="87" t="e">
        <f>VLOOKUP($B48,Raw_Data[#All],DV$2,0)/DV$1</f>
        <v>#N/A</v>
      </c>
      <c r="DW48" s="87" t="e">
        <f>VLOOKUP($B48,Raw_Data[#All],DW$2,0)/DW$1</f>
        <v>#N/A</v>
      </c>
      <c r="DX48" s="87" t="e">
        <f>VLOOKUP($B48,Raw_Data[#All],DX$2,0)/DX$1</f>
        <v>#N/A</v>
      </c>
      <c r="DY48" s="87" t="e">
        <f>VLOOKUP($B48,Raw_Data[#All],DY$2,0)/DY$1</f>
        <v>#N/A</v>
      </c>
      <c r="DZ48" s="87" t="e">
        <f>VLOOKUP($B48,Raw_Data[#All],DZ$2,0)/DZ$1</f>
        <v>#N/A</v>
      </c>
      <c r="EA48" s="87" t="e">
        <f>VLOOKUP($B48,Raw_Data[#All],EA$2,0)/EA$1</f>
        <v>#N/A</v>
      </c>
      <c r="EB48" s="87" t="e">
        <f>VLOOKUP($B48,Raw_Data[#All],EB$2,0)/EB$1</f>
        <v>#N/A</v>
      </c>
      <c r="EC48" s="87" t="e">
        <f>VLOOKUP($B48,Raw_Data[#All],EC$2,0)/EC$1</f>
        <v>#N/A</v>
      </c>
      <c r="ED48" s="87" t="e">
        <f>VLOOKUP($B48,Raw_Data[#All],ED$2,0)/ED$1</f>
        <v>#N/A</v>
      </c>
      <c r="EE48" s="87" t="e">
        <f>VLOOKUP($B48,Raw_Data[#All],EE$2,0)/EE$1</f>
        <v>#N/A</v>
      </c>
      <c r="EF48" s="87" t="e">
        <f>VLOOKUP($B48,Raw_Data[#All],EF$2,0)/EF$1</f>
        <v>#N/A</v>
      </c>
      <c r="EG48" s="87" t="e">
        <f>VLOOKUP($B48,Raw_Data[#All],EG$2,0)/EG$1</f>
        <v>#N/A</v>
      </c>
      <c r="EH48" s="87" t="e">
        <f>VLOOKUP($B48,Raw_Data[#All],EH$2,0)/EH$1</f>
        <v>#N/A</v>
      </c>
      <c r="EI48" s="87" t="e">
        <f>VLOOKUP($B48,Raw_Data[#All],EI$2,0)/EI$1</f>
        <v>#N/A</v>
      </c>
      <c r="EJ48" s="87" t="e">
        <f>VLOOKUP($B48,Raw_Data[#All],EJ$2,0)/EJ$1</f>
        <v>#N/A</v>
      </c>
      <c r="EK48" s="87" t="e">
        <f>VLOOKUP($B48,Raw_Data[#All],EK$2,0)/EK$1</f>
        <v>#N/A</v>
      </c>
      <c r="EL48" s="87" t="e">
        <f>VLOOKUP($B48,Raw_Data[#All],EL$2,0)/EL$1</f>
        <v>#N/A</v>
      </c>
      <c r="EM48" s="87" t="e">
        <f>VLOOKUP($B48,Raw_Data[#All],EM$2,0)/EM$1</f>
        <v>#N/A</v>
      </c>
      <c r="EN48" s="87" t="e">
        <f>VLOOKUP($B48,Raw_Data[#All],EN$2,0)/EN$1</f>
        <v>#N/A</v>
      </c>
      <c r="EO48" s="87" t="e">
        <f>VLOOKUP($B48,Raw_Data[#All],EO$2,0)/EO$1</f>
        <v>#N/A</v>
      </c>
      <c r="EP48" s="87" t="e">
        <f>VLOOKUP($B48,Raw_Data[#All],EP$2,0)/EP$1</f>
        <v>#N/A</v>
      </c>
      <c r="EQ48" s="87" t="e">
        <f>VLOOKUP($B48,Raw_Data[#All],EQ$2,0)/EQ$1</f>
        <v>#N/A</v>
      </c>
      <c r="ER48" s="87" t="e">
        <f>VLOOKUP($B48,Raw_Data[#All],ER$2,0)/ER$1</f>
        <v>#N/A</v>
      </c>
      <c r="ES48" s="87" t="e">
        <f>VLOOKUP($B48,Raw_Data[#All],ES$2,0)/ES$1</f>
        <v>#N/A</v>
      </c>
      <c r="ET48" s="87" t="e">
        <f>VLOOKUP($B48,Raw_Data[#All],ET$2,0)/ET$1</f>
        <v>#N/A</v>
      </c>
      <c r="EU48" s="87" t="e">
        <f>VLOOKUP($B48,Raw_Data[#All],EU$2,0)/EU$1</f>
        <v>#N/A</v>
      </c>
      <c r="EV48" s="87" t="e">
        <f>VLOOKUP($B48,Raw_Data[#All],EV$2,0)/EV$1</f>
        <v>#N/A</v>
      </c>
      <c r="EW48" s="87" t="e">
        <f>VLOOKUP($B48,Raw_Data[#All],EW$2,0)/EW$1</f>
        <v>#N/A</v>
      </c>
      <c r="EX48" s="87" t="e">
        <f>VLOOKUP($B48,Raw_Data[#All],EX$2,0)/EX$1</f>
        <v>#N/A</v>
      </c>
      <c r="EY48" s="87" t="e">
        <f>VLOOKUP($B48,Raw_Data[#All],EY$2,0)/EY$1</f>
        <v>#N/A</v>
      </c>
      <c r="EZ48" s="87" t="e">
        <f>VLOOKUP($B48,Raw_Data[#All],EZ$2,0)/EZ$1</f>
        <v>#N/A</v>
      </c>
      <c r="FA48" s="87" t="e">
        <f>VLOOKUP($B48,Raw_Data[#All],FA$2,0)/FA$1</f>
        <v>#N/A</v>
      </c>
      <c r="FB48" s="87" t="e">
        <f>VLOOKUP($B48,Raw_Data[#All],FB$2,0)/FB$1</f>
        <v>#N/A</v>
      </c>
      <c r="FC48" s="87" t="e">
        <f>VLOOKUP($B48,Raw_Data[#All],FC$2,0)/FC$1</f>
        <v>#N/A</v>
      </c>
      <c r="FD48" s="87" t="e">
        <f>VLOOKUP($B48,Raw_Data[#All],FD$2,0)/FD$1</f>
        <v>#N/A</v>
      </c>
      <c r="FE48" s="87" t="e">
        <f>VLOOKUP($B48,Raw_Data[#All],FE$2,0)/FE$1</f>
        <v>#N/A</v>
      </c>
      <c r="FF48" s="87" t="e">
        <f>VLOOKUP($B48,Raw_Data[#All],FF$2,0)/FF$1</f>
        <v>#N/A</v>
      </c>
      <c r="FG48" s="105" t="e">
        <f>VLOOKUP($B48,Raw_Data[#All],FG$2,0)/FG$1</f>
        <v>#N/A</v>
      </c>
    </row>
    <row r="49" spans="2:163">
      <c r="B49" s="106">
        <f t="shared" si="1"/>
        <v>45872</v>
      </c>
      <c r="C49" s="87" t="e">
        <f>VLOOKUP($B49,Raw_Data[#All],C$2,0)/C$1</f>
        <v>#N/A</v>
      </c>
      <c r="D49" s="87" t="e">
        <f>VLOOKUP($B49,Raw_Data[#All],D$2,0)/D$1</f>
        <v>#N/A</v>
      </c>
      <c r="E49" s="87" t="e">
        <f>VLOOKUP($B49,Raw_Data[#All],E$2,0)/E$1</f>
        <v>#N/A</v>
      </c>
      <c r="F49" s="87" t="e">
        <f>VLOOKUP($B49,Raw_Data[#All],F$2,0)/F$1</f>
        <v>#N/A</v>
      </c>
      <c r="G49" s="87" t="e">
        <f>VLOOKUP($B49,Raw_Data[#All],G$2,0)/G$1</f>
        <v>#N/A</v>
      </c>
      <c r="H49" s="87" t="e">
        <f>VLOOKUP($B49,Raw_Data[#All],H$2,0)/H$1</f>
        <v>#N/A</v>
      </c>
      <c r="I49" s="87" t="e">
        <f>VLOOKUP($B49,Raw_Data[#All],I$2,0)/I$1</f>
        <v>#N/A</v>
      </c>
      <c r="J49" s="87" t="e">
        <f>VLOOKUP($B49,Raw_Data[#All],J$2,0)/J$1</f>
        <v>#N/A</v>
      </c>
      <c r="K49" s="87" t="e">
        <f>VLOOKUP($B49,Raw_Data[#All],K$2,0)/K$1</f>
        <v>#N/A</v>
      </c>
      <c r="L49" s="87" t="e">
        <f>VLOOKUP($B49,Raw_Data[#All],L$2,0)/L$1</f>
        <v>#N/A</v>
      </c>
      <c r="M49" s="87" t="e">
        <f>VLOOKUP($B49,Raw_Data[#All],M$2,0)/M$1</f>
        <v>#N/A</v>
      </c>
      <c r="N49" s="87" t="e">
        <f>VLOOKUP($B49,Raw_Data[#All],N$2,0)/N$1</f>
        <v>#N/A</v>
      </c>
      <c r="O49" s="87" t="e">
        <f>VLOOKUP($B49,Raw_Data[#All],O$2,0)/O$1</f>
        <v>#N/A</v>
      </c>
      <c r="P49" s="87" t="e">
        <f>VLOOKUP($B49,Raw_Data[#All],P$2,0)/P$1</f>
        <v>#N/A</v>
      </c>
      <c r="Q49" s="87" t="e">
        <f>VLOOKUP($B49,Raw_Data[#All],Q$2,0)/Q$1</f>
        <v>#N/A</v>
      </c>
      <c r="R49" s="87" t="e">
        <f>VLOOKUP($B49,Raw_Data[#All],R$2,0)/R$1</f>
        <v>#N/A</v>
      </c>
      <c r="S49" s="87" t="e">
        <f>VLOOKUP($B49,Raw_Data[#All],S$2,0)/S$1</f>
        <v>#N/A</v>
      </c>
      <c r="T49" s="87" t="e">
        <f>VLOOKUP($B49,Raw_Data[#All],T$2,0)/T$1</f>
        <v>#N/A</v>
      </c>
      <c r="U49" s="87" t="e">
        <f>VLOOKUP($B49,Raw_Data[#All],U$2,0)/U$1</f>
        <v>#N/A</v>
      </c>
      <c r="V49" s="87" t="e">
        <f>VLOOKUP($B49,Raw_Data[#All],V$2,0)/V$1</f>
        <v>#N/A</v>
      </c>
      <c r="W49" s="87" t="e">
        <f>VLOOKUP($B49,Raw_Data[#All],W$2,0)/W$1</f>
        <v>#N/A</v>
      </c>
      <c r="X49" s="87" t="e">
        <f>VLOOKUP($B49,Raw_Data[#All],X$2,0)/X$1</f>
        <v>#N/A</v>
      </c>
      <c r="Y49" s="87" t="e">
        <f>VLOOKUP($B49,Raw_Data[#All],Y$2,0)/Y$1</f>
        <v>#N/A</v>
      </c>
      <c r="Z49" s="87" t="e">
        <f>VLOOKUP($B49,Raw_Data[#All],Z$2,0)/Z$1</f>
        <v>#N/A</v>
      </c>
      <c r="AA49" s="87" t="e">
        <f>VLOOKUP($B49,Raw_Data[#All],AA$2,0)/AA$1</f>
        <v>#N/A</v>
      </c>
      <c r="AB49" s="87" t="e">
        <f>VLOOKUP($B49,Raw_Data[#All],AB$2,0)/AB$1</f>
        <v>#N/A</v>
      </c>
      <c r="AC49" s="87" t="e">
        <f>VLOOKUP($B49,Raw_Data[#All],AC$2,0)/AC$1</f>
        <v>#N/A</v>
      </c>
      <c r="AD49" s="87" t="e">
        <f>VLOOKUP($B49,Raw_Data[#All],AD$2,0)/AD$1</f>
        <v>#N/A</v>
      </c>
      <c r="AE49" s="87" t="e">
        <f>VLOOKUP($B49,Raw_Data[#All],AE$2,0)/AE$1</f>
        <v>#N/A</v>
      </c>
      <c r="AF49" s="87" t="e">
        <f>VLOOKUP($B49,Raw_Data[#All],AF$2,0)/AF$1</f>
        <v>#N/A</v>
      </c>
      <c r="AG49" s="87" t="e">
        <f>VLOOKUP($B49,Raw_Data[#All],AG$2,0)/AG$1</f>
        <v>#N/A</v>
      </c>
      <c r="AH49" s="87" t="e">
        <f>VLOOKUP($B49,Raw_Data[#All],AH$2,0)/AH$1</f>
        <v>#N/A</v>
      </c>
      <c r="AI49" s="87" t="e">
        <f>VLOOKUP($B49,Raw_Data[#All],AI$2,0)/AI$1</f>
        <v>#N/A</v>
      </c>
      <c r="AJ49" s="87" t="e">
        <f>VLOOKUP($B49,Raw_Data[#All],AJ$2,0)/AJ$1</f>
        <v>#N/A</v>
      </c>
      <c r="AK49" s="87" t="e">
        <f>VLOOKUP($B49,Raw_Data[#All],AK$2,0)/AK$1</f>
        <v>#N/A</v>
      </c>
      <c r="AL49" s="87" t="e">
        <f>VLOOKUP($B49,Raw_Data[#All],AL$2,0)/AL$1</f>
        <v>#N/A</v>
      </c>
      <c r="AM49" s="87" t="e">
        <f>VLOOKUP($B49,Raw_Data[#All],AM$2,0)/AM$1</f>
        <v>#N/A</v>
      </c>
      <c r="AN49" s="87" t="e">
        <f>VLOOKUP($B49,Raw_Data[#All],AN$2,0)/AN$1</f>
        <v>#N/A</v>
      </c>
      <c r="AO49" s="87" t="e">
        <f>VLOOKUP($B49,Raw_Data[#All],AO$2,0)/AO$1</f>
        <v>#N/A</v>
      </c>
      <c r="AP49" s="87" t="e">
        <f>VLOOKUP($B49,Raw_Data[#All],AP$2,0)/AP$1</f>
        <v>#N/A</v>
      </c>
      <c r="AQ49" s="87" t="e">
        <f>VLOOKUP($B49,Raw_Data[#All],AQ$2,0)/AQ$1</f>
        <v>#N/A</v>
      </c>
      <c r="AR49" s="87" t="e">
        <f>VLOOKUP($B49,Raw_Data[#All],AR$2,0)/AR$1</f>
        <v>#N/A</v>
      </c>
      <c r="AS49" s="87" t="e">
        <f>VLOOKUP($B49,Raw_Data[#All],AS$2,0)/AS$1</f>
        <v>#N/A</v>
      </c>
      <c r="AT49" s="87" t="e">
        <f>VLOOKUP($B49,Raw_Data[#All],AT$2,0)/AT$1</f>
        <v>#N/A</v>
      </c>
      <c r="AU49" s="87" t="e">
        <f>VLOOKUP($B49,Raw_Data[#All],AU$2,0)/AU$1</f>
        <v>#N/A</v>
      </c>
      <c r="AV49" s="87" t="e">
        <f>VLOOKUP($B49,Raw_Data[#All],AV$2,0)/AV$1</f>
        <v>#N/A</v>
      </c>
      <c r="AW49" s="87" t="e">
        <f>VLOOKUP($B49,Raw_Data[#All],AW$2,0)/AW$1</f>
        <v>#N/A</v>
      </c>
      <c r="AX49" s="87" t="e">
        <f>VLOOKUP($B49,Raw_Data[#All],AX$2,0)/AX$1</f>
        <v>#N/A</v>
      </c>
      <c r="AY49" s="87" t="e">
        <f>VLOOKUP($B49,Raw_Data[#All],AY$2,0)/AY$1</f>
        <v>#N/A</v>
      </c>
      <c r="AZ49" s="87" t="e">
        <f>VLOOKUP($B49,Raw_Data[#All],AZ$2,0)/AZ$1</f>
        <v>#N/A</v>
      </c>
      <c r="BA49" s="87" t="e">
        <f>VLOOKUP($B49,Raw_Data[#All],BA$2,0)/BA$1</f>
        <v>#N/A</v>
      </c>
      <c r="BB49" s="87" t="e">
        <f>VLOOKUP($B49,Raw_Data[#All],BB$2,0)/BB$1</f>
        <v>#N/A</v>
      </c>
      <c r="BC49" s="87" t="e">
        <f>VLOOKUP($B49,Raw_Data[#All],BC$2,0)/BC$1</f>
        <v>#N/A</v>
      </c>
      <c r="BD49" s="87" t="e">
        <f>VLOOKUP($B49,Raw_Data[#All],BD$2,0)/BD$1</f>
        <v>#N/A</v>
      </c>
      <c r="BE49" s="87" t="e">
        <f>VLOOKUP($B49,Raw_Data[#All],BE$2,0)/BE$1</f>
        <v>#N/A</v>
      </c>
      <c r="BF49" s="87" t="e">
        <f>VLOOKUP($B49,Raw_Data[#All],BF$2,0)/BF$1</f>
        <v>#N/A</v>
      </c>
      <c r="BG49" s="87" t="e">
        <f>VLOOKUP($B49,Raw_Data[#All],BG$2,0)/BG$1</f>
        <v>#N/A</v>
      </c>
      <c r="BH49" s="87" t="e">
        <f>VLOOKUP($B49,Raw_Data[#All],BH$2,0)/BH$1</f>
        <v>#N/A</v>
      </c>
      <c r="BI49" s="87" t="e">
        <f>VLOOKUP($B49,Raw_Data[#All],BI$2,0)/BI$1</f>
        <v>#N/A</v>
      </c>
      <c r="BJ49" s="87" t="e">
        <f>VLOOKUP($B49,Raw_Data[#All],BJ$2,0)/BJ$1</f>
        <v>#N/A</v>
      </c>
      <c r="BK49" s="87" t="e">
        <f>VLOOKUP($B49,Raw_Data[#All],BK$2,0)/BK$1</f>
        <v>#N/A</v>
      </c>
      <c r="BL49" s="87" t="e">
        <f>VLOOKUP($B49,Raw_Data[#All],BL$2,0)/BL$1</f>
        <v>#N/A</v>
      </c>
      <c r="BM49" s="87" t="e">
        <f>VLOOKUP($B49,Raw_Data[#All],BM$2,0)/BM$1</f>
        <v>#N/A</v>
      </c>
      <c r="BN49" s="87" t="e">
        <f>VLOOKUP($B49,Raw_Data[#All],BN$2,0)/BN$1</f>
        <v>#N/A</v>
      </c>
      <c r="BO49" s="87" t="e">
        <f>VLOOKUP($B49,Raw_Data[#All],BO$2,0)/BO$1</f>
        <v>#N/A</v>
      </c>
      <c r="BP49" s="87" t="e">
        <f>VLOOKUP($B49,Raw_Data[#All],BP$2,0)/BP$1</f>
        <v>#N/A</v>
      </c>
      <c r="BQ49" s="87" t="e">
        <f>VLOOKUP($B49,Raw_Data[#All],BQ$2,0)/BQ$1</f>
        <v>#N/A</v>
      </c>
      <c r="BR49" s="87" t="e">
        <f>VLOOKUP($B49,Raw_Data[#All],BR$2,0)/BR$1</f>
        <v>#N/A</v>
      </c>
      <c r="BS49" s="87" t="e">
        <f>VLOOKUP($B49,Raw_Data[#All],BS$2,0)/BS$1</f>
        <v>#N/A</v>
      </c>
      <c r="BT49" s="87" t="e">
        <f>VLOOKUP($B49,Raw_Data[#All],BT$2,0)/BT$1</f>
        <v>#N/A</v>
      </c>
      <c r="BU49" s="87" t="e">
        <f>VLOOKUP($B49,Raw_Data[#All],BU$2,0)/BU$1</f>
        <v>#N/A</v>
      </c>
      <c r="BV49" s="87" t="e">
        <f>VLOOKUP($B49,Raw_Data[#All],BV$2,0)/BV$1</f>
        <v>#N/A</v>
      </c>
      <c r="BW49" s="87" t="e">
        <f>VLOOKUP($B49,Raw_Data[#All],BW$2,0)/BW$1</f>
        <v>#N/A</v>
      </c>
      <c r="BX49" s="87" t="e">
        <f>VLOOKUP($B49,Raw_Data[#All],BX$2,0)/BX$1</f>
        <v>#N/A</v>
      </c>
      <c r="BY49" s="87" t="e">
        <f>VLOOKUP($B49,Raw_Data[#All],BY$2,0)/BY$1</f>
        <v>#N/A</v>
      </c>
      <c r="BZ49" s="87" t="e">
        <f>VLOOKUP($B49,Raw_Data[#All],BZ$2,0)/BZ$1</f>
        <v>#N/A</v>
      </c>
      <c r="CA49" s="87" t="e">
        <f>VLOOKUP($B49,Raw_Data[#All],CA$2,0)/CA$1</f>
        <v>#N/A</v>
      </c>
      <c r="CB49" s="87" t="e">
        <f>VLOOKUP($B49,Raw_Data[#All],CB$2,0)/CB$1</f>
        <v>#N/A</v>
      </c>
      <c r="CC49" s="87" t="e">
        <f>VLOOKUP($B49,Raw_Data[#All],CC$2,0)/CC$1</f>
        <v>#N/A</v>
      </c>
      <c r="CD49" s="87" t="e">
        <f>VLOOKUP($B49,Raw_Data[#All],CD$2,0)/CD$1</f>
        <v>#N/A</v>
      </c>
      <c r="CE49" s="87" t="e">
        <f>VLOOKUP($B49,Raw_Data[#All],CE$2,0)/CE$1</f>
        <v>#N/A</v>
      </c>
      <c r="CF49" s="87" t="e">
        <f>VLOOKUP($B49,Raw_Data[#All],CF$2,0)/CF$1</f>
        <v>#N/A</v>
      </c>
      <c r="CG49" s="87" t="e">
        <f>VLOOKUP($B49,Raw_Data[#All],CG$2,0)/CG$1</f>
        <v>#N/A</v>
      </c>
      <c r="CH49" s="87" t="e">
        <f>VLOOKUP($B49,Raw_Data[#All],CH$2,0)/CH$1</f>
        <v>#N/A</v>
      </c>
      <c r="CI49" s="87" t="e">
        <f>VLOOKUP($B49,Raw_Data[#All],CI$2,0)/CI$1</f>
        <v>#N/A</v>
      </c>
      <c r="CJ49" s="87" t="e">
        <f>VLOOKUP($B49,Raw_Data[#All],CJ$2,0)/CJ$1</f>
        <v>#N/A</v>
      </c>
      <c r="CK49" s="87" t="e">
        <f>VLOOKUP($B49,Raw_Data[#All],CK$2,0)/CK$1</f>
        <v>#N/A</v>
      </c>
      <c r="CL49" s="87" t="e">
        <f>VLOOKUP($B49,Raw_Data[#All],CL$2,0)/CL$1</f>
        <v>#N/A</v>
      </c>
      <c r="CM49" s="87" t="e">
        <f>VLOOKUP($B49,Raw_Data[#All],CM$2,0)/CM$1</f>
        <v>#N/A</v>
      </c>
      <c r="CN49" s="87" t="e">
        <f>VLOOKUP($B49,Raw_Data[#All],CN$2,0)/CN$1</f>
        <v>#N/A</v>
      </c>
      <c r="CO49" s="87" t="e">
        <f>VLOOKUP($B49,Raw_Data[#All],CO$2,0)/CO$1</f>
        <v>#N/A</v>
      </c>
      <c r="CP49" s="87" t="e">
        <f>VLOOKUP($B49,Raw_Data[#All],CP$2,0)/CP$1</f>
        <v>#N/A</v>
      </c>
      <c r="CQ49" s="87" t="e">
        <f>VLOOKUP($B49,Raw_Data[#All],CQ$2,0)/CQ$1</f>
        <v>#N/A</v>
      </c>
      <c r="CR49" s="87" t="e">
        <f>VLOOKUP($B49,Raw_Data[#All],CR$2,0)/CR$1</f>
        <v>#N/A</v>
      </c>
      <c r="CS49" s="87" t="e">
        <f>VLOOKUP($B49,Raw_Data[#All],CS$2,0)/CS$1</f>
        <v>#N/A</v>
      </c>
      <c r="CT49" s="87" t="e">
        <f>VLOOKUP($B49,Raw_Data[#All],CT$2,0)/CT$1</f>
        <v>#N/A</v>
      </c>
      <c r="CU49" s="87" t="e">
        <f>VLOOKUP($B49,Raw_Data[#All],CU$2,0)/CU$1</f>
        <v>#N/A</v>
      </c>
      <c r="CV49" s="87" t="e">
        <f>VLOOKUP($B49,Raw_Data[#All],CV$2,0)/CV$1</f>
        <v>#N/A</v>
      </c>
      <c r="CW49" s="87" t="e">
        <f>VLOOKUP($B49,Raw_Data[#All],CW$2,0)/CW$1</f>
        <v>#N/A</v>
      </c>
      <c r="CX49" s="87" t="e">
        <f>VLOOKUP($B49,Raw_Data[#All],CX$2,0)/CX$1</f>
        <v>#N/A</v>
      </c>
      <c r="CY49" s="87" t="e">
        <f>VLOOKUP($B49,Raw_Data[#All],CY$2,0)/CY$1</f>
        <v>#N/A</v>
      </c>
      <c r="CZ49" s="87" t="e">
        <f>VLOOKUP($B49,Raw_Data[#All],CZ$2,0)/CZ$1</f>
        <v>#N/A</v>
      </c>
      <c r="DA49" s="87" t="e">
        <f>VLOOKUP($B49,Raw_Data[#All],DA$2,0)/DA$1</f>
        <v>#N/A</v>
      </c>
      <c r="DB49" s="87" t="e">
        <f>VLOOKUP($B49,Raw_Data[#All],DB$2,0)/DB$1</f>
        <v>#N/A</v>
      </c>
      <c r="DC49" s="87" t="e">
        <f>VLOOKUP($B49,Raw_Data[#All],DC$2,0)/DC$1</f>
        <v>#N/A</v>
      </c>
      <c r="DD49" s="87" t="e">
        <f>VLOOKUP($B49,Raw_Data[#All],DD$2,0)/DD$1</f>
        <v>#N/A</v>
      </c>
      <c r="DE49" s="87" t="e">
        <f>VLOOKUP($B49,Raw_Data[#All],DE$2,0)/DE$1</f>
        <v>#N/A</v>
      </c>
      <c r="DF49" s="87" t="e">
        <f>VLOOKUP($B49,Raw_Data[#All],DF$2,0)/DF$1</f>
        <v>#N/A</v>
      </c>
      <c r="DG49" s="87" t="e">
        <f>VLOOKUP($B49,Raw_Data[#All],DG$2,0)/DG$1</f>
        <v>#N/A</v>
      </c>
      <c r="DH49" s="87" t="e">
        <f>VLOOKUP($B49,Raw_Data[#All],DH$2,0)/DH$1</f>
        <v>#N/A</v>
      </c>
      <c r="DI49" s="87" t="e">
        <f>VLOOKUP($B49,Raw_Data[#All],DI$2,0)/DI$1</f>
        <v>#N/A</v>
      </c>
      <c r="DJ49" s="87" t="e">
        <f>VLOOKUP($B49,Raw_Data[#All],DJ$2,0)/DJ$1</f>
        <v>#N/A</v>
      </c>
      <c r="DK49" s="87" t="e">
        <f>VLOOKUP($B49,Raw_Data[#All],DK$2,0)/DK$1</f>
        <v>#N/A</v>
      </c>
      <c r="DL49" s="87" t="e">
        <f>VLOOKUP($B49,Raw_Data[#All],DL$2,0)/DL$1</f>
        <v>#N/A</v>
      </c>
      <c r="DM49" s="87" t="e">
        <f>VLOOKUP($B49,Raw_Data[#All],DM$2,0)/DM$1</f>
        <v>#N/A</v>
      </c>
      <c r="DN49" s="87" t="e">
        <f>VLOOKUP($B49,Raw_Data[#All],DN$2,0)/DN$1</f>
        <v>#N/A</v>
      </c>
      <c r="DO49" s="87" t="e">
        <f>VLOOKUP($B49,Raw_Data[#All],DO$2,0)/DO$1</f>
        <v>#N/A</v>
      </c>
      <c r="DP49" s="87" t="e">
        <f>VLOOKUP($B49,Raw_Data[#All],DP$2,0)/DP$1</f>
        <v>#N/A</v>
      </c>
      <c r="DQ49" s="87" t="e">
        <f>VLOOKUP($B49,Raw_Data[#All],DQ$2,0)/DQ$1</f>
        <v>#N/A</v>
      </c>
      <c r="DR49" s="87" t="e">
        <f>VLOOKUP($B49,Raw_Data[#All],DR$2,0)/DR$1</f>
        <v>#N/A</v>
      </c>
      <c r="DS49" s="87" t="e">
        <f>VLOOKUP($B49,Raw_Data[#All],DS$2,0)/DS$1</f>
        <v>#N/A</v>
      </c>
      <c r="DT49" s="87" t="e">
        <f>VLOOKUP($B49,Raw_Data[#All],DT$2,0)/DT$1</f>
        <v>#N/A</v>
      </c>
      <c r="DU49" s="87" t="e">
        <f>VLOOKUP($B49,Raw_Data[#All],DU$2,0)/DU$1</f>
        <v>#N/A</v>
      </c>
      <c r="DV49" s="87" t="e">
        <f>VLOOKUP($B49,Raw_Data[#All],DV$2,0)/DV$1</f>
        <v>#N/A</v>
      </c>
      <c r="DW49" s="87" t="e">
        <f>VLOOKUP($B49,Raw_Data[#All],DW$2,0)/DW$1</f>
        <v>#N/A</v>
      </c>
      <c r="DX49" s="87" t="e">
        <f>VLOOKUP($B49,Raw_Data[#All],DX$2,0)/DX$1</f>
        <v>#N/A</v>
      </c>
      <c r="DY49" s="87" t="e">
        <f>VLOOKUP($B49,Raw_Data[#All],DY$2,0)/DY$1</f>
        <v>#N/A</v>
      </c>
      <c r="DZ49" s="87" t="e">
        <f>VLOOKUP($B49,Raw_Data[#All],DZ$2,0)/DZ$1</f>
        <v>#N/A</v>
      </c>
      <c r="EA49" s="87" t="e">
        <f>VLOOKUP($B49,Raw_Data[#All],EA$2,0)/EA$1</f>
        <v>#N/A</v>
      </c>
      <c r="EB49" s="87" t="e">
        <f>VLOOKUP($B49,Raw_Data[#All],EB$2,0)/EB$1</f>
        <v>#N/A</v>
      </c>
      <c r="EC49" s="87" t="e">
        <f>VLOOKUP($B49,Raw_Data[#All],EC$2,0)/EC$1</f>
        <v>#N/A</v>
      </c>
      <c r="ED49" s="87" t="e">
        <f>VLOOKUP($B49,Raw_Data[#All],ED$2,0)/ED$1</f>
        <v>#N/A</v>
      </c>
      <c r="EE49" s="87" t="e">
        <f>VLOOKUP($B49,Raw_Data[#All],EE$2,0)/EE$1</f>
        <v>#N/A</v>
      </c>
      <c r="EF49" s="87" t="e">
        <f>VLOOKUP($B49,Raw_Data[#All],EF$2,0)/EF$1</f>
        <v>#N/A</v>
      </c>
      <c r="EG49" s="87" t="e">
        <f>VLOOKUP($B49,Raw_Data[#All],EG$2,0)/EG$1</f>
        <v>#N/A</v>
      </c>
      <c r="EH49" s="87" t="e">
        <f>VLOOKUP($B49,Raw_Data[#All],EH$2,0)/EH$1</f>
        <v>#N/A</v>
      </c>
      <c r="EI49" s="87" t="e">
        <f>VLOOKUP($B49,Raw_Data[#All],EI$2,0)/EI$1</f>
        <v>#N/A</v>
      </c>
      <c r="EJ49" s="87" t="e">
        <f>VLOOKUP($B49,Raw_Data[#All],EJ$2,0)/EJ$1</f>
        <v>#N/A</v>
      </c>
      <c r="EK49" s="87" t="e">
        <f>VLOOKUP($B49,Raw_Data[#All],EK$2,0)/EK$1</f>
        <v>#N/A</v>
      </c>
      <c r="EL49" s="87" t="e">
        <f>VLOOKUP($B49,Raw_Data[#All],EL$2,0)/EL$1</f>
        <v>#N/A</v>
      </c>
      <c r="EM49" s="87" t="e">
        <f>VLOOKUP($B49,Raw_Data[#All],EM$2,0)/EM$1</f>
        <v>#N/A</v>
      </c>
      <c r="EN49" s="87" t="e">
        <f>VLOOKUP($B49,Raw_Data[#All],EN$2,0)/EN$1</f>
        <v>#N/A</v>
      </c>
      <c r="EO49" s="87" t="e">
        <f>VLOOKUP($B49,Raw_Data[#All],EO$2,0)/EO$1</f>
        <v>#N/A</v>
      </c>
      <c r="EP49" s="87" t="e">
        <f>VLOOKUP($B49,Raw_Data[#All],EP$2,0)/EP$1</f>
        <v>#N/A</v>
      </c>
      <c r="EQ49" s="87" t="e">
        <f>VLOOKUP($B49,Raw_Data[#All],EQ$2,0)/EQ$1</f>
        <v>#N/A</v>
      </c>
      <c r="ER49" s="87" t="e">
        <f>VLOOKUP($B49,Raw_Data[#All],ER$2,0)/ER$1</f>
        <v>#N/A</v>
      </c>
      <c r="ES49" s="87" t="e">
        <f>VLOOKUP($B49,Raw_Data[#All],ES$2,0)/ES$1</f>
        <v>#N/A</v>
      </c>
      <c r="ET49" s="87" t="e">
        <f>VLOOKUP($B49,Raw_Data[#All],ET$2,0)/ET$1</f>
        <v>#N/A</v>
      </c>
      <c r="EU49" s="87" t="e">
        <f>VLOOKUP($B49,Raw_Data[#All],EU$2,0)/EU$1</f>
        <v>#N/A</v>
      </c>
      <c r="EV49" s="87" t="e">
        <f>VLOOKUP($B49,Raw_Data[#All],EV$2,0)/EV$1</f>
        <v>#N/A</v>
      </c>
      <c r="EW49" s="87" t="e">
        <f>VLOOKUP($B49,Raw_Data[#All],EW$2,0)/EW$1</f>
        <v>#N/A</v>
      </c>
      <c r="EX49" s="87" t="e">
        <f>VLOOKUP($B49,Raw_Data[#All],EX$2,0)/EX$1</f>
        <v>#N/A</v>
      </c>
      <c r="EY49" s="87" t="e">
        <f>VLOOKUP($B49,Raw_Data[#All],EY$2,0)/EY$1</f>
        <v>#N/A</v>
      </c>
      <c r="EZ49" s="87" t="e">
        <f>VLOOKUP($B49,Raw_Data[#All],EZ$2,0)/EZ$1</f>
        <v>#N/A</v>
      </c>
      <c r="FA49" s="87" t="e">
        <f>VLOOKUP($B49,Raw_Data[#All],FA$2,0)/FA$1</f>
        <v>#N/A</v>
      </c>
      <c r="FB49" s="87" t="e">
        <f>VLOOKUP($B49,Raw_Data[#All],FB$2,0)/FB$1</f>
        <v>#N/A</v>
      </c>
      <c r="FC49" s="87" t="e">
        <f>VLOOKUP($B49,Raw_Data[#All],FC$2,0)/FC$1</f>
        <v>#N/A</v>
      </c>
      <c r="FD49" s="87" t="e">
        <f>VLOOKUP($B49,Raw_Data[#All],FD$2,0)/FD$1</f>
        <v>#N/A</v>
      </c>
      <c r="FE49" s="87" t="e">
        <f>VLOOKUP($B49,Raw_Data[#All],FE$2,0)/FE$1</f>
        <v>#N/A</v>
      </c>
      <c r="FF49" s="87" t="e">
        <f>VLOOKUP($B49,Raw_Data[#All],FF$2,0)/FF$1</f>
        <v>#N/A</v>
      </c>
      <c r="FG49" s="105" t="e">
        <f>VLOOKUP($B49,Raw_Data[#All],FG$2,0)/FG$1</f>
        <v>#N/A</v>
      </c>
    </row>
    <row r="50" spans="2:163">
      <c r="B50" s="106">
        <f t="shared" si="1"/>
        <v>45873</v>
      </c>
      <c r="C50" s="87" t="e">
        <f>VLOOKUP($B50,Raw_Data[#All],C$2,0)/C$1</f>
        <v>#N/A</v>
      </c>
      <c r="D50" s="87" t="e">
        <f>VLOOKUP($B50,Raw_Data[#All],D$2,0)/D$1</f>
        <v>#N/A</v>
      </c>
      <c r="E50" s="87" t="e">
        <f>VLOOKUP($B50,Raw_Data[#All],E$2,0)/E$1</f>
        <v>#N/A</v>
      </c>
      <c r="F50" s="87" t="e">
        <f>VLOOKUP($B50,Raw_Data[#All],F$2,0)/F$1</f>
        <v>#N/A</v>
      </c>
      <c r="G50" s="87" t="e">
        <f>VLOOKUP($B50,Raw_Data[#All],G$2,0)/G$1</f>
        <v>#N/A</v>
      </c>
      <c r="H50" s="87" t="e">
        <f>VLOOKUP($B50,Raw_Data[#All],H$2,0)/H$1</f>
        <v>#N/A</v>
      </c>
      <c r="I50" s="87" t="e">
        <f>VLOOKUP($B50,Raw_Data[#All],I$2,0)/I$1</f>
        <v>#N/A</v>
      </c>
      <c r="J50" s="87" t="e">
        <f>VLOOKUP($B50,Raw_Data[#All],J$2,0)/J$1</f>
        <v>#N/A</v>
      </c>
      <c r="K50" s="87" t="e">
        <f>VLOOKUP($B50,Raw_Data[#All],K$2,0)/K$1</f>
        <v>#N/A</v>
      </c>
      <c r="L50" s="87" t="e">
        <f>VLOOKUP($B50,Raw_Data[#All],L$2,0)/L$1</f>
        <v>#N/A</v>
      </c>
      <c r="M50" s="87" t="e">
        <f>VLOOKUP($B50,Raw_Data[#All],M$2,0)/M$1</f>
        <v>#N/A</v>
      </c>
      <c r="N50" s="87" t="e">
        <f>VLOOKUP($B50,Raw_Data[#All],N$2,0)/N$1</f>
        <v>#N/A</v>
      </c>
      <c r="O50" s="87" t="e">
        <f>VLOOKUP($B50,Raw_Data[#All],O$2,0)/O$1</f>
        <v>#N/A</v>
      </c>
      <c r="P50" s="87" t="e">
        <f>VLOOKUP($B50,Raw_Data[#All],P$2,0)/P$1</f>
        <v>#N/A</v>
      </c>
      <c r="Q50" s="87" t="e">
        <f>VLOOKUP($B50,Raw_Data[#All],Q$2,0)/Q$1</f>
        <v>#N/A</v>
      </c>
      <c r="R50" s="87" t="e">
        <f>VLOOKUP($B50,Raw_Data[#All],R$2,0)/R$1</f>
        <v>#N/A</v>
      </c>
      <c r="S50" s="87" t="e">
        <f>VLOOKUP($B50,Raw_Data[#All],S$2,0)/S$1</f>
        <v>#N/A</v>
      </c>
      <c r="T50" s="87" t="e">
        <f>VLOOKUP($B50,Raw_Data[#All],T$2,0)/T$1</f>
        <v>#N/A</v>
      </c>
      <c r="U50" s="87" t="e">
        <f>VLOOKUP($B50,Raw_Data[#All],U$2,0)/U$1</f>
        <v>#N/A</v>
      </c>
      <c r="V50" s="87" t="e">
        <f>VLOOKUP($B50,Raw_Data[#All],V$2,0)/V$1</f>
        <v>#N/A</v>
      </c>
      <c r="W50" s="87" t="e">
        <f>VLOOKUP($B50,Raw_Data[#All],W$2,0)/W$1</f>
        <v>#N/A</v>
      </c>
      <c r="X50" s="87" t="e">
        <f>VLOOKUP($B50,Raw_Data[#All],X$2,0)/X$1</f>
        <v>#N/A</v>
      </c>
      <c r="Y50" s="87" t="e">
        <f>VLOOKUP($B50,Raw_Data[#All],Y$2,0)/Y$1</f>
        <v>#N/A</v>
      </c>
      <c r="Z50" s="87" t="e">
        <f>VLOOKUP($B50,Raw_Data[#All],Z$2,0)/Z$1</f>
        <v>#N/A</v>
      </c>
      <c r="AA50" s="87" t="e">
        <f>VLOOKUP($B50,Raw_Data[#All],AA$2,0)/AA$1</f>
        <v>#N/A</v>
      </c>
      <c r="AB50" s="87" t="e">
        <f>VLOOKUP($B50,Raw_Data[#All],AB$2,0)/AB$1</f>
        <v>#N/A</v>
      </c>
      <c r="AC50" s="87" t="e">
        <f>VLOOKUP($B50,Raw_Data[#All],AC$2,0)/AC$1</f>
        <v>#N/A</v>
      </c>
      <c r="AD50" s="87" t="e">
        <f>VLOOKUP($B50,Raw_Data[#All],AD$2,0)/AD$1</f>
        <v>#N/A</v>
      </c>
      <c r="AE50" s="87" t="e">
        <f>VLOOKUP($B50,Raw_Data[#All],AE$2,0)/AE$1</f>
        <v>#N/A</v>
      </c>
      <c r="AF50" s="87" t="e">
        <f>VLOOKUP($B50,Raw_Data[#All],AF$2,0)/AF$1</f>
        <v>#N/A</v>
      </c>
      <c r="AG50" s="87" t="e">
        <f>VLOOKUP($B50,Raw_Data[#All],AG$2,0)/AG$1</f>
        <v>#N/A</v>
      </c>
      <c r="AH50" s="87" t="e">
        <f>VLOOKUP($B50,Raw_Data[#All],AH$2,0)/AH$1</f>
        <v>#N/A</v>
      </c>
      <c r="AI50" s="87" t="e">
        <f>VLOOKUP($B50,Raw_Data[#All],AI$2,0)/AI$1</f>
        <v>#N/A</v>
      </c>
      <c r="AJ50" s="87" t="e">
        <f>VLOOKUP($B50,Raw_Data[#All],AJ$2,0)/AJ$1</f>
        <v>#N/A</v>
      </c>
      <c r="AK50" s="87" t="e">
        <f>VLOOKUP($B50,Raw_Data[#All],AK$2,0)/AK$1</f>
        <v>#N/A</v>
      </c>
      <c r="AL50" s="87" t="e">
        <f>VLOOKUP($B50,Raw_Data[#All],AL$2,0)/AL$1</f>
        <v>#N/A</v>
      </c>
      <c r="AM50" s="87" t="e">
        <f>VLOOKUP($B50,Raw_Data[#All],AM$2,0)/AM$1</f>
        <v>#N/A</v>
      </c>
      <c r="AN50" s="87" t="e">
        <f>VLOOKUP($B50,Raw_Data[#All],AN$2,0)/AN$1</f>
        <v>#N/A</v>
      </c>
      <c r="AO50" s="87" t="e">
        <f>VLOOKUP($B50,Raw_Data[#All],AO$2,0)/AO$1</f>
        <v>#N/A</v>
      </c>
      <c r="AP50" s="87" t="e">
        <f>VLOOKUP($B50,Raw_Data[#All],AP$2,0)/AP$1</f>
        <v>#N/A</v>
      </c>
      <c r="AQ50" s="87" t="e">
        <f>VLOOKUP($B50,Raw_Data[#All],AQ$2,0)/AQ$1</f>
        <v>#N/A</v>
      </c>
      <c r="AR50" s="87" t="e">
        <f>VLOOKUP($B50,Raw_Data[#All],AR$2,0)/AR$1</f>
        <v>#N/A</v>
      </c>
      <c r="AS50" s="87" t="e">
        <f>VLOOKUP($B50,Raw_Data[#All],AS$2,0)/AS$1</f>
        <v>#N/A</v>
      </c>
      <c r="AT50" s="87" t="e">
        <f>VLOOKUP($B50,Raw_Data[#All],AT$2,0)/AT$1</f>
        <v>#N/A</v>
      </c>
      <c r="AU50" s="87" t="e">
        <f>VLOOKUP($B50,Raw_Data[#All],AU$2,0)/AU$1</f>
        <v>#N/A</v>
      </c>
      <c r="AV50" s="87" t="e">
        <f>VLOOKUP($B50,Raw_Data[#All],AV$2,0)/AV$1</f>
        <v>#N/A</v>
      </c>
      <c r="AW50" s="87" t="e">
        <f>VLOOKUP($B50,Raw_Data[#All],AW$2,0)/AW$1</f>
        <v>#N/A</v>
      </c>
      <c r="AX50" s="87" t="e">
        <f>VLOOKUP($B50,Raw_Data[#All],AX$2,0)/AX$1</f>
        <v>#N/A</v>
      </c>
      <c r="AY50" s="87" t="e">
        <f>VLOOKUP($B50,Raw_Data[#All],AY$2,0)/AY$1</f>
        <v>#N/A</v>
      </c>
      <c r="AZ50" s="87" t="e">
        <f>VLOOKUP($B50,Raw_Data[#All],AZ$2,0)/AZ$1</f>
        <v>#N/A</v>
      </c>
      <c r="BA50" s="87" t="e">
        <f>VLOOKUP($B50,Raw_Data[#All],BA$2,0)/BA$1</f>
        <v>#N/A</v>
      </c>
      <c r="BB50" s="87" t="e">
        <f>VLOOKUP($B50,Raw_Data[#All],BB$2,0)/BB$1</f>
        <v>#N/A</v>
      </c>
      <c r="BC50" s="87" t="e">
        <f>VLOOKUP($B50,Raw_Data[#All],BC$2,0)/BC$1</f>
        <v>#N/A</v>
      </c>
      <c r="BD50" s="87" t="e">
        <f>VLOOKUP($B50,Raw_Data[#All],BD$2,0)/BD$1</f>
        <v>#N/A</v>
      </c>
      <c r="BE50" s="87" t="e">
        <f>VLOOKUP($B50,Raw_Data[#All],BE$2,0)/BE$1</f>
        <v>#N/A</v>
      </c>
      <c r="BF50" s="87" t="e">
        <f>VLOOKUP($B50,Raw_Data[#All],BF$2,0)/BF$1</f>
        <v>#N/A</v>
      </c>
      <c r="BG50" s="87" t="e">
        <f>VLOOKUP($B50,Raw_Data[#All],BG$2,0)/BG$1</f>
        <v>#N/A</v>
      </c>
      <c r="BH50" s="87" t="e">
        <f>VLOOKUP($B50,Raw_Data[#All],BH$2,0)/BH$1</f>
        <v>#N/A</v>
      </c>
      <c r="BI50" s="87" t="e">
        <f>VLOOKUP($B50,Raw_Data[#All],BI$2,0)/BI$1</f>
        <v>#N/A</v>
      </c>
      <c r="BJ50" s="87" t="e">
        <f>VLOOKUP($B50,Raw_Data[#All],BJ$2,0)/BJ$1</f>
        <v>#N/A</v>
      </c>
      <c r="BK50" s="87" t="e">
        <f>VLOOKUP($B50,Raw_Data[#All],BK$2,0)/BK$1</f>
        <v>#N/A</v>
      </c>
      <c r="BL50" s="87" t="e">
        <f>VLOOKUP($B50,Raw_Data[#All],BL$2,0)/BL$1</f>
        <v>#N/A</v>
      </c>
      <c r="BM50" s="87" t="e">
        <f>VLOOKUP($B50,Raw_Data[#All],BM$2,0)/BM$1</f>
        <v>#N/A</v>
      </c>
      <c r="BN50" s="87" t="e">
        <f>VLOOKUP($B50,Raw_Data[#All],BN$2,0)/BN$1</f>
        <v>#N/A</v>
      </c>
      <c r="BO50" s="87" t="e">
        <f>VLOOKUP($B50,Raw_Data[#All],BO$2,0)/BO$1</f>
        <v>#N/A</v>
      </c>
      <c r="BP50" s="87" t="e">
        <f>VLOOKUP($B50,Raw_Data[#All],BP$2,0)/BP$1</f>
        <v>#N/A</v>
      </c>
      <c r="BQ50" s="87" t="e">
        <f>VLOOKUP($B50,Raw_Data[#All],BQ$2,0)/BQ$1</f>
        <v>#N/A</v>
      </c>
      <c r="BR50" s="87" t="e">
        <f>VLOOKUP($B50,Raw_Data[#All],BR$2,0)/BR$1</f>
        <v>#N/A</v>
      </c>
      <c r="BS50" s="87" t="e">
        <f>VLOOKUP($B50,Raw_Data[#All],BS$2,0)/BS$1</f>
        <v>#N/A</v>
      </c>
      <c r="BT50" s="87" t="e">
        <f>VLOOKUP($B50,Raw_Data[#All],BT$2,0)/BT$1</f>
        <v>#N/A</v>
      </c>
      <c r="BU50" s="87" t="e">
        <f>VLOOKUP($B50,Raw_Data[#All],BU$2,0)/BU$1</f>
        <v>#N/A</v>
      </c>
      <c r="BV50" s="87" t="e">
        <f>VLOOKUP($B50,Raw_Data[#All],BV$2,0)/BV$1</f>
        <v>#N/A</v>
      </c>
      <c r="BW50" s="87" t="e">
        <f>VLOOKUP($B50,Raw_Data[#All],BW$2,0)/BW$1</f>
        <v>#N/A</v>
      </c>
      <c r="BX50" s="87" t="e">
        <f>VLOOKUP($B50,Raw_Data[#All],BX$2,0)/BX$1</f>
        <v>#N/A</v>
      </c>
      <c r="BY50" s="87" t="e">
        <f>VLOOKUP($B50,Raw_Data[#All],BY$2,0)/BY$1</f>
        <v>#N/A</v>
      </c>
      <c r="BZ50" s="87" t="e">
        <f>VLOOKUP($B50,Raw_Data[#All],BZ$2,0)/BZ$1</f>
        <v>#N/A</v>
      </c>
      <c r="CA50" s="87" t="e">
        <f>VLOOKUP($B50,Raw_Data[#All],CA$2,0)/CA$1</f>
        <v>#N/A</v>
      </c>
      <c r="CB50" s="87" t="e">
        <f>VLOOKUP($B50,Raw_Data[#All],CB$2,0)/CB$1</f>
        <v>#N/A</v>
      </c>
      <c r="CC50" s="87" t="e">
        <f>VLOOKUP($B50,Raw_Data[#All],CC$2,0)/CC$1</f>
        <v>#N/A</v>
      </c>
      <c r="CD50" s="87" t="e">
        <f>VLOOKUP($B50,Raw_Data[#All],CD$2,0)/CD$1</f>
        <v>#N/A</v>
      </c>
      <c r="CE50" s="87" t="e">
        <f>VLOOKUP($B50,Raw_Data[#All],CE$2,0)/CE$1</f>
        <v>#N/A</v>
      </c>
      <c r="CF50" s="87" t="e">
        <f>VLOOKUP($B50,Raw_Data[#All],CF$2,0)/CF$1</f>
        <v>#N/A</v>
      </c>
      <c r="CG50" s="87" t="e">
        <f>VLOOKUP($B50,Raw_Data[#All],CG$2,0)/CG$1</f>
        <v>#N/A</v>
      </c>
      <c r="CH50" s="87" t="e">
        <f>VLOOKUP($B50,Raw_Data[#All],CH$2,0)/CH$1</f>
        <v>#N/A</v>
      </c>
      <c r="CI50" s="87" t="e">
        <f>VLOOKUP($B50,Raw_Data[#All],CI$2,0)/CI$1</f>
        <v>#N/A</v>
      </c>
      <c r="CJ50" s="87" t="e">
        <f>VLOOKUP($B50,Raw_Data[#All],CJ$2,0)/CJ$1</f>
        <v>#N/A</v>
      </c>
      <c r="CK50" s="87" t="e">
        <f>VLOOKUP($B50,Raw_Data[#All],CK$2,0)/CK$1</f>
        <v>#N/A</v>
      </c>
      <c r="CL50" s="87" t="e">
        <f>VLOOKUP($B50,Raw_Data[#All],CL$2,0)/CL$1</f>
        <v>#N/A</v>
      </c>
      <c r="CM50" s="87" t="e">
        <f>VLOOKUP($B50,Raw_Data[#All],CM$2,0)/CM$1</f>
        <v>#N/A</v>
      </c>
      <c r="CN50" s="87" t="e">
        <f>VLOOKUP($B50,Raw_Data[#All],CN$2,0)/CN$1</f>
        <v>#N/A</v>
      </c>
      <c r="CO50" s="87" t="e">
        <f>VLOOKUP($B50,Raw_Data[#All],CO$2,0)/CO$1</f>
        <v>#N/A</v>
      </c>
      <c r="CP50" s="87" t="e">
        <f>VLOOKUP($B50,Raw_Data[#All],CP$2,0)/CP$1</f>
        <v>#N/A</v>
      </c>
      <c r="CQ50" s="87" t="e">
        <f>VLOOKUP($B50,Raw_Data[#All],CQ$2,0)/CQ$1</f>
        <v>#N/A</v>
      </c>
      <c r="CR50" s="87" t="e">
        <f>VLOOKUP($B50,Raw_Data[#All],CR$2,0)/CR$1</f>
        <v>#N/A</v>
      </c>
      <c r="CS50" s="87" t="e">
        <f>VLOOKUP($B50,Raw_Data[#All],CS$2,0)/CS$1</f>
        <v>#N/A</v>
      </c>
      <c r="CT50" s="87" t="e">
        <f>VLOOKUP($B50,Raw_Data[#All],CT$2,0)/CT$1</f>
        <v>#N/A</v>
      </c>
      <c r="CU50" s="87" t="e">
        <f>VLOOKUP($B50,Raw_Data[#All],CU$2,0)/CU$1</f>
        <v>#N/A</v>
      </c>
      <c r="CV50" s="87" t="e">
        <f>VLOOKUP($B50,Raw_Data[#All],CV$2,0)/CV$1</f>
        <v>#N/A</v>
      </c>
      <c r="CW50" s="87" t="e">
        <f>VLOOKUP($B50,Raw_Data[#All],CW$2,0)/CW$1</f>
        <v>#N/A</v>
      </c>
      <c r="CX50" s="87" t="e">
        <f>VLOOKUP($B50,Raw_Data[#All],CX$2,0)/CX$1</f>
        <v>#N/A</v>
      </c>
      <c r="CY50" s="87" t="e">
        <f>VLOOKUP($B50,Raw_Data[#All],CY$2,0)/CY$1</f>
        <v>#N/A</v>
      </c>
      <c r="CZ50" s="87" t="e">
        <f>VLOOKUP($B50,Raw_Data[#All],CZ$2,0)/CZ$1</f>
        <v>#N/A</v>
      </c>
      <c r="DA50" s="87" t="e">
        <f>VLOOKUP($B50,Raw_Data[#All],DA$2,0)/DA$1</f>
        <v>#N/A</v>
      </c>
      <c r="DB50" s="87" t="e">
        <f>VLOOKUP($B50,Raw_Data[#All],DB$2,0)/DB$1</f>
        <v>#N/A</v>
      </c>
      <c r="DC50" s="87" t="e">
        <f>VLOOKUP($B50,Raw_Data[#All],DC$2,0)/DC$1</f>
        <v>#N/A</v>
      </c>
      <c r="DD50" s="87" t="e">
        <f>VLOOKUP($B50,Raw_Data[#All],DD$2,0)/DD$1</f>
        <v>#N/A</v>
      </c>
      <c r="DE50" s="87" t="e">
        <f>VLOOKUP($B50,Raw_Data[#All],DE$2,0)/DE$1</f>
        <v>#N/A</v>
      </c>
      <c r="DF50" s="87" t="e">
        <f>VLOOKUP($B50,Raw_Data[#All],DF$2,0)/DF$1</f>
        <v>#N/A</v>
      </c>
      <c r="DG50" s="87" t="e">
        <f>VLOOKUP($B50,Raw_Data[#All],DG$2,0)/DG$1</f>
        <v>#N/A</v>
      </c>
      <c r="DH50" s="87" t="e">
        <f>VLOOKUP($B50,Raw_Data[#All],DH$2,0)/DH$1</f>
        <v>#N/A</v>
      </c>
      <c r="DI50" s="87" t="e">
        <f>VLOOKUP($B50,Raw_Data[#All],DI$2,0)/DI$1</f>
        <v>#N/A</v>
      </c>
      <c r="DJ50" s="87" t="e">
        <f>VLOOKUP($B50,Raw_Data[#All],DJ$2,0)/DJ$1</f>
        <v>#N/A</v>
      </c>
      <c r="DK50" s="87" t="e">
        <f>VLOOKUP($B50,Raw_Data[#All],DK$2,0)/DK$1</f>
        <v>#N/A</v>
      </c>
      <c r="DL50" s="87" t="e">
        <f>VLOOKUP($B50,Raw_Data[#All],DL$2,0)/DL$1</f>
        <v>#N/A</v>
      </c>
      <c r="DM50" s="87" t="e">
        <f>VLOOKUP($B50,Raw_Data[#All],DM$2,0)/DM$1</f>
        <v>#N/A</v>
      </c>
      <c r="DN50" s="87" t="e">
        <f>VLOOKUP($B50,Raw_Data[#All],DN$2,0)/DN$1</f>
        <v>#N/A</v>
      </c>
      <c r="DO50" s="87" t="e">
        <f>VLOOKUP($B50,Raw_Data[#All],DO$2,0)/DO$1</f>
        <v>#N/A</v>
      </c>
      <c r="DP50" s="87" t="e">
        <f>VLOOKUP($B50,Raw_Data[#All],DP$2,0)/DP$1</f>
        <v>#N/A</v>
      </c>
      <c r="DQ50" s="87" t="e">
        <f>VLOOKUP($B50,Raw_Data[#All],DQ$2,0)/DQ$1</f>
        <v>#N/A</v>
      </c>
      <c r="DR50" s="87" t="e">
        <f>VLOOKUP($B50,Raw_Data[#All],DR$2,0)/DR$1</f>
        <v>#N/A</v>
      </c>
      <c r="DS50" s="87" t="e">
        <f>VLOOKUP($B50,Raw_Data[#All],DS$2,0)/DS$1</f>
        <v>#N/A</v>
      </c>
      <c r="DT50" s="87" t="e">
        <f>VLOOKUP($B50,Raw_Data[#All],DT$2,0)/DT$1</f>
        <v>#N/A</v>
      </c>
      <c r="DU50" s="87" t="e">
        <f>VLOOKUP($B50,Raw_Data[#All],DU$2,0)/DU$1</f>
        <v>#N/A</v>
      </c>
      <c r="DV50" s="87" t="e">
        <f>VLOOKUP($B50,Raw_Data[#All],DV$2,0)/DV$1</f>
        <v>#N/A</v>
      </c>
      <c r="DW50" s="87" t="e">
        <f>VLOOKUP($B50,Raw_Data[#All],DW$2,0)/DW$1</f>
        <v>#N/A</v>
      </c>
      <c r="DX50" s="87" t="e">
        <f>VLOOKUP($B50,Raw_Data[#All],DX$2,0)/DX$1</f>
        <v>#N/A</v>
      </c>
      <c r="DY50" s="87" t="e">
        <f>VLOOKUP($B50,Raw_Data[#All],DY$2,0)/DY$1</f>
        <v>#N/A</v>
      </c>
      <c r="DZ50" s="87" t="e">
        <f>VLOOKUP($B50,Raw_Data[#All],DZ$2,0)/DZ$1</f>
        <v>#N/A</v>
      </c>
      <c r="EA50" s="87" t="e">
        <f>VLOOKUP($B50,Raw_Data[#All],EA$2,0)/EA$1</f>
        <v>#N/A</v>
      </c>
      <c r="EB50" s="87" t="e">
        <f>VLOOKUP($B50,Raw_Data[#All],EB$2,0)/EB$1</f>
        <v>#N/A</v>
      </c>
      <c r="EC50" s="87" t="e">
        <f>VLOOKUP($B50,Raw_Data[#All],EC$2,0)/EC$1</f>
        <v>#N/A</v>
      </c>
      <c r="ED50" s="87" t="e">
        <f>VLOOKUP($B50,Raw_Data[#All],ED$2,0)/ED$1</f>
        <v>#N/A</v>
      </c>
      <c r="EE50" s="87" t="e">
        <f>VLOOKUP($B50,Raw_Data[#All],EE$2,0)/EE$1</f>
        <v>#N/A</v>
      </c>
      <c r="EF50" s="87" t="e">
        <f>VLOOKUP($B50,Raw_Data[#All],EF$2,0)/EF$1</f>
        <v>#N/A</v>
      </c>
      <c r="EG50" s="87" t="e">
        <f>VLOOKUP($B50,Raw_Data[#All],EG$2,0)/EG$1</f>
        <v>#N/A</v>
      </c>
      <c r="EH50" s="87" t="e">
        <f>VLOOKUP($B50,Raw_Data[#All],EH$2,0)/EH$1</f>
        <v>#N/A</v>
      </c>
      <c r="EI50" s="87" t="e">
        <f>VLOOKUP($B50,Raw_Data[#All],EI$2,0)/EI$1</f>
        <v>#N/A</v>
      </c>
      <c r="EJ50" s="87" t="e">
        <f>VLOOKUP($B50,Raw_Data[#All],EJ$2,0)/EJ$1</f>
        <v>#N/A</v>
      </c>
      <c r="EK50" s="87" t="e">
        <f>VLOOKUP($B50,Raw_Data[#All],EK$2,0)/EK$1</f>
        <v>#N/A</v>
      </c>
      <c r="EL50" s="87" t="e">
        <f>VLOOKUP($B50,Raw_Data[#All],EL$2,0)/EL$1</f>
        <v>#N/A</v>
      </c>
      <c r="EM50" s="87" t="e">
        <f>VLOOKUP($B50,Raw_Data[#All],EM$2,0)/EM$1</f>
        <v>#N/A</v>
      </c>
      <c r="EN50" s="87" t="e">
        <f>VLOOKUP($B50,Raw_Data[#All],EN$2,0)/EN$1</f>
        <v>#N/A</v>
      </c>
      <c r="EO50" s="87" t="e">
        <f>VLOOKUP($B50,Raw_Data[#All],EO$2,0)/EO$1</f>
        <v>#N/A</v>
      </c>
      <c r="EP50" s="87" t="e">
        <f>VLOOKUP($B50,Raw_Data[#All],EP$2,0)/EP$1</f>
        <v>#N/A</v>
      </c>
      <c r="EQ50" s="87" t="e">
        <f>VLOOKUP($B50,Raw_Data[#All],EQ$2,0)/EQ$1</f>
        <v>#N/A</v>
      </c>
      <c r="ER50" s="87" t="e">
        <f>VLOOKUP($B50,Raw_Data[#All],ER$2,0)/ER$1</f>
        <v>#N/A</v>
      </c>
      <c r="ES50" s="87" t="e">
        <f>VLOOKUP($B50,Raw_Data[#All],ES$2,0)/ES$1</f>
        <v>#N/A</v>
      </c>
      <c r="ET50" s="87" t="e">
        <f>VLOOKUP($B50,Raw_Data[#All],ET$2,0)/ET$1</f>
        <v>#N/A</v>
      </c>
      <c r="EU50" s="87" t="e">
        <f>VLOOKUP($B50,Raw_Data[#All],EU$2,0)/EU$1</f>
        <v>#N/A</v>
      </c>
      <c r="EV50" s="87" t="e">
        <f>VLOOKUP($B50,Raw_Data[#All],EV$2,0)/EV$1</f>
        <v>#N/A</v>
      </c>
      <c r="EW50" s="87" t="e">
        <f>VLOOKUP($B50,Raw_Data[#All],EW$2,0)/EW$1</f>
        <v>#N/A</v>
      </c>
      <c r="EX50" s="87" t="e">
        <f>VLOOKUP($B50,Raw_Data[#All],EX$2,0)/EX$1</f>
        <v>#N/A</v>
      </c>
      <c r="EY50" s="87" t="e">
        <f>VLOOKUP($B50,Raw_Data[#All],EY$2,0)/EY$1</f>
        <v>#N/A</v>
      </c>
      <c r="EZ50" s="87" t="e">
        <f>VLOOKUP($B50,Raw_Data[#All],EZ$2,0)/EZ$1</f>
        <v>#N/A</v>
      </c>
      <c r="FA50" s="87" t="e">
        <f>VLOOKUP($B50,Raw_Data[#All],FA$2,0)/FA$1</f>
        <v>#N/A</v>
      </c>
      <c r="FB50" s="87" t="e">
        <f>VLOOKUP($B50,Raw_Data[#All],FB$2,0)/FB$1</f>
        <v>#N/A</v>
      </c>
      <c r="FC50" s="87" t="e">
        <f>VLOOKUP($B50,Raw_Data[#All],FC$2,0)/FC$1</f>
        <v>#N/A</v>
      </c>
      <c r="FD50" s="87" t="e">
        <f>VLOOKUP($B50,Raw_Data[#All],FD$2,0)/FD$1</f>
        <v>#N/A</v>
      </c>
      <c r="FE50" s="87" t="e">
        <f>VLOOKUP($B50,Raw_Data[#All],FE$2,0)/FE$1</f>
        <v>#N/A</v>
      </c>
      <c r="FF50" s="87" t="e">
        <f>VLOOKUP($B50,Raw_Data[#All],FF$2,0)/FF$1</f>
        <v>#N/A</v>
      </c>
      <c r="FG50" s="105" t="e">
        <f>VLOOKUP($B50,Raw_Data[#All],FG$2,0)/FG$1</f>
        <v>#N/A</v>
      </c>
    </row>
    <row r="51" spans="2:163">
      <c r="B51" s="106">
        <f t="shared" si="1"/>
        <v>45874</v>
      </c>
      <c r="C51" s="87" t="e">
        <f>VLOOKUP($B51,Raw_Data[#All],C$2,0)/C$1</f>
        <v>#N/A</v>
      </c>
      <c r="D51" s="87" t="e">
        <f>VLOOKUP($B51,Raw_Data[#All],D$2,0)/D$1</f>
        <v>#N/A</v>
      </c>
      <c r="E51" s="87" t="e">
        <f>VLOOKUP($B51,Raw_Data[#All],E$2,0)/E$1</f>
        <v>#N/A</v>
      </c>
      <c r="F51" s="87" t="e">
        <f>VLOOKUP($B51,Raw_Data[#All],F$2,0)/F$1</f>
        <v>#N/A</v>
      </c>
      <c r="G51" s="87" t="e">
        <f>VLOOKUP($B51,Raw_Data[#All],G$2,0)/G$1</f>
        <v>#N/A</v>
      </c>
      <c r="H51" s="87" t="e">
        <f>VLOOKUP($B51,Raw_Data[#All],H$2,0)/H$1</f>
        <v>#N/A</v>
      </c>
      <c r="I51" s="87" t="e">
        <f>VLOOKUP($B51,Raw_Data[#All],I$2,0)/I$1</f>
        <v>#N/A</v>
      </c>
      <c r="J51" s="87" t="e">
        <f>VLOOKUP($B51,Raw_Data[#All],J$2,0)/J$1</f>
        <v>#N/A</v>
      </c>
      <c r="K51" s="87" t="e">
        <f>VLOOKUP($B51,Raw_Data[#All],K$2,0)/K$1</f>
        <v>#N/A</v>
      </c>
      <c r="L51" s="87" t="e">
        <f>VLOOKUP($B51,Raw_Data[#All],L$2,0)/L$1</f>
        <v>#N/A</v>
      </c>
      <c r="M51" s="87" t="e">
        <f>VLOOKUP($B51,Raw_Data[#All],M$2,0)/M$1</f>
        <v>#N/A</v>
      </c>
      <c r="N51" s="87" t="e">
        <f>VLOOKUP($B51,Raw_Data[#All],N$2,0)/N$1</f>
        <v>#N/A</v>
      </c>
      <c r="O51" s="87" t="e">
        <f>VLOOKUP($B51,Raw_Data[#All],O$2,0)/O$1</f>
        <v>#N/A</v>
      </c>
      <c r="P51" s="87" t="e">
        <f>VLOOKUP($B51,Raw_Data[#All],P$2,0)/P$1</f>
        <v>#N/A</v>
      </c>
      <c r="Q51" s="87" t="e">
        <f>VLOOKUP($B51,Raw_Data[#All],Q$2,0)/Q$1</f>
        <v>#N/A</v>
      </c>
      <c r="R51" s="87" t="e">
        <f>VLOOKUP($B51,Raw_Data[#All],R$2,0)/R$1</f>
        <v>#N/A</v>
      </c>
      <c r="S51" s="87" t="e">
        <f>VLOOKUP($B51,Raw_Data[#All],S$2,0)/S$1</f>
        <v>#N/A</v>
      </c>
      <c r="T51" s="87" t="e">
        <f>VLOOKUP($B51,Raw_Data[#All],T$2,0)/T$1</f>
        <v>#N/A</v>
      </c>
      <c r="U51" s="87" t="e">
        <f>VLOOKUP($B51,Raw_Data[#All],U$2,0)/U$1</f>
        <v>#N/A</v>
      </c>
      <c r="V51" s="87" t="e">
        <f>VLOOKUP($B51,Raw_Data[#All],V$2,0)/V$1</f>
        <v>#N/A</v>
      </c>
      <c r="W51" s="87" t="e">
        <f>VLOOKUP($B51,Raw_Data[#All],W$2,0)/W$1</f>
        <v>#N/A</v>
      </c>
      <c r="X51" s="87" t="e">
        <f>VLOOKUP($B51,Raw_Data[#All],X$2,0)/X$1</f>
        <v>#N/A</v>
      </c>
      <c r="Y51" s="87" t="e">
        <f>VLOOKUP($B51,Raw_Data[#All],Y$2,0)/Y$1</f>
        <v>#N/A</v>
      </c>
      <c r="Z51" s="87" t="e">
        <f>VLOOKUP($B51,Raw_Data[#All],Z$2,0)/Z$1</f>
        <v>#N/A</v>
      </c>
      <c r="AA51" s="87" t="e">
        <f>VLOOKUP($B51,Raw_Data[#All],AA$2,0)/AA$1</f>
        <v>#N/A</v>
      </c>
      <c r="AB51" s="87" t="e">
        <f>VLOOKUP($B51,Raw_Data[#All],AB$2,0)/AB$1</f>
        <v>#N/A</v>
      </c>
      <c r="AC51" s="87" t="e">
        <f>VLOOKUP($B51,Raw_Data[#All],AC$2,0)/AC$1</f>
        <v>#N/A</v>
      </c>
      <c r="AD51" s="87" t="e">
        <f>VLOOKUP($B51,Raw_Data[#All],AD$2,0)/AD$1</f>
        <v>#N/A</v>
      </c>
      <c r="AE51" s="87" t="e">
        <f>VLOOKUP($B51,Raw_Data[#All],AE$2,0)/AE$1</f>
        <v>#N/A</v>
      </c>
      <c r="AF51" s="87" t="e">
        <f>VLOOKUP($B51,Raw_Data[#All],AF$2,0)/AF$1</f>
        <v>#N/A</v>
      </c>
      <c r="AG51" s="87" t="e">
        <f>VLOOKUP($B51,Raw_Data[#All],AG$2,0)/AG$1</f>
        <v>#N/A</v>
      </c>
      <c r="AH51" s="87" t="e">
        <f>VLOOKUP($B51,Raw_Data[#All],AH$2,0)/AH$1</f>
        <v>#N/A</v>
      </c>
      <c r="AI51" s="87" t="e">
        <f>VLOOKUP($B51,Raw_Data[#All],AI$2,0)/AI$1</f>
        <v>#N/A</v>
      </c>
      <c r="AJ51" s="87" t="e">
        <f>VLOOKUP($B51,Raw_Data[#All],AJ$2,0)/AJ$1</f>
        <v>#N/A</v>
      </c>
      <c r="AK51" s="87" t="e">
        <f>VLOOKUP($B51,Raw_Data[#All],AK$2,0)/AK$1</f>
        <v>#N/A</v>
      </c>
      <c r="AL51" s="87" t="e">
        <f>VLOOKUP($B51,Raw_Data[#All],AL$2,0)/AL$1</f>
        <v>#N/A</v>
      </c>
      <c r="AM51" s="87" t="e">
        <f>VLOOKUP($B51,Raw_Data[#All],AM$2,0)/AM$1</f>
        <v>#N/A</v>
      </c>
      <c r="AN51" s="87" t="e">
        <f>VLOOKUP($B51,Raw_Data[#All],AN$2,0)/AN$1</f>
        <v>#N/A</v>
      </c>
      <c r="AO51" s="87" t="e">
        <f>VLOOKUP($B51,Raw_Data[#All],AO$2,0)/AO$1</f>
        <v>#N/A</v>
      </c>
      <c r="AP51" s="87" t="e">
        <f>VLOOKUP($B51,Raw_Data[#All],AP$2,0)/AP$1</f>
        <v>#N/A</v>
      </c>
      <c r="AQ51" s="87" t="e">
        <f>VLOOKUP($B51,Raw_Data[#All],AQ$2,0)/AQ$1</f>
        <v>#N/A</v>
      </c>
      <c r="AR51" s="87" t="e">
        <f>VLOOKUP($B51,Raw_Data[#All],AR$2,0)/AR$1</f>
        <v>#N/A</v>
      </c>
      <c r="AS51" s="87" t="e">
        <f>VLOOKUP($B51,Raw_Data[#All],AS$2,0)/AS$1</f>
        <v>#N/A</v>
      </c>
      <c r="AT51" s="87" t="e">
        <f>VLOOKUP($B51,Raw_Data[#All],AT$2,0)/AT$1</f>
        <v>#N/A</v>
      </c>
      <c r="AU51" s="87" t="e">
        <f>VLOOKUP($B51,Raw_Data[#All],AU$2,0)/AU$1</f>
        <v>#N/A</v>
      </c>
      <c r="AV51" s="87" t="e">
        <f>VLOOKUP($B51,Raw_Data[#All],AV$2,0)/AV$1</f>
        <v>#N/A</v>
      </c>
      <c r="AW51" s="87" t="e">
        <f>VLOOKUP($B51,Raw_Data[#All],AW$2,0)/AW$1</f>
        <v>#N/A</v>
      </c>
      <c r="AX51" s="87" t="e">
        <f>VLOOKUP($B51,Raw_Data[#All],AX$2,0)/AX$1</f>
        <v>#N/A</v>
      </c>
      <c r="AY51" s="87" t="e">
        <f>VLOOKUP($B51,Raw_Data[#All],AY$2,0)/AY$1</f>
        <v>#N/A</v>
      </c>
      <c r="AZ51" s="87" t="e">
        <f>VLOOKUP($B51,Raw_Data[#All],AZ$2,0)/AZ$1</f>
        <v>#N/A</v>
      </c>
      <c r="BA51" s="87" t="e">
        <f>VLOOKUP($B51,Raw_Data[#All],BA$2,0)/BA$1</f>
        <v>#N/A</v>
      </c>
      <c r="BB51" s="87" t="e">
        <f>VLOOKUP($B51,Raw_Data[#All],BB$2,0)/BB$1</f>
        <v>#N/A</v>
      </c>
      <c r="BC51" s="87" t="e">
        <f>VLOOKUP($B51,Raw_Data[#All],BC$2,0)/BC$1</f>
        <v>#N/A</v>
      </c>
      <c r="BD51" s="87" t="e">
        <f>VLOOKUP($B51,Raw_Data[#All],BD$2,0)/BD$1</f>
        <v>#N/A</v>
      </c>
      <c r="BE51" s="87" t="e">
        <f>VLOOKUP($B51,Raw_Data[#All],BE$2,0)/BE$1</f>
        <v>#N/A</v>
      </c>
      <c r="BF51" s="87" t="e">
        <f>VLOOKUP($B51,Raw_Data[#All],BF$2,0)/BF$1</f>
        <v>#N/A</v>
      </c>
      <c r="BG51" s="87" t="e">
        <f>VLOOKUP($B51,Raw_Data[#All],BG$2,0)/BG$1</f>
        <v>#N/A</v>
      </c>
      <c r="BH51" s="87" t="e">
        <f>VLOOKUP($B51,Raw_Data[#All],BH$2,0)/BH$1</f>
        <v>#N/A</v>
      </c>
      <c r="BI51" s="87" t="e">
        <f>VLOOKUP($B51,Raw_Data[#All],BI$2,0)/BI$1</f>
        <v>#N/A</v>
      </c>
      <c r="BJ51" s="87" t="e">
        <f>VLOOKUP($B51,Raw_Data[#All],BJ$2,0)/BJ$1</f>
        <v>#N/A</v>
      </c>
      <c r="BK51" s="87" t="e">
        <f>VLOOKUP($B51,Raw_Data[#All],BK$2,0)/BK$1</f>
        <v>#N/A</v>
      </c>
      <c r="BL51" s="87" t="e">
        <f>VLOOKUP($B51,Raw_Data[#All],BL$2,0)/BL$1</f>
        <v>#N/A</v>
      </c>
      <c r="BM51" s="87" t="e">
        <f>VLOOKUP($B51,Raw_Data[#All],BM$2,0)/BM$1</f>
        <v>#N/A</v>
      </c>
      <c r="BN51" s="87" t="e">
        <f>VLOOKUP($B51,Raw_Data[#All],BN$2,0)/BN$1</f>
        <v>#N/A</v>
      </c>
      <c r="BO51" s="87" t="e">
        <f>VLOOKUP($B51,Raw_Data[#All],BO$2,0)/BO$1</f>
        <v>#N/A</v>
      </c>
      <c r="BP51" s="87" t="e">
        <f>VLOOKUP($B51,Raw_Data[#All],BP$2,0)/BP$1</f>
        <v>#N/A</v>
      </c>
      <c r="BQ51" s="87" t="e">
        <f>VLOOKUP($B51,Raw_Data[#All],BQ$2,0)/BQ$1</f>
        <v>#N/A</v>
      </c>
      <c r="BR51" s="87" t="e">
        <f>VLOOKUP($B51,Raw_Data[#All],BR$2,0)/BR$1</f>
        <v>#N/A</v>
      </c>
      <c r="BS51" s="87" t="e">
        <f>VLOOKUP($B51,Raw_Data[#All],BS$2,0)/BS$1</f>
        <v>#N/A</v>
      </c>
      <c r="BT51" s="87" t="e">
        <f>VLOOKUP($B51,Raw_Data[#All],BT$2,0)/BT$1</f>
        <v>#N/A</v>
      </c>
      <c r="BU51" s="87" t="e">
        <f>VLOOKUP($B51,Raw_Data[#All],BU$2,0)/BU$1</f>
        <v>#N/A</v>
      </c>
      <c r="BV51" s="87" t="e">
        <f>VLOOKUP($B51,Raw_Data[#All],BV$2,0)/BV$1</f>
        <v>#N/A</v>
      </c>
      <c r="BW51" s="87" t="e">
        <f>VLOOKUP($B51,Raw_Data[#All],BW$2,0)/BW$1</f>
        <v>#N/A</v>
      </c>
      <c r="BX51" s="87" t="e">
        <f>VLOOKUP($B51,Raw_Data[#All],BX$2,0)/BX$1</f>
        <v>#N/A</v>
      </c>
      <c r="BY51" s="87" t="e">
        <f>VLOOKUP($B51,Raw_Data[#All],BY$2,0)/BY$1</f>
        <v>#N/A</v>
      </c>
      <c r="BZ51" s="87" t="e">
        <f>VLOOKUP($B51,Raw_Data[#All],BZ$2,0)/BZ$1</f>
        <v>#N/A</v>
      </c>
      <c r="CA51" s="87" t="e">
        <f>VLOOKUP($B51,Raw_Data[#All],CA$2,0)/CA$1</f>
        <v>#N/A</v>
      </c>
      <c r="CB51" s="87" t="e">
        <f>VLOOKUP($B51,Raw_Data[#All],CB$2,0)/CB$1</f>
        <v>#N/A</v>
      </c>
      <c r="CC51" s="87" t="e">
        <f>VLOOKUP($B51,Raw_Data[#All],CC$2,0)/CC$1</f>
        <v>#N/A</v>
      </c>
      <c r="CD51" s="87" t="e">
        <f>VLOOKUP($B51,Raw_Data[#All],CD$2,0)/CD$1</f>
        <v>#N/A</v>
      </c>
      <c r="CE51" s="87" t="e">
        <f>VLOOKUP($B51,Raw_Data[#All],CE$2,0)/CE$1</f>
        <v>#N/A</v>
      </c>
      <c r="CF51" s="87" t="e">
        <f>VLOOKUP($B51,Raw_Data[#All],CF$2,0)/CF$1</f>
        <v>#N/A</v>
      </c>
      <c r="CG51" s="87" t="e">
        <f>VLOOKUP($B51,Raw_Data[#All],CG$2,0)/CG$1</f>
        <v>#N/A</v>
      </c>
      <c r="CH51" s="87" t="e">
        <f>VLOOKUP($B51,Raw_Data[#All],CH$2,0)/CH$1</f>
        <v>#N/A</v>
      </c>
      <c r="CI51" s="87" t="e">
        <f>VLOOKUP($B51,Raw_Data[#All],CI$2,0)/CI$1</f>
        <v>#N/A</v>
      </c>
      <c r="CJ51" s="87" t="e">
        <f>VLOOKUP($B51,Raw_Data[#All],CJ$2,0)/CJ$1</f>
        <v>#N/A</v>
      </c>
      <c r="CK51" s="87" t="e">
        <f>VLOOKUP($B51,Raw_Data[#All],CK$2,0)/CK$1</f>
        <v>#N/A</v>
      </c>
      <c r="CL51" s="87" t="e">
        <f>VLOOKUP($B51,Raw_Data[#All],CL$2,0)/CL$1</f>
        <v>#N/A</v>
      </c>
      <c r="CM51" s="87" t="e">
        <f>VLOOKUP($B51,Raw_Data[#All],CM$2,0)/CM$1</f>
        <v>#N/A</v>
      </c>
      <c r="CN51" s="87" t="e">
        <f>VLOOKUP($B51,Raw_Data[#All],CN$2,0)/CN$1</f>
        <v>#N/A</v>
      </c>
      <c r="CO51" s="87" t="e">
        <f>VLOOKUP($B51,Raw_Data[#All],CO$2,0)/CO$1</f>
        <v>#N/A</v>
      </c>
      <c r="CP51" s="87" t="e">
        <f>VLOOKUP($B51,Raw_Data[#All],CP$2,0)/CP$1</f>
        <v>#N/A</v>
      </c>
      <c r="CQ51" s="87" t="e">
        <f>VLOOKUP($B51,Raw_Data[#All],CQ$2,0)/CQ$1</f>
        <v>#N/A</v>
      </c>
      <c r="CR51" s="87" t="e">
        <f>VLOOKUP($B51,Raw_Data[#All],CR$2,0)/CR$1</f>
        <v>#N/A</v>
      </c>
      <c r="CS51" s="87" t="e">
        <f>VLOOKUP($B51,Raw_Data[#All],CS$2,0)/CS$1</f>
        <v>#N/A</v>
      </c>
      <c r="CT51" s="87" t="e">
        <f>VLOOKUP($B51,Raw_Data[#All],CT$2,0)/CT$1</f>
        <v>#N/A</v>
      </c>
      <c r="CU51" s="87" t="e">
        <f>VLOOKUP($B51,Raw_Data[#All],CU$2,0)/CU$1</f>
        <v>#N/A</v>
      </c>
      <c r="CV51" s="87" t="e">
        <f>VLOOKUP($B51,Raw_Data[#All],CV$2,0)/CV$1</f>
        <v>#N/A</v>
      </c>
      <c r="CW51" s="87" t="e">
        <f>VLOOKUP($B51,Raw_Data[#All],CW$2,0)/CW$1</f>
        <v>#N/A</v>
      </c>
      <c r="CX51" s="87" t="e">
        <f>VLOOKUP($B51,Raw_Data[#All],CX$2,0)/CX$1</f>
        <v>#N/A</v>
      </c>
      <c r="CY51" s="87" t="e">
        <f>VLOOKUP($B51,Raw_Data[#All],CY$2,0)/CY$1</f>
        <v>#N/A</v>
      </c>
      <c r="CZ51" s="87" t="e">
        <f>VLOOKUP($B51,Raw_Data[#All],CZ$2,0)/CZ$1</f>
        <v>#N/A</v>
      </c>
      <c r="DA51" s="87" t="e">
        <f>VLOOKUP($B51,Raw_Data[#All],DA$2,0)/DA$1</f>
        <v>#N/A</v>
      </c>
      <c r="DB51" s="87" t="e">
        <f>VLOOKUP($B51,Raw_Data[#All],DB$2,0)/DB$1</f>
        <v>#N/A</v>
      </c>
      <c r="DC51" s="87" t="e">
        <f>VLOOKUP($B51,Raw_Data[#All],DC$2,0)/DC$1</f>
        <v>#N/A</v>
      </c>
      <c r="DD51" s="87" t="e">
        <f>VLOOKUP($B51,Raw_Data[#All],DD$2,0)/DD$1</f>
        <v>#N/A</v>
      </c>
      <c r="DE51" s="87" t="e">
        <f>VLOOKUP($B51,Raw_Data[#All],DE$2,0)/DE$1</f>
        <v>#N/A</v>
      </c>
      <c r="DF51" s="87" t="e">
        <f>VLOOKUP($B51,Raw_Data[#All],DF$2,0)/DF$1</f>
        <v>#N/A</v>
      </c>
      <c r="DG51" s="87" t="e">
        <f>VLOOKUP($B51,Raw_Data[#All],DG$2,0)/DG$1</f>
        <v>#N/A</v>
      </c>
      <c r="DH51" s="87" t="e">
        <f>VLOOKUP($B51,Raw_Data[#All],DH$2,0)/DH$1</f>
        <v>#N/A</v>
      </c>
      <c r="DI51" s="87" t="e">
        <f>VLOOKUP($B51,Raw_Data[#All],DI$2,0)/DI$1</f>
        <v>#N/A</v>
      </c>
      <c r="DJ51" s="87" t="e">
        <f>VLOOKUP($B51,Raw_Data[#All],DJ$2,0)/DJ$1</f>
        <v>#N/A</v>
      </c>
      <c r="DK51" s="87" t="e">
        <f>VLOOKUP($B51,Raw_Data[#All],DK$2,0)/DK$1</f>
        <v>#N/A</v>
      </c>
      <c r="DL51" s="87" t="e">
        <f>VLOOKUP($B51,Raw_Data[#All],DL$2,0)/DL$1</f>
        <v>#N/A</v>
      </c>
      <c r="DM51" s="87" t="e">
        <f>VLOOKUP($B51,Raw_Data[#All],DM$2,0)/DM$1</f>
        <v>#N/A</v>
      </c>
      <c r="DN51" s="87" t="e">
        <f>VLOOKUP($B51,Raw_Data[#All],DN$2,0)/DN$1</f>
        <v>#N/A</v>
      </c>
      <c r="DO51" s="87" t="e">
        <f>VLOOKUP($B51,Raw_Data[#All],DO$2,0)/DO$1</f>
        <v>#N/A</v>
      </c>
      <c r="DP51" s="87" t="e">
        <f>VLOOKUP($B51,Raw_Data[#All],DP$2,0)/DP$1</f>
        <v>#N/A</v>
      </c>
      <c r="DQ51" s="87" t="e">
        <f>VLOOKUP($B51,Raw_Data[#All],DQ$2,0)/DQ$1</f>
        <v>#N/A</v>
      </c>
      <c r="DR51" s="87" t="e">
        <f>VLOOKUP($B51,Raw_Data[#All],DR$2,0)/DR$1</f>
        <v>#N/A</v>
      </c>
      <c r="DS51" s="87" t="e">
        <f>VLOOKUP($B51,Raw_Data[#All],DS$2,0)/DS$1</f>
        <v>#N/A</v>
      </c>
      <c r="DT51" s="87" t="e">
        <f>VLOOKUP($B51,Raw_Data[#All],DT$2,0)/DT$1</f>
        <v>#N/A</v>
      </c>
      <c r="DU51" s="87" t="e">
        <f>VLOOKUP($B51,Raw_Data[#All],DU$2,0)/DU$1</f>
        <v>#N/A</v>
      </c>
      <c r="DV51" s="87" t="e">
        <f>VLOOKUP($B51,Raw_Data[#All],DV$2,0)/DV$1</f>
        <v>#N/A</v>
      </c>
      <c r="DW51" s="87" t="e">
        <f>VLOOKUP($B51,Raw_Data[#All],DW$2,0)/DW$1</f>
        <v>#N/A</v>
      </c>
      <c r="DX51" s="87" t="e">
        <f>VLOOKUP($B51,Raw_Data[#All],DX$2,0)/DX$1</f>
        <v>#N/A</v>
      </c>
      <c r="DY51" s="87" t="e">
        <f>VLOOKUP($B51,Raw_Data[#All],DY$2,0)/DY$1</f>
        <v>#N/A</v>
      </c>
      <c r="DZ51" s="87" t="e">
        <f>VLOOKUP($B51,Raw_Data[#All],DZ$2,0)/DZ$1</f>
        <v>#N/A</v>
      </c>
      <c r="EA51" s="87" t="e">
        <f>VLOOKUP($B51,Raw_Data[#All],EA$2,0)/EA$1</f>
        <v>#N/A</v>
      </c>
      <c r="EB51" s="87" t="e">
        <f>VLOOKUP($B51,Raw_Data[#All],EB$2,0)/EB$1</f>
        <v>#N/A</v>
      </c>
      <c r="EC51" s="87" t="e">
        <f>VLOOKUP($B51,Raw_Data[#All],EC$2,0)/EC$1</f>
        <v>#N/A</v>
      </c>
      <c r="ED51" s="87" t="e">
        <f>VLOOKUP($B51,Raw_Data[#All],ED$2,0)/ED$1</f>
        <v>#N/A</v>
      </c>
      <c r="EE51" s="87" t="e">
        <f>VLOOKUP($B51,Raw_Data[#All],EE$2,0)/EE$1</f>
        <v>#N/A</v>
      </c>
      <c r="EF51" s="87" t="e">
        <f>VLOOKUP($B51,Raw_Data[#All],EF$2,0)/EF$1</f>
        <v>#N/A</v>
      </c>
      <c r="EG51" s="87" t="e">
        <f>VLOOKUP($B51,Raw_Data[#All],EG$2,0)/EG$1</f>
        <v>#N/A</v>
      </c>
      <c r="EH51" s="87" t="e">
        <f>VLOOKUP($B51,Raw_Data[#All],EH$2,0)/EH$1</f>
        <v>#N/A</v>
      </c>
      <c r="EI51" s="87" t="e">
        <f>VLOOKUP($B51,Raw_Data[#All],EI$2,0)/EI$1</f>
        <v>#N/A</v>
      </c>
      <c r="EJ51" s="87" t="e">
        <f>VLOOKUP($B51,Raw_Data[#All],EJ$2,0)/EJ$1</f>
        <v>#N/A</v>
      </c>
      <c r="EK51" s="87" t="e">
        <f>VLOOKUP($B51,Raw_Data[#All],EK$2,0)/EK$1</f>
        <v>#N/A</v>
      </c>
      <c r="EL51" s="87" t="e">
        <f>VLOOKUP($B51,Raw_Data[#All],EL$2,0)/EL$1</f>
        <v>#N/A</v>
      </c>
      <c r="EM51" s="87" t="e">
        <f>VLOOKUP($B51,Raw_Data[#All],EM$2,0)/EM$1</f>
        <v>#N/A</v>
      </c>
      <c r="EN51" s="87" t="e">
        <f>VLOOKUP($B51,Raw_Data[#All],EN$2,0)/EN$1</f>
        <v>#N/A</v>
      </c>
      <c r="EO51" s="87" t="e">
        <f>VLOOKUP($B51,Raw_Data[#All],EO$2,0)/EO$1</f>
        <v>#N/A</v>
      </c>
      <c r="EP51" s="87" t="e">
        <f>VLOOKUP($B51,Raw_Data[#All],EP$2,0)/EP$1</f>
        <v>#N/A</v>
      </c>
      <c r="EQ51" s="87" t="e">
        <f>VLOOKUP($B51,Raw_Data[#All],EQ$2,0)/EQ$1</f>
        <v>#N/A</v>
      </c>
      <c r="ER51" s="87" t="e">
        <f>VLOOKUP($B51,Raw_Data[#All],ER$2,0)/ER$1</f>
        <v>#N/A</v>
      </c>
      <c r="ES51" s="87" t="e">
        <f>VLOOKUP($B51,Raw_Data[#All],ES$2,0)/ES$1</f>
        <v>#N/A</v>
      </c>
      <c r="ET51" s="87" t="e">
        <f>VLOOKUP($B51,Raw_Data[#All],ET$2,0)/ET$1</f>
        <v>#N/A</v>
      </c>
      <c r="EU51" s="87" t="e">
        <f>VLOOKUP($B51,Raw_Data[#All],EU$2,0)/EU$1</f>
        <v>#N/A</v>
      </c>
      <c r="EV51" s="87" t="e">
        <f>VLOOKUP($B51,Raw_Data[#All],EV$2,0)/EV$1</f>
        <v>#N/A</v>
      </c>
      <c r="EW51" s="87" t="e">
        <f>VLOOKUP($B51,Raw_Data[#All],EW$2,0)/EW$1</f>
        <v>#N/A</v>
      </c>
      <c r="EX51" s="87" t="e">
        <f>VLOOKUP($B51,Raw_Data[#All],EX$2,0)/EX$1</f>
        <v>#N/A</v>
      </c>
      <c r="EY51" s="87" t="e">
        <f>VLOOKUP($B51,Raw_Data[#All],EY$2,0)/EY$1</f>
        <v>#N/A</v>
      </c>
      <c r="EZ51" s="87" t="e">
        <f>VLOOKUP($B51,Raw_Data[#All],EZ$2,0)/EZ$1</f>
        <v>#N/A</v>
      </c>
      <c r="FA51" s="87" t="e">
        <f>VLOOKUP($B51,Raw_Data[#All],FA$2,0)/FA$1</f>
        <v>#N/A</v>
      </c>
      <c r="FB51" s="87" t="e">
        <f>VLOOKUP($B51,Raw_Data[#All],FB$2,0)/FB$1</f>
        <v>#N/A</v>
      </c>
      <c r="FC51" s="87" t="e">
        <f>VLOOKUP($B51,Raw_Data[#All],FC$2,0)/FC$1</f>
        <v>#N/A</v>
      </c>
      <c r="FD51" s="87" t="e">
        <f>VLOOKUP($B51,Raw_Data[#All],FD$2,0)/FD$1</f>
        <v>#N/A</v>
      </c>
      <c r="FE51" s="87" t="e">
        <f>VLOOKUP($B51,Raw_Data[#All],FE$2,0)/FE$1</f>
        <v>#N/A</v>
      </c>
      <c r="FF51" s="87" t="e">
        <f>VLOOKUP($B51,Raw_Data[#All],FF$2,0)/FF$1</f>
        <v>#N/A</v>
      </c>
      <c r="FG51" s="105" t="e">
        <f>VLOOKUP($B51,Raw_Data[#All],FG$2,0)/FG$1</f>
        <v>#N/A</v>
      </c>
    </row>
    <row r="52" spans="2:163">
      <c r="B52" s="106">
        <f t="shared" si="1"/>
        <v>45875</v>
      </c>
      <c r="C52" s="87" t="e">
        <f>VLOOKUP($B52,Raw_Data[#All],C$2,0)/C$1</f>
        <v>#N/A</v>
      </c>
      <c r="D52" s="87" t="e">
        <f>VLOOKUP($B52,Raw_Data[#All],D$2,0)/D$1</f>
        <v>#N/A</v>
      </c>
      <c r="E52" s="87" t="e">
        <f>VLOOKUP($B52,Raw_Data[#All],E$2,0)/E$1</f>
        <v>#N/A</v>
      </c>
      <c r="F52" s="87" t="e">
        <f>VLOOKUP($B52,Raw_Data[#All],F$2,0)/F$1</f>
        <v>#N/A</v>
      </c>
      <c r="G52" s="87" t="e">
        <f>VLOOKUP($B52,Raw_Data[#All],G$2,0)/G$1</f>
        <v>#N/A</v>
      </c>
      <c r="H52" s="87" t="e">
        <f>VLOOKUP($B52,Raw_Data[#All],H$2,0)/H$1</f>
        <v>#N/A</v>
      </c>
      <c r="I52" s="87" t="e">
        <f>VLOOKUP($B52,Raw_Data[#All],I$2,0)/I$1</f>
        <v>#N/A</v>
      </c>
      <c r="J52" s="87" t="e">
        <f>VLOOKUP($B52,Raw_Data[#All],J$2,0)/J$1</f>
        <v>#N/A</v>
      </c>
      <c r="K52" s="87" t="e">
        <f>VLOOKUP($B52,Raw_Data[#All],K$2,0)/K$1</f>
        <v>#N/A</v>
      </c>
      <c r="L52" s="87" t="e">
        <f>VLOOKUP($B52,Raw_Data[#All],L$2,0)/L$1</f>
        <v>#N/A</v>
      </c>
      <c r="M52" s="87" t="e">
        <f>VLOOKUP($B52,Raw_Data[#All],M$2,0)/M$1</f>
        <v>#N/A</v>
      </c>
      <c r="N52" s="87" t="e">
        <f>VLOOKUP($B52,Raw_Data[#All],N$2,0)/N$1</f>
        <v>#N/A</v>
      </c>
      <c r="O52" s="87" t="e">
        <f>VLOOKUP($B52,Raw_Data[#All],O$2,0)/O$1</f>
        <v>#N/A</v>
      </c>
      <c r="P52" s="87" t="e">
        <f>VLOOKUP($B52,Raw_Data[#All],P$2,0)/P$1</f>
        <v>#N/A</v>
      </c>
      <c r="Q52" s="87" t="e">
        <f>VLOOKUP($B52,Raw_Data[#All],Q$2,0)/Q$1</f>
        <v>#N/A</v>
      </c>
      <c r="R52" s="87" t="e">
        <f>VLOOKUP($B52,Raw_Data[#All],R$2,0)/R$1</f>
        <v>#N/A</v>
      </c>
      <c r="S52" s="87" t="e">
        <f>VLOOKUP($B52,Raw_Data[#All],S$2,0)/S$1</f>
        <v>#N/A</v>
      </c>
      <c r="T52" s="87" t="e">
        <f>VLOOKUP($B52,Raw_Data[#All],T$2,0)/T$1</f>
        <v>#N/A</v>
      </c>
      <c r="U52" s="87" t="e">
        <f>VLOOKUP($B52,Raw_Data[#All],U$2,0)/U$1</f>
        <v>#N/A</v>
      </c>
      <c r="V52" s="87" t="e">
        <f>VLOOKUP($B52,Raw_Data[#All],V$2,0)/V$1</f>
        <v>#N/A</v>
      </c>
      <c r="W52" s="87" t="e">
        <f>VLOOKUP($B52,Raw_Data[#All],W$2,0)/W$1</f>
        <v>#N/A</v>
      </c>
      <c r="X52" s="87" t="e">
        <f>VLOOKUP($B52,Raw_Data[#All],X$2,0)/X$1</f>
        <v>#N/A</v>
      </c>
      <c r="Y52" s="87" t="e">
        <f>VLOOKUP($B52,Raw_Data[#All],Y$2,0)/Y$1</f>
        <v>#N/A</v>
      </c>
      <c r="Z52" s="87" t="e">
        <f>VLOOKUP($B52,Raw_Data[#All],Z$2,0)/Z$1</f>
        <v>#N/A</v>
      </c>
      <c r="AA52" s="87" t="e">
        <f>VLOOKUP($B52,Raw_Data[#All],AA$2,0)/AA$1</f>
        <v>#N/A</v>
      </c>
      <c r="AB52" s="87" t="e">
        <f>VLOOKUP($B52,Raw_Data[#All],AB$2,0)/AB$1</f>
        <v>#N/A</v>
      </c>
      <c r="AC52" s="87" t="e">
        <f>VLOOKUP($B52,Raw_Data[#All],AC$2,0)/AC$1</f>
        <v>#N/A</v>
      </c>
      <c r="AD52" s="87" t="e">
        <f>VLOOKUP($B52,Raw_Data[#All],AD$2,0)/AD$1</f>
        <v>#N/A</v>
      </c>
      <c r="AE52" s="87" t="e">
        <f>VLOOKUP($B52,Raw_Data[#All],AE$2,0)/AE$1</f>
        <v>#N/A</v>
      </c>
      <c r="AF52" s="87" t="e">
        <f>VLOOKUP($B52,Raw_Data[#All],AF$2,0)/AF$1</f>
        <v>#N/A</v>
      </c>
      <c r="AG52" s="87" t="e">
        <f>VLOOKUP($B52,Raw_Data[#All],AG$2,0)/AG$1</f>
        <v>#N/A</v>
      </c>
      <c r="AH52" s="87" t="e">
        <f>VLOOKUP($B52,Raw_Data[#All],AH$2,0)/AH$1</f>
        <v>#N/A</v>
      </c>
      <c r="AI52" s="87" t="e">
        <f>VLOOKUP($B52,Raw_Data[#All],AI$2,0)/AI$1</f>
        <v>#N/A</v>
      </c>
      <c r="AJ52" s="87" t="e">
        <f>VLOOKUP($B52,Raw_Data[#All],AJ$2,0)/AJ$1</f>
        <v>#N/A</v>
      </c>
      <c r="AK52" s="87" t="e">
        <f>VLOOKUP($B52,Raw_Data[#All],AK$2,0)/AK$1</f>
        <v>#N/A</v>
      </c>
      <c r="AL52" s="87" t="e">
        <f>VLOOKUP($B52,Raw_Data[#All],AL$2,0)/AL$1</f>
        <v>#N/A</v>
      </c>
      <c r="AM52" s="87" t="e">
        <f>VLOOKUP($B52,Raw_Data[#All],AM$2,0)/AM$1</f>
        <v>#N/A</v>
      </c>
      <c r="AN52" s="87" t="e">
        <f>VLOOKUP($B52,Raw_Data[#All],AN$2,0)/AN$1</f>
        <v>#N/A</v>
      </c>
      <c r="AO52" s="87" t="e">
        <f>VLOOKUP($B52,Raw_Data[#All],AO$2,0)/AO$1</f>
        <v>#N/A</v>
      </c>
      <c r="AP52" s="87" t="e">
        <f>VLOOKUP($B52,Raw_Data[#All],AP$2,0)/AP$1</f>
        <v>#N/A</v>
      </c>
      <c r="AQ52" s="87" t="e">
        <f>VLOOKUP($B52,Raw_Data[#All],AQ$2,0)/AQ$1</f>
        <v>#N/A</v>
      </c>
      <c r="AR52" s="87" t="e">
        <f>VLOOKUP($B52,Raw_Data[#All],AR$2,0)/AR$1</f>
        <v>#N/A</v>
      </c>
      <c r="AS52" s="87" t="e">
        <f>VLOOKUP($B52,Raw_Data[#All],AS$2,0)/AS$1</f>
        <v>#N/A</v>
      </c>
      <c r="AT52" s="87" t="e">
        <f>VLOOKUP($B52,Raw_Data[#All],AT$2,0)/AT$1</f>
        <v>#N/A</v>
      </c>
      <c r="AU52" s="87" t="e">
        <f>VLOOKUP($B52,Raw_Data[#All],AU$2,0)/AU$1</f>
        <v>#N/A</v>
      </c>
      <c r="AV52" s="87" t="e">
        <f>VLOOKUP($B52,Raw_Data[#All],AV$2,0)/AV$1</f>
        <v>#N/A</v>
      </c>
      <c r="AW52" s="87" t="e">
        <f>VLOOKUP($B52,Raw_Data[#All],AW$2,0)/AW$1</f>
        <v>#N/A</v>
      </c>
      <c r="AX52" s="87" t="e">
        <f>VLOOKUP($B52,Raw_Data[#All],AX$2,0)/AX$1</f>
        <v>#N/A</v>
      </c>
      <c r="AY52" s="87" t="e">
        <f>VLOOKUP($B52,Raw_Data[#All],AY$2,0)/AY$1</f>
        <v>#N/A</v>
      </c>
      <c r="AZ52" s="87" t="e">
        <f>VLOOKUP($B52,Raw_Data[#All],AZ$2,0)/AZ$1</f>
        <v>#N/A</v>
      </c>
      <c r="BA52" s="87" t="e">
        <f>VLOOKUP($B52,Raw_Data[#All],BA$2,0)/BA$1</f>
        <v>#N/A</v>
      </c>
      <c r="BB52" s="87" t="e">
        <f>VLOOKUP($B52,Raw_Data[#All],BB$2,0)/BB$1</f>
        <v>#N/A</v>
      </c>
      <c r="BC52" s="87" t="e">
        <f>VLOOKUP($B52,Raw_Data[#All],BC$2,0)/BC$1</f>
        <v>#N/A</v>
      </c>
      <c r="BD52" s="87" t="e">
        <f>VLOOKUP($B52,Raw_Data[#All],BD$2,0)/BD$1</f>
        <v>#N/A</v>
      </c>
      <c r="BE52" s="87" t="e">
        <f>VLOOKUP($B52,Raw_Data[#All],BE$2,0)/BE$1</f>
        <v>#N/A</v>
      </c>
      <c r="BF52" s="87" t="e">
        <f>VLOOKUP($B52,Raw_Data[#All],BF$2,0)/BF$1</f>
        <v>#N/A</v>
      </c>
      <c r="BG52" s="87" t="e">
        <f>VLOOKUP($B52,Raw_Data[#All],BG$2,0)/BG$1</f>
        <v>#N/A</v>
      </c>
      <c r="BH52" s="87" t="e">
        <f>VLOOKUP($B52,Raw_Data[#All],BH$2,0)/BH$1</f>
        <v>#N/A</v>
      </c>
      <c r="BI52" s="87" t="e">
        <f>VLOOKUP($B52,Raw_Data[#All],BI$2,0)/BI$1</f>
        <v>#N/A</v>
      </c>
      <c r="BJ52" s="87" t="e">
        <f>VLOOKUP($B52,Raw_Data[#All],BJ$2,0)/BJ$1</f>
        <v>#N/A</v>
      </c>
      <c r="BK52" s="87" t="e">
        <f>VLOOKUP($B52,Raw_Data[#All],BK$2,0)/BK$1</f>
        <v>#N/A</v>
      </c>
      <c r="BL52" s="87" t="e">
        <f>VLOOKUP($B52,Raw_Data[#All],BL$2,0)/BL$1</f>
        <v>#N/A</v>
      </c>
      <c r="BM52" s="87" t="e">
        <f>VLOOKUP($B52,Raw_Data[#All],BM$2,0)/BM$1</f>
        <v>#N/A</v>
      </c>
      <c r="BN52" s="87" t="e">
        <f>VLOOKUP($B52,Raw_Data[#All],BN$2,0)/BN$1</f>
        <v>#N/A</v>
      </c>
      <c r="BO52" s="87" t="e">
        <f>VLOOKUP($B52,Raw_Data[#All],BO$2,0)/BO$1</f>
        <v>#N/A</v>
      </c>
      <c r="BP52" s="87" t="e">
        <f>VLOOKUP($B52,Raw_Data[#All],BP$2,0)/BP$1</f>
        <v>#N/A</v>
      </c>
      <c r="BQ52" s="87" t="e">
        <f>VLOOKUP($B52,Raw_Data[#All],BQ$2,0)/BQ$1</f>
        <v>#N/A</v>
      </c>
      <c r="BR52" s="87" t="e">
        <f>VLOOKUP($B52,Raw_Data[#All],BR$2,0)/BR$1</f>
        <v>#N/A</v>
      </c>
      <c r="BS52" s="87" t="e">
        <f>VLOOKUP($B52,Raw_Data[#All],BS$2,0)/BS$1</f>
        <v>#N/A</v>
      </c>
      <c r="BT52" s="87" t="e">
        <f>VLOOKUP($B52,Raw_Data[#All],BT$2,0)/BT$1</f>
        <v>#N/A</v>
      </c>
      <c r="BU52" s="87" t="e">
        <f>VLOOKUP($B52,Raw_Data[#All],BU$2,0)/BU$1</f>
        <v>#N/A</v>
      </c>
      <c r="BV52" s="87" t="e">
        <f>VLOOKUP($B52,Raw_Data[#All],BV$2,0)/BV$1</f>
        <v>#N/A</v>
      </c>
      <c r="BW52" s="87" t="e">
        <f>VLOOKUP($B52,Raw_Data[#All],BW$2,0)/BW$1</f>
        <v>#N/A</v>
      </c>
      <c r="BX52" s="87" t="e">
        <f>VLOOKUP($B52,Raw_Data[#All],BX$2,0)/BX$1</f>
        <v>#N/A</v>
      </c>
      <c r="BY52" s="87" t="e">
        <f>VLOOKUP($B52,Raw_Data[#All],BY$2,0)/BY$1</f>
        <v>#N/A</v>
      </c>
      <c r="BZ52" s="87" t="e">
        <f>VLOOKUP($B52,Raw_Data[#All],BZ$2,0)/BZ$1</f>
        <v>#N/A</v>
      </c>
      <c r="CA52" s="87" t="e">
        <f>VLOOKUP($B52,Raw_Data[#All],CA$2,0)/CA$1</f>
        <v>#N/A</v>
      </c>
      <c r="CB52" s="87" t="e">
        <f>VLOOKUP($B52,Raw_Data[#All],CB$2,0)/CB$1</f>
        <v>#N/A</v>
      </c>
      <c r="CC52" s="87" t="e">
        <f>VLOOKUP($B52,Raw_Data[#All],CC$2,0)/CC$1</f>
        <v>#N/A</v>
      </c>
      <c r="CD52" s="87" t="e">
        <f>VLOOKUP($B52,Raw_Data[#All],CD$2,0)/CD$1</f>
        <v>#N/A</v>
      </c>
      <c r="CE52" s="87" t="e">
        <f>VLOOKUP($B52,Raw_Data[#All],CE$2,0)/CE$1</f>
        <v>#N/A</v>
      </c>
      <c r="CF52" s="87" t="e">
        <f>VLOOKUP($B52,Raw_Data[#All],CF$2,0)/CF$1</f>
        <v>#N/A</v>
      </c>
      <c r="CG52" s="87" t="e">
        <f>VLOOKUP($B52,Raw_Data[#All],CG$2,0)/CG$1</f>
        <v>#N/A</v>
      </c>
      <c r="CH52" s="87" t="e">
        <f>VLOOKUP($B52,Raw_Data[#All],CH$2,0)/CH$1</f>
        <v>#N/A</v>
      </c>
      <c r="CI52" s="87" t="e">
        <f>VLOOKUP($B52,Raw_Data[#All],CI$2,0)/CI$1</f>
        <v>#N/A</v>
      </c>
      <c r="CJ52" s="87" t="e">
        <f>VLOOKUP($B52,Raw_Data[#All],CJ$2,0)/CJ$1</f>
        <v>#N/A</v>
      </c>
      <c r="CK52" s="87" t="e">
        <f>VLOOKUP($B52,Raw_Data[#All],CK$2,0)/CK$1</f>
        <v>#N/A</v>
      </c>
      <c r="CL52" s="87" t="e">
        <f>VLOOKUP($B52,Raw_Data[#All],CL$2,0)/CL$1</f>
        <v>#N/A</v>
      </c>
      <c r="CM52" s="87" t="e">
        <f>VLOOKUP($B52,Raw_Data[#All],CM$2,0)/CM$1</f>
        <v>#N/A</v>
      </c>
      <c r="CN52" s="87" t="e">
        <f>VLOOKUP($B52,Raw_Data[#All],CN$2,0)/CN$1</f>
        <v>#N/A</v>
      </c>
      <c r="CO52" s="87" t="e">
        <f>VLOOKUP($B52,Raw_Data[#All],CO$2,0)/CO$1</f>
        <v>#N/A</v>
      </c>
      <c r="CP52" s="87" t="e">
        <f>VLOOKUP($B52,Raw_Data[#All],CP$2,0)/CP$1</f>
        <v>#N/A</v>
      </c>
      <c r="CQ52" s="87" t="e">
        <f>VLOOKUP($B52,Raw_Data[#All],CQ$2,0)/CQ$1</f>
        <v>#N/A</v>
      </c>
      <c r="CR52" s="87" t="e">
        <f>VLOOKUP($B52,Raw_Data[#All],CR$2,0)/CR$1</f>
        <v>#N/A</v>
      </c>
      <c r="CS52" s="87" t="e">
        <f>VLOOKUP($B52,Raw_Data[#All],CS$2,0)/CS$1</f>
        <v>#N/A</v>
      </c>
      <c r="CT52" s="87" t="e">
        <f>VLOOKUP($B52,Raw_Data[#All],CT$2,0)/CT$1</f>
        <v>#N/A</v>
      </c>
      <c r="CU52" s="87" t="e">
        <f>VLOOKUP($B52,Raw_Data[#All],CU$2,0)/CU$1</f>
        <v>#N/A</v>
      </c>
      <c r="CV52" s="87" t="e">
        <f>VLOOKUP($B52,Raw_Data[#All],CV$2,0)/CV$1</f>
        <v>#N/A</v>
      </c>
      <c r="CW52" s="87" t="e">
        <f>VLOOKUP($B52,Raw_Data[#All],CW$2,0)/CW$1</f>
        <v>#N/A</v>
      </c>
      <c r="CX52" s="87" t="e">
        <f>VLOOKUP($B52,Raw_Data[#All],CX$2,0)/CX$1</f>
        <v>#N/A</v>
      </c>
      <c r="CY52" s="87" t="e">
        <f>VLOOKUP($B52,Raw_Data[#All],CY$2,0)/CY$1</f>
        <v>#N/A</v>
      </c>
      <c r="CZ52" s="87" t="e">
        <f>VLOOKUP($B52,Raw_Data[#All],CZ$2,0)/CZ$1</f>
        <v>#N/A</v>
      </c>
      <c r="DA52" s="87" t="e">
        <f>VLOOKUP($B52,Raw_Data[#All],DA$2,0)/DA$1</f>
        <v>#N/A</v>
      </c>
      <c r="DB52" s="87" t="e">
        <f>VLOOKUP($B52,Raw_Data[#All],DB$2,0)/DB$1</f>
        <v>#N/A</v>
      </c>
      <c r="DC52" s="87" t="e">
        <f>VLOOKUP($B52,Raw_Data[#All],DC$2,0)/DC$1</f>
        <v>#N/A</v>
      </c>
      <c r="DD52" s="87" t="e">
        <f>VLOOKUP($B52,Raw_Data[#All],DD$2,0)/DD$1</f>
        <v>#N/A</v>
      </c>
      <c r="DE52" s="87" t="e">
        <f>VLOOKUP($B52,Raw_Data[#All],DE$2,0)/DE$1</f>
        <v>#N/A</v>
      </c>
      <c r="DF52" s="87" t="e">
        <f>VLOOKUP($B52,Raw_Data[#All],DF$2,0)/DF$1</f>
        <v>#N/A</v>
      </c>
      <c r="DG52" s="87" t="e">
        <f>VLOOKUP($B52,Raw_Data[#All],DG$2,0)/DG$1</f>
        <v>#N/A</v>
      </c>
      <c r="DH52" s="87" t="e">
        <f>VLOOKUP($B52,Raw_Data[#All],DH$2,0)/DH$1</f>
        <v>#N/A</v>
      </c>
      <c r="DI52" s="87" t="e">
        <f>VLOOKUP($B52,Raw_Data[#All],DI$2,0)/DI$1</f>
        <v>#N/A</v>
      </c>
      <c r="DJ52" s="87" t="e">
        <f>VLOOKUP($B52,Raw_Data[#All],DJ$2,0)/DJ$1</f>
        <v>#N/A</v>
      </c>
      <c r="DK52" s="87" t="e">
        <f>VLOOKUP($B52,Raw_Data[#All],DK$2,0)/DK$1</f>
        <v>#N/A</v>
      </c>
      <c r="DL52" s="87" t="e">
        <f>VLOOKUP($B52,Raw_Data[#All],DL$2,0)/DL$1</f>
        <v>#N/A</v>
      </c>
      <c r="DM52" s="87" t="e">
        <f>VLOOKUP($B52,Raw_Data[#All],DM$2,0)/DM$1</f>
        <v>#N/A</v>
      </c>
      <c r="DN52" s="87" t="e">
        <f>VLOOKUP($B52,Raw_Data[#All],DN$2,0)/DN$1</f>
        <v>#N/A</v>
      </c>
      <c r="DO52" s="87" t="e">
        <f>VLOOKUP($B52,Raw_Data[#All],DO$2,0)/DO$1</f>
        <v>#N/A</v>
      </c>
      <c r="DP52" s="87" t="e">
        <f>VLOOKUP($B52,Raw_Data[#All],DP$2,0)/DP$1</f>
        <v>#N/A</v>
      </c>
      <c r="DQ52" s="87" t="e">
        <f>VLOOKUP($B52,Raw_Data[#All],DQ$2,0)/DQ$1</f>
        <v>#N/A</v>
      </c>
      <c r="DR52" s="87" t="e">
        <f>VLOOKUP($B52,Raw_Data[#All],DR$2,0)/DR$1</f>
        <v>#N/A</v>
      </c>
      <c r="DS52" s="87" t="e">
        <f>VLOOKUP($B52,Raw_Data[#All],DS$2,0)/DS$1</f>
        <v>#N/A</v>
      </c>
      <c r="DT52" s="87" t="e">
        <f>VLOOKUP($B52,Raw_Data[#All],DT$2,0)/DT$1</f>
        <v>#N/A</v>
      </c>
      <c r="DU52" s="87" t="e">
        <f>VLOOKUP($B52,Raw_Data[#All],DU$2,0)/DU$1</f>
        <v>#N/A</v>
      </c>
      <c r="DV52" s="87" t="e">
        <f>VLOOKUP($B52,Raw_Data[#All],DV$2,0)/DV$1</f>
        <v>#N/A</v>
      </c>
      <c r="DW52" s="87" t="e">
        <f>VLOOKUP($B52,Raw_Data[#All],DW$2,0)/DW$1</f>
        <v>#N/A</v>
      </c>
      <c r="DX52" s="87" t="e">
        <f>VLOOKUP($B52,Raw_Data[#All],DX$2,0)/DX$1</f>
        <v>#N/A</v>
      </c>
      <c r="DY52" s="87" t="e">
        <f>VLOOKUP($B52,Raw_Data[#All],DY$2,0)/DY$1</f>
        <v>#N/A</v>
      </c>
      <c r="DZ52" s="87" t="e">
        <f>VLOOKUP($B52,Raw_Data[#All],DZ$2,0)/DZ$1</f>
        <v>#N/A</v>
      </c>
      <c r="EA52" s="87" t="e">
        <f>VLOOKUP($B52,Raw_Data[#All],EA$2,0)/EA$1</f>
        <v>#N/A</v>
      </c>
      <c r="EB52" s="87" t="e">
        <f>VLOOKUP($B52,Raw_Data[#All],EB$2,0)/EB$1</f>
        <v>#N/A</v>
      </c>
      <c r="EC52" s="87" t="e">
        <f>VLOOKUP($B52,Raw_Data[#All],EC$2,0)/EC$1</f>
        <v>#N/A</v>
      </c>
      <c r="ED52" s="87" t="e">
        <f>VLOOKUP($B52,Raw_Data[#All],ED$2,0)/ED$1</f>
        <v>#N/A</v>
      </c>
      <c r="EE52" s="87" t="e">
        <f>VLOOKUP($B52,Raw_Data[#All],EE$2,0)/EE$1</f>
        <v>#N/A</v>
      </c>
      <c r="EF52" s="87" t="e">
        <f>VLOOKUP($B52,Raw_Data[#All],EF$2,0)/EF$1</f>
        <v>#N/A</v>
      </c>
      <c r="EG52" s="87" t="e">
        <f>VLOOKUP($B52,Raw_Data[#All],EG$2,0)/EG$1</f>
        <v>#N/A</v>
      </c>
      <c r="EH52" s="87" t="e">
        <f>VLOOKUP($B52,Raw_Data[#All],EH$2,0)/EH$1</f>
        <v>#N/A</v>
      </c>
      <c r="EI52" s="87" t="e">
        <f>VLOOKUP($B52,Raw_Data[#All],EI$2,0)/EI$1</f>
        <v>#N/A</v>
      </c>
      <c r="EJ52" s="87" t="e">
        <f>VLOOKUP($B52,Raw_Data[#All],EJ$2,0)/EJ$1</f>
        <v>#N/A</v>
      </c>
      <c r="EK52" s="87" t="e">
        <f>VLOOKUP($B52,Raw_Data[#All],EK$2,0)/EK$1</f>
        <v>#N/A</v>
      </c>
      <c r="EL52" s="87" t="e">
        <f>VLOOKUP($B52,Raw_Data[#All],EL$2,0)/EL$1</f>
        <v>#N/A</v>
      </c>
      <c r="EM52" s="87" t="e">
        <f>VLOOKUP($B52,Raw_Data[#All],EM$2,0)/EM$1</f>
        <v>#N/A</v>
      </c>
      <c r="EN52" s="87" t="e">
        <f>VLOOKUP($B52,Raw_Data[#All],EN$2,0)/EN$1</f>
        <v>#N/A</v>
      </c>
      <c r="EO52" s="87" t="e">
        <f>VLOOKUP($B52,Raw_Data[#All],EO$2,0)/EO$1</f>
        <v>#N/A</v>
      </c>
      <c r="EP52" s="87" t="e">
        <f>VLOOKUP($B52,Raw_Data[#All],EP$2,0)/EP$1</f>
        <v>#N/A</v>
      </c>
      <c r="EQ52" s="87" t="e">
        <f>VLOOKUP($B52,Raw_Data[#All],EQ$2,0)/EQ$1</f>
        <v>#N/A</v>
      </c>
      <c r="ER52" s="87" t="e">
        <f>VLOOKUP($B52,Raw_Data[#All],ER$2,0)/ER$1</f>
        <v>#N/A</v>
      </c>
      <c r="ES52" s="87" t="e">
        <f>VLOOKUP($B52,Raw_Data[#All],ES$2,0)/ES$1</f>
        <v>#N/A</v>
      </c>
      <c r="ET52" s="87" t="e">
        <f>VLOOKUP($B52,Raw_Data[#All],ET$2,0)/ET$1</f>
        <v>#N/A</v>
      </c>
      <c r="EU52" s="87" t="e">
        <f>VLOOKUP($B52,Raw_Data[#All],EU$2,0)/EU$1</f>
        <v>#N/A</v>
      </c>
      <c r="EV52" s="87" t="e">
        <f>VLOOKUP($B52,Raw_Data[#All],EV$2,0)/EV$1</f>
        <v>#N/A</v>
      </c>
      <c r="EW52" s="87" t="e">
        <f>VLOOKUP($B52,Raw_Data[#All],EW$2,0)/EW$1</f>
        <v>#N/A</v>
      </c>
      <c r="EX52" s="87" t="e">
        <f>VLOOKUP($B52,Raw_Data[#All],EX$2,0)/EX$1</f>
        <v>#N/A</v>
      </c>
      <c r="EY52" s="87" t="e">
        <f>VLOOKUP($B52,Raw_Data[#All],EY$2,0)/EY$1</f>
        <v>#N/A</v>
      </c>
      <c r="EZ52" s="87" t="e">
        <f>VLOOKUP($B52,Raw_Data[#All],EZ$2,0)/EZ$1</f>
        <v>#N/A</v>
      </c>
      <c r="FA52" s="87" t="e">
        <f>VLOOKUP($B52,Raw_Data[#All],FA$2,0)/FA$1</f>
        <v>#N/A</v>
      </c>
      <c r="FB52" s="87" t="e">
        <f>VLOOKUP($B52,Raw_Data[#All],FB$2,0)/FB$1</f>
        <v>#N/A</v>
      </c>
      <c r="FC52" s="87" t="e">
        <f>VLOOKUP($B52,Raw_Data[#All],FC$2,0)/FC$1</f>
        <v>#N/A</v>
      </c>
      <c r="FD52" s="87" t="e">
        <f>VLOOKUP($B52,Raw_Data[#All],FD$2,0)/FD$1</f>
        <v>#N/A</v>
      </c>
      <c r="FE52" s="87" t="e">
        <f>VLOOKUP($B52,Raw_Data[#All],FE$2,0)/FE$1</f>
        <v>#N/A</v>
      </c>
      <c r="FF52" s="87" t="e">
        <f>VLOOKUP($B52,Raw_Data[#All],FF$2,0)/FF$1</f>
        <v>#N/A</v>
      </c>
      <c r="FG52" s="105" t="e">
        <f>VLOOKUP($B52,Raw_Data[#All],FG$2,0)/FG$1</f>
        <v>#N/A</v>
      </c>
    </row>
    <row r="53" spans="2:163">
      <c r="B53" s="106">
        <f t="shared" si="1"/>
        <v>45876</v>
      </c>
      <c r="C53" s="87" t="e">
        <f>VLOOKUP($B53,Raw_Data[#All],C$2,0)/C$1</f>
        <v>#N/A</v>
      </c>
      <c r="D53" s="87" t="e">
        <f>VLOOKUP($B53,Raw_Data[#All],D$2,0)/D$1</f>
        <v>#N/A</v>
      </c>
      <c r="E53" s="87" t="e">
        <f>VLOOKUP($B53,Raw_Data[#All],E$2,0)/E$1</f>
        <v>#N/A</v>
      </c>
      <c r="F53" s="87" t="e">
        <f>VLOOKUP($B53,Raw_Data[#All],F$2,0)/F$1</f>
        <v>#N/A</v>
      </c>
      <c r="G53" s="87" t="e">
        <f>VLOOKUP($B53,Raw_Data[#All],G$2,0)/G$1</f>
        <v>#N/A</v>
      </c>
      <c r="H53" s="87" t="e">
        <f>VLOOKUP($B53,Raw_Data[#All],H$2,0)/H$1</f>
        <v>#N/A</v>
      </c>
      <c r="I53" s="87" t="e">
        <f>VLOOKUP($B53,Raw_Data[#All],I$2,0)/I$1</f>
        <v>#N/A</v>
      </c>
      <c r="J53" s="87" t="e">
        <f>VLOOKUP($B53,Raw_Data[#All],J$2,0)/J$1</f>
        <v>#N/A</v>
      </c>
      <c r="K53" s="87" t="e">
        <f>VLOOKUP($B53,Raw_Data[#All],K$2,0)/K$1</f>
        <v>#N/A</v>
      </c>
      <c r="L53" s="87" t="e">
        <f>VLOOKUP($B53,Raw_Data[#All],L$2,0)/L$1</f>
        <v>#N/A</v>
      </c>
      <c r="M53" s="87" t="e">
        <f>VLOOKUP($B53,Raw_Data[#All],M$2,0)/M$1</f>
        <v>#N/A</v>
      </c>
      <c r="N53" s="87" t="e">
        <f>VLOOKUP($B53,Raw_Data[#All],N$2,0)/N$1</f>
        <v>#N/A</v>
      </c>
      <c r="O53" s="87" t="e">
        <f>VLOOKUP($B53,Raw_Data[#All],O$2,0)/O$1</f>
        <v>#N/A</v>
      </c>
      <c r="P53" s="87" t="e">
        <f>VLOOKUP($B53,Raw_Data[#All],P$2,0)/P$1</f>
        <v>#N/A</v>
      </c>
      <c r="Q53" s="87" t="e">
        <f>VLOOKUP($B53,Raw_Data[#All],Q$2,0)/Q$1</f>
        <v>#N/A</v>
      </c>
      <c r="R53" s="87" t="e">
        <f>VLOOKUP($B53,Raw_Data[#All],R$2,0)/R$1</f>
        <v>#N/A</v>
      </c>
      <c r="S53" s="87" t="e">
        <f>VLOOKUP($B53,Raw_Data[#All],S$2,0)/S$1</f>
        <v>#N/A</v>
      </c>
      <c r="T53" s="87" t="e">
        <f>VLOOKUP($B53,Raw_Data[#All],T$2,0)/T$1</f>
        <v>#N/A</v>
      </c>
      <c r="U53" s="87" t="e">
        <f>VLOOKUP($B53,Raw_Data[#All],U$2,0)/U$1</f>
        <v>#N/A</v>
      </c>
      <c r="V53" s="87" t="e">
        <f>VLOOKUP($B53,Raw_Data[#All],V$2,0)/V$1</f>
        <v>#N/A</v>
      </c>
      <c r="W53" s="87" t="e">
        <f>VLOOKUP($B53,Raw_Data[#All],W$2,0)/W$1</f>
        <v>#N/A</v>
      </c>
      <c r="X53" s="87" t="e">
        <f>VLOOKUP($B53,Raw_Data[#All],X$2,0)/X$1</f>
        <v>#N/A</v>
      </c>
      <c r="Y53" s="87" t="e">
        <f>VLOOKUP($B53,Raw_Data[#All],Y$2,0)/Y$1</f>
        <v>#N/A</v>
      </c>
      <c r="Z53" s="87" t="e">
        <f>VLOOKUP($B53,Raw_Data[#All],Z$2,0)/Z$1</f>
        <v>#N/A</v>
      </c>
      <c r="AA53" s="87" t="e">
        <f>VLOOKUP($B53,Raw_Data[#All],AA$2,0)/AA$1</f>
        <v>#N/A</v>
      </c>
      <c r="AB53" s="87" t="e">
        <f>VLOOKUP($B53,Raw_Data[#All],AB$2,0)/AB$1</f>
        <v>#N/A</v>
      </c>
      <c r="AC53" s="87" t="e">
        <f>VLOOKUP($B53,Raw_Data[#All],AC$2,0)/AC$1</f>
        <v>#N/A</v>
      </c>
      <c r="AD53" s="87" t="e">
        <f>VLOOKUP($B53,Raw_Data[#All],AD$2,0)/AD$1</f>
        <v>#N/A</v>
      </c>
      <c r="AE53" s="87" t="e">
        <f>VLOOKUP($B53,Raw_Data[#All],AE$2,0)/AE$1</f>
        <v>#N/A</v>
      </c>
      <c r="AF53" s="87" t="e">
        <f>VLOOKUP($B53,Raw_Data[#All],AF$2,0)/AF$1</f>
        <v>#N/A</v>
      </c>
      <c r="AG53" s="87" t="e">
        <f>VLOOKUP($B53,Raw_Data[#All],AG$2,0)/AG$1</f>
        <v>#N/A</v>
      </c>
      <c r="AH53" s="87" t="e">
        <f>VLOOKUP($B53,Raw_Data[#All],AH$2,0)/AH$1</f>
        <v>#N/A</v>
      </c>
      <c r="AI53" s="87" t="e">
        <f>VLOOKUP($B53,Raw_Data[#All],AI$2,0)/AI$1</f>
        <v>#N/A</v>
      </c>
      <c r="AJ53" s="87" t="e">
        <f>VLOOKUP($B53,Raw_Data[#All],AJ$2,0)/AJ$1</f>
        <v>#N/A</v>
      </c>
      <c r="AK53" s="87" t="e">
        <f>VLOOKUP($B53,Raw_Data[#All],AK$2,0)/AK$1</f>
        <v>#N/A</v>
      </c>
      <c r="AL53" s="87" t="e">
        <f>VLOOKUP($B53,Raw_Data[#All],AL$2,0)/AL$1</f>
        <v>#N/A</v>
      </c>
      <c r="AM53" s="87" t="e">
        <f>VLOOKUP($B53,Raw_Data[#All],AM$2,0)/AM$1</f>
        <v>#N/A</v>
      </c>
      <c r="AN53" s="87" t="e">
        <f>VLOOKUP($B53,Raw_Data[#All],AN$2,0)/AN$1</f>
        <v>#N/A</v>
      </c>
      <c r="AO53" s="87" t="e">
        <f>VLOOKUP($B53,Raw_Data[#All],AO$2,0)/AO$1</f>
        <v>#N/A</v>
      </c>
      <c r="AP53" s="87" t="e">
        <f>VLOOKUP($B53,Raw_Data[#All],AP$2,0)/AP$1</f>
        <v>#N/A</v>
      </c>
      <c r="AQ53" s="87" t="e">
        <f>VLOOKUP($B53,Raw_Data[#All],AQ$2,0)/AQ$1</f>
        <v>#N/A</v>
      </c>
      <c r="AR53" s="87" t="e">
        <f>VLOOKUP($B53,Raw_Data[#All],AR$2,0)/AR$1</f>
        <v>#N/A</v>
      </c>
      <c r="AS53" s="87" t="e">
        <f>VLOOKUP($B53,Raw_Data[#All],AS$2,0)/AS$1</f>
        <v>#N/A</v>
      </c>
      <c r="AT53" s="87" t="e">
        <f>VLOOKUP($B53,Raw_Data[#All],AT$2,0)/AT$1</f>
        <v>#N/A</v>
      </c>
      <c r="AU53" s="87" t="e">
        <f>VLOOKUP($B53,Raw_Data[#All],AU$2,0)/AU$1</f>
        <v>#N/A</v>
      </c>
      <c r="AV53" s="87" t="e">
        <f>VLOOKUP($B53,Raw_Data[#All],AV$2,0)/AV$1</f>
        <v>#N/A</v>
      </c>
      <c r="AW53" s="87" t="e">
        <f>VLOOKUP($B53,Raw_Data[#All],AW$2,0)/AW$1</f>
        <v>#N/A</v>
      </c>
      <c r="AX53" s="87" t="e">
        <f>VLOOKUP($B53,Raw_Data[#All],AX$2,0)/AX$1</f>
        <v>#N/A</v>
      </c>
      <c r="AY53" s="87" t="e">
        <f>VLOOKUP($B53,Raw_Data[#All],AY$2,0)/AY$1</f>
        <v>#N/A</v>
      </c>
      <c r="AZ53" s="87" t="e">
        <f>VLOOKUP($B53,Raw_Data[#All],AZ$2,0)/AZ$1</f>
        <v>#N/A</v>
      </c>
      <c r="BA53" s="87" t="e">
        <f>VLOOKUP($B53,Raw_Data[#All],BA$2,0)/BA$1</f>
        <v>#N/A</v>
      </c>
      <c r="BB53" s="87" t="e">
        <f>VLOOKUP($B53,Raw_Data[#All],BB$2,0)/BB$1</f>
        <v>#N/A</v>
      </c>
      <c r="BC53" s="87" t="e">
        <f>VLOOKUP($B53,Raw_Data[#All],BC$2,0)/BC$1</f>
        <v>#N/A</v>
      </c>
      <c r="BD53" s="87" t="e">
        <f>VLOOKUP($B53,Raw_Data[#All],BD$2,0)/BD$1</f>
        <v>#N/A</v>
      </c>
      <c r="BE53" s="87" t="e">
        <f>VLOOKUP($B53,Raw_Data[#All],BE$2,0)/BE$1</f>
        <v>#N/A</v>
      </c>
      <c r="BF53" s="87" t="e">
        <f>VLOOKUP($B53,Raw_Data[#All],BF$2,0)/BF$1</f>
        <v>#N/A</v>
      </c>
      <c r="BG53" s="87" t="e">
        <f>VLOOKUP($B53,Raw_Data[#All],BG$2,0)/BG$1</f>
        <v>#N/A</v>
      </c>
      <c r="BH53" s="87" t="e">
        <f>VLOOKUP($B53,Raw_Data[#All],BH$2,0)/BH$1</f>
        <v>#N/A</v>
      </c>
      <c r="BI53" s="87" t="e">
        <f>VLOOKUP($B53,Raw_Data[#All],BI$2,0)/BI$1</f>
        <v>#N/A</v>
      </c>
      <c r="BJ53" s="87" t="e">
        <f>VLOOKUP($B53,Raw_Data[#All],BJ$2,0)/BJ$1</f>
        <v>#N/A</v>
      </c>
      <c r="BK53" s="87" t="e">
        <f>VLOOKUP($B53,Raw_Data[#All],BK$2,0)/BK$1</f>
        <v>#N/A</v>
      </c>
      <c r="BL53" s="87" t="e">
        <f>VLOOKUP($B53,Raw_Data[#All],BL$2,0)/BL$1</f>
        <v>#N/A</v>
      </c>
      <c r="BM53" s="87" t="e">
        <f>VLOOKUP($B53,Raw_Data[#All],BM$2,0)/BM$1</f>
        <v>#N/A</v>
      </c>
      <c r="BN53" s="87" t="e">
        <f>VLOOKUP($B53,Raw_Data[#All],BN$2,0)/BN$1</f>
        <v>#N/A</v>
      </c>
      <c r="BO53" s="87" t="e">
        <f>VLOOKUP($B53,Raw_Data[#All],BO$2,0)/BO$1</f>
        <v>#N/A</v>
      </c>
      <c r="BP53" s="87" t="e">
        <f>VLOOKUP($B53,Raw_Data[#All],BP$2,0)/BP$1</f>
        <v>#N/A</v>
      </c>
      <c r="BQ53" s="87" t="e">
        <f>VLOOKUP($B53,Raw_Data[#All],BQ$2,0)/BQ$1</f>
        <v>#N/A</v>
      </c>
      <c r="BR53" s="87" t="e">
        <f>VLOOKUP($B53,Raw_Data[#All],BR$2,0)/BR$1</f>
        <v>#N/A</v>
      </c>
      <c r="BS53" s="87" t="e">
        <f>VLOOKUP($B53,Raw_Data[#All],BS$2,0)/BS$1</f>
        <v>#N/A</v>
      </c>
      <c r="BT53" s="87" t="e">
        <f>VLOOKUP($B53,Raw_Data[#All],BT$2,0)/BT$1</f>
        <v>#N/A</v>
      </c>
      <c r="BU53" s="87" t="e">
        <f>VLOOKUP($B53,Raw_Data[#All],BU$2,0)/BU$1</f>
        <v>#N/A</v>
      </c>
      <c r="BV53" s="87" t="e">
        <f>VLOOKUP($B53,Raw_Data[#All],BV$2,0)/BV$1</f>
        <v>#N/A</v>
      </c>
      <c r="BW53" s="87" t="e">
        <f>VLOOKUP($B53,Raw_Data[#All],BW$2,0)/BW$1</f>
        <v>#N/A</v>
      </c>
      <c r="BX53" s="87" t="e">
        <f>VLOOKUP($B53,Raw_Data[#All],BX$2,0)/BX$1</f>
        <v>#N/A</v>
      </c>
      <c r="BY53" s="87" t="e">
        <f>VLOOKUP($B53,Raw_Data[#All],BY$2,0)/BY$1</f>
        <v>#N/A</v>
      </c>
      <c r="BZ53" s="87" t="e">
        <f>VLOOKUP($B53,Raw_Data[#All],BZ$2,0)/BZ$1</f>
        <v>#N/A</v>
      </c>
      <c r="CA53" s="87" t="e">
        <f>VLOOKUP($B53,Raw_Data[#All],CA$2,0)/CA$1</f>
        <v>#N/A</v>
      </c>
      <c r="CB53" s="87" t="e">
        <f>VLOOKUP($B53,Raw_Data[#All],CB$2,0)/CB$1</f>
        <v>#N/A</v>
      </c>
      <c r="CC53" s="87" t="e">
        <f>VLOOKUP($B53,Raw_Data[#All],CC$2,0)/CC$1</f>
        <v>#N/A</v>
      </c>
      <c r="CD53" s="87" t="e">
        <f>VLOOKUP($B53,Raw_Data[#All],CD$2,0)/CD$1</f>
        <v>#N/A</v>
      </c>
      <c r="CE53" s="87" t="e">
        <f>VLOOKUP($B53,Raw_Data[#All],CE$2,0)/CE$1</f>
        <v>#N/A</v>
      </c>
      <c r="CF53" s="87" t="e">
        <f>VLOOKUP($B53,Raw_Data[#All],CF$2,0)/CF$1</f>
        <v>#N/A</v>
      </c>
      <c r="CG53" s="87" t="e">
        <f>VLOOKUP($B53,Raw_Data[#All],CG$2,0)/CG$1</f>
        <v>#N/A</v>
      </c>
      <c r="CH53" s="87" t="e">
        <f>VLOOKUP($B53,Raw_Data[#All],CH$2,0)/CH$1</f>
        <v>#N/A</v>
      </c>
      <c r="CI53" s="87" t="e">
        <f>VLOOKUP($B53,Raw_Data[#All],CI$2,0)/CI$1</f>
        <v>#N/A</v>
      </c>
      <c r="CJ53" s="87" t="e">
        <f>VLOOKUP($B53,Raw_Data[#All],CJ$2,0)/CJ$1</f>
        <v>#N/A</v>
      </c>
      <c r="CK53" s="87" t="e">
        <f>VLOOKUP($B53,Raw_Data[#All],CK$2,0)/CK$1</f>
        <v>#N/A</v>
      </c>
      <c r="CL53" s="87" t="e">
        <f>VLOOKUP($B53,Raw_Data[#All],CL$2,0)/CL$1</f>
        <v>#N/A</v>
      </c>
      <c r="CM53" s="87" t="e">
        <f>VLOOKUP($B53,Raw_Data[#All],CM$2,0)/CM$1</f>
        <v>#N/A</v>
      </c>
      <c r="CN53" s="87" t="e">
        <f>VLOOKUP($B53,Raw_Data[#All],CN$2,0)/CN$1</f>
        <v>#N/A</v>
      </c>
      <c r="CO53" s="87" t="e">
        <f>VLOOKUP($B53,Raw_Data[#All],CO$2,0)/CO$1</f>
        <v>#N/A</v>
      </c>
      <c r="CP53" s="87" t="e">
        <f>VLOOKUP($B53,Raw_Data[#All],CP$2,0)/CP$1</f>
        <v>#N/A</v>
      </c>
      <c r="CQ53" s="87" t="e">
        <f>VLOOKUP($B53,Raw_Data[#All],CQ$2,0)/CQ$1</f>
        <v>#N/A</v>
      </c>
      <c r="CR53" s="87" t="e">
        <f>VLOOKUP($B53,Raw_Data[#All],CR$2,0)/CR$1</f>
        <v>#N/A</v>
      </c>
      <c r="CS53" s="87" t="e">
        <f>VLOOKUP($B53,Raw_Data[#All],CS$2,0)/CS$1</f>
        <v>#N/A</v>
      </c>
      <c r="CT53" s="87" t="e">
        <f>VLOOKUP($B53,Raw_Data[#All],CT$2,0)/CT$1</f>
        <v>#N/A</v>
      </c>
      <c r="CU53" s="87" t="e">
        <f>VLOOKUP($B53,Raw_Data[#All],CU$2,0)/CU$1</f>
        <v>#N/A</v>
      </c>
      <c r="CV53" s="87" t="e">
        <f>VLOOKUP($B53,Raw_Data[#All],CV$2,0)/CV$1</f>
        <v>#N/A</v>
      </c>
      <c r="CW53" s="87" t="e">
        <f>VLOOKUP($B53,Raw_Data[#All],CW$2,0)/CW$1</f>
        <v>#N/A</v>
      </c>
      <c r="CX53" s="87" t="e">
        <f>VLOOKUP($B53,Raw_Data[#All],CX$2,0)/CX$1</f>
        <v>#N/A</v>
      </c>
      <c r="CY53" s="87" t="e">
        <f>VLOOKUP($B53,Raw_Data[#All],CY$2,0)/CY$1</f>
        <v>#N/A</v>
      </c>
      <c r="CZ53" s="87" t="e">
        <f>VLOOKUP($B53,Raw_Data[#All],CZ$2,0)/CZ$1</f>
        <v>#N/A</v>
      </c>
      <c r="DA53" s="87" t="e">
        <f>VLOOKUP($B53,Raw_Data[#All],DA$2,0)/DA$1</f>
        <v>#N/A</v>
      </c>
      <c r="DB53" s="87" t="e">
        <f>VLOOKUP($B53,Raw_Data[#All],DB$2,0)/DB$1</f>
        <v>#N/A</v>
      </c>
      <c r="DC53" s="87" t="e">
        <f>VLOOKUP($B53,Raw_Data[#All],DC$2,0)/DC$1</f>
        <v>#N/A</v>
      </c>
      <c r="DD53" s="87" t="e">
        <f>VLOOKUP($B53,Raw_Data[#All],DD$2,0)/DD$1</f>
        <v>#N/A</v>
      </c>
      <c r="DE53" s="87" t="e">
        <f>VLOOKUP($B53,Raw_Data[#All],DE$2,0)/DE$1</f>
        <v>#N/A</v>
      </c>
      <c r="DF53" s="87" t="e">
        <f>VLOOKUP($B53,Raw_Data[#All],DF$2,0)/DF$1</f>
        <v>#N/A</v>
      </c>
      <c r="DG53" s="87" t="e">
        <f>VLOOKUP($B53,Raw_Data[#All],DG$2,0)/DG$1</f>
        <v>#N/A</v>
      </c>
      <c r="DH53" s="87" t="e">
        <f>VLOOKUP($B53,Raw_Data[#All],DH$2,0)/DH$1</f>
        <v>#N/A</v>
      </c>
      <c r="DI53" s="87" t="e">
        <f>VLOOKUP($B53,Raw_Data[#All],DI$2,0)/DI$1</f>
        <v>#N/A</v>
      </c>
      <c r="DJ53" s="87" t="e">
        <f>VLOOKUP($B53,Raw_Data[#All],DJ$2,0)/DJ$1</f>
        <v>#N/A</v>
      </c>
      <c r="DK53" s="87" t="e">
        <f>VLOOKUP($B53,Raw_Data[#All],DK$2,0)/DK$1</f>
        <v>#N/A</v>
      </c>
      <c r="DL53" s="87" t="e">
        <f>VLOOKUP($B53,Raw_Data[#All],DL$2,0)/DL$1</f>
        <v>#N/A</v>
      </c>
      <c r="DM53" s="87" t="e">
        <f>VLOOKUP($B53,Raw_Data[#All],DM$2,0)/DM$1</f>
        <v>#N/A</v>
      </c>
      <c r="DN53" s="87" t="e">
        <f>VLOOKUP($B53,Raw_Data[#All],DN$2,0)/DN$1</f>
        <v>#N/A</v>
      </c>
      <c r="DO53" s="87" t="e">
        <f>VLOOKUP($B53,Raw_Data[#All],DO$2,0)/DO$1</f>
        <v>#N/A</v>
      </c>
      <c r="DP53" s="87" t="e">
        <f>VLOOKUP($B53,Raw_Data[#All],DP$2,0)/DP$1</f>
        <v>#N/A</v>
      </c>
      <c r="DQ53" s="87" t="e">
        <f>VLOOKUP($B53,Raw_Data[#All],DQ$2,0)/DQ$1</f>
        <v>#N/A</v>
      </c>
      <c r="DR53" s="87" t="e">
        <f>VLOOKUP($B53,Raw_Data[#All],DR$2,0)/DR$1</f>
        <v>#N/A</v>
      </c>
      <c r="DS53" s="87" t="e">
        <f>VLOOKUP($B53,Raw_Data[#All],DS$2,0)/DS$1</f>
        <v>#N/A</v>
      </c>
      <c r="DT53" s="87" t="e">
        <f>VLOOKUP($B53,Raw_Data[#All],DT$2,0)/DT$1</f>
        <v>#N/A</v>
      </c>
      <c r="DU53" s="87" t="e">
        <f>VLOOKUP($B53,Raw_Data[#All],DU$2,0)/DU$1</f>
        <v>#N/A</v>
      </c>
      <c r="DV53" s="87" t="e">
        <f>VLOOKUP($B53,Raw_Data[#All],DV$2,0)/DV$1</f>
        <v>#N/A</v>
      </c>
      <c r="DW53" s="87" t="e">
        <f>VLOOKUP($B53,Raw_Data[#All],DW$2,0)/DW$1</f>
        <v>#N/A</v>
      </c>
      <c r="DX53" s="87" t="e">
        <f>VLOOKUP($B53,Raw_Data[#All],DX$2,0)/DX$1</f>
        <v>#N/A</v>
      </c>
      <c r="DY53" s="87" t="e">
        <f>VLOOKUP($B53,Raw_Data[#All],DY$2,0)/DY$1</f>
        <v>#N/A</v>
      </c>
      <c r="DZ53" s="87" t="e">
        <f>VLOOKUP($B53,Raw_Data[#All],DZ$2,0)/DZ$1</f>
        <v>#N/A</v>
      </c>
      <c r="EA53" s="87" t="e">
        <f>VLOOKUP($B53,Raw_Data[#All],EA$2,0)/EA$1</f>
        <v>#N/A</v>
      </c>
      <c r="EB53" s="87" t="e">
        <f>VLOOKUP($B53,Raw_Data[#All],EB$2,0)/EB$1</f>
        <v>#N/A</v>
      </c>
      <c r="EC53" s="87" t="e">
        <f>VLOOKUP($B53,Raw_Data[#All],EC$2,0)/EC$1</f>
        <v>#N/A</v>
      </c>
      <c r="ED53" s="87" t="e">
        <f>VLOOKUP($B53,Raw_Data[#All],ED$2,0)/ED$1</f>
        <v>#N/A</v>
      </c>
      <c r="EE53" s="87" t="e">
        <f>VLOOKUP($B53,Raw_Data[#All],EE$2,0)/EE$1</f>
        <v>#N/A</v>
      </c>
      <c r="EF53" s="87" t="e">
        <f>VLOOKUP($B53,Raw_Data[#All],EF$2,0)/EF$1</f>
        <v>#N/A</v>
      </c>
      <c r="EG53" s="87" t="e">
        <f>VLOOKUP($B53,Raw_Data[#All],EG$2,0)/EG$1</f>
        <v>#N/A</v>
      </c>
      <c r="EH53" s="87" t="e">
        <f>VLOOKUP($B53,Raw_Data[#All],EH$2,0)/EH$1</f>
        <v>#N/A</v>
      </c>
      <c r="EI53" s="87" t="e">
        <f>VLOOKUP($B53,Raw_Data[#All],EI$2,0)/EI$1</f>
        <v>#N/A</v>
      </c>
      <c r="EJ53" s="87" t="e">
        <f>VLOOKUP($B53,Raw_Data[#All],EJ$2,0)/EJ$1</f>
        <v>#N/A</v>
      </c>
      <c r="EK53" s="87" t="e">
        <f>VLOOKUP($B53,Raw_Data[#All],EK$2,0)/EK$1</f>
        <v>#N/A</v>
      </c>
      <c r="EL53" s="87" t="e">
        <f>VLOOKUP($B53,Raw_Data[#All],EL$2,0)/EL$1</f>
        <v>#N/A</v>
      </c>
      <c r="EM53" s="87" t="e">
        <f>VLOOKUP($B53,Raw_Data[#All],EM$2,0)/EM$1</f>
        <v>#N/A</v>
      </c>
      <c r="EN53" s="87" t="e">
        <f>VLOOKUP($B53,Raw_Data[#All],EN$2,0)/EN$1</f>
        <v>#N/A</v>
      </c>
      <c r="EO53" s="87" t="e">
        <f>VLOOKUP($B53,Raw_Data[#All],EO$2,0)/EO$1</f>
        <v>#N/A</v>
      </c>
      <c r="EP53" s="87" t="e">
        <f>VLOOKUP($B53,Raw_Data[#All],EP$2,0)/EP$1</f>
        <v>#N/A</v>
      </c>
      <c r="EQ53" s="87" t="e">
        <f>VLOOKUP($B53,Raw_Data[#All],EQ$2,0)/EQ$1</f>
        <v>#N/A</v>
      </c>
      <c r="ER53" s="87" t="e">
        <f>VLOOKUP($B53,Raw_Data[#All],ER$2,0)/ER$1</f>
        <v>#N/A</v>
      </c>
      <c r="ES53" s="87" t="e">
        <f>VLOOKUP($B53,Raw_Data[#All],ES$2,0)/ES$1</f>
        <v>#N/A</v>
      </c>
      <c r="ET53" s="87" t="e">
        <f>VLOOKUP($B53,Raw_Data[#All],ET$2,0)/ET$1</f>
        <v>#N/A</v>
      </c>
      <c r="EU53" s="87" t="e">
        <f>VLOOKUP($B53,Raw_Data[#All],EU$2,0)/EU$1</f>
        <v>#N/A</v>
      </c>
      <c r="EV53" s="87" t="e">
        <f>VLOOKUP($B53,Raw_Data[#All],EV$2,0)/EV$1</f>
        <v>#N/A</v>
      </c>
      <c r="EW53" s="87" t="e">
        <f>VLOOKUP($B53,Raw_Data[#All],EW$2,0)/EW$1</f>
        <v>#N/A</v>
      </c>
      <c r="EX53" s="87" t="e">
        <f>VLOOKUP($B53,Raw_Data[#All],EX$2,0)/EX$1</f>
        <v>#N/A</v>
      </c>
      <c r="EY53" s="87" t="e">
        <f>VLOOKUP($B53,Raw_Data[#All],EY$2,0)/EY$1</f>
        <v>#N/A</v>
      </c>
      <c r="EZ53" s="87" t="e">
        <f>VLOOKUP($B53,Raw_Data[#All],EZ$2,0)/EZ$1</f>
        <v>#N/A</v>
      </c>
      <c r="FA53" s="87" t="e">
        <f>VLOOKUP($B53,Raw_Data[#All],FA$2,0)/FA$1</f>
        <v>#N/A</v>
      </c>
      <c r="FB53" s="87" t="e">
        <f>VLOOKUP($B53,Raw_Data[#All],FB$2,0)/FB$1</f>
        <v>#N/A</v>
      </c>
      <c r="FC53" s="87" t="e">
        <f>VLOOKUP($B53,Raw_Data[#All],FC$2,0)/FC$1</f>
        <v>#N/A</v>
      </c>
      <c r="FD53" s="87" t="e">
        <f>VLOOKUP($B53,Raw_Data[#All],FD$2,0)/FD$1</f>
        <v>#N/A</v>
      </c>
      <c r="FE53" s="87" t="e">
        <f>VLOOKUP($B53,Raw_Data[#All],FE$2,0)/FE$1</f>
        <v>#N/A</v>
      </c>
      <c r="FF53" s="87" t="e">
        <f>VLOOKUP($B53,Raw_Data[#All],FF$2,0)/FF$1</f>
        <v>#N/A</v>
      </c>
      <c r="FG53" s="105" t="e">
        <f>VLOOKUP($B53,Raw_Data[#All],FG$2,0)/FG$1</f>
        <v>#N/A</v>
      </c>
    </row>
    <row r="54" spans="2:163">
      <c r="B54" s="103"/>
    </row>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2B86D-4936-4ABD-AB84-128E77FC866D}">
  <dimension ref="A1:U31"/>
  <sheetViews>
    <sheetView workbookViewId="0">
      <pane xSplit="3" ySplit="1" topLeftCell="D2" activePane="bottomRight" state="frozen"/>
      <selection pane="topRight" activeCell="D1" sqref="D1"/>
      <selection pane="bottomLeft" activeCell="A2" sqref="A2"/>
      <selection pane="bottomRight" activeCell="A2" sqref="A2"/>
    </sheetView>
  </sheetViews>
  <sheetFormatPr defaultColWidth="8.81640625" defaultRowHeight="14.5"/>
  <cols>
    <col min="3" max="3" width="10" bestFit="1" customWidth="1"/>
    <col min="4" max="4" width="12.453125" customWidth="1"/>
    <col min="5" max="5" width="14" customWidth="1"/>
    <col min="6" max="6" width="17.453125" customWidth="1"/>
    <col min="7" max="7" width="12.81640625" customWidth="1"/>
    <col min="10" max="10" width="16.453125" customWidth="1"/>
    <col min="11" max="11" width="20.81640625" customWidth="1"/>
    <col min="12" max="12" width="23" customWidth="1"/>
    <col min="13" max="13" width="10.453125" customWidth="1"/>
    <col min="14" max="14" width="11.453125" customWidth="1"/>
    <col min="15" max="15" width="9.81640625" customWidth="1"/>
    <col min="16" max="16" width="23.1796875" customWidth="1"/>
    <col min="17" max="18" width="22.81640625" customWidth="1"/>
    <col min="19" max="19" width="58.453125" bestFit="1" customWidth="1"/>
    <col min="20" max="20" width="39.1796875" customWidth="1"/>
    <col min="21" max="21" width="27.1796875" customWidth="1"/>
  </cols>
  <sheetData>
    <row r="1" spans="1:21">
      <c r="A1" s="98" t="s">
        <v>2408</v>
      </c>
      <c r="B1" s="99" t="s">
        <v>505</v>
      </c>
      <c r="C1" s="99" t="s">
        <v>55</v>
      </c>
      <c r="D1" s="99" t="s">
        <v>2409</v>
      </c>
      <c r="E1" s="99" t="s">
        <v>2410</v>
      </c>
      <c r="F1" s="99" t="s">
        <v>2411</v>
      </c>
      <c r="G1" s="99" t="s">
        <v>2412</v>
      </c>
      <c r="H1" s="99" t="s">
        <v>2413</v>
      </c>
      <c r="I1" s="99" t="s">
        <v>2414</v>
      </c>
      <c r="J1" s="99" t="s">
        <v>2415</v>
      </c>
      <c r="K1" s="99" t="s">
        <v>2416</v>
      </c>
      <c r="L1" s="99" t="s">
        <v>2417</v>
      </c>
      <c r="M1" s="99" t="s">
        <v>2418</v>
      </c>
      <c r="N1" s="99" t="s">
        <v>2419</v>
      </c>
      <c r="O1" s="99" t="s">
        <v>2420</v>
      </c>
      <c r="P1" s="99" t="s">
        <v>2421</v>
      </c>
      <c r="Q1" s="99" t="s">
        <v>2422</v>
      </c>
      <c r="R1" s="99" t="s">
        <v>2423</v>
      </c>
      <c r="S1" s="99" t="s">
        <v>2424</v>
      </c>
      <c r="T1" s="99" t="s">
        <v>2425</v>
      </c>
      <c r="U1" s="100" t="s">
        <v>2426</v>
      </c>
    </row>
    <row r="2" spans="1:21">
      <c r="A2" s="96">
        <v>1</v>
      </c>
      <c r="B2" s="25" t="s">
        <v>2431</v>
      </c>
      <c r="C2" s="60">
        <v>45753</v>
      </c>
      <c r="D2" s="25" t="s">
        <v>2427</v>
      </c>
      <c r="E2" s="25" t="s">
        <v>2428</v>
      </c>
      <c r="F2" s="25" t="s">
        <v>2407</v>
      </c>
      <c r="G2" s="25"/>
      <c r="H2" s="61">
        <v>0.57916666666666672</v>
      </c>
      <c r="I2" s="61">
        <v>0.64027777777777772</v>
      </c>
      <c r="J2" s="61">
        <f>I2-H2</f>
        <v>6.1111111111111005E-2</v>
      </c>
      <c r="K2" s="61">
        <f>J2*24</f>
        <v>1.4666666666666641</v>
      </c>
      <c r="L2" s="25"/>
      <c r="M2" s="25">
        <v>1.36</v>
      </c>
      <c r="N2" s="34">
        <v>7.78</v>
      </c>
      <c r="O2" s="34">
        <f>(N2-M2)</f>
        <v>6.42</v>
      </c>
      <c r="P2" s="34">
        <v>50000</v>
      </c>
      <c r="Q2" s="171">
        <v>79.150000000000006</v>
      </c>
      <c r="R2" s="252">
        <f>(M2*P2*Q2)/100</f>
        <v>53822</v>
      </c>
      <c r="S2" s="172" t="s">
        <v>2432</v>
      </c>
      <c r="T2" s="25">
        <v>250</v>
      </c>
      <c r="U2" s="97">
        <v>200</v>
      </c>
    </row>
    <row r="3" spans="1:21">
      <c r="A3" s="96">
        <f>A2+1</f>
        <v>2</v>
      </c>
      <c r="B3" s="25" t="s">
        <v>2431</v>
      </c>
      <c r="C3" s="60">
        <v>45754</v>
      </c>
      <c r="D3" s="25" t="s">
        <v>2427</v>
      </c>
      <c r="E3" s="25" t="s">
        <v>2428</v>
      </c>
      <c r="F3" s="25" t="s">
        <v>2407</v>
      </c>
      <c r="G3" s="25"/>
      <c r="H3" s="61">
        <v>0.5444444444444444</v>
      </c>
      <c r="I3" s="61">
        <v>0.60069444444444442</v>
      </c>
      <c r="J3" s="61">
        <f t="shared" ref="J3:J4" si="0">I3-H3</f>
        <v>5.6250000000000022E-2</v>
      </c>
      <c r="K3" s="61">
        <f t="shared" ref="K3:K4" si="1">J3*24</f>
        <v>1.3500000000000005</v>
      </c>
      <c r="L3" s="25"/>
      <c r="M3" s="25">
        <v>1.36</v>
      </c>
      <c r="N3" s="34">
        <v>7.6</v>
      </c>
      <c r="O3" s="34">
        <f t="shared" ref="O3:O4" si="2">(N3-M3)</f>
        <v>6.2399999999999993</v>
      </c>
      <c r="P3" s="34">
        <v>100000</v>
      </c>
      <c r="Q3" s="171">
        <v>75.61</v>
      </c>
      <c r="R3" s="252">
        <f t="shared" ref="R3:R4" si="3">(M3*P3*Q3)/100</f>
        <v>102829.6</v>
      </c>
      <c r="S3" s="25" t="s">
        <v>2433</v>
      </c>
      <c r="T3" s="25">
        <v>250</v>
      </c>
      <c r="U3" s="97">
        <v>155</v>
      </c>
    </row>
    <row r="4" spans="1:21">
      <c r="A4" s="96">
        <f t="shared" ref="A4:A31" si="4">A3+1</f>
        <v>3</v>
      </c>
      <c r="B4" s="25" t="s">
        <v>2431</v>
      </c>
      <c r="C4" s="60">
        <v>45754</v>
      </c>
      <c r="D4" s="25" t="s">
        <v>2427</v>
      </c>
      <c r="E4" s="25" t="s">
        <v>2428</v>
      </c>
      <c r="F4" s="25" t="s">
        <v>2407</v>
      </c>
      <c r="G4" s="25"/>
      <c r="H4" s="61">
        <v>0.60138888888888886</v>
      </c>
      <c r="I4" s="61">
        <v>0.66666666666666663</v>
      </c>
      <c r="J4" s="61">
        <f t="shared" si="0"/>
        <v>6.5277777777777768E-2</v>
      </c>
      <c r="K4" s="61">
        <f t="shared" si="1"/>
        <v>1.5666666666666664</v>
      </c>
      <c r="L4" s="25"/>
      <c r="M4" s="25">
        <v>1.27</v>
      </c>
      <c r="N4" s="34">
        <v>7.6</v>
      </c>
      <c r="O4" s="34">
        <f t="shared" si="2"/>
        <v>6.33</v>
      </c>
      <c r="P4" s="34">
        <v>50000</v>
      </c>
      <c r="Q4" s="171">
        <v>75.61</v>
      </c>
      <c r="R4" s="252">
        <f t="shared" si="3"/>
        <v>48012.35</v>
      </c>
      <c r="S4" s="172" t="s">
        <v>2434</v>
      </c>
      <c r="T4" s="25">
        <v>250</v>
      </c>
      <c r="U4" s="97">
        <v>200</v>
      </c>
    </row>
    <row r="5" spans="1:21">
      <c r="A5" s="96">
        <f t="shared" si="4"/>
        <v>4</v>
      </c>
      <c r="B5" s="25" t="s">
        <v>2431</v>
      </c>
      <c r="C5" s="60">
        <v>45759</v>
      </c>
      <c r="D5" s="25" t="s">
        <v>2427</v>
      </c>
      <c r="E5" s="25" t="s">
        <v>2428</v>
      </c>
      <c r="F5" s="25" t="s">
        <v>2407</v>
      </c>
      <c r="G5" s="25"/>
      <c r="H5" s="61">
        <v>0.54791666666666672</v>
      </c>
      <c r="I5" s="61">
        <v>0.59652777777777777</v>
      </c>
      <c r="J5" s="61">
        <f>I5-H5</f>
        <v>4.8611111111111049E-2</v>
      </c>
      <c r="K5" s="61">
        <f>J5*24</f>
        <v>1.1666666666666652</v>
      </c>
      <c r="L5" s="25"/>
      <c r="M5" s="25">
        <v>1.17</v>
      </c>
      <c r="N5" s="34">
        <v>7.51</v>
      </c>
      <c r="O5" s="34">
        <f>(N5-M5)</f>
        <v>6.34</v>
      </c>
      <c r="P5" s="34">
        <v>50000</v>
      </c>
      <c r="Q5" s="171">
        <v>78.05</v>
      </c>
      <c r="R5" s="252">
        <f>(M5*P5*Q5)/100</f>
        <v>45659.25</v>
      </c>
      <c r="S5" s="172" t="s">
        <v>2435</v>
      </c>
      <c r="T5" s="25">
        <v>250</v>
      </c>
      <c r="U5" s="97">
        <v>200</v>
      </c>
    </row>
    <row r="6" spans="1:21">
      <c r="A6" s="96">
        <f t="shared" si="4"/>
        <v>5</v>
      </c>
      <c r="B6" s="25" t="s">
        <v>2431</v>
      </c>
      <c r="C6" s="60">
        <v>45765</v>
      </c>
      <c r="D6" s="25" t="s">
        <v>2427</v>
      </c>
      <c r="E6" s="25" t="s">
        <v>2428</v>
      </c>
      <c r="F6" s="25" t="s">
        <v>2407</v>
      </c>
      <c r="G6" s="25"/>
      <c r="H6" s="61">
        <v>0.53263888888888888</v>
      </c>
      <c r="I6" s="61">
        <v>0.5625</v>
      </c>
      <c r="J6" s="61">
        <f>I6-H6</f>
        <v>2.9861111111111116E-2</v>
      </c>
      <c r="K6" s="61">
        <f>J6*24</f>
        <v>0.71666666666666679</v>
      </c>
      <c r="L6" s="25"/>
      <c r="M6" s="25">
        <v>0.67300000000000004</v>
      </c>
      <c r="N6" s="34">
        <v>6.78</v>
      </c>
      <c r="O6" s="34">
        <f>(N6-M6)</f>
        <v>6.1070000000000002</v>
      </c>
      <c r="P6" s="34">
        <v>25000</v>
      </c>
      <c r="Q6" s="171">
        <v>81.53</v>
      </c>
      <c r="R6" s="252">
        <f>(M6*P6*Q6)/100</f>
        <v>13717.422500000001</v>
      </c>
      <c r="S6" s="172" t="s">
        <v>2436</v>
      </c>
      <c r="T6" s="25">
        <v>250</v>
      </c>
      <c r="U6" s="97">
        <v>225</v>
      </c>
    </row>
    <row r="7" spans="1:21">
      <c r="A7" s="96">
        <f t="shared" si="4"/>
        <v>6</v>
      </c>
      <c r="B7" s="25" t="s">
        <v>2431</v>
      </c>
      <c r="C7" s="60">
        <v>45766</v>
      </c>
      <c r="D7" s="25" t="s">
        <v>2427</v>
      </c>
      <c r="E7" s="25" t="s">
        <v>2428</v>
      </c>
      <c r="F7" s="25" t="s">
        <v>2407</v>
      </c>
      <c r="G7" s="25"/>
      <c r="H7" s="61">
        <v>0.4777777777777778</v>
      </c>
      <c r="I7" s="61">
        <v>0.51666666666666672</v>
      </c>
      <c r="J7" s="61">
        <f t="shared" ref="J7:J8" si="5">I7-H7</f>
        <v>3.8888888888888917E-2</v>
      </c>
      <c r="K7" s="61">
        <f t="shared" ref="K7:K8" si="6">J7*24</f>
        <v>0.93333333333333401</v>
      </c>
      <c r="L7" s="25"/>
      <c r="M7" s="25">
        <v>0.89800000000000002</v>
      </c>
      <c r="N7" s="34">
        <v>7.12</v>
      </c>
      <c r="O7" s="34">
        <f t="shared" ref="O7:O8" si="7">(N7-M7)</f>
        <v>6.2220000000000004</v>
      </c>
      <c r="P7" s="34">
        <v>38000</v>
      </c>
      <c r="Q7" s="171">
        <v>77.38</v>
      </c>
      <c r="R7" s="252">
        <f t="shared" ref="R7:R8" si="8">(M7*P7*Q7)/100</f>
        <v>26405.151199999997</v>
      </c>
      <c r="S7" s="25" t="s">
        <v>2437</v>
      </c>
      <c r="T7" s="25">
        <v>250</v>
      </c>
      <c r="U7" s="97">
        <v>212</v>
      </c>
    </row>
    <row r="8" spans="1:21">
      <c r="A8" s="96">
        <f t="shared" si="4"/>
        <v>7</v>
      </c>
      <c r="B8" s="25" t="s">
        <v>2431</v>
      </c>
      <c r="C8" s="60">
        <v>45766</v>
      </c>
      <c r="D8" s="25" t="s">
        <v>2427</v>
      </c>
      <c r="E8" s="25" t="s">
        <v>2428</v>
      </c>
      <c r="F8" s="25" t="s">
        <v>2407</v>
      </c>
      <c r="G8" s="25"/>
      <c r="H8" s="61">
        <v>0.51666666666666672</v>
      </c>
      <c r="I8" s="61">
        <v>0.5625</v>
      </c>
      <c r="J8" s="61">
        <f t="shared" si="5"/>
        <v>4.5833333333333282E-2</v>
      </c>
      <c r="K8" s="61">
        <f t="shared" si="6"/>
        <v>1.0999999999999988</v>
      </c>
      <c r="L8" s="25"/>
      <c r="M8" s="25">
        <v>1.075</v>
      </c>
      <c r="N8" s="34">
        <v>7.12</v>
      </c>
      <c r="O8" s="34">
        <f t="shared" si="7"/>
        <v>6.0449999999999999</v>
      </c>
      <c r="P8" s="34">
        <v>62000</v>
      </c>
      <c r="Q8" s="171">
        <v>77.38</v>
      </c>
      <c r="R8" s="252">
        <f t="shared" si="8"/>
        <v>51573.77</v>
      </c>
      <c r="S8" s="25" t="s">
        <v>2438</v>
      </c>
      <c r="T8" s="25">
        <v>212</v>
      </c>
      <c r="U8" s="97">
        <v>188</v>
      </c>
    </row>
    <row r="9" spans="1:21">
      <c r="A9" s="96">
        <f t="shared" si="4"/>
        <v>8</v>
      </c>
      <c r="B9" s="25" t="s">
        <v>522</v>
      </c>
      <c r="C9" s="60">
        <v>45789</v>
      </c>
      <c r="D9" s="25" t="s">
        <v>2427</v>
      </c>
      <c r="E9" s="25" t="s">
        <v>2428</v>
      </c>
      <c r="F9" s="25" t="s">
        <v>2407</v>
      </c>
      <c r="G9" s="25"/>
      <c r="H9" s="61">
        <v>0.53333333333333333</v>
      </c>
      <c r="I9" s="61">
        <v>0.62986111111111109</v>
      </c>
      <c r="J9" s="61">
        <f t="shared" ref="J9:J14" si="9">I9-H9</f>
        <v>9.6527777777777768E-2</v>
      </c>
      <c r="K9" s="61">
        <f t="shared" ref="K9:K14" si="10">J9*24</f>
        <v>2.3166666666666664</v>
      </c>
      <c r="L9" s="25"/>
      <c r="M9" s="25">
        <v>2.125</v>
      </c>
      <c r="N9" s="34">
        <v>7.46</v>
      </c>
      <c r="O9" s="34">
        <f t="shared" ref="O9:O14" si="11">(N9-M9)</f>
        <v>5.335</v>
      </c>
      <c r="P9" s="34">
        <v>50000</v>
      </c>
      <c r="Q9" s="171">
        <v>77.95</v>
      </c>
      <c r="R9" s="252">
        <f t="shared" ref="R9:R14" si="12">(M9*P9*Q9)/100</f>
        <v>82821.875</v>
      </c>
      <c r="S9" s="25" t="s">
        <v>2545</v>
      </c>
      <c r="T9" s="25">
        <v>250</v>
      </c>
      <c r="U9" s="97">
        <v>200</v>
      </c>
    </row>
    <row r="10" spans="1:21">
      <c r="A10" s="96">
        <f t="shared" si="4"/>
        <v>9</v>
      </c>
      <c r="B10" s="25" t="s">
        <v>522</v>
      </c>
      <c r="C10" s="60">
        <v>45790</v>
      </c>
      <c r="D10" s="25" t="s">
        <v>2427</v>
      </c>
      <c r="E10" s="25" t="s">
        <v>2428</v>
      </c>
      <c r="F10" s="25" t="s">
        <v>2407</v>
      </c>
      <c r="G10" s="25"/>
      <c r="H10" s="61">
        <v>0.50208333333333333</v>
      </c>
      <c r="I10" s="61">
        <v>0.57847222222222228</v>
      </c>
      <c r="J10" s="61">
        <f t="shared" si="9"/>
        <v>7.6388888888888951E-2</v>
      </c>
      <c r="K10" s="61">
        <f t="shared" si="10"/>
        <v>1.8333333333333348</v>
      </c>
      <c r="L10" s="25"/>
      <c r="M10" s="25">
        <v>1.79</v>
      </c>
      <c r="N10" s="34">
        <v>7.42</v>
      </c>
      <c r="O10" s="34">
        <f t="shared" si="11"/>
        <v>5.63</v>
      </c>
      <c r="P10" s="34">
        <v>25000</v>
      </c>
      <c r="Q10" s="171">
        <v>80.62</v>
      </c>
      <c r="R10" s="252">
        <f t="shared" si="12"/>
        <v>36077.449999999997</v>
      </c>
      <c r="S10" s="25" t="s">
        <v>2546</v>
      </c>
      <c r="T10" s="25">
        <v>250</v>
      </c>
      <c r="U10" s="97">
        <v>225</v>
      </c>
    </row>
    <row r="11" spans="1:21">
      <c r="A11" s="96">
        <f t="shared" si="4"/>
        <v>10</v>
      </c>
      <c r="B11" s="25" t="s">
        <v>522</v>
      </c>
      <c r="C11" s="60">
        <v>45795</v>
      </c>
      <c r="D11" s="25" t="s">
        <v>2427</v>
      </c>
      <c r="E11" s="25" t="s">
        <v>2428</v>
      </c>
      <c r="F11" s="25" t="s">
        <v>2407</v>
      </c>
      <c r="G11" s="25"/>
      <c r="H11" s="61">
        <v>0.50347222222222221</v>
      </c>
      <c r="I11" s="61">
        <v>0.59375</v>
      </c>
      <c r="J11" s="61">
        <f t="shared" si="9"/>
        <v>9.027777777777779E-2</v>
      </c>
      <c r="K11" s="61">
        <f t="shared" si="10"/>
        <v>2.166666666666667</v>
      </c>
      <c r="L11" s="25"/>
      <c r="M11" s="25">
        <v>2.08</v>
      </c>
      <c r="N11" s="34">
        <v>7.51</v>
      </c>
      <c r="O11" s="34">
        <f t="shared" si="11"/>
        <v>5.43</v>
      </c>
      <c r="P11" s="34">
        <v>25000</v>
      </c>
      <c r="Q11" s="171">
        <v>80.03</v>
      </c>
      <c r="R11" s="252">
        <f t="shared" si="12"/>
        <v>41615.599999999999</v>
      </c>
      <c r="S11" s="25" t="s">
        <v>2554</v>
      </c>
      <c r="T11" s="25">
        <v>250</v>
      </c>
      <c r="U11" s="97">
        <v>225</v>
      </c>
    </row>
    <row r="12" spans="1:21">
      <c r="A12" s="96">
        <f t="shared" si="4"/>
        <v>11</v>
      </c>
      <c r="B12" s="25" t="s">
        <v>522</v>
      </c>
      <c r="C12" s="60">
        <v>45796</v>
      </c>
      <c r="D12" s="25" t="s">
        <v>2427</v>
      </c>
      <c r="E12" s="25" t="s">
        <v>2428</v>
      </c>
      <c r="F12" s="25" t="s">
        <v>2407</v>
      </c>
      <c r="G12" s="25"/>
      <c r="H12" s="61">
        <v>0.42708333333333331</v>
      </c>
      <c r="I12" s="61">
        <v>0.62777777777777777</v>
      </c>
      <c r="J12" s="61">
        <f t="shared" si="9"/>
        <v>0.20069444444444445</v>
      </c>
      <c r="K12" s="61">
        <f t="shared" si="10"/>
        <v>4.8166666666666664</v>
      </c>
      <c r="L12" s="25"/>
      <c r="M12" s="25">
        <v>4.4450000000000003</v>
      </c>
      <c r="N12" s="34">
        <v>7.56</v>
      </c>
      <c r="O12" s="34">
        <f t="shared" si="11"/>
        <v>3.1149999999999993</v>
      </c>
      <c r="P12" s="34">
        <v>25000</v>
      </c>
      <c r="Q12" s="171">
        <v>78.52</v>
      </c>
      <c r="R12" s="252">
        <f t="shared" si="12"/>
        <v>87255.35</v>
      </c>
      <c r="S12" s="25" t="s">
        <v>2555</v>
      </c>
      <c r="T12" s="25">
        <v>228</v>
      </c>
      <c r="U12" s="97">
        <v>225</v>
      </c>
    </row>
    <row r="13" spans="1:21">
      <c r="A13" s="96">
        <f t="shared" si="4"/>
        <v>12</v>
      </c>
      <c r="B13" s="25" t="s">
        <v>522</v>
      </c>
      <c r="C13" s="60">
        <v>45800</v>
      </c>
      <c r="D13" s="25" t="s">
        <v>2427</v>
      </c>
      <c r="E13" s="25" t="s">
        <v>2428</v>
      </c>
      <c r="F13" s="25" t="s">
        <v>2407</v>
      </c>
      <c r="G13" s="25"/>
      <c r="H13" s="61">
        <v>0.47291666666666665</v>
      </c>
      <c r="I13" s="61">
        <v>0.56527777777777777</v>
      </c>
      <c r="J13" s="61">
        <f t="shared" si="9"/>
        <v>9.2361111111111116E-2</v>
      </c>
      <c r="K13" s="61">
        <f t="shared" si="10"/>
        <v>2.2166666666666668</v>
      </c>
      <c r="L13" s="25"/>
      <c r="M13" s="25">
        <v>2.2069999999999999</v>
      </c>
      <c r="N13" s="34">
        <v>7.6</v>
      </c>
      <c r="O13" s="34">
        <f t="shared" si="11"/>
        <v>5.3929999999999998</v>
      </c>
      <c r="P13" s="34">
        <v>25000</v>
      </c>
      <c r="Q13" s="171">
        <v>79.55</v>
      </c>
      <c r="R13" s="252">
        <f t="shared" si="12"/>
        <v>43891.712499999994</v>
      </c>
      <c r="S13" s="25" t="s">
        <v>2559</v>
      </c>
      <c r="T13" s="25">
        <v>250</v>
      </c>
      <c r="U13" s="97">
        <v>225</v>
      </c>
    </row>
    <row r="14" spans="1:21">
      <c r="A14" s="96">
        <f t="shared" si="4"/>
        <v>13</v>
      </c>
      <c r="B14" s="25" t="s">
        <v>522</v>
      </c>
      <c r="C14" s="60">
        <v>45808</v>
      </c>
      <c r="D14" s="25" t="s">
        <v>2427</v>
      </c>
      <c r="E14" s="25" t="s">
        <v>2428</v>
      </c>
      <c r="F14" s="25" t="s">
        <v>2407</v>
      </c>
      <c r="G14" s="25"/>
      <c r="H14" s="61">
        <v>0.48958333333333331</v>
      </c>
      <c r="I14" s="61">
        <v>0.57638888888888884</v>
      </c>
      <c r="J14" s="61">
        <f t="shared" si="9"/>
        <v>8.6805555555555525E-2</v>
      </c>
      <c r="K14" s="61">
        <f t="shared" si="10"/>
        <v>2.0833333333333326</v>
      </c>
      <c r="L14" s="25"/>
      <c r="M14" s="25">
        <v>1.9119999999999999</v>
      </c>
      <c r="N14" s="34">
        <v>6.9</v>
      </c>
      <c r="O14" s="34">
        <f t="shared" si="11"/>
        <v>4.9880000000000004</v>
      </c>
      <c r="P14" s="34">
        <v>25000</v>
      </c>
      <c r="Q14" s="171">
        <v>80.22</v>
      </c>
      <c r="R14" s="252">
        <f t="shared" si="12"/>
        <v>38345.160000000003</v>
      </c>
      <c r="S14" s="25" t="s">
        <v>2563</v>
      </c>
      <c r="T14" s="25">
        <v>250</v>
      </c>
      <c r="U14" s="97">
        <v>225</v>
      </c>
    </row>
    <row r="15" spans="1:21">
      <c r="A15" s="96">
        <f t="shared" si="4"/>
        <v>14</v>
      </c>
      <c r="B15" s="25" t="s">
        <v>2429</v>
      </c>
      <c r="C15" s="60">
        <v>45809</v>
      </c>
      <c r="D15" s="25" t="s">
        <v>2427</v>
      </c>
      <c r="E15" s="25" t="s">
        <v>2428</v>
      </c>
      <c r="F15" s="25" t="s">
        <v>2407</v>
      </c>
      <c r="G15" s="25"/>
      <c r="H15" s="61">
        <v>0.42083333333333334</v>
      </c>
      <c r="I15" s="61">
        <v>0.57291666666666663</v>
      </c>
      <c r="J15" s="61">
        <f>I15-H15</f>
        <v>0.15208333333333329</v>
      </c>
      <c r="K15" s="61">
        <f>J15*24</f>
        <v>3.649999999999999</v>
      </c>
      <c r="L15" s="25"/>
      <c r="M15" s="25">
        <v>3.1</v>
      </c>
      <c r="N15" s="34">
        <v>6.75</v>
      </c>
      <c r="O15" s="34">
        <f>(N15-M15)</f>
        <v>3.65</v>
      </c>
      <c r="P15" s="34">
        <v>90000</v>
      </c>
      <c r="Q15" s="171">
        <v>70.3</v>
      </c>
      <c r="R15" s="252">
        <f>(M15*P15*Q15)/100</f>
        <v>196137</v>
      </c>
      <c r="S15" s="25" t="s">
        <v>2567</v>
      </c>
      <c r="T15" s="25">
        <v>200</v>
      </c>
      <c r="U15" s="97">
        <v>160</v>
      </c>
    </row>
    <row r="16" spans="1:21">
      <c r="A16" s="96">
        <f t="shared" si="4"/>
        <v>15</v>
      </c>
      <c r="B16" s="25" t="s">
        <v>2429</v>
      </c>
      <c r="C16" s="60">
        <v>45810</v>
      </c>
      <c r="D16" s="25" t="s">
        <v>2427</v>
      </c>
      <c r="E16" s="25" t="s">
        <v>2428</v>
      </c>
      <c r="F16" s="25" t="s">
        <v>2407</v>
      </c>
      <c r="G16" s="25"/>
      <c r="H16" s="61">
        <v>0.49305555555555558</v>
      </c>
      <c r="I16" s="61">
        <v>0.59027777777777779</v>
      </c>
      <c r="J16" s="61">
        <f>I16-H16</f>
        <v>9.722222222222221E-2</v>
      </c>
      <c r="K16" s="61">
        <f>J16*24</f>
        <v>2.333333333333333</v>
      </c>
      <c r="L16" s="25"/>
      <c r="M16" s="25">
        <v>2.16</v>
      </c>
      <c r="N16" s="34">
        <v>7.23</v>
      </c>
      <c r="O16" s="34">
        <f>(N16-M16)</f>
        <v>5.07</v>
      </c>
      <c r="P16" s="34">
        <v>25000</v>
      </c>
      <c r="Q16" s="171">
        <v>79.959999999999994</v>
      </c>
      <c r="R16" s="252">
        <f>(M16*P16*Q16)/100</f>
        <v>43178.400000000001</v>
      </c>
      <c r="S16" s="25" t="s">
        <v>2573</v>
      </c>
      <c r="T16" s="25">
        <v>250</v>
      </c>
      <c r="U16" s="97">
        <v>225</v>
      </c>
    </row>
    <row r="17" spans="1:21">
      <c r="A17" s="96">
        <f t="shared" si="4"/>
        <v>16</v>
      </c>
      <c r="B17" s="25" t="s">
        <v>2429</v>
      </c>
      <c r="C17" s="60">
        <v>45811</v>
      </c>
      <c r="D17" s="25" t="s">
        <v>2427</v>
      </c>
      <c r="E17" s="25" t="s">
        <v>2428</v>
      </c>
      <c r="F17" s="25" t="s">
        <v>2407</v>
      </c>
      <c r="G17" s="25"/>
      <c r="H17" s="61">
        <v>0.51736111111111116</v>
      </c>
      <c r="I17" s="61">
        <v>0.58402777777777781</v>
      </c>
      <c r="J17" s="61">
        <f>I17-H17</f>
        <v>6.6666666666666652E-2</v>
      </c>
      <c r="K17" s="61">
        <f>J17*24</f>
        <v>1.5999999999999996</v>
      </c>
      <c r="L17" s="25"/>
      <c r="M17" s="25">
        <v>1.46</v>
      </c>
      <c r="N17" s="34">
        <v>6.97</v>
      </c>
      <c r="O17" s="34">
        <f>(N17-M17)</f>
        <v>5.51</v>
      </c>
      <c r="P17" s="34">
        <v>25000</v>
      </c>
      <c r="Q17" s="171">
        <v>81.89</v>
      </c>
      <c r="R17" s="252">
        <f>(M17*P17*Q17)/100</f>
        <v>29889.85</v>
      </c>
      <c r="S17" s="25" t="s">
        <v>2576</v>
      </c>
      <c r="T17" s="25">
        <v>250</v>
      </c>
      <c r="U17" s="97">
        <v>225</v>
      </c>
    </row>
    <row r="18" spans="1:21">
      <c r="A18" s="96">
        <f t="shared" si="4"/>
        <v>17</v>
      </c>
      <c r="B18" s="25" t="s">
        <v>2429</v>
      </c>
      <c r="C18" s="60">
        <v>45812</v>
      </c>
      <c r="D18" s="25" t="s">
        <v>2427</v>
      </c>
      <c r="E18" s="25" t="s">
        <v>2428</v>
      </c>
      <c r="F18" s="25" t="s">
        <v>2407</v>
      </c>
      <c r="G18" s="25"/>
      <c r="H18" s="61">
        <v>0.43819444444444444</v>
      </c>
      <c r="I18" s="61">
        <v>0.54097222222222219</v>
      </c>
      <c r="J18" s="61">
        <f t="shared" ref="J18:J19" si="13">I18-H18</f>
        <v>0.10277777777777775</v>
      </c>
      <c r="K18" s="61">
        <f t="shared" ref="K18:K19" si="14">J18*24</f>
        <v>2.4666666666666659</v>
      </c>
      <c r="L18" s="25"/>
      <c r="M18" s="25">
        <v>2.2000000000000002</v>
      </c>
      <c r="N18" s="34">
        <v>7.26</v>
      </c>
      <c r="O18" s="34">
        <f t="shared" ref="O18:O19" si="15">(N18-M18)</f>
        <v>5.0599999999999996</v>
      </c>
      <c r="P18" s="34">
        <v>50000</v>
      </c>
      <c r="Q18" s="171">
        <v>76.84</v>
      </c>
      <c r="R18" s="252">
        <f t="shared" ref="R18:R19" si="16">(M18*P18*Q18)/100</f>
        <v>84524.000000000015</v>
      </c>
      <c r="S18" s="25" t="s">
        <v>2578</v>
      </c>
      <c r="T18" s="25">
        <v>250</v>
      </c>
      <c r="U18" s="97">
        <v>200</v>
      </c>
    </row>
    <row r="19" spans="1:21">
      <c r="A19" s="96">
        <f t="shared" si="4"/>
        <v>18</v>
      </c>
      <c r="B19" s="25" t="s">
        <v>2429</v>
      </c>
      <c r="C19" s="60">
        <v>45812</v>
      </c>
      <c r="D19" s="25" t="s">
        <v>2427</v>
      </c>
      <c r="E19" s="25" t="s">
        <v>2428</v>
      </c>
      <c r="F19" s="25" t="s">
        <v>2407</v>
      </c>
      <c r="G19" s="25"/>
      <c r="H19" s="61">
        <v>0.54097222222222219</v>
      </c>
      <c r="I19" s="61">
        <v>0.61388888888888893</v>
      </c>
      <c r="J19" s="61">
        <f t="shared" si="13"/>
        <v>7.2916666666666741E-2</v>
      </c>
      <c r="K19" s="61">
        <f t="shared" si="14"/>
        <v>1.7500000000000018</v>
      </c>
      <c r="L19" s="25"/>
      <c r="M19" s="25">
        <v>1.55</v>
      </c>
      <c r="N19" s="34">
        <v>7.26</v>
      </c>
      <c r="O19" s="34">
        <f t="shared" si="15"/>
        <v>5.71</v>
      </c>
      <c r="P19" s="34">
        <v>25000</v>
      </c>
      <c r="Q19" s="171">
        <v>76.84</v>
      </c>
      <c r="R19" s="252">
        <f t="shared" si="16"/>
        <v>29775.5</v>
      </c>
      <c r="S19" s="25" t="s">
        <v>2579</v>
      </c>
      <c r="T19" s="25">
        <v>200</v>
      </c>
      <c r="U19" s="97">
        <v>225</v>
      </c>
    </row>
    <row r="20" spans="1:21">
      <c r="A20" s="96">
        <f t="shared" si="4"/>
        <v>19</v>
      </c>
      <c r="B20" s="25" t="s">
        <v>2429</v>
      </c>
      <c r="C20" s="60">
        <v>45816</v>
      </c>
      <c r="D20" s="25" t="s">
        <v>2427</v>
      </c>
      <c r="E20" s="25" t="s">
        <v>2428</v>
      </c>
      <c r="F20" s="25" t="s">
        <v>2407</v>
      </c>
      <c r="G20" s="25"/>
      <c r="H20" s="61">
        <v>0.64375000000000004</v>
      </c>
      <c r="I20" s="61">
        <v>0.70486111111111116</v>
      </c>
      <c r="J20" s="61">
        <f>I20-H20</f>
        <v>6.1111111111111116E-2</v>
      </c>
      <c r="K20" s="61">
        <f>J20*24</f>
        <v>1.4666666666666668</v>
      </c>
      <c r="L20" s="25"/>
      <c r="M20" s="25">
        <v>0.88100000000000001</v>
      </c>
      <c r="N20" s="34">
        <v>7.75</v>
      </c>
      <c r="O20" s="34">
        <f>(N20-M20)</f>
        <v>6.8689999999999998</v>
      </c>
      <c r="P20" s="34">
        <v>41000</v>
      </c>
      <c r="Q20" s="171">
        <v>81.55</v>
      </c>
      <c r="R20" s="252">
        <f>(M20*P20*Q20)/100</f>
        <v>29456.675499999998</v>
      </c>
      <c r="S20" s="25" t="s">
        <v>2588</v>
      </c>
      <c r="T20" s="25">
        <v>207</v>
      </c>
      <c r="U20" s="97">
        <v>166</v>
      </c>
    </row>
    <row r="21" spans="1:21">
      <c r="A21" s="96">
        <f t="shared" si="4"/>
        <v>20</v>
      </c>
      <c r="B21" s="25" t="s">
        <v>2429</v>
      </c>
      <c r="C21" s="60">
        <v>45820</v>
      </c>
      <c r="D21" s="25" t="s">
        <v>2427</v>
      </c>
      <c r="E21" s="25" t="s">
        <v>2428</v>
      </c>
      <c r="F21" s="25" t="s">
        <v>2407</v>
      </c>
      <c r="G21" s="25"/>
      <c r="H21" s="61">
        <v>0.5756944444444444</v>
      </c>
      <c r="I21" s="61">
        <v>0.61319444444444449</v>
      </c>
      <c r="J21" s="61">
        <f t="shared" ref="J21:J22" si="17">I21-H21</f>
        <v>3.7500000000000089E-2</v>
      </c>
      <c r="K21" s="61">
        <f t="shared" ref="K21:K22" si="18">J21*24</f>
        <v>0.90000000000000213</v>
      </c>
      <c r="L21" s="25"/>
      <c r="M21" s="25">
        <v>0.84199999999999997</v>
      </c>
      <c r="N21" s="34">
        <v>7.69</v>
      </c>
      <c r="O21" s="34">
        <f t="shared" ref="O21:O22" si="19">(N21-M21)</f>
        <v>6.8480000000000008</v>
      </c>
      <c r="P21" s="34">
        <v>50000</v>
      </c>
      <c r="Q21" s="25">
        <v>79.12</v>
      </c>
      <c r="R21" s="252">
        <f t="shared" ref="R21:R22" si="20">(M21*P21*Q21)/100</f>
        <v>33309.519999999997</v>
      </c>
      <c r="S21" s="25" t="s">
        <v>2596</v>
      </c>
      <c r="T21" s="25">
        <v>250</v>
      </c>
      <c r="U21" s="97">
        <v>200</v>
      </c>
    </row>
    <row r="22" spans="1:21">
      <c r="A22" s="96">
        <f t="shared" si="4"/>
        <v>21</v>
      </c>
      <c r="B22" s="25" t="s">
        <v>2429</v>
      </c>
      <c r="C22" s="60">
        <v>45820</v>
      </c>
      <c r="D22" s="25" t="s">
        <v>2427</v>
      </c>
      <c r="E22" s="25" t="s">
        <v>2428</v>
      </c>
      <c r="F22" s="25" t="s">
        <v>2407</v>
      </c>
      <c r="G22" s="25"/>
      <c r="H22" s="61">
        <v>0.61388888888888893</v>
      </c>
      <c r="I22" s="61">
        <v>0.68541666666666667</v>
      </c>
      <c r="J22" s="61">
        <f t="shared" si="17"/>
        <v>7.1527777777777746E-2</v>
      </c>
      <c r="K22" s="61">
        <f t="shared" si="18"/>
        <v>1.7166666666666659</v>
      </c>
      <c r="L22" s="25"/>
      <c r="M22" s="25">
        <v>1.24</v>
      </c>
      <c r="N22" s="34">
        <v>7.69</v>
      </c>
      <c r="O22" s="34">
        <f t="shared" si="19"/>
        <v>6.45</v>
      </c>
      <c r="P22" s="34">
        <v>70000</v>
      </c>
      <c r="Q22" s="25">
        <v>79.12</v>
      </c>
      <c r="R22" s="252">
        <f t="shared" si="20"/>
        <v>68676.160000000003</v>
      </c>
      <c r="S22" s="25" t="s">
        <v>2597</v>
      </c>
      <c r="T22" s="25">
        <v>200</v>
      </c>
      <c r="U22" s="97">
        <v>180</v>
      </c>
    </row>
    <row r="23" spans="1:21">
      <c r="A23" s="96">
        <f t="shared" si="4"/>
        <v>22</v>
      </c>
      <c r="B23" s="25" t="s">
        <v>2429</v>
      </c>
      <c r="C23" s="60">
        <v>45821</v>
      </c>
      <c r="D23" s="25" t="s">
        <v>2427</v>
      </c>
      <c r="E23" s="25" t="s">
        <v>2428</v>
      </c>
      <c r="F23" s="25" t="s">
        <v>2407</v>
      </c>
      <c r="G23" s="25"/>
      <c r="H23" s="61">
        <v>0.39791666666666664</v>
      </c>
      <c r="I23" s="61">
        <v>0.67152777777777772</v>
      </c>
      <c r="J23" s="61">
        <f t="shared" ref="J23" si="21">I23-H23</f>
        <v>0.27361111111111108</v>
      </c>
      <c r="K23" s="61">
        <f t="shared" ref="K23" si="22">J23*24</f>
        <v>6.5666666666666664</v>
      </c>
      <c r="L23" s="25"/>
      <c r="M23" s="25">
        <v>5.4870000000000001</v>
      </c>
      <c r="N23" s="34">
        <v>7.35</v>
      </c>
      <c r="O23" s="34">
        <f t="shared" ref="O23" si="23">(N23-M23)</f>
        <v>1.8629999999999995</v>
      </c>
      <c r="P23" s="34">
        <v>95000</v>
      </c>
      <c r="Q23" s="25">
        <v>82.99</v>
      </c>
      <c r="R23" s="252">
        <f t="shared" ref="R23" si="24">(M23*P23*Q23)/100</f>
        <v>432597.82349999994</v>
      </c>
      <c r="S23" s="25" t="s">
        <v>2601</v>
      </c>
      <c r="T23" s="25">
        <v>178.95</v>
      </c>
      <c r="U23" s="97">
        <v>155</v>
      </c>
    </row>
    <row r="24" spans="1:21">
      <c r="A24" s="96">
        <f t="shared" si="4"/>
        <v>23</v>
      </c>
      <c r="B24" s="25" t="s">
        <v>2429</v>
      </c>
      <c r="C24" s="60">
        <v>45825</v>
      </c>
      <c r="D24" s="25" t="s">
        <v>2427</v>
      </c>
      <c r="E24" s="25" t="s">
        <v>2428</v>
      </c>
      <c r="F24" s="25" t="s">
        <v>2407</v>
      </c>
      <c r="G24" s="25"/>
      <c r="H24" s="61">
        <v>0.40138888888888891</v>
      </c>
      <c r="I24" s="61">
        <v>0.62708333333333333</v>
      </c>
      <c r="J24" s="61">
        <f>I24-H24</f>
        <v>0.22569444444444442</v>
      </c>
      <c r="K24" s="61">
        <f>J24*24</f>
        <v>5.4166666666666661</v>
      </c>
      <c r="L24" s="25"/>
      <c r="M24" s="25">
        <v>2.56</v>
      </c>
      <c r="N24" s="34">
        <v>5.75</v>
      </c>
      <c r="O24" s="34">
        <f>(N24-M24)</f>
        <v>3.19</v>
      </c>
      <c r="P24" s="34">
        <v>115000</v>
      </c>
      <c r="Q24" s="25">
        <v>82.99</v>
      </c>
      <c r="R24" s="252">
        <f>(M24*P24*Q24)/100</f>
        <v>244322.56</v>
      </c>
      <c r="S24" s="25" t="s">
        <v>2607</v>
      </c>
      <c r="T24" s="25">
        <v>168</v>
      </c>
      <c r="U24" s="97">
        <v>135</v>
      </c>
    </row>
    <row r="25" spans="1:21">
      <c r="A25" s="96">
        <f t="shared" si="4"/>
        <v>24</v>
      </c>
      <c r="B25" s="25" t="s">
        <v>2429</v>
      </c>
      <c r="C25" s="60">
        <v>45826</v>
      </c>
      <c r="D25" s="25" t="s">
        <v>2427</v>
      </c>
      <c r="E25" s="25" t="s">
        <v>2428</v>
      </c>
      <c r="F25" s="25" t="s">
        <v>2407</v>
      </c>
      <c r="G25" s="25"/>
      <c r="H25" s="61">
        <v>0.49722222222222223</v>
      </c>
      <c r="I25" s="61">
        <v>0.6479166666666667</v>
      </c>
      <c r="J25" s="61">
        <f>I25-H25</f>
        <v>0.15069444444444446</v>
      </c>
      <c r="K25" s="61">
        <f>J25*24</f>
        <v>3.6166666666666671</v>
      </c>
      <c r="L25" s="25"/>
      <c r="M25" s="25">
        <v>3.22</v>
      </c>
      <c r="N25" s="34">
        <v>7.2</v>
      </c>
      <c r="O25" s="34">
        <f>(N25-M25)</f>
        <v>3.98</v>
      </c>
      <c r="P25" s="34">
        <v>50000</v>
      </c>
      <c r="Q25" s="25">
        <v>82.99</v>
      </c>
      <c r="R25" s="252">
        <f>(M25*P25*Q25)/100</f>
        <v>133613.9</v>
      </c>
      <c r="S25" s="25" t="s">
        <v>2611</v>
      </c>
      <c r="T25" s="25">
        <v>250</v>
      </c>
      <c r="U25" s="97">
        <v>200</v>
      </c>
    </row>
    <row r="26" spans="1:21">
      <c r="A26" s="96">
        <f t="shared" si="4"/>
        <v>25</v>
      </c>
      <c r="B26" s="25" t="s">
        <v>2429</v>
      </c>
      <c r="C26" s="60">
        <v>45827</v>
      </c>
      <c r="D26" s="25" t="s">
        <v>2427</v>
      </c>
      <c r="E26" s="25" t="s">
        <v>2428</v>
      </c>
      <c r="F26" s="25" t="s">
        <v>2407</v>
      </c>
      <c r="G26" s="25"/>
      <c r="H26" s="61">
        <v>0.47083333333333333</v>
      </c>
      <c r="I26" s="61">
        <v>0.58333333333333337</v>
      </c>
      <c r="J26" s="61">
        <f>I26-H26</f>
        <v>0.11250000000000004</v>
      </c>
      <c r="K26" s="61">
        <f>J26*24</f>
        <v>2.7000000000000011</v>
      </c>
      <c r="L26" s="25"/>
      <c r="M26" s="25">
        <v>2.46</v>
      </c>
      <c r="N26" s="34">
        <v>6.79</v>
      </c>
      <c r="O26" s="34">
        <f>(N26-M26)</f>
        <v>4.33</v>
      </c>
      <c r="P26" s="34">
        <v>50000</v>
      </c>
      <c r="Q26" s="25">
        <v>82.99</v>
      </c>
      <c r="R26" s="252">
        <f>(M26*P26*Q26)/100</f>
        <v>102077.7</v>
      </c>
      <c r="S26" s="25" t="s">
        <v>2617</v>
      </c>
      <c r="T26" s="25">
        <v>232</v>
      </c>
      <c r="U26" s="97">
        <v>200</v>
      </c>
    </row>
    <row r="27" spans="1:21">
      <c r="A27" s="96">
        <f t="shared" si="4"/>
        <v>26</v>
      </c>
      <c r="B27" s="25" t="s">
        <v>2429</v>
      </c>
      <c r="C27" s="60">
        <v>45828</v>
      </c>
      <c r="D27" s="25" t="s">
        <v>2427</v>
      </c>
      <c r="E27" s="25" t="s">
        <v>2428</v>
      </c>
      <c r="F27" s="25" t="s">
        <v>2407</v>
      </c>
      <c r="G27" s="25"/>
      <c r="H27" s="61">
        <v>0.52222222222222225</v>
      </c>
      <c r="I27" s="61">
        <v>0.5625</v>
      </c>
      <c r="J27" s="61">
        <f>I27-H27</f>
        <v>4.0277777777777746E-2</v>
      </c>
      <c r="K27" s="61">
        <f>J27*24</f>
        <v>0.9666666666666659</v>
      </c>
      <c r="L27" s="25"/>
      <c r="M27" s="25">
        <v>0.92500000000000004</v>
      </c>
      <c r="N27" s="34">
        <v>6.62</v>
      </c>
      <c r="O27" s="34">
        <f>(N27-M27)</f>
        <v>5.6950000000000003</v>
      </c>
      <c r="P27" s="34">
        <v>50000</v>
      </c>
      <c r="Q27" s="25">
        <v>82.99</v>
      </c>
      <c r="R27" s="252">
        <f>(M27*P27*Q27)/100</f>
        <v>38382.874999999993</v>
      </c>
      <c r="S27" s="25" t="s">
        <v>2618</v>
      </c>
      <c r="T27" s="25">
        <v>250</v>
      </c>
      <c r="U27" s="97">
        <v>200</v>
      </c>
    </row>
    <row r="28" spans="1:21">
      <c r="A28" s="96">
        <f t="shared" si="4"/>
        <v>27</v>
      </c>
      <c r="B28" s="25" t="s">
        <v>2429</v>
      </c>
      <c r="C28" s="60">
        <v>45830</v>
      </c>
      <c r="D28" s="25" t="s">
        <v>2427</v>
      </c>
      <c r="E28" s="25" t="s">
        <v>2428</v>
      </c>
      <c r="F28" s="25" t="s">
        <v>2407</v>
      </c>
      <c r="G28" s="25"/>
      <c r="H28" s="61">
        <v>0.42638888888888887</v>
      </c>
      <c r="I28" s="61">
        <v>0.48125000000000001</v>
      </c>
      <c r="J28" s="61">
        <f t="shared" ref="J28:J29" si="25">I28-H28</f>
        <v>5.4861111111111138E-2</v>
      </c>
      <c r="K28" s="61">
        <f t="shared" ref="K28:K29" si="26">J28*24</f>
        <v>1.3166666666666673</v>
      </c>
      <c r="L28" s="25"/>
      <c r="M28" s="25">
        <v>1.0720000000000001</v>
      </c>
      <c r="N28" s="34">
        <v>7.04</v>
      </c>
      <c r="O28" s="34">
        <f t="shared" ref="O28:O29" si="27">(N28-M28)</f>
        <v>5.968</v>
      </c>
      <c r="P28" s="34">
        <v>50000</v>
      </c>
      <c r="Q28" s="25">
        <v>82.99</v>
      </c>
      <c r="R28" s="252">
        <f t="shared" ref="R28:R29" si="28">(M28*P28*Q28)/100</f>
        <v>44482.64</v>
      </c>
      <c r="S28" s="25" t="s">
        <v>2629</v>
      </c>
      <c r="T28" s="25">
        <v>202</v>
      </c>
      <c r="U28" s="97">
        <v>200</v>
      </c>
    </row>
    <row r="29" spans="1:21">
      <c r="A29" s="96">
        <f t="shared" si="4"/>
        <v>28</v>
      </c>
      <c r="B29" s="25" t="s">
        <v>2429</v>
      </c>
      <c r="C29" s="60">
        <v>45830</v>
      </c>
      <c r="D29" s="25" t="s">
        <v>2427</v>
      </c>
      <c r="E29" s="25" t="s">
        <v>2428</v>
      </c>
      <c r="F29" s="25" t="s">
        <v>2407</v>
      </c>
      <c r="G29" s="25"/>
      <c r="H29" s="61">
        <v>0.48194444444444445</v>
      </c>
      <c r="I29" s="61">
        <v>0.58680555555555558</v>
      </c>
      <c r="J29" s="61">
        <f t="shared" si="25"/>
        <v>0.10486111111111113</v>
      </c>
      <c r="K29" s="61">
        <f t="shared" si="26"/>
        <v>2.5166666666666671</v>
      </c>
      <c r="L29" s="25"/>
      <c r="M29" s="25">
        <v>2.31</v>
      </c>
      <c r="N29" s="34">
        <v>7.04</v>
      </c>
      <c r="O29" s="34">
        <f t="shared" si="27"/>
        <v>4.7300000000000004</v>
      </c>
      <c r="P29" s="34">
        <v>90000</v>
      </c>
      <c r="Q29" s="25">
        <v>82.99</v>
      </c>
      <c r="R29" s="252">
        <f t="shared" si="28"/>
        <v>172536.21</v>
      </c>
      <c r="S29" s="25" t="s">
        <v>2630</v>
      </c>
      <c r="T29" s="25">
        <v>200</v>
      </c>
      <c r="U29" s="97">
        <v>160</v>
      </c>
    </row>
    <row r="30" spans="1:21">
      <c r="A30" s="96">
        <f t="shared" si="4"/>
        <v>29</v>
      </c>
      <c r="B30" s="25" t="s">
        <v>2430</v>
      </c>
      <c r="C30" s="60">
        <v>45844</v>
      </c>
      <c r="D30" s="25" t="s">
        <v>2427</v>
      </c>
      <c r="E30" s="25" t="s">
        <v>2428</v>
      </c>
      <c r="F30" s="25" t="s">
        <v>2407</v>
      </c>
      <c r="G30" s="25"/>
      <c r="H30" s="61">
        <v>0.47291666666666665</v>
      </c>
      <c r="I30" s="61">
        <v>0.62361111111111112</v>
      </c>
      <c r="J30" s="61">
        <f>I30-H30</f>
        <v>0.15069444444444446</v>
      </c>
      <c r="K30" s="61">
        <f>J30*24</f>
        <v>3.6166666666666671</v>
      </c>
      <c r="L30" s="25"/>
      <c r="M30" s="25">
        <v>3.09</v>
      </c>
      <c r="N30" s="34">
        <v>6.65</v>
      </c>
      <c r="O30" s="34">
        <f>(N30-M30)</f>
        <v>3.5600000000000005</v>
      </c>
      <c r="P30" s="34">
        <v>50000</v>
      </c>
      <c r="Q30" s="25">
        <v>84</v>
      </c>
      <c r="R30" s="252">
        <f>(M30*P30*Q30)/100</f>
        <v>129780</v>
      </c>
      <c r="S30" s="25" t="s">
        <v>2655</v>
      </c>
      <c r="T30" s="25">
        <v>250</v>
      </c>
      <c r="U30" s="97">
        <v>200</v>
      </c>
    </row>
    <row r="31" spans="1:21">
      <c r="A31" s="96">
        <f t="shared" si="4"/>
        <v>30</v>
      </c>
      <c r="B31" s="25" t="s">
        <v>2430</v>
      </c>
      <c r="C31" s="60">
        <v>45852</v>
      </c>
      <c r="D31" s="25" t="s">
        <v>2427</v>
      </c>
      <c r="E31" s="25" t="s">
        <v>2428</v>
      </c>
      <c r="F31" s="25" t="s">
        <v>2407</v>
      </c>
      <c r="G31" s="25"/>
      <c r="H31" s="61">
        <v>0.56319444444444444</v>
      </c>
      <c r="I31" s="61">
        <v>0.57986111111111116</v>
      </c>
      <c r="J31" s="61">
        <f>I31-H31</f>
        <v>1.6666666666666718E-2</v>
      </c>
      <c r="K31" s="61">
        <f>J31*24</f>
        <v>0.40000000000000124</v>
      </c>
      <c r="L31" s="25"/>
      <c r="M31" s="25">
        <v>0.30104999999999998</v>
      </c>
      <c r="N31" s="34">
        <v>5.94</v>
      </c>
      <c r="O31" s="34">
        <f>(N31-M31)</f>
        <v>5.6389500000000004</v>
      </c>
      <c r="P31" s="34">
        <v>40000</v>
      </c>
      <c r="Q31" s="25">
        <v>84</v>
      </c>
      <c r="R31" s="252">
        <f>(M31*P31*Q31)/100</f>
        <v>10115.280000000001</v>
      </c>
      <c r="S31" s="25" t="s">
        <v>2675</v>
      </c>
      <c r="T31" s="25">
        <v>200</v>
      </c>
      <c r="U31" s="97">
        <v>160</v>
      </c>
    </row>
  </sheetData>
  <phoneticPr fontId="5"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F3EE6-78C1-4803-964F-F597A41BBC51}">
  <dimension ref="B4:S42"/>
  <sheetViews>
    <sheetView topLeftCell="C8" zoomScale="115" zoomScaleNormal="115" workbookViewId="0">
      <selection activeCell="C37" sqref="C37"/>
    </sheetView>
  </sheetViews>
  <sheetFormatPr defaultColWidth="8.81640625" defaultRowHeight="14.5"/>
  <sheetData>
    <row r="4" spans="4:19" ht="15" thickBot="1"/>
    <row r="5" spans="4:19" ht="15" thickBot="1">
      <c r="D5" s="284" t="s">
        <v>2439</v>
      </c>
      <c r="E5" s="285"/>
      <c r="F5" s="285"/>
      <c r="G5" s="285"/>
      <c r="H5" s="285"/>
      <c r="I5" s="285"/>
      <c r="J5" s="285"/>
      <c r="K5" s="286"/>
      <c r="M5" s="284" t="s">
        <v>2440</v>
      </c>
      <c r="N5" s="285"/>
      <c r="O5" s="285"/>
      <c r="P5" s="285"/>
      <c r="Q5" s="285"/>
      <c r="R5" s="285"/>
      <c r="S5" s="286"/>
    </row>
    <row r="6" spans="4:19">
      <c r="D6" s="151"/>
      <c r="E6" s="152"/>
      <c r="F6" s="152"/>
      <c r="G6" s="152"/>
      <c r="H6" s="152"/>
      <c r="I6" s="152"/>
      <c r="J6" s="152"/>
      <c r="K6" s="153"/>
      <c r="M6" s="151"/>
      <c r="N6" s="152"/>
      <c r="O6" s="152"/>
      <c r="P6" s="152"/>
      <c r="Q6" s="152"/>
      <c r="R6" s="152"/>
      <c r="S6" s="153"/>
    </row>
    <row r="7" spans="4:19">
      <c r="D7" s="145"/>
      <c r="E7" s="146"/>
      <c r="F7" s="146"/>
      <c r="G7" s="146"/>
      <c r="H7" s="146"/>
      <c r="I7" s="146"/>
      <c r="J7" s="146"/>
      <c r="K7" s="147"/>
      <c r="M7" s="145"/>
      <c r="N7" s="146"/>
      <c r="O7" s="146"/>
      <c r="P7" s="146"/>
      <c r="Q7" s="146"/>
      <c r="R7" s="146"/>
      <c r="S7" s="147"/>
    </row>
    <row r="8" spans="4:19">
      <c r="D8" s="145"/>
      <c r="E8" s="146"/>
      <c r="F8" s="146"/>
      <c r="G8" s="146"/>
      <c r="H8" s="146"/>
      <c r="I8" s="146"/>
      <c r="J8" s="146"/>
      <c r="K8" s="147"/>
      <c r="M8" s="145"/>
      <c r="N8" s="146"/>
      <c r="O8" s="146"/>
      <c r="P8" s="146"/>
      <c r="Q8" s="146"/>
      <c r="R8" s="146"/>
      <c r="S8" s="147"/>
    </row>
    <row r="9" spans="4:19">
      <c r="D9" s="145"/>
      <c r="E9" s="146"/>
      <c r="F9" s="146"/>
      <c r="G9" s="146"/>
      <c r="H9" s="146"/>
      <c r="I9" s="146"/>
      <c r="J9" s="146"/>
      <c r="K9" s="147"/>
      <c r="M9" s="145"/>
      <c r="N9" s="146"/>
      <c r="O9" s="146"/>
      <c r="P9" s="146"/>
      <c r="Q9" s="146"/>
      <c r="R9" s="146"/>
      <c r="S9" s="147"/>
    </row>
    <row r="10" spans="4:19">
      <c r="D10" s="145"/>
      <c r="E10" s="146"/>
      <c r="F10" s="146"/>
      <c r="G10" s="146"/>
      <c r="H10" s="146"/>
      <c r="I10" s="146"/>
      <c r="J10" s="146"/>
      <c r="K10" s="147"/>
      <c r="M10" s="145"/>
      <c r="N10" s="146"/>
      <c r="O10" s="146"/>
      <c r="P10" s="146"/>
      <c r="Q10" s="146"/>
      <c r="R10" s="146"/>
      <c r="S10" s="147"/>
    </row>
    <row r="11" spans="4:19">
      <c r="D11" s="145"/>
      <c r="E11" s="146"/>
      <c r="F11" s="146"/>
      <c r="G11" s="146"/>
      <c r="H11" s="146"/>
      <c r="I11" s="146"/>
      <c r="J11" s="146"/>
      <c r="K11" s="147"/>
      <c r="M11" s="145"/>
      <c r="N11" s="146"/>
      <c r="O11" s="146"/>
      <c r="P11" s="146"/>
      <c r="Q11" s="146"/>
      <c r="R11" s="146"/>
      <c r="S11" s="147"/>
    </row>
    <row r="12" spans="4:19">
      <c r="D12" s="145"/>
      <c r="E12" s="146"/>
      <c r="F12" s="146"/>
      <c r="G12" s="146"/>
      <c r="H12" s="146"/>
      <c r="I12" s="146"/>
      <c r="J12" s="146"/>
      <c r="K12" s="147"/>
      <c r="M12" s="145"/>
      <c r="N12" s="146"/>
      <c r="O12" s="146"/>
      <c r="P12" s="146"/>
      <c r="Q12" s="146"/>
      <c r="R12" s="146"/>
      <c r="S12" s="147"/>
    </row>
    <row r="13" spans="4:19">
      <c r="D13" s="145"/>
      <c r="E13" s="146"/>
      <c r="F13" s="146"/>
      <c r="G13" s="146"/>
      <c r="H13" s="146"/>
      <c r="I13" s="146"/>
      <c r="J13" s="146"/>
      <c r="K13" s="147"/>
      <c r="M13" s="145"/>
      <c r="N13" s="146"/>
      <c r="O13" s="146"/>
      <c r="P13" s="146"/>
      <c r="Q13" s="146"/>
      <c r="R13" s="146"/>
      <c r="S13" s="147"/>
    </row>
    <row r="14" spans="4:19">
      <c r="D14" s="145"/>
      <c r="E14" s="146"/>
      <c r="F14" s="146"/>
      <c r="G14" s="146"/>
      <c r="H14" s="146"/>
      <c r="I14" s="146"/>
      <c r="J14" s="146"/>
      <c r="K14" s="147"/>
      <c r="M14" s="145"/>
      <c r="N14" s="146"/>
      <c r="O14" s="146"/>
      <c r="P14" s="146"/>
      <c r="Q14" s="146"/>
      <c r="R14" s="146"/>
      <c r="S14" s="147"/>
    </row>
    <row r="15" spans="4:19">
      <c r="D15" s="145"/>
      <c r="E15" s="146"/>
      <c r="F15" s="146"/>
      <c r="G15" s="146"/>
      <c r="H15" s="146"/>
      <c r="I15" s="146"/>
      <c r="J15" s="146"/>
      <c r="K15" s="147"/>
      <c r="M15" s="145"/>
      <c r="N15" s="146"/>
      <c r="O15" s="146"/>
      <c r="P15" s="146"/>
      <c r="Q15" s="146"/>
      <c r="R15" s="146"/>
      <c r="S15" s="147"/>
    </row>
    <row r="16" spans="4:19">
      <c r="D16" s="145"/>
      <c r="E16" s="146"/>
      <c r="F16" s="146"/>
      <c r="G16" s="146"/>
      <c r="H16" s="146"/>
      <c r="I16" s="146"/>
      <c r="J16" s="146"/>
      <c r="K16" s="147"/>
      <c r="M16" s="145"/>
      <c r="N16" s="146"/>
      <c r="O16" s="146"/>
      <c r="P16" s="146"/>
      <c r="Q16" s="146"/>
      <c r="R16" s="146"/>
      <c r="S16" s="147"/>
    </row>
    <row r="17" spans="2:19">
      <c r="D17" s="145"/>
      <c r="E17" s="146"/>
      <c r="F17" s="146"/>
      <c r="G17" s="146"/>
      <c r="H17" s="146"/>
      <c r="I17" s="146"/>
      <c r="J17" s="146"/>
      <c r="K17" s="147"/>
      <c r="M17" s="145"/>
      <c r="N17" s="146"/>
      <c r="O17" s="146"/>
      <c r="P17" s="146"/>
      <c r="Q17" s="146"/>
      <c r="R17" s="146"/>
      <c r="S17" s="147"/>
    </row>
    <row r="18" spans="2:19">
      <c r="D18" s="145"/>
      <c r="E18" s="146"/>
      <c r="F18" s="146"/>
      <c r="G18" s="146"/>
      <c r="H18" s="146"/>
      <c r="I18" s="146"/>
      <c r="J18" s="146"/>
      <c r="K18" s="147"/>
      <c r="M18" s="145"/>
      <c r="N18" s="146"/>
      <c r="O18" s="146"/>
      <c r="P18" s="146"/>
      <c r="Q18" s="146"/>
      <c r="R18" s="146"/>
      <c r="S18" s="147"/>
    </row>
    <row r="19" spans="2:19">
      <c r="D19" s="145"/>
      <c r="E19" s="146"/>
      <c r="F19" s="146"/>
      <c r="G19" s="146"/>
      <c r="H19" s="146"/>
      <c r="I19" s="146"/>
      <c r="J19" s="146"/>
      <c r="K19" s="147"/>
      <c r="M19" s="145"/>
      <c r="N19" s="146"/>
      <c r="O19" s="146"/>
      <c r="P19" s="146"/>
      <c r="Q19" s="146"/>
      <c r="R19" s="146"/>
      <c r="S19" s="147"/>
    </row>
    <row r="20" spans="2:19">
      <c r="D20" s="145"/>
      <c r="E20" s="146"/>
      <c r="F20" s="146"/>
      <c r="G20" s="146"/>
      <c r="H20" s="146"/>
      <c r="I20" s="146"/>
      <c r="J20" s="146"/>
      <c r="K20" s="147"/>
      <c r="M20" s="145"/>
      <c r="N20" s="146"/>
      <c r="O20" s="146"/>
      <c r="P20" s="146"/>
      <c r="Q20" s="146"/>
      <c r="R20" s="146"/>
      <c r="S20" s="147"/>
    </row>
    <row r="21" spans="2:19">
      <c r="D21" s="145"/>
      <c r="E21" s="146"/>
      <c r="F21" s="146"/>
      <c r="G21" s="146"/>
      <c r="H21" s="146"/>
      <c r="I21" s="146"/>
      <c r="J21" s="146"/>
      <c r="K21" s="147"/>
      <c r="M21" s="145"/>
      <c r="N21" s="146"/>
      <c r="O21" s="146"/>
      <c r="P21" s="146"/>
      <c r="Q21" s="146"/>
      <c r="R21" s="146"/>
      <c r="S21" s="147"/>
    </row>
    <row r="22" spans="2:19">
      <c r="D22" s="145"/>
      <c r="E22" s="146"/>
      <c r="F22" s="146"/>
      <c r="G22" s="146"/>
      <c r="H22" s="146"/>
      <c r="I22" s="146"/>
      <c r="J22" s="146"/>
      <c r="K22" s="147"/>
      <c r="M22" s="145"/>
      <c r="N22" s="146"/>
      <c r="O22" s="146"/>
      <c r="P22" s="146"/>
      <c r="Q22" s="146"/>
      <c r="R22" s="146"/>
      <c r="S22" s="147"/>
    </row>
    <row r="23" spans="2:19" ht="15" thickBot="1">
      <c r="D23" s="148"/>
      <c r="E23" s="149"/>
      <c r="F23" s="149"/>
      <c r="G23" s="149"/>
      <c r="H23" s="149"/>
      <c r="I23" s="149"/>
      <c r="J23" s="149"/>
      <c r="K23" s="150"/>
      <c r="M23" s="148"/>
      <c r="N23" s="149"/>
      <c r="O23" s="149"/>
      <c r="P23" s="149"/>
      <c r="Q23" s="149"/>
      <c r="R23" s="149"/>
      <c r="S23" s="150"/>
    </row>
    <row r="25" spans="2:19" ht="15" thickBot="1"/>
    <row r="26" spans="2:19" ht="15" thickBot="1">
      <c r="B26">
        <v>180</v>
      </c>
      <c r="D26" s="284" t="s">
        <v>2441</v>
      </c>
      <c r="E26" s="285"/>
      <c r="F26" s="285"/>
      <c r="G26" s="285"/>
      <c r="H26" s="285"/>
      <c r="I26" s="285"/>
      <c r="J26" s="285"/>
      <c r="K26" s="286"/>
      <c r="M26" s="284" t="s">
        <v>2442</v>
      </c>
      <c r="N26" s="285"/>
      <c r="O26" s="285"/>
      <c r="P26" s="285"/>
      <c r="Q26" s="285"/>
      <c r="R26" s="285"/>
      <c r="S26" s="286"/>
    </row>
    <row r="27" spans="2:19">
      <c r="D27" s="287"/>
      <c r="E27" s="288"/>
      <c r="F27" s="288"/>
      <c r="G27" s="288"/>
      <c r="H27" s="288"/>
      <c r="I27" s="288"/>
      <c r="J27" s="288"/>
      <c r="K27" s="289"/>
      <c r="M27" s="278"/>
      <c r="N27" s="279"/>
      <c r="O27" s="279"/>
      <c r="P27" s="279"/>
      <c r="Q27" s="279"/>
      <c r="R27" s="279"/>
      <c r="S27" s="280"/>
    </row>
    <row r="28" spans="2:19">
      <c r="D28" s="278"/>
      <c r="E28" s="279"/>
      <c r="F28" s="279"/>
      <c r="G28" s="279"/>
      <c r="H28" s="279"/>
      <c r="I28" s="279"/>
      <c r="J28" s="279"/>
      <c r="K28" s="280"/>
      <c r="M28" s="278"/>
      <c r="N28" s="279"/>
      <c r="O28" s="279"/>
      <c r="P28" s="279"/>
      <c r="Q28" s="279"/>
      <c r="R28" s="279"/>
      <c r="S28" s="280"/>
    </row>
    <row r="29" spans="2:19">
      <c r="D29" s="278"/>
      <c r="E29" s="279"/>
      <c r="F29" s="279"/>
      <c r="G29" s="279"/>
      <c r="H29" s="279"/>
      <c r="I29" s="279"/>
      <c r="J29" s="279"/>
      <c r="K29" s="280"/>
      <c r="M29" s="278"/>
      <c r="N29" s="279"/>
      <c r="O29" s="279"/>
      <c r="P29" s="279"/>
      <c r="Q29" s="279"/>
      <c r="R29" s="279"/>
      <c r="S29" s="280"/>
    </row>
    <row r="30" spans="2:19">
      <c r="D30" s="278"/>
      <c r="E30" s="279"/>
      <c r="F30" s="279"/>
      <c r="G30" s="279"/>
      <c r="H30" s="279"/>
      <c r="I30" s="279"/>
      <c r="J30" s="279"/>
      <c r="K30" s="280"/>
      <c r="M30" s="278"/>
      <c r="N30" s="279"/>
      <c r="O30" s="279"/>
      <c r="P30" s="279"/>
      <c r="Q30" s="279"/>
      <c r="R30" s="279"/>
      <c r="S30" s="280"/>
    </row>
    <row r="31" spans="2:19">
      <c r="D31" s="278"/>
      <c r="E31" s="279"/>
      <c r="F31" s="279"/>
      <c r="G31" s="279"/>
      <c r="H31" s="279"/>
      <c r="I31" s="279"/>
      <c r="J31" s="279"/>
      <c r="K31" s="280"/>
      <c r="M31" s="278"/>
      <c r="N31" s="279"/>
      <c r="O31" s="279"/>
      <c r="P31" s="279"/>
      <c r="Q31" s="279"/>
      <c r="R31" s="279"/>
      <c r="S31" s="280"/>
    </row>
    <row r="32" spans="2:19">
      <c r="D32" s="278"/>
      <c r="E32" s="279"/>
      <c r="F32" s="279"/>
      <c r="G32" s="279"/>
      <c r="H32" s="279"/>
      <c r="I32" s="279"/>
      <c r="J32" s="279"/>
      <c r="K32" s="280"/>
      <c r="M32" s="278"/>
      <c r="N32" s="279"/>
      <c r="O32" s="279"/>
      <c r="P32" s="279"/>
      <c r="Q32" s="279"/>
      <c r="R32" s="279"/>
      <c r="S32" s="280"/>
    </row>
    <row r="33" spans="4:19">
      <c r="D33" s="278"/>
      <c r="E33" s="279"/>
      <c r="F33" s="279"/>
      <c r="G33" s="279"/>
      <c r="H33" s="279"/>
      <c r="I33" s="279"/>
      <c r="J33" s="279"/>
      <c r="K33" s="280"/>
      <c r="M33" s="278"/>
      <c r="N33" s="279"/>
      <c r="O33" s="279"/>
      <c r="P33" s="279"/>
      <c r="Q33" s="279"/>
      <c r="R33" s="279"/>
      <c r="S33" s="280"/>
    </row>
    <row r="34" spans="4:19">
      <c r="D34" s="278"/>
      <c r="E34" s="279"/>
      <c r="F34" s="279"/>
      <c r="G34" s="279"/>
      <c r="H34" s="279"/>
      <c r="I34" s="279"/>
      <c r="J34" s="279"/>
      <c r="K34" s="280"/>
      <c r="M34" s="278"/>
      <c r="N34" s="279"/>
      <c r="O34" s="279"/>
      <c r="P34" s="279"/>
      <c r="Q34" s="279"/>
      <c r="R34" s="279"/>
      <c r="S34" s="280"/>
    </row>
    <row r="35" spans="4:19">
      <c r="D35" s="278"/>
      <c r="E35" s="279"/>
      <c r="F35" s="279"/>
      <c r="G35" s="279"/>
      <c r="H35" s="279"/>
      <c r="I35" s="279"/>
      <c r="J35" s="279"/>
      <c r="K35" s="280"/>
      <c r="M35" s="278"/>
      <c r="N35" s="279"/>
      <c r="O35" s="279"/>
      <c r="P35" s="279"/>
      <c r="Q35" s="279"/>
      <c r="R35" s="279"/>
      <c r="S35" s="280"/>
    </row>
    <row r="36" spans="4:19">
      <c r="D36" s="278"/>
      <c r="E36" s="279"/>
      <c r="F36" s="279"/>
      <c r="G36" s="279"/>
      <c r="H36" s="279"/>
      <c r="I36" s="279"/>
      <c r="J36" s="279"/>
      <c r="K36" s="280"/>
      <c r="M36" s="278"/>
      <c r="N36" s="279"/>
      <c r="O36" s="279"/>
      <c r="P36" s="279"/>
      <c r="Q36" s="279"/>
      <c r="R36" s="279"/>
      <c r="S36" s="280"/>
    </row>
    <row r="37" spans="4:19">
      <c r="D37" s="278"/>
      <c r="E37" s="279"/>
      <c r="F37" s="279"/>
      <c r="G37" s="279"/>
      <c r="H37" s="279"/>
      <c r="I37" s="279"/>
      <c r="J37" s="279"/>
      <c r="K37" s="280"/>
      <c r="M37" s="278"/>
      <c r="N37" s="279"/>
      <c r="O37" s="279"/>
      <c r="P37" s="279"/>
      <c r="Q37" s="279"/>
      <c r="R37" s="279"/>
      <c r="S37" s="280"/>
    </row>
    <row r="38" spans="4:19">
      <c r="D38" s="278"/>
      <c r="E38" s="279"/>
      <c r="F38" s="279"/>
      <c r="G38" s="279"/>
      <c r="H38" s="279"/>
      <c r="I38" s="279"/>
      <c r="J38" s="279"/>
      <c r="K38" s="280"/>
      <c r="M38" s="278"/>
      <c r="N38" s="279"/>
      <c r="O38" s="279"/>
      <c r="P38" s="279"/>
      <c r="Q38" s="279"/>
      <c r="R38" s="279"/>
      <c r="S38" s="280"/>
    </row>
    <row r="39" spans="4:19">
      <c r="D39" s="278"/>
      <c r="E39" s="279"/>
      <c r="F39" s="279"/>
      <c r="G39" s="279"/>
      <c r="H39" s="279"/>
      <c r="I39" s="279"/>
      <c r="J39" s="279"/>
      <c r="K39" s="280"/>
      <c r="M39" s="278"/>
      <c r="N39" s="279"/>
      <c r="O39" s="279"/>
      <c r="P39" s="279"/>
      <c r="Q39" s="279"/>
      <c r="R39" s="279"/>
      <c r="S39" s="280"/>
    </row>
    <row r="40" spans="4:19">
      <c r="D40" s="278"/>
      <c r="E40" s="279"/>
      <c r="F40" s="279"/>
      <c r="G40" s="279"/>
      <c r="H40" s="279"/>
      <c r="I40" s="279"/>
      <c r="J40" s="279"/>
      <c r="K40" s="280"/>
      <c r="M40" s="278"/>
      <c r="N40" s="279"/>
      <c r="O40" s="279"/>
      <c r="P40" s="279"/>
      <c r="Q40" s="279"/>
      <c r="R40" s="279"/>
      <c r="S40" s="280"/>
    </row>
    <row r="41" spans="4:19">
      <c r="D41" s="278"/>
      <c r="E41" s="279"/>
      <c r="F41" s="279"/>
      <c r="G41" s="279"/>
      <c r="H41" s="279"/>
      <c r="I41" s="279"/>
      <c r="J41" s="279"/>
      <c r="K41" s="280"/>
      <c r="M41" s="278"/>
      <c r="N41" s="279"/>
      <c r="O41" s="279"/>
      <c r="P41" s="279"/>
      <c r="Q41" s="279"/>
      <c r="R41" s="279"/>
      <c r="S41" s="280"/>
    </row>
    <row r="42" spans="4:19" ht="15" thickBot="1">
      <c r="D42" s="281"/>
      <c r="E42" s="282"/>
      <c r="F42" s="282"/>
      <c r="G42" s="282"/>
      <c r="H42" s="282"/>
      <c r="I42" s="282"/>
      <c r="J42" s="282"/>
      <c r="K42" s="283"/>
      <c r="M42" s="281"/>
      <c r="N42" s="282"/>
      <c r="O42" s="282"/>
      <c r="P42" s="282"/>
      <c r="Q42" s="282"/>
      <c r="R42" s="282"/>
      <c r="S42" s="283"/>
    </row>
  </sheetData>
  <mergeCells count="6">
    <mergeCell ref="M27:S42"/>
    <mergeCell ref="D5:K5"/>
    <mergeCell ref="D26:K26"/>
    <mergeCell ref="D27:K42"/>
    <mergeCell ref="M5:S5"/>
    <mergeCell ref="M26:S2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BE6F-3446-4131-A364-6A85C488CB6B}">
  <dimension ref="A1:AP49"/>
  <sheetViews>
    <sheetView zoomScale="90" zoomScaleNormal="90" workbookViewId="0">
      <pane xSplit="4" ySplit="1" topLeftCell="E22" activePane="bottomRight" state="frozen"/>
      <selection pane="topRight" activeCell="C1" sqref="C1"/>
      <selection pane="bottomLeft" activeCell="C1" sqref="C1"/>
      <selection pane="bottomRight" activeCell="Q29" sqref="Q29"/>
    </sheetView>
  </sheetViews>
  <sheetFormatPr defaultColWidth="8.453125" defaultRowHeight="14.5"/>
  <cols>
    <col min="1" max="2" width="9.453125" style="186" customWidth="1"/>
    <col min="3" max="3" width="15.81640625" style="186" customWidth="1"/>
    <col min="4" max="6" width="8.453125" style="186"/>
    <col min="7" max="7" width="20.453125" style="186" customWidth="1"/>
    <col min="8" max="8" width="8.453125" style="186"/>
    <col min="9" max="9" width="9.453125" style="186" bestFit="1" customWidth="1"/>
    <col min="10" max="14" width="8.453125" style="186"/>
    <col min="15" max="15" width="9.81640625" style="186" bestFit="1" customWidth="1"/>
    <col min="16" max="16" width="11" style="186" customWidth="1"/>
    <col min="17" max="17" width="15.453125" style="186" customWidth="1"/>
    <col min="18" max="19" width="10.81640625" style="186" customWidth="1"/>
    <col min="20" max="20" width="13" style="186" customWidth="1"/>
    <col min="21" max="25" width="12.81640625" style="186" customWidth="1"/>
    <col min="26" max="27" width="14.453125" style="186" customWidth="1"/>
    <col min="28" max="29" width="15.453125" style="186" customWidth="1"/>
    <col min="30" max="38" width="9.81640625" style="186" customWidth="1"/>
    <col min="39" max="39" width="11.453125" style="186" customWidth="1"/>
    <col min="40" max="40" width="12.453125" style="186" bestFit="1" customWidth="1"/>
    <col min="41" max="41" width="27.453125" style="186" bestFit="1" customWidth="1"/>
    <col min="42" max="16384" width="8.453125" style="186"/>
  </cols>
  <sheetData>
    <row r="1" spans="1:42" ht="43.5">
      <c r="A1" s="188" t="s">
        <v>6</v>
      </c>
      <c r="B1" s="188" t="s">
        <v>541</v>
      </c>
      <c r="C1" s="188" t="s">
        <v>2443</v>
      </c>
      <c r="D1" s="188" t="s">
        <v>505</v>
      </c>
      <c r="E1" s="188" t="s">
        <v>2444</v>
      </c>
      <c r="F1" s="188" t="s">
        <v>2445</v>
      </c>
      <c r="G1" s="188" t="s">
        <v>2446</v>
      </c>
      <c r="H1" s="188" t="s">
        <v>2447</v>
      </c>
      <c r="I1" s="188" t="s">
        <v>2448</v>
      </c>
      <c r="J1" s="188" t="s">
        <v>2449</v>
      </c>
      <c r="K1" s="188" t="s">
        <v>2450</v>
      </c>
      <c r="L1" s="188" t="s">
        <v>508</v>
      </c>
      <c r="M1" s="188" t="s">
        <v>2451</v>
      </c>
      <c r="N1" s="188" t="s">
        <v>2452</v>
      </c>
      <c r="O1" s="188" t="s">
        <v>2453</v>
      </c>
      <c r="P1" s="188" t="s">
        <v>2454</v>
      </c>
      <c r="Q1" s="188" t="s">
        <v>2455</v>
      </c>
      <c r="R1" s="188" t="s">
        <v>2456</v>
      </c>
      <c r="S1" s="188" t="s">
        <v>2457</v>
      </c>
      <c r="T1" s="188" t="s">
        <v>2458</v>
      </c>
      <c r="U1" s="188" t="s">
        <v>2459</v>
      </c>
      <c r="V1" s="188" t="s">
        <v>2460</v>
      </c>
      <c r="W1" s="188" t="s">
        <v>2461</v>
      </c>
      <c r="X1" s="188" t="s">
        <v>2462</v>
      </c>
      <c r="Y1" s="188" t="s">
        <v>2463</v>
      </c>
      <c r="Z1" s="188" t="s">
        <v>2464</v>
      </c>
      <c r="AA1" s="188" t="s">
        <v>2465</v>
      </c>
      <c r="AB1" s="188" t="s">
        <v>2466</v>
      </c>
      <c r="AC1" s="188" t="s">
        <v>2467</v>
      </c>
      <c r="AD1" s="188" t="s">
        <v>2468</v>
      </c>
      <c r="AE1" s="188" t="s">
        <v>2469</v>
      </c>
      <c r="AF1" s="188" t="s">
        <v>2470</v>
      </c>
      <c r="AG1" s="188" t="s">
        <v>2471</v>
      </c>
      <c r="AH1" s="188" t="s">
        <v>2472</v>
      </c>
      <c r="AI1" s="188" t="s">
        <v>2473</v>
      </c>
      <c r="AJ1" s="188" t="s">
        <v>2474</v>
      </c>
      <c r="AK1" s="188" t="s">
        <v>2475</v>
      </c>
      <c r="AL1" s="188" t="s">
        <v>2476</v>
      </c>
      <c r="AM1" s="188" t="s">
        <v>2477</v>
      </c>
      <c r="AN1" s="188" t="s">
        <v>2478</v>
      </c>
      <c r="AO1" s="186" t="s">
        <v>2479</v>
      </c>
      <c r="AP1" s="189">
        <v>335.09100000000001</v>
      </c>
    </row>
    <row r="2" spans="1:42">
      <c r="A2" s="190">
        <v>1</v>
      </c>
      <c r="B2" s="191" t="s">
        <v>2431</v>
      </c>
      <c r="C2" s="190">
        <v>4</v>
      </c>
      <c r="D2" s="192">
        <v>44652</v>
      </c>
      <c r="E2" s="193">
        <f t="shared" ref="E2:E49" si="0">YEAR(D2)</f>
        <v>2022</v>
      </c>
      <c r="F2" s="193" t="s">
        <v>500</v>
      </c>
      <c r="G2" s="194">
        <f t="shared" ref="G2:G49" si="1">DAY(EOMONTH(D2,0))</f>
        <v>30</v>
      </c>
      <c r="H2" s="195">
        <v>208.99969899999999</v>
      </c>
      <c r="I2" s="195">
        <v>215.9</v>
      </c>
      <c r="J2" s="196"/>
      <c r="K2" s="195">
        <v>29.100055555555599</v>
      </c>
      <c r="L2" s="196">
        <v>52.296499350965128</v>
      </c>
      <c r="M2" s="197">
        <v>59637.599999999999</v>
      </c>
      <c r="N2" s="197">
        <v>335.09100000000001</v>
      </c>
      <c r="O2" s="198">
        <f t="shared" ref="O2:O3" si="2">IFERROR(M2/I2/N2,"")</f>
        <v>0.82433692125212543</v>
      </c>
      <c r="P2" s="196">
        <f t="shared" ref="P2:P3" si="3">IFERROR(I2/G2,"")</f>
        <v>7.1966666666666672</v>
      </c>
      <c r="Q2" s="194">
        <f>COUNTIFS('Daily KPI'!$D:$D,D2,'Daily KPI'!$K:$K,"&gt;0")</f>
        <v>0</v>
      </c>
      <c r="R2" s="197">
        <f t="shared" ref="R2:R3" si="4">I2/G2*Q2</f>
        <v>0</v>
      </c>
      <c r="S2" s="197">
        <f>SUMIF($F$2:F2,F2,$R$2:R2)</f>
        <v>0</v>
      </c>
      <c r="T2" s="196">
        <f t="shared" ref="T2:T3" si="5">M2/G2</f>
        <v>1987.9199999999998</v>
      </c>
      <c r="U2" s="197">
        <f t="shared" ref="U2:U3" si="6">M2/G2*Q2</f>
        <v>0</v>
      </c>
      <c r="V2" s="197">
        <f>SUMIF($F$2:F2,F2,$U$2:U2)</f>
        <v>0</v>
      </c>
      <c r="W2" s="198">
        <f t="shared" ref="W2:W3" si="7">IFERROR(T2/(24*N2),"")</f>
        <v>0.24718658513657482</v>
      </c>
      <c r="X2" s="198" t="str">
        <f>IFERROR(U2/(24*N2*Q2),"")</f>
        <v/>
      </c>
      <c r="Y2" s="198" t="str">
        <f t="shared" ref="Y2:Y49" si="8">IFERROR(V2/(24*N2*SUMIFS($Q:$Q,$F:$F,$F2,$D:$D,"&lt;="&amp;D2)),"")</f>
        <v/>
      </c>
      <c r="Z2" s="196" t="str">
        <f>IFERROR(AVERAGEIF('Daily KPI'!$D:$D,Modelling[[#This Row],[Month]],'Daily KPI'!AB:AB),"")</f>
        <v/>
      </c>
      <c r="AA2" s="199" t="str">
        <f>IFERROR(AVERAGEIF($F$2:F2,F2,$Z$2:Z2),"")</f>
        <v/>
      </c>
      <c r="AB2" s="197"/>
      <c r="AC2" s="196"/>
      <c r="AD2" s="196"/>
      <c r="AE2" s="198">
        <v>0.99750000000000005</v>
      </c>
      <c r="AF2" s="198">
        <v>0.99750000000000005</v>
      </c>
      <c r="AG2" s="198"/>
      <c r="AH2" s="198"/>
      <c r="AI2" s="198"/>
      <c r="AJ2" s="198"/>
      <c r="AK2" s="198"/>
      <c r="AL2" s="198"/>
      <c r="AM2" s="218"/>
      <c r="AN2" s="218"/>
    </row>
    <row r="3" spans="1:42">
      <c r="A3" s="191">
        <f t="shared" ref="A3:A49" si="9">A2+1</f>
        <v>2</v>
      </c>
      <c r="B3" s="191" t="s">
        <v>522</v>
      </c>
      <c r="C3" s="190">
        <v>5</v>
      </c>
      <c r="D3" s="192">
        <v>44682</v>
      </c>
      <c r="E3" s="193">
        <f t="shared" si="0"/>
        <v>2022</v>
      </c>
      <c r="F3" s="193" t="s">
        <v>500</v>
      </c>
      <c r="G3" s="194">
        <f t="shared" si="1"/>
        <v>31</v>
      </c>
      <c r="H3" s="199">
        <v>221.90023470000006</v>
      </c>
      <c r="I3" s="199">
        <v>217.9</v>
      </c>
      <c r="J3" s="201"/>
      <c r="K3" s="199">
        <v>33.399973118279597</v>
      </c>
      <c r="L3" s="201">
        <v>55.437733860726389</v>
      </c>
      <c r="M3" s="202">
        <v>61013.7</v>
      </c>
      <c r="N3" s="197">
        <v>335.09100000000001</v>
      </c>
      <c r="O3" s="203">
        <f t="shared" si="2"/>
        <v>0.835617195758523</v>
      </c>
      <c r="P3" s="201">
        <f t="shared" si="3"/>
        <v>7.0290322580645164</v>
      </c>
      <c r="Q3" s="200">
        <f>COUNTIFS('Daily KPI'!$D:$D,D3,'Daily KPI'!$K:$K,"&gt;0")</f>
        <v>0</v>
      </c>
      <c r="R3" s="202">
        <f t="shared" si="4"/>
        <v>0</v>
      </c>
      <c r="S3" s="202">
        <f>SUMIF($F$2:F3,F3,$R$2:R3)</f>
        <v>0</v>
      </c>
      <c r="T3" s="201">
        <f t="shared" si="5"/>
        <v>1968.1838709677418</v>
      </c>
      <c r="U3" s="202">
        <f t="shared" si="6"/>
        <v>0</v>
      </c>
      <c r="V3" s="202">
        <f>SUMIF($F$2:F3,F3,$U$2:U3)</f>
        <v>0</v>
      </c>
      <c r="W3" s="203">
        <f t="shared" si="7"/>
        <v>0.24473250934916954</v>
      </c>
      <c r="X3" s="198" t="str">
        <f t="shared" ref="X3:X49" si="10">IFERROR(U3/(24*N3*Q3),"")</f>
        <v/>
      </c>
      <c r="Y3" s="203" t="str">
        <f t="shared" si="8"/>
        <v/>
      </c>
      <c r="Z3" s="201" t="str">
        <f>IFERROR(AVERAGEIF('Daily KPI'!$D:$D,Modelling[[#This Row],[Month]],'Daily KPI'!AB:AB),"")</f>
        <v/>
      </c>
      <c r="AA3" s="199" t="str">
        <f>IFERROR(AVERAGEIF($F$2:F3,F3,$Z$2:Z3),"")</f>
        <v/>
      </c>
      <c r="AB3" s="202"/>
      <c r="AC3" s="201"/>
      <c r="AD3" s="201"/>
      <c r="AE3" s="198">
        <v>0.99750000000000005</v>
      </c>
      <c r="AF3" s="198">
        <v>0.99750000000000005</v>
      </c>
      <c r="AG3" s="203"/>
      <c r="AH3" s="203"/>
      <c r="AI3" s="203"/>
      <c r="AJ3" s="203"/>
      <c r="AK3" s="203"/>
      <c r="AL3" s="203"/>
      <c r="AM3" s="218"/>
      <c r="AN3" s="218"/>
    </row>
    <row r="4" spans="1:42">
      <c r="A4" s="190">
        <f t="shared" si="9"/>
        <v>3</v>
      </c>
      <c r="B4" s="191" t="s">
        <v>2429</v>
      </c>
      <c r="C4" s="190">
        <v>6</v>
      </c>
      <c r="D4" s="192">
        <v>44713</v>
      </c>
      <c r="E4" s="193">
        <f t="shared" si="0"/>
        <v>2022</v>
      </c>
      <c r="F4" s="193" t="s">
        <v>500</v>
      </c>
      <c r="G4" s="194">
        <f t="shared" si="1"/>
        <v>30</v>
      </c>
      <c r="H4" s="199">
        <v>200.20089519999999</v>
      </c>
      <c r="I4" s="199">
        <v>192.8</v>
      </c>
      <c r="J4" s="196"/>
      <c r="K4" s="199">
        <v>34.800083333333298</v>
      </c>
      <c r="L4" s="196">
        <v>54.658309168315547</v>
      </c>
      <c r="M4" s="197">
        <v>54806.400000000001</v>
      </c>
      <c r="N4" s="197">
        <v>335.09100000000001</v>
      </c>
      <c r="O4" s="198">
        <f>IFERROR(M4/I4/N4,"")</f>
        <v>0.84832347083620596</v>
      </c>
      <c r="P4" s="196">
        <f>IFERROR(I4/G4,"")</f>
        <v>6.4266666666666667</v>
      </c>
      <c r="Q4" s="194">
        <f>COUNTIFS('Daily KPI'!$D:$D,D4,'Daily KPI'!$K:$K,"&gt;0")</f>
        <v>0</v>
      </c>
      <c r="R4" s="197">
        <f>I4/G4*Q4</f>
        <v>0</v>
      </c>
      <c r="S4" s="197">
        <f>SUMIF($F$4:F4,F4,$R$4:R4)</f>
        <v>0</v>
      </c>
      <c r="T4" s="196">
        <f>M4/G4</f>
        <v>1826.88</v>
      </c>
      <c r="U4" s="197">
        <f>M4/G4*Q4</f>
        <v>0</v>
      </c>
      <c r="V4" s="197">
        <f>SUMIF($F$4:F4,F4,$U$4:U4)</f>
        <v>0</v>
      </c>
      <c r="W4" s="198">
        <f>IFERROR(T4/(24*N4),"")</f>
        <v>0.22716217385725074</v>
      </c>
      <c r="X4" s="198" t="str">
        <f t="shared" si="10"/>
        <v/>
      </c>
      <c r="Y4" s="198" t="str">
        <f t="shared" si="8"/>
        <v/>
      </c>
      <c r="Z4" s="196" t="str">
        <f>IFERROR(AVERAGEIF('Daily KPI'!$D:$D,Modelling[[#This Row],[Month]],'Daily KPI'!AB:AB),"")</f>
        <v/>
      </c>
      <c r="AA4" s="199" t="str">
        <f>IFERROR(AVERAGEIF($F$2:F4,F4,$Z$2:Z4),"")</f>
        <v/>
      </c>
      <c r="AB4" s="197"/>
      <c r="AC4" s="196"/>
      <c r="AD4" s="196"/>
      <c r="AE4" s="198">
        <v>0.99750000000000005</v>
      </c>
      <c r="AF4" s="198">
        <v>0.99750000000000005</v>
      </c>
      <c r="AG4" s="198"/>
      <c r="AH4" s="198"/>
      <c r="AI4" s="198"/>
      <c r="AJ4" s="198"/>
      <c r="AK4" s="198"/>
      <c r="AL4" s="198"/>
      <c r="AM4" s="218"/>
      <c r="AN4" s="218"/>
    </row>
    <row r="5" spans="1:42">
      <c r="A5" s="191">
        <f t="shared" si="9"/>
        <v>4</v>
      </c>
      <c r="B5" s="191" t="s">
        <v>2430</v>
      </c>
      <c r="C5" s="190">
        <v>7</v>
      </c>
      <c r="D5" s="192">
        <v>44743</v>
      </c>
      <c r="E5" s="193">
        <f t="shared" si="0"/>
        <v>2022</v>
      </c>
      <c r="F5" s="193" t="s">
        <v>500</v>
      </c>
      <c r="G5" s="194">
        <f t="shared" si="1"/>
        <v>31</v>
      </c>
      <c r="H5" s="199">
        <v>173.59972409999992</v>
      </c>
      <c r="I5" s="199">
        <v>168.9</v>
      </c>
      <c r="J5" s="201"/>
      <c r="K5" s="199">
        <v>33.099892473118302</v>
      </c>
      <c r="L5" s="201">
        <v>51.564857066184757</v>
      </c>
      <c r="M5" s="202">
        <v>48598.11</v>
      </c>
      <c r="N5" s="197">
        <v>335.09100000000001</v>
      </c>
      <c r="O5" s="203">
        <f>IFERROR(M5/I5/N5,"")</f>
        <v>0.85867133793559836</v>
      </c>
      <c r="P5" s="201">
        <f>IFERROR(I5/G5,"")</f>
        <v>5.4483870967741934</v>
      </c>
      <c r="Q5" s="200">
        <f>COUNTIFS('Daily KPI'!$D:$D,D5,'Daily KPI'!$K:$K,"&gt;0")</f>
        <v>0</v>
      </c>
      <c r="R5" s="202">
        <f>I5/G5*Q5</f>
        <v>0</v>
      </c>
      <c r="S5" s="202">
        <f>SUMIF($F$5:F5,F5,$R$5:R5)</f>
        <v>0</v>
      </c>
      <c r="T5" s="201">
        <f>M5/G5</f>
        <v>1567.6809677419355</v>
      </c>
      <c r="U5" s="202">
        <f>M5/G5*Q5</f>
        <v>0</v>
      </c>
      <c r="V5" s="202">
        <f>SUMIF($F$5:F5,F5,$U$5:U5)</f>
        <v>0</v>
      </c>
      <c r="W5" s="203">
        <f>IFERROR(T5/(24*N5),"")</f>
        <v>0.19493224324908948</v>
      </c>
      <c r="X5" s="198" t="str">
        <f t="shared" si="10"/>
        <v/>
      </c>
      <c r="Y5" s="203" t="str">
        <f t="shared" si="8"/>
        <v/>
      </c>
      <c r="Z5" s="201" t="str">
        <f>IFERROR(AVERAGEIF('Daily KPI'!$D:$D,Modelling[[#This Row],[Month]],'Daily KPI'!AB:AB),"")</f>
        <v/>
      </c>
      <c r="AA5" s="199" t="str">
        <f>IFERROR(AVERAGEIF($F$2:F5,F5,$Z$2:Z5),"")</f>
        <v/>
      </c>
      <c r="AB5" s="202"/>
      <c r="AC5" s="201"/>
      <c r="AD5" s="201"/>
      <c r="AE5" s="198">
        <v>0.99750000000000005</v>
      </c>
      <c r="AF5" s="198">
        <v>0.99750000000000005</v>
      </c>
      <c r="AG5" s="203"/>
      <c r="AH5" s="203"/>
      <c r="AI5" s="203"/>
      <c r="AJ5" s="203"/>
      <c r="AK5" s="203"/>
      <c r="AL5" s="203"/>
      <c r="AM5" s="218"/>
      <c r="AN5" s="218"/>
    </row>
    <row r="6" spans="1:42">
      <c r="A6" s="190">
        <f t="shared" si="9"/>
        <v>5</v>
      </c>
      <c r="B6" s="191" t="s">
        <v>2480</v>
      </c>
      <c r="C6" s="190">
        <v>8</v>
      </c>
      <c r="D6" s="192">
        <v>44774</v>
      </c>
      <c r="E6" s="193">
        <f t="shared" si="0"/>
        <v>2022</v>
      </c>
      <c r="F6" s="193" t="s">
        <v>500</v>
      </c>
      <c r="G6" s="194">
        <f t="shared" si="1"/>
        <v>31</v>
      </c>
      <c r="H6" s="199">
        <v>172.6001566000001</v>
      </c>
      <c r="I6" s="199">
        <v>174.2</v>
      </c>
      <c r="J6" s="196"/>
      <c r="K6" s="199">
        <v>31.799973118279599</v>
      </c>
      <c r="L6" s="196">
        <v>50.336592710430871</v>
      </c>
      <c r="M6" s="197">
        <v>49476.24</v>
      </c>
      <c r="N6" s="197">
        <v>335.09100000000001</v>
      </c>
      <c r="O6" s="198">
        <f t="shared" ref="O6:O29" si="11">IFERROR(M6/I6/N6,"")</f>
        <v>0.84758990070387552</v>
      </c>
      <c r="P6" s="196">
        <f t="shared" ref="P6:P29" si="12">IFERROR(I6/G6,"")</f>
        <v>5.6193548387096772</v>
      </c>
      <c r="Q6" s="194">
        <f>COUNTIFS('Daily KPI'!$D:$D,D6,'Daily KPI'!$K:$K,"&gt;0")</f>
        <v>0</v>
      </c>
      <c r="R6" s="197">
        <f t="shared" ref="R6:R29" si="13">I6/G6*Q6</f>
        <v>0</v>
      </c>
      <c r="S6" s="197">
        <f>SUMIF($F$6:F6,F6,$R$6:R6)</f>
        <v>0</v>
      </c>
      <c r="T6" s="196">
        <f t="shared" ref="T6:T29" si="14">M6/G6</f>
        <v>1596.0077419354839</v>
      </c>
      <c r="U6" s="197">
        <f t="shared" ref="U6:U29" si="15">M6/G6*Q6</f>
        <v>0</v>
      </c>
      <c r="V6" s="197">
        <f>SUMIF($F$6:F6,F6,$U$6:U6)</f>
        <v>0</v>
      </c>
      <c r="W6" s="198">
        <f t="shared" ref="W6:W29" si="16">IFERROR(T6/(24*N6),"")</f>
        <v>0.19845451707340739</v>
      </c>
      <c r="X6" s="198" t="str">
        <f t="shared" si="10"/>
        <v/>
      </c>
      <c r="Y6" s="198" t="str">
        <f t="shared" si="8"/>
        <v/>
      </c>
      <c r="Z6" s="196" t="str">
        <f>IFERROR(AVERAGEIF('Daily KPI'!$D:$D,Modelling[[#This Row],[Month]],'Daily KPI'!AB:AB),"")</f>
        <v/>
      </c>
      <c r="AA6" s="199" t="str">
        <f>IFERROR(AVERAGEIF($F$2:F6,F6,$Z$2:Z6),"")</f>
        <v/>
      </c>
      <c r="AB6" s="197"/>
      <c r="AC6" s="196"/>
      <c r="AD6" s="196"/>
      <c r="AE6" s="198">
        <v>0.99750000000000005</v>
      </c>
      <c r="AF6" s="198">
        <v>0.99750000000000005</v>
      </c>
      <c r="AG6" s="198"/>
      <c r="AH6" s="198"/>
      <c r="AI6" s="198"/>
      <c r="AJ6" s="198"/>
      <c r="AK6" s="198"/>
      <c r="AL6" s="198"/>
      <c r="AM6" s="218"/>
      <c r="AN6" s="218"/>
    </row>
    <row r="7" spans="1:42">
      <c r="A7" s="190">
        <f t="shared" si="9"/>
        <v>6</v>
      </c>
      <c r="B7" s="191" t="s">
        <v>2481</v>
      </c>
      <c r="C7" s="190">
        <v>9</v>
      </c>
      <c r="D7" s="192">
        <v>44805</v>
      </c>
      <c r="E7" s="193">
        <f t="shared" si="0"/>
        <v>2022</v>
      </c>
      <c r="F7" s="193" t="s">
        <v>500</v>
      </c>
      <c r="G7" s="194">
        <f t="shared" si="1"/>
        <v>30</v>
      </c>
      <c r="H7" s="199">
        <v>178.89930529999984</v>
      </c>
      <c r="I7" s="199">
        <v>192.1</v>
      </c>
      <c r="J7" s="196"/>
      <c r="K7" s="199">
        <v>31.199874999999999</v>
      </c>
      <c r="L7" s="196">
        <v>52.25059433997491</v>
      </c>
      <c r="M7" s="197">
        <v>53840.159999999996</v>
      </c>
      <c r="N7" s="197">
        <v>335.09100000000001</v>
      </c>
      <c r="O7" s="198">
        <f t="shared" si="11"/>
        <v>0.8364042163092027</v>
      </c>
      <c r="P7" s="196">
        <f t="shared" si="12"/>
        <v>6.4033333333333333</v>
      </c>
      <c r="Q7" s="194">
        <f>COUNTIFS('Daily KPI'!$D:$D,D7,'Daily KPI'!$K:$K,"&gt;0")</f>
        <v>0</v>
      </c>
      <c r="R7" s="197">
        <f t="shared" si="13"/>
        <v>0</v>
      </c>
      <c r="S7" s="197">
        <f>SUMIF($F$6:F7,F7,$R$6:R7)</f>
        <v>0</v>
      </c>
      <c r="T7" s="196">
        <f t="shared" si="14"/>
        <v>1794.6719999999998</v>
      </c>
      <c r="U7" s="197">
        <f t="shared" si="15"/>
        <v>0</v>
      </c>
      <c r="V7" s="197">
        <f>SUMIF($F$6:F7,F7,$U$6:U7)</f>
        <v>0</v>
      </c>
      <c r="W7" s="198">
        <f t="shared" si="16"/>
        <v>0.22315729160138587</v>
      </c>
      <c r="X7" s="198" t="str">
        <f t="shared" si="10"/>
        <v/>
      </c>
      <c r="Y7" s="198" t="str">
        <f t="shared" si="8"/>
        <v/>
      </c>
      <c r="Z7" s="196" t="str">
        <f>IFERROR(AVERAGEIF('Daily KPI'!$D:$D,Modelling[[#This Row],[Month]],'Daily KPI'!AB:AB),"")</f>
        <v/>
      </c>
      <c r="AA7" s="199" t="str">
        <f>IFERROR(AVERAGEIF($F$2:F7,F7,$Z$2:Z7),"")</f>
        <v/>
      </c>
      <c r="AB7" s="197"/>
      <c r="AC7" s="196"/>
      <c r="AD7" s="196"/>
      <c r="AE7" s="198">
        <v>0.99750000000000005</v>
      </c>
      <c r="AF7" s="198">
        <v>0.99750000000000005</v>
      </c>
      <c r="AG7" s="198"/>
      <c r="AH7" s="198"/>
      <c r="AI7" s="198"/>
      <c r="AJ7" s="198"/>
      <c r="AK7" s="198"/>
      <c r="AL7" s="198"/>
      <c r="AM7" s="218"/>
      <c r="AN7" s="218"/>
    </row>
    <row r="8" spans="1:42">
      <c r="A8" s="191">
        <f t="shared" si="9"/>
        <v>7</v>
      </c>
      <c r="B8" s="191" t="s">
        <v>2482</v>
      </c>
      <c r="C8" s="190">
        <v>10</v>
      </c>
      <c r="D8" s="192">
        <v>44835</v>
      </c>
      <c r="E8" s="193">
        <f t="shared" si="0"/>
        <v>2022</v>
      </c>
      <c r="F8" s="193" t="s">
        <v>500</v>
      </c>
      <c r="G8" s="194">
        <f t="shared" si="1"/>
        <v>31</v>
      </c>
      <c r="H8" s="199">
        <v>174.60082279999986</v>
      </c>
      <c r="I8" s="199">
        <v>202.3</v>
      </c>
      <c r="J8" s="201"/>
      <c r="K8" s="195">
        <v>27.1001075268817</v>
      </c>
      <c r="L8" s="201">
        <v>49.723937837075084</v>
      </c>
      <c r="M8" s="202">
        <v>56487.42</v>
      </c>
      <c r="N8" s="202">
        <v>335.09100000000001</v>
      </c>
      <c r="O8" s="203">
        <f t="shared" si="11"/>
        <v>0.83328409592806352</v>
      </c>
      <c r="P8" s="201">
        <f t="shared" si="12"/>
        <v>6.5258064516129037</v>
      </c>
      <c r="Q8" s="200">
        <f>COUNTIFS('Daily KPI'!$D:$D,D8,'Daily KPI'!$K:$K,"&gt;0")</f>
        <v>0</v>
      </c>
      <c r="R8" s="202">
        <f t="shared" si="13"/>
        <v>0</v>
      </c>
      <c r="S8" s="202">
        <f>SUMIF($F$6:F8,F8,$R$6:R8)</f>
        <v>0</v>
      </c>
      <c r="T8" s="201">
        <f t="shared" si="14"/>
        <v>1822.1748387096773</v>
      </c>
      <c r="U8" s="202">
        <f t="shared" si="15"/>
        <v>0</v>
      </c>
      <c r="V8" s="202">
        <f>SUMIF($F$6:F8,F8,$U$6:U8)</f>
        <v>0</v>
      </c>
      <c r="W8" s="203">
        <f t="shared" si="16"/>
        <v>0.22657711371807424</v>
      </c>
      <c r="X8" s="198" t="str">
        <f t="shared" si="10"/>
        <v/>
      </c>
      <c r="Y8" s="203" t="str">
        <f t="shared" si="8"/>
        <v/>
      </c>
      <c r="Z8" s="201" t="str">
        <f>IFERROR(AVERAGEIF('Daily KPI'!$D:$D,Modelling[[#This Row],[Month]],'Daily KPI'!AB:AB),"")</f>
        <v/>
      </c>
      <c r="AA8" s="199" t="str">
        <f>IFERROR(AVERAGEIF($F$2:F8,F8,$Z$2:Z8),"")</f>
        <v/>
      </c>
      <c r="AB8" s="202"/>
      <c r="AC8" s="201"/>
      <c r="AD8" s="201"/>
      <c r="AE8" s="203">
        <v>0.99750000000000005</v>
      </c>
      <c r="AF8" s="203">
        <v>0.99750000000000005</v>
      </c>
      <c r="AG8" s="203"/>
      <c r="AH8" s="203"/>
      <c r="AI8" s="203"/>
      <c r="AJ8" s="203"/>
      <c r="AK8" s="203"/>
      <c r="AL8" s="203"/>
      <c r="AM8" s="218"/>
      <c r="AN8" s="218"/>
    </row>
    <row r="9" spans="1:42">
      <c r="A9" s="190">
        <f t="shared" si="9"/>
        <v>8</v>
      </c>
      <c r="B9" s="191" t="s">
        <v>2483</v>
      </c>
      <c r="C9" s="190">
        <v>11</v>
      </c>
      <c r="D9" s="192">
        <v>44866</v>
      </c>
      <c r="E9" s="193">
        <f t="shared" si="0"/>
        <v>2022</v>
      </c>
      <c r="F9" s="193" t="s">
        <v>500</v>
      </c>
      <c r="G9" s="194">
        <f t="shared" si="1"/>
        <v>30</v>
      </c>
      <c r="H9" s="199">
        <v>133.69942049999997</v>
      </c>
      <c r="I9" s="199">
        <v>162.9</v>
      </c>
      <c r="J9" s="196"/>
      <c r="K9" s="199">
        <v>20.900027777777801</v>
      </c>
      <c r="L9" s="196">
        <v>42.187120547750681</v>
      </c>
      <c r="M9" s="197">
        <v>47868.480000000003</v>
      </c>
      <c r="N9" s="197">
        <v>335.09100000000001</v>
      </c>
      <c r="O9" s="198">
        <f t="shared" si="11"/>
        <v>0.87693174003974284</v>
      </c>
      <c r="P9" s="196">
        <f t="shared" si="12"/>
        <v>5.4300000000000006</v>
      </c>
      <c r="Q9" s="194">
        <f>COUNTIFS('Daily KPI'!$D:$D,D9,'Daily KPI'!$K:$K,"&gt;0")</f>
        <v>0</v>
      </c>
      <c r="R9" s="197">
        <f t="shared" si="13"/>
        <v>0</v>
      </c>
      <c r="S9" s="197">
        <f>SUMIF($F$6:F9,F9,$R$6:R9)</f>
        <v>0</v>
      </c>
      <c r="T9" s="196">
        <f t="shared" si="14"/>
        <v>1595.6160000000002</v>
      </c>
      <c r="U9" s="197">
        <f t="shared" si="15"/>
        <v>0</v>
      </c>
      <c r="V9" s="197">
        <f>SUMIF($F$6:F9,F9,$U$6:U9)</f>
        <v>0</v>
      </c>
      <c r="W9" s="198">
        <f t="shared" si="16"/>
        <v>0.19840580618399184</v>
      </c>
      <c r="X9" s="198" t="str">
        <f t="shared" si="10"/>
        <v/>
      </c>
      <c r="Y9" s="198" t="str">
        <f t="shared" si="8"/>
        <v/>
      </c>
      <c r="Z9" s="196" t="str">
        <f>IFERROR(AVERAGEIF('Daily KPI'!$D:$D,Modelling[[#This Row],[Month]],'Daily KPI'!AB:AB),"")</f>
        <v/>
      </c>
      <c r="AA9" s="199" t="str">
        <f>IFERROR(AVERAGEIF($F$2:F9,F9,$Z$2:Z9),"")</f>
        <v/>
      </c>
      <c r="AB9" s="197"/>
      <c r="AC9" s="196"/>
      <c r="AD9" s="196"/>
      <c r="AE9" s="198">
        <v>0.99750000000000005</v>
      </c>
      <c r="AF9" s="198">
        <v>0.99750000000000005</v>
      </c>
      <c r="AG9" s="198"/>
      <c r="AH9" s="198"/>
      <c r="AI9" s="198"/>
      <c r="AJ9" s="198"/>
      <c r="AK9" s="198"/>
      <c r="AL9" s="198"/>
      <c r="AM9" s="218"/>
      <c r="AN9" s="218"/>
    </row>
    <row r="10" spans="1:42">
      <c r="A10" s="191">
        <f t="shared" si="9"/>
        <v>9</v>
      </c>
      <c r="B10" s="191" t="s">
        <v>2484</v>
      </c>
      <c r="C10" s="190">
        <v>12</v>
      </c>
      <c r="D10" s="192">
        <v>44896</v>
      </c>
      <c r="E10" s="193">
        <f t="shared" si="0"/>
        <v>2022</v>
      </c>
      <c r="F10" s="193" t="s">
        <v>500</v>
      </c>
      <c r="G10" s="194">
        <f t="shared" si="1"/>
        <v>31</v>
      </c>
      <c r="H10" s="199">
        <v>124.40004220000003</v>
      </c>
      <c r="I10" s="199">
        <v>158.6</v>
      </c>
      <c r="J10" s="201"/>
      <c r="K10" s="195">
        <v>15.891489381720399</v>
      </c>
      <c r="L10" s="201">
        <v>36.076939444156181</v>
      </c>
      <c r="M10" s="202">
        <v>47682.36</v>
      </c>
      <c r="N10" s="202">
        <v>335.09100000000001</v>
      </c>
      <c r="O10" s="203">
        <f t="shared" si="11"/>
        <v>0.89720522850725648</v>
      </c>
      <c r="P10" s="201">
        <f t="shared" si="12"/>
        <v>5.1161290322580646</v>
      </c>
      <c r="Q10" s="200">
        <f>COUNTIFS('Daily KPI'!$D:$D,D10,'Daily KPI'!$K:$K,"&gt;0")</f>
        <v>0</v>
      </c>
      <c r="R10" s="202">
        <f t="shared" si="13"/>
        <v>0</v>
      </c>
      <c r="S10" s="202">
        <f>SUMIF($F$6:F10,F10,$R$6:R10)</f>
        <v>0</v>
      </c>
      <c r="T10" s="201">
        <f t="shared" si="14"/>
        <v>1538.1406451612904</v>
      </c>
      <c r="U10" s="202">
        <f t="shared" si="15"/>
        <v>0</v>
      </c>
      <c r="V10" s="202">
        <f>SUMIF($F$6:F10,F10,$U$6:U10)</f>
        <v>0</v>
      </c>
      <c r="W10" s="203">
        <f t="shared" si="16"/>
        <v>0.19125907156082109</v>
      </c>
      <c r="X10" s="198" t="str">
        <f t="shared" si="10"/>
        <v/>
      </c>
      <c r="Y10" s="203" t="str">
        <f t="shared" si="8"/>
        <v/>
      </c>
      <c r="Z10" s="201" t="str">
        <f>IFERROR(AVERAGEIF('Daily KPI'!$D:$D,Modelling[[#This Row],[Month]],'Daily KPI'!AB:AB),"")</f>
        <v/>
      </c>
      <c r="AA10" s="199" t="str">
        <f>IFERROR(AVERAGEIF($F$2:F10,F10,$Z$2:Z10),"")</f>
        <v/>
      </c>
      <c r="AB10" s="202"/>
      <c r="AC10" s="201"/>
      <c r="AD10" s="201"/>
      <c r="AE10" s="203">
        <v>0.99750000000000005</v>
      </c>
      <c r="AF10" s="203">
        <v>0.99750000000000005</v>
      </c>
      <c r="AG10" s="203"/>
      <c r="AH10" s="203"/>
      <c r="AI10" s="203"/>
      <c r="AJ10" s="203"/>
      <c r="AK10" s="203"/>
      <c r="AL10" s="203"/>
      <c r="AM10" s="218"/>
      <c r="AN10" s="218"/>
    </row>
    <row r="11" spans="1:42">
      <c r="A11" s="190">
        <f t="shared" si="9"/>
        <v>10</v>
      </c>
      <c r="B11" s="191" t="s">
        <v>2485</v>
      </c>
      <c r="C11" s="190">
        <v>1</v>
      </c>
      <c r="D11" s="192">
        <v>44927</v>
      </c>
      <c r="E11" s="193">
        <f t="shared" si="0"/>
        <v>2023</v>
      </c>
      <c r="F11" s="193" t="s">
        <v>500</v>
      </c>
      <c r="G11" s="194">
        <f t="shared" si="1"/>
        <v>31</v>
      </c>
      <c r="H11" s="199">
        <v>133.89933939999995</v>
      </c>
      <c r="I11" s="199">
        <v>169.028549</v>
      </c>
      <c r="J11" s="196"/>
      <c r="K11" s="199">
        <v>14.399918279569899</v>
      </c>
      <c r="L11" s="196">
        <v>34.970332119021293</v>
      </c>
      <c r="M11" s="197">
        <v>50622.659999999996</v>
      </c>
      <c r="N11" s="197">
        <v>335.09100000000001</v>
      </c>
      <c r="O11" s="198">
        <f t="shared" si="11"/>
        <v>0.89376251233182635</v>
      </c>
      <c r="P11" s="196">
        <f t="shared" si="12"/>
        <v>5.4525338387096776</v>
      </c>
      <c r="Q11" s="194">
        <f>COUNTIFS('Daily KPI'!$D:$D,D11,'Daily KPI'!$K:$K,"&gt;0")</f>
        <v>0</v>
      </c>
      <c r="R11" s="197">
        <f t="shared" si="13"/>
        <v>0</v>
      </c>
      <c r="S11" s="197">
        <f>SUMIF($F$6:F11,F11,$R$6:R11)</f>
        <v>0</v>
      </c>
      <c r="T11" s="196">
        <f t="shared" si="14"/>
        <v>1632.9890322580643</v>
      </c>
      <c r="U11" s="197">
        <f t="shared" si="15"/>
        <v>0</v>
      </c>
      <c r="V11" s="197">
        <f>SUMIF($F$6:F11,F11,$U$6:U11)</f>
        <v>0</v>
      </c>
      <c r="W11" s="198">
        <f t="shared" si="16"/>
        <v>0.20305293092747745</v>
      </c>
      <c r="X11" s="198" t="str">
        <f t="shared" si="10"/>
        <v/>
      </c>
      <c r="Y11" s="198" t="str">
        <f t="shared" si="8"/>
        <v/>
      </c>
      <c r="Z11" s="196" t="str">
        <f>IFERROR(AVERAGEIF('Daily KPI'!$D:$D,Modelling[[#This Row],[Month]],'Daily KPI'!AB:AB),"")</f>
        <v/>
      </c>
      <c r="AA11" s="199" t="str">
        <f>IFERROR(AVERAGEIF($F$2:F11,F11,$Z$2:Z11),"")</f>
        <v/>
      </c>
      <c r="AB11" s="197"/>
      <c r="AC11" s="196"/>
      <c r="AD11" s="196"/>
      <c r="AE11" s="198">
        <v>0.99750000000000005</v>
      </c>
      <c r="AF11" s="198">
        <v>0.99750000000000005</v>
      </c>
      <c r="AG11" s="198"/>
      <c r="AH11" s="198"/>
      <c r="AI11" s="198"/>
      <c r="AJ11" s="198"/>
      <c r="AK11" s="198"/>
      <c r="AL11" s="198"/>
      <c r="AM11" s="218"/>
      <c r="AN11" s="218"/>
    </row>
    <row r="12" spans="1:42">
      <c r="A12" s="191">
        <f t="shared" si="9"/>
        <v>11</v>
      </c>
      <c r="B12" s="191" t="s">
        <v>2486</v>
      </c>
      <c r="C12" s="190">
        <v>2</v>
      </c>
      <c r="D12" s="192">
        <v>44958</v>
      </c>
      <c r="E12" s="193">
        <f t="shared" si="0"/>
        <v>2023</v>
      </c>
      <c r="F12" s="193" t="s">
        <v>500</v>
      </c>
      <c r="G12" s="194">
        <f t="shared" si="1"/>
        <v>28</v>
      </c>
      <c r="H12" s="199">
        <v>145.40077080000009</v>
      </c>
      <c r="I12" s="199">
        <v>172.55912190000004</v>
      </c>
      <c r="J12" s="201"/>
      <c r="K12" s="195">
        <v>17.800145982142901</v>
      </c>
      <c r="L12" s="201">
        <v>40.252096455972236</v>
      </c>
      <c r="M12" s="202">
        <v>49925.7</v>
      </c>
      <c r="N12" s="202">
        <v>335.09100000000001</v>
      </c>
      <c r="O12" s="203">
        <f t="shared" si="11"/>
        <v>0.86342272925817676</v>
      </c>
      <c r="P12" s="201">
        <f t="shared" si="12"/>
        <v>6.1628257821428587</v>
      </c>
      <c r="Q12" s="200">
        <f>COUNTIFS('Daily KPI'!$D:$D,D12,'Daily KPI'!$K:$K,"&gt;0")</f>
        <v>0</v>
      </c>
      <c r="R12" s="202">
        <f t="shared" si="13"/>
        <v>0</v>
      </c>
      <c r="S12" s="202">
        <f>SUMIF($F$6:F12,F12,$R$6:R12)</f>
        <v>0</v>
      </c>
      <c r="T12" s="201">
        <f t="shared" si="14"/>
        <v>1783.0607142857141</v>
      </c>
      <c r="U12" s="202">
        <f t="shared" si="15"/>
        <v>0</v>
      </c>
      <c r="V12" s="202">
        <f>SUMIF($F$6:F12,F12,$U$6:U12)</f>
        <v>0</v>
      </c>
      <c r="W12" s="203">
        <f t="shared" si="16"/>
        <v>0.22171349403168517</v>
      </c>
      <c r="X12" s="198" t="str">
        <f t="shared" si="10"/>
        <v/>
      </c>
      <c r="Y12" s="203" t="str">
        <f t="shared" si="8"/>
        <v/>
      </c>
      <c r="Z12" s="201" t="str">
        <f>IFERROR(AVERAGEIF('Daily KPI'!$D:$D,Modelling[[#This Row],[Month]],'Daily KPI'!AB:AB),"")</f>
        <v/>
      </c>
      <c r="AA12" s="199" t="str">
        <f>IFERROR(AVERAGEIF($F$2:F12,F12,$Z$2:Z12),"")</f>
        <v/>
      </c>
      <c r="AB12" s="202"/>
      <c r="AC12" s="201"/>
      <c r="AD12" s="201"/>
      <c r="AE12" s="203">
        <v>0.99750000000000005</v>
      </c>
      <c r="AF12" s="203">
        <v>0.99750000000000005</v>
      </c>
      <c r="AG12" s="203"/>
      <c r="AH12" s="203"/>
      <c r="AI12" s="203"/>
      <c r="AJ12" s="203"/>
      <c r="AK12" s="203"/>
      <c r="AL12" s="203"/>
      <c r="AM12" s="219"/>
      <c r="AN12" s="219"/>
    </row>
    <row r="13" spans="1:42">
      <c r="A13" s="190">
        <f t="shared" si="9"/>
        <v>12</v>
      </c>
      <c r="B13" s="191" t="s">
        <v>2487</v>
      </c>
      <c r="C13" s="190">
        <v>3</v>
      </c>
      <c r="D13" s="192">
        <v>44986</v>
      </c>
      <c r="E13" s="193">
        <f t="shared" si="0"/>
        <v>2023</v>
      </c>
      <c r="F13" s="193" t="s">
        <v>500</v>
      </c>
      <c r="G13" s="194">
        <f t="shared" si="1"/>
        <v>31</v>
      </c>
      <c r="H13" s="199">
        <v>195.59891570000002</v>
      </c>
      <c r="I13" s="199">
        <v>215.74576700000009</v>
      </c>
      <c r="J13" s="196"/>
      <c r="K13" s="199">
        <v>23.6002284946236</v>
      </c>
      <c r="L13" s="196">
        <v>47.179622377374095</v>
      </c>
      <c r="M13" s="197">
        <v>59767.29</v>
      </c>
      <c r="N13" s="197">
        <v>335.09100000000001</v>
      </c>
      <c r="O13" s="198">
        <f t="shared" si="11"/>
        <v>0.82672013904860664</v>
      </c>
      <c r="P13" s="196">
        <f t="shared" si="12"/>
        <v>6.9595408709677447</v>
      </c>
      <c r="Q13" s="194">
        <f>COUNTIFS('Daily KPI'!$D:$D,D13,'Daily KPI'!$K:$K,"&gt;0")</f>
        <v>0</v>
      </c>
      <c r="R13" s="197">
        <f t="shared" si="13"/>
        <v>0</v>
      </c>
      <c r="S13" s="197">
        <f>SUMIF($F$6:F13,F13,$R$6:R13)</f>
        <v>0</v>
      </c>
      <c r="T13" s="196">
        <f t="shared" si="14"/>
        <v>1927.9770967741936</v>
      </c>
      <c r="U13" s="197">
        <f t="shared" si="15"/>
        <v>0</v>
      </c>
      <c r="V13" s="197">
        <f>SUMIF($F$6:F13,F13,$U$6:U13)</f>
        <v>0</v>
      </c>
      <c r="W13" s="198">
        <f t="shared" si="16"/>
        <v>0.23973302485670478</v>
      </c>
      <c r="X13" s="198" t="str">
        <f t="shared" si="10"/>
        <v/>
      </c>
      <c r="Y13" s="198" t="str">
        <f t="shared" si="8"/>
        <v/>
      </c>
      <c r="Z13" s="196" t="str">
        <f>IFERROR(AVERAGEIF('Daily KPI'!$D:$D,Modelling[[#This Row],[Month]],'Daily KPI'!AB:AB),"")</f>
        <v/>
      </c>
      <c r="AA13" s="199" t="str">
        <f>IFERROR(AVERAGEIF($F$2:F13,F13,$Z$2:Z13),"")</f>
        <v/>
      </c>
      <c r="AB13" s="197"/>
      <c r="AC13" s="196"/>
      <c r="AD13" s="196"/>
      <c r="AE13" s="198">
        <v>0.99750000000000005</v>
      </c>
      <c r="AF13" s="198">
        <v>0.99750000000000005</v>
      </c>
      <c r="AG13" s="198"/>
      <c r="AH13" s="198"/>
      <c r="AI13" s="198"/>
      <c r="AJ13" s="198"/>
      <c r="AK13" s="198"/>
      <c r="AL13" s="198"/>
      <c r="AM13" s="219"/>
      <c r="AN13" s="219"/>
    </row>
    <row r="14" spans="1:42">
      <c r="A14" s="191">
        <f t="shared" si="9"/>
        <v>13</v>
      </c>
      <c r="B14" s="191" t="str">
        <f>B2</f>
        <v>April</v>
      </c>
      <c r="C14" s="191">
        <f>C2</f>
        <v>4</v>
      </c>
      <c r="D14" s="192">
        <v>45017</v>
      </c>
      <c r="E14" s="193">
        <f t="shared" si="0"/>
        <v>2023</v>
      </c>
      <c r="F14" s="193" t="s">
        <v>392</v>
      </c>
      <c r="G14" s="194">
        <f t="shared" si="1"/>
        <v>30</v>
      </c>
      <c r="H14" s="199">
        <f>H2</f>
        <v>208.99969899999999</v>
      </c>
      <c r="I14" s="199">
        <f>I2</f>
        <v>215.9</v>
      </c>
      <c r="J14" s="201"/>
      <c r="K14" s="195">
        <f>K2</f>
        <v>29.100055555555599</v>
      </c>
      <c r="L14" s="201">
        <f>L2</f>
        <v>52.296499350965128</v>
      </c>
      <c r="M14" s="202">
        <v>58630</v>
      </c>
      <c r="N14" s="202">
        <v>335.09100000000001</v>
      </c>
      <c r="O14" s="203">
        <f t="shared" si="11"/>
        <v>0.81040943453479197</v>
      </c>
      <c r="P14" s="201">
        <f t="shared" si="12"/>
        <v>7.1966666666666672</v>
      </c>
      <c r="Q14" s="200">
        <f>COUNTIFS('Daily KPI'!$D:$D,D14,'Daily KPI'!$K:$K,"&gt;0")</f>
        <v>0</v>
      </c>
      <c r="R14" s="202">
        <f t="shared" si="13"/>
        <v>0</v>
      </c>
      <c r="S14" s="202">
        <f>SUMIF($F$6:F14,F14,$R$6:R14)</f>
        <v>0</v>
      </c>
      <c r="T14" s="201">
        <f t="shared" si="14"/>
        <v>1954.3333333333333</v>
      </c>
      <c r="U14" s="202">
        <f t="shared" si="15"/>
        <v>0</v>
      </c>
      <c r="V14" s="202">
        <f>SUMIF($F$6:F14,F14,$U$6:U14)</f>
        <v>0</v>
      </c>
      <c r="W14" s="203">
        <f t="shared" si="16"/>
        <v>0.24301027349453</v>
      </c>
      <c r="X14" s="198" t="str">
        <f t="shared" si="10"/>
        <v/>
      </c>
      <c r="Y14" s="203" t="str">
        <f t="shared" si="8"/>
        <v/>
      </c>
      <c r="Z14" s="201" t="str">
        <f>IFERROR(AVERAGEIF('Daily KPI'!$D:$D,Modelling[[#This Row],[Month]],'Daily KPI'!AB:AB),"")</f>
        <v/>
      </c>
      <c r="AA14" s="199" t="str">
        <f>IFERROR(AVERAGEIF($F$2:F14,F14,$Z$2:Z14),"")</f>
        <v/>
      </c>
      <c r="AB14" s="202"/>
      <c r="AC14" s="201"/>
      <c r="AD14" s="201"/>
      <c r="AE14" s="203">
        <v>0.99750000000000005</v>
      </c>
      <c r="AF14" s="203">
        <v>0.99750000000000005</v>
      </c>
      <c r="AG14" s="203"/>
      <c r="AH14" s="203"/>
      <c r="AI14" s="203"/>
      <c r="AJ14" s="203"/>
      <c r="AK14" s="203"/>
      <c r="AL14" s="203"/>
      <c r="AM14" s="219"/>
      <c r="AN14" s="219"/>
    </row>
    <row r="15" spans="1:42">
      <c r="A15" s="190">
        <f t="shared" si="9"/>
        <v>14</v>
      </c>
      <c r="B15" s="191" t="str">
        <f t="shared" ref="B15:C29" si="17">B3</f>
        <v>May</v>
      </c>
      <c r="C15" s="191">
        <f t="shared" si="17"/>
        <v>5</v>
      </c>
      <c r="D15" s="192">
        <v>45047</v>
      </c>
      <c r="E15" s="193">
        <f t="shared" si="0"/>
        <v>2023</v>
      </c>
      <c r="F15" s="193" t="s">
        <v>392</v>
      </c>
      <c r="G15" s="194">
        <f t="shared" si="1"/>
        <v>31</v>
      </c>
      <c r="H15" s="199">
        <f t="shared" ref="H15:I29" si="18">H3</f>
        <v>221.90023470000006</v>
      </c>
      <c r="I15" s="199">
        <f t="shared" si="18"/>
        <v>217.9</v>
      </c>
      <c r="J15" s="196"/>
      <c r="K15" s="195">
        <f t="shared" ref="K15:K49" si="19">K3</f>
        <v>33.399973118279597</v>
      </c>
      <c r="L15" s="201">
        <f t="shared" ref="L15:L49" si="20">L3</f>
        <v>55.437733860726389</v>
      </c>
      <c r="M15" s="197">
        <v>61780</v>
      </c>
      <c r="N15" s="197">
        <v>335.09100000000001</v>
      </c>
      <c r="O15" s="198">
        <f t="shared" si="11"/>
        <v>0.84611210849303609</v>
      </c>
      <c r="P15" s="196">
        <f t="shared" si="12"/>
        <v>7.0290322580645164</v>
      </c>
      <c r="Q15" s="194">
        <f>COUNTIFS('Daily KPI'!$D:$D,D15,'Daily KPI'!$K:$K,"&gt;0")</f>
        <v>0</v>
      </c>
      <c r="R15" s="197">
        <f t="shared" si="13"/>
        <v>0</v>
      </c>
      <c r="S15" s="197">
        <f>SUMIF($F$6:F15,F15,$R$6:R15)</f>
        <v>0</v>
      </c>
      <c r="T15" s="196">
        <f t="shared" si="14"/>
        <v>1992.9032258064517</v>
      </c>
      <c r="U15" s="197">
        <f t="shared" si="15"/>
        <v>0</v>
      </c>
      <c r="V15" s="197">
        <f>SUMIF($F$6:F15,F15,$U$6:U15)</f>
        <v>0</v>
      </c>
      <c r="W15" s="198">
        <f t="shared" si="16"/>
        <v>0.24780622102235558</v>
      </c>
      <c r="X15" s="198" t="str">
        <f t="shared" si="10"/>
        <v/>
      </c>
      <c r="Y15" s="198" t="str">
        <f t="shared" si="8"/>
        <v/>
      </c>
      <c r="Z15" s="196" t="str">
        <f>IFERROR(AVERAGEIF('Daily KPI'!$D:$D,Modelling[[#This Row],[Month]],'Daily KPI'!AB:AB),"")</f>
        <v/>
      </c>
      <c r="AA15" s="199" t="str">
        <f>IFERROR(AVERAGEIF($F$2:F15,F15,$Z$2:Z15),"")</f>
        <v/>
      </c>
      <c r="AB15" s="197"/>
      <c r="AC15" s="196"/>
      <c r="AD15" s="196"/>
      <c r="AE15" s="198">
        <v>0.99750000000000005</v>
      </c>
      <c r="AF15" s="198">
        <v>0.99750000000000005</v>
      </c>
      <c r="AG15" s="198"/>
      <c r="AH15" s="198"/>
      <c r="AI15" s="198"/>
      <c r="AJ15" s="198"/>
      <c r="AK15" s="198"/>
      <c r="AL15" s="198"/>
      <c r="AM15" s="219"/>
      <c r="AN15" s="219"/>
    </row>
    <row r="16" spans="1:42">
      <c r="A16" s="190">
        <f t="shared" si="9"/>
        <v>15</v>
      </c>
      <c r="B16" s="191" t="str">
        <f t="shared" si="17"/>
        <v>June</v>
      </c>
      <c r="C16" s="191">
        <f t="shared" si="17"/>
        <v>6</v>
      </c>
      <c r="D16" s="192">
        <v>45078</v>
      </c>
      <c r="E16" s="193">
        <f t="shared" si="0"/>
        <v>2023</v>
      </c>
      <c r="F16" s="193" t="s">
        <v>392</v>
      </c>
      <c r="G16" s="194">
        <f t="shared" si="1"/>
        <v>30</v>
      </c>
      <c r="H16" s="199">
        <f t="shared" si="18"/>
        <v>200.20089519999999</v>
      </c>
      <c r="I16" s="199">
        <f t="shared" si="18"/>
        <v>192.8</v>
      </c>
      <c r="J16" s="196"/>
      <c r="K16" s="195">
        <f t="shared" si="19"/>
        <v>34.800083333333298</v>
      </c>
      <c r="L16" s="201">
        <f t="shared" si="20"/>
        <v>54.658309168315547</v>
      </c>
      <c r="M16" s="197">
        <v>53700</v>
      </c>
      <c r="N16" s="197">
        <v>335.09100000000001</v>
      </c>
      <c r="O16" s="198">
        <f t="shared" si="11"/>
        <v>0.83119800577859992</v>
      </c>
      <c r="P16" s="196">
        <f t="shared" si="12"/>
        <v>6.4266666666666667</v>
      </c>
      <c r="Q16" s="194">
        <f>COUNTIFS('Daily KPI'!$D:$D,D16,'Daily KPI'!$K:$K,"&gt;0")</f>
        <v>0</v>
      </c>
      <c r="R16" s="197">
        <f t="shared" si="13"/>
        <v>0</v>
      </c>
      <c r="S16" s="197">
        <f>SUMIF($F$6:F16,F16,$R$6:R16)</f>
        <v>0</v>
      </c>
      <c r="T16" s="196">
        <f t="shared" si="14"/>
        <v>1790</v>
      </c>
      <c r="U16" s="197">
        <f t="shared" si="15"/>
        <v>0</v>
      </c>
      <c r="V16" s="197">
        <f>SUMIF($F$2:F49,F16,$U$2:U49)</f>
        <v>0</v>
      </c>
      <c r="W16" s="198">
        <f t="shared" si="16"/>
        <v>0.22257635488071398</v>
      </c>
      <c r="X16" s="198" t="str">
        <f t="shared" si="10"/>
        <v/>
      </c>
      <c r="Y16" s="198" t="str">
        <f t="shared" si="8"/>
        <v/>
      </c>
      <c r="Z16" s="196" t="str">
        <f>IFERROR(AVERAGEIF('Daily KPI'!$D:$D,Modelling[[#This Row],[Month]],'Daily KPI'!AB:AB),"")</f>
        <v/>
      </c>
      <c r="AA16" s="199" t="str">
        <f>IFERROR(AVERAGEIF($F$2:F16,F16,$Z$2:Z16),"")</f>
        <v/>
      </c>
      <c r="AB16" s="197"/>
      <c r="AC16" s="196"/>
      <c r="AD16" s="196"/>
      <c r="AE16" s="198">
        <v>0.99750000000000005</v>
      </c>
      <c r="AF16" s="198">
        <v>0.99750000000000005</v>
      </c>
      <c r="AG16" s="198"/>
      <c r="AH16" s="198"/>
      <c r="AI16" s="198"/>
      <c r="AJ16" s="198"/>
      <c r="AK16" s="198"/>
      <c r="AL16" s="198"/>
      <c r="AM16" s="219"/>
      <c r="AN16" s="219"/>
    </row>
    <row r="17" spans="1:40">
      <c r="A17" s="190">
        <f t="shared" si="9"/>
        <v>16</v>
      </c>
      <c r="B17" s="191" t="str">
        <f t="shared" si="17"/>
        <v>July</v>
      </c>
      <c r="C17" s="191">
        <f t="shared" si="17"/>
        <v>7</v>
      </c>
      <c r="D17" s="192">
        <v>45108</v>
      </c>
      <c r="E17" s="193">
        <f t="shared" si="0"/>
        <v>2023</v>
      </c>
      <c r="F17" s="193" t="s">
        <v>392</v>
      </c>
      <c r="G17" s="194">
        <f t="shared" si="1"/>
        <v>31</v>
      </c>
      <c r="H17" s="199">
        <f t="shared" si="18"/>
        <v>173.59972409999992</v>
      </c>
      <c r="I17" s="199">
        <f t="shared" si="18"/>
        <v>168.9</v>
      </c>
      <c r="J17" s="196"/>
      <c r="K17" s="195">
        <f t="shared" si="19"/>
        <v>33.099892473118302</v>
      </c>
      <c r="L17" s="201">
        <f t="shared" si="20"/>
        <v>51.564857066184757</v>
      </c>
      <c r="M17" s="197">
        <v>49210</v>
      </c>
      <c r="N17" s="197">
        <v>335.09100000000001</v>
      </c>
      <c r="O17" s="198">
        <f t="shared" si="11"/>
        <v>0.86948271321273196</v>
      </c>
      <c r="P17" s="196">
        <f t="shared" si="12"/>
        <v>5.4483870967741934</v>
      </c>
      <c r="Q17" s="194">
        <f>COUNTIFS('Daily KPI'!$D:$D,D17,'Daily KPI'!$K:$K,"&gt;0")</f>
        <v>0</v>
      </c>
      <c r="R17" s="197">
        <f t="shared" si="13"/>
        <v>0</v>
      </c>
      <c r="S17" s="197">
        <f>SUMIF($F$2:F49,F17,$R$2:R49)</f>
        <v>0</v>
      </c>
      <c r="T17" s="196">
        <f t="shared" si="14"/>
        <v>1587.4193548387098</v>
      </c>
      <c r="U17" s="197">
        <f t="shared" si="15"/>
        <v>0</v>
      </c>
      <c r="V17" s="197">
        <f>SUMIF($F$2:F49,F17,$U$2:U49)</f>
        <v>0</v>
      </c>
      <c r="W17" s="198">
        <f t="shared" si="16"/>
        <v>0.1973865998140194</v>
      </c>
      <c r="X17" s="198" t="str">
        <f t="shared" si="10"/>
        <v/>
      </c>
      <c r="Y17" s="198" t="str">
        <f t="shared" si="8"/>
        <v/>
      </c>
      <c r="Z17" s="196" t="str">
        <f>IFERROR(AVERAGEIF('Daily KPI'!$D:$D,Modelling[[#This Row],[Month]],'Daily KPI'!AB:AB),"")</f>
        <v/>
      </c>
      <c r="AA17" s="199" t="str">
        <f>IFERROR(AVERAGEIF($F$2:F17,F17,$Z$2:Z17),"")</f>
        <v/>
      </c>
      <c r="AB17" s="197"/>
      <c r="AC17" s="196"/>
      <c r="AD17" s="196"/>
      <c r="AE17" s="198">
        <v>0.99750000000000005</v>
      </c>
      <c r="AF17" s="198">
        <v>0.99750000000000005</v>
      </c>
      <c r="AG17" s="198"/>
      <c r="AH17" s="198"/>
      <c r="AI17" s="198"/>
      <c r="AJ17" s="198"/>
      <c r="AK17" s="198"/>
      <c r="AL17" s="198"/>
      <c r="AM17" s="219"/>
      <c r="AN17" s="219"/>
    </row>
    <row r="18" spans="1:40">
      <c r="A18" s="190">
        <f t="shared" si="9"/>
        <v>17</v>
      </c>
      <c r="B18" s="191" t="str">
        <f t="shared" si="17"/>
        <v>August</v>
      </c>
      <c r="C18" s="191">
        <f t="shared" si="17"/>
        <v>8</v>
      </c>
      <c r="D18" s="192">
        <v>45139</v>
      </c>
      <c r="E18" s="193">
        <f t="shared" si="0"/>
        <v>2023</v>
      </c>
      <c r="F18" s="193" t="s">
        <v>392</v>
      </c>
      <c r="G18" s="194">
        <f t="shared" si="1"/>
        <v>31</v>
      </c>
      <c r="H18" s="199">
        <f t="shared" si="18"/>
        <v>172.6001566000001</v>
      </c>
      <c r="I18" s="199">
        <f t="shared" si="18"/>
        <v>174.2</v>
      </c>
      <c r="J18" s="196"/>
      <c r="K18" s="195">
        <f t="shared" si="19"/>
        <v>31.799973118279599</v>
      </c>
      <c r="L18" s="201">
        <f t="shared" si="20"/>
        <v>50.336592710430871</v>
      </c>
      <c r="M18" s="197">
        <v>50100</v>
      </c>
      <c r="N18" s="197">
        <v>335.09100000000001</v>
      </c>
      <c r="O18" s="198">
        <f t="shared" si="11"/>
        <v>0.85827569001331061</v>
      </c>
      <c r="P18" s="196">
        <f t="shared" si="12"/>
        <v>5.6193548387096772</v>
      </c>
      <c r="Q18" s="194">
        <f>COUNTIFS('Daily KPI'!$D:$D,D18,'Daily KPI'!$K:$K,"&gt;0")</f>
        <v>0</v>
      </c>
      <c r="R18" s="197">
        <f t="shared" si="13"/>
        <v>0</v>
      </c>
      <c r="S18" s="197">
        <f>SUMIF($F$6:F18,F18,$R$6:R18)</f>
        <v>0</v>
      </c>
      <c r="T18" s="196">
        <f t="shared" si="14"/>
        <v>1616.1290322580646</v>
      </c>
      <c r="U18" s="197">
        <f t="shared" si="15"/>
        <v>0</v>
      </c>
      <c r="V18" s="197">
        <f>SUMIF($F$6:F18,F18,$U$6:U18)</f>
        <v>0</v>
      </c>
      <c r="W18" s="198">
        <f t="shared" si="16"/>
        <v>0.20095648548429937</v>
      </c>
      <c r="X18" s="198" t="str">
        <f t="shared" si="10"/>
        <v/>
      </c>
      <c r="Y18" s="198" t="str">
        <f t="shared" si="8"/>
        <v/>
      </c>
      <c r="Z18" s="196" t="str">
        <f>IFERROR(AVERAGEIF('Daily KPI'!$D:$D,Modelling[[#This Row],[Month]],'Daily KPI'!AB:AB),"")</f>
        <v/>
      </c>
      <c r="AA18" s="199" t="str">
        <f>IFERROR(AVERAGEIF($F$2:F18,F18,$Z$2:Z18),"")</f>
        <v/>
      </c>
      <c r="AB18" s="197"/>
      <c r="AC18" s="196"/>
      <c r="AD18" s="196"/>
      <c r="AE18" s="198">
        <v>0.99750000000000005</v>
      </c>
      <c r="AF18" s="198">
        <v>0.99750000000000005</v>
      </c>
      <c r="AG18" s="198"/>
      <c r="AH18" s="198"/>
      <c r="AI18" s="198"/>
      <c r="AJ18" s="198"/>
      <c r="AK18" s="198"/>
      <c r="AL18" s="198"/>
      <c r="AM18" s="219"/>
      <c r="AN18" s="219"/>
    </row>
    <row r="19" spans="1:40">
      <c r="A19" s="190">
        <f t="shared" si="9"/>
        <v>18</v>
      </c>
      <c r="B19" s="191" t="str">
        <f t="shared" si="17"/>
        <v>September</v>
      </c>
      <c r="C19" s="191">
        <f t="shared" si="17"/>
        <v>9</v>
      </c>
      <c r="D19" s="192">
        <v>45170</v>
      </c>
      <c r="E19" s="193">
        <f t="shared" si="0"/>
        <v>2023</v>
      </c>
      <c r="F19" s="193" t="s">
        <v>392</v>
      </c>
      <c r="G19" s="194">
        <f t="shared" si="1"/>
        <v>30</v>
      </c>
      <c r="H19" s="199">
        <f t="shared" si="18"/>
        <v>178.89930529999984</v>
      </c>
      <c r="I19" s="199">
        <f t="shared" si="18"/>
        <v>192.1</v>
      </c>
      <c r="J19" s="196"/>
      <c r="K19" s="195">
        <f t="shared" si="19"/>
        <v>31.199874999999999</v>
      </c>
      <c r="L19" s="201">
        <f t="shared" si="20"/>
        <v>52.25059433997491</v>
      </c>
      <c r="M19" s="197">
        <v>52760</v>
      </c>
      <c r="N19" s="197">
        <v>335.09100000000001</v>
      </c>
      <c r="O19" s="198">
        <f t="shared" si="11"/>
        <v>0.81962398426144234</v>
      </c>
      <c r="P19" s="196">
        <f t="shared" si="12"/>
        <v>6.4033333333333333</v>
      </c>
      <c r="Q19" s="194">
        <f>COUNTIFS('Daily KPI'!$D:$D,D19,'Daily KPI'!$K:$K,"&gt;0")</f>
        <v>0</v>
      </c>
      <c r="R19" s="197">
        <f t="shared" si="13"/>
        <v>0</v>
      </c>
      <c r="S19" s="197">
        <f>SUMIF($F$6:F19,F19,$R$6:R19)</f>
        <v>0</v>
      </c>
      <c r="T19" s="196">
        <f t="shared" si="14"/>
        <v>1758.6666666666667</v>
      </c>
      <c r="U19" s="197">
        <f t="shared" si="15"/>
        <v>0</v>
      </c>
      <c r="V19" s="197">
        <f>SUMIF($F$6:F19,F19,$U$6:U19)</f>
        <v>0</v>
      </c>
      <c r="W19" s="198">
        <f t="shared" si="16"/>
        <v>0.21868023246753204</v>
      </c>
      <c r="X19" s="198" t="str">
        <f t="shared" si="10"/>
        <v/>
      </c>
      <c r="Y19" s="198" t="str">
        <f t="shared" si="8"/>
        <v/>
      </c>
      <c r="Z19" s="196" t="str">
        <f>IFERROR(AVERAGEIF('Daily KPI'!$D:$D,Modelling[[#This Row],[Month]],'Daily KPI'!AB:AB),"")</f>
        <v/>
      </c>
      <c r="AA19" s="199" t="str">
        <f>IFERROR(AVERAGEIF($F$2:F19,F19,$Z$2:Z19),"")</f>
        <v/>
      </c>
      <c r="AB19" s="197"/>
      <c r="AC19" s="196"/>
      <c r="AD19" s="196"/>
      <c r="AE19" s="198">
        <v>0.99750000000000005</v>
      </c>
      <c r="AF19" s="198">
        <v>0.99750000000000005</v>
      </c>
      <c r="AG19" s="198"/>
      <c r="AH19" s="198"/>
      <c r="AI19" s="198"/>
      <c r="AJ19" s="198"/>
      <c r="AK19" s="198"/>
      <c r="AL19" s="198"/>
      <c r="AM19" s="219"/>
      <c r="AN19" s="219"/>
    </row>
    <row r="20" spans="1:40">
      <c r="A20" s="190">
        <f t="shared" si="9"/>
        <v>19</v>
      </c>
      <c r="B20" s="191" t="str">
        <f t="shared" si="17"/>
        <v>October</v>
      </c>
      <c r="C20" s="191">
        <f t="shared" si="17"/>
        <v>10</v>
      </c>
      <c r="D20" s="192">
        <v>45200</v>
      </c>
      <c r="E20" s="193">
        <f t="shared" si="0"/>
        <v>2023</v>
      </c>
      <c r="F20" s="193" t="s">
        <v>392</v>
      </c>
      <c r="G20" s="194">
        <f t="shared" si="1"/>
        <v>31</v>
      </c>
      <c r="H20" s="199">
        <f t="shared" si="18"/>
        <v>174.60082279999986</v>
      </c>
      <c r="I20" s="199">
        <f t="shared" si="18"/>
        <v>202.3</v>
      </c>
      <c r="J20" s="196"/>
      <c r="K20" s="195">
        <f t="shared" si="19"/>
        <v>27.1001075268817</v>
      </c>
      <c r="L20" s="201">
        <f t="shared" si="20"/>
        <v>49.723937837075084</v>
      </c>
      <c r="M20" s="197">
        <v>57190</v>
      </c>
      <c r="N20" s="197">
        <v>335.09100000000001</v>
      </c>
      <c r="O20" s="198">
        <f t="shared" si="11"/>
        <v>0.84364832817866264</v>
      </c>
      <c r="P20" s="196">
        <f t="shared" si="12"/>
        <v>6.5258064516129037</v>
      </c>
      <c r="Q20" s="194">
        <f>COUNTIFS('Daily KPI'!$D:$D,D20,'Daily KPI'!$K:$K,"&gt;0")</f>
        <v>0</v>
      </c>
      <c r="R20" s="197">
        <f t="shared" si="13"/>
        <v>0</v>
      </c>
      <c r="S20" s="197">
        <f>SUMIF($F$6:F20,F20,$R$6:R20)</f>
        <v>0</v>
      </c>
      <c r="T20" s="196">
        <f t="shared" si="14"/>
        <v>1844.8387096774193</v>
      </c>
      <c r="U20" s="197">
        <f t="shared" si="15"/>
        <v>0</v>
      </c>
      <c r="V20" s="197">
        <f>SUMIF($F$6:F20,F20,$U$6:U20)</f>
        <v>0</v>
      </c>
      <c r="W20" s="198">
        <f t="shared" si="16"/>
        <v>0.22939523762169819</v>
      </c>
      <c r="X20" s="198" t="str">
        <f t="shared" si="10"/>
        <v/>
      </c>
      <c r="Y20" s="198" t="str">
        <f t="shared" si="8"/>
        <v/>
      </c>
      <c r="Z20" s="196" t="str">
        <f>IFERROR(AVERAGEIF('Daily KPI'!$D:$D,Modelling[[#This Row],[Month]],'Daily KPI'!AB:AB),"")</f>
        <v/>
      </c>
      <c r="AA20" s="199" t="str">
        <f>IFERROR(AVERAGEIF($F$2:F20,F20,$Z$2:Z20),"")</f>
        <v/>
      </c>
      <c r="AB20" s="197"/>
      <c r="AC20" s="196"/>
      <c r="AD20" s="196"/>
      <c r="AE20" s="198">
        <v>0.99750000000000005</v>
      </c>
      <c r="AF20" s="198">
        <v>0.99750000000000005</v>
      </c>
      <c r="AG20" s="198"/>
      <c r="AH20" s="198"/>
      <c r="AI20" s="198"/>
      <c r="AJ20" s="198"/>
      <c r="AK20" s="198"/>
      <c r="AL20" s="198"/>
      <c r="AM20" s="219"/>
      <c r="AN20" s="219"/>
    </row>
    <row r="21" spans="1:40">
      <c r="A21" s="190">
        <f t="shared" si="9"/>
        <v>20</v>
      </c>
      <c r="B21" s="191" t="str">
        <f t="shared" si="17"/>
        <v>November</v>
      </c>
      <c r="C21" s="191">
        <f t="shared" si="17"/>
        <v>11</v>
      </c>
      <c r="D21" s="192">
        <v>45231</v>
      </c>
      <c r="E21" s="193">
        <f t="shared" si="0"/>
        <v>2023</v>
      </c>
      <c r="F21" s="193" t="s">
        <v>392</v>
      </c>
      <c r="G21" s="194">
        <f t="shared" si="1"/>
        <v>30</v>
      </c>
      <c r="H21" s="199">
        <f t="shared" si="18"/>
        <v>133.69942049999997</v>
      </c>
      <c r="I21" s="199">
        <f t="shared" si="18"/>
        <v>162.9</v>
      </c>
      <c r="J21" s="196"/>
      <c r="K21" s="195">
        <f t="shared" si="19"/>
        <v>20.900027777777801</v>
      </c>
      <c r="L21" s="201">
        <f t="shared" si="20"/>
        <v>42.187120547750681</v>
      </c>
      <c r="M21" s="197">
        <v>46900</v>
      </c>
      <c r="N21" s="197">
        <v>335.09100000000001</v>
      </c>
      <c r="O21" s="198">
        <f t="shared" si="11"/>
        <v>0.85918956707762473</v>
      </c>
      <c r="P21" s="196">
        <f t="shared" si="12"/>
        <v>5.4300000000000006</v>
      </c>
      <c r="Q21" s="194">
        <f>COUNTIFS('Daily KPI'!$D:$D,D21,'Daily KPI'!$K:$K,"&gt;0")</f>
        <v>0</v>
      </c>
      <c r="R21" s="197">
        <f t="shared" si="13"/>
        <v>0</v>
      </c>
      <c r="S21" s="197">
        <f>SUMIF($F$6:F21,F21,$R$6:R21)</f>
        <v>0</v>
      </c>
      <c r="T21" s="196">
        <f t="shared" si="14"/>
        <v>1563.3333333333333</v>
      </c>
      <c r="U21" s="197">
        <f t="shared" si="15"/>
        <v>0</v>
      </c>
      <c r="V21" s="197">
        <f>SUMIF($F$6:F21,F21,$U$6:U21)</f>
        <v>0</v>
      </c>
      <c r="W21" s="198">
        <f t="shared" si="16"/>
        <v>0.19439163955131258</v>
      </c>
      <c r="X21" s="198" t="str">
        <f t="shared" si="10"/>
        <v/>
      </c>
      <c r="Y21" s="198" t="str">
        <f t="shared" si="8"/>
        <v/>
      </c>
      <c r="Z21" s="196" t="str">
        <f>IFERROR(AVERAGEIF('Daily KPI'!$D:$D,Modelling[[#This Row],[Month]],'Daily KPI'!AB:AB),"")</f>
        <v/>
      </c>
      <c r="AA21" s="199" t="str">
        <f>IFERROR(AVERAGEIF($F$2:F21,F21,$Z$2:Z21),"")</f>
        <v/>
      </c>
      <c r="AB21" s="197"/>
      <c r="AC21" s="196"/>
      <c r="AD21" s="196"/>
      <c r="AE21" s="198">
        <v>0.99750000000000005</v>
      </c>
      <c r="AF21" s="198">
        <v>0.99750000000000005</v>
      </c>
      <c r="AG21" s="198"/>
      <c r="AH21" s="198"/>
      <c r="AI21" s="198"/>
      <c r="AJ21" s="198"/>
      <c r="AK21" s="198"/>
      <c r="AL21" s="198"/>
      <c r="AM21" s="219"/>
      <c r="AN21" s="219"/>
    </row>
    <row r="22" spans="1:40">
      <c r="A22" s="190">
        <f t="shared" si="9"/>
        <v>21</v>
      </c>
      <c r="B22" s="191" t="str">
        <f t="shared" si="17"/>
        <v>December</v>
      </c>
      <c r="C22" s="191">
        <f t="shared" si="17"/>
        <v>12</v>
      </c>
      <c r="D22" s="192">
        <v>45261</v>
      </c>
      <c r="E22" s="193">
        <f t="shared" si="0"/>
        <v>2023</v>
      </c>
      <c r="F22" s="193" t="s">
        <v>392</v>
      </c>
      <c r="G22" s="194">
        <f t="shared" si="1"/>
        <v>31</v>
      </c>
      <c r="H22" s="199">
        <f t="shared" si="18"/>
        <v>124.40004220000003</v>
      </c>
      <c r="I22" s="199">
        <f t="shared" si="18"/>
        <v>158.6</v>
      </c>
      <c r="J22" s="196"/>
      <c r="K22" s="195">
        <f t="shared" si="19"/>
        <v>15.891489381720399</v>
      </c>
      <c r="L22" s="201">
        <f t="shared" si="20"/>
        <v>36.076939444156181</v>
      </c>
      <c r="M22" s="197">
        <v>48280</v>
      </c>
      <c r="N22" s="197">
        <v>335.09100000000001</v>
      </c>
      <c r="O22" s="198">
        <f t="shared" si="11"/>
        <v>0.90845059750252177</v>
      </c>
      <c r="P22" s="196">
        <f t="shared" si="12"/>
        <v>5.1161290322580646</v>
      </c>
      <c r="Q22" s="194">
        <f>COUNTIFS('Daily KPI'!$D:$D,D22,'Daily KPI'!$K:$K,"&gt;0")</f>
        <v>0</v>
      </c>
      <c r="R22" s="197">
        <f t="shared" si="13"/>
        <v>0</v>
      </c>
      <c r="S22" s="197">
        <f>SUMIF($F$6:F22,F22,$R$6:R22)</f>
        <v>0</v>
      </c>
      <c r="T22" s="196">
        <f t="shared" si="14"/>
        <v>1557.4193548387098</v>
      </c>
      <c r="U22" s="197">
        <f t="shared" si="15"/>
        <v>0</v>
      </c>
      <c r="V22" s="197">
        <f>SUMIF($F$6:F22,F22,$U$6:U22)</f>
        <v>0</v>
      </c>
      <c r="W22" s="198">
        <f t="shared" si="16"/>
        <v>0.19365626984395157</v>
      </c>
      <c r="X22" s="198" t="str">
        <f t="shared" si="10"/>
        <v/>
      </c>
      <c r="Y22" s="198" t="str">
        <f t="shared" si="8"/>
        <v/>
      </c>
      <c r="Z22" s="196" t="str">
        <f>IFERROR(AVERAGEIF('Daily KPI'!$D:$D,Modelling[[#This Row],[Month]],'Daily KPI'!AB:AB),"")</f>
        <v/>
      </c>
      <c r="AA22" s="199" t="str">
        <f>IFERROR(AVERAGEIF($F$2:F22,F22,$Z$2:Z22),"")</f>
        <v/>
      </c>
      <c r="AB22" s="197"/>
      <c r="AC22" s="196"/>
      <c r="AD22" s="196"/>
      <c r="AE22" s="198">
        <v>0.99750000000000005</v>
      </c>
      <c r="AF22" s="198">
        <v>0.99750000000000005</v>
      </c>
      <c r="AG22" s="198"/>
      <c r="AH22" s="198"/>
      <c r="AI22" s="198"/>
      <c r="AJ22" s="198"/>
      <c r="AK22" s="198"/>
      <c r="AL22" s="198"/>
      <c r="AM22" s="219"/>
      <c r="AN22" s="219"/>
    </row>
    <row r="23" spans="1:40">
      <c r="A23" s="190">
        <f t="shared" si="9"/>
        <v>22</v>
      </c>
      <c r="B23" s="191" t="str">
        <f t="shared" si="17"/>
        <v>January</v>
      </c>
      <c r="C23" s="191">
        <f t="shared" si="17"/>
        <v>1</v>
      </c>
      <c r="D23" s="192">
        <v>45292</v>
      </c>
      <c r="E23" s="193">
        <f t="shared" si="0"/>
        <v>2024</v>
      </c>
      <c r="F23" s="193" t="s">
        <v>392</v>
      </c>
      <c r="G23" s="194">
        <f t="shared" si="1"/>
        <v>31</v>
      </c>
      <c r="H23" s="199">
        <f t="shared" si="18"/>
        <v>133.89933939999995</v>
      </c>
      <c r="I23" s="199">
        <f t="shared" si="18"/>
        <v>169.028549</v>
      </c>
      <c r="J23" s="196"/>
      <c r="K23" s="195">
        <f t="shared" si="19"/>
        <v>14.399918279569899</v>
      </c>
      <c r="L23" s="201">
        <f t="shared" si="20"/>
        <v>34.970332119021293</v>
      </c>
      <c r="M23" s="197">
        <v>51260</v>
      </c>
      <c r="N23" s="197">
        <v>335.09100000000001</v>
      </c>
      <c r="O23" s="198">
        <f t="shared" si="11"/>
        <v>0.9050149949080003</v>
      </c>
      <c r="P23" s="196">
        <f t="shared" si="12"/>
        <v>5.4525338387096776</v>
      </c>
      <c r="Q23" s="194">
        <f>COUNTIFS('Daily KPI'!$D:$D,D23,'Daily KPI'!$K:$K,"&gt;0")</f>
        <v>0</v>
      </c>
      <c r="R23" s="197">
        <f t="shared" si="13"/>
        <v>0</v>
      </c>
      <c r="S23" s="197">
        <f>SUMIF($F$6:F23,F23,$R$6:R23)</f>
        <v>0</v>
      </c>
      <c r="T23" s="196">
        <f t="shared" si="14"/>
        <v>1653.5483870967741</v>
      </c>
      <c r="U23" s="197">
        <f t="shared" si="15"/>
        <v>0</v>
      </c>
      <c r="V23" s="197">
        <f>SUMIF($F$6:F23,F23,$U$6:U23)</f>
        <v>0</v>
      </c>
      <c r="W23" s="198">
        <f t="shared" si="16"/>
        <v>0.2056093701781474</v>
      </c>
      <c r="X23" s="198" t="str">
        <f t="shared" si="10"/>
        <v/>
      </c>
      <c r="Y23" s="198" t="str">
        <f t="shared" si="8"/>
        <v/>
      </c>
      <c r="Z23" s="196" t="str">
        <f>IFERROR(AVERAGEIF('Daily KPI'!$D:$D,Modelling[[#This Row],[Month]],'Daily KPI'!AB:AB),"")</f>
        <v/>
      </c>
      <c r="AA23" s="199" t="str">
        <f>IFERROR(AVERAGEIF($F$2:F23,F23,$Z$2:Z23),"")</f>
        <v/>
      </c>
      <c r="AB23" s="197"/>
      <c r="AC23" s="196"/>
      <c r="AD23" s="196"/>
      <c r="AE23" s="198">
        <v>0.99750000000000005</v>
      </c>
      <c r="AF23" s="198">
        <v>0.99750000000000005</v>
      </c>
      <c r="AG23" s="198"/>
      <c r="AH23" s="198"/>
      <c r="AI23" s="198"/>
      <c r="AJ23" s="198"/>
      <c r="AK23" s="198"/>
      <c r="AL23" s="198"/>
      <c r="AM23" s="219"/>
      <c r="AN23" s="219"/>
    </row>
    <row r="24" spans="1:40">
      <c r="A24" s="190">
        <f t="shared" si="9"/>
        <v>23</v>
      </c>
      <c r="B24" s="191" t="str">
        <f t="shared" si="17"/>
        <v>February</v>
      </c>
      <c r="C24" s="191">
        <f t="shared" si="17"/>
        <v>2</v>
      </c>
      <c r="D24" s="192">
        <v>45323</v>
      </c>
      <c r="E24" s="193">
        <f t="shared" si="0"/>
        <v>2024</v>
      </c>
      <c r="F24" s="193" t="s">
        <v>392</v>
      </c>
      <c r="G24" s="194">
        <f t="shared" si="1"/>
        <v>29</v>
      </c>
      <c r="H24" s="199">
        <f t="shared" si="18"/>
        <v>145.40077080000009</v>
      </c>
      <c r="I24" s="199">
        <f t="shared" si="18"/>
        <v>172.55912190000004</v>
      </c>
      <c r="J24" s="196"/>
      <c r="K24" s="195">
        <f t="shared" si="19"/>
        <v>17.800145982142901</v>
      </c>
      <c r="L24" s="201">
        <f t="shared" si="20"/>
        <v>40.252096455972236</v>
      </c>
      <c r="M24" s="197">
        <v>47290</v>
      </c>
      <c r="N24" s="197">
        <v>335.09100000000001</v>
      </c>
      <c r="O24" s="198">
        <f t="shared" si="11"/>
        <v>0.81784052835752297</v>
      </c>
      <c r="P24" s="196">
        <f t="shared" si="12"/>
        <v>5.9503145482758635</v>
      </c>
      <c r="Q24" s="194">
        <f>COUNTIFS('Daily KPI'!$D:$D,D24,'Daily KPI'!$K:$K,"&gt;0")</f>
        <v>0</v>
      </c>
      <c r="R24" s="197">
        <f t="shared" si="13"/>
        <v>0</v>
      </c>
      <c r="S24" s="197">
        <f>SUMIF($F$6:F24,F24,$R$6:R24)</f>
        <v>0</v>
      </c>
      <c r="T24" s="196">
        <f t="shared" si="14"/>
        <v>1630.6896551724137</v>
      </c>
      <c r="U24" s="197">
        <f t="shared" si="15"/>
        <v>0</v>
      </c>
      <c r="V24" s="197">
        <f>SUMIF($F$6:F24,F24,$U$6:U24)</f>
        <v>0</v>
      </c>
      <c r="W24" s="198">
        <f t="shared" si="16"/>
        <v>0.20276701641897446</v>
      </c>
      <c r="X24" s="198" t="str">
        <f t="shared" si="10"/>
        <v/>
      </c>
      <c r="Y24" s="198" t="str">
        <f t="shared" si="8"/>
        <v/>
      </c>
      <c r="Z24" s="196" t="str">
        <f>IFERROR(AVERAGEIF('Daily KPI'!$D:$D,Modelling[[#This Row],[Month]],'Daily KPI'!AB:AB),"")</f>
        <v/>
      </c>
      <c r="AA24" s="199" t="str">
        <f>IFERROR(AVERAGEIF($F$2:F24,F24,$Z$2:Z24),"")</f>
        <v/>
      </c>
      <c r="AB24" s="197"/>
      <c r="AC24" s="196"/>
      <c r="AD24" s="196"/>
      <c r="AE24" s="198">
        <v>0.99750000000000005</v>
      </c>
      <c r="AF24" s="198">
        <v>0.99750000000000005</v>
      </c>
      <c r="AG24" s="198"/>
      <c r="AH24" s="198"/>
      <c r="AI24" s="198"/>
      <c r="AJ24" s="198"/>
      <c r="AK24" s="198"/>
      <c r="AL24" s="198"/>
      <c r="AM24" s="219"/>
      <c r="AN24" s="219"/>
    </row>
    <row r="25" spans="1:40">
      <c r="A25" s="190">
        <f t="shared" si="9"/>
        <v>24</v>
      </c>
      <c r="B25" s="191" t="str">
        <f t="shared" si="17"/>
        <v>March</v>
      </c>
      <c r="C25" s="191">
        <f t="shared" si="17"/>
        <v>3</v>
      </c>
      <c r="D25" s="192">
        <v>45352</v>
      </c>
      <c r="E25" s="193">
        <f t="shared" si="0"/>
        <v>2024</v>
      </c>
      <c r="F25" s="193" t="s">
        <v>392</v>
      </c>
      <c r="G25" s="194">
        <f t="shared" si="1"/>
        <v>31</v>
      </c>
      <c r="H25" s="199">
        <f t="shared" si="18"/>
        <v>195.59891570000002</v>
      </c>
      <c r="I25" s="199">
        <f t="shared" si="18"/>
        <v>215.74576700000009</v>
      </c>
      <c r="J25" s="196"/>
      <c r="K25" s="195">
        <f t="shared" si="19"/>
        <v>23.6002284946236</v>
      </c>
      <c r="L25" s="201">
        <f t="shared" si="20"/>
        <v>47.179622377374095</v>
      </c>
      <c r="M25" s="197">
        <v>60510</v>
      </c>
      <c r="N25" s="197">
        <v>335.09100000000001</v>
      </c>
      <c r="O25" s="198">
        <f t="shared" si="11"/>
        <v>0.83699353967414591</v>
      </c>
      <c r="P25" s="196">
        <f t="shared" si="12"/>
        <v>6.9595408709677447</v>
      </c>
      <c r="Q25" s="194">
        <f>COUNTIFS('Daily KPI'!$D:$D,D25,'Daily KPI'!$K:$K,"&gt;0")</f>
        <v>0</v>
      </c>
      <c r="R25" s="197">
        <f t="shared" si="13"/>
        <v>0</v>
      </c>
      <c r="S25" s="197">
        <f>SUMIF($F$6:F25,F25,$R$6:R25)</f>
        <v>0</v>
      </c>
      <c r="T25" s="196">
        <f t="shared" si="14"/>
        <v>1951.9354838709678</v>
      </c>
      <c r="U25" s="197">
        <f t="shared" si="15"/>
        <v>0</v>
      </c>
      <c r="V25" s="197">
        <f>SUMIF($F$6:F25,F25,$U$6:U25)</f>
        <v>0</v>
      </c>
      <c r="W25" s="198">
        <f t="shared" si="16"/>
        <v>0.24271211450409089</v>
      </c>
      <c r="X25" s="198" t="str">
        <f t="shared" si="10"/>
        <v/>
      </c>
      <c r="Y25" s="198" t="str">
        <f t="shared" si="8"/>
        <v/>
      </c>
      <c r="Z25" s="196" t="str">
        <f>IFERROR(AVERAGEIF('Daily KPI'!$D:$D,Modelling[[#This Row],[Month]],'Daily KPI'!AB:AB),"")</f>
        <v/>
      </c>
      <c r="AA25" s="199" t="str">
        <f>IFERROR(AVERAGEIF($F$2:F25,F25,$Z$2:Z25),"")</f>
        <v/>
      </c>
      <c r="AB25" s="197"/>
      <c r="AC25" s="196"/>
      <c r="AD25" s="196"/>
      <c r="AE25" s="198">
        <v>0.99750000000000005</v>
      </c>
      <c r="AF25" s="198">
        <v>0.99750000000000005</v>
      </c>
      <c r="AG25" s="198"/>
      <c r="AH25" s="198"/>
      <c r="AI25" s="198"/>
      <c r="AJ25" s="198"/>
      <c r="AK25" s="198"/>
      <c r="AL25" s="198"/>
      <c r="AM25" s="219"/>
      <c r="AN25" s="219"/>
    </row>
    <row r="26" spans="1:40">
      <c r="A26" s="190">
        <f t="shared" si="9"/>
        <v>25</v>
      </c>
      <c r="B26" s="191" t="str">
        <f t="shared" si="17"/>
        <v>April</v>
      </c>
      <c r="C26" s="191">
        <f t="shared" si="17"/>
        <v>4</v>
      </c>
      <c r="D26" s="192">
        <v>45383</v>
      </c>
      <c r="E26" s="193">
        <f t="shared" si="0"/>
        <v>2024</v>
      </c>
      <c r="F26" s="193" t="s">
        <v>477</v>
      </c>
      <c r="G26" s="194">
        <f t="shared" si="1"/>
        <v>30</v>
      </c>
      <c r="H26" s="199">
        <f t="shared" si="18"/>
        <v>208.99969899999999</v>
      </c>
      <c r="I26" s="199">
        <f t="shared" si="18"/>
        <v>215.9</v>
      </c>
      <c r="J26" s="196"/>
      <c r="K26" s="195">
        <f t="shared" si="19"/>
        <v>29.100055555555599</v>
      </c>
      <c r="L26" s="201">
        <f t="shared" si="20"/>
        <v>52.296499350965128</v>
      </c>
      <c r="M26" s="197">
        <v>59074</v>
      </c>
      <c r="N26" s="197">
        <v>335.09100000000001</v>
      </c>
      <c r="O26" s="198">
        <f t="shared" si="11"/>
        <v>0.81654659620856729</v>
      </c>
      <c r="P26" s="196">
        <f t="shared" si="12"/>
        <v>7.1966666666666672</v>
      </c>
      <c r="Q26" s="194">
        <f>COUNTIFS('Daily KPI'!$D:$D,D26,'Daily KPI'!$K:$K,"&gt;0")</f>
        <v>0</v>
      </c>
      <c r="R26" s="197">
        <f t="shared" si="13"/>
        <v>0</v>
      </c>
      <c r="S26" s="197">
        <f>SUMIF($F$6:F26,F26,$R$6:R26)</f>
        <v>0</v>
      </c>
      <c r="T26" s="196">
        <f t="shared" si="14"/>
        <v>1969.1333333333334</v>
      </c>
      <c r="U26" s="197">
        <f t="shared" si="15"/>
        <v>0</v>
      </c>
      <c r="V26" s="197">
        <f>SUMIF($F$6:F26,F26,$U$6:U26)</f>
        <v>0</v>
      </c>
      <c r="W26" s="198">
        <f t="shared" si="16"/>
        <v>0.24485056961309681</v>
      </c>
      <c r="X26" s="198" t="str">
        <f t="shared" si="10"/>
        <v/>
      </c>
      <c r="Y26" s="198" t="str">
        <f t="shared" si="8"/>
        <v/>
      </c>
      <c r="Z26" s="196" t="str">
        <f>IFERROR(AVERAGEIF('Daily KPI'!$D:$D,Modelling[[#This Row],[Month]],'Daily KPI'!AB:AB),"")</f>
        <v/>
      </c>
      <c r="AA26" s="199" t="str">
        <f>IFERROR(AVERAGEIF($F$2:F26,F26,$Z$2:Z26),"")</f>
        <v/>
      </c>
      <c r="AB26" s="197"/>
      <c r="AC26" s="196"/>
      <c r="AD26" s="196"/>
      <c r="AE26" s="198">
        <v>0.99750000000000005</v>
      </c>
      <c r="AF26" s="198">
        <v>0.99750000000000005</v>
      </c>
      <c r="AG26" s="198"/>
      <c r="AH26" s="198"/>
      <c r="AI26" s="198"/>
      <c r="AJ26" s="198"/>
      <c r="AK26" s="198"/>
      <c r="AL26" s="198"/>
    </row>
    <row r="27" spans="1:40">
      <c r="A27" s="190">
        <f t="shared" si="9"/>
        <v>26</v>
      </c>
      <c r="B27" s="191" t="str">
        <f t="shared" si="17"/>
        <v>May</v>
      </c>
      <c r="C27" s="191">
        <f t="shared" si="17"/>
        <v>5</v>
      </c>
      <c r="D27" s="192">
        <v>45413</v>
      </c>
      <c r="E27" s="193">
        <f t="shared" si="0"/>
        <v>2024</v>
      </c>
      <c r="F27" s="193" t="s">
        <v>477</v>
      </c>
      <c r="G27" s="194">
        <f t="shared" si="1"/>
        <v>31</v>
      </c>
      <c r="H27" s="199">
        <f t="shared" si="18"/>
        <v>221.90023470000006</v>
      </c>
      <c r="I27" s="199">
        <f t="shared" si="18"/>
        <v>217.9</v>
      </c>
      <c r="J27" s="196"/>
      <c r="K27" s="195">
        <f t="shared" si="19"/>
        <v>33.399973118279597</v>
      </c>
      <c r="L27" s="201">
        <f t="shared" si="20"/>
        <v>55.437733860726389</v>
      </c>
      <c r="M27" s="197">
        <v>60423.7</v>
      </c>
      <c r="N27" s="197">
        <v>335.09100000000001</v>
      </c>
      <c r="O27" s="198">
        <f t="shared" si="11"/>
        <v>0.82753681142684776</v>
      </c>
      <c r="P27" s="196">
        <f t="shared" si="12"/>
        <v>7.0290322580645164</v>
      </c>
      <c r="Q27" s="194">
        <f>COUNTIFS('Daily KPI'!$D:$D,D27,'Daily KPI'!$K:$K,"&gt;0")</f>
        <v>0</v>
      </c>
      <c r="R27" s="197">
        <f t="shared" si="13"/>
        <v>0</v>
      </c>
      <c r="S27" s="197">
        <f>SUMIF($F$6:F27,F27,$R$6:R27)</f>
        <v>0</v>
      </c>
      <c r="T27" s="196">
        <f t="shared" si="14"/>
        <v>1949.1516129032257</v>
      </c>
      <c r="U27" s="197">
        <f t="shared" si="15"/>
        <v>0</v>
      </c>
      <c r="V27" s="197">
        <f>SUMIF($F$6:F27,F27,$U$6:U27)</f>
        <v>0</v>
      </c>
      <c r="W27" s="198">
        <f t="shared" si="16"/>
        <v>0.24236595592729857</v>
      </c>
      <c r="X27" s="198" t="str">
        <f t="shared" si="10"/>
        <v/>
      </c>
      <c r="Y27" s="198" t="str">
        <f t="shared" si="8"/>
        <v/>
      </c>
      <c r="Z27" s="196" t="str">
        <f>IFERROR(AVERAGEIF('Daily KPI'!$D:$D,Modelling[[#This Row],[Month]],'Daily KPI'!AB:AB),"")</f>
        <v/>
      </c>
      <c r="AA27" s="199" t="str">
        <f>IFERROR(AVERAGEIF($F$2:F27,F27,$Z$2:Z27),"")</f>
        <v/>
      </c>
      <c r="AB27" s="197"/>
      <c r="AC27" s="196"/>
      <c r="AD27" s="196"/>
      <c r="AE27" s="198">
        <v>0.99750000000000005</v>
      </c>
      <c r="AF27" s="198">
        <v>0.99750000000000005</v>
      </c>
      <c r="AG27" s="198"/>
      <c r="AH27" s="198"/>
      <c r="AI27" s="198"/>
      <c r="AJ27" s="198"/>
      <c r="AK27" s="198"/>
      <c r="AL27" s="198"/>
    </row>
    <row r="28" spans="1:40">
      <c r="A28" s="190">
        <f t="shared" si="9"/>
        <v>27</v>
      </c>
      <c r="B28" s="191" t="str">
        <f t="shared" si="17"/>
        <v>June</v>
      </c>
      <c r="C28" s="191">
        <f t="shared" si="17"/>
        <v>6</v>
      </c>
      <c r="D28" s="192">
        <v>45444</v>
      </c>
      <c r="E28" s="193">
        <f t="shared" si="0"/>
        <v>2024</v>
      </c>
      <c r="F28" s="193" t="s">
        <v>477</v>
      </c>
      <c r="G28" s="194">
        <f t="shared" si="1"/>
        <v>30</v>
      </c>
      <c r="H28" s="199">
        <f t="shared" si="18"/>
        <v>200.20089519999999</v>
      </c>
      <c r="I28" s="199">
        <f t="shared" si="18"/>
        <v>192.8</v>
      </c>
      <c r="J28" s="196"/>
      <c r="K28" s="195">
        <f t="shared" si="19"/>
        <v>34.800083333333298</v>
      </c>
      <c r="L28" s="201">
        <f t="shared" si="20"/>
        <v>54.658309168315547</v>
      </c>
      <c r="M28" s="197">
        <v>54283.700000000004</v>
      </c>
      <c r="N28" s="197">
        <v>335.09100000000001</v>
      </c>
      <c r="O28" s="198">
        <f t="shared" si="11"/>
        <v>0.84023283400900906</v>
      </c>
      <c r="P28" s="196">
        <f t="shared" si="12"/>
        <v>6.4266666666666667</v>
      </c>
      <c r="Q28" s="194">
        <f>COUNTIFS('Daily KPI'!$D:$D,D28,'Daily KPI'!$K:$K,"&gt;0")</f>
        <v>0</v>
      </c>
      <c r="R28" s="197">
        <f t="shared" si="13"/>
        <v>0</v>
      </c>
      <c r="S28" s="197">
        <f>SUMIF($F$6:F28,F28,$R$6:R28)</f>
        <v>0</v>
      </c>
      <c r="T28" s="196">
        <f t="shared" si="14"/>
        <v>1809.4566666666667</v>
      </c>
      <c r="U28" s="197">
        <f t="shared" si="15"/>
        <v>0</v>
      </c>
      <c r="V28" s="197">
        <f>SUMIF($F$6:F28,F28,$U$6:U28)</f>
        <v>0</v>
      </c>
      <c r="W28" s="198">
        <f t="shared" si="16"/>
        <v>0.22499568110685689</v>
      </c>
      <c r="X28" s="198" t="str">
        <f t="shared" si="10"/>
        <v/>
      </c>
      <c r="Y28" s="198" t="str">
        <f t="shared" si="8"/>
        <v/>
      </c>
      <c r="Z28" s="196" t="str">
        <f>IFERROR(AVERAGEIF('Daily KPI'!$D:$D,Modelling[[#This Row],[Month]],'Daily KPI'!AB:AB),"")</f>
        <v/>
      </c>
      <c r="AA28" s="199" t="str">
        <f>IFERROR(AVERAGEIF($F$2:F28,F28,$Z$2:Z28),"")</f>
        <v/>
      </c>
      <c r="AB28" s="197"/>
      <c r="AC28" s="196"/>
      <c r="AD28" s="196"/>
      <c r="AE28" s="198">
        <v>0.99750000000000005</v>
      </c>
      <c r="AF28" s="198">
        <v>0.99750000000000005</v>
      </c>
      <c r="AG28" s="198"/>
      <c r="AH28" s="198"/>
      <c r="AI28" s="198"/>
      <c r="AJ28" s="198"/>
      <c r="AK28" s="198"/>
      <c r="AL28" s="198"/>
    </row>
    <row r="29" spans="1:40">
      <c r="A29" s="190">
        <f t="shared" si="9"/>
        <v>28</v>
      </c>
      <c r="B29" s="191" t="str">
        <f t="shared" si="17"/>
        <v>July</v>
      </c>
      <c r="C29" s="191">
        <f t="shared" si="17"/>
        <v>7</v>
      </c>
      <c r="D29" s="192">
        <v>45474</v>
      </c>
      <c r="E29" s="193">
        <f t="shared" si="0"/>
        <v>2024</v>
      </c>
      <c r="F29" s="193" t="s">
        <v>477</v>
      </c>
      <c r="G29" s="194">
        <f t="shared" si="1"/>
        <v>31</v>
      </c>
      <c r="H29" s="199">
        <f t="shared" si="18"/>
        <v>173.59972409999992</v>
      </c>
      <c r="I29" s="199">
        <f t="shared" si="18"/>
        <v>168.9</v>
      </c>
      <c r="J29" s="196"/>
      <c r="K29" s="195">
        <f t="shared" si="19"/>
        <v>33.099892473118302</v>
      </c>
      <c r="L29" s="201">
        <f t="shared" si="20"/>
        <v>51.564857066184757</v>
      </c>
      <c r="M29" s="197">
        <v>48128.2</v>
      </c>
      <c r="N29" s="197">
        <v>335.09100000000001</v>
      </c>
      <c r="O29" s="198">
        <f t="shared" si="11"/>
        <v>0.85036858195580178</v>
      </c>
      <c r="P29" s="196">
        <f t="shared" si="12"/>
        <v>5.4483870967741934</v>
      </c>
      <c r="Q29" s="194">
        <f>COUNTIFS('Daily KPI'!$D:$D,D29,'Daily KPI'!$K:$K,"&gt;0")</f>
        <v>0</v>
      </c>
      <c r="R29" s="197">
        <f t="shared" si="13"/>
        <v>0</v>
      </c>
      <c r="S29" s="197">
        <f>SUMIF($F$2:F49,F29,$R$2:R49)</f>
        <v>20.878622612903236</v>
      </c>
      <c r="T29" s="196">
        <f t="shared" si="14"/>
        <v>1552.5225806451613</v>
      </c>
      <c r="U29" s="197">
        <f t="shared" si="15"/>
        <v>0</v>
      </c>
      <c r="V29" s="197">
        <f>SUMIF($F$2:F49,F29,$U$2:U49)</f>
        <v>5727.9967741935488</v>
      </c>
      <c r="W29" s="198">
        <f t="shared" si="16"/>
        <v>0.1930473837262566</v>
      </c>
      <c r="X29" s="198" t="str">
        <f t="shared" si="10"/>
        <v/>
      </c>
      <c r="Y29" s="198" t="str">
        <f t="shared" si="8"/>
        <v/>
      </c>
      <c r="Z29" s="196" t="str">
        <f>IFERROR(AVERAGEIF('Daily KPI'!$D:$D,Modelling[[#This Row],[Month]],'Daily KPI'!AB:AB),"")</f>
        <v/>
      </c>
      <c r="AA29" s="199" t="str">
        <f>IFERROR(AVERAGEIF($F$2:F29,F29,$Z$2:Z29),"")</f>
        <v/>
      </c>
      <c r="AB29" s="197"/>
      <c r="AC29" s="196"/>
      <c r="AD29" s="196"/>
      <c r="AE29" s="198">
        <v>0.99750000000000005</v>
      </c>
      <c r="AF29" s="198">
        <v>0.99750000000000005</v>
      </c>
      <c r="AG29" s="198"/>
      <c r="AH29" s="198"/>
      <c r="AI29" s="198"/>
      <c r="AJ29" s="198"/>
      <c r="AK29" s="198"/>
      <c r="AL29" s="198"/>
    </row>
    <row r="30" spans="1:40">
      <c r="A30" s="190">
        <f t="shared" si="9"/>
        <v>29</v>
      </c>
      <c r="B30" s="191" t="str">
        <f t="shared" ref="B30:C30" si="21">B18</f>
        <v>August</v>
      </c>
      <c r="C30" s="191">
        <f t="shared" si="21"/>
        <v>8</v>
      </c>
      <c r="D30" s="192">
        <v>45505</v>
      </c>
      <c r="E30" s="193">
        <f t="shared" si="0"/>
        <v>2024</v>
      </c>
      <c r="F30" s="193" t="s">
        <v>477</v>
      </c>
      <c r="G30" s="194">
        <f t="shared" si="1"/>
        <v>31</v>
      </c>
      <c r="H30" s="199">
        <f t="shared" ref="H30:I30" si="22">H18</f>
        <v>172.6001566000001</v>
      </c>
      <c r="I30" s="199">
        <f t="shared" si="22"/>
        <v>174.2</v>
      </c>
      <c r="J30" s="204"/>
      <c r="K30" s="195">
        <f t="shared" si="19"/>
        <v>31.799973118279599</v>
      </c>
      <c r="L30" s="201">
        <f t="shared" si="20"/>
        <v>50.336592710430871</v>
      </c>
      <c r="M30" s="197">
        <v>48997.799999999996</v>
      </c>
      <c r="N30" s="197">
        <v>335.09100000000001</v>
      </c>
      <c r="O30" s="198">
        <f t="shared" ref="O30:O49" si="23">IFERROR(M30/I30/N30,"")</f>
        <v>0.83939362483301783</v>
      </c>
      <c r="P30" s="196">
        <f t="shared" ref="P30:P49" si="24">IFERROR(I30/G30,"")</f>
        <v>5.6193548387096772</v>
      </c>
      <c r="Q30" s="194">
        <f>COUNTIFS('Daily KPI'!$D:$D,D30,'Daily KPI'!$K:$K,"&gt;0")</f>
        <v>0</v>
      </c>
      <c r="R30" s="197">
        <f t="shared" ref="R30:R49" si="25">I30/G30*Q30</f>
        <v>0</v>
      </c>
      <c r="S30" s="197">
        <f>SUMIF($F$2:F30,F30,$R$2:R30)</f>
        <v>0</v>
      </c>
      <c r="T30" s="196">
        <f t="shared" ref="T30:T49" si="26">M30/G30</f>
        <v>1580.574193548387</v>
      </c>
      <c r="U30" s="197">
        <f t="shared" ref="U30:U49" si="27">M30/G30*Q30</f>
        <v>0</v>
      </c>
      <c r="V30" s="197">
        <f>SUMIF($F$2:F30,F30,$U$2:U30)</f>
        <v>0</v>
      </c>
      <c r="W30" s="198">
        <f t="shared" ref="W30:W49" si="28">IFERROR(T30/(24*N30),"")</f>
        <v>0.19653544280364477</v>
      </c>
      <c r="X30" s="198" t="str">
        <f t="shared" si="10"/>
        <v/>
      </c>
      <c r="Y30" s="198" t="str">
        <f t="shared" si="8"/>
        <v/>
      </c>
      <c r="Z30" s="196" t="str">
        <f>IFERROR(AVERAGEIF('Daily KPI'!$D:$D,Modelling[[#This Row],[Month]],'Daily KPI'!AB:AB),"")</f>
        <v/>
      </c>
      <c r="AA30" s="199" t="str">
        <f>IFERROR(AVERAGEIF($F$2:F30,F30,$Z$2:Z30),"")</f>
        <v/>
      </c>
      <c r="AB30" s="197"/>
      <c r="AC30" s="196"/>
      <c r="AD30" s="196"/>
      <c r="AE30" s="198">
        <v>0.99750000000000005</v>
      </c>
      <c r="AF30" s="198">
        <v>0.99750000000000005</v>
      </c>
      <c r="AG30" s="198"/>
      <c r="AH30" s="198"/>
      <c r="AI30" s="198"/>
      <c r="AJ30" s="198"/>
      <c r="AK30" s="198"/>
      <c r="AL30" s="198"/>
    </row>
    <row r="31" spans="1:40">
      <c r="A31" s="190">
        <f t="shared" si="9"/>
        <v>30</v>
      </c>
      <c r="B31" s="191" t="str">
        <f t="shared" ref="B31:C31" si="29">B19</f>
        <v>September</v>
      </c>
      <c r="C31" s="191">
        <f t="shared" si="29"/>
        <v>9</v>
      </c>
      <c r="D31" s="192">
        <v>45536</v>
      </c>
      <c r="E31" s="193">
        <f t="shared" si="0"/>
        <v>2024</v>
      </c>
      <c r="F31" s="193" t="s">
        <v>477</v>
      </c>
      <c r="G31" s="194">
        <f t="shared" si="1"/>
        <v>30</v>
      </c>
      <c r="H31" s="199">
        <f t="shared" ref="H31:I31" si="30">H19</f>
        <v>178.89930529999984</v>
      </c>
      <c r="I31" s="199">
        <f t="shared" si="30"/>
        <v>192.1</v>
      </c>
      <c r="J31" s="204"/>
      <c r="K31" s="195">
        <f t="shared" si="19"/>
        <v>31.199874999999999</v>
      </c>
      <c r="L31" s="201">
        <f t="shared" si="20"/>
        <v>52.25059433997491</v>
      </c>
      <c r="M31" s="197">
        <v>53326.700000000004</v>
      </c>
      <c r="N31" s="197">
        <v>335.09100000000001</v>
      </c>
      <c r="O31" s="198">
        <f t="shared" si="23"/>
        <v>0.82842764066555452</v>
      </c>
      <c r="P31" s="196">
        <f t="shared" si="24"/>
        <v>6.4033333333333333</v>
      </c>
      <c r="Q31" s="194">
        <f>COUNTIFS('Daily KPI'!$D:$D,D31,'Daily KPI'!$K:$K,"&gt;0")</f>
        <v>0</v>
      </c>
      <c r="R31" s="197">
        <f t="shared" si="25"/>
        <v>0</v>
      </c>
      <c r="S31" s="197">
        <f>SUMIF($F$2:F31,F31,$R$2:R31)</f>
        <v>0</v>
      </c>
      <c r="T31" s="196">
        <f t="shared" si="26"/>
        <v>1777.5566666666668</v>
      </c>
      <c r="U31" s="197">
        <f t="shared" si="27"/>
        <v>0</v>
      </c>
      <c r="V31" s="197">
        <f>SUMIF($F$2:F31,F31,$U$2:U31)</f>
        <v>0</v>
      </c>
      <c r="W31" s="198">
        <f t="shared" si="28"/>
        <v>0.22102909690535144</v>
      </c>
      <c r="X31" s="198" t="str">
        <f t="shared" si="10"/>
        <v/>
      </c>
      <c r="Y31" s="198" t="str">
        <f t="shared" si="8"/>
        <v/>
      </c>
      <c r="Z31" s="196" t="str">
        <f>IFERROR(AVERAGEIF('Daily KPI'!$D:$D,Modelling[[#This Row],[Month]],'Daily KPI'!AB:AB),"")</f>
        <v/>
      </c>
      <c r="AA31" s="199" t="str">
        <f>IFERROR(AVERAGEIF($F$2:F31,F31,$Z$2:Z31),"")</f>
        <v/>
      </c>
      <c r="AB31" s="197"/>
      <c r="AC31" s="196"/>
      <c r="AD31" s="196"/>
      <c r="AE31" s="198">
        <v>0.99750000000000005</v>
      </c>
      <c r="AF31" s="198">
        <v>0.99750000000000005</v>
      </c>
      <c r="AG31" s="198"/>
      <c r="AH31" s="198"/>
      <c r="AI31" s="198"/>
      <c r="AJ31" s="198"/>
      <c r="AK31" s="198"/>
      <c r="AL31" s="198"/>
    </row>
    <row r="32" spans="1:40">
      <c r="A32" s="190">
        <f t="shared" si="9"/>
        <v>31</v>
      </c>
      <c r="B32" s="191" t="str">
        <f t="shared" ref="B32:C32" si="31">B20</f>
        <v>October</v>
      </c>
      <c r="C32" s="191">
        <f t="shared" si="31"/>
        <v>10</v>
      </c>
      <c r="D32" s="192">
        <v>45566</v>
      </c>
      <c r="E32" s="193">
        <f t="shared" si="0"/>
        <v>2024</v>
      </c>
      <c r="F32" s="193" t="s">
        <v>477</v>
      </c>
      <c r="G32" s="194">
        <f t="shared" si="1"/>
        <v>31</v>
      </c>
      <c r="H32" s="199">
        <f t="shared" ref="H32:I32" si="32">H20</f>
        <v>174.60082279999986</v>
      </c>
      <c r="I32" s="199">
        <f t="shared" si="32"/>
        <v>202.3</v>
      </c>
      <c r="J32" s="204"/>
      <c r="K32" s="195">
        <f t="shared" si="19"/>
        <v>27.1001075268817</v>
      </c>
      <c r="L32" s="201">
        <f t="shared" si="20"/>
        <v>49.723937837075084</v>
      </c>
      <c r="M32" s="197">
        <v>55941.200000000004</v>
      </c>
      <c r="N32" s="197">
        <v>335.09100000000001</v>
      </c>
      <c r="O32" s="198">
        <f t="shared" si="23"/>
        <v>0.82522643567596099</v>
      </c>
      <c r="P32" s="196">
        <f t="shared" si="24"/>
        <v>6.5258064516129037</v>
      </c>
      <c r="Q32" s="194">
        <f>COUNTIFS('Daily KPI'!$D:$D,D32,'Daily KPI'!$K:$K,"&gt;0")</f>
        <v>0</v>
      </c>
      <c r="R32" s="197">
        <f t="shared" si="25"/>
        <v>0</v>
      </c>
      <c r="S32" s="197">
        <f>SUMIF($F$2:F32,F32,$R$2:R32)</f>
        <v>0</v>
      </c>
      <c r="T32" s="196">
        <f t="shared" si="26"/>
        <v>1804.5548387096776</v>
      </c>
      <c r="U32" s="197">
        <f t="shared" si="27"/>
        <v>0</v>
      </c>
      <c r="V32" s="197">
        <f>SUMIF($F$2:F32,F32,$U$2:U32)</f>
        <v>0</v>
      </c>
      <c r="W32" s="198">
        <f t="shared" si="28"/>
        <v>0.22438616658232111</v>
      </c>
      <c r="X32" s="198" t="str">
        <f t="shared" si="10"/>
        <v/>
      </c>
      <c r="Y32" s="198" t="str">
        <f t="shared" si="8"/>
        <v/>
      </c>
      <c r="Z32" s="196" t="str">
        <f>IFERROR(AVERAGEIF('Daily KPI'!$D:$D,Modelling[[#This Row],[Month]],'Daily KPI'!AB:AB),"")</f>
        <v/>
      </c>
      <c r="AA32" s="199" t="str">
        <f>IFERROR(AVERAGEIF($F$2:F32,F32,$Z$2:Z32),"")</f>
        <v/>
      </c>
      <c r="AB32" s="197"/>
      <c r="AC32" s="196"/>
      <c r="AD32" s="196"/>
      <c r="AE32" s="198">
        <v>0.99750000000000005</v>
      </c>
      <c r="AF32" s="198">
        <v>0.99750000000000005</v>
      </c>
      <c r="AG32" s="198"/>
      <c r="AH32" s="198"/>
      <c r="AI32" s="198"/>
      <c r="AJ32" s="198"/>
      <c r="AK32" s="198"/>
      <c r="AL32" s="198"/>
    </row>
    <row r="33" spans="1:38">
      <c r="A33" s="190">
        <f t="shared" si="9"/>
        <v>32</v>
      </c>
      <c r="B33" s="191" t="str">
        <f t="shared" ref="B33:C33" si="33">B21</f>
        <v>November</v>
      </c>
      <c r="C33" s="191">
        <f t="shared" si="33"/>
        <v>11</v>
      </c>
      <c r="D33" s="192">
        <v>45597</v>
      </c>
      <c r="E33" s="193">
        <f t="shared" si="0"/>
        <v>2024</v>
      </c>
      <c r="F33" s="193" t="s">
        <v>477</v>
      </c>
      <c r="G33" s="194">
        <f t="shared" si="1"/>
        <v>30</v>
      </c>
      <c r="H33" s="199">
        <f t="shared" ref="H33:I33" si="34">H21</f>
        <v>133.69942049999997</v>
      </c>
      <c r="I33" s="199">
        <f t="shared" si="34"/>
        <v>162.9</v>
      </c>
      <c r="J33" s="204"/>
      <c r="K33" s="195">
        <f t="shared" si="19"/>
        <v>20.900027777777801</v>
      </c>
      <c r="L33" s="201">
        <f t="shared" si="20"/>
        <v>42.187120547750681</v>
      </c>
      <c r="M33" s="197">
        <v>47411.9</v>
      </c>
      <c r="N33" s="197">
        <v>335.09100000000001</v>
      </c>
      <c r="O33" s="198">
        <f t="shared" si="23"/>
        <v>0.86856737388758287</v>
      </c>
      <c r="P33" s="196">
        <f t="shared" si="24"/>
        <v>5.4300000000000006</v>
      </c>
      <c r="Q33" s="194">
        <f>COUNTIFS('Daily KPI'!$D:$D,D33,'Daily KPI'!$K:$K,"&gt;0")</f>
        <v>0</v>
      </c>
      <c r="R33" s="197">
        <f t="shared" si="25"/>
        <v>0</v>
      </c>
      <c r="S33" s="197">
        <f>SUMIF($F$2:F33,F33,$R$2:R33)</f>
        <v>0</v>
      </c>
      <c r="T33" s="196">
        <f t="shared" si="26"/>
        <v>1580.3966666666668</v>
      </c>
      <c r="U33" s="197">
        <f t="shared" si="27"/>
        <v>0</v>
      </c>
      <c r="V33" s="197">
        <f>SUMIF($F$2:F33,F33,$U$2:U33)</f>
        <v>0</v>
      </c>
      <c r="W33" s="198">
        <f t="shared" si="28"/>
        <v>0.19651336834206562</v>
      </c>
      <c r="X33" s="198" t="str">
        <f t="shared" si="10"/>
        <v/>
      </c>
      <c r="Y33" s="198" t="str">
        <f t="shared" si="8"/>
        <v/>
      </c>
      <c r="Z33" s="196" t="str">
        <f>IFERROR(AVERAGEIF('Daily KPI'!$D:$D,Modelling[[#This Row],[Month]],'Daily KPI'!AB:AB),"")</f>
        <v/>
      </c>
      <c r="AA33" s="199" t="str">
        <f>IFERROR(AVERAGEIF($F$2:F33,F33,$Z$2:Z33),"")</f>
        <v/>
      </c>
      <c r="AB33" s="197"/>
      <c r="AC33" s="196"/>
      <c r="AD33" s="196"/>
      <c r="AE33" s="198">
        <v>0.99750000000000005</v>
      </c>
      <c r="AF33" s="198">
        <v>0.99750000000000005</v>
      </c>
      <c r="AG33" s="198"/>
      <c r="AH33" s="198"/>
      <c r="AI33" s="198"/>
      <c r="AJ33" s="198"/>
      <c r="AK33" s="198"/>
      <c r="AL33" s="198"/>
    </row>
    <row r="34" spans="1:38">
      <c r="A34" s="190">
        <f t="shared" si="9"/>
        <v>33</v>
      </c>
      <c r="B34" s="191" t="str">
        <f t="shared" ref="B34:C34" si="35">B22</f>
        <v>December</v>
      </c>
      <c r="C34" s="191">
        <f t="shared" si="35"/>
        <v>12</v>
      </c>
      <c r="D34" s="192">
        <v>45627</v>
      </c>
      <c r="E34" s="193">
        <f t="shared" si="0"/>
        <v>2024</v>
      </c>
      <c r="F34" s="193" t="s">
        <v>477</v>
      </c>
      <c r="G34" s="194">
        <f t="shared" si="1"/>
        <v>31</v>
      </c>
      <c r="H34" s="199">
        <f t="shared" ref="H34:I34" si="36">H22</f>
        <v>124.40004220000003</v>
      </c>
      <c r="I34" s="199">
        <f t="shared" si="36"/>
        <v>158.6</v>
      </c>
      <c r="J34" s="204"/>
      <c r="K34" s="195">
        <f t="shared" si="19"/>
        <v>15.891489381720399</v>
      </c>
      <c r="L34" s="201">
        <f t="shared" si="20"/>
        <v>36.076939444156181</v>
      </c>
      <c r="M34" s="197">
        <v>47221.3</v>
      </c>
      <c r="N34" s="197">
        <v>335.09100000000001</v>
      </c>
      <c r="O34" s="198">
        <f t="shared" si="23"/>
        <v>0.8885297887292013</v>
      </c>
      <c r="P34" s="196">
        <f t="shared" si="24"/>
        <v>5.1161290322580646</v>
      </c>
      <c r="Q34" s="194">
        <f>COUNTIFS('Daily KPI'!$D:$D,D34,'Daily KPI'!$K:$K,"&gt;0")</f>
        <v>0</v>
      </c>
      <c r="R34" s="197">
        <f t="shared" si="25"/>
        <v>0</v>
      </c>
      <c r="S34" s="197">
        <f>SUMIF($F$2:F34,F34,$R$2:R34)</f>
        <v>0</v>
      </c>
      <c r="T34" s="196">
        <f t="shared" si="26"/>
        <v>1523.2677419354839</v>
      </c>
      <c r="U34" s="197">
        <f t="shared" si="27"/>
        <v>0</v>
      </c>
      <c r="V34" s="197">
        <f>SUMIF($F$2:F34,F34,$U$2:U34)</f>
        <v>0</v>
      </c>
      <c r="W34" s="198">
        <f t="shared" si="28"/>
        <v>0.18940971033931625</v>
      </c>
      <c r="X34" s="198" t="str">
        <f t="shared" si="10"/>
        <v/>
      </c>
      <c r="Y34" s="198" t="str">
        <f t="shared" si="8"/>
        <v/>
      </c>
      <c r="Z34" s="196" t="str">
        <f>IFERROR(AVERAGEIF('Daily KPI'!$D:$D,Modelling[[#This Row],[Month]],'Daily KPI'!AB:AB),"")</f>
        <v/>
      </c>
      <c r="AA34" s="199" t="str">
        <f>IFERROR(AVERAGEIF($F$2:F34,F34,$Z$2:Z34),"")</f>
        <v/>
      </c>
      <c r="AB34" s="197"/>
      <c r="AC34" s="196"/>
      <c r="AD34" s="196"/>
      <c r="AE34" s="198">
        <v>0.99750000000000005</v>
      </c>
      <c r="AF34" s="198">
        <v>0.99750000000000005</v>
      </c>
      <c r="AG34" s="198"/>
      <c r="AH34" s="198"/>
      <c r="AI34" s="198"/>
      <c r="AJ34" s="198"/>
      <c r="AK34" s="198"/>
      <c r="AL34" s="198"/>
    </row>
    <row r="35" spans="1:38">
      <c r="A35" s="190">
        <f t="shared" si="9"/>
        <v>34</v>
      </c>
      <c r="B35" s="191" t="str">
        <f t="shared" ref="B35:C35" si="37">B23</f>
        <v>January</v>
      </c>
      <c r="C35" s="191">
        <f t="shared" si="37"/>
        <v>1</v>
      </c>
      <c r="D35" s="192">
        <v>45658</v>
      </c>
      <c r="E35" s="193">
        <f t="shared" si="0"/>
        <v>2025</v>
      </c>
      <c r="F35" s="193" t="s">
        <v>477</v>
      </c>
      <c r="G35" s="194">
        <f t="shared" si="1"/>
        <v>31</v>
      </c>
      <c r="H35" s="199">
        <f t="shared" ref="H35:I35" si="38">H23</f>
        <v>133.89933939999995</v>
      </c>
      <c r="I35" s="199">
        <f t="shared" si="38"/>
        <v>169.028549</v>
      </c>
      <c r="J35" s="204"/>
      <c r="K35" s="195">
        <f t="shared" si="19"/>
        <v>14.399918279569899</v>
      </c>
      <c r="L35" s="201">
        <f t="shared" si="20"/>
        <v>34.970332119021293</v>
      </c>
      <c r="M35" s="197">
        <v>50133.1</v>
      </c>
      <c r="N35" s="197">
        <v>335.09100000000001</v>
      </c>
      <c r="O35" s="198">
        <f t="shared" si="23"/>
        <v>0.88511914243508127</v>
      </c>
      <c r="P35" s="196">
        <f t="shared" si="24"/>
        <v>5.4525338387096776</v>
      </c>
      <c r="Q35" s="194">
        <f>COUNTIFS('Daily KPI'!$D:$D,D35,'Daily KPI'!$K:$K,"&gt;0")</f>
        <v>0</v>
      </c>
      <c r="R35" s="197">
        <f t="shared" si="25"/>
        <v>0</v>
      </c>
      <c r="S35" s="197">
        <f>SUMIF($F$2:F35,F35,$R$2:R35)</f>
        <v>0</v>
      </c>
      <c r="T35" s="196">
        <f t="shared" si="26"/>
        <v>1617.1967741935484</v>
      </c>
      <c r="U35" s="197">
        <f t="shared" si="27"/>
        <v>0</v>
      </c>
      <c r="V35" s="197">
        <f>SUMIF($F$2:F35,F35,$U$2:U35)</f>
        <v>0</v>
      </c>
      <c r="W35" s="198">
        <f t="shared" si="28"/>
        <v>0.2010892531423738</v>
      </c>
      <c r="X35" s="198" t="str">
        <f t="shared" si="10"/>
        <v/>
      </c>
      <c r="Y35" s="198" t="str">
        <f t="shared" si="8"/>
        <v/>
      </c>
      <c r="Z35" s="196" t="str">
        <f>IFERROR(AVERAGEIF('Daily KPI'!$D:$D,Modelling[[#This Row],[Month]],'Daily KPI'!AB:AB),"")</f>
        <v/>
      </c>
      <c r="AA35" s="199" t="str">
        <f>IFERROR(AVERAGEIF($F$2:F35,F35,$Z$2:Z35),"")</f>
        <v/>
      </c>
      <c r="AB35" s="197"/>
      <c r="AC35" s="196"/>
      <c r="AD35" s="196"/>
      <c r="AE35" s="198">
        <v>0.99750000000000005</v>
      </c>
      <c r="AF35" s="198">
        <v>0.99750000000000005</v>
      </c>
      <c r="AG35" s="198"/>
      <c r="AH35" s="198"/>
      <c r="AI35" s="198"/>
      <c r="AJ35" s="198"/>
      <c r="AK35" s="198"/>
      <c r="AL35" s="198"/>
    </row>
    <row r="36" spans="1:38">
      <c r="A36" s="190">
        <f t="shared" si="9"/>
        <v>35</v>
      </c>
      <c r="B36" s="191" t="str">
        <f t="shared" ref="B36:C36" si="39">B24</f>
        <v>February</v>
      </c>
      <c r="C36" s="191">
        <f t="shared" si="39"/>
        <v>2</v>
      </c>
      <c r="D36" s="192">
        <v>45689</v>
      </c>
      <c r="E36" s="193">
        <f t="shared" si="0"/>
        <v>2025</v>
      </c>
      <c r="F36" s="193" t="s">
        <v>477</v>
      </c>
      <c r="G36" s="194">
        <f t="shared" si="1"/>
        <v>28</v>
      </c>
      <c r="H36" s="199">
        <f t="shared" ref="H36:I36" si="40">H24</f>
        <v>145.40077080000009</v>
      </c>
      <c r="I36" s="199">
        <f t="shared" si="40"/>
        <v>172.55912190000004</v>
      </c>
      <c r="J36" s="204"/>
      <c r="K36" s="195">
        <f t="shared" si="19"/>
        <v>17.800145982142901</v>
      </c>
      <c r="L36" s="201">
        <f t="shared" si="20"/>
        <v>40.252096455972236</v>
      </c>
      <c r="M36" s="197">
        <v>49142.5</v>
      </c>
      <c r="N36" s="197">
        <v>335.09100000000001</v>
      </c>
      <c r="O36" s="198">
        <f t="shared" si="23"/>
        <v>0.84987794808224926</v>
      </c>
      <c r="P36" s="196">
        <f t="shared" si="24"/>
        <v>6.1628257821428587</v>
      </c>
      <c r="Q36" s="194">
        <f>COUNTIFS('Daily KPI'!$D:$D,D36,'Daily KPI'!$K:$K,"&gt;0")</f>
        <v>0</v>
      </c>
      <c r="R36" s="197">
        <f t="shared" si="25"/>
        <v>0</v>
      </c>
      <c r="S36" s="197">
        <f>SUMIF($F$2:F36,F36,$R$2:R36)</f>
        <v>0</v>
      </c>
      <c r="T36" s="196">
        <f t="shared" si="26"/>
        <v>1755.0892857142858</v>
      </c>
      <c r="U36" s="197">
        <f t="shared" si="27"/>
        <v>0</v>
      </c>
      <c r="V36" s="197">
        <f>SUMIF($F$2:F36,F36,$U$2:U36)</f>
        <v>0</v>
      </c>
      <c r="W36" s="198">
        <f t="shared" si="28"/>
        <v>0.21823540542149816</v>
      </c>
      <c r="X36" s="198" t="str">
        <f t="shared" si="10"/>
        <v/>
      </c>
      <c r="Y36" s="198" t="str">
        <f t="shared" si="8"/>
        <v/>
      </c>
      <c r="Z36" s="196" t="str">
        <f>IFERROR(AVERAGEIF('Daily KPI'!$D:$D,Modelling[[#This Row],[Month]],'Daily KPI'!AB:AB),"")</f>
        <v/>
      </c>
      <c r="AA36" s="199" t="str">
        <f>IFERROR(AVERAGEIF($F$2:F36,F36,$Z$2:Z36),"")</f>
        <v/>
      </c>
      <c r="AB36" s="197"/>
      <c r="AC36" s="196"/>
      <c r="AD36" s="196"/>
      <c r="AE36" s="198">
        <v>0.99750000000000005</v>
      </c>
      <c r="AF36" s="198">
        <v>0.99750000000000005</v>
      </c>
      <c r="AG36" s="198"/>
      <c r="AH36" s="198"/>
      <c r="AI36" s="198"/>
      <c r="AJ36" s="198"/>
      <c r="AK36" s="198"/>
      <c r="AL36" s="198"/>
    </row>
    <row r="37" spans="1:38">
      <c r="A37" s="190">
        <f t="shared" si="9"/>
        <v>36</v>
      </c>
      <c r="B37" s="191" t="str">
        <f t="shared" ref="B37:C37" si="41">B25</f>
        <v>March</v>
      </c>
      <c r="C37" s="191">
        <f t="shared" si="41"/>
        <v>3</v>
      </c>
      <c r="D37" s="192">
        <v>45717</v>
      </c>
      <c r="E37" s="193">
        <f t="shared" si="0"/>
        <v>2025</v>
      </c>
      <c r="F37" s="193" t="s">
        <v>477</v>
      </c>
      <c r="G37" s="194">
        <f t="shared" si="1"/>
        <v>31</v>
      </c>
      <c r="H37" s="199">
        <f t="shared" ref="H37:I37" si="42">H25</f>
        <v>195.59891570000002</v>
      </c>
      <c r="I37" s="199">
        <f t="shared" si="42"/>
        <v>215.74576700000009</v>
      </c>
      <c r="J37" s="204"/>
      <c r="K37" s="195">
        <f t="shared" si="19"/>
        <v>23.6002284946236</v>
      </c>
      <c r="L37" s="201">
        <f t="shared" si="20"/>
        <v>47.179622377374095</v>
      </c>
      <c r="M37" s="197">
        <v>59189.3</v>
      </c>
      <c r="N37" s="197">
        <v>335.09100000000001</v>
      </c>
      <c r="O37" s="198">
        <f t="shared" si="23"/>
        <v>0.81872519778276209</v>
      </c>
      <c r="P37" s="196">
        <f t="shared" si="24"/>
        <v>6.9595408709677447</v>
      </c>
      <c r="Q37" s="194">
        <f>COUNTIFS('Daily KPI'!$D:$D,D37,'Daily KPI'!$K:$K,"&gt;0")</f>
        <v>3</v>
      </c>
      <c r="R37" s="197">
        <f t="shared" si="25"/>
        <v>20.878622612903236</v>
      </c>
      <c r="S37" s="197">
        <f>SUMIF($F$2:F37,F37,$R$2:R37)</f>
        <v>20.878622612903236</v>
      </c>
      <c r="T37" s="196">
        <f t="shared" si="26"/>
        <v>1909.3322580645163</v>
      </c>
      <c r="U37" s="197">
        <f t="shared" si="27"/>
        <v>5727.9967741935488</v>
      </c>
      <c r="V37" s="197">
        <f>SUMIF($F$2:F37,F37,$U$2:U37)</f>
        <v>5727.9967741935488</v>
      </c>
      <c r="W37" s="198">
        <f t="shared" si="28"/>
        <v>0.23741464483584512</v>
      </c>
      <c r="X37" s="198">
        <f t="shared" si="10"/>
        <v>0.23741464483584512</v>
      </c>
      <c r="Y37" s="198">
        <f t="shared" si="8"/>
        <v>0.23741464483584512</v>
      </c>
      <c r="Z37" s="196">
        <f>IFERROR(AVERAGEIF('Daily KPI'!$D:$D,Modelling[[#This Row],[Month]],'Daily KPI'!AB:AB),"")</f>
        <v>335.09089</v>
      </c>
      <c r="AA37" s="199">
        <f>IFERROR(AVERAGEIF($F$2:F37,F37,$Z$2:Z37),"")</f>
        <v>335.09089</v>
      </c>
      <c r="AB37" s="197"/>
      <c r="AC37" s="196"/>
      <c r="AD37" s="196"/>
      <c r="AE37" s="198">
        <v>0.99750000000000005</v>
      </c>
      <c r="AF37" s="198">
        <v>0.99750000000000005</v>
      </c>
      <c r="AG37" s="198"/>
      <c r="AH37" s="198"/>
      <c r="AI37" s="198"/>
      <c r="AJ37" s="198"/>
      <c r="AK37" s="198"/>
      <c r="AL37" s="198"/>
    </row>
    <row r="38" spans="1:38">
      <c r="A38" s="190">
        <f t="shared" si="9"/>
        <v>37</v>
      </c>
      <c r="B38" s="191" t="str">
        <f t="shared" ref="B38:C38" si="43">B26</f>
        <v>April</v>
      </c>
      <c r="C38" s="191">
        <f t="shared" si="43"/>
        <v>4</v>
      </c>
      <c r="D38" s="192">
        <v>45748</v>
      </c>
      <c r="E38" s="193">
        <f t="shared" si="0"/>
        <v>2025</v>
      </c>
      <c r="F38" s="193" t="s">
        <v>2488</v>
      </c>
      <c r="G38" s="194">
        <f t="shared" si="1"/>
        <v>30</v>
      </c>
      <c r="H38" s="199">
        <f t="shared" ref="H38:I38" si="44">H26</f>
        <v>208.99969899999999</v>
      </c>
      <c r="I38" s="199">
        <f t="shared" si="44"/>
        <v>215.9</v>
      </c>
      <c r="J38" s="204"/>
      <c r="K38" s="195">
        <f t="shared" si="19"/>
        <v>29.100055555555599</v>
      </c>
      <c r="L38" s="201">
        <f t="shared" si="20"/>
        <v>52.296499350965128</v>
      </c>
      <c r="M38" s="197">
        <v>58341.891464284163</v>
      </c>
      <c r="N38" s="197">
        <v>335.09100000000001</v>
      </c>
      <c r="O38" s="198">
        <f t="shared" si="23"/>
        <v>0.80642707268055158</v>
      </c>
      <c r="P38" s="196">
        <f t="shared" si="24"/>
        <v>7.1966666666666672</v>
      </c>
      <c r="Q38" s="194">
        <f>COUNTIFS('Daily KPI'!$D:$D,D38,'Daily KPI'!$K:$K,"&gt;0")</f>
        <v>30</v>
      </c>
      <c r="R38" s="197">
        <f t="shared" si="25"/>
        <v>215.9</v>
      </c>
      <c r="S38" s="197">
        <f>SUMIF($F$2:F38,F38,$R$2:R38)</f>
        <v>215.9</v>
      </c>
      <c r="T38" s="196">
        <f t="shared" si="26"/>
        <v>1944.7297154761388</v>
      </c>
      <c r="U38" s="197">
        <f t="shared" si="27"/>
        <v>58341.891464284163</v>
      </c>
      <c r="V38" s="197">
        <f>SUMIF($F$2:F38,F38,$U$2:U38)</f>
        <v>58341.891464284163</v>
      </c>
      <c r="W38" s="198">
        <f t="shared" si="28"/>
        <v>0.24181611804407097</v>
      </c>
      <c r="X38" s="198">
        <f t="shared" si="10"/>
        <v>0.24181611804407094</v>
      </c>
      <c r="Y38" s="198">
        <f t="shared" si="8"/>
        <v>0.24181611804407094</v>
      </c>
      <c r="Z38" s="196">
        <f>IFERROR(AVERAGEIF('Daily KPI'!$D:$D,Modelling[[#This Row],[Month]],'Daily KPI'!AB:AB),"")</f>
        <v>335.09089000000006</v>
      </c>
      <c r="AA38" s="199">
        <f>IFERROR(AVERAGEIF($F$2:F38,F38,$Z$2:Z38),"")</f>
        <v>335.09089000000006</v>
      </c>
      <c r="AB38" s="197"/>
      <c r="AC38" s="196"/>
      <c r="AD38" s="196"/>
      <c r="AE38" s="198">
        <v>0.99750000000000005</v>
      </c>
      <c r="AF38" s="198">
        <v>0.99750000000000005</v>
      </c>
      <c r="AG38" s="198"/>
      <c r="AH38" s="198"/>
      <c r="AI38" s="198"/>
      <c r="AJ38" s="198"/>
      <c r="AK38" s="198"/>
      <c r="AL38" s="198"/>
    </row>
    <row r="39" spans="1:38">
      <c r="A39" s="190">
        <f t="shared" si="9"/>
        <v>38</v>
      </c>
      <c r="B39" s="191" t="str">
        <f t="shared" ref="B39:C39" si="45">B27</f>
        <v>May</v>
      </c>
      <c r="C39" s="191">
        <f t="shared" si="45"/>
        <v>5</v>
      </c>
      <c r="D39" s="192">
        <v>45778</v>
      </c>
      <c r="E39" s="193">
        <f t="shared" si="0"/>
        <v>2025</v>
      </c>
      <c r="F39" s="193" t="s">
        <v>2488</v>
      </c>
      <c r="G39" s="194">
        <f t="shared" si="1"/>
        <v>31</v>
      </c>
      <c r="H39" s="199">
        <f t="shared" ref="H39:I39" si="46">H27</f>
        <v>221.90023470000006</v>
      </c>
      <c r="I39" s="199">
        <f t="shared" si="46"/>
        <v>217.9</v>
      </c>
      <c r="J39" s="204"/>
      <c r="K39" s="195">
        <f t="shared" si="19"/>
        <v>33.399973118279597</v>
      </c>
      <c r="L39" s="201">
        <f t="shared" si="20"/>
        <v>55.437733860726389</v>
      </c>
      <c r="M39" s="197">
        <v>59688.093807168538</v>
      </c>
      <c r="N39" s="197">
        <v>335.09100000000001</v>
      </c>
      <c r="O39" s="198">
        <f t="shared" si="23"/>
        <v>0.81746226777457909</v>
      </c>
      <c r="P39" s="196">
        <f t="shared" si="24"/>
        <v>7.0290322580645164</v>
      </c>
      <c r="Q39" s="194">
        <f>COUNTIFS('Daily KPI'!$D:$D,D39,'Daily KPI'!$K:$K,"&gt;0")</f>
        <v>31</v>
      </c>
      <c r="R39" s="197">
        <f t="shared" si="25"/>
        <v>217.9</v>
      </c>
      <c r="S39" s="197">
        <f>SUMIF($F$2:F39,F39,$R$2:R39)</f>
        <v>433.8</v>
      </c>
      <c r="T39" s="196">
        <f t="shared" si="26"/>
        <v>1925.4223808764045</v>
      </c>
      <c r="U39" s="197">
        <f t="shared" si="27"/>
        <v>59688.093807168538</v>
      </c>
      <c r="V39" s="197">
        <f>SUMIF($F$2:F39,F39,$U$2:U39)</f>
        <v>118029.98527145269</v>
      </c>
      <c r="W39" s="198">
        <f t="shared" si="28"/>
        <v>0.23941536041408709</v>
      </c>
      <c r="X39" s="198">
        <f t="shared" si="10"/>
        <v>0.23941536041408706</v>
      </c>
      <c r="Y39" s="198">
        <f t="shared" si="8"/>
        <v>0.24059606088784963</v>
      </c>
      <c r="Z39" s="196">
        <f>IFERROR(AVERAGEIF('Daily KPI'!$D:$D,Modelling[[#This Row],[Month]],'Daily KPI'!AB:AB),"")</f>
        <v>335.09089</v>
      </c>
      <c r="AA39" s="199">
        <f>IFERROR(AVERAGEIF($F$2:F39,F39,$Z$2:Z39),"")</f>
        <v>335.09089000000006</v>
      </c>
      <c r="AB39" s="197"/>
      <c r="AC39" s="196"/>
      <c r="AD39" s="196"/>
      <c r="AE39" s="198">
        <v>0.99750000000000005</v>
      </c>
      <c r="AF39" s="198">
        <v>0.99750000000000005</v>
      </c>
      <c r="AG39" s="198"/>
      <c r="AH39" s="198"/>
      <c r="AI39" s="198"/>
      <c r="AJ39" s="198"/>
      <c r="AK39" s="198"/>
      <c r="AL39" s="198"/>
    </row>
    <row r="40" spans="1:38">
      <c r="A40" s="190">
        <f t="shared" si="9"/>
        <v>39</v>
      </c>
      <c r="B40" s="191" t="str">
        <f t="shared" ref="B40:C40" si="47">B28</f>
        <v>June</v>
      </c>
      <c r="C40" s="191">
        <f t="shared" si="47"/>
        <v>6</v>
      </c>
      <c r="D40" s="192">
        <v>45809</v>
      </c>
      <c r="E40" s="193">
        <f t="shared" si="0"/>
        <v>2025</v>
      </c>
      <c r="F40" s="193" t="s">
        <v>2488</v>
      </c>
      <c r="G40" s="194">
        <f t="shared" si="1"/>
        <v>30</v>
      </c>
      <c r="H40" s="199">
        <f t="shared" ref="H40:I40" si="48">H28</f>
        <v>200.20089519999999</v>
      </c>
      <c r="I40" s="199">
        <f t="shared" si="48"/>
        <v>192.8</v>
      </c>
      <c r="J40" s="204"/>
      <c r="K40" s="195">
        <f t="shared" si="19"/>
        <v>34.800083333333298</v>
      </c>
      <c r="L40" s="201">
        <f t="shared" si="20"/>
        <v>54.658309168315547</v>
      </c>
      <c r="M40" s="197">
        <v>53615.655900776415</v>
      </c>
      <c r="N40" s="197">
        <v>335.09100000000001</v>
      </c>
      <c r="O40" s="198">
        <f t="shared" si="23"/>
        <v>0.82989248162452478</v>
      </c>
      <c r="P40" s="196">
        <f t="shared" si="24"/>
        <v>6.4266666666666667</v>
      </c>
      <c r="Q40" s="194">
        <f>COUNTIFS('Daily KPI'!$D:$D,D40,'Daily KPI'!$K:$K,"&gt;0")</f>
        <v>30</v>
      </c>
      <c r="R40" s="197">
        <f t="shared" si="25"/>
        <v>192.8</v>
      </c>
      <c r="S40" s="197">
        <f>SUMIF($F$2:F40,F40,$R$2:R40)</f>
        <v>626.6</v>
      </c>
      <c r="T40" s="196">
        <f t="shared" si="26"/>
        <v>1787.1885300258805</v>
      </c>
      <c r="U40" s="197">
        <f t="shared" si="27"/>
        <v>53615.655900776415</v>
      </c>
      <c r="V40" s="197">
        <f>SUMIF($F$2:F40,F40,$U$2:U40)</f>
        <v>171645.64117222911</v>
      </c>
      <c r="W40" s="198">
        <f t="shared" si="28"/>
        <v>0.22222676452390053</v>
      </c>
      <c r="X40" s="198">
        <f t="shared" si="10"/>
        <v>0.22222676452390053</v>
      </c>
      <c r="Y40" s="198">
        <f t="shared" si="8"/>
        <v>0.23454024889973452</v>
      </c>
      <c r="Z40" s="196">
        <f>IFERROR(AVERAGEIF('Daily KPI'!$D:$D,Modelling[[#This Row],[Month]],'Daily KPI'!AB:AB),"")</f>
        <v>335.09089000000006</v>
      </c>
      <c r="AA40" s="199">
        <f>IFERROR(AVERAGEIF($F$2:F40,F40,$Z$2:Z40),"")</f>
        <v>335.09089000000006</v>
      </c>
      <c r="AB40" s="197"/>
      <c r="AC40" s="196"/>
      <c r="AD40" s="196"/>
      <c r="AE40" s="198">
        <v>0.99750000000000005</v>
      </c>
      <c r="AF40" s="198">
        <v>0.99750000000000005</v>
      </c>
      <c r="AG40" s="198"/>
      <c r="AH40" s="198"/>
      <c r="AI40" s="198"/>
      <c r="AJ40" s="198"/>
      <c r="AK40" s="198"/>
      <c r="AL40" s="198"/>
    </row>
    <row r="41" spans="1:38">
      <c r="A41" s="190">
        <f t="shared" si="9"/>
        <v>40</v>
      </c>
      <c r="B41" s="191" t="str">
        <f t="shared" ref="B41:C41" si="49">B29</f>
        <v>July</v>
      </c>
      <c r="C41" s="191">
        <f t="shared" si="49"/>
        <v>7</v>
      </c>
      <c r="D41" s="192">
        <v>45839</v>
      </c>
      <c r="E41" s="193">
        <f t="shared" si="0"/>
        <v>2025</v>
      </c>
      <c r="F41" s="193" t="s">
        <v>2488</v>
      </c>
      <c r="G41" s="194">
        <f t="shared" si="1"/>
        <v>31</v>
      </c>
      <c r="H41" s="199">
        <f t="shared" ref="H41:I41" si="50">H29</f>
        <v>173.59972409999992</v>
      </c>
      <c r="I41" s="199">
        <f t="shared" si="50"/>
        <v>168.9</v>
      </c>
      <c r="J41" s="204"/>
      <c r="K41" s="195">
        <f t="shared" si="19"/>
        <v>33.099892473118302</v>
      </c>
      <c r="L41" s="201">
        <f t="shared" si="20"/>
        <v>51.564857066184757</v>
      </c>
      <c r="M41" s="197">
        <v>47542.249503490129</v>
      </c>
      <c r="N41" s="197">
        <v>335.09100000000001</v>
      </c>
      <c r="O41" s="198">
        <f t="shared" si="23"/>
        <v>0.84001552713942795</v>
      </c>
      <c r="P41" s="196">
        <f t="shared" si="24"/>
        <v>5.4483870967741934</v>
      </c>
      <c r="Q41" s="194">
        <f>COUNTIFS('Daily KPI'!$D:$D,D41,'Daily KPI'!$K:$K,"&gt;0")</f>
        <v>20</v>
      </c>
      <c r="R41" s="197">
        <f t="shared" si="25"/>
        <v>108.96774193548387</v>
      </c>
      <c r="S41" s="197">
        <f>SUMIF($F$2:F41,F41,$R$2:R41)</f>
        <v>735.56774193548392</v>
      </c>
      <c r="T41" s="196">
        <f t="shared" si="26"/>
        <v>1533.6209517254881</v>
      </c>
      <c r="U41" s="197">
        <f t="shared" si="27"/>
        <v>30672.419034509763</v>
      </c>
      <c r="V41" s="197">
        <f>SUMIF($F$2:F41,F41,$U$2:U41)</f>
        <v>202318.06020673888</v>
      </c>
      <c r="W41" s="198">
        <f t="shared" si="28"/>
        <v>0.19069707329818469</v>
      </c>
      <c r="X41" s="198">
        <f t="shared" si="10"/>
        <v>0.19069707329818469</v>
      </c>
      <c r="Y41" s="198">
        <f t="shared" si="8"/>
        <v>0.22664057762017603</v>
      </c>
      <c r="Z41" s="196">
        <f>IFERROR(AVERAGEIF('Daily KPI'!$D:$D,Modelling[[#This Row],[Month]],'Daily KPI'!AB:AB),"")</f>
        <v>336.32726524999964</v>
      </c>
      <c r="AA41" s="199">
        <f>IFERROR(AVERAGEIF($F$2:F41,F41,$Z$2:Z41),"")</f>
        <v>335.39998381249995</v>
      </c>
      <c r="AB41" s="197"/>
      <c r="AC41" s="196"/>
      <c r="AD41" s="196"/>
      <c r="AE41" s="198">
        <v>0.99750000000000005</v>
      </c>
      <c r="AF41" s="198">
        <v>0.99750000000000005</v>
      </c>
      <c r="AG41" s="198"/>
      <c r="AH41" s="198"/>
      <c r="AI41" s="198"/>
      <c r="AJ41" s="198"/>
      <c r="AK41" s="198"/>
      <c r="AL41" s="198"/>
    </row>
    <row r="42" spans="1:38">
      <c r="A42" s="190">
        <f t="shared" si="9"/>
        <v>41</v>
      </c>
      <c r="B42" s="191" t="str">
        <f t="shared" ref="B42:C42" si="51">B30</f>
        <v>August</v>
      </c>
      <c r="C42" s="191">
        <f t="shared" si="51"/>
        <v>8</v>
      </c>
      <c r="D42" s="192">
        <v>45870</v>
      </c>
      <c r="E42" s="193">
        <f t="shared" si="0"/>
        <v>2025</v>
      </c>
      <c r="F42" s="193" t="s">
        <v>2488</v>
      </c>
      <c r="G42" s="194">
        <f t="shared" si="1"/>
        <v>31</v>
      </c>
      <c r="H42" s="199">
        <f t="shared" ref="H42:I42" si="52">H30</f>
        <v>172.6001566000001</v>
      </c>
      <c r="I42" s="199">
        <f t="shared" si="52"/>
        <v>174.2</v>
      </c>
      <c r="J42" s="204"/>
      <c r="K42" s="195">
        <f t="shared" si="19"/>
        <v>31.799973118279599</v>
      </c>
      <c r="L42" s="201">
        <f t="shared" si="20"/>
        <v>50.336592710430871</v>
      </c>
      <c r="M42" s="197">
        <v>48401.300926611308</v>
      </c>
      <c r="N42" s="197">
        <v>335.09100000000001</v>
      </c>
      <c r="O42" s="198">
        <f t="shared" si="23"/>
        <v>0.82917484930796836</v>
      </c>
      <c r="P42" s="196">
        <f t="shared" si="24"/>
        <v>5.6193548387096772</v>
      </c>
      <c r="Q42" s="194">
        <f>COUNTIFS('Daily KPI'!$D:$D,D42,'Daily KPI'!$K:$K,"&gt;0")</f>
        <v>0</v>
      </c>
      <c r="R42" s="197">
        <f t="shared" si="25"/>
        <v>0</v>
      </c>
      <c r="S42" s="197">
        <f>SUMIF($F$2:F42,F42,$R$2:R42)</f>
        <v>735.56774193548392</v>
      </c>
      <c r="T42" s="196">
        <f t="shared" si="26"/>
        <v>1561.3322879552036</v>
      </c>
      <c r="U42" s="197">
        <f t="shared" si="27"/>
        <v>0</v>
      </c>
      <c r="V42" s="197">
        <f>SUMIF($F$2:F42,F42,$U$2:U42)</f>
        <v>202318.06020673888</v>
      </c>
      <c r="W42" s="198">
        <f t="shared" si="28"/>
        <v>0.19414282089979581</v>
      </c>
      <c r="X42" s="198" t="str">
        <f t="shared" si="10"/>
        <v/>
      </c>
      <c r="Y42" s="198">
        <f t="shared" si="8"/>
        <v>0.22664057762017603</v>
      </c>
      <c r="Z42" s="196" t="str">
        <f>IFERROR(AVERAGEIF('Daily KPI'!$D:$D,Modelling[[#This Row],[Month]],'Daily KPI'!AB:AB),"")</f>
        <v/>
      </c>
      <c r="AA42" s="199">
        <f>IFERROR(AVERAGEIF($F$2:F42,F42,$Z$2:Z42),"")</f>
        <v>335.39998381249995</v>
      </c>
      <c r="AB42" s="197"/>
      <c r="AC42" s="196"/>
      <c r="AD42" s="196"/>
      <c r="AE42" s="198">
        <v>0.99750000000000005</v>
      </c>
      <c r="AF42" s="198">
        <v>0.99750000000000005</v>
      </c>
      <c r="AG42" s="198"/>
      <c r="AH42" s="198"/>
      <c r="AI42" s="198"/>
      <c r="AJ42" s="198"/>
      <c r="AK42" s="198"/>
      <c r="AL42" s="198"/>
    </row>
    <row r="43" spans="1:38">
      <c r="A43" s="190">
        <f t="shared" si="9"/>
        <v>42</v>
      </c>
      <c r="B43" s="191" t="str">
        <f t="shared" ref="B43:C43" si="53">B31</f>
        <v>September</v>
      </c>
      <c r="C43" s="191">
        <f t="shared" si="53"/>
        <v>9</v>
      </c>
      <c r="D43" s="192">
        <v>45901</v>
      </c>
      <c r="E43" s="193">
        <f t="shared" si="0"/>
        <v>2025</v>
      </c>
      <c r="F43" s="193" t="s">
        <v>2488</v>
      </c>
      <c r="G43" s="194">
        <f t="shared" si="1"/>
        <v>30</v>
      </c>
      <c r="H43" s="199">
        <f t="shared" ref="H43:I43" si="54">H31</f>
        <v>178.89930529999984</v>
      </c>
      <c r="I43" s="199">
        <f t="shared" si="54"/>
        <v>192.1</v>
      </c>
      <c r="J43" s="204"/>
      <c r="K43" s="195">
        <f t="shared" si="19"/>
        <v>31.199874999999999</v>
      </c>
      <c r="L43" s="201">
        <f t="shared" si="20"/>
        <v>52.25059433997491</v>
      </c>
      <c r="M43" s="197">
        <v>52670.408788074863</v>
      </c>
      <c r="N43" s="197">
        <v>335.09100000000001</v>
      </c>
      <c r="O43" s="198">
        <f t="shared" si="23"/>
        <v>0.81823218922594398</v>
      </c>
      <c r="P43" s="196">
        <f t="shared" si="24"/>
        <v>6.4033333333333333</v>
      </c>
      <c r="Q43" s="194">
        <f>COUNTIFS('Daily KPI'!$D:$D,D43,'Daily KPI'!$K:$K,"&gt;0")</f>
        <v>0</v>
      </c>
      <c r="R43" s="197">
        <f t="shared" si="25"/>
        <v>0</v>
      </c>
      <c r="S43" s="197">
        <f>SUMIF($F$2:F43,F43,$R$2:R43)</f>
        <v>735.56774193548392</v>
      </c>
      <c r="T43" s="196">
        <f t="shared" si="26"/>
        <v>1755.6802929358287</v>
      </c>
      <c r="U43" s="197">
        <f t="shared" si="27"/>
        <v>0</v>
      </c>
      <c r="V43" s="197">
        <f>SUMIF($F$2:F43,F43,$U$2:U43)</f>
        <v>202318.06020673888</v>
      </c>
      <c r="W43" s="198">
        <f t="shared" si="28"/>
        <v>0.21830889381986643</v>
      </c>
      <c r="X43" s="198" t="str">
        <f t="shared" si="10"/>
        <v/>
      </c>
      <c r="Y43" s="198">
        <f t="shared" si="8"/>
        <v>0.22664057762017603</v>
      </c>
      <c r="Z43" s="196" t="str">
        <f>IFERROR(AVERAGEIF('Daily KPI'!$D:$D,Modelling[[#This Row],[Month]],'Daily KPI'!AB:AB),"")</f>
        <v/>
      </c>
      <c r="AA43" s="199">
        <f>IFERROR(AVERAGEIF($F$2:F43,F43,$Z$2:Z43),"")</f>
        <v>335.39998381249995</v>
      </c>
      <c r="AB43" s="197"/>
      <c r="AC43" s="196"/>
      <c r="AD43" s="196"/>
      <c r="AE43" s="198">
        <v>0.99750000000000005</v>
      </c>
      <c r="AF43" s="198">
        <v>0.99750000000000005</v>
      </c>
      <c r="AG43" s="198"/>
      <c r="AH43" s="198"/>
      <c r="AI43" s="198"/>
      <c r="AJ43" s="198"/>
      <c r="AK43" s="198"/>
      <c r="AL43" s="198"/>
    </row>
    <row r="44" spans="1:38">
      <c r="A44" s="190">
        <f t="shared" si="9"/>
        <v>43</v>
      </c>
      <c r="B44" s="191" t="str">
        <f t="shared" ref="B44:C44" si="55">B32</f>
        <v>October</v>
      </c>
      <c r="C44" s="191">
        <f t="shared" si="55"/>
        <v>10</v>
      </c>
      <c r="D44" s="192">
        <v>45931</v>
      </c>
      <c r="E44" s="193">
        <f t="shared" si="0"/>
        <v>2025</v>
      </c>
      <c r="F44" s="193" t="s">
        <v>2488</v>
      </c>
      <c r="G44" s="194">
        <f t="shared" si="1"/>
        <v>31</v>
      </c>
      <c r="H44" s="199">
        <f t="shared" ref="H44:I44" si="56">H32</f>
        <v>174.60082279999986</v>
      </c>
      <c r="I44" s="199">
        <f t="shared" si="56"/>
        <v>202.3</v>
      </c>
      <c r="J44" s="204"/>
      <c r="K44" s="195">
        <f t="shared" si="19"/>
        <v>27.1001075268817</v>
      </c>
      <c r="L44" s="201">
        <f t="shared" si="20"/>
        <v>49.723937837075084</v>
      </c>
      <c r="M44" s="197">
        <v>55260.153439062509</v>
      </c>
      <c r="N44" s="197">
        <v>335.09100000000001</v>
      </c>
      <c r="O44" s="198">
        <f t="shared" si="23"/>
        <v>0.81517985773319568</v>
      </c>
      <c r="P44" s="196">
        <f t="shared" si="24"/>
        <v>6.5258064516129037</v>
      </c>
      <c r="Q44" s="194">
        <f>COUNTIFS('Daily KPI'!$D:$D,D44,'Daily KPI'!$K:$K,"&gt;0")</f>
        <v>0</v>
      </c>
      <c r="R44" s="197">
        <f t="shared" si="25"/>
        <v>0</v>
      </c>
      <c r="S44" s="197">
        <f>SUMIF($F$2:F44,F44,$R$2:R44)</f>
        <v>735.56774193548392</v>
      </c>
      <c r="T44" s="196">
        <f t="shared" si="26"/>
        <v>1782.5855948084679</v>
      </c>
      <c r="U44" s="197">
        <f t="shared" si="27"/>
        <v>0</v>
      </c>
      <c r="V44" s="197">
        <f>SUMIF($F$2:F44,F44,$U$2:U44)</f>
        <v>202318.06020673888</v>
      </c>
      <c r="W44" s="198">
        <f t="shared" si="28"/>
        <v>0.22165441561750737</v>
      </c>
      <c r="X44" s="198" t="str">
        <f t="shared" si="10"/>
        <v/>
      </c>
      <c r="Y44" s="198">
        <f t="shared" si="8"/>
        <v>0.22664057762017603</v>
      </c>
      <c r="Z44" s="196" t="str">
        <f>IFERROR(AVERAGEIF('Daily KPI'!$D:$D,Modelling[[#This Row],[Month]],'Daily KPI'!AB:AB),"")</f>
        <v/>
      </c>
      <c r="AA44" s="199">
        <f>IFERROR(AVERAGEIF($F$2:F44,F44,$Z$2:Z44),"")</f>
        <v>335.39998381249995</v>
      </c>
      <c r="AB44" s="197"/>
      <c r="AC44" s="196"/>
      <c r="AD44" s="196"/>
      <c r="AE44" s="198">
        <v>0.99750000000000005</v>
      </c>
      <c r="AF44" s="198">
        <v>0.99750000000000005</v>
      </c>
      <c r="AG44" s="198"/>
      <c r="AH44" s="198"/>
      <c r="AI44" s="198"/>
      <c r="AJ44" s="198"/>
      <c r="AK44" s="198"/>
      <c r="AL44" s="198"/>
    </row>
    <row r="45" spans="1:38">
      <c r="A45" s="190">
        <f t="shared" si="9"/>
        <v>44</v>
      </c>
      <c r="B45" s="191" t="str">
        <f t="shared" ref="B45:C45" si="57">B33</f>
        <v>November</v>
      </c>
      <c r="C45" s="191">
        <f t="shared" si="57"/>
        <v>11</v>
      </c>
      <c r="D45" s="192">
        <v>45962</v>
      </c>
      <c r="E45" s="193">
        <f t="shared" si="0"/>
        <v>2025</v>
      </c>
      <c r="F45" s="193" t="s">
        <v>2488</v>
      </c>
      <c r="G45" s="194">
        <f t="shared" si="1"/>
        <v>30</v>
      </c>
      <c r="H45" s="199">
        <f t="shared" ref="H45:I45" si="58">H33</f>
        <v>133.69942049999997</v>
      </c>
      <c r="I45" s="199">
        <f t="shared" si="58"/>
        <v>162.9</v>
      </c>
      <c r="J45" s="204"/>
      <c r="K45" s="195">
        <f t="shared" si="19"/>
        <v>20.900027777777801</v>
      </c>
      <c r="L45" s="201">
        <f t="shared" si="20"/>
        <v>42.187120547750681</v>
      </c>
      <c r="M45" s="197">
        <v>46828.471714493164</v>
      </c>
      <c r="N45" s="197">
        <v>335.09100000000001</v>
      </c>
      <c r="O45" s="198">
        <f t="shared" si="23"/>
        <v>0.85787919699962001</v>
      </c>
      <c r="P45" s="196">
        <f t="shared" si="24"/>
        <v>5.4300000000000006</v>
      </c>
      <c r="Q45" s="194">
        <f>COUNTIFS('Daily KPI'!$D:$D,D45,'Daily KPI'!$K:$K,"&gt;0")</f>
        <v>0</v>
      </c>
      <c r="R45" s="197">
        <f t="shared" si="25"/>
        <v>0</v>
      </c>
      <c r="S45" s="197">
        <f>SUMIF($F$2:F45,F45,$R$2:R45)</f>
        <v>735.56774193548392</v>
      </c>
      <c r="T45" s="196">
        <f t="shared" si="26"/>
        <v>1560.9490571497722</v>
      </c>
      <c r="U45" s="197">
        <f t="shared" si="27"/>
        <v>0</v>
      </c>
      <c r="V45" s="197">
        <f>SUMIF($F$2:F45,F45,$U$2:U45)</f>
        <v>202318.06020673888</v>
      </c>
      <c r="W45" s="198">
        <f t="shared" si="28"/>
        <v>0.19409516832116402</v>
      </c>
      <c r="X45" s="198" t="str">
        <f t="shared" si="10"/>
        <v/>
      </c>
      <c r="Y45" s="198">
        <f t="shared" si="8"/>
        <v>0.22664057762017603</v>
      </c>
      <c r="Z45" s="196" t="str">
        <f>IFERROR(AVERAGEIF('Daily KPI'!$D:$D,Modelling[[#This Row],[Month]],'Daily KPI'!AB:AB),"")</f>
        <v/>
      </c>
      <c r="AA45" s="199">
        <f>IFERROR(AVERAGEIF($F$2:F45,F45,$Z$2:Z45),"")</f>
        <v>335.39998381249995</v>
      </c>
      <c r="AB45" s="197"/>
      <c r="AC45" s="196"/>
      <c r="AD45" s="196"/>
      <c r="AE45" s="198">
        <v>0.99750000000000005</v>
      </c>
      <c r="AF45" s="198">
        <v>0.99750000000000005</v>
      </c>
      <c r="AG45" s="198"/>
      <c r="AH45" s="198"/>
      <c r="AI45" s="198"/>
      <c r="AJ45" s="198"/>
      <c r="AK45" s="198"/>
      <c r="AL45" s="198"/>
    </row>
    <row r="46" spans="1:38">
      <c r="A46" s="190">
        <f t="shared" si="9"/>
        <v>45</v>
      </c>
      <c r="B46" s="191" t="str">
        <f t="shared" ref="B46:C46" si="59">B34</f>
        <v>December</v>
      </c>
      <c r="C46" s="191">
        <f t="shared" si="59"/>
        <v>12</v>
      </c>
      <c r="D46" s="192">
        <v>45992</v>
      </c>
      <c r="E46" s="193">
        <f t="shared" si="0"/>
        <v>2025</v>
      </c>
      <c r="F46" s="193" t="s">
        <v>2488</v>
      </c>
      <c r="G46" s="194">
        <f t="shared" si="1"/>
        <v>31</v>
      </c>
      <c r="H46" s="199">
        <f t="shared" ref="H46:I46" si="60">H34</f>
        <v>124.40004220000003</v>
      </c>
      <c r="I46" s="199">
        <f t="shared" si="60"/>
        <v>158.6</v>
      </c>
      <c r="J46" s="204"/>
      <c r="K46" s="195">
        <f t="shared" si="19"/>
        <v>15.891489381720399</v>
      </c>
      <c r="L46" s="201">
        <f t="shared" si="20"/>
        <v>36.076939444156181</v>
      </c>
      <c r="M46" s="197">
        <v>46646.395426390809</v>
      </c>
      <c r="N46" s="197">
        <v>335.09100000000001</v>
      </c>
      <c r="O46" s="198">
        <f t="shared" si="23"/>
        <v>0.87771221616494688</v>
      </c>
      <c r="P46" s="196">
        <f t="shared" si="24"/>
        <v>5.1161290322580646</v>
      </c>
      <c r="Q46" s="194">
        <f>COUNTIFS('Daily KPI'!$D:$D,D46,'Daily KPI'!$K:$K,"&gt;0")</f>
        <v>0</v>
      </c>
      <c r="R46" s="197">
        <f t="shared" si="25"/>
        <v>0</v>
      </c>
      <c r="S46" s="197">
        <f>SUMIF($F$2:F46,F46,$R$2:R46)</f>
        <v>735.56774193548392</v>
      </c>
      <c r="T46" s="196">
        <f t="shared" si="26"/>
        <v>1504.722433109381</v>
      </c>
      <c r="U46" s="197">
        <f t="shared" si="27"/>
        <v>0</v>
      </c>
      <c r="V46" s="197">
        <f>SUMIF($F$2:F46,F46,$U$2:U46)</f>
        <v>202318.06020673888</v>
      </c>
      <c r="W46" s="198">
        <f t="shared" si="28"/>
        <v>0.18710370629537709</v>
      </c>
      <c r="X46" s="198" t="str">
        <f t="shared" si="10"/>
        <v/>
      </c>
      <c r="Y46" s="198">
        <f t="shared" si="8"/>
        <v>0.22664057762017603</v>
      </c>
      <c r="Z46" s="196" t="str">
        <f>IFERROR(AVERAGEIF('Daily KPI'!$D:$D,Modelling[[#This Row],[Month]],'Daily KPI'!AB:AB),"")</f>
        <v/>
      </c>
      <c r="AA46" s="199">
        <f>IFERROR(AVERAGEIF($F$2:F46,F46,$Z$2:Z46),"")</f>
        <v>335.39998381249995</v>
      </c>
      <c r="AB46" s="197"/>
      <c r="AC46" s="196"/>
      <c r="AD46" s="196"/>
      <c r="AE46" s="198">
        <v>0.99750000000000005</v>
      </c>
      <c r="AF46" s="198">
        <v>0.99750000000000005</v>
      </c>
      <c r="AG46" s="198"/>
      <c r="AH46" s="198"/>
      <c r="AI46" s="198"/>
      <c r="AJ46" s="198"/>
      <c r="AK46" s="198"/>
      <c r="AL46" s="198"/>
    </row>
    <row r="47" spans="1:38">
      <c r="A47" s="190">
        <f t="shared" si="9"/>
        <v>46</v>
      </c>
      <c r="B47" s="191" t="str">
        <f t="shared" ref="B47:C47" si="61">B35</f>
        <v>January</v>
      </c>
      <c r="C47" s="191">
        <f t="shared" si="61"/>
        <v>1</v>
      </c>
      <c r="D47" s="192">
        <v>46023</v>
      </c>
      <c r="E47" s="193">
        <f t="shared" si="0"/>
        <v>2026</v>
      </c>
      <c r="F47" s="193" t="s">
        <v>2488</v>
      </c>
      <c r="G47" s="194">
        <f t="shared" si="1"/>
        <v>31</v>
      </c>
      <c r="H47" s="199">
        <f t="shared" ref="H47:I47" si="62">H35</f>
        <v>133.89933939999995</v>
      </c>
      <c r="I47" s="199">
        <f t="shared" si="62"/>
        <v>169.028549</v>
      </c>
      <c r="J47" s="204"/>
      <c r="K47" s="195">
        <f t="shared" si="19"/>
        <v>14.399918279569899</v>
      </c>
      <c r="L47" s="201">
        <f t="shared" si="20"/>
        <v>34.970332119021293</v>
      </c>
      <c r="M47" s="197">
        <v>49522.813382050233</v>
      </c>
      <c r="N47" s="197">
        <v>335.09100000000001</v>
      </c>
      <c r="O47" s="198">
        <f t="shared" si="23"/>
        <v>0.87434429771334443</v>
      </c>
      <c r="P47" s="196">
        <f t="shared" si="24"/>
        <v>5.4525338387096776</v>
      </c>
      <c r="Q47" s="194">
        <f>COUNTIFS('Daily KPI'!$D:$D,D47,'Daily KPI'!$K:$K,"&gt;0")</f>
        <v>0</v>
      </c>
      <c r="R47" s="197">
        <f t="shared" si="25"/>
        <v>0</v>
      </c>
      <c r="S47" s="197">
        <f>SUMIF($F$2:F47,F47,$R$2:R47)</f>
        <v>735.56774193548392</v>
      </c>
      <c r="T47" s="196">
        <f t="shared" si="26"/>
        <v>1597.5101090983947</v>
      </c>
      <c r="U47" s="197">
        <f t="shared" si="27"/>
        <v>0</v>
      </c>
      <c r="V47" s="197">
        <f>SUMIF($F$2:F47,F47,$U$2:U47)</f>
        <v>202318.06020673888</v>
      </c>
      <c r="W47" s="198">
        <f t="shared" si="28"/>
        <v>0.19864132791520248</v>
      </c>
      <c r="X47" s="198" t="str">
        <f t="shared" si="10"/>
        <v/>
      </c>
      <c r="Y47" s="198">
        <f t="shared" si="8"/>
        <v>0.22664057762017603</v>
      </c>
      <c r="Z47" s="196" t="str">
        <f>IFERROR(AVERAGEIF('Daily KPI'!$D:$D,Modelling[[#This Row],[Month]],'Daily KPI'!AB:AB),"")</f>
        <v/>
      </c>
      <c r="AA47" s="199">
        <f>IFERROR(AVERAGEIF($F$2:F47,F47,$Z$2:Z47),"")</f>
        <v>335.39998381249995</v>
      </c>
      <c r="AB47" s="197"/>
      <c r="AC47" s="196"/>
      <c r="AD47" s="196"/>
      <c r="AE47" s="198">
        <v>0.99750000000000005</v>
      </c>
      <c r="AF47" s="198">
        <v>0.99750000000000005</v>
      </c>
      <c r="AG47" s="198"/>
      <c r="AH47" s="198"/>
      <c r="AI47" s="198"/>
      <c r="AJ47" s="198"/>
      <c r="AK47" s="198"/>
      <c r="AL47" s="198"/>
    </row>
    <row r="48" spans="1:38">
      <c r="A48" s="190">
        <f t="shared" si="9"/>
        <v>47</v>
      </c>
      <c r="B48" s="191" t="str">
        <f t="shared" ref="B48:C48" si="63">B36</f>
        <v>February</v>
      </c>
      <c r="C48" s="191">
        <f t="shared" si="63"/>
        <v>2</v>
      </c>
      <c r="D48" s="192">
        <v>46054</v>
      </c>
      <c r="E48" s="193">
        <f t="shared" si="0"/>
        <v>2026</v>
      </c>
      <c r="F48" s="193" t="s">
        <v>2488</v>
      </c>
      <c r="G48" s="194">
        <f t="shared" si="1"/>
        <v>28</v>
      </c>
      <c r="H48" s="199">
        <f t="shared" ref="H48:I48" si="64">H36</f>
        <v>145.40077080000009</v>
      </c>
      <c r="I48" s="199">
        <f t="shared" si="64"/>
        <v>172.55912190000004</v>
      </c>
      <c r="J48" s="204"/>
      <c r="K48" s="195">
        <f t="shared" si="19"/>
        <v>17.800145982142901</v>
      </c>
      <c r="L48" s="201">
        <f t="shared" si="20"/>
        <v>40.252096455972236</v>
      </c>
      <c r="M48" s="197">
        <v>48840.995792560592</v>
      </c>
      <c r="N48" s="197">
        <v>335.09100000000001</v>
      </c>
      <c r="O48" s="198">
        <f t="shared" si="23"/>
        <v>0.84466368797833169</v>
      </c>
      <c r="P48" s="196">
        <f t="shared" si="24"/>
        <v>6.1628257821428587</v>
      </c>
      <c r="Q48" s="194">
        <f>COUNTIFS('Daily KPI'!$D:$D,D48,'Daily KPI'!$K:$K,"&gt;0")</f>
        <v>0</v>
      </c>
      <c r="R48" s="197">
        <f t="shared" si="25"/>
        <v>0</v>
      </c>
      <c r="S48" s="197">
        <f>SUMIF($F$2:F48,F48,$R$2:R48)</f>
        <v>735.56774193548392</v>
      </c>
      <c r="T48" s="196">
        <f t="shared" si="26"/>
        <v>1744.3212783057354</v>
      </c>
      <c r="U48" s="197">
        <f t="shared" si="27"/>
        <v>0</v>
      </c>
      <c r="V48" s="197">
        <f>SUMIF($F$2:F48,F48,$U$2:U48)</f>
        <v>202318.06020673888</v>
      </c>
      <c r="W48" s="198">
        <f t="shared" si="28"/>
        <v>0.21689646472969723</v>
      </c>
      <c r="X48" s="198" t="str">
        <f t="shared" si="10"/>
        <v/>
      </c>
      <c r="Y48" s="198">
        <f t="shared" si="8"/>
        <v>0.22664057762017603</v>
      </c>
      <c r="Z48" s="196" t="str">
        <f>IFERROR(AVERAGEIF('Daily KPI'!$D:$D,Modelling[[#This Row],[Month]],'Daily KPI'!AB:AB),"")</f>
        <v/>
      </c>
      <c r="AA48" s="199">
        <f>IFERROR(AVERAGEIF($F$2:F48,F48,$Z$2:Z48),"")</f>
        <v>335.39998381249995</v>
      </c>
      <c r="AB48" s="197"/>
      <c r="AC48" s="196"/>
      <c r="AD48" s="196"/>
      <c r="AE48" s="198">
        <v>0.99750000000000005</v>
      </c>
      <c r="AF48" s="198">
        <v>0.99750000000000005</v>
      </c>
      <c r="AG48" s="198"/>
      <c r="AH48" s="198"/>
      <c r="AI48" s="198"/>
      <c r="AJ48" s="198"/>
      <c r="AK48" s="198"/>
      <c r="AL48" s="198"/>
    </row>
    <row r="49" spans="1:38">
      <c r="A49" s="190">
        <f t="shared" si="9"/>
        <v>48</v>
      </c>
      <c r="B49" s="191" t="str">
        <f t="shared" ref="B49:C49" si="65">B37</f>
        <v>March</v>
      </c>
      <c r="C49" s="191">
        <f t="shared" si="65"/>
        <v>3</v>
      </c>
      <c r="D49" s="192">
        <v>46082</v>
      </c>
      <c r="E49" s="193">
        <f t="shared" si="0"/>
        <v>2026</v>
      </c>
      <c r="F49" s="193" t="s">
        <v>2488</v>
      </c>
      <c r="G49" s="194">
        <f t="shared" si="1"/>
        <v>31</v>
      </c>
      <c r="H49" s="199">
        <f t="shared" ref="H49:I49" si="66">H37</f>
        <v>195.59891570000002</v>
      </c>
      <c r="I49" s="199">
        <f t="shared" si="66"/>
        <v>215.74576700000009</v>
      </c>
      <c r="J49" s="204"/>
      <c r="K49" s="195">
        <f t="shared" si="19"/>
        <v>23.6002284946236</v>
      </c>
      <c r="L49" s="201">
        <f t="shared" si="20"/>
        <v>47.179622377374095</v>
      </c>
      <c r="M49" s="197">
        <v>58468.763771419312</v>
      </c>
      <c r="N49" s="197">
        <v>335.09100000000001</v>
      </c>
      <c r="O49" s="198">
        <f t="shared" si="23"/>
        <v>0.80875851180650671</v>
      </c>
      <c r="P49" s="196">
        <f t="shared" si="24"/>
        <v>6.9595408709677447</v>
      </c>
      <c r="Q49" s="194">
        <f>COUNTIFS('Daily KPI'!$D:$D,D49,'Daily KPI'!$K:$K,"&gt;0")</f>
        <v>0</v>
      </c>
      <c r="R49" s="197">
        <f t="shared" si="25"/>
        <v>0</v>
      </c>
      <c r="S49" s="197">
        <f>SUMIF($F$2:F49,F49,$R$2:R49)</f>
        <v>735.56774193548392</v>
      </c>
      <c r="T49" s="196">
        <f t="shared" si="26"/>
        <v>1886.0891539167519</v>
      </c>
      <c r="U49" s="197">
        <f t="shared" si="27"/>
        <v>0</v>
      </c>
      <c r="V49" s="197">
        <f>SUMIF($F$2:F49,F49,$U$2:U49)</f>
        <v>202318.06020673888</v>
      </c>
      <c r="W49" s="198">
        <f t="shared" si="28"/>
        <v>0.23452449656918467</v>
      </c>
      <c r="X49" s="198" t="str">
        <f t="shared" si="10"/>
        <v/>
      </c>
      <c r="Y49" s="198">
        <f t="shared" si="8"/>
        <v>0.22664057762017603</v>
      </c>
      <c r="Z49" s="196" t="str">
        <f>IFERROR(AVERAGEIF('Daily KPI'!$D:$D,Modelling[[#This Row],[Month]],'Daily KPI'!AB:AB),"")</f>
        <v/>
      </c>
      <c r="AA49" s="199">
        <f>IFERROR(AVERAGEIF($F$2:F49,F49,$Z$2:Z49),"")</f>
        <v>335.39998381249995</v>
      </c>
      <c r="AB49" s="197"/>
      <c r="AC49" s="196"/>
      <c r="AD49" s="196"/>
      <c r="AE49" s="198">
        <v>0.99750000000000005</v>
      </c>
      <c r="AF49" s="198">
        <v>0.99750000000000005</v>
      </c>
      <c r="AG49" s="198"/>
      <c r="AH49" s="198"/>
      <c r="AI49" s="198"/>
      <c r="AJ49" s="198"/>
      <c r="AK49" s="198"/>
      <c r="AL49" s="198"/>
    </row>
  </sheetData>
  <phoneticPr fontId="5" type="noConversion"/>
  <pageMargins left="0.7" right="0.7" top="0.75" bottom="0.75" header="0.3" footer="0.3"/>
  <ignoredErrors>
    <ignoredError sqref="S4:S49 V4:V49 X2" calculatedColumn="1"/>
  </ignoredErrors>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F56E9-5438-4192-9387-F6BDF420DEE4}">
  <dimension ref="A1:E22"/>
  <sheetViews>
    <sheetView topLeftCell="A4" workbookViewId="0">
      <selection activeCell="E21" sqref="E21"/>
    </sheetView>
  </sheetViews>
  <sheetFormatPr defaultColWidth="8.81640625" defaultRowHeight="14.5"/>
  <cols>
    <col min="1" max="1" width="7" customWidth="1"/>
    <col min="2" max="2" width="10.453125" bestFit="1" customWidth="1"/>
    <col min="5" max="5" width="20.453125" bestFit="1" customWidth="1"/>
    <col min="10" max="10" width="16" customWidth="1"/>
  </cols>
  <sheetData>
    <row r="1" spans="1:5">
      <c r="A1" s="290" t="s">
        <v>2489</v>
      </c>
      <c r="B1" s="290"/>
      <c r="C1" s="290"/>
      <c r="D1" s="290"/>
      <c r="E1" s="290"/>
    </row>
    <row r="2" spans="1:5">
      <c r="A2" s="25" t="s">
        <v>2408</v>
      </c>
      <c r="B2" s="25" t="s">
        <v>55</v>
      </c>
      <c r="C2" s="25" t="s">
        <v>2413</v>
      </c>
      <c r="D2" s="25" t="s">
        <v>2414</v>
      </c>
      <c r="E2" s="25" t="s">
        <v>2490</v>
      </c>
    </row>
    <row r="3" spans="1:5">
      <c r="A3" s="25">
        <v>1</v>
      </c>
      <c r="B3" s="60">
        <v>45085</v>
      </c>
      <c r="C3" s="61">
        <v>0.4916666666666667</v>
      </c>
      <c r="D3" s="61">
        <v>0.61249999999999993</v>
      </c>
      <c r="E3" s="113">
        <v>58633.974999999999</v>
      </c>
    </row>
    <row r="4" spans="1:5">
      <c r="A4" s="25">
        <v>2</v>
      </c>
      <c r="B4" s="60">
        <v>45086</v>
      </c>
      <c r="C4" s="61">
        <v>0.4375</v>
      </c>
      <c r="D4" s="61">
        <v>0.45833333333333331</v>
      </c>
      <c r="E4" s="113">
        <v>17357.349999999999</v>
      </c>
    </row>
    <row r="5" spans="1:5">
      <c r="A5" s="25">
        <v>3</v>
      </c>
      <c r="B5" s="60">
        <v>45086</v>
      </c>
      <c r="C5" s="61">
        <v>0.45833333333333331</v>
      </c>
      <c r="D5" s="61">
        <v>0.65416666666666667</v>
      </c>
      <c r="E5" s="113">
        <v>342913.5</v>
      </c>
    </row>
    <row r="6" spans="1:5">
      <c r="A6" s="25">
        <v>4</v>
      </c>
      <c r="B6" s="60">
        <v>45087</v>
      </c>
      <c r="C6" s="61">
        <v>0.41666666666666669</v>
      </c>
      <c r="D6" s="61">
        <v>0.6381944444444444</v>
      </c>
      <c r="E6" s="113">
        <v>349821.82182379998</v>
      </c>
    </row>
    <row r="7" spans="1:5">
      <c r="A7" s="25">
        <v>5</v>
      </c>
      <c r="B7" s="60">
        <v>45088</v>
      </c>
      <c r="C7" s="61">
        <v>0.44305555555555554</v>
      </c>
      <c r="D7" s="61">
        <v>0.64583333333333337</v>
      </c>
      <c r="E7" s="113">
        <v>310738.90000000002</v>
      </c>
    </row>
    <row r="8" spans="1:5">
      <c r="A8" s="25">
        <v>6</v>
      </c>
      <c r="B8" s="60">
        <v>45089</v>
      </c>
      <c r="C8" s="112">
        <v>0.45694444444444443</v>
      </c>
      <c r="D8" s="112">
        <v>0.63194444444444442</v>
      </c>
      <c r="E8" s="113">
        <v>316525.9454808</v>
      </c>
    </row>
    <row r="9" spans="1:5">
      <c r="A9" s="25">
        <v>7</v>
      </c>
      <c r="B9" s="60">
        <v>45090</v>
      </c>
      <c r="C9" s="112">
        <v>0.43263888888888885</v>
      </c>
      <c r="D9" s="112">
        <v>0.61249999999999993</v>
      </c>
      <c r="E9" s="113">
        <v>316183.56060383329</v>
      </c>
    </row>
    <row r="10" spans="1:5">
      <c r="A10" s="25">
        <v>8</v>
      </c>
      <c r="B10" s="60">
        <v>45091</v>
      </c>
      <c r="C10" s="112">
        <v>0.46180555555555558</v>
      </c>
      <c r="D10" s="112">
        <v>0.57638888888888895</v>
      </c>
      <c r="E10" s="113">
        <v>144889.3388</v>
      </c>
    </row>
    <row r="11" spans="1:5">
      <c r="A11" s="25">
        <v>9</v>
      </c>
      <c r="B11" s="60">
        <v>45092</v>
      </c>
      <c r="C11" s="112">
        <v>0.5</v>
      </c>
      <c r="D11" s="112">
        <v>0.51458333333333328</v>
      </c>
      <c r="E11" s="113">
        <v>9003.0802024666664</v>
      </c>
    </row>
    <row r="12" spans="1:5">
      <c r="A12" s="25">
        <v>10</v>
      </c>
      <c r="B12" s="60">
        <v>45097</v>
      </c>
      <c r="C12" s="112">
        <v>0.46249999999999997</v>
      </c>
      <c r="D12" s="112">
        <v>0.6333333333333333</v>
      </c>
      <c r="E12" s="113">
        <v>156831.87913034999</v>
      </c>
    </row>
    <row r="13" spans="1:5">
      <c r="A13" s="25">
        <v>11</v>
      </c>
      <c r="B13" s="60">
        <v>45099</v>
      </c>
      <c r="C13" s="112">
        <v>0.46666666666666662</v>
      </c>
      <c r="D13" s="112">
        <v>0.48194444444444445</v>
      </c>
      <c r="E13" s="113">
        <v>6931.8370817833338</v>
      </c>
    </row>
    <row r="14" spans="1:5">
      <c r="A14" s="25">
        <v>12</v>
      </c>
      <c r="B14" s="60">
        <v>45099</v>
      </c>
      <c r="C14" s="112">
        <v>0.48194444444444445</v>
      </c>
      <c r="D14" s="112">
        <v>0.65972222222222221</v>
      </c>
      <c r="E14" s="113">
        <v>145514.92905367503</v>
      </c>
    </row>
    <row r="15" spans="1:5">
      <c r="A15" s="25">
        <v>13</v>
      </c>
      <c r="B15" s="114">
        <v>45100</v>
      </c>
      <c r="C15" s="61">
        <v>0.42777777777777781</v>
      </c>
      <c r="D15" s="61">
        <v>0.51041666666666663</v>
      </c>
      <c r="E15" s="25">
        <v>73239.55</v>
      </c>
    </row>
    <row r="16" spans="1:5">
      <c r="A16" s="25">
        <v>14</v>
      </c>
      <c r="B16" s="114">
        <v>45100</v>
      </c>
      <c r="C16" s="61">
        <v>0.51041666666666663</v>
      </c>
      <c r="D16" s="61">
        <v>0.57361111111111118</v>
      </c>
      <c r="E16" s="25">
        <v>94618.725000000006</v>
      </c>
    </row>
    <row r="17" spans="1:5">
      <c r="A17" s="25">
        <v>15</v>
      </c>
      <c r="B17" s="114">
        <v>45100</v>
      </c>
      <c r="C17" s="61">
        <v>0.57361111111111118</v>
      </c>
      <c r="D17" s="61">
        <v>0.63888888888888895</v>
      </c>
      <c r="E17" s="25">
        <v>58845.65</v>
      </c>
    </row>
    <row r="18" spans="1:5">
      <c r="A18" s="25">
        <v>16</v>
      </c>
      <c r="B18" s="114">
        <v>45101</v>
      </c>
      <c r="C18" s="112">
        <v>0.52430555555555558</v>
      </c>
      <c r="D18" s="112">
        <v>0.58333333333333337</v>
      </c>
      <c r="E18" s="25">
        <v>28576.125</v>
      </c>
    </row>
    <row r="19" spans="1:5">
      <c r="A19" s="25">
        <v>17</v>
      </c>
      <c r="B19" s="114">
        <v>45108</v>
      </c>
      <c r="C19" s="112">
        <v>0.51180555555555551</v>
      </c>
      <c r="D19" s="112">
        <v>0.56597222222222221</v>
      </c>
      <c r="E19" s="25">
        <v>40031.745608734404</v>
      </c>
    </row>
    <row r="20" spans="1:5">
      <c r="A20" s="25">
        <v>18</v>
      </c>
      <c r="B20" s="114">
        <v>45120</v>
      </c>
      <c r="C20" s="112">
        <v>0.57361111111111118</v>
      </c>
      <c r="D20" s="112">
        <v>0.63263888888888886</v>
      </c>
      <c r="E20" s="25">
        <v>37769.590758650775</v>
      </c>
    </row>
    <row r="21" spans="1:5">
      <c r="A21" s="25">
        <v>19</v>
      </c>
      <c r="B21" s="114">
        <v>45122</v>
      </c>
      <c r="C21" s="112">
        <v>0.45555555555555555</v>
      </c>
      <c r="D21" s="112">
        <v>0.5229166666666667</v>
      </c>
      <c r="E21" s="25">
        <v>62318.77098303345</v>
      </c>
    </row>
    <row r="22" spans="1:5">
      <c r="A22" s="25">
        <v>20</v>
      </c>
      <c r="B22" s="114">
        <v>45122</v>
      </c>
      <c r="C22" s="112">
        <v>0.5229166666666667</v>
      </c>
      <c r="D22" s="112">
        <v>0.64930555555555558</v>
      </c>
      <c r="E22" s="25">
        <v>179913.21844095661</v>
      </c>
    </row>
  </sheetData>
  <mergeCells count="1">
    <mergeCell ref="A1:E1"/>
  </mergeCells>
  <pageMargins left="0.7" right="0.7" top="0.75" bottom="0.75" header="0.3" footer="0.3"/>
  <pageSetup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C0BB-6DEA-48D7-BBC0-3D5BF697B6BA}">
  <dimension ref="A1:AE313"/>
  <sheetViews>
    <sheetView zoomScale="25" zoomScaleNormal="25" workbookViewId="0">
      <selection activeCell="A49" sqref="A49"/>
    </sheetView>
  </sheetViews>
  <sheetFormatPr defaultColWidth="8.81640625" defaultRowHeight="14.5"/>
  <cols>
    <col min="1" max="1" width="10.81640625" bestFit="1" customWidth="1"/>
    <col min="2" max="2" width="7.453125" bestFit="1" customWidth="1"/>
    <col min="3" max="3" width="16.453125" style="1" bestFit="1" customWidth="1"/>
    <col min="4" max="4" width="11.453125" style="1" bestFit="1" customWidth="1"/>
    <col min="5" max="5" width="17.453125" style="1" bestFit="1" customWidth="1"/>
    <col min="6" max="6" width="17.1796875" style="1" bestFit="1" customWidth="1"/>
    <col min="7" max="7" width="25" style="1" bestFit="1" customWidth="1"/>
    <col min="8" max="8" width="10.453125" style="1" bestFit="1" customWidth="1"/>
    <col min="9" max="9" width="45.453125" style="1" bestFit="1" customWidth="1"/>
    <col min="10" max="10" width="15.453125" style="1" bestFit="1" customWidth="1"/>
    <col min="11" max="11" width="19.81640625" style="1" bestFit="1" customWidth="1"/>
    <col min="12" max="12" width="17.453125" style="1" bestFit="1" customWidth="1"/>
    <col min="13" max="13" width="17.1796875" style="1" bestFit="1" customWidth="1"/>
    <col min="14" max="14" width="25.1796875" style="1" bestFit="1" customWidth="1"/>
    <col min="15" max="15" width="23.453125" style="1" bestFit="1" customWidth="1"/>
    <col min="16" max="16" width="17.1796875" style="1" bestFit="1" customWidth="1"/>
    <col min="17" max="17" width="16" style="1" bestFit="1" customWidth="1"/>
    <col min="18" max="18" width="16.453125" style="1" bestFit="1" customWidth="1"/>
    <col min="19" max="19" width="16" style="1" bestFit="1" customWidth="1"/>
    <col min="20" max="20" width="18" style="1" bestFit="1" customWidth="1"/>
    <col min="21" max="21" width="8.453125" style="1" customWidth="1"/>
    <col min="22" max="22" width="6.453125" style="1" bestFit="1" customWidth="1"/>
    <col min="23" max="28" width="8.453125" style="1" customWidth="1"/>
    <col min="30" max="30" width="28.453125" bestFit="1" customWidth="1"/>
    <col min="31" max="31" width="8.1796875" bestFit="1" customWidth="1"/>
  </cols>
  <sheetData>
    <row r="1" spans="1:31">
      <c r="A1" s="118" t="s">
        <v>504</v>
      </c>
      <c r="B1" s="118" t="s">
        <v>2491</v>
      </c>
      <c r="C1" s="119" t="s">
        <v>504</v>
      </c>
      <c r="D1" s="120" t="s">
        <v>505</v>
      </c>
      <c r="E1" s="120" t="s">
        <v>506</v>
      </c>
      <c r="F1" s="120" t="s">
        <v>507</v>
      </c>
      <c r="G1" s="120" t="s">
        <v>39</v>
      </c>
      <c r="H1" s="121" t="s">
        <v>508</v>
      </c>
      <c r="I1" s="121" t="s">
        <v>509</v>
      </c>
      <c r="J1" s="121" t="s">
        <v>510</v>
      </c>
      <c r="K1" s="121" t="s">
        <v>511</v>
      </c>
      <c r="L1" s="121" t="s">
        <v>512</v>
      </c>
      <c r="M1" s="121" t="s">
        <v>513</v>
      </c>
      <c r="N1" s="121" t="s">
        <v>514</v>
      </c>
      <c r="O1" s="121" t="s">
        <v>515</v>
      </c>
      <c r="P1" s="121" t="s">
        <v>516</v>
      </c>
      <c r="Q1" s="121" t="s">
        <v>517</v>
      </c>
      <c r="R1" s="121" t="s">
        <v>518</v>
      </c>
      <c r="S1" s="120" t="s">
        <v>519</v>
      </c>
      <c r="T1" s="120" t="s">
        <v>520</v>
      </c>
      <c r="U1" s="122"/>
      <c r="V1" s="122"/>
      <c r="W1" s="122"/>
      <c r="X1" s="122"/>
      <c r="Y1" s="122"/>
      <c r="Z1" s="122"/>
      <c r="AA1" s="122"/>
      <c r="AB1" s="122"/>
    </row>
    <row r="2" spans="1:31">
      <c r="A2" s="25" t="s">
        <v>2492</v>
      </c>
      <c r="B2" s="25">
        <v>0</v>
      </c>
      <c r="C2" s="123" t="str">
        <f t="shared" ref="C2:C65" si="0">CONCATENATE("Year-",B2)</f>
        <v>Year-0</v>
      </c>
      <c r="D2" s="28" t="s">
        <v>521</v>
      </c>
      <c r="E2" s="26">
        <v>215.9</v>
      </c>
      <c r="F2" s="32">
        <v>208.99969899999999</v>
      </c>
      <c r="G2" s="31">
        <v>59637.599999999999</v>
      </c>
      <c r="H2" s="124">
        <v>52.296499350965128</v>
      </c>
      <c r="I2" s="125">
        <v>1.6658954187875996E-2</v>
      </c>
      <c r="J2" s="125">
        <v>0.28999999999999998</v>
      </c>
      <c r="K2" s="125">
        <v>0.11719199751057031</v>
      </c>
      <c r="L2" s="125">
        <v>1.5231272154623582E-2</v>
      </c>
      <c r="M2" s="125">
        <v>1.6110689006976781E-2</v>
      </c>
      <c r="N2" s="125">
        <v>1.8633277773980331E-2</v>
      </c>
      <c r="O2" s="125">
        <v>0</v>
      </c>
      <c r="P2" s="125">
        <v>2.2802418781094937E-2</v>
      </c>
      <c r="Q2" s="125">
        <v>2.7995485693316467E-2</v>
      </c>
      <c r="R2" s="125">
        <v>0.995</v>
      </c>
      <c r="S2" s="125">
        <v>0.995</v>
      </c>
      <c r="T2" s="125">
        <v>0</v>
      </c>
      <c r="U2" s="126"/>
      <c r="V2" s="126"/>
      <c r="W2" s="126"/>
      <c r="X2" s="126"/>
      <c r="Y2" s="126"/>
      <c r="Z2" s="126"/>
      <c r="AA2" s="126"/>
      <c r="AB2" s="126"/>
      <c r="AD2" t="s">
        <v>2493</v>
      </c>
      <c r="AE2" s="33">
        <v>4.4999999999999997E-3</v>
      </c>
    </row>
    <row r="3" spans="1:31">
      <c r="A3" s="25" t="s">
        <v>2492</v>
      </c>
      <c r="B3" s="25">
        <v>0</v>
      </c>
      <c r="C3" s="123" t="str">
        <f t="shared" si="0"/>
        <v>Year-0</v>
      </c>
      <c r="D3" s="28" t="s">
        <v>522</v>
      </c>
      <c r="E3" s="26">
        <v>217.9</v>
      </c>
      <c r="F3" s="32">
        <v>221.90023470000006</v>
      </c>
      <c r="G3" s="31">
        <v>61013.7</v>
      </c>
      <c r="H3" s="124">
        <v>55.437733860726389</v>
      </c>
      <c r="I3" s="125">
        <v>1.7865322950068707E-2</v>
      </c>
      <c r="J3" s="125">
        <v>0.3</v>
      </c>
      <c r="K3" s="125">
        <v>0.1306817577748349</v>
      </c>
      <c r="L3" s="125">
        <v>1.609339136491415E-2</v>
      </c>
      <c r="M3" s="125">
        <v>1.525163145425878E-2</v>
      </c>
      <c r="N3" s="125">
        <v>1.5763583972179196E-2</v>
      </c>
      <c r="O3" s="125">
        <v>0</v>
      </c>
      <c r="P3" s="125">
        <v>2.2281870794181511E-2</v>
      </c>
      <c r="Q3" s="125">
        <v>1.1198342091846737E-2</v>
      </c>
      <c r="R3" s="125">
        <v>0.995</v>
      </c>
      <c r="S3" s="125">
        <v>0.995</v>
      </c>
      <c r="T3" s="125">
        <v>0</v>
      </c>
      <c r="U3" s="126"/>
      <c r="V3" s="126"/>
      <c r="W3" s="126"/>
      <c r="X3" s="126"/>
      <c r="Y3" s="126"/>
      <c r="Z3" s="126"/>
      <c r="AA3" s="126"/>
      <c r="AB3" s="126"/>
      <c r="AD3" t="s">
        <v>2494</v>
      </c>
      <c r="AE3">
        <v>335.096</v>
      </c>
    </row>
    <row r="4" spans="1:31">
      <c r="A4" s="25" t="s">
        <v>2492</v>
      </c>
      <c r="B4" s="25">
        <v>0</v>
      </c>
      <c r="C4" s="123" t="str">
        <f t="shared" si="0"/>
        <v>Year-0</v>
      </c>
      <c r="D4" s="28" t="s">
        <v>523</v>
      </c>
      <c r="E4" s="26">
        <v>192.8</v>
      </c>
      <c r="F4" s="32">
        <v>200.20089519999999</v>
      </c>
      <c r="G4" s="31">
        <v>54806.400000000001</v>
      </c>
      <c r="H4" s="124">
        <v>54.658309168315547</v>
      </c>
      <c r="I4" s="125">
        <v>1.914123124676681E-2</v>
      </c>
      <c r="J4" s="125">
        <v>0.3</v>
      </c>
      <c r="K4" s="125">
        <v>0.12650723469382591</v>
      </c>
      <c r="L4" s="125">
        <v>1.6398522844759341E-2</v>
      </c>
      <c r="M4" s="125">
        <v>1.3926271600695752E-2</v>
      </c>
      <c r="N4" s="125">
        <v>1.4057661793117321E-2</v>
      </c>
      <c r="O4" s="125">
        <v>0</v>
      </c>
      <c r="P4" s="125">
        <v>2.1677907023400757E-2</v>
      </c>
      <c r="Q4" s="125">
        <v>4.051685061336731E-3</v>
      </c>
      <c r="R4" s="125">
        <v>0.995</v>
      </c>
      <c r="S4" s="125">
        <v>0.995</v>
      </c>
      <c r="T4" s="125">
        <v>0</v>
      </c>
      <c r="U4" s="126"/>
      <c r="V4" s="126"/>
      <c r="W4" s="126"/>
      <c r="X4" s="126"/>
      <c r="Y4" s="126"/>
      <c r="Z4" s="126"/>
      <c r="AA4" s="126"/>
      <c r="AB4" s="126"/>
    </row>
    <row r="5" spans="1:31" ht="14.25" customHeight="1">
      <c r="A5" s="25" t="s">
        <v>2492</v>
      </c>
      <c r="B5" s="25">
        <v>0</v>
      </c>
      <c r="C5" s="123" t="str">
        <f t="shared" si="0"/>
        <v>Year-0</v>
      </c>
      <c r="D5" s="28" t="s">
        <v>524</v>
      </c>
      <c r="E5" s="26">
        <v>168.9</v>
      </c>
      <c r="F5" s="32">
        <v>173.59972409999992</v>
      </c>
      <c r="G5" s="31">
        <v>48598.11</v>
      </c>
      <c r="H5" s="124">
        <v>51.564857066184757</v>
      </c>
      <c r="I5" s="125">
        <v>2.1854695806261204E-2</v>
      </c>
      <c r="J5" s="125">
        <v>0.28000000000000003</v>
      </c>
      <c r="K5" s="125">
        <v>0.1089308468990661</v>
      </c>
      <c r="L5" s="125">
        <v>1.5867586262633245E-2</v>
      </c>
      <c r="M5" s="125">
        <v>1.231974144019694E-2</v>
      </c>
      <c r="N5" s="125">
        <v>1.3502102014775261E-2</v>
      </c>
      <c r="O5" s="125">
        <v>0</v>
      </c>
      <c r="P5" s="125">
        <v>2.127320988616644E-2</v>
      </c>
      <c r="Q5" s="125">
        <v>1.5557262066246368E-3</v>
      </c>
      <c r="R5" s="125">
        <v>0.995</v>
      </c>
      <c r="S5" s="125">
        <v>0.995</v>
      </c>
      <c r="T5" s="125">
        <v>0</v>
      </c>
      <c r="U5" s="126"/>
      <c r="V5" s="126"/>
      <c r="W5" s="126"/>
      <c r="X5" s="126"/>
      <c r="Y5" s="126"/>
      <c r="Z5" s="126"/>
      <c r="AA5" s="126"/>
      <c r="AB5" s="126"/>
    </row>
    <row r="6" spans="1:31">
      <c r="A6" s="25" t="s">
        <v>2492</v>
      </c>
      <c r="B6" s="25">
        <v>0</v>
      </c>
      <c r="C6" s="123" t="str">
        <f t="shared" si="0"/>
        <v>Year-0</v>
      </c>
      <c r="D6" s="28" t="s">
        <v>525</v>
      </c>
      <c r="E6" s="26">
        <v>174.2</v>
      </c>
      <c r="F6" s="32">
        <v>172.6001566000001</v>
      </c>
      <c r="G6" s="31">
        <v>49476.24</v>
      </c>
      <c r="H6" s="124">
        <v>50.336592710430871</v>
      </c>
      <c r="I6" s="125">
        <v>2.0196191575302946E-2</v>
      </c>
      <c r="J6" s="125">
        <v>0.27</v>
      </c>
      <c r="K6" s="125">
        <v>0.10494453414747008</v>
      </c>
      <c r="L6" s="125">
        <v>1.507508977611231E-2</v>
      </c>
      <c r="M6" s="125">
        <v>1.2791562311125756E-2</v>
      </c>
      <c r="N6" s="125">
        <v>1.4116403195935955E-2</v>
      </c>
      <c r="O6" s="125">
        <v>0</v>
      </c>
      <c r="P6" s="125">
        <v>2.157456294953386E-2</v>
      </c>
      <c r="Q6" s="125">
        <v>6.2818876990405415E-3</v>
      </c>
      <c r="R6" s="125">
        <v>0.995</v>
      </c>
      <c r="S6" s="125">
        <v>0.995</v>
      </c>
      <c r="T6" s="125">
        <v>0</v>
      </c>
      <c r="U6" s="126"/>
      <c r="V6" s="126"/>
      <c r="W6" s="126"/>
      <c r="X6" s="126"/>
      <c r="Y6" s="126"/>
      <c r="Z6" s="126"/>
      <c r="AA6" s="126"/>
      <c r="AB6" s="126"/>
    </row>
    <row r="7" spans="1:31">
      <c r="A7" s="25" t="s">
        <v>2492</v>
      </c>
      <c r="B7" s="25">
        <v>0</v>
      </c>
      <c r="C7" s="123" t="str">
        <f t="shared" si="0"/>
        <v>Year-0</v>
      </c>
      <c r="D7" s="28" t="s">
        <v>526</v>
      </c>
      <c r="E7" s="26">
        <v>192.1</v>
      </c>
      <c r="F7" s="32">
        <v>178.89930529999984</v>
      </c>
      <c r="G7" s="31">
        <v>53840.159999999996</v>
      </c>
      <c r="H7" s="124">
        <v>52.25059433997491</v>
      </c>
      <c r="I7" s="125">
        <v>1.7196456487754141E-2</v>
      </c>
      <c r="J7" s="125">
        <v>0.26</v>
      </c>
      <c r="K7" s="125">
        <v>0.11387126505657014</v>
      </c>
      <c r="L7" s="125">
        <v>1.3959618092500629E-2</v>
      </c>
      <c r="M7" s="125">
        <v>1.4531255376132731E-2</v>
      </c>
      <c r="N7" s="125">
        <v>1.4478833500810966E-2</v>
      </c>
      <c r="O7" s="125">
        <v>0</v>
      </c>
      <c r="P7" s="125">
        <v>2.2473527643153385E-2</v>
      </c>
      <c r="Q7" s="125">
        <v>1.1388926338936924E-2</v>
      </c>
      <c r="R7" s="125">
        <v>0.995</v>
      </c>
      <c r="S7" s="125">
        <v>0.995</v>
      </c>
      <c r="T7" s="125">
        <v>0</v>
      </c>
      <c r="U7" s="126"/>
      <c r="V7" s="126"/>
      <c r="W7" s="126"/>
      <c r="X7" s="126"/>
      <c r="Y7" s="126"/>
      <c r="Z7" s="126"/>
      <c r="AA7" s="126"/>
      <c r="AB7" s="126"/>
    </row>
    <row r="8" spans="1:31">
      <c r="A8" s="25" t="s">
        <v>2492</v>
      </c>
      <c r="B8" s="25">
        <v>0</v>
      </c>
      <c r="C8" s="123" t="str">
        <f t="shared" si="0"/>
        <v>Year-0</v>
      </c>
      <c r="D8" s="28" t="s">
        <v>527</v>
      </c>
      <c r="E8" s="26">
        <v>202.3</v>
      </c>
      <c r="F8" s="32">
        <v>174.60082279999986</v>
      </c>
      <c r="G8" s="31">
        <v>56487.42</v>
      </c>
      <c r="H8" s="124">
        <v>49.723937837075084</v>
      </c>
      <c r="I8" s="125">
        <v>1.5873015873015817E-2</v>
      </c>
      <c r="J8" s="125">
        <v>0.27</v>
      </c>
      <c r="K8" s="125">
        <v>0.10390722673430232</v>
      </c>
      <c r="L8" s="125">
        <v>1.4040704754284353E-2</v>
      </c>
      <c r="M8" s="125">
        <v>1.526389492868482E-2</v>
      </c>
      <c r="N8" s="125">
        <v>1.5324069649683622E-2</v>
      </c>
      <c r="O8" s="125">
        <v>0</v>
      </c>
      <c r="P8" s="125">
        <v>2.3043103417804571E-2</v>
      </c>
      <c r="Q8" s="125">
        <v>2.1184397869334348E-2</v>
      </c>
      <c r="R8" s="125">
        <v>0.995</v>
      </c>
      <c r="S8" s="125">
        <v>0.995</v>
      </c>
      <c r="T8" s="125">
        <v>0</v>
      </c>
      <c r="U8" s="126"/>
      <c r="V8" s="126"/>
      <c r="W8" s="126"/>
      <c r="X8" s="126"/>
      <c r="Y8" s="126"/>
      <c r="Z8" s="126"/>
      <c r="AA8" s="126"/>
      <c r="AB8" s="126"/>
    </row>
    <row r="9" spans="1:31">
      <c r="A9" s="25" t="s">
        <v>2492</v>
      </c>
      <c r="B9" s="25">
        <v>0</v>
      </c>
      <c r="C9" s="123" t="str">
        <f t="shared" si="0"/>
        <v>Year-0</v>
      </c>
      <c r="D9" s="28" t="s">
        <v>528</v>
      </c>
      <c r="E9" s="26">
        <v>162.9</v>
      </c>
      <c r="F9" s="32">
        <v>133.69942049999997</v>
      </c>
      <c r="G9" s="31">
        <v>47868.480000000003</v>
      </c>
      <c r="H9" s="124">
        <v>42.187120547750681</v>
      </c>
      <c r="I9" s="125">
        <v>1.5950920245398792E-2</v>
      </c>
      <c r="J9" s="125">
        <v>0.27</v>
      </c>
      <c r="K9" s="125">
        <v>6.9024239591701744E-2</v>
      </c>
      <c r="L9" s="125">
        <v>1.4204952105287192E-2</v>
      </c>
      <c r="M9" s="125">
        <v>1.3252885058363056E-2</v>
      </c>
      <c r="N9" s="125">
        <v>1.3980442883231779E-2</v>
      </c>
      <c r="O9" s="125">
        <v>0</v>
      </c>
      <c r="P9" s="125">
        <v>2.30208488716231E-2</v>
      </c>
      <c r="Q9" s="125">
        <v>8.3479094998109554E-3</v>
      </c>
      <c r="R9" s="125">
        <v>0.995</v>
      </c>
      <c r="S9" s="125">
        <v>0.995</v>
      </c>
      <c r="T9" s="125">
        <v>0</v>
      </c>
      <c r="U9" s="126"/>
      <c r="V9" s="126"/>
      <c r="W9" s="126"/>
      <c r="X9" s="126"/>
      <c r="Y9" s="126"/>
      <c r="Z9" s="126"/>
      <c r="AA9" s="126"/>
      <c r="AB9" s="126"/>
    </row>
    <row r="10" spans="1:31">
      <c r="A10" s="25" t="s">
        <v>2492</v>
      </c>
      <c r="B10" s="25">
        <v>0</v>
      </c>
      <c r="C10" s="123" t="str">
        <f t="shared" si="0"/>
        <v>Year-0</v>
      </c>
      <c r="D10" s="28" t="s">
        <v>529</v>
      </c>
      <c r="E10" s="26">
        <v>158.6</v>
      </c>
      <c r="F10" s="32">
        <v>124.40004220000003</v>
      </c>
      <c r="G10" s="31">
        <v>47682.36</v>
      </c>
      <c r="H10" s="124">
        <v>36.076939444156181</v>
      </c>
      <c r="I10" s="125">
        <v>1.5802781289506962E-2</v>
      </c>
      <c r="J10" s="125">
        <v>0.27</v>
      </c>
      <c r="K10" s="125">
        <v>4.4787946264861052E-2</v>
      </c>
      <c r="L10" s="125">
        <v>1.4140595613406415E-2</v>
      </c>
      <c r="M10" s="125">
        <v>1.2367081056294736E-2</v>
      </c>
      <c r="N10" s="125">
        <v>1.3960975699298588E-2</v>
      </c>
      <c r="O10" s="125">
        <v>0</v>
      </c>
      <c r="P10" s="125">
        <v>2.3055036005913448E-2</v>
      </c>
      <c r="Q10" s="125">
        <v>3.6978876304825567E-3</v>
      </c>
      <c r="R10" s="125">
        <v>0.995</v>
      </c>
      <c r="S10" s="125">
        <v>0.995</v>
      </c>
      <c r="T10" s="125">
        <v>0</v>
      </c>
      <c r="U10" s="126"/>
      <c r="V10" s="126"/>
      <c r="W10" s="126"/>
      <c r="X10" s="126"/>
      <c r="Y10" s="126"/>
      <c r="Z10" s="126"/>
      <c r="AA10" s="126"/>
      <c r="AB10" s="126"/>
    </row>
    <row r="11" spans="1:31">
      <c r="A11" s="25" t="s">
        <v>2492</v>
      </c>
      <c r="B11" s="25">
        <v>0</v>
      </c>
      <c r="C11" s="123" t="str">
        <f t="shared" si="0"/>
        <v>Year-0</v>
      </c>
      <c r="D11" s="28" t="s">
        <v>530</v>
      </c>
      <c r="E11" s="26">
        <v>169.028549</v>
      </c>
      <c r="F11" s="32">
        <v>133.89933939999995</v>
      </c>
      <c r="G11" s="31">
        <v>50622.659999999996</v>
      </c>
      <c r="H11" s="124">
        <v>34.970332119021293</v>
      </c>
      <c r="I11" s="125">
        <v>1.7200474495848161E-2</v>
      </c>
      <c r="J11" s="125">
        <v>0.27</v>
      </c>
      <c r="K11" s="125">
        <v>4.0029940128316385E-2</v>
      </c>
      <c r="L11" s="125">
        <v>1.4099625889623608E-2</v>
      </c>
      <c r="M11" s="125">
        <v>1.267725762135744E-2</v>
      </c>
      <c r="N11" s="125">
        <v>1.390175346828215E-2</v>
      </c>
      <c r="O11" s="125">
        <v>0</v>
      </c>
      <c r="P11" s="125">
        <v>2.298066658515029E-2</v>
      </c>
      <c r="Q11" s="125">
        <v>1.0644897972798715E-2</v>
      </c>
      <c r="R11" s="125">
        <v>0.995</v>
      </c>
      <c r="S11" s="125">
        <v>0.995</v>
      </c>
      <c r="T11" s="125">
        <v>0</v>
      </c>
      <c r="U11" s="126"/>
      <c r="V11" s="126"/>
      <c r="W11" s="126"/>
      <c r="X11" s="126"/>
      <c r="Y11" s="126"/>
      <c r="Z11" s="126"/>
      <c r="AA11" s="126"/>
      <c r="AB11" s="126"/>
    </row>
    <row r="12" spans="1:31">
      <c r="A12" s="25" t="s">
        <v>2492</v>
      </c>
      <c r="B12" s="25">
        <v>0</v>
      </c>
      <c r="C12" s="123" t="str">
        <f t="shared" si="0"/>
        <v>Year-0</v>
      </c>
      <c r="D12" s="28" t="s">
        <v>531</v>
      </c>
      <c r="E12" s="26">
        <v>172.55912190000004</v>
      </c>
      <c r="F12" s="32">
        <v>145.40077080000009</v>
      </c>
      <c r="G12" s="31">
        <v>49925.7</v>
      </c>
      <c r="H12" s="124">
        <v>40.252096455972236</v>
      </c>
      <c r="I12" s="125">
        <v>1.510749564206848E-2</v>
      </c>
      <c r="J12" s="125">
        <v>0.27</v>
      </c>
      <c r="K12" s="125">
        <v>6.2111013936519133E-2</v>
      </c>
      <c r="L12" s="125">
        <v>1.4175439055030284E-2</v>
      </c>
      <c r="M12" s="125">
        <v>1.4384371816049681E-2</v>
      </c>
      <c r="N12" s="125">
        <v>1.5915736744616871E-2</v>
      </c>
      <c r="O12" s="125">
        <v>0</v>
      </c>
      <c r="P12" s="125">
        <v>2.3268144471779773E-2</v>
      </c>
      <c r="Q12" s="125">
        <v>2.5052142565085967E-2</v>
      </c>
      <c r="R12" s="125">
        <v>0.995</v>
      </c>
      <c r="S12" s="125">
        <v>0.995</v>
      </c>
      <c r="T12" s="125">
        <v>0</v>
      </c>
      <c r="U12" s="126"/>
      <c r="V12" s="126"/>
      <c r="W12" s="126"/>
      <c r="X12" s="126"/>
      <c r="Y12" s="126"/>
      <c r="Z12" s="126"/>
      <c r="AA12" s="126"/>
      <c r="AB12" s="126"/>
    </row>
    <row r="13" spans="1:31">
      <c r="A13" s="25" t="s">
        <v>2492</v>
      </c>
      <c r="B13" s="25">
        <v>0</v>
      </c>
      <c r="C13" s="123" t="str">
        <f t="shared" si="0"/>
        <v>Year-0</v>
      </c>
      <c r="D13" s="28" t="s">
        <v>532</v>
      </c>
      <c r="E13" s="26">
        <v>215.74576700000009</v>
      </c>
      <c r="F13" s="32">
        <v>195.59891570000002</v>
      </c>
      <c r="G13" s="31">
        <v>59767.29</v>
      </c>
      <c r="H13" s="124">
        <v>47.179622377374095</v>
      </c>
      <c r="I13" s="125">
        <v>1.5306122448979553E-2</v>
      </c>
      <c r="J13" s="125">
        <v>0.28000000000000003</v>
      </c>
      <c r="K13" s="125">
        <v>9.4419706369976972E-2</v>
      </c>
      <c r="L13" s="125">
        <v>1.4644787078611174E-2</v>
      </c>
      <c r="M13" s="125">
        <v>1.6212630268737406E-2</v>
      </c>
      <c r="N13" s="125">
        <v>2.0718676035686345E-2</v>
      </c>
      <c r="O13" s="125">
        <v>0</v>
      </c>
      <c r="P13" s="125">
        <v>2.3247057021314733E-2</v>
      </c>
      <c r="Q13" s="125">
        <v>3.9222124133286969E-2</v>
      </c>
      <c r="R13" s="125">
        <v>0.995</v>
      </c>
      <c r="S13" s="125">
        <v>0.995</v>
      </c>
      <c r="T13" s="125">
        <v>0</v>
      </c>
      <c r="U13" s="126"/>
      <c r="V13" s="126"/>
      <c r="W13" s="126"/>
      <c r="X13" s="126"/>
      <c r="Y13" s="126"/>
      <c r="Z13" s="126"/>
      <c r="AA13" s="126"/>
      <c r="AB13" s="126"/>
    </row>
    <row r="14" spans="1:31">
      <c r="A14" s="25" t="s">
        <v>2495</v>
      </c>
      <c r="B14" s="25">
        <f t="shared" ref="B14:B77" si="1">B2+1</f>
        <v>1</v>
      </c>
      <c r="C14" s="123" t="str">
        <f t="shared" si="0"/>
        <v>Year-1</v>
      </c>
      <c r="D14" s="35">
        <v>44652</v>
      </c>
      <c r="E14" s="26">
        <f t="shared" ref="E14:T29" si="2">E2</f>
        <v>215.9</v>
      </c>
      <c r="F14" s="26">
        <f t="shared" si="2"/>
        <v>208.99969899999999</v>
      </c>
      <c r="G14" s="31">
        <f t="shared" si="2"/>
        <v>59637.599999999999</v>
      </c>
      <c r="H14" s="124">
        <f t="shared" si="2"/>
        <v>52.296499350965128</v>
      </c>
      <c r="I14" s="125">
        <f t="shared" si="2"/>
        <v>1.6658954187875996E-2</v>
      </c>
      <c r="J14" s="125">
        <f t="shared" si="2"/>
        <v>0.28999999999999998</v>
      </c>
      <c r="K14" s="125">
        <f t="shared" si="2"/>
        <v>0.11719199751057031</v>
      </c>
      <c r="L14" s="125">
        <f t="shared" si="2"/>
        <v>1.5231272154623582E-2</v>
      </c>
      <c r="M14" s="125">
        <f t="shared" si="2"/>
        <v>1.6110689006976781E-2</v>
      </c>
      <c r="N14" s="125">
        <f t="shared" si="2"/>
        <v>1.8633277773980331E-2</v>
      </c>
      <c r="O14" s="125">
        <f t="shared" si="2"/>
        <v>0</v>
      </c>
      <c r="P14" s="125">
        <f t="shared" si="2"/>
        <v>2.2802418781094937E-2</v>
      </c>
      <c r="Q14" s="125">
        <f t="shared" si="2"/>
        <v>2.7995485693316467E-2</v>
      </c>
      <c r="R14" s="125">
        <f t="shared" si="2"/>
        <v>0.995</v>
      </c>
      <c r="S14" s="125">
        <f t="shared" si="2"/>
        <v>0.995</v>
      </c>
      <c r="T14" s="125">
        <f t="shared" si="2"/>
        <v>0</v>
      </c>
      <c r="U14" s="126"/>
      <c r="V14" s="126"/>
      <c r="W14" s="126"/>
      <c r="X14" s="126"/>
      <c r="Y14" s="126"/>
      <c r="Z14" s="126"/>
      <c r="AA14" s="126"/>
      <c r="AB14" s="126"/>
    </row>
    <row r="15" spans="1:31">
      <c r="A15" s="25" t="s">
        <v>2495</v>
      </c>
      <c r="B15" s="25">
        <f t="shared" si="1"/>
        <v>1</v>
      </c>
      <c r="C15" s="123" t="str">
        <f t="shared" si="0"/>
        <v>Year-1</v>
      </c>
      <c r="D15" s="35">
        <v>44682</v>
      </c>
      <c r="E15" s="26">
        <f t="shared" si="2"/>
        <v>217.9</v>
      </c>
      <c r="F15" s="26">
        <f t="shared" si="2"/>
        <v>221.90023470000006</v>
      </c>
      <c r="G15" s="31">
        <f t="shared" si="2"/>
        <v>61013.7</v>
      </c>
      <c r="H15" s="124">
        <f t="shared" si="2"/>
        <v>55.437733860726389</v>
      </c>
      <c r="I15" s="125">
        <f t="shared" si="2"/>
        <v>1.7865322950068707E-2</v>
      </c>
      <c r="J15" s="125">
        <f t="shared" si="2"/>
        <v>0.3</v>
      </c>
      <c r="K15" s="125">
        <f t="shared" si="2"/>
        <v>0.1306817577748349</v>
      </c>
      <c r="L15" s="125">
        <f t="shared" si="2"/>
        <v>1.609339136491415E-2</v>
      </c>
      <c r="M15" s="125">
        <f t="shared" si="2"/>
        <v>1.525163145425878E-2</v>
      </c>
      <c r="N15" s="125">
        <f t="shared" si="2"/>
        <v>1.5763583972179196E-2</v>
      </c>
      <c r="O15" s="125">
        <f t="shared" si="2"/>
        <v>0</v>
      </c>
      <c r="P15" s="125">
        <f t="shared" si="2"/>
        <v>2.2281870794181511E-2</v>
      </c>
      <c r="Q15" s="125">
        <f t="shared" si="2"/>
        <v>1.1198342091846737E-2</v>
      </c>
      <c r="R15" s="125">
        <f t="shared" si="2"/>
        <v>0.995</v>
      </c>
      <c r="S15" s="125">
        <f t="shared" si="2"/>
        <v>0.995</v>
      </c>
      <c r="T15" s="125">
        <f t="shared" si="2"/>
        <v>0</v>
      </c>
      <c r="U15" s="126"/>
      <c r="V15" s="126"/>
      <c r="W15" s="126"/>
      <c r="X15" s="126"/>
      <c r="Y15" s="126"/>
      <c r="Z15" s="126"/>
      <c r="AA15" s="126"/>
      <c r="AB15" s="126"/>
    </row>
    <row r="16" spans="1:31">
      <c r="A16" s="25" t="s">
        <v>2495</v>
      </c>
      <c r="B16" s="25">
        <f t="shared" si="1"/>
        <v>1</v>
      </c>
      <c r="C16" s="123" t="str">
        <f t="shared" si="0"/>
        <v>Year-1</v>
      </c>
      <c r="D16" s="35">
        <v>44713</v>
      </c>
      <c r="E16" s="26">
        <f t="shared" si="2"/>
        <v>192.8</v>
      </c>
      <c r="F16" s="26">
        <f t="shared" si="2"/>
        <v>200.20089519999999</v>
      </c>
      <c r="G16" s="31">
        <f t="shared" si="2"/>
        <v>54806.400000000001</v>
      </c>
      <c r="H16" s="124">
        <f t="shared" si="2"/>
        <v>54.658309168315547</v>
      </c>
      <c r="I16" s="125">
        <f t="shared" si="2"/>
        <v>1.914123124676681E-2</v>
      </c>
      <c r="J16" s="125">
        <f t="shared" si="2"/>
        <v>0.3</v>
      </c>
      <c r="K16" s="125">
        <f t="shared" si="2"/>
        <v>0.12650723469382591</v>
      </c>
      <c r="L16" s="125">
        <f t="shared" si="2"/>
        <v>1.6398522844759341E-2</v>
      </c>
      <c r="M16" s="125">
        <f t="shared" si="2"/>
        <v>1.3926271600695752E-2</v>
      </c>
      <c r="N16" s="125">
        <f t="shared" si="2"/>
        <v>1.4057661793117321E-2</v>
      </c>
      <c r="O16" s="125">
        <f t="shared" si="2"/>
        <v>0</v>
      </c>
      <c r="P16" s="125">
        <f t="shared" si="2"/>
        <v>2.1677907023400757E-2</v>
      </c>
      <c r="Q16" s="125">
        <f t="shared" si="2"/>
        <v>4.051685061336731E-3</v>
      </c>
      <c r="R16" s="125">
        <f t="shared" si="2"/>
        <v>0.995</v>
      </c>
      <c r="S16" s="125">
        <f t="shared" si="2"/>
        <v>0.995</v>
      </c>
      <c r="T16" s="125">
        <f t="shared" si="2"/>
        <v>0</v>
      </c>
      <c r="U16" s="126"/>
      <c r="V16" s="126"/>
      <c r="W16" s="126"/>
      <c r="X16" s="126"/>
      <c r="Y16" s="126"/>
      <c r="Z16" s="126"/>
      <c r="AA16" s="126"/>
      <c r="AB16" s="126"/>
    </row>
    <row r="17" spans="1:28">
      <c r="A17" s="25" t="s">
        <v>2495</v>
      </c>
      <c r="B17" s="25">
        <f t="shared" si="1"/>
        <v>1</v>
      </c>
      <c r="C17" s="123" t="str">
        <f t="shared" si="0"/>
        <v>Year-1</v>
      </c>
      <c r="D17" s="35">
        <v>44743</v>
      </c>
      <c r="E17" s="26">
        <f t="shared" si="2"/>
        <v>168.9</v>
      </c>
      <c r="F17" s="26">
        <f t="shared" si="2"/>
        <v>173.59972409999992</v>
      </c>
      <c r="G17" s="31">
        <f t="shared" si="2"/>
        <v>48598.11</v>
      </c>
      <c r="H17" s="124">
        <f t="shared" si="2"/>
        <v>51.564857066184757</v>
      </c>
      <c r="I17" s="125">
        <f t="shared" si="2"/>
        <v>2.1854695806261204E-2</v>
      </c>
      <c r="J17" s="125">
        <f t="shared" si="2"/>
        <v>0.28000000000000003</v>
      </c>
      <c r="K17" s="125">
        <f t="shared" si="2"/>
        <v>0.1089308468990661</v>
      </c>
      <c r="L17" s="125">
        <f t="shared" si="2"/>
        <v>1.5867586262633245E-2</v>
      </c>
      <c r="M17" s="125">
        <f t="shared" si="2"/>
        <v>1.231974144019694E-2</v>
      </c>
      <c r="N17" s="125">
        <f t="shared" si="2"/>
        <v>1.3502102014775261E-2</v>
      </c>
      <c r="O17" s="125">
        <f t="shared" si="2"/>
        <v>0</v>
      </c>
      <c r="P17" s="125">
        <f t="shared" si="2"/>
        <v>2.127320988616644E-2</v>
      </c>
      <c r="Q17" s="125">
        <f t="shared" si="2"/>
        <v>1.5557262066246368E-3</v>
      </c>
      <c r="R17" s="125">
        <f t="shared" si="2"/>
        <v>0.995</v>
      </c>
      <c r="S17" s="125">
        <f t="shared" si="2"/>
        <v>0.995</v>
      </c>
      <c r="T17" s="125">
        <f t="shared" si="2"/>
        <v>0</v>
      </c>
      <c r="U17" s="126"/>
      <c r="V17" s="126"/>
      <c r="W17" s="126"/>
      <c r="X17" s="126"/>
      <c r="Y17" s="126"/>
      <c r="Z17" s="126"/>
      <c r="AA17" s="126"/>
      <c r="AB17" s="126"/>
    </row>
    <row r="18" spans="1:28">
      <c r="A18" s="25" t="s">
        <v>2495</v>
      </c>
      <c r="B18" s="25">
        <f t="shared" si="1"/>
        <v>1</v>
      </c>
      <c r="C18" s="123" t="str">
        <f t="shared" si="0"/>
        <v>Year-1</v>
      </c>
      <c r="D18" s="35">
        <v>44774</v>
      </c>
      <c r="E18" s="26">
        <f t="shared" si="2"/>
        <v>174.2</v>
      </c>
      <c r="F18" s="26">
        <f t="shared" si="2"/>
        <v>172.6001566000001</v>
      </c>
      <c r="G18" s="31">
        <f t="shared" si="2"/>
        <v>49476.24</v>
      </c>
      <c r="H18" s="124">
        <f t="shared" si="2"/>
        <v>50.336592710430871</v>
      </c>
      <c r="I18" s="125">
        <f t="shared" si="2"/>
        <v>2.0196191575302946E-2</v>
      </c>
      <c r="J18" s="125">
        <f t="shared" si="2"/>
        <v>0.27</v>
      </c>
      <c r="K18" s="125">
        <f t="shared" si="2"/>
        <v>0.10494453414747008</v>
      </c>
      <c r="L18" s="125">
        <f t="shared" si="2"/>
        <v>1.507508977611231E-2</v>
      </c>
      <c r="M18" s="125">
        <f t="shared" si="2"/>
        <v>1.2791562311125756E-2</v>
      </c>
      <c r="N18" s="125">
        <f t="shared" si="2"/>
        <v>1.4116403195935955E-2</v>
      </c>
      <c r="O18" s="125">
        <f t="shared" si="2"/>
        <v>0</v>
      </c>
      <c r="P18" s="125">
        <f t="shared" si="2"/>
        <v>2.157456294953386E-2</v>
      </c>
      <c r="Q18" s="125">
        <f t="shared" si="2"/>
        <v>6.2818876990405415E-3</v>
      </c>
      <c r="R18" s="125">
        <f t="shared" si="2"/>
        <v>0.995</v>
      </c>
      <c r="S18" s="125">
        <f t="shared" si="2"/>
        <v>0.995</v>
      </c>
      <c r="T18" s="125">
        <f t="shared" si="2"/>
        <v>0</v>
      </c>
      <c r="U18" s="126"/>
      <c r="V18" s="126"/>
      <c r="W18" s="126"/>
      <c r="X18" s="126"/>
      <c r="Y18" s="126"/>
      <c r="Z18" s="126"/>
      <c r="AA18" s="126"/>
      <c r="AB18" s="126"/>
    </row>
    <row r="19" spans="1:28">
      <c r="A19" s="25" t="s">
        <v>2495</v>
      </c>
      <c r="B19" s="25">
        <f t="shared" si="1"/>
        <v>1</v>
      </c>
      <c r="C19" s="123" t="str">
        <f t="shared" si="0"/>
        <v>Year-1</v>
      </c>
      <c r="D19" s="35">
        <v>44805</v>
      </c>
      <c r="E19" s="26">
        <f t="shared" si="2"/>
        <v>192.1</v>
      </c>
      <c r="F19" s="26">
        <f t="shared" si="2"/>
        <v>178.89930529999984</v>
      </c>
      <c r="G19" s="31">
        <f t="shared" si="2"/>
        <v>53840.159999999996</v>
      </c>
      <c r="H19" s="124">
        <f t="shared" si="2"/>
        <v>52.25059433997491</v>
      </c>
      <c r="I19" s="125">
        <f t="shared" si="2"/>
        <v>1.7196456487754141E-2</v>
      </c>
      <c r="J19" s="125">
        <f t="shared" si="2"/>
        <v>0.26</v>
      </c>
      <c r="K19" s="125">
        <f t="shared" si="2"/>
        <v>0.11387126505657014</v>
      </c>
      <c r="L19" s="125">
        <f t="shared" si="2"/>
        <v>1.3959618092500629E-2</v>
      </c>
      <c r="M19" s="125">
        <f t="shared" si="2"/>
        <v>1.4531255376132731E-2</v>
      </c>
      <c r="N19" s="125">
        <f t="shared" si="2"/>
        <v>1.4478833500810966E-2</v>
      </c>
      <c r="O19" s="125">
        <f t="shared" si="2"/>
        <v>0</v>
      </c>
      <c r="P19" s="125">
        <f t="shared" si="2"/>
        <v>2.2473527643153385E-2</v>
      </c>
      <c r="Q19" s="125">
        <f t="shared" si="2"/>
        <v>1.1388926338936924E-2</v>
      </c>
      <c r="R19" s="125">
        <f t="shared" si="2"/>
        <v>0.995</v>
      </c>
      <c r="S19" s="125">
        <f t="shared" si="2"/>
        <v>0.995</v>
      </c>
      <c r="T19" s="125">
        <f t="shared" si="2"/>
        <v>0</v>
      </c>
      <c r="U19" s="126"/>
      <c r="V19" s="126"/>
      <c r="W19" s="126"/>
      <c r="X19" s="126"/>
      <c r="Y19" s="126"/>
      <c r="Z19" s="126"/>
      <c r="AA19" s="126"/>
      <c r="AB19" s="126"/>
    </row>
    <row r="20" spans="1:28">
      <c r="A20" s="25" t="s">
        <v>2495</v>
      </c>
      <c r="B20" s="25">
        <f t="shared" si="1"/>
        <v>1</v>
      </c>
      <c r="C20" s="123" t="str">
        <f t="shared" si="0"/>
        <v>Year-1</v>
      </c>
      <c r="D20" s="35">
        <v>44835</v>
      </c>
      <c r="E20" s="26">
        <f t="shared" si="2"/>
        <v>202.3</v>
      </c>
      <c r="F20" s="26">
        <f t="shared" si="2"/>
        <v>174.60082279999986</v>
      </c>
      <c r="G20" s="31">
        <f t="shared" si="2"/>
        <v>56487.42</v>
      </c>
      <c r="H20" s="124">
        <f t="shared" si="2"/>
        <v>49.723937837075084</v>
      </c>
      <c r="I20" s="125">
        <f t="shared" si="2"/>
        <v>1.5873015873015817E-2</v>
      </c>
      <c r="J20" s="125">
        <f t="shared" si="2"/>
        <v>0.27</v>
      </c>
      <c r="K20" s="125">
        <f t="shared" si="2"/>
        <v>0.10390722673430232</v>
      </c>
      <c r="L20" s="125">
        <f t="shared" si="2"/>
        <v>1.4040704754284353E-2</v>
      </c>
      <c r="M20" s="125">
        <f t="shared" si="2"/>
        <v>1.526389492868482E-2</v>
      </c>
      <c r="N20" s="125">
        <f t="shared" si="2"/>
        <v>1.5324069649683622E-2</v>
      </c>
      <c r="O20" s="125">
        <f t="shared" si="2"/>
        <v>0</v>
      </c>
      <c r="P20" s="125">
        <f t="shared" si="2"/>
        <v>2.3043103417804571E-2</v>
      </c>
      <c r="Q20" s="125">
        <f t="shared" si="2"/>
        <v>2.1184397869334348E-2</v>
      </c>
      <c r="R20" s="125">
        <f t="shared" si="2"/>
        <v>0.995</v>
      </c>
      <c r="S20" s="125">
        <f t="shared" si="2"/>
        <v>0.995</v>
      </c>
      <c r="T20" s="125">
        <f t="shared" si="2"/>
        <v>0</v>
      </c>
      <c r="U20" s="126"/>
      <c r="V20" s="126"/>
      <c r="W20" s="126"/>
      <c r="X20" s="126"/>
      <c r="Y20" s="126"/>
      <c r="Z20" s="126"/>
      <c r="AA20" s="126"/>
      <c r="AB20" s="126"/>
    </row>
    <row r="21" spans="1:28">
      <c r="A21" s="25" t="s">
        <v>2495</v>
      </c>
      <c r="B21" s="25">
        <f t="shared" si="1"/>
        <v>1</v>
      </c>
      <c r="C21" s="123" t="str">
        <f t="shared" si="0"/>
        <v>Year-1</v>
      </c>
      <c r="D21" s="35">
        <v>44866</v>
      </c>
      <c r="E21" s="26">
        <f t="shared" si="2"/>
        <v>162.9</v>
      </c>
      <c r="F21" s="26">
        <f t="shared" si="2"/>
        <v>133.69942049999997</v>
      </c>
      <c r="G21" s="31">
        <f t="shared" si="2"/>
        <v>47868.480000000003</v>
      </c>
      <c r="H21" s="124">
        <f t="shared" si="2"/>
        <v>42.187120547750681</v>
      </c>
      <c r="I21" s="125">
        <f t="shared" si="2"/>
        <v>1.5950920245398792E-2</v>
      </c>
      <c r="J21" s="125">
        <f t="shared" si="2"/>
        <v>0.27</v>
      </c>
      <c r="K21" s="125">
        <f t="shared" si="2"/>
        <v>6.9024239591701744E-2</v>
      </c>
      <c r="L21" s="125">
        <f t="shared" si="2"/>
        <v>1.4204952105287192E-2</v>
      </c>
      <c r="M21" s="125">
        <f t="shared" si="2"/>
        <v>1.3252885058363056E-2</v>
      </c>
      <c r="N21" s="125">
        <f t="shared" si="2"/>
        <v>1.3980442883231779E-2</v>
      </c>
      <c r="O21" s="125">
        <f t="shared" si="2"/>
        <v>0</v>
      </c>
      <c r="P21" s="125">
        <f t="shared" si="2"/>
        <v>2.30208488716231E-2</v>
      </c>
      <c r="Q21" s="125">
        <f t="shared" si="2"/>
        <v>8.3479094998109554E-3</v>
      </c>
      <c r="R21" s="125">
        <f t="shared" si="2"/>
        <v>0.995</v>
      </c>
      <c r="S21" s="125">
        <f t="shared" si="2"/>
        <v>0.995</v>
      </c>
      <c r="T21" s="125">
        <f t="shared" si="2"/>
        <v>0</v>
      </c>
      <c r="U21" s="126"/>
      <c r="V21" s="126"/>
      <c r="W21" s="126"/>
      <c r="X21" s="126"/>
      <c r="Y21" s="126"/>
      <c r="Z21" s="126"/>
      <c r="AA21" s="126"/>
      <c r="AB21" s="126"/>
    </row>
    <row r="22" spans="1:28">
      <c r="A22" s="25" t="s">
        <v>2495</v>
      </c>
      <c r="B22" s="25">
        <f t="shared" si="1"/>
        <v>1</v>
      </c>
      <c r="C22" s="123" t="str">
        <f t="shared" si="0"/>
        <v>Year-1</v>
      </c>
      <c r="D22" s="35">
        <v>44896</v>
      </c>
      <c r="E22" s="26">
        <f t="shared" si="2"/>
        <v>158.6</v>
      </c>
      <c r="F22" s="26">
        <f t="shared" si="2"/>
        <v>124.40004220000003</v>
      </c>
      <c r="G22" s="31">
        <f t="shared" si="2"/>
        <v>47682.36</v>
      </c>
      <c r="H22" s="124">
        <f t="shared" si="2"/>
        <v>36.076939444156181</v>
      </c>
      <c r="I22" s="125">
        <f t="shared" si="2"/>
        <v>1.5802781289506962E-2</v>
      </c>
      <c r="J22" s="125">
        <f t="shared" si="2"/>
        <v>0.27</v>
      </c>
      <c r="K22" s="125">
        <f t="shared" si="2"/>
        <v>4.4787946264861052E-2</v>
      </c>
      <c r="L22" s="125">
        <f t="shared" si="2"/>
        <v>1.4140595613406415E-2</v>
      </c>
      <c r="M22" s="125">
        <f t="shared" si="2"/>
        <v>1.2367081056294736E-2</v>
      </c>
      <c r="N22" s="125">
        <f t="shared" si="2"/>
        <v>1.3960975699298588E-2</v>
      </c>
      <c r="O22" s="125">
        <f t="shared" si="2"/>
        <v>0</v>
      </c>
      <c r="P22" s="125">
        <f t="shared" si="2"/>
        <v>2.3055036005913448E-2</v>
      </c>
      <c r="Q22" s="125">
        <f t="shared" si="2"/>
        <v>3.6978876304825567E-3</v>
      </c>
      <c r="R22" s="125">
        <f t="shared" si="2"/>
        <v>0.995</v>
      </c>
      <c r="S22" s="125">
        <f t="shared" si="2"/>
        <v>0.995</v>
      </c>
      <c r="T22" s="125">
        <f t="shared" si="2"/>
        <v>0</v>
      </c>
      <c r="U22" s="126"/>
      <c r="V22" s="126"/>
      <c r="W22" s="126"/>
      <c r="X22" s="126"/>
      <c r="Y22" s="126"/>
      <c r="Z22" s="126"/>
      <c r="AA22" s="126"/>
      <c r="AB22" s="126"/>
    </row>
    <row r="23" spans="1:28">
      <c r="A23" s="25" t="s">
        <v>2495</v>
      </c>
      <c r="B23" s="25">
        <f t="shared" si="1"/>
        <v>1</v>
      </c>
      <c r="C23" s="123" t="str">
        <f t="shared" si="0"/>
        <v>Year-1</v>
      </c>
      <c r="D23" s="35">
        <v>44927</v>
      </c>
      <c r="E23" s="26">
        <f t="shared" si="2"/>
        <v>169.028549</v>
      </c>
      <c r="F23" s="26">
        <f t="shared" si="2"/>
        <v>133.89933939999995</v>
      </c>
      <c r="G23" s="31">
        <f t="shared" si="2"/>
        <v>50622.659999999996</v>
      </c>
      <c r="H23" s="124">
        <f t="shared" si="2"/>
        <v>34.970332119021293</v>
      </c>
      <c r="I23" s="125">
        <f t="shared" si="2"/>
        <v>1.7200474495848161E-2</v>
      </c>
      <c r="J23" s="125">
        <f t="shared" si="2"/>
        <v>0.27</v>
      </c>
      <c r="K23" s="125">
        <f t="shared" si="2"/>
        <v>4.0029940128316385E-2</v>
      </c>
      <c r="L23" s="125">
        <f t="shared" si="2"/>
        <v>1.4099625889623608E-2</v>
      </c>
      <c r="M23" s="125">
        <f t="shared" si="2"/>
        <v>1.267725762135744E-2</v>
      </c>
      <c r="N23" s="125">
        <f t="shared" si="2"/>
        <v>1.390175346828215E-2</v>
      </c>
      <c r="O23" s="125">
        <f t="shared" si="2"/>
        <v>0</v>
      </c>
      <c r="P23" s="125">
        <f t="shared" si="2"/>
        <v>2.298066658515029E-2</v>
      </c>
      <c r="Q23" s="125">
        <f t="shared" si="2"/>
        <v>1.0644897972798715E-2</v>
      </c>
      <c r="R23" s="125">
        <f t="shared" si="2"/>
        <v>0.995</v>
      </c>
      <c r="S23" s="125">
        <f t="shared" si="2"/>
        <v>0.995</v>
      </c>
      <c r="T23" s="125">
        <f t="shared" si="2"/>
        <v>0</v>
      </c>
      <c r="U23" s="126"/>
      <c r="V23" s="126"/>
      <c r="W23" s="126"/>
      <c r="X23" s="126"/>
      <c r="Y23" s="126"/>
      <c r="Z23" s="126"/>
      <c r="AA23" s="126"/>
      <c r="AB23" s="126"/>
    </row>
    <row r="24" spans="1:28">
      <c r="A24" s="25" t="s">
        <v>2495</v>
      </c>
      <c r="B24" s="25">
        <f t="shared" si="1"/>
        <v>1</v>
      </c>
      <c r="C24" s="123" t="str">
        <f t="shared" si="0"/>
        <v>Year-1</v>
      </c>
      <c r="D24" s="35">
        <v>44958</v>
      </c>
      <c r="E24" s="26">
        <f t="shared" si="2"/>
        <v>172.55912190000004</v>
      </c>
      <c r="F24" s="26">
        <f t="shared" si="2"/>
        <v>145.40077080000009</v>
      </c>
      <c r="G24" s="31">
        <f t="shared" si="2"/>
        <v>49925.7</v>
      </c>
      <c r="H24" s="124">
        <f t="shared" si="2"/>
        <v>40.252096455972236</v>
      </c>
      <c r="I24" s="125">
        <f t="shared" si="2"/>
        <v>1.510749564206848E-2</v>
      </c>
      <c r="J24" s="125">
        <f t="shared" si="2"/>
        <v>0.27</v>
      </c>
      <c r="K24" s="125">
        <f t="shared" si="2"/>
        <v>6.2111013936519133E-2</v>
      </c>
      <c r="L24" s="125">
        <f t="shared" si="2"/>
        <v>1.4175439055030284E-2</v>
      </c>
      <c r="M24" s="125">
        <f t="shared" si="2"/>
        <v>1.4384371816049681E-2</v>
      </c>
      <c r="N24" s="125">
        <f t="shared" si="2"/>
        <v>1.5915736744616871E-2</v>
      </c>
      <c r="O24" s="125">
        <f t="shared" si="2"/>
        <v>0</v>
      </c>
      <c r="P24" s="125">
        <f t="shared" si="2"/>
        <v>2.3268144471779773E-2</v>
      </c>
      <c r="Q24" s="125">
        <f t="shared" si="2"/>
        <v>2.5052142565085967E-2</v>
      </c>
      <c r="R24" s="125">
        <f t="shared" si="2"/>
        <v>0.995</v>
      </c>
      <c r="S24" s="125">
        <f t="shared" si="2"/>
        <v>0.995</v>
      </c>
      <c r="T24" s="125">
        <f t="shared" si="2"/>
        <v>0</v>
      </c>
      <c r="U24" s="126"/>
      <c r="V24" s="126"/>
      <c r="W24" s="126"/>
      <c r="X24" s="126"/>
      <c r="Y24" s="126"/>
      <c r="Z24" s="126"/>
      <c r="AA24" s="126"/>
      <c r="AB24" s="126"/>
    </row>
    <row r="25" spans="1:28">
      <c r="A25" s="25" t="s">
        <v>2495</v>
      </c>
      <c r="B25" s="25">
        <f t="shared" si="1"/>
        <v>1</v>
      </c>
      <c r="C25" s="123" t="str">
        <f t="shared" si="0"/>
        <v>Year-1</v>
      </c>
      <c r="D25" s="35">
        <v>44986</v>
      </c>
      <c r="E25" s="26">
        <f t="shared" si="2"/>
        <v>215.74576700000009</v>
      </c>
      <c r="F25" s="26">
        <f t="shared" si="2"/>
        <v>195.59891570000002</v>
      </c>
      <c r="G25" s="31">
        <f t="shared" si="2"/>
        <v>59767.29</v>
      </c>
      <c r="H25" s="124">
        <f t="shared" si="2"/>
        <v>47.179622377374095</v>
      </c>
      <c r="I25" s="125">
        <f t="shared" si="2"/>
        <v>1.5306122448979553E-2</v>
      </c>
      <c r="J25" s="125">
        <f t="shared" si="2"/>
        <v>0.28000000000000003</v>
      </c>
      <c r="K25" s="125">
        <f t="shared" si="2"/>
        <v>9.4419706369976972E-2</v>
      </c>
      <c r="L25" s="125">
        <f t="shared" si="2"/>
        <v>1.4644787078611174E-2</v>
      </c>
      <c r="M25" s="125">
        <f t="shared" si="2"/>
        <v>1.6212630268737406E-2</v>
      </c>
      <c r="N25" s="125">
        <f t="shared" si="2"/>
        <v>2.0718676035686345E-2</v>
      </c>
      <c r="O25" s="125">
        <f t="shared" si="2"/>
        <v>0</v>
      </c>
      <c r="P25" s="125">
        <f t="shared" si="2"/>
        <v>2.3247057021314733E-2</v>
      </c>
      <c r="Q25" s="125">
        <f t="shared" si="2"/>
        <v>3.9222124133286969E-2</v>
      </c>
      <c r="R25" s="125">
        <f t="shared" si="2"/>
        <v>0.995</v>
      </c>
      <c r="S25" s="125">
        <f t="shared" si="2"/>
        <v>0.995</v>
      </c>
      <c r="T25" s="125">
        <f t="shared" si="2"/>
        <v>0</v>
      </c>
      <c r="U25" s="126"/>
      <c r="V25" s="126"/>
      <c r="W25" s="126"/>
      <c r="X25" s="126"/>
      <c r="Y25" s="126"/>
      <c r="Z25" s="126"/>
      <c r="AA25" s="126"/>
      <c r="AB25" s="126"/>
    </row>
    <row r="26" spans="1:28" s="135" customFormat="1">
      <c r="A26" s="127" t="s">
        <v>2496</v>
      </c>
      <c r="B26" s="127">
        <f t="shared" si="1"/>
        <v>2</v>
      </c>
      <c r="C26" s="128" t="str">
        <f t="shared" si="0"/>
        <v>Year-2</v>
      </c>
      <c r="D26" s="129">
        <v>45017</v>
      </c>
      <c r="E26" s="130">
        <f t="shared" si="2"/>
        <v>215.9</v>
      </c>
      <c r="F26" s="130">
        <f t="shared" si="2"/>
        <v>208.99969899999999</v>
      </c>
      <c r="G26" s="131">
        <v>58630</v>
      </c>
      <c r="H26" s="132">
        <f t="shared" si="2"/>
        <v>52.296499350965128</v>
      </c>
      <c r="I26" s="133">
        <f t="shared" si="2"/>
        <v>1.6658954187875996E-2</v>
      </c>
      <c r="J26" s="133">
        <f t="shared" si="2"/>
        <v>0.28999999999999998</v>
      </c>
      <c r="K26" s="133">
        <f t="shared" si="2"/>
        <v>0.11719199751057031</v>
      </c>
      <c r="L26" s="133">
        <f t="shared" si="2"/>
        <v>1.5231272154623582E-2</v>
      </c>
      <c r="M26" s="133">
        <f t="shared" si="2"/>
        <v>1.6110689006976781E-2</v>
      </c>
      <c r="N26" s="133">
        <f t="shared" si="2"/>
        <v>1.8633277773980331E-2</v>
      </c>
      <c r="O26" s="133">
        <f t="shared" si="2"/>
        <v>0</v>
      </c>
      <c r="P26" s="133">
        <f t="shared" si="2"/>
        <v>2.2802418781094937E-2</v>
      </c>
      <c r="Q26" s="133">
        <f t="shared" si="2"/>
        <v>2.7995485693316467E-2</v>
      </c>
      <c r="R26" s="133">
        <f t="shared" si="2"/>
        <v>0.995</v>
      </c>
      <c r="S26" s="133">
        <f t="shared" si="2"/>
        <v>0.995</v>
      </c>
      <c r="T26" s="133">
        <f t="shared" si="2"/>
        <v>0</v>
      </c>
      <c r="U26" s="134"/>
      <c r="V26" s="134"/>
      <c r="W26" s="134"/>
      <c r="X26" s="134"/>
      <c r="Y26" s="134"/>
      <c r="Z26" s="134"/>
      <c r="AA26" s="134"/>
      <c r="AB26" s="134"/>
    </row>
    <row r="27" spans="1:28" s="135" customFormat="1">
      <c r="A27" s="127" t="s">
        <v>2496</v>
      </c>
      <c r="B27" s="127">
        <f t="shared" si="1"/>
        <v>2</v>
      </c>
      <c r="C27" s="128" t="str">
        <f t="shared" si="0"/>
        <v>Year-2</v>
      </c>
      <c r="D27" s="129">
        <v>45047</v>
      </c>
      <c r="E27" s="130">
        <f t="shared" si="2"/>
        <v>217.9</v>
      </c>
      <c r="F27" s="130">
        <f t="shared" si="2"/>
        <v>221.90023470000006</v>
      </c>
      <c r="G27" s="131">
        <v>61780</v>
      </c>
      <c r="H27" s="132">
        <f t="shared" si="2"/>
        <v>55.437733860726389</v>
      </c>
      <c r="I27" s="133">
        <f t="shared" si="2"/>
        <v>1.7865322950068707E-2</v>
      </c>
      <c r="J27" s="133">
        <f t="shared" si="2"/>
        <v>0.3</v>
      </c>
      <c r="K27" s="133">
        <f t="shared" si="2"/>
        <v>0.1306817577748349</v>
      </c>
      <c r="L27" s="133">
        <f t="shared" si="2"/>
        <v>1.609339136491415E-2</v>
      </c>
      <c r="M27" s="133">
        <f t="shared" si="2"/>
        <v>1.525163145425878E-2</v>
      </c>
      <c r="N27" s="133">
        <f t="shared" si="2"/>
        <v>1.5763583972179196E-2</v>
      </c>
      <c r="O27" s="133">
        <f t="shared" si="2"/>
        <v>0</v>
      </c>
      <c r="P27" s="133">
        <f t="shared" si="2"/>
        <v>2.2281870794181511E-2</v>
      </c>
      <c r="Q27" s="133">
        <f t="shared" si="2"/>
        <v>1.1198342091846737E-2</v>
      </c>
      <c r="R27" s="133">
        <f t="shared" si="2"/>
        <v>0.995</v>
      </c>
      <c r="S27" s="133">
        <f t="shared" si="2"/>
        <v>0.995</v>
      </c>
      <c r="T27" s="133">
        <f t="shared" si="2"/>
        <v>0</v>
      </c>
      <c r="U27" s="134"/>
      <c r="V27" s="134"/>
      <c r="W27" s="134"/>
      <c r="X27" s="134"/>
      <c r="Y27" s="134"/>
      <c r="Z27" s="134"/>
      <c r="AA27" s="134"/>
      <c r="AB27" s="134"/>
    </row>
    <row r="28" spans="1:28" s="135" customFormat="1">
      <c r="A28" s="127" t="s">
        <v>2496</v>
      </c>
      <c r="B28" s="127">
        <f t="shared" si="1"/>
        <v>2</v>
      </c>
      <c r="C28" s="128" t="str">
        <f t="shared" si="0"/>
        <v>Year-2</v>
      </c>
      <c r="D28" s="129">
        <v>45078</v>
      </c>
      <c r="E28" s="130">
        <f t="shared" si="2"/>
        <v>192.8</v>
      </c>
      <c r="F28" s="130">
        <f t="shared" si="2"/>
        <v>200.20089519999999</v>
      </c>
      <c r="G28" s="131">
        <v>53700</v>
      </c>
      <c r="H28" s="132">
        <f t="shared" si="2"/>
        <v>54.658309168315547</v>
      </c>
      <c r="I28" s="133">
        <f t="shared" si="2"/>
        <v>1.914123124676681E-2</v>
      </c>
      <c r="J28" s="133">
        <f t="shared" si="2"/>
        <v>0.3</v>
      </c>
      <c r="K28" s="133">
        <f t="shared" si="2"/>
        <v>0.12650723469382591</v>
      </c>
      <c r="L28" s="133">
        <f t="shared" si="2"/>
        <v>1.6398522844759341E-2</v>
      </c>
      <c r="M28" s="133">
        <f t="shared" si="2"/>
        <v>1.3926271600695752E-2</v>
      </c>
      <c r="N28" s="133">
        <f t="shared" si="2"/>
        <v>1.4057661793117321E-2</v>
      </c>
      <c r="O28" s="133">
        <f t="shared" si="2"/>
        <v>0</v>
      </c>
      <c r="P28" s="133">
        <f t="shared" si="2"/>
        <v>2.1677907023400757E-2</v>
      </c>
      <c r="Q28" s="133">
        <f t="shared" si="2"/>
        <v>4.051685061336731E-3</v>
      </c>
      <c r="R28" s="133">
        <f t="shared" si="2"/>
        <v>0.995</v>
      </c>
      <c r="S28" s="133">
        <f t="shared" si="2"/>
        <v>0.995</v>
      </c>
      <c r="T28" s="133">
        <f t="shared" si="2"/>
        <v>0</v>
      </c>
      <c r="U28" s="134"/>
      <c r="V28" s="134"/>
      <c r="W28" s="134"/>
      <c r="X28" s="134"/>
      <c r="Y28" s="134"/>
      <c r="Z28" s="134"/>
      <c r="AA28" s="134"/>
      <c r="AB28" s="134"/>
    </row>
    <row r="29" spans="1:28" s="135" customFormat="1">
      <c r="A29" s="127" t="s">
        <v>2496</v>
      </c>
      <c r="B29" s="127">
        <f t="shared" si="1"/>
        <v>2</v>
      </c>
      <c r="C29" s="128" t="str">
        <f t="shared" si="0"/>
        <v>Year-2</v>
      </c>
      <c r="D29" s="129">
        <v>45108</v>
      </c>
      <c r="E29" s="130">
        <f t="shared" si="2"/>
        <v>168.9</v>
      </c>
      <c r="F29" s="130">
        <f t="shared" si="2"/>
        <v>173.59972409999992</v>
      </c>
      <c r="G29" s="131">
        <v>49210</v>
      </c>
      <c r="H29" s="132">
        <f t="shared" si="2"/>
        <v>51.564857066184757</v>
      </c>
      <c r="I29" s="133">
        <f t="shared" si="2"/>
        <v>2.1854695806261204E-2</v>
      </c>
      <c r="J29" s="133">
        <f t="shared" si="2"/>
        <v>0.28000000000000003</v>
      </c>
      <c r="K29" s="133">
        <f t="shared" si="2"/>
        <v>0.1089308468990661</v>
      </c>
      <c r="L29" s="133">
        <f t="shared" si="2"/>
        <v>1.5867586262633245E-2</v>
      </c>
      <c r="M29" s="133">
        <f t="shared" si="2"/>
        <v>1.231974144019694E-2</v>
      </c>
      <c r="N29" s="133">
        <f t="shared" si="2"/>
        <v>1.3502102014775261E-2</v>
      </c>
      <c r="O29" s="133">
        <f t="shared" si="2"/>
        <v>0</v>
      </c>
      <c r="P29" s="133">
        <f t="shared" si="2"/>
        <v>2.127320988616644E-2</v>
      </c>
      <c r="Q29" s="133">
        <f t="shared" si="2"/>
        <v>1.5557262066246368E-3</v>
      </c>
      <c r="R29" s="133">
        <f t="shared" si="2"/>
        <v>0.995</v>
      </c>
      <c r="S29" s="133">
        <f t="shared" si="2"/>
        <v>0.995</v>
      </c>
      <c r="T29" s="133">
        <f t="shared" si="2"/>
        <v>0</v>
      </c>
      <c r="U29" s="134"/>
      <c r="V29" s="134"/>
      <c r="W29" s="134"/>
      <c r="X29" s="134"/>
      <c r="Y29" s="134"/>
      <c r="Z29" s="134"/>
      <c r="AA29" s="134"/>
      <c r="AB29" s="134"/>
    </row>
    <row r="30" spans="1:28" s="135" customFormat="1">
      <c r="A30" s="127" t="s">
        <v>2496</v>
      </c>
      <c r="B30" s="127">
        <f t="shared" si="1"/>
        <v>2</v>
      </c>
      <c r="C30" s="128" t="str">
        <f t="shared" si="0"/>
        <v>Year-2</v>
      </c>
      <c r="D30" s="129">
        <v>45139</v>
      </c>
      <c r="E30" s="130">
        <f t="shared" ref="E30:F45" si="3">E18</f>
        <v>174.2</v>
      </c>
      <c r="F30" s="130">
        <f t="shared" si="3"/>
        <v>172.6001566000001</v>
      </c>
      <c r="G30" s="131">
        <v>50100</v>
      </c>
      <c r="H30" s="132">
        <f t="shared" ref="H30:T45" si="4">H18</f>
        <v>50.336592710430871</v>
      </c>
      <c r="I30" s="133">
        <f t="shared" si="4"/>
        <v>2.0196191575302946E-2</v>
      </c>
      <c r="J30" s="133">
        <f t="shared" si="4"/>
        <v>0.27</v>
      </c>
      <c r="K30" s="133">
        <f t="shared" si="4"/>
        <v>0.10494453414747008</v>
      </c>
      <c r="L30" s="133">
        <f t="shared" si="4"/>
        <v>1.507508977611231E-2</v>
      </c>
      <c r="M30" s="133">
        <f t="shared" si="4"/>
        <v>1.2791562311125756E-2</v>
      </c>
      <c r="N30" s="133">
        <f t="shared" si="4"/>
        <v>1.4116403195935955E-2</v>
      </c>
      <c r="O30" s="133">
        <f t="shared" si="4"/>
        <v>0</v>
      </c>
      <c r="P30" s="133">
        <f t="shared" si="4"/>
        <v>2.157456294953386E-2</v>
      </c>
      <c r="Q30" s="133">
        <f t="shared" si="4"/>
        <v>6.2818876990405415E-3</v>
      </c>
      <c r="R30" s="133">
        <f t="shared" si="4"/>
        <v>0.995</v>
      </c>
      <c r="S30" s="133">
        <f t="shared" si="4"/>
        <v>0.995</v>
      </c>
      <c r="T30" s="133">
        <f t="shared" si="4"/>
        <v>0</v>
      </c>
      <c r="U30" s="134"/>
      <c r="V30" s="134"/>
      <c r="W30" s="134"/>
      <c r="X30" s="134"/>
      <c r="Y30" s="134"/>
      <c r="Z30" s="134"/>
      <c r="AA30" s="134"/>
      <c r="AB30" s="134"/>
    </row>
    <row r="31" spans="1:28" s="135" customFormat="1">
      <c r="A31" s="127" t="s">
        <v>2496</v>
      </c>
      <c r="B31" s="127">
        <f t="shared" si="1"/>
        <v>2</v>
      </c>
      <c r="C31" s="128" t="str">
        <f t="shared" si="0"/>
        <v>Year-2</v>
      </c>
      <c r="D31" s="129">
        <v>45170</v>
      </c>
      <c r="E31" s="130">
        <f t="shared" si="3"/>
        <v>192.1</v>
      </c>
      <c r="F31" s="130">
        <f t="shared" si="3"/>
        <v>178.89930529999984</v>
      </c>
      <c r="G31" s="131">
        <v>52760</v>
      </c>
      <c r="H31" s="132">
        <f t="shared" si="4"/>
        <v>52.25059433997491</v>
      </c>
      <c r="I31" s="133">
        <f t="shared" si="4"/>
        <v>1.7196456487754141E-2</v>
      </c>
      <c r="J31" s="133">
        <f t="shared" si="4"/>
        <v>0.26</v>
      </c>
      <c r="K31" s="133">
        <f t="shared" si="4"/>
        <v>0.11387126505657014</v>
      </c>
      <c r="L31" s="133">
        <f t="shared" si="4"/>
        <v>1.3959618092500629E-2</v>
      </c>
      <c r="M31" s="133">
        <f t="shared" si="4"/>
        <v>1.4531255376132731E-2</v>
      </c>
      <c r="N31" s="133">
        <f t="shared" si="4"/>
        <v>1.4478833500810966E-2</v>
      </c>
      <c r="O31" s="133">
        <f t="shared" si="4"/>
        <v>0</v>
      </c>
      <c r="P31" s="133">
        <f t="shared" si="4"/>
        <v>2.2473527643153385E-2</v>
      </c>
      <c r="Q31" s="133">
        <f t="shared" si="4"/>
        <v>1.1388926338936924E-2</v>
      </c>
      <c r="R31" s="133">
        <f t="shared" si="4"/>
        <v>0.995</v>
      </c>
      <c r="S31" s="133">
        <f t="shared" si="4"/>
        <v>0.995</v>
      </c>
      <c r="T31" s="133">
        <f t="shared" si="4"/>
        <v>0</v>
      </c>
      <c r="U31" s="134"/>
      <c r="V31" s="134"/>
      <c r="W31" s="134"/>
      <c r="X31" s="134"/>
      <c r="Y31" s="134"/>
      <c r="Z31" s="134"/>
      <c r="AA31" s="134"/>
      <c r="AB31" s="134"/>
    </row>
    <row r="32" spans="1:28" s="135" customFormat="1">
      <c r="A32" s="127" t="s">
        <v>2496</v>
      </c>
      <c r="B32" s="127">
        <f t="shared" si="1"/>
        <v>2</v>
      </c>
      <c r="C32" s="128" t="str">
        <f t="shared" si="0"/>
        <v>Year-2</v>
      </c>
      <c r="D32" s="129">
        <v>45200</v>
      </c>
      <c r="E32" s="130">
        <f t="shared" si="3"/>
        <v>202.3</v>
      </c>
      <c r="F32" s="130">
        <f t="shared" si="3"/>
        <v>174.60082279999986</v>
      </c>
      <c r="G32" s="131">
        <v>57190</v>
      </c>
      <c r="H32" s="132">
        <f t="shared" si="4"/>
        <v>49.723937837075084</v>
      </c>
      <c r="I32" s="133">
        <f t="shared" si="4"/>
        <v>1.5873015873015817E-2</v>
      </c>
      <c r="J32" s="133">
        <f t="shared" si="4"/>
        <v>0.27</v>
      </c>
      <c r="K32" s="133">
        <f t="shared" si="4"/>
        <v>0.10390722673430232</v>
      </c>
      <c r="L32" s="133">
        <f t="shared" si="4"/>
        <v>1.4040704754284353E-2</v>
      </c>
      <c r="M32" s="133">
        <f t="shared" si="4"/>
        <v>1.526389492868482E-2</v>
      </c>
      <c r="N32" s="133">
        <f t="shared" si="4"/>
        <v>1.5324069649683622E-2</v>
      </c>
      <c r="O32" s="133">
        <f t="shared" si="4"/>
        <v>0</v>
      </c>
      <c r="P32" s="133">
        <f t="shared" si="4"/>
        <v>2.3043103417804571E-2</v>
      </c>
      <c r="Q32" s="133">
        <f t="shared" si="4"/>
        <v>2.1184397869334348E-2</v>
      </c>
      <c r="R32" s="133">
        <f t="shared" si="4"/>
        <v>0.995</v>
      </c>
      <c r="S32" s="133">
        <f t="shared" si="4"/>
        <v>0.995</v>
      </c>
      <c r="T32" s="133">
        <f t="shared" si="4"/>
        <v>0</v>
      </c>
      <c r="U32" s="134"/>
      <c r="V32" s="134"/>
      <c r="W32" s="134"/>
      <c r="X32" s="134"/>
      <c r="Y32" s="134"/>
      <c r="Z32" s="134"/>
      <c r="AA32" s="134"/>
      <c r="AB32" s="134"/>
    </row>
    <row r="33" spans="1:28" s="135" customFormat="1">
      <c r="A33" s="127" t="s">
        <v>2496</v>
      </c>
      <c r="B33" s="127">
        <f t="shared" si="1"/>
        <v>2</v>
      </c>
      <c r="C33" s="128" t="str">
        <f t="shared" si="0"/>
        <v>Year-2</v>
      </c>
      <c r="D33" s="129">
        <v>45231</v>
      </c>
      <c r="E33" s="130">
        <f t="shared" si="3"/>
        <v>162.9</v>
      </c>
      <c r="F33" s="130">
        <f t="shared" si="3"/>
        <v>133.69942049999997</v>
      </c>
      <c r="G33" s="131">
        <v>46900</v>
      </c>
      <c r="H33" s="132">
        <f t="shared" si="4"/>
        <v>42.187120547750681</v>
      </c>
      <c r="I33" s="133">
        <f t="shared" si="4"/>
        <v>1.5950920245398792E-2</v>
      </c>
      <c r="J33" s="133">
        <f t="shared" si="4"/>
        <v>0.27</v>
      </c>
      <c r="K33" s="133">
        <f t="shared" si="4"/>
        <v>6.9024239591701744E-2</v>
      </c>
      <c r="L33" s="133">
        <f t="shared" si="4"/>
        <v>1.4204952105287192E-2</v>
      </c>
      <c r="M33" s="133">
        <f t="shared" si="4"/>
        <v>1.3252885058363056E-2</v>
      </c>
      <c r="N33" s="133">
        <f t="shared" si="4"/>
        <v>1.3980442883231779E-2</v>
      </c>
      <c r="O33" s="133">
        <f t="shared" si="4"/>
        <v>0</v>
      </c>
      <c r="P33" s="133">
        <f t="shared" si="4"/>
        <v>2.30208488716231E-2</v>
      </c>
      <c r="Q33" s="133">
        <f t="shared" si="4"/>
        <v>8.3479094998109554E-3</v>
      </c>
      <c r="R33" s="133">
        <f t="shared" si="4"/>
        <v>0.995</v>
      </c>
      <c r="S33" s="133">
        <f t="shared" si="4"/>
        <v>0.995</v>
      </c>
      <c r="T33" s="133">
        <f t="shared" si="4"/>
        <v>0</v>
      </c>
      <c r="U33" s="134"/>
      <c r="V33" s="134">
        <v>1000</v>
      </c>
      <c r="W33" s="134"/>
      <c r="X33" s="134"/>
      <c r="Y33" s="134"/>
      <c r="Z33" s="134"/>
      <c r="AA33" s="134"/>
      <c r="AB33" s="134"/>
    </row>
    <row r="34" spans="1:28" s="135" customFormat="1">
      <c r="A34" s="127" t="s">
        <v>2496</v>
      </c>
      <c r="B34" s="127">
        <f t="shared" si="1"/>
        <v>2</v>
      </c>
      <c r="C34" s="128" t="str">
        <f t="shared" si="0"/>
        <v>Year-2</v>
      </c>
      <c r="D34" s="129">
        <v>45261</v>
      </c>
      <c r="E34" s="130">
        <f t="shared" si="3"/>
        <v>158.6</v>
      </c>
      <c r="F34" s="130">
        <f t="shared" si="3"/>
        <v>124.40004220000003</v>
      </c>
      <c r="G34" s="131">
        <v>48280</v>
      </c>
      <c r="H34" s="132">
        <f t="shared" si="4"/>
        <v>36.076939444156181</v>
      </c>
      <c r="I34" s="133">
        <f t="shared" si="4"/>
        <v>1.5802781289506962E-2</v>
      </c>
      <c r="J34" s="133">
        <f t="shared" si="4"/>
        <v>0.27</v>
      </c>
      <c r="K34" s="133">
        <f t="shared" si="4"/>
        <v>4.4787946264861052E-2</v>
      </c>
      <c r="L34" s="133">
        <f t="shared" si="4"/>
        <v>1.4140595613406415E-2</v>
      </c>
      <c r="M34" s="133">
        <f t="shared" si="4"/>
        <v>1.2367081056294736E-2</v>
      </c>
      <c r="N34" s="133">
        <f t="shared" si="4"/>
        <v>1.3960975699298588E-2</v>
      </c>
      <c r="O34" s="133">
        <f t="shared" si="4"/>
        <v>0</v>
      </c>
      <c r="P34" s="133">
        <f t="shared" si="4"/>
        <v>2.3055036005913448E-2</v>
      </c>
      <c r="Q34" s="133">
        <f t="shared" si="4"/>
        <v>3.6978876304825567E-3</v>
      </c>
      <c r="R34" s="133">
        <f t="shared" si="4"/>
        <v>0.995</v>
      </c>
      <c r="S34" s="133">
        <f t="shared" si="4"/>
        <v>0.995</v>
      </c>
      <c r="T34" s="133">
        <f t="shared" si="4"/>
        <v>0</v>
      </c>
      <c r="U34" s="134"/>
      <c r="V34" s="134"/>
      <c r="W34" s="134"/>
      <c r="X34" s="134"/>
      <c r="Y34" s="134"/>
      <c r="Z34" s="134"/>
      <c r="AA34" s="134"/>
      <c r="AB34" s="134"/>
    </row>
    <row r="35" spans="1:28" s="135" customFormat="1">
      <c r="A35" s="127" t="s">
        <v>2496</v>
      </c>
      <c r="B35" s="127">
        <f t="shared" si="1"/>
        <v>2</v>
      </c>
      <c r="C35" s="128" t="str">
        <f t="shared" si="0"/>
        <v>Year-2</v>
      </c>
      <c r="D35" s="129">
        <v>45292</v>
      </c>
      <c r="E35" s="130">
        <f t="shared" si="3"/>
        <v>169.028549</v>
      </c>
      <c r="F35" s="130">
        <f t="shared" si="3"/>
        <v>133.89933939999995</v>
      </c>
      <c r="G35" s="131">
        <v>51260</v>
      </c>
      <c r="H35" s="132">
        <f t="shared" si="4"/>
        <v>34.970332119021293</v>
      </c>
      <c r="I35" s="133">
        <f t="shared" si="4"/>
        <v>1.7200474495848161E-2</v>
      </c>
      <c r="J35" s="133">
        <f t="shared" si="4"/>
        <v>0.27</v>
      </c>
      <c r="K35" s="133">
        <f t="shared" si="4"/>
        <v>4.0029940128316385E-2</v>
      </c>
      <c r="L35" s="133">
        <f t="shared" si="4"/>
        <v>1.4099625889623608E-2</v>
      </c>
      <c r="M35" s="133">
        <f t="shared" si="4"/>
        <v>1.267725762135744E-2</v>
      </c>
      <c r="N35" s="133">
        <f t="shared" si="4"/>
        <v>1.390175346828215E-2</v>
      </c>
      <c r="O35" s="133">
        <f t="shared" si="4"/>
        <v>0</v>
      </c>
      <c r="P35" s="133">
        <f t="shared" si="4"/>
        <v>2.298066658515029E-2</v>
      </c>
      <c r="Q35" s="133">
        <f t="shared" si="4"/>
        <v>1.0644897972798715E-2</v>
      </c>
      <c r="R35" s="133">
        <f t="shared" si="4"/>
        <v>0.995</v>
      </c>
      <c r="S35" s="133">
        <f t="shared" si="4"/>
        <v>0.995</v>
      </c>
      <c r="T35" s="133">
        <f t="shared" si="4"/>
        <v>0</v>
      </c>
      <c r="U35" s="134"/>
      <c r="V35" s="134"/>
      <c r="W35" s="134"/>
      <c r="X35" s="134"/>
      <c r="Y35" s="134"/>
      <c r="Z35" s="134"/>
      <c r="AA35" s="134"/>
      <c r="AB35" s="134"/>
    </row>
    <row r="36" spans="1:28" s="135" customFormat="1">
      <c r="A36" s="127" t="s">
        <v>2496</v>
      </c>
      <c r="B36" s="127">
        <f t="shared" si="1"/>
        <v>2</v>
      </c>
      <c r="C36" s="128" t="str">
        <f t="shared" si="0"/>
        <v>Year-2</v>
      </c>
      <c r="D36" s="129">
        <v>45323</v>
      </c>
      <c r="E36" s="130">
        <f t="shared" si="3"/>
        <v>172.55912190000004</v>
      </c>
      <c r="F36" s="130">
        <f t="shared" si="3"/>
        <v>145.40077080000009</v>
      </c>
      <c r="G36" s="131">
        <v>47290</v>
      </c>
      <c r="H36" s="132">
        <f t="shared" si="4"/>
        <v>40.252096455972236</v>
      </c>
      <c r="I36" s="133">
        <f t="shared" si="4"/>
        <v>1.510749564206848E-2</v>
      </c>
      <c r="J36" s="133">
        <f t="shared" si="4"/>
        <v>0.27</v>
      </c>
      <c r="K36" s="133">
        <f t="shared" si="4"/>
        <v>6.2111013936519133E-2</v>
      </c>
      <c r="L36" s="133">
        <f t="shared" si="4"/>
        <v>1.4175439055030284E-2</v>
      </c>
      <c r="M36" s="133">
        <f t="shared" si="4"/>
        <v>1.4384371816049681E-2</v>
      </c>
      <c r="N36" s="133">
        <f t="shared" si="4"/>
        <v>1.5915736744616871E-2</v>
      </c>
      <c r="O36" s="133">
        <f t="shared" si="4"/>
        <v>0</v>
      </c>
      <c r="P36" s="133">
        <f t="shared" si="4"/>
        <v>2.3268144471779773E-2</v>
      </c>
      <c r="Q36" s="133">
        <f t="shared" si="4"/>
        <v>2.5052142565085967E-2</v>
      </c>
      <c r="R36" s="133">
        <f t="shared" si="4"/>
        <v>0.995</v>
      </c>
      <c r="S36" s="133">
        <f t="shared" si="4"/>
        <v>0.995</v>
      </c>
      <c r="T36" s="133">
        <f t="shared" si="4"/>
        <v>0</v>
      </c>
      <c r="U36" s="134"/>
      <c r="V36" s="134"/>
      <c r="W36" s="134"/>
      <c r="X36" s="134"/>
      <c r="Y36" s="134"/>
      <c r="Z36" s="134"/>
      <c r="AA36" s="134"/>
      <c r="AB36" s="134"/>
    </row>
    <row r="37" spans="1:28" s="135" customFormat="1">
      <c r="A37" s="127" t="s">
        <v>2496</v>
      </c>
      <c r="B37" s="127">
        <f t="shared" si="1"/>
        <v>2</v>
      </c>
      <c r="C37" s="128" t="str">
        <f t="shared" si="0"/>
        <v>Year-2</v>
      </c>
      <c r="D37" s="129">
        <v>45352</v>
      </c>
      <c r="E37" s="130">
        <f t="shared" si="3"/>
        <v>215.74576700000009</v>
      </c>
      <c r="F37" s="130">
        <f t="shared" si="3"/>
        <v>195.59891570000002</v>
      </c>
      <c r="G37" s="131">
        <v>60510</v>
      </c>
      <c r="H37" s="132">
        <f t="shared" si="4"/>
        <v>47.179622377374095</v>
      </c>
      <c r="I37" s="133">
        <f t="shared" si="4"/>
        <v>1.5306122448979553E-2</v>
      </c>
      <c r="J37" s="133">
        <f t="shared" si="4"/>
        <v>0.28000000000000003</v>
      </c>
      <c r="K37" s="133">
        <f t="shared" si="4"/>
        <v>9.4419706369976972E-2</v>
      </c>
      <c r="L37" s="133">
        <f t="shared" si="4"/>
        <v>1.4644787078611174E-2</v>
      </c>
      <c r="M37" s="133">
        <f t="shared" si="4"/>
        <v>1.6212630268737406E-2</v>
      </c>
      <c r="N37" s="133">
        <f t="shared" si="4"/>
        <v>2.0718676035686345E-2</v>
      </c>
      <c r="O37" s="133">
        <f t="shared" si="4"/>
        <v>0</v>
      </c>
      <c r="P37" s="133">
        <f t="shared" si="4"/>
        <v>2.3247057021314733E-2</v>
      </c>
      <c r="Q37" s="133">
        <f t="shared" si="4"/>
        <v>3.9222124133286969E-2</v>
      </c>
      <c r="R37" s="133">
        <f t="shared" si="4"/>
        <v>0.995</v>
      </c>
      <c r="S37" s="133">
        <f t="shared" si="4"/>
        <v>0.995</v>
      </c>
      <c r="T37" s="133">
        <f t="shared" si="4"/>
        <v>0</v>
      </c>
      <c r="U37" s="134"/>
      <c r="V37" s="134"/>
      <c r="W37" s="134"/>
      <c r="X37" s="134"/>
      <c r="Y37" s="134"/>
      <c r="Z37" s="134"/>
      <c r="AA37" s="134"/>
      <c r="AB37" s="134"/>
    </row>
    <row r="38" spans="1:28">
      <c r="A38" s="25" t="s">
        <v>2497</v>
      </c>
      <c r="B38" s="25">
        <f t="shared" si="1"/>
        <v>3</v>
      </c>
      <c r="C38" s="123" t="str">
        <f t="shared" si="0"/>
        <v>Year-3</v>
      </c>
      <c r="D38" s="35">
        <v>45383</v>
      </c>
      <c r="E38" s="26">
        <f t="shared" si="3"/>
        <v>215.9</v>
      </c>
      <c r="F38" s="26">
        <f t="shared" si="3"/>
        <v>208.99969899999999</v>
      </c>
      <c r="G38" s="31">
        <f t="shared" ref="G38:G101" si="5">G26*(1-$AE$2)</f>
        <v>58366.165000000001</v>
      </c>
      <c r="H38" s="124">
        <f t="shared" si="4"/>
        <v>52.296499350965128</v>
      </c>
      <c r="I38" s="125">
        <f t="shared" si="4"/>
        <v>1.6658954187875996E-2</v>
      </c>
      <c r="J38" s="125">
        <f t="shared" si="4"/>
        <v>0.28999999999999998</v>
      </c>
      <c r="K38" s="125">
        <f t="shared" si="4"/>
        <v>0.11719199751057031</v>
      </c>
      <c r="L38" s="125">
        <f t="shared" si="4"/>
        <v>1.5231272154623582E-2</v>
      </c>
      <c r="M38" s="125">
        <f t="shared" si="4"/>
        <v>1.6110689006976781E-2</v>
      </c>
      <c r="N38" s="125">
        <f t="shared" si="4"/>
        <v>1.8633277773980331E-2</v>
      </c>
      <c r="O38" s="125">
        <f t="shared" si="4"/>
        <v>0</v>
      </c>
      <c r="P38" s="125">
        <f t="shared" si="4"/>
        <v>2.2802418781094937E-2</v>
      </c>
      <c r="Q38" s="125">
        <f t="shared" si="4"/>
        <v>2.7995485693316467E-2</v>
      </c>
      <c r="R38" s="125">
        <f t="shared" si="4"/>
        <v>0.995</v>
      </c>
      <c r="S38" s="125">
        <f t="shared" si="4"/>
        <v>0.995</v>
      </c>
      <c r="T38" s="125">
        <f t="shared" si="4"/>
        <v>0</v>
      </c>
      <c r="U38" s="126"/>
      <c r="V38" s="126"/>
      <c r="W38" s="126"/>
      <c r="X38" s="136"/>
      <c r="Y38" s="126"/>
      <c r="Z38" s="126"/>
      <c r="AA38" s="126"/>
      <c r="AB38" s="126"/>
    </row>
    <row r="39" spans="1:28">
      <c r="A39" s="25" t="s">
        <v>2497</v>
      </c>
      <c r="B39" s="25">
        <f t="shared" si="1"/>
        <v>3</v>
      </c>
      <c r="C39" s="123" t="str">
        <f t="shared" si="0"/>
        <v>Year-3</v>
      </c>
      <c r="D39" s="35">
        <v>45413</v>
      </c>
      <c r="E39" s="26">
        <f t="shared" si="3"/>
        <v>217.9</v>
      </c>
      <c r="F39" s="26">
        <f t="shared" si="3"/>
        <v>221.90023470000006</v>
      </c>
      <c r="G39" s="31">
        <f t="shared" si="5"/>
        <v>61501.990000000005</v>
      </c>
      <c r="H39" s="124">
        <f t="shared" si="4"/>
        <v>55.437733860726389</v>
      </c>
      <c r="I39" s="125">
        <f t="shared" si="4"/>
        <v>1.7865322950068707E-2</v>
      </c>
      <c r="J39" s="125">
        <f t="shared" si="4"/>
        <v>0.3</v>
      </c>
      <c r="K39" s="125">
        <f t="shared" si="4"/>
        <v>0.1306817577748349</v>
      </c>
      <c r="L39" s="125">
        <f t="shared" si="4"/>
        <v>1.609339136491415E-2</v>
      </c>
      <c r="M39" s="125">
        <f t="shared" si="4"/>
        <v>1.525163145425878E-2</v>
      </c>
      <c r="N39" s="125">
        <f t="shared" si="4"/>
        <v>1.5763583972179196E-2</v>
      </c>
      <c r="O39" s="125">
        <f t="shared" si="4"/>
        <v>0</v>
      </c>
      <c r="P39" s="125">
        <f t="shared" si="4"/>
        <v>2.2281870794181511E-2</v>
      </c>
      <c r="Q39" s="125">
        <f t="shared" si="4"/>
        <v>1.1198342091846737E-2</v>
      </c>
      <c r="R39" s="125">
        <f t="shared" si="4"/>
        <v>0.995</v>
      </c>
      <c r="S39" s="125">
        <f t="shared" si="4"/>
        <v>0.995</v>
      </c>
      <c r="T39" s="125">
        <f t="shared" si="4"/>
        <v>0</v>
      </c>
      <c r="U39" s="126"/>
      <c r="V39" s="126"/>
      <c r="W39" s="126"/>
      <c r="X39" s="136"/>
      <c r="Y39" s="126"/>
      <c r="Z39" s="126"/>
      <c r="AA39" s="126"/>
      <c r="AB39" s="126"/>
    </row>
    <row r="40" spans="1:28">
      <c r="A40" s="25" t="s">
        <v>2497</v>
      </c>
      <c r="B40" s="25">
        <f t="shared" si="1"/>
        <v>3</v>
      </c>
      <c r="C40" s="123" t="str">
        <f t="shared" si="0"/>
        <v>Year-3</v>
      </c>
      <c r="D40" s="35">
        <v>45444</v>
      </c>
      <c r="E40" s="26">
        <f t="shared" si="3"/>
        <v>192.8</v>
      </c>
      <c r="F40" s="26">
        <f t="shared" si="3"/>
        <v>200.20089519999999</v>
      </c>
      <c r="G40" s="31">
        <f t="shared" si="5"/>
        <v>53458.350000000006</v>
      </c>
      <c r="H40" s="124">
        <f t="shared" si="4"/>
        <v>54.658309168315547</v>
      </c>
      <c r="I40" s="125">
        <f t="shared" si="4"/>
        <v>1.914123124676681E-2</v>
      </c>
      <c r="J40" s="125">
        <f t="shared" si="4"/>
        <v>0.3</v>
      </c>
      <c r="K40" s="125">
        <f t="shared" si="4"/>
        <v>0.12650723469382591</v>
      </c>
      <c r="L40" s="125">
        <f t="shared" si="4"/>
        <v>1.6398522844759341E-2</v>
      </c>
      <c r="M40" s="125">
        <f t="shared" si="4"/>
        <v>1.3926271600695752E-2</v>
      </c>
      <c r="N40" s="125">
        <f t="shared" si="4"/>
        <v>1.4057661793117321E-2</v>
      </c>
      <c r="O40" s="125">
        <f t="shared" si="4"/>
        <v>0</v>
      </c>
      <c r="P40" s="125">
        <f t="shared" si="4"/>
        <v>2.1677907023400757E-2</v>
      </c>
      <c r="Q40" s="125">
        <f t="shared" si="4"/>
        <v>4.051685061336731E-3</v>
      </c>
      <c r="R40" s="125">
        <f t="shared" si="4"/>
        <v>0.995</v>
      </c>
      <c r="S40" s="125">
        <f t="shared" si="4"/>
        <v>0.995</v>
      </c>
      <c r="T40" s="125">
        <f t="shared" si="4"/>
        <v>0</v>
      </c>
      <c r="U40" s="126"/>
      <c r="V40" s="126"/>
      <c r="W40" s="126"/>
      <c r="X40" s="136"/>
      <c r="Y40" s="126"/>
      <c r="Z40" s="126"/>
      <c r="AA40" s="126"/>
      <c r="AB40" s="126"/>
    </row>
    <row r="41" spans="1:28">
      <c r="A41" s="25" t="s">
        <v>2497</v>
      </c>
      <c r="B41" s="25">
        <f t="shared" si="1"/>
        <v>3</v>
      </c>
      <c r="C41" s="123" t="str">
        <f t="shared" si="0"/>
        <v>Year-3</v>
      </c>
      <c r="D41" s="35">
        <v>45474</v>
      </c>
      <c r="E41" s="26">
        <f t="shared" si="3"/>
        <v>168.9</v>
      </c>
      <c r="F41" s="26">
        <f t="shared" si="3"/>
        <v>173.59972409999992</v>
      </c>
      <c r="G41" s="31">
        <f t="shared" si="5"/>
        <v>48988.555</v>
      </c>
      <c r="H41" s="124">
        <f t="shared" si="4"/>
        <v>51.564857066184757</v>
      </c>
      <c r="I41" s="125">
        <f t="shared" si="4"/>
        <v>2.1854695806261204E-2</v>
      </c>
      <c r="J41" s="125">
        <f t="shared" si="4"/>
        <v>0.28000000000000003</v>
      </c>
      <c r="K41" s="125">
        <f t="shared" si="4"/>
        <v>0.1089308468990661</v>
      </c>
      <c r="L41" s="125">
        <f t="shared" si="4"/>
        <v>1.5867586262633245E-2</v>
      </c>
      <c r="M41" s="125">
        <f t="shared" si="4"/>
        <v>1.231974144019694E-2</v>
      </c>
      <c r="N41" s="125">
        <f t="shared" si="4"/>
        <v>1.3502102014775261E-2</v>
      </c>
      <c r="O41" s="125">
        <f t="shared" si="4"/>
        <v>0</v>
      </c>
      <c r="P41" s="125">
        <f t="shared" si="4"/>
        <v>2.127320988616644E-2</v>
      </c>
      <c r="Q41" s="125">
        <f t="shared" si="4"/>
        <v>1.5557262066246368E-3</v>
      </c>
      <c r="R41" s="125">
        <f t="shared" si="4"/>
        <v>0.995</v>
      </c>
      <c r="S41" s="125">
        <f t="shared" si="4"/>
        <v>0.995</v>
      </c>
      <c r="T41" s="125">
        <f t="shared" si="4"/>
        <v>0</v>
      </c>
      <c r="U41" s="126"/>
      <c r="V41" s="126"/>
      <c r="W41" s="126"/>
      <c r="X41" s="136"/>
      <c r="Y41" s="126"/>
      <c r="Z41" s="126"/>
      <c r="AA41" s="126"/>
      <c r="AB41" s="126"/>
    </row>
    <row r="42" spans="1:28">
      <c r="A42" s="25" t="s">
        <v>2497</v>
      </c>
      <c r="B42" s="25">
        <f t="shared" si="1"/>
        <v>3</v>
      </c>
      <c r="C42" s="123" t="str">
        <f t="shared" si="0"/>
        <v>Year-3</v>
      </c>
      <c r="D42" s="35">
        <v>45505</v>
      </c>
      <c r="E42" s="26">
        <f t="shared" si="3"/>
        <v>174.2</v>
      </c>
      <c r="F42" s="26">
        <f t="shared" si="3"/>
        <v>172.6001566000001</v>
      </c>
      <c r="G42" s="31">
        <f t="shared" si="5"/>
        <v>49874.55</v>
      </c>
      <c r="H42" s="124">
        <f t="shared" si="4"/>
        <v>50.336592710430871</v>
      </c>
      <c r="I42" s="125">
        <f t="shared" si="4"/>
        <v>2.0196191575302946E-2</v>
      </c>
      <c r="J42" s="125">
        <f t="shared" si="4"/>
        <v>0.27</v>
      </c>
      <c r="K42" s="125">
        <f t="shared" si="4"/>
        <v>0.10494453414747008</v>
      </c>
      <c r="L42" s="125">
        <f t="shared" si="4"/>
        <v>1.507508977611231E-2</v>
      </c>
      <c r="M42" s="125">
        <f t="shared" si="4"/>
        <v>1.2791562311125756E-2</v>
      </c>
      <c r="N42" s="125">
        <f t="shared" si="4"/>
        <v>1.4116403195935955E-2</v>
      </c>
      <c r="O42" s="125">
        <f t="shared" si="4"/>
        <v>0</v>
      </c>
      <c r="P42" s="125">
        <f t="shared" si="4"/>
        <v>2.157456294953386E-2</v>
      </c>
      <c r="Q42" s="125">
        <f t="shared" si="4"/>
        <v>6.2818876990405415E-3</v>
      </c>
      <c r="R42" s="125">
        <f t="shared" si="4"/>
        <v>0.995</v>
      </c>
      <c r="S42" s="125">
        <f t="shared" si="4"/>
        <v>0.995</v>
      </c>
      <c r="T42" s="125">
        <f t="shared" si="4"/>
        <v>0</v>
      </c>
      <c r="U42" s="126"/>
      <c r="V42" s="126"/>
      <c r="W42" s="126"/>
      <c r="X42" s="136"/>
      <c r="Y42" s="126"/>
      <c r="Z42" s="126"/>
      <c r="AA42" s="126"/>
      <c r="AB42" s="126"/>
    </row>
    <row r="43" spans="1:28">
      <c r="A43" s="25" t="s">
        <v>2497</v>
      </c>
      <c r="B43" s="25">
        <f t="shared" si="1"/>
        <v>3</v>
      </c>
      <c r="C43" s="123" t="str">
        <f t="shared" si="0"/>
        <v>Year-3</v>
      </c>
      <c r="D43" s="35">
        <v>45536</v>
      </c>
      <c r="E43" s="26">
        <f t="shared" si="3"/>
        <v>192.1</v>
      </c>
      <c r="F43" s="26">
        <f t="shared" si="3"/>
        <v>178.89930529999984</v>
      </c>
      <c r="G43" s="31">
        <f t="shared" si="5"/>
        <v>52522.58</v>
      </c>
      <c r="H43" s="124">
        <f t="shared" si="4"/>
        <v>52.25059433997491</v>
      </c>
      <c r="I43" s="125">
        <f t="shared" si="4"/>
        <v>1.7196456487754141E-2</v>
      </c>
      <c r="J43" s="125">
        <f t="shared" si="4"/>
        <v>0.26</v>
      </c>
      <c r="K43" s="125">
        <f t="shared" si="4"/>
        <v>0.11387126505657014</v>
      </c>
      <c r="L43" s="125">
        <f t="shared" si="4"/>
        <v>1.3959618092500629E-2</v>
      </c>
      <c r="M43" s="125">
        <f t="shared" si="4"/>
        <v>1.4531255376132731E-2</v>
      </c>
      <c r="N43" s="125">
        <f t="shared" si="4"/>
        <v>1.4478833500810966E-2</v>
      </c>
      <c r="O43" s="125">
        <f t="shared" si="4"/>
        <v>0</v>
      </c>
      <c r="P43" s="125">
        <f t="shared" si="4"/>
        <v>2.2473527643153385E-2</v>
      </c>
      <c r="Q43" s="125">
        <f t="shared" si="4"/>
        <v>1.1388926338936924E-2</v>
      </c>
      <c r="R43" s="125">
        <f t="shared" si="4"/>
        <v>0.995</v>
      </c>
      <c r="S43" s="125">
        <f t="shared" si="4"/>
        <v>0.995</v>
      </c>
      <c r="T43" s="125">
        <f t="shared" si="4"/>
        <v>0</v>
      </c>
      <c r="U43" s="126"/>
      <c r="V43" s="126"/>
      <c r="W43" s="126"/>
      <c r="X43" s="136"/>
      <c r="Y43" s="126"/>
      <c r="Z43" s="126"/>
      <c r="AA43" s="126"/>
      <c r="AB43" s="126"/>
    </row>
    <row r="44" spans="1:28">
      <c r="A44" s="25" t="s">
        <v>2497</v>
      </c>
      <c r="B44" s="25">
        <f t="shared" si="1"/>
        <v>3</v>
      </c>
      <c r="C44" s="123" t="str">
        <f t="shared" si="0"/>
        <v>Year-3</v>
      </c>
      <c r="D44" s="35">
        <v>45566</v>
      </c>
      <c r="E44" s="26">
        <f t="shared" si="3"/>
        <v>202.3</v>
      </c>
      <c r="F44" s="26">
        <f t="shared" si="3"/>
        <v>174.60082279999986</v>
      </c>
      <c r="G44" s="31">
        <f t="shared" si="5"/>
        <v>56932.645000000004</v>
      </c>
      <c r="H44" s="124">
        <f t="shared" si="4"/>
        <v>49.723937837075084</v>
      </c>
      <c r="I44" s="125">
        <f t="shared" si="4"/>
        <v>1.5873015873015817E-2</v>
      </c>
      <c r="J44" s="125">
        <f t="shared" si="4"/>
        <v>0.27</v>
      </c>
      <c r="K44" s="125">
        <f t="shared" si="4"/>
        <v>0.10390722673430232</v>
      </c>
      <c r="L44" s="125">
        <f t="shared" si="4"/>
        <v>1.4040704754284353E-2</v>
      </c>
      <c r="M44" s="125">
        <f t="shared" si="4"/>
        <v>1.526389492868482E-2</v>
      </c>
      <c r="N44" s="125">
        <f t="shared" si="4"/>
        <v>1.5324069649683622E-2</v>
      </c>
      <c r="O44" s="125">
        <f t="shared" si="4"/>
        <v>0</v>
      </c>
      <c r="P44" s="125">
        <f t="shared" si="4"/>
        <v>2.3043103417804571E-2</v>
      </c>
      <c r="Q44" s="125">
        <f t="shared" si="4"/>
        <v>2.1184397869334348E-2</v>
      </c>
      <c r="R44" s="125">
        <f t="shared" si="4"/>
        <v>0.995</v>
      </c>
      <c r="S44" s="125">
        <f t="shared" si="4"/>
        <v>0.995</v>
      </c>
      <c r="T44" s="125">
        <f t="shared" si="4"/>
        <v>0</v>
      </c>
      <c r="U44" s="126"/>
      <c r="V44" s="126"/>
      <c r="W44" s="126"/>
      <c r="X44" s="136"/>
      <c r="Y44" s="126"/>
      <c r="Z44" s="126"/>
      <c r="AA44" s="126"/>
      <c r="AB44" s="126"/>
    </row>
    <row r="45" spans="1:28">
      <c r="A45" s="25" t="s">
        <v>2497</v>
      </c>
      <c r="B45" s="25">
        <f t="shared" si="1"/>
        <v>3</v>
      </c>
      <c r="C45" s="123" t="str">
        <f t="shared" si="0"/>
        <v>Year-3</v>
      </c>
      <c r="D45" s="35">
        <v>45597</v>
      </c>
      <c r="E45" s="26">
        <f t="shared" si="3"/>
        <v>162.9</v>
      </c>
      <c r="F45" s="26">
        <f t="shared" si="3"/>
        <v>133.69942049999997</v>
      </c>
      <c r="G45" s="31">
        <f t="shared" si="5"/>
        <v>46688.950000000004</v>
      </c>
      <c r="H45" s="124">
        <f t="shared" si="4"/>
        <v>42.187120547750681</v>
      </c>
      <c r="I45" s="125">
        <f t="shared" si="4"/>
        <v>1.5950920245398792E-2</v>
      </c>
      <c r="J45" s="125">
        <f t="shared" si="4"/>
        <v>0.27</v>
      </c>
      <c r="K45" s="125">
        <f t="shared" si="4"/>
        <v>6.9024239591701744E-2</v>
      </c>
      <c r="L45" s="125">
        <f t="shared" si="4"/>
        <v>1.4204952105287192E-2</v>
      </c>
      <c r="M45" s="125">
        <f t="shared" si="4"/>
        <v>1.3252885058363056E-2</v>
      </c>
      <c r="N45" s="125">
        <f t="shared" si="4"/>
        <v>1.3980442883231779E-2</v>
      </c>
      <c r="O45" s="125">
        <f t="shared" si="4"/>
        <v>0</v>
      </c>
      <c r="P45" s="125">
        <f t="shared" si="4"/>
        <v>2.30208488716231E-2</v>
      </c>
      <c r="Q45" s="125">
        <f t="shared" si="4"/>
        <v>8.3479094998109554E-3</v>
      </c>
      <c r="R45" s="125">
        <f t="shared" si="4"/>
        <v>0.995</v>
      </c>
      <c r="S45" s="125">
        <f t="shared" si="4"/>
        <v>0.995</v>
      </c>
      <c r="T45" s="125">
        <f t="shared" si="4"/>
        <v>0</v>
      </c>
      <c r="U45" s="126"/>
      <c r="V45" s="126"/>
      <c r="W45" s="126"/>
      <c r="X45" s="136"/>
      <c r="Y45" s="126"/>
      <c r="Z45" s="126"/>
      <c r="AA45" s="126"/>
      <c r="AB45" s="126"/>
    </row>
    <row r="46" spans="1:28">
      <c r="A46" s="25" t="s">
        <v>2497</v>
      </c>
      <c r="B46" s="25">
        <f t="shared" si="1"/>
        <v>3</v>
      </c>
      <c r="C46" s="123" t="str">
        <f t="shared" si="0"/>
        <v>Year-3</v>
      </c>
      <c r="D46" s="35">
        <v>45627</v>
      </c>
      <c r="E46" s="26">
        <f t="shared" ref="E46:F61" si="6">E34</f>
        <v>158.6</v>
      </c>
      <c r="F46" s="26">
        <f t="shared" si="6"/>
        <v>124.40004220000003</v>
      </c>
      <c r="G46" s="31">
        <f t="shared" si="5"/>
        <v>48062.740000000005</v>
      </c>
      <c r="H46" s="124">
        <f t="shared" ref="H46:T61" si="7">H34</f>
        <v>36.076939444156181</v>
      </c>
      <c r="I46" s="125">
        <f t="shared" si="7"/>
        <v>1.5802781289506962E-2</v>
      </c>
      <c r="J46" s="125">
        <f t="shared" si="7"/>
        <v>0.27</v>
      </c>
      <c r="K46" s="125">
        <f t="shared" si="7"/>
        <v>4.4787946264861052E-2</v>
      </c>
      <c r="L46" s="125">
        <f t="shared" si="7"/>
        <v>1.4140595613406415E-2</v>
      </c>
      <c r="M46" s="125">
        <f t="shared" si="7"/>
        <v>1.2367081056294736E-2</v>
      </c>
      <c r="N46" s="125">
        <f t="shared" si="7"/>
        <v>1.3960975699298588E-2</v>
      </c>
      <c r="O46" s="125">
        <f t="shared" si="7"/>
        <v>0</v>
      </c>
      <c r="P46" s="125">
        <f t="shared" si="7"/>
        <v>2.3055036005913448E-2</v>
      </c>
      <c r="Q46" s="125">
        <f t="shared" si="7"/>
        <v>3.6978876304825567E-3</v>
      </c>
      <c r="R46" s="125">
        <f t="shared" si="7"/>
        <v>0.995</v>
      </c>
      <c r="S46" s="125">
        <f t="shared" si="7"/>
        <v>0.995</v>
      </c>
      <c r="T46" s="125">
        <f t="shared" si="7"/>
        <v>0</v>
      </c>
      <c r="U46" s="126"/>
      <c r="V46" s="126"/>
      <c r="W46" s="126"/>
      <c r="X46" s="136"/>
      <c r="Y46" s="126"/>
      <c r="Z46" s="126"/>
      <c r="AA46" s="126"/>
      <c r="AB46" s="126"/>
    </row>
    <row r="47" spans="1:28">
      <c r="A47" s="25" t="s">
        <v>2497</v>
      </c>
      <c r="B47" s="25">
        <f t="shared" si="1"/>
        <v>3</v>
      </c>
      <c r="C47" s="123" t="str">
        <f t="shared" si="0"/>
        <v>Year-3</v>
      </c>
      <c r="D47" s="35">
        <v>45658</v>
      </c>
      <c r="E47" s="26">
        <f t="shared" si="6"/>
        <v>169.028549</v>
      </c>
      <c r="F47" s="26">
        <f t="shared" si="6"/>
        <v>133.89933939999995</v>
      </c>
      <c r="G47" s="31">
        <f t="shared" si="5"/>
        <v>51029.33</v>
      </c>
      <c r="H47" s="124">
        <f t="shared" si="7"/>
        <v>34.970332119021293</v>
      </c>
      <c r="I47" s="125">
        <f t="shared" si="7"/>
        <v>1.7200474495848161E-2</v>
      </c>
      <c r="J47" s="125">
        <f t="shared" si="7"/>
        <v>0.27</v>
      </c>
      <c r="K47" s="125">
        <f t="shared" si="7"/>
        <v>4.0029940128316385E-2</v>
      </c>
      <c r="L47" s="125">
        <f t="shared" si="7"/>
        <v>1.4099625889623608E-2</v>
      </c>
      <c r="M47" s="125">
        <f t="shared" si="7"/>
        <v>1.267725762135744E-2</v>
      </c>
      <c r="N47" s="125">
        <f t="shared" si="7"/>
        <v>1.390175346828215E-2</v>
      </c>
      <c r="O47" s="125">
        <f t="shared" si="7"/>
        <v>0</v>
      </c>
      <c r="P47" s="125">
        <f t="shared" si="7"/>
        <v>2.298066658515029E-2</v>
      </c>
      <c r="Q47" s="125">
        <f t="shared" si="7"/>
        <v>1.0644897972798715E-2</v>
      </c>
      <c r="R47" s="125">
        <f t="shared" si="7"/>
        <v>0.995</v>
      </c>
      <c r="S47" s="125">
        <f t="shared" si="7"/>
        <v>0.995</v>
      </c>
      <c r="T47" s="125">
        <f t="shared" si="7"/>
        <v>0</v>
      </c>
      <c r="U47" s="126"/>
      <c r="V47" s="126"/>
      <c r="W47" s="126"/>
      <c r="X47" s="136"/>
      <c r="Y47" s="126"/>
      <c r="Z47" s="126"/>
      <c r="AA47" s="126"/>
      <c r="AB47" s="126"/>
    </row>
    <row r="48" spans="1:28">
      <c r="A48" s="25" t="s">
        <v>2497</v>
      </c>
      <c r="B48" s="25">
        <f t="shared" si="1"/>
        <v>3</v>
      </c>
      <c r="C48" s="123" t="str">
        <f t="shared" si="0"/>
        <v>Year-3</v>
      </c>
      <c r="D48" s="35">
        <v>45689</v>
      </c>
      <c r="E48" s="26">
        <f t="shared" si="6"/>
        <v>172.55912190000004</v>
      </c>
      <c r="F48" s="26">
        <f t="shared" si="6"/>
        <v>145.40077080000009</v>
      </c>
      <c r="G48" s="31">
        <f t="shared" si="5"/>
        <v>47077.195</v>
      </c>
      <c r="H48" s="124">
        <f t="shared" si="7"/>
        <v>40.252096455972236</v>
      </c>
      <c r="I48" s="125">
        <f t="shared" si="7"/>
        <v>1.510749564206848E-2</v>
      </c>
      <c r="J48" s="125">
        <f t="shared" si="7"/>
        <v>0.27</v>
      </c>
      <c r="K48" s="125">
        <f t="shared" si="7"/>
        <v>6.2111013936519133E-2</v>
      </c>
      <c r="L48" s="125">
        <f t="shared" si="7"/>
        <v>1.4175439055030284E-2</v>
      </c>
      <c r="M48" s="125">
        <f t="shared" si="7"/>
        <v>1.4384371816049681E-2</v>
      </c>
      <c r="N48" s="125">
        <f t="shared" si="7"/>
        <v>1.5915736744616871E-2</v>
      </c>
      <c r="O48" s="125">
        <f t="shared" si="7"/>
        <v>0</v>
      </c>
      <c r="P48" s="125">
        <f t="shared" si="7"/>
        <v>2.3268144471779773E-2</v>
      </c>
      <c r="Q48" s="125">
        <f t="shared" si="7"/>
        <v>2.5052142565085967E-2</v>
      </c>
      <c r="R48" s="125">
        <f t="shared" si="7"/>
        <v>0.995</v>
      </c>
      <c r="S48" s="125">
        <f t="shared" si="7"/>
        <v>0.995</v>
      </c>
      <c r="T48" s="125">
        <f t="shared" si="7"/>
        <v>0</v>
      </c>
      <c r="U48" s="126"/>
      <c r="V48" s="126"/>
      <c r="W48" s="126"/>
      <c r="X48" s="136"/>
      <c r="Y48" s="126"/>
      <c r="Z48" s="126"/>
      <c r="AA48" s="126"/>
      <c r="AB48" s="126"/>
    </row>
    <row r="49" spans="1:28">
      <c r="A49" s="25" t="s">
        <v>2497</v>
      </c>
      <c r="B49" s="25">
        <f t="shared" si="1"/>
        <v>3</v>
      </c>
      <c r="C49" s="123" t="str">
        <f t="shared" si="0"/>
        <v>Year-3</v>
      </c>
      <c r="D49" s="35">
        <v>45717</v>
      </c>
      <c r="E49" s="26">
        <f t="shared" si="6"/>
        <v>215.74576700000009</v>
      </c>
      <c r="F49" s="26">
        <f t="shared" si="6"/>
        <v>195.59891570000002</v>
      </c>
      <c r="G49" s="31">
        <f t="shared" si="5"/>
        <v>60237.705000000002</v>
      </c>
      <c r="H49" s="124">
        <f t="shared" si="7"/>
        <v>47.179622377374095</v>
      </c>
      <c r="I49" s="125">
        <f t="shared" si="7"/>
        <v>1.5306122448979553E-2</v>
      </c>
      <c r="J49" s="125">
        <f t="shared" si="7"/>
        <v>0.28000000000000003</v>
      </c>
      <c r="K49" s="125">
        <f t="shared" si="7"/>
        <v>9.4419706369976972E-2</v>
      </c>
      <c r="L49" s="125">
        <f t="shared" si="7"/>
        <v>1.4644787078611174E-2</v>
      </c>
      <c r="M49" s="125">
        <f t="shared" si="7"/>
        <v>1.6212630268737406E-2</v>
      </c>
      <c r="N49" s="125">
        <f t="shared" si="7"/>
        <v>2.0718676035686345E-2</v>
      </c>
      <c r="O49" s="125">
        <f t="shared" si="7"/>
        <v>0</v>
      </c>
      <c r="P49" s="125">
        <f t="shared" si="7"/>
        <v>2.3247057021314733E-2</v>
      </c>
      <c r="Q49" s="125">
        <f t="shared" si="7"/>
        <v>3.9222124133286969E-2</v>
      </c>
      <c r="R49" s="125">
        <f t="shared" si="7"/>
        <v>0.995</v>
      </c>
      <c r="S49" s="125">
        <f t="shared" si="7"/>
        <v>0.995</v>
      </c>
      <c r="T49" s="125">
        <f t="shared" si="7"/>
        <v>0</v>
      </c>
      <c r="U49" s="126"/>
      <c r="V49" s="126"/>
      <c r="W49" s="126"/>
      <c r="X49" s="136"/>
      <c r="Y49" s="126"/>
      <c r="Z49" s="126"/>
      <c r="AA49" s="126"/>
      <c r="AB49" s="126"/>
    </row>
    <row r="50" spans="1:28">
      <c r="A50" s="25" t="s">
        <v>2498</v>
      </c>
      <c r="B50" s="25">
        <f t="shared" si="1"/>
        <v>4</v>
      </c>
      <c r="C50" s="123" t="str">
        <f t="shared" si="0"/>
        <v>Year-4</v>
      </c>
      <c r="D50" s="35">
        <v>45748</v>
      </c>
      <c r="E50" s="26">
        <f t="shared" si="6"/>
        <v>215.9</v>
      </c>
      <c r="F50" s="26">
        <f t="shared" si="6"/>
        <v>208.99969899999999</v>
      </c>
      <c r="G50" s="31">
        <f t="shared" si="5"/>
        <v>58103.517257500003</v>
      </c>
      <c r="H50" s="124">
        <f t="shared" si="7"/>
        <v>52.296499350965128</v>
      </c>
      <c r="I50" s="125">
        <f t="shared" si="7"/>
        <v>1.6658954187875996E-2</v>
      </c>
      <c r="J50" s="125">
        <f t="shared" si="7"/>
        <v>0.28999999999999998</v>
      </c>
      <c r="K50" s="125">
        <f t="shared" si="7"/>
        <v>0.11719199751057031</v>
      </c>
      <c r="L50" s="125">
        <f t="shared" si="7"/>
        <v>1.5231272154623582E-2</v>
      </c>
      <c r="M50" s="125">
        <f t="shared" si="7"/>
        <v>1.6110689006976781E-2</v>
      </c>
      <c r="N50" s="125">
        <f t="shared" si="7"/>
        <v>1.8633277773980331E-2</v>
      </c>
      <c r="O50" s="125">
        <f t="shared" si="7"/>
        <v>0</v>
      </c>
      <c r="P50" s="125">
        <f t="shared" si="7"/>
        <v>2.2802418781094937E-2</v>
      </c>
      <c r="Q50" s="125">
        <f t="shared" si="7"/>
        <v>2.7995485693316467E-2</v>
      </c>
      <c r="R50" s="125">
        <f t="shared" si="7"/>
        <v>0.995</v>
      </c>
      <c r="S50" s="125">
        <f t="shared" si="7"/>
        <v>0.995</v>
      </c>
      <c r="T50" s="125">
        <f t="shared" si="7"/>
        <v>0</v>
      </c>
      <c r="U50" s="126"/>
      <c r="V50" s="126"/>
      <c r="W50" s="126"/>
      <c r="X50" s="126"/>
      <c r="Y50" s="126"/>
      <c r="Z50" s="126"/>
      <c r="AA50" s="126"/>
      <c r="AB50" s="126"/>
    </row>
    <row r="51" spans="1:28">
      <c r="A51" s="25" t="s">
        <v>2498</v>
      </c>
      <c r="B51" s="25">
        <f t="shared" si="1"/>
        <v>4</v>
      </c>
      <c r="C51" s="123" t="str">
        <f t="shared" si="0"/>
        <v>Year-4</v>
      </c>
      <c r="D51" s="35">
        <v>45778</v>
      </c>
      <c r="E51" s="26">
        <f t="shared" si="6"/>
        <v>217.9</v>
      </c>
      <c r="F51" s="26">
        <f t="shared" si="6"/>
        <v>221.90023470000006</v>
      </c>
      <c r="G51" s="31">
        <f t="shared" si="5"/>
        <v>61225.231045000008</v>
      </c>
      <c r="H51" s="124">
        <f t="shared" si="7"/>
        <v>55.437733860726389</v>
      </c>
      <c r="I51" s="125">
        <f t="shared" si="7"/>
        <v>1.7865322950068707E-2</v>
      </c>
      <c r="J51" s="125">
        <f t="shared" si="7"/>
        <v>0.3</v>
      </c>
      <c r="K51" s="125">
        <f t="shared" si="7"/>
        <v>0.1306817577748349</v>
      </c>
      <c r="L51" s="125">
        <f t="shared" si="7"/>
        <v>1.609339136491415E-2</v>
      </c>
      <c r="M51" s="125">
        <f t="shared" si="7"/>
        <v>1.525163145425878E-2</v>
      </c>
      <c r="N51" s="125">
        <f t="shared" si="7"/>
        <v>1.5763583972179196E-2</v>
      </c>
      <c r="O51" s="125">
        <f t="shared" si="7"/>
        <v>0</v>
      </c>
      <c r="P51" s="125">
        <f t="shared" si="7"/>
        <v>2.2281870794181511E-2</v>
      </c>
      <c r="Q51" s="125">
        <f t="shared" si="7"/>
        <v>1.1198342091846737E-2</v>
      </c>
      <c r="R51" s="125">
        <f t="shared" si="7"/>
        <v>0.995</v>
      </c>
      <c r="S51" s="125">
        <f t="shared" si="7"/>
        <v>0.995</v>
      </c>
      <c r="T51" s="125">
        <f t="shared" si="7"/>
        <v>0</v>
      </c>
      <c r="U51" s="126"/>
      <c r="V51" s="126"/>
      <c r="W51" s="126"/>
      <c r="X51" s="126"/>
      <c r="Y51" s="126"/>
      <c r="Z51" s="126"/>
      <c r="AA51" s="126"/>
      <c r="AB51" s="126"/>
    </row>
    <row r="52" spans="1:28">
      <c r="A52" s="25" t="s">
        <v>2498</v>
      </c>
      <c r="B52" s="25">
        <f t="shared" si="1"/>
        <v>4</v>
      </c>
      <c r="C52" s="123" t="str">
        <f t="shared" si="0"/>
        <v>Year-4</v>
      </c>
      <c r="D52" s="35">
        <v>45809</v>
      </c>
      <c r="E52" s="26">
        <f t="shared" si="6"/>
        <v>192.8</v>
      </c>
      <c r="F52" s="26">
        <f t="shared" si="6"/>
        <v>200.20089519999999</v>
      </c>
      <c r="G52" s="31">
        <f t="shared" si="5"/>
        <v>53217.78742500001</v>
      </c>
      <c r="H52" s="124">
        <f t="shared" si="7"/>
        <v>54.658309168315547</v>
      </c>
      <c r="I52" s="125">
        <f t="shared" si="7"/>
        <v>1.914123124676681E-2</v>
      </c>
      <c r="J52" s="125">
        <f t="shared" si="7"/>
        <v>0.3</v>
      </c>
      <c r="K52" s="125">
        <f t="shared" si="7"/>
        <v>0.12650723469382591</v>
      </c>
      <c r="L52" s="125">
        <f t="shared" si="7"/>
        <v>1.6398522844759341E-2</v>
      </c>
      <c r="M52" s="125">
        <f t="shared" si="7"/>
        <v>1.3926271600695752E-2</v>
      </c>
      <c r="N52" s="125">
        <f t="shared" si="7"/>
        <v>1.4057661793117321E-2</v>
      </c>
      <c r="O52" s="125">
        <f t="shared" si="7"/>
        <v>0</v>
      </c>
      <c r="P52" s="125">
        <f t="shared" si="7"/>
        <v>2.1677907023400757E-2</v>
      </c>
      <c r="Q52" s="125">
        <f t="shared" si="7"/>
        <v>4.051685061336731E-3</v>
      </c>
      <c r="R52" s="125">
        <f t="shared" si="7"/>
        <v>0.995</v>
      </c>
      <c r="S52" s="125">
        <f t="shared" si="7"/>
        <v>0.995</v>
      </c>
      <c r="T52" s="125">
        <f t="shared" si="7"/>
        <v>0</v>
      </c>
      <c r="U52" s="126"/>
      <c r="V52" s="126"/>
      <c r="W52" s="126"/>
      <c r="X52" s="126"/>
      <c r="Y52" s="126"/>
      <c r="Z52" s="126"/>
      <c r="AA52" s="126"/>
      <c r="AB52" s="126"/>
    </row>
    <row r="53" spans="1:28">
      <c r="A53" s="25" t="s">
        <v>2498</v>
      </c>
      <c r="B53" s="25">
        <f t="shared" si="1"/>
        <v>4</v>
      </c>
      <c r="C53" s="123" t="str">
        <f t="shared" si="0"/>
        <v>Year-4</v>
      </c>
      <c r="D53" s="35">
        <v>45839</v>
      </c>
      <c r="E53" s="26">
        <f t="shared" si="6"/>
        <v>168.9</v>
      </c>
      <c r="F53" s="26">
        <f t="shared" si="6"/>
        <v>173.59972409999992</v>
      </c>
      <c r="G53" s="31">
        <f t="shared" si="5"/>
        <v>48768.106502500006</v>
      </c>
      <c r="H53" s="124">
        <f t="shared" si="7"/>
        <v>51.564857066184757</v>
      </c>
      <c r="I53" s="125">
        <f t="shared" si="7"/>
        <v>2.1854695806261204E-2</v>
      </c>
      <c r="J53" s="125">
        <f t="shared" si="7"/>
        <v>0.28000000000000003</v>
      </c>
      <c r="K53" s="125">
        <f t="shared" si="7"/>
        <v>0.1089308468990661</v>
      </c>
      <c r="L53" s="125">
        <f t="shared" si="7"/>
        <v>1.5867586262633245E-2</v>
      </c>
      <c r="M53" s="125">
        <f t="shared" si="7"/>
        <v>1.231974144019694E-2</v>
      </c>
      <c r="N53" s="125">
        <f t="shared" si="7"/>
        <v>1.3502102014775261E-2</v>
      </c>
      <c r="O53" s="125">
        <f t="shared" si="7"/>
        <v>0</v>
      </c>
      <c r="P53" s="125">
        <f t="shared" si="7"/>
        <v>2.127320988616644E-2</v>
      </c>
      <c r="Q53" s="125">
        <f t="shared" si="7"/>
        <v>1.5557262066246368E-3</v>
      </c>
      <c r="R53" s="125">
        <f t="shared" si="7"/>
        <v>0.995</v>
      </c>
      <c r="S53" s="125">
        <f t="shared" si="7"/>
        <v>0.995</v>
      </c>
      <c r="T53" s="125">
        <f t="shared" si="7"/>
        <v>0</v>
      </c>
      <c r="U53" s="126"/>
      <c r="V53" s="126"/>
      <c r="W53" s="126"/>
      <c r="X53" s="126"/>
      <c r="Y53" s="126"/>
      <c r="Z53" s="126"/>
      <c r="AA53" s="126"/>
      <c r="AB53" s="126"/>
    </row>
    <row r="54" spans="1:28">
      <c r="A54" s="25" t="s">
        <v>2498</v>
      </c>
      <c r="B54" s="25">
        <f t="shared" si="1"/>
        <v>4</v>
      </c>
      <c r="C54" s="123" t="str">
        <f t="shared" si="0"/>
        <v>Year-4</v>
      </c>
      <c r="D54" s="35">
        <v>45870</v>
      </c>
      <c r="E54" s="26">
        <f t="shared" si="6"/>
        <v>174.2</v>
      </c>
      <c r="F54" s="26">
        <f t="shared" si="6"/>
        <v>172.6001566000001</v>
      </c>
      <c r="G54" s="31">
        <f t="shared" si="5"/>
        <v>49650.114525000005</v>
      </c>
      <c r="H54" s="124">
        <f t="shared" si="7"/>
        <v>50.336592710430871</v>
      </c>
      <c r="I54" s="125">
        <f t="shared" si="7"/>
        <v>2.0196191575302946E-2</v>
      </c>
      <c r="J54" s="125">
        <f t="shared" si="7"/>
        <v>0.27</v>
      </c>
      <c r="K54" s="125">
        <f t="shared" si="7"/>
        <v>0.10494453414747008</v>
      </c>
      <c r="L54" s="125">
        <f t="shared" si="7"/>
        <v>1.507508977611231E-2</v>
      </c>
      <c r="M54" s="125">
        <f t="shared" si="7"/>
        <v>1.2791562311125756E-2</v>
      </c>
      <c r="N54" s="125">
        <f t="shared" si="7"/>
        <v>1.4116403195935955E-2</v>
      </c>
      <c r="O54" s="125">
        <f t="shared" si="7"/>
        <v>0</v>
      </c>
      <c r="P54" s="125">
        <f t="shared" si="7"/>
        <v>2.157456294953386E-2</v>
      </c>
      <c r="Q54" s="125">
        <f t="shared" si="7"/>
        <v>6.2818876990405415E-3</v>
      </c>
      <c r="R54" s="125">
        <f t="shared" si="7"/>
        <v>0.995</v>
      </c>
      <c r="S54" s="125">
        <f t="shared" si="7"/>
        <v>0.995</v>
      </c>
      <c r="T54" s="125">
        <f t="shared" si="7"/>
        <v>0</v>
      </c>
      <c r="U54" s="126"/>
      <c r="V54" s="126"/>
      <c r="W54" s="126"/>
      <c r="X54" s="126"/>
      <c r="Y54" s="126"/>
      <c r="Z54" s="126"/>
      <c r="AA54" s="126"/>
      <c r="AB54" s="126"/>
    </row>
    <row r="55" spans="1:28">
      <c r="A55" s="25" t="s">
        <v>2498</v>
      </c>
      <c r="B55" s="25">
        <f t="shared" si="1"/>
        <v>4</v>
      </c>
      <c r="C55" s="123" t="str">
        <f t="shared" si="0"/>
        <v>Year-4</v>
      </c>
      <c r="D55" s="35">
        <v>45901</v>
      </c>
      <c r="E55" s="26">
        <f t="shared" si="6"/>
        <v>192.1</v>
      </c>
      <c r="F55" s="26">
        <f t="shared" si="6"/>
        <v>178.89930529999984</v>
      </c>
      <c r="G55" s="31">
        <f t="shared" si="5"/>
        <v>52286.228390000004</v>
      </c>
      <c r="H55" s="124">
        <f t="shared" si="7"/>
        <v>52.25059433997491</v>
      </c>
      <c r="I55" s="125">
        <f t="shared" si="7"/>
        <v>1.7196456487754141E-2</v>
      </c>
      <c r="J55" s="125">
        <f t="shared" si="7"/>
        <v>0.26</v>
      </c>
      <c r="K55" s="125">
        <f t="shared" si="7"/>
        <v>0.11387126505657014</v>
      </c>
      <c r="L55" s="125">
        <f t="shared" si="7"/>
        <v>1.3959618092500629E-2</v>
      </c>
      <c r="M55" s="125">
        <f t="shared" si="7"/>
        <v>1.4531255376132731E-2</v>
      </c>
      <c r="N55" s="125">
        <f t="shared" si="7"/>
        <v>1.4478833500810966E-2</v>
      </c>
      <c r="O55" s="125">
        <f t="shared" si="7"/>
        <v>0</v>
      </c>
      <c r="P55" s="125">
        <f t="shared" si="7"/>
        <v>2.2473527643153385E-2</v>
      </c>
      <c r="Q55" s="125">
        <f t="shared" si="7"/>
        <v>1.1388926338936924E-2</v>
      </c>
      <c r="R55" s="125">
        <f t="shared" si="7"/>
        <v>0.995</v>
      </c>
      <c r="S55" s="125">
        <f t="shared" si="7"/>
        <v>0.995</v>
      </c>
      <c r="T55" s="125">
        <f t="shared" si="7"/>
        <v>0</v>
      </c>
      <c r="U55" s="126"/>
      <c r="V55" s="126"/>
      <c r="W55" s="126"/>
      <c r="X55" s="126"/>
      <c r="Y55" s="126"/>
      <c r="Z55" s="126"/>
      <c r="AA55" s="126"/>
      <c r="AB55" s="126"/>
    </row>
    <row r="56" spans="1:28">
      <c r="A56" s="25" t="s">
        <v>2498</v>
      </c>
      <c r="B56" s="25">
        <f t="shared" si="1"/>
        <v>4</v>
      </c>
      <c r="C56" s="123" t="str">
        <f t="shared" si="0"/>
        <v>Year-4</v>
      </c>
      <c r="D56" s="35">
        <v>45931</v>
      </c>
      <c r="E56" s="26">
        <f t="shared" si="6"/>
        <v>202.3</v>
      </c>
      <c r="F56" s="26">
        <f t="shared" si="6"/>
        <v>174.60082279999986</v>
      </c>
      <c r="G56" s="31">
        <f t="shared" si="5"/>
        <v>56676.448097500004</v>
      </c>
      <c r="H56" s="124">
        <f t="shared" si="7"/>
        <v>49.723937837075084</v>
      </c>
      <c r="I56" s="125">
        <f t="shared" si="7"/>
        <v>1.5873015873015817E-2</v>
      </c>
      <c r="J56" s="125">
        <f t="shared" si="7"/>
        <v>0.27</v>
      </c>
      <c r="K56" s="125">
        <f t="shared" si="7"/>
        <v>0.10390722673430232</v>
      </c>
      <c r="L56" s="125">
        <f t="shared" si="7"/>
        <v>1.4040704754284353E-2</v>
      </c>
      <c r="M56" s="125">
        <f t="shared" si="7"/>
        <v>1.526389492868482E-2</v>
      </c>
      <c r="N56" s="125">
        <f t="shared" si="7"/>
        <v>1.5324069649683622E-2</v>
      </c>
      <c r="O56" s="125">
        <f t="shared" si="7"/>
        <v>0</v>
      </c>
      <c r="P56" s="125">
        <f t="shared" si="7"/>
        <v>2.3043103417804571E-2</v>
      </c>
      <c r="Q56" s="125">
        <f t="shared" si="7"/>
        <v>2.1184397869334348E-2</v>
      </c>
      <c r="R56" s="125">
        <f t="shared" si="7"/>
        <v>0.995</v>
      </c>
      <c r="S56" s="125">
        <f t="shared" si="7"/>
        <v>0.995</v>
      </c>
      <c r="T56" s="125">
        <f t="shared" si="7"/>
        <v>0</v>
      </c>
      <c r="U56" s="126"/>
      <c r="V56" s="126"/>
      <c r="W56" s="126"/>
      <c r="X56" s="126"/>
      <c r="Y56" s="126"/>
      <c r="Z56" s="126"/>
      <c r="AA56" s="126"/>
      <c r="AB56" s="126"/>
    </row>
    <row r="57" spans="1:28">
      <c r="A57" s="25" t="s">
        <v>2498</v>
      </c>
      <c r="B57" s="25">
        <f t="shared" si="1"/>
        <v>4</v>
      </c>
      <c r="C57" s="123" t="str">
        <f t="shared" si="0"/>
        <v>Year-4</v>
      </c>
      <c r="D57" s="35">
        <v>45962</v>
      </c>
      <c r="E57" s="26">
        <f t="shared" si="6"/>
        <v>162.9</v>
      </c>
      <c r="F57" s="26">
        <f t="shared" si="6"/>
        <v>133.69942049999997</v>
      </c>
      <c r="G57" s="31">
        <f t="shared" si="5"/>
        <v>46478.849725000007</v>
      </c>
      <c r="H57" s="124">
        <f t="shared" si="7"/>
        <v>42.187120547750681</v>
      </c>
      <c r="I57" s="125">
        <f t="shared" si="7"/>
        <v>1.5950920245398792E-2</v>
      </c>
      <c r="J57" s="125">
        <f t="shared" si="7"/>
        <v>0.27</v>
      </c>
      <c r="K57" s="125">
        <f t="shared" si="7"/>
        <v>6.9024239591701744E-2</v>
      </c>
      <c r="L57" s="125">
        <f t="shared" si="7"/>
        <v>1.4204952105287192E-2</v>
      </c>
      <c r="M57" s="125">
        <f t="shared" si="7"/>
        <v>1.3252885058363056E-2</v>
      </c>
      <c r="N57" s="125">
        <f t="shared" si="7"/>
        <v>1.3980442883231779E-2</v>
      </c>
      <c r="O57" s="125">
        <f t="shared" si="7"/>
        <v>0</v>
      </c>
      <c r="P57" s="125">
        <f t="shared" si="7"/>
        <v>2.30208488716231E-2</v>
      </c>
      <c r="Q57" s="125">
        <f t="shared" si="7"/>
        <v>8.3479094998109554E-3</v>
      </c>
      <c r="R57" s="125">
        <f t="shared" si="7"/>
        <v>0.995</v>
      </c>
      <c r="S57" s="125">
        <f t="shared" si="7"/>
        <v>0.995</v>
      </c>
      <c r="T57" s="125">
        <f t="shared" si="7"/>
        <v>0</v>
      </c>
      <c r="U57" s="126"/>
      <c r="V57" s="126"/>
      <c r="W57" s="126"/>
      <c r="X57" s="126"/>
      <c r="Y57" s="126"/>
      <c r="Z57" s="126"/>
      <c r="AA57" s="126"/>
      <c r="AB57" s="126"/>
    </row>
    <row r="58" spans="1:28">
      <c r="A58" s="25" t="s">
        <v>2498</v>
      </c>
      <c r="B58" s="25">
        <f t="shared" si="1"/>
        <v>4</v>
      </c>
      <c r="C58" s="123" t="str">
        <f t="shared" si="0"/>
        <v>Year-4</v>
      </c>
      <c r="D58" s="35">
        <v>45992</v>
      </c>
      <c r="E58" s="26">
        <f t="shared" si="6"/>
        <v>158.6</v>
      </c>
      <c r="F58" s="26">
        <f t="shared" si="6"/>
        <v>124.40004220000003</v>
      </c>
      <c r="G58" s="31">
        <f t="shared" si="5"/>
        <v>47846.457670000011</v>
      </c>
      <c r="H58" s="124">
        <f t="shared" si="7"/>
        <v>36.076939444156181</v>
      </c>
      <c r="I58" s="125">
        <f t="shared" si="7"/>
        <v>1.5802781289506962E-2</v>
      </c>
      <c r="J58" s="125">
        <f t="shared" si="7"/>
        <v>0.27</v>
      </c>
      <c r="K58" s="125">
        <f t="shared" si="7"/>
        <v>4.4787946264861052E-2</v>
      </c>
      <c r="L58" s="125">
        <f t="shared" si="7"/>
        <v>1.4140595613406415E-2</v>
      </c>
      <c r="M58" s="125">
        <f t="shared" si="7"/>
        <v>1.2367081056294736E-2</v>
      </c>
      <c r="N58" s="125">
        <f t="shared" si="7"/>
        <v>1.3960975699298588E-2</v>
      </c>
      <c r="O58" s="125">
        <f t="shared" si="7"/>
        <v>0</v>
      </c>
      <c r="P58" s="125">
        <f t="shared" si="7"/>
        <v>2.3055036005913448E-2</v>
      </c>
      <c r="Q58" s="125">
        <f t="shared" si="7"/>
        <v>3.6978876304825567E-3</v>
      </c>
      <c r="R58" s="125">
        <f t="shared" si="7"/>
        <v>0.995</v>
      </c>
      <c r="S58" s="125">
        <f t="shared" si="7"/>
        <v>0.995</v>
      </c>
      <c r="T58" s="125">
        <f t="shared" si="7"/>
        <v>0</v>
      </c>
      <c r="U58" s="126"/>
      <c r="V58" s="126"/>
      <c r="W58" s="126"/>
      <c r="X58" s="126"/>
      <c r="Y58" s="126"/>
      <c r="Z58" s="126"/>
      <c r="AA58" s="126"/>
      <c r="AB58" s="126"/>
    </row>
    <row r="59" spans="1:28">
      <c r="A59" s="25" t="s">
        <v>2498</v>
      </c>
      <c r="B59" s="25">
        <f t="shared" si="1"/>
        <v>4</v>
      </c>
      <c r="C59" s="123" t="str">
        <f t="shared" si="0"/>
        <v>Year-4</v>
      </c>
      <c r="D59" s="35">
        <v>46023</v>
      </c>
      <c r="E59" s="26">
        <f t="shared" si="6"/>
        <v>169.028549</v>
      </c>
      <c r="F59" s="26">
        <f t="shared" si="6"/>
        <v>133.89933939999995</v>
      </c>
      <c r="G59" s="31">
        <f t="shared" si="5"/>
        <v>50799.698015000002</v>
      </c>
      <c r="H59" s="124">
        <f t="shared" si="7"/>
        <v>34.970332119021293</v>
      </c>
      <c r="I59" s="125">
        <f t="shared" si="7"/>
        <v>1.7200474495848161E-2</v>
      </c>
      <c r="J59" s="125">
        <f t="shared" si="7"/>
        <v>0.27</v>
      </c>
      <c r="K59" s="125">
        <f t="shared" si="7"/>
        <v>4.0029940128316385E-2</v>
      </c>
      <c r="L59" s="125">
        <f t="shared" si="7"/>
        <v>1.4099625889623608E-2</v>
      </c>
      <c r="M59" s="125">
        <f t="shared" si="7"/>
        <v>1.267725762135744E-2</v>
      </c>
      <c r="N59" s="125">
        <f t="shared" si="7"/>
        <v>1.390175346828215E-2</v>
      </c>
      <c r="O59" s="125">
        <f t="shared" si="7"/>
        <v>0</v>
      </c>
      <c r="P59" s="125">
        <f t="shared" si="7"/>
        <v>2.298066658515029E-2</v>
      </c>
      <c r="Q59" s="125">
        <f t="shared" si="7"/>
        <v>1.0644897972798715E-2</v>
      </c>
      <c r="R59" s="125">
        <f t="shared" si="7"/>
        <v>0.995</v>
      </c>
      <c r="S59" s="125">
        <f t="shared" si="7"/>
        <v>0.995</v>
      </c>
      <c r="T59" s="125">
        <f t="shared" si="7"/>
        <v>0</v>
      </c>
      <c r="U59" s="126"/>
      <c r="V59" s="126"/>
      <c r="W59" s="126"/>
      <c r="X59" s="126"/>
      <c r="Y59" s="126"/>
      <c r="Z59" s="126"/>
      <c r="AA59" s="126"/>
      <c r="AB59" s="126"/>
    </row>
    <row r="60" spans="1:28">
      <c r="A60" s="25" t="s">
        <v>2498</v>
      </c>
      <c r="B60" s="25">
        <f t="shared" si="1"/>
        <v>4</v>
      </c>
      <c r="C60" s="123" t="str">
        <f t="shared" si="0"/>
        <v>Year-4</v>
      </c>
      <c r="D60" s="35">
        <v>46054</v>
      </c>
      <c r="E60" s="26">
        <f t="shared" si="6"/>
        <v>172.55912190000004</v>
      </c>
      <c r="F60" s="26">
        <f t="shared" si="6"/>
        <v>145.40077080000009</v>
      </c>
      <c r="G60" s="31">
        <f t="shared" si="5"/>
        <v>46865.347622500005</v>
      </c>
      <c r="H60" s="124">
        <f t="shared" si="7"/>
        <v>40.252096455972236</v>
      </c>
      <c r="I60" s="125">
        <f t="shared" si="7"/>
        <v>1.510749564206848E-2</v>
      </c>
      <c r="J60" s="125">
        <f t="shared" si="7"/>
        <v>0.27</v>
      </c>
      <c r="K60" s="125">
        <f t="shared" si="7"/>
        <v>6.2111013936519133E-2</v>
      </c>
      <c r="L60" s="125">
        <f t="shared" si="7"/>
        <v>1.4175439055030284E-2</v>
      </c>
      <c r="M60" s="125">
        <f t="shared" si="7"/>
        <v>1.4384371816049681E-2</v>
      </c>
      <c r="N60" s="125">
        <f t="shared" si="7"/>
        <v>1.5915736744616871E-2</v>
      </c>
      <c r="O60" s="125">
        <f t="shared" si="7"/>
        <v>0</v>
      </c>
      <c r="P60" s="125">
        <f t="shared" si="7"/>
        <v>2.3268144471779773E-2</v>
      </c>
      <c r="Q60" s="125">
        <f t="shared" si="7"/>
        <v>2.5052142565085967E-2</v>
      </c>
      <c r="R60" s="125">
        <f t="shared" si="7"/>
        <v>0.995</v>
      </c>
      <c r="S60" s="125">
        <f t="shared" si="7"/>
        <v>0.995</v>
      </c>
      <c r="T60" s="125">
        <f t="shared" si="7"/>
        <v>0</v>
      </c>
      <c r="U60" s="126"/>
      <c r="V60" s="126"/>
      <c r="W60" s="126"/>
      <c r="X60" s="126"/>
      <c r="Y60" s="126"/>
      <c r="Z60" s="126"/>
      <c r="AA60" s="126"/>
      <c r="AB60" s="126"/>
    </row>
    <row r="61" spans="1:28">
      <c r="A61" s="25" t="s">
        <v>2498</v>
      </c>
      <c r="B61" s="25">
        <f t="shared" si="1"/>
        <v>4</v>
      </c>
      <c r="C61" s="123" t="str">
        <f t="shared" si="0"/>
        <v>Year-4</v>
      </c>
      <c r="D61" s="35">
        <v>46082</v>
      </c>
      <c r="E61" s="26">
        <f t="shared" si="6"/>
        <v>215.74576700000009</v>
      </c>
      <c r="F61" s="26">
        <f t="shared" si="6"/>
        <v>195.59891570000002</v>
      </c>
      <c r="G61" s="31">
        <f t="shared" si="5"/>
        <v>59966.635327500007</v>
      </c>
      <c r="H61" s="124">
        <f t="shared" si="7"/>
        <v>47.179622377374095</v>
      </c>
      <c r="I61" s="125">
        <f t="shared" si="7"/>
        <v>1.5306122448979553E-2</v>
      </c>
      <c r="J61" s="125">
        <f t="shared" si="7"/>
        <v>0.28000000000000003</v>
      </c>
      <c r="K61" s="125">
        <f t="shared" si="7"/>
        <v>9.4419706369976972E-2</v>
      </c>
      <c r="L61" s="125">
        <f t="shared" si="7"/>
        <v>1.4644787078611174E-2</v>
      </c>
      <c r="M61" s="125">
        <f t="shared" si="7"/>
        <v>1.6212630268737406E-2</v>
      </c>
      <c r="N61" s="125">
        <f t="shared" si="7"/>
        <v>2.0718676035686345E-2</v>
      </c>
      <c r="O61" s="125">
        <f t="shared" si="7"/>
        <v>0</v>
      </c>
      <c r="P61" s="125">
        <f t="shared" si="7"/>
        <v>2.3247057021314733E-2</v>
      </c>
      <c r="Q61" s="125">
        <f t="shared" si="7"/>
        <v>3.9222124133286969E-2</v>
      </c>
      <c r="R61" s="125">
        <f t="shared" si="7"/>
        <v>0.995</v>
      </c>
      <c r="S61" s="125">
        <f t="shared" si="7"/>
        <v>0.995</v>
      </c>
      <c r="T61" s="125">
        <f t="shared" si="7"/>
        <v>0</v>
      </c>
      <c r="U61" s="126"/>
      <c r="V61" s="126"/>
      <c r="W61" s="126"/>
      <c r="X61" s="126"/>
      <c r="Y61" s="126"/>
      <c r="Z61" s="126"/>
      <c r="AA61" s="126"/>
      <c r="AB61" s="126"/>
    </row>
    <row r="62" spans="1:28">
      <c r="A62" s="25" t="s">
        <v>2499</v>
      </c>
      <c r="B62" s="25">
        <f t="shared" si="1"/>
        <v>5</v>
      </c>
      <c r="C62" s="123" t="str">
        <f t="shared" si="0"/>
        <v>Year-5</v>
      </c>
      <c r="D62" s="35">
        <v>46113</v>
      </c>
      <c r="E62" s="26">
        <f t="shared" ref="E62:F77" si="8">E50</f>
        <v>215.9</v>
      </c>
      <c r="F62" s="26">
        <f t="shared" si="8"/>
        <v>208.99969899999999</v>
      </c>
      <c r="G62" s="31">
        <f t="shared" si="5"/>
        <v>57842.051429841253</v>
      </c>
      <c r="H62" s="124">
        <f t="shared" ref="H62:T77" si="9">H50</f>
        <v>52.296499350965128</v>
      </c>
      <c r="I62" s="125">
        <f t="shared" si="9"/>
        <v>1.6658954187875996E-2</v>
      </c>
      <c r="J62" s="125">
        <f t="shared" si="9"/>
        <v>0.28999999999999998</v>
      </c>
      <c r="K62" s="125">
        <f t="shared" si="9"/>
        <v>0.11719199751057031</v>
      </c>
      <c r="L62" s="125">
        <f t="shared" si="9"/>
        <v>1.5231272154623582E-2</v>
      </c>
      <c r="M62" s="125">
        <f t="shared" si="9"/>
        <v>1.6110689006976781E-2</v>
      </c>
      <c r="N62" s="125">
        <f t="shared" si="9"/>
        <v>1.8633277773980331E-2</v>
      </c>
      <c r="O62" s="125">
        <f t="shared" si="9"/>
        <v>0</v>
      </c>
      <c r="P62" s="125">
        <f t="shared" si="9"/>
        <v>2.2802418781094937E-2</v>
      </c>
      <c r="Q62" s="125">
        <f t="shared" si="9"/>
        <v>2.7995485693316467E-2</v>
      </c>
      <c r="R62" s="125">
        <f t="shared" si="9"/>
        <v>0.995</v>
      </c>
      <c r="S62" s="125">
        <f t="shared" si="9"/>
        <v>0.995</v>
      </c>
      <c r="T62" s="125">
        <f t="shared" si="9"/>
        <v>0</v>
      </c>
      <c r="U62" s="126"/>
      <c r="V62" s="126"/>
      <c r="W62" s="126"/>
      <c r="X62" s="126"/>
      <c r="Y62" s="126"/>
      <c r="Z62" s="126"/>
      <c r="AA62" s="126"/>
      <c r="AB62" s="126"/>
    </row>
    <row r="63" spans="1:28">
      <c r="A63" s="25" t="s">
        <v>2499</v>
      </c>
      <c r="B63" s="25">
        <f t="shared" si="1"/>
        <v>5</v>
      </c>
      <c r="C63" s="123" t="str">
        <f t="shared" si="0"/>
        <v>Year-5</v>
      </c>
      <c r="D63" s="35">
        <v>46143</v>
      </c>
      <c r="E63" s="26">
        <f t="shared" si="8"/>
        <v>217.9</v>
      </c>
      <c r="F63" s="26">
        <f t="shared" si="8"/>
        <v>221.90023470000006</v>
      </c>
      <c r="G63" s="31">
        <f t="shared" si="5"/>
        <v>60949.717505297514</v>
      </c>
      <c r="H63" s="124">
        <f t="shared" si="9"/>
        <v>55.437733860726389</v>
      </c>
      <c r="I63" s="125">
        <f t="shared" si="9"/>
        <v>1.7865322950068707E-2</v>
      </c>
      <c r="J63" s="125">
        <f t="shared" si="9"/>
        <v>0.3</v>
      </c>
      <c r="K63" s="125">
        <f t="shared" si="9"/>
        <v>0.1306817577748349</v>
      </c>
      <c r="L63" s="125">
        <f t="shared" si="9"/>
        <v>1.609339136491415E-2</v>
      </c>
      <c r="M63" s="125">
        <f t="shared" si="9"/>
        <v>1.525163145425878E-2</v>
      </c>
      <c r="N63" s="125">
        <f t="shared" si="9"/>
        <v>1.5763583972179196E-2</v>
      </c>
      <c r="O63" s="125">
        <f t="shared" si="9"/>
        <v>0</v>
      </c>
      <c r="P63" s="125">
        <f t="shared" si="9"/>
        <v>2.2281870794181511E-2</v>
      </c>
      <c r="Q63" s="125">
        <f t="shared" si="9"/>
        <v>1.1198342091846737E-2</v>
      </c>
      <c r="R63" s="125">
        <f t="shared" si="9"/>
        <v>0.995</v>
      </c>
      <c r="S63" s="125">
        <f t="shared" si="9"/>
        <v>0.995</v>
      </c>
      <c r="T63" s="125">
        <f t="shared" si="9"/>
        <v>0</v>
      </c>
      <c r="U63" s="126"/>
      <c r="V63" s="126"/>
      <c r="W63" s="126"/>
      <c r="X63" s="126"/>
      <c r="Y63" s="126"/>
      <c r="Z63" s="126"/>
      <c r="AA63" s="126"/>
      <c r="AB63" s="126"/>
    </row>
    <row r="64" spans="1:28">
      <c r="A64" s="25" t="s">
        <v>2499</v>
      </c>
      <c r="B64" s="25">
        <f t="shared" si="1"/>
        <v>5</v>
      </c>
      <c r="C64" s="123" t="str">
        <f t="shared" si="0"/>
        <v>Year-5</v>
      </c>
      <c r="D64" s="35">
        <v>46174</v>
      </c>
      <c r="E64" s="26">
        <f t="shared" si="8"/>
        <v>192.8</v>
      </c>
      <c r="F64" s="26">
        <f t="shared" si="8"/>
        <v>200.20089519999999</v>
      </c>
      <c r="G64" s="31">
        <f t="shared" si="5"/>
        <v>52978.30738158751</v>
      </c>
      <c r="H64" s="124">
        <f t="shared" si="9"/>
        <v>54.658309168315547</v>
      </c>
      <c r="I64" s="125">
        <f t="shared" si="9"/>
        <v>1.914123124676681E-2</v>
      </c>
      <c r="J64" s="125">
        <f t="shared" si="9"/>
        <v>0.3</v>
      </c>
      <c r="K64" s="125">
        <f t="shared" si="9"/>
        <v>0.12650723469382591</v>
      </c>
      <c r="L64" s="125">
        <f t="shared" si="9"/>
        <v>1.6398522844759341E-2</v>
      </c>
      <c r="M64" s="125">
        <f t="shared" si="9"/>
        <v>1.3926271600695752E-2</v>
      </c>
      <c r="N64" s="125">
        <f t="shared" si="9"/>
        <v>1.4057661793117321E-2</v>
      </c>
      <c r="O64" s="125">
        <f t="shared" si="9"/>
        <v>0</v>
      </c>
      <c r="P64" s="125">
        <f t="shared" si="9"/>
        <v>2.1677907023400757E-2</v>
      </c>
      <c r="Q64" s="125">
        <f t="shared" si="9"/>
        <v>4.051685061336731E-3</v>
      </c>
      <c r="R64" s="125">
        <f t="shared" si="9"/>
        <v>0.995</v>
      </c>
      <c r="S64" s="125">
        <f t="shared" si="9"/>
        <v>0.995</v>
      </c>
      <c r="T64" s="125">
        <f t="shared" si="9"/>
        <v>0</v>
      </c>
      <c r="U64" s="126"/>
      <c r="V64" s="126"/>
      <c r="W64" s="126"/>
      <c r="X64" s="126"/>
      <c r="Y64" s="126"/>
      <c r="Z64" s="126"/>
      <c r="AA64" s="126"/>
      <c r="AB64" s="126"/>
    </row>
    <row r="65" spans="1:28">
      <c r="A65" s="25" t="s">
        <v>2499</v>
      </c>
      <c r="B65" s="25">
        <f t="shared" si="1"/>
        <v>5</v>
      </c>
      <c r="C65" s="123" t="str">
        <f t="shared" si="0"/>
        <v>Year-5</v>
      </c>
      <c r="D65" s="35">
        <v>46204</v>
      </c>
      <c r="E65" s="26">
        <f t="shared" si="8"/>
        <v>168.9</v>
      </c>
      <c r="F65" s="26">
        <f t="shared" si="8"/>
        <v>173.59972409999992</v>
      </c>
      <c r="G65" s="31">
        <f t="shared" si="5"/>
        <v>48548.650023238755</v>
      </c>
      <c r="H65" s="124">
        <f t="shared" si="9"/>
        <v>51.564857066184757</v>
      </c>
      <c r="I65" s="125">
        <f t="shared" si="9"/>
        <v>2.1854695806261204E-2</v>
      </c>
      <c r="J65" s="125">
        <f t="shared" si="9"/>
        <v>0.28000000000000003</v>
      </c>
      <c r="K65" s="125">
        <f t="shared" si="9"/>
        <v>0.1089308468990661</v>
      </c>
      <c r="L65" s="125">
        <f t="shared" si="9"/>
        <v>1.5867586262633245E-2</v>
      </c>
      <c r="M65" s="125">
        <f t="shared" si="9"/>
        <v>1.231974144019694E-2</v>
      </c>
      <c r="N65" s="125">
        <f t="shared" si="9"/>
        <v>1.3502102014775261E-2</v>
      </c>
      <c r="O65" s="125">
        <f t="shared" si="9"/>
        <v>0</v>
      </c>
      <c r="P65" s="125">
        <f t="shared" si="9"/>
        <v>2.127320988616644E-2</v>
      </c>
      <c r="Q65" s="125">
        <f t="shared" si="9"/>
        <v>1.5557262066246368E-3</v>
      </c>
      <c r="R65" s="125">
        <f t="shared" si="9"/>
        <v>0.995</v>
      </c>
      <c r="S65" s="125">
        <f t="shared" si="9"/>
        <v>0.995</v>
      </c>
      <c r="T65" s="125">
        <f t="shared" si="9"/>
        <v>0</v>
      </c>
      <c r="U65" s="126"/>
      <c r="V65" s="126"/>
      <c r="W65" s="126"/>
      <c r="X65" s="126"/>
      <c r="Y65" s="126"/>
      <c r="Z65" s="126"/>
      <c r="AA65" s="126"/>
      <c r="AB65" s="126"/>
    </row>
    <row r="66" spans="1:28">
      <c r="A66" s="25" t="s">
        <v>2499</v>
      </c>
      <c r="B66" s="25">
        <f t="shared" si="1"/>
        <v>5</v>
      </c>
      <c r="C66" s="123" t="str">
        <f t="shared" ref="C66:C129" si="10">CONCATENATE("Year-",B66)</f>
        <v>Year-5</v>
      </c>
      <c r="D66" s="35">
        <v>46235</v>
      </c>
      <c r="E66" s="26">
        <f t="shared" si="8"/>
        <v>174.2</v>
      </c>
      <c r="F66" s="26">
        <f t="shared" si="8"/>
        <v>172.6001566000001</v>
      </c>
      <c r="G66" s="31">
        <f t="shared" si="5"/>
        <v>49426.689009637506</v>
      </c>
      <c r="H66" s="124">
        <f t="shared" si="9"/>
        <v>50.336592710430871</v>
      </c>
      <c r="I66" s="125">
        <f t="shared" si="9"/>
        <v>2.0196191575302946E-2</v>
      </c>
      <c r="J66" s="125">
        <f t="shared" si="9"/>
        <v>0.27</v>
      </c>
      <c r="K66" s="125">
        <f t="shared" si="9"/>
        <v>0.10494453414747008</v>
      </c>
      <c r="L66" s="125">
        <f t="shared" si="9"/>
        <v>1.507508977611231E-2</v>
      </c>
      <c r="M66" s="125">
        <f t="shared" si="9"/>
        <v>1.2791562311125756E-2</v>
      </c>
      <c r="N66" s="125">
        <f t="shared" si="9"/>
        <v>1.4116403195935955E-2</v>
      </c>
      <c r="O66" s="125">
        <f t="shared" si="9"/>
        <v>0</v>
      </c>
      <c r="P66" s="125">
        <f t="shared" si="9"/>
        <v>2.157456294953386E-2</v>
      </c>
      <c r="Q66" s="125">
        <f t="shared" si="9"/>
        <v>6.2818876990405415E-3</v>
      </c>
      <c r="R66" s="125">
        <f t="shared" si="9"/>
        <v>0.995</v>
      </c>
      <c r="S66" s="125">
        <f t="shared" si="9"/>
        <v>0.995</v>
      </c>
      <c r="T66" s="125">
        <f t="shared" si="9"/>
        <v>0</v>
      </c>
      <c r="U66" s="126"/>
      <c r="V66" s="126"/>
      <c r="W66" s="126"/>
      <c r="X66" s="126"/>
      <c r="Y66" s="126"/>
      <c r="Z66" s="126"/>
      <c r="AA66" s="126"/>
      <c r="AB66" s="126"/>
    </row>
    <row r="67" spans="1:28">
      <c r="A67" s="25" t="s">
        <v>2499</v>
      </c>
      <c r="B67" s="25">
        <f t="shared" si="1"/>
        <v>5</v>
      </c>
      <c r="C67" s="123" t="str">
        <f t="shared" si="10"/>
        <v>Year-5</v>
      </c>
      <c r="D67" s="35">
        <v>46266</v>
      </c>
      <c r="E67" s="26">
        <f t="shared" si="8"/>
        <v>192.1</v>
      </c>
      <c r="F67" s="26">
        <f t="shared" si="8"/>
        <v>178.89930529999984</v>
      </c>
      <c r="G67" s="31">
        <f t="shared" si="5"/>
        <v>52050.940362245005</v>
      </c>
      <c r="H67" s="124">
        <f t="shared" si="9"/>
        <v>52.25059433997491</v>
      </c>
      <c r="I67" s="125">
        <f t="shared" si="9"/>
        <v>1.7196456487754141E-2</v>
      </c>
      <c r="J67" s="125">
        <f t="shared" si="9"/>
        <v>0.26</v>
      </c>
      <c r="K67" s="125">
        <f t="shared" si="9"/>
        <v>0.11387126505657014</v>
      </c>
      <c r="L67" s="125">
        <f t="shared" si="9"/>
        <v>1.3959618092500629E-2</v>
      </c>
      <c r="M67" s="125">
        <f t="shared" si="9"/>
        <v>1.4531255376132731E-2</v>
      </c>
      <c r="N67" s="125">
        <f t="shared" si="9"/>
        <v>1.4478833500810966E-2</v>
      </c>
      <c r="O67" s="125">
        <f t="shared" si="9"/>
        <v>0</v>
      </c>
      <c r="P67" s="125">
        <f t="shared" si="9"/>
        <v>2.2473527643153385E-2</v>
      </c>
      <c r="Q67" s="125">
        <f t="shared" si="9"/>
        <v>1.1388926338936924E-2</v>
      </c>
      <c r="R67" s="125">
        <f t="shared" si="9"/>
        <v>0.995</v>
      </c>
      <c r="S67" s="125">
        <f t="shared" si="9"/>
        <v>0.995</v>
      </c>
      <c r="T67" s="125">
        <f t="shared" si="9"/>
        <v>0</v>
      </c>
      <c r="U67" s="126"/>
      <c r="V67" s="126"/>
      <c r="W67" s="126"/>
      <c r="X67" s="126"/>
      <c r="Y67" s="126"/>
      <c r="Z67" s="126"/>
      <c r="AA67" s="126"/>
      <c r="AB67" s="126"/>
    </row>
    <row r="68" spans="1:28">
      <c r="A68" s="25" t="s">
        <v>2499</v>
      </c>
      <c r="B68" s="25">
        <f t="shared" si="1"/>
        <v>5</v>
      </c>
      <c r="C68" s="123" t="str">
        <f t="shared" si="10"/>
        <v>Year-5</v>
      </c>
      <c r="D68" s="35">
        <v>46296</v>
      </c>
      <c r="E68" s="26">
        <f t="shared" si="8"/>
        <v>202.3</v>
      </c>
      <c r="F68" s="26">
        <f t="shared" si="8"/>
        <v>174.60082279999986</v>
      </c>
      <c r="G68" s="31">
        <f t="shared" si="5"/>
        <v>56421.404081061257</v>
      </c>
      <c r="H68" s="124">
        <f t="shared" si="9"/>
        <v>49.723937837075084</v>
      </c>
      <c r="I68" s="125">
        <f t="shared" si="9"/>
        <v>1.5873015873015817E-2</v>
      </c>
      <c r="J68" s="125">
        <f t="shared" si="9"/>
        <v>0.27</v>
      </c>
      <c r="K68" s="125">
        <f t="shared" si="9"/>
        <v>0.10390722673430232</v>
      </c>
      <c r="L68" s="125">
        <f t="shared" si="9"/>
        <v>1.4040704754284353E-2</v>
      </c>
      <c r="M68" s="125">
        <f t="shared" si="9"/>
        <v>1.526389492868482E-2</v>
      </c>
      <c r="N68" s="125">
        <f t="shared" si="9"/>
        <v>1.5324069649683622E-2</v>
      </c>
      <c r="O68" s="125">
        <f t="shared" si="9"/>
        <v>0</v>
      </c>
      <c r="P68" s="125">
        <f t="shared" si="9"/>
        <v>2.3043103417804571E-2</v>
      </c>
      <c r="Q68" s="125">
        <f t="shared" si="9"/>
        <v>2.1184397869334348E-2</v>
      </c>
      <c r="R68" s="125">
        <f t="shared" si="9"/>
        <v>0.995</v>
      </c>
      <c r="S68" s="125">
        <f t="shared" si="9"/>
        <v>0.995</v>
      </c>
      <c r="T68" s="125">
        <f t="shared" si="9"/>
        <v>0</v>
      </c>
      <c r="U68" s="126"/>
      <c r="V68" s="126"/>
      <c r="W68" s="126"/>
      <c r="X68" s="126"/>
      <c r="Y68" s="126"/>
      <c r="Z68" s="126"/>
      <c r="AA68" s="126"/>
      <c r="AB68" s="126"/>
    </row>
    <row r="69" spans="1:28">
      <c r="A69" s="25" t="s">
        <v>2499</v>
      </c>
      <c r="B69" s="25">
        <f t="shared" si="1"/>
        <v>5</v>
      </c>
      <c r="C69" s="123" t="str">
        <f t="shared" si="10"/>
        <v>Year-5</v>
      </c>
      <c r="D69" s="35">
        <v>46327</v>
      </c>
      <c r="E69" s="26">
        <f t="shared" si="8"/>
        <v>162.9</v>
      </c>
      <c r="F69" s="26">
        <f t="shared" si="8"/>
        <v>133.69942049999997</v>
      </c>
      <c r="G69" s="31">
        <f t="shared" si="5"/>
        <v>46269.694901237512</v>
      </c>
      <c r="H69" s="124">
        <f t="shared" si="9"/>
        <v>42.187120547750681</v>
      </c>
      <c r="I69" s="125">
        <f t="shared" si="9"/>
        <v>1.5950920245398792E-2</v>
      </c>
      <c r="J69" s="125">
        <f t="shared" si="9"/>
        <v>0.27</v>
      </c>
      <c r="K69" s="125">
        <f t="shared" si="9"/>
        <v>6.9024239591701744E-2</v>
      </c>
      <c r="L69" s="125">
        <f t="shared" si="9"/>
        <v>1.4204952105287192E-2</v>
      </c>
      <c r="M69" s="125">
        <f t="shared" si="9"/>
        <v>1.3252885058363056E-2</v>
      </c>
      <c r="N69" s="125">
        <f t="shared" si="9"/>
        <v>1.3980442883231779E-2</v>
      </c>
      <c r="O69" s="125">
        <f t="shared" si="9"/>
        <v>0</v>
      </c>
      <c r="P69" s="125">
        <f t="shared" si="9"/>
        <v>2.30208488716231E-2</v>
      </c>
      <c r="Q69" s="125">
        <f t="shared" si="9"/>
        <v>8.3479094998109554E-3</v>
      </c>
      <c r="R69" s="125">
        <f t="shared" si="9"/>
        <v>0.995</v>
      </c>
      <c r="S69" s="125">
        <f t="shared" si="9"/>
        <v>0.995</v>
      </c>
      <c r="T69" s="125">
        <f t="shared" si="9"/>
        <v>0</v>
      </c>
      <c r="U69" s="126"/>
      <c r="V69" s="126"/>
      <c r="W69" s="126"/>
      <c r="X69" s="126"/>
      <c r="Y69" s="126"/>
      <c r="Z69" s="126"/>
      <c r="AA69" s="126"/>
      <c r="AB69" s="126"/>
    </row>
    <row r="70" spans="1:28">
      <c r="A70" s="25" t="s">
        <v>2499</v>
      </c>
      <c r="B70" s="25">
        <f t="shared" si="1"/>
        <v>5</v>
      </c>
      <c r="C70" s="123" t="str">
        <f t="shared" si="10"/>
        <v>Year-5</v>
      </c>
      <c r="D70" s="35">
        <v>46357</v>
      </c>
      <c r="E70" s="26">
        <f t="shared" si="8"/>
        <v>158.6</v>
      </c>
      <c r="F70" s="26">
        <f t="shared" si="8"/>
        <v>124.40004220000003</v>
      </c>
      <c r="G70" s="31">
        <f t="shared" si="5"/>
        <v>47631.148610485012</v>
      </c>
      <c r="H70" s="124">
        <f t="shared" si="9"/>
        <v>36.076939444156181</v>
      </c>
      <c r="I70" s="125">
        <f t="shared" si="9"/>
        <v>1.5802781289506962E-2</v>
      </c>
      <c r="J70" s="125">
        <f t="shared" si="9"/>
        <v>0.27</v>
      </c>
      <c r="K70" s="125">
        <f t="shared" si="9"/>
        <v>4.4787946264861052E-2</v>
      </c>
      <c r="L70" s="125">
        <f t="shared" si="9"/>
        <v>1.4140595613406415E-2</v>
      </c>
      <c r="M70" s="125">
        <f t="shared" si="9"/>
        <v>1.2367081056294736E-2</v>
      </c>
      <c r="N70" s="125">
        <f t="shared" si="9"/>
        <v>1.3960975699298588E-2</v>
      </c>
      <c r="O70" s="125">
        <f t="shared" si="9"/>
        <v>0</v>
      </c>
      <c r="P70" s="125">
        <f t="shared" si="9"/>
        <v>2.3055036005913448E-2</v>
      </c>
      <c r="Q70" s="125">
        <f t="shared" si="9"/>
        <v>3.6978876304825567E-3</v>
      </c>
      <c r="R70" s="125">
        <f t="shared" si="9"/>
        <v>0.995</v>
      </c>
      <c r="S70" s="125">
        <f t="shared" si="9"/>
        <v>0.995</v>
      </c>
      <c r="T70" s="125">
        <f t="shared" si="9"/>
        <v>0</v>
      </c>
      <c r="U70" s="126"/>
      <c r="V70" s="126"/>
      <c r="W70" s="126"/>
      <c r="X70" s="126"/>
      <c r="Y70" s="126"/>
      <c r="Z70" s="126"/>
      <c r="AA70" s="126"/>
      <c r="AB70" s="126"/>
    </row>
    <row r="71" spans="1:28">
      <c r="A71" s="25" t="s">
        <v>2499</v>
      </c>
      <c r="B71" s="25">
        <f t="shared" si="1"/>
        <v>5</v>
      </c>
      <c r="C71" s="123" t="str">
        <f t="shared" si="10"/>
        <v>Year-5</v>
      </c>
      <c r="D71" s="35">
        <v>46388</v>
      </c>
      <c r="E71" s="26">
        <f t="shared" si="8"/>
        <v>169.028549</v>
      </c>
      <c r="F71" s="26">
        <f t="shared" si="8"/>
        <v>133.89933939999995</v>
      </c>
      <c r="G71" s="31">
        <f t="shared" si="5"/>
        <v>50571.099373932506</v>
      </c>
      <c r="H71" s="124">
        <f t="shared" si="9"/>
        <v>34.970332119021293</v>
      </c>
      <c r="I71" s="125">
        <f t="shared" si="9"/>
        <v>1.7200474495848161E-2</v>
      </c>
      <c r="J71" s="125">
        <f t="shared" si="9"/>
        <v>0.27</v>
      </c>
      <c r="K71" s="125">
        <f t="shared" si="9"/>
        <v>4.0029940128316385E-2</v>
      </c>
      <c r="L71" s="125">
        <f t="shared" si="9"/>
        <v>1.4099625889623608E-2</v>
      </c>
      <c r="M71" s="125">
        <f t="shared" si="9"/>
        <v>1.267725762135744E-2</v>
      </c>
      <c r="N71" s="125">
        <f t="shared" si="9"/>
        <v>1.390175346828215E-2</v>
      </c>
      <c r="O71" s="125">
        <f t="shared" si="9"/>
        <v>0</v>
      </c>
      <c r="P71" s="125">
        <f t="shared" si="9"/>
        <v>2.298066658515029E-2</v>
      </c>
      <c r="Q71" s="125">
        <f t="shared" si="9"/>
        <v>1.0644897972798715E-2</v>
      </c>
      <c r="R71" s="125">
        <f t="shared" si="9"/>
        <v>0.995</v>
      </c>
      <c r="S71" s="125">
        <f t="shared" si="9"/>
        <v>0.995</v>
      </c>
      <c r="T71" s="125">
        <f t="shared" si="9"/>
        <v>0</v>
      </c>
      <c r="U71" s="126"/>
      <c r="V71" s="126"/>
      <c r="W71" s="126"/>
      <c r="X71" s="126"/>
      <c r="Y71" s="126"/>
      <c r="Z71" s="126"/>
      <c r="AA71" s="126"/>
      <c r="AB71" s="126"/>
    </row>
    <row r="72" spans="1:28">
      <c r="A72" s="25" t="s">
        <v>2499</v>
      </c>
      <c r="B72" s="25">
        <f t="shared" si="1"/>
        <v>5</v>
      </c>
      <c r="C72" s="123" t="str">
        <f t="shared" si="10"/>
        <v>Year-5</v>
      </c>
      <c r="D72" s="35">
        <v>46419</v>
      </c>
      <c r="E72" s="26">
        <f t="shared" si="8"/>
        <v>172.55912190000004</v>
      </c>
      <c r="F72" s="26">
        <f t="shared" si="8"/>
        <v>145.40077080000009</v>
      </c>
      <c r="G72" s="31">
        <f t="shared" si="5"/>
        <v>46654.453558198758</v>
      </c>
      <c r="H72" s="124">
        <f t="shared" si="9"/>
        <v>40.252096455972236</v>
      </c>
      <c r="I72" s="125">
        <f t="shared" si="9"/>
        <v>1.510749564206848E-2</v>
      </c>
      <c r="J72" s="125">
        <f t="shared" si="9"/>
        <v>0.27</v>
      </c>
      <c r="K72" s="125">
        <f t="shared" si="9"/>
        <v>6.2111013936519133E-2</v>
      </c>
      <c r="L72" s="125">
        <f t="shared" si="9"/>
        <v>1.4175439055030284E-2</v>
      </c>
      <c r="M72" s="125">
        <f t="shared" si="9"/>
        <v>1.4384371816049681E-2</v>
      </c>
      <c r="N72" s="125">
        <f t="shared" si="9"/>
        <v>1.5915736744616871E-2</v>
      </c>
      <c r="O72" s="125">
        <f t="shared" si="9"/>
        <v>0</v>
      </c>
      <c r="P72" s="125">
        <f t="shared" si="9"/>
        <v>2.3268144471779773E-2</v>
      </c>
      <c r="Q72" s="125">
        <f t="shared" si="9"/>
        <v>2.5052142565085967E-2</v>
      </c>
      <c r="R72" s="125">
        <f t="shared" si="9"/>
        <v>0.995</v>
      </c>
      <c r="S72" s="125">
        <f t="shared" si="9"/>
        <v>0.995</v>
      </c>
      <c r="T72" s="125">
        <f t="shared" si="9"/>
        <v>0</v>
      </c>
      <c r="U72" s="126"/>
      <c r="V72" s="126"/>
      <c r="W72" s="126"/>
      <c r="X72" s="126"/>
      <c r="Y72" s="126"/>
      <c r="Z72" s="126"/>
      <c r="AA72" s="126"/>
      <c r="AB72" s="126"/>
    </row>
    <row r="73" spans="1:28">
      <c r="A73" s="25" t="s">
        <v>2499</v>
      </c>
      <c r="B73" s="25">
        <f t="shared" si="1"/>
        <v>5</v>
      </c>
      <c r="C73" s="123" t="str">
        <f t="shared" si="10"/>
        <v>Year-5</v>
      </c>
      <c r="D73" s="35">
        <v>46447</v>
      </c>
      <c r="E73" s="26">
        <f t="shared" si="8"/>
        <v>215.74576700000009</v>
      </c>
      <c r="F73" s="26">
        <f t="shared" si="8"/>
        <v>195.59891570000002</v>
      </c>
      <c r="G73" s="31">
        <f t="shared" si="5"/>
        <v>59696.785468526257</v>
      </c>
      <c r="H73" s="124">
        <f t="shared" si="9"/>
        <v>47.179622377374095</v>
      </c>
      <c r="I73" s="125">
        <f t="shared" si="9"/>
        <v>1.5306122448979553E-2</v>
      </c>
      <c r="J73" s="125">
        <f t="shared" si="9"/>
        <v>0.28000000000000003</v>
      </c>
      <c r="K73" s="125">
        <f t="shared" si="9"/>
        <v>9.4419706369976972E-2</v>
      </c>
      <c r="L73" s="125">
        <f t="shared" si="9"/>
        <v>1.4644787078611174E-2</v>
      </c>
      <c r="M73" s="125">
        <f t="shared" si="9"/>
        <v>1.6212630268737406E-2</v>
      </c>
      <c r="N73" s="125">
        <f t="shared" si="9"/>
        <v>2.0718676035686345E-2</v>
      </c>
      <c r="O73" s="125">
        <f t="shared" si="9"/>
        <v>0</v>
      </c>
      <c r="P73" s="125">
        <f t="shared" si="9"/>
        <v>2.3247057021314733E-2</v>
      </c>
      <c r="Q73" s="125">
        <f t="shared" si="9"/>
        <v>3.9222124133286969E-2</v>
      </c>
      <c r="R73" s="125">
        <f t="shared" si="9"/>
        <v>0.995</v>
      </c>
      <c r="S73" s="125">
        <f t="shared" si="9"/>
        <v>0.995</v>
      </c>
      <c r="T73" s="125">
        <f t="shared" si="9"/>
        <v>0</v>
      </c>
      <c r="U73" s="126"/>
      <c r="V73" s="126"/>
      <c r="W73" s="126"/>
      <c r="X73" s="126"/>
      <c r="Y73" s="126"/>
      <c r="Z73" s="126"/>
      <c r="AA73" s="126"/>
      <c r="AB73" s="126"/>
    </row>
    <row r="74" spans="1:28">
      <c r="A74" s="25" t="s">
        <v>2500</v>
      </c>
      <c r="B74" s="25">
        <f t="shared" si="1"/>
        <v>6</v>
      </c>
      <c r="C74" s="123" t="str">
        <f t="shared" si="10"/>
        <v>Year-6</v>
      </c>
      <c r="D74" s="35">
        <v>46478</v>
      </c>
      <c r="E74" s="26">
        <f t="shared" si="8"/>
        <v>215.9</v>
      </c>
      <c r="F74" s="26">
        <f t="shared" si="8"/>
        <v>208.99969899999999</v>
      </c>
      <c r="G74" s="31">
        <f t="shared" si="5"/>
        <v>57581.76219840697</v>
      </c>
      <c r="H74" s="124">
        <f t="shared" si="9"/>
        <v>52.296499350965128</v>
      </c>
      <c r="I74" s="125">
        <f t="shared" si="9"/>
        <v>1.6658954187875996E-2</v>
      </c>
      <c r="J74" s="125">
        <f t="shared" si="9"/>
        <v>0.28999999999999998</v>
      </c>
      <c r="K74" s="125">
        <f t="shared" si="9"/>
        <v>0.11719199751057031</v>
      </c>
      <c r="L74" s="125">
        <f t="shared" si="9"/>
        <v>1.5231272154623582E-2</v>
      </c>
      <c r="M74" s="125">
        <f t="shared" si="9"/>
        <v>1.6110689006976781E-2</v>
      </c>
      <c r="N74" s="125">
        <f t="shared" si="9"/>
        <v>1.8633277773980331E-2</v>
      </c>
      <c r="O74" s="125">
        <f t="shared" si="9"/>
        <v>0</v>
      </c>
      <c r="P74" s="125">
        <f t="shared" si="9"/>
        <v>2.2802418781094937E-2</v>
      </c>
      <c r="Q74" s="125">
        <f t="shared" si="9"/>
        <v>2.7995485693316467E-2</v>
      </c>
      <c r="R74" s="125">
        <f t="shared" si="9"/>
        <v>0.995</v>
      </c>
      <c r="S74" s="125">
        <f t="shared" si="9"/>
        <v>0.995</v>
      </c>
      <c r="T74" s="125">
        <f t="shared" si="9"/>
        <v>0</v>
      </c>
      <c r="U74" s="126"/>
      <c r="V74" s="126"/>
      <c r="W74" s="126"/>
      <c r="X74" s="126"/>
      <c r="Y74" s="126"/>
      <c r="Z74" s="126"/>
      <c r="AA74" s="126"/>
      <c r="AB74" s="126"/>
    </row>
    <row r="75" spans="1:28">
      <c r="A75" s="25" t="s">
        <v>2500</v>
      </c>
      <c r="B75" s="25">
        <f t="shared" si="1"/>
        <v>6</v>
      </c>
      <c r="C75" s="123" t="str">
        <f t="shared" si="10"/>
        <v>Year-6</v>
      </c>
      <c r="D75" s="35">
        <v>46508</v>
      </c>
      <c r="E75" s="26">
        <f t="shared" si="8"/>
        <v>217.9</v>
      </c>
      <c r="F75" s="26">
        <f t="shared" si="8"/>
        <v>221.90023470000006</v>
      </c>
      <c r="G75" s="31">
        <f t="shared" si="5"/>
        <v>60675.44377652368</v>
      </c>
      <c r="H75" s="124">
        <f t="shared" si="9"/>
        <v>55.437733860726389</v>
      </c>
      <c r="I75" s="125">
        <f t="shared" si="9"/>
        <v>1.7865322950068707E-2</v>
      </c>
      <c r="J75" s="125">
        <f t="shared" si="9"/>
        <v>0.3</v>
      </c>
      <c r="K75" s="125">
        <f t="shared" si="9"/>
        <v>0.1306817577748349</v>
      </c>
      <c r="L75" s="125">
        <f t="shared" si="9"/>
        <v>1.609339136491415E-2</v>
      </c>
      <c r="M75" s="125">
        <f t="shared" si="9"/>
        <v>1.525163145425878E-2</v>
      </c>
      <c r="N75" s="125">
        <f t="shared" si="9"/>
        <v>1.5763583972179196E-2</v>
      </c>
      <c r="O75" s="125">
        <f t="shared" si="9"/>
        <v>0</v>
      </c>
      <c r="P75" s="125">
        <f t="shared" si="9"/>
        <v>2.2281870794181511E-2</v>
      </c>
      <c r="Q75" s="125">
        <f t="shared" si="9"/>
        <v>1.1198342091846737E-2</v>
      </c>
      <c r="R75" s="125">
        <f t="shared" si="9"/>
        <v>0.995</v>
      </c>
      <c r="S75" s="125">
        <f t="shared" si="9"/>
        <v>0.995</v>
      </c>
      <c r="T75" s="125">
        <f t="shared" si="9"/>
        <v>0</v>
      </c>
      <c r="U75" s="126"/>
      <c r="V75" s="126"/>
      <c r="W75" s="126"/>
      <c r="X75" s="126"/>
      <c r="Y75" s="126"/>
      <c r="Z75" s="126"/>
      <c r="AA75" s="126"/>
      <c r="AB75" s="126"/>
    </row>
    <row r="76" spans="1:28">
      <c r="A76" s="25" t="s">
        <v>2500</v>
      </c>
      <c r="B76" s="25">
        <f t="shared" si="1"/>
        <v>6</v>
      </c>
      <c r="C76" s="123" t="str">
        <f t="shared" si="10"/>
        <v>Year-6</v>
      </c>
      <c r="D76" s="35">
        <v>46539</v>
      </c>
      <c r="E76" s="26">
        <f t="shared" si="8"/>
        <v>192.8</v>
      </c>
      <c r="F76" s="26">
        <f t="shared" si="8"/>
        <v>200.20089519999999</v>
      </c>
      <c r="G76" s="31">
        <f t="shared" si="5"/>
        <v>52739.904998370366</v>
      </c>
      <c r="H76" s="124">
        <f t="shared" si="9"/>
        <v>54.658309168315547</v>
      </c>
      <c r="I76" s="125">
        <f t="shared" si="9"/>
        <v>1.914123124676681E-2</v>
      </c>
      <c r="J76" s="125">
        <f t="shared" si="9"/>
        <v>0.3</v>
      </c>
      <c r="K76" s="125">
        <f t="shared" si="9"/>
        <v>0.12650723469382591</v>
      </c>
      <c r="L76" s="125">
        <f t="shared" si="9"/>
        <v>1.6398522844759341E-2</v>
      </c>
      <c r="M76" s="125">
        <f t="shared" si="9"/>
        <v>1.3926271600695752E-2</v>
      </c>
      <c r="N76" s="125">
        <f t="shared" si="9"/>
        <v>1.4057661793117321E-2</v>
      </c>
      <c r="O76" s="125">
        <f t="shared" si="9"/>
        <v>0</v>
      </c>
      <c r="P76" s="125">
        <f t="shared" si="9"/>
        <v>2.1677907023400757E-2</v>
      </c>
      <c r="Q76" s="125">
        <f t="shared" si="9"/>
        <v>4.051685061336731E-3</v>
      </c>
      <c r="R76" s="125">
        <f t="shared" si="9"/>
        <v>0.995</v>
      </c>
      <c r="S76" s="125">
        <f t="shared" si="9"/>
        <v>0.995</v>
      </c>
      <c r="T76" s="125">
        <f t="shared" si="9"/>
        <v>0</v>
      </c>
      <c r="U76" s="126"/>
      <c r="V76" s="126"/>
      <c r="W76" s="126"/>
      <c r="X76" s="126"/>
      <c r="Y76" s="126"/>
      <c r="Z76" s="126"/>
      <c r="AA76" s="126"/>
      <c r="AB76" s="126"/>
    </row>
    <row r="77" spans="1:28">
      <c r="A77" s="25" t="s">
        <v>2500</v>
      </c>
      <c r="B77" s="25">
        <f t="shared" si="1"/>
        <v>6</v>
      </c>
      <c r="C77" s="123" t="str">
        <f t="shared" si="10"/>
        <v>Year-6</v>
      </c>
      <c r="D77" s="35">
        <v>46569</v>
      </c>
      <c r="E77" s="26">
        <f t="shared" si="8"/>
        <v>168.9</v>
      </c>
      <c r="F77" s="26">
        <f t="shared" si="8"/>
        <v>173.59972409999992</v>
      </c>
      <c r="G77" s="31">
        <f t="shared" si="5"/>
        <v>48330.181098134184</v>
      </c>
      <c r="H77" s="124">
        <f t="shared" si="9"/>
        <v>51.564857066184757</v>
      </c>
      <c r="I77" s="125">
        <f t="shared" si="9"/>
        <v>2.1854695806261204E-2</v>
      </c>
      <c r="J77" s="125">
        <f t="shared" si="9"/>
        <v>0.28000000000000003</v>
      </c>
      <c r="K77" s="125">
        <f t="shared" si="9"/>
        <v>0.1089308468990661</v>
      </c>
      <c r="L77" s="125">
        <f t="shared" si="9"/>
        <v>1.5867586262633245E-2</v>
      </c>
      <c r="M77" s="125">
        <f t="shared" si="9"/>
        <v>1.231974144019694E-2</v>
      </c>
      <c r="N77" s="125">
        <f t="shared" si="9"/>
        <v>1.3502102014775261E-2</v>
      </c>
      <c r="O77" s="125">
        <f t="shared" si="9"/>
        <v>0</v>
      </c>
      <c r="P77" s="125">
        <f t="shared" si="9"/>
        <v>2.127320988616644E-2</v>
      </c>
      <c r="Q77" s="125">
        <f t="shared" si="9"/>
        <v>1.5557262066246368E-3</v>
      </c>
      <c r="R77" s="125">
        <f t="shared" si="9"/>
        <v>0.995</v>
      </c>
      <c r="S77" s="125">
        <f t="shared" si="9"/>
        <v>0.995</v>
      </c>
      <c r="T77" s="125">
        <f t="shared" si="9"/>
        <v>0</v>
      </c>
      <c r="U77" s="126"/>
      <c r="V77" s="126"/>
      <c r="W77" s="126"/>
      <c r="X77" s="126"/>
      <c r="Y77" s="126"/>
      <c r="Z77" s="126"/>
      <c r="AA77" s="126"/>
      <c r="AB77" s="126"/>
    </row>
    <row r="78" spans="1:28">
      <c r="A78" s="25" t="s">
        <v>2500</v>
      </c>
      <c r="B78" s="25">
        <f t="shared" ref="B78:B141" si="11">B66+1</f>
        <v>6</v>
      </c>
      <c r="C78" s="123" t="str">
        <f t="shared" si="10"/>
        <v>Year-6</v>
      </c>
      <c r="D78" s="35">
        <v>46600</v>
      </c>
      <c r="E78" s="26">
        <f t="shared" ref="E78:F93" si="12">E66</f>
        <v>174.2</v>
      </c>
      <c r="F78" s="26">
        <f t="shared" si="12"/>
        <v>172.6001566000001</v>
      </c>
      <c r="G78" s="31">
        <f t="shared" si="5"/>
        <v>49204.268909094142</v>
      </c>
      <c r="H78" s="124">
        <f t="shared" ref="H78:T93" si="13">H66</f>
        <v>50.336592710430871</v>
      </c>
      <c r="I78" s="125">
        <f t="shared" si="13"/>
        <v>2.0196191575302946E-2</v>
      </c>
      <c r="J78" s="125">
        <f t="shared" si="13"/>
        <v>0.27</v>
      </c>
      <c r="K78" s="125">
        <f t="shared" si="13"/>
        <v>0.10494453414747008</v>
      </c>
      <c r="L78" s="125">
        <f t="shared" si="13"/>
        <v>1.507508977611231E-2</v>
      </c>
      <c r="M78" s="125">
        <f t="shared" si="13"/>
        <v>1.2791562311125756E-2</v>
      </c>
      <c r="N78" s="125">
        <f t="shared" si="13"/>
        <v>1.4116403195935955E-2</v>
      </c>
      <c r="O78" s="125">
        <f t="shared" si="13"/>
        <v>0</v>
      </c>
      <c r="P78" s="125">
        <f t="shared" si="13"/>
        <v>2.157456294953386E-2</v>
      </c>
      <c r="Q78" s="125">
        <f t="shared" si="13"/>
        <v>6.2818876990405415E-3</v>
      </c>
      <c r="R78" s="125">
        <f t="shared" si="13"/>
        <v>0.995</v>
      </c>
      <c r="S78" s="125">
        <f t="shared" si="13"/>
        <v>0.995</v>
      </c>
      <c r="T78" s="125">
        <f t="shared" si="13"/>
        <v>0</v>
      </c>
      <c r="U78" s="126"/>
      <c r="V78" s="126"/>
      <c r="W78" s="126"/>
      <c r="X78" s="126"/>
      <c r="Y78" s="126"/>
      <c r="Z78" s="126"/>
      <c r="AA78" s="126"/>
      <c r="AB78" s="126"/>
    </row>
    <row r="79" spans="1:28">
      <c r="A79" s="25" t="s">
        <v>2500</v>
      </c>
      <c r="B79" s="25">
        <f t="shared" si="11"/>
        <v>6</v>
      </c>
      <c r="C79" s="123" t="str">
        <f t="shared" si="10"/>
        <v>Year-6</v>
      </c>
      <c r="D79" s="35">
        <v>46631</v>
      </c>
      <c r="E79" s="26">
        <f t="shared" si="12"/>
        <v>192.1</v>
      </c>
      <c r="F79" s="26">
        <f t="shared" si="12"/>
        <v>178.89930529999984</v>
      </c>
      <c r="G79" s="31">
        <f t="shared" si="5"/>
        <v>51816.711130614902</v>
      </c>
      <c r="H79" s="124">
        <f t="shared" si="13"/>
        <v>52.25059433997491</v>
      </c>
      <c r="I79" s="125">
        <f t="shared" si="13"/>
        <v>1.7196456487754141E-2</v>
      </c>
      <c r="J79" s="125">
        <f t="shared" si="13"/>
        <v>0.26</v>
      </c>
      <c r="K79" s="125">
        <f t="shared" si="13"/>
        <v>0.11387126505657014</v>
      </c>
      <c r="L79" s="125">
        <f t="shared" si="13"/>
        <v>1.3959618092500629E-2</v>
      </c>
      <c r="M79" s="125">
        <f t="shared" si="13"/>
        <v>1.4531255376132731E-2</v>
      </c>
      <c r="N79" s="125">
        <f t="shared" si="13"/>
        <v>1.4478833500810966E-2</v>
      </c>
      <c r="O79" s="125">
        <f t="shared" si="13"/>
        <v>0</v>
      </c>
      <c r="P79" s="125">
        <f t="shared" si="13"/>
        <v>2.2473527643153385E-2</v>
      </c>
      <c r="Q79" s="125">
        <f t="shared" si="13"/>
        <v>1.1388926338936924E-2</v>
      </c>
      <c r="R79" s="125">
        <f t="shared" si="13"/>
        <v>0.995</v>
      </c>
      <c r="S79" s="125">
        <f t="shared" si="13"/>
        <v>0.995</v>
      </c>
      <c r="T79" s="125">
        <f t="shared" si="13"/>
        <v>0</v>
      </c>
      <c r="U79" s="126"/>
      <c r="V79" s="126"/>
      <c r="W79" s="126"/>
      <c r="X79" s="126"/>
      <c r="Y79" s="126"/>
      <c r="Z79" s="126"/>
      <c r="AA79" s="126"/>
      <c r="AB79" s="126"/>
    </row>
    <row r="80" spans="1:28">
      <c r="A80" t="s">
        <v>2500</v>
      </c>
      <c r="B80" s="25">
        <f t="shared" si="11"/>
        <v>6</v>
      </c>
      <c r="C80" s="123" t="str">
        <f t="shared" si="10"/>
        <v>Year-6</v>
      </c>
      <c r="D80" s="35">
        <v>46661</v>
      </c>
      <c r="E80" s="26">
        <f t="shared" si="12"/>
        <v>202.3</v>
      </c>
      <c r="F80" s="26">
        <f t="shared" si="12"/>
        <v>174.60082279999986</v>
      </c>
      <c r="G80" s="31">
        <f t="shared" si="5"/>
        <v>56167.507762696485</v>
      </c>
      <c r="H80" s="124">
        <f t="shared" si="13"/>
        <v>49.723937837075084</v>
      </c>
      <c r="I80" s="125">
        <f t="shared" si="13"/>
        <v>1.5873015873015817E-2</v>
      </c>
      <c r="J80" s="125">
        <f t="shared" si="13"/>
        <v>0.27</v>
      </c>
      <c r="K80" s="125">
        <f t="shared" si="13"/>
        <v>0.10390722673430232</v>
      </c>
      <c r="L80" s="125">
        <f t="shared" si="13"/>
        <v>1.4040704754284353E-2</v>
      </c>
      <c r="M80" s="125">
        <f t="shared" si="13"/>
        <v>1.526389492868482E-2</v>
      </c>
      <c r="N80" s="125">
        <f t="shared" si="13"/>
        <v>1.5324069649683622E-2</v>
      </c>
      <c r="O80" s="125">
        <f t="shared" si="13"/>
        <v>0</v>
      </c>
      <c r="P80" s="125">
        <f t="shared" si="13"/>
        <v>2.3043103417804571E-2</v>
      </c>
      <c r="Q80" s="125">
        <f t="shared" si="13"/>
        <v>2.1184397869334348E-2</v>
      </c>
      <c r="R80" s="125">
        <f t="shared" si="13"/>
        <v>0.995</v>
      </c>
      <c r="S80" s="125">
        <f t="shared" si="13"/>
        <v>0.995</v>
      </c>
      <c r="T80" s="125">
        <f t="shared" si="13"/>
        <v>0</v>
      </c>
      <c r="U80" s="126"/>
      <c r="V80" s="126"/>
      <c r="W80" s="126"/>
      <c r="X80" s="126"/>
      <c r="Y80" s="126"/>
      <c r="Z80" s="126"/>
      <c r="AA80" s="126"/>
      <c r="AB80" s="126"/>
    </row>
    <row r="81" spans="1:28">
      <c r="A81" t="s">
        <v>2500</v>
      </c>
      <c r="B81" s="25">
        <f t="shared" si="11"/>
        <v>6</v>
      </c>
      <c r="C81" s="123" t="str">
        <f t="shared" si="10"/>
        <v>Year-6</v>
      </c>
      <c r="D81" s="35">
        <v>46692</v>
      </c>
      <c r="E81" s="26">
        <f t="shared" si="12"/>
        <v>162.9</v>
      </c>
      <c r="F81" s="26">
        <f t="shared" si="12"/>
        <v>133.69942049999997</v>
      </c>
      <c r="G81" s="31">
        <f t="shared" si="5"/>
        <v>46061.481274181948</v>
      </c>
      <c r="H81" s="124">
        <f t="shared" si="13"/>
        <v>42.187120547750681</v>
      </c>
      <c r="I81" s="125">
        <f t="shared" si="13"/>
        <v>1.5950920245398792E-2</v>
      </c>
      <c r="J81" s="125">
        <f t="shared" si="13"/>
        <v>0.27</v>
      </c>
      <c r="K81" s="125">
        <f t="shared" si="13"/>
        <v>6.9024239591701744E-2</v>
      </c>
      <c r="L81" s="125">
        <f t="shared" si="13"/>
        <v>1.4204952105287192E-2</v>
      </c>
      <c r="M81" s="125">
        <f t="shared" si="13"/>
        <v>1.3252885058363056E-2</v>
      </c>
      <c r="N81" s="125">
        <f t="shared" si="13"/>
        <v>1.3980442883231779E-2</v>
      </c>
      <c r="O81" s="125">
        <f t="shared" si="13"/>
        <v>0</v>
      </c>
      <c r="P81" s="125">
        <f t="shared" si="13"/>
        <v>2.30208488716231E-2</v>
      </c>
      <c r="Q81" s="125">
        <f t="shared" si="13"/>
        <v>8.3479094998109554E-3</v>
      </c>
      <c r="R81" s="125">
        <f t="shared" si="13"/>
        <v>0.995</v>
      </c>
      <c r="S81" s="125">
        <f t="shared" si="13"/>
        <v>0.995</v>
      </c>
      <c r="T81" s="125">
        <f t="shared" si="13"/>
        <v>0</v>
      </c>
      <c r="U81" s="126"/>
      <c r="V81" s="126"/>
      <c r="W81" s="126"/>
      <c r="X81" s="126"/>
      <c r="Y81" s="126"/>
      <c r="Z81" s="126"/>
      <c r="AA81" s="126"/>
      <c r="AB81" s="126"/>
    </row>
    <row r="82" spans="1:28">
      <c r="A82" t="s">
        <v>2500</v>
      </c>
      <c r="B82" s="25">
        <f t="shared" si="11"/>
        <v>6</v>
      </c>
      <c r="C82" s="123" t="str">
        <f t="shared" si="10"/>
        <v>Year-6</v>
      </c>
      <c r="D82" s="35">
        <v>46722</v>
      </c>
      <c r="E82" s="26">
        <f t="shared" si="12"/>
        <v>158.6</v>
      </c>
      <c r="F82" s="26">
        <f t="shared" si="12"/>
        <v>124.40004220000003</v>
      </c>
      <c r="G82" s="31">
        <f t="shared" si="5"/>
        <v>47416.808441737834</v>
      </c>
      <c r="H82" s="124">
        <f t="shared" si="13"/>
        <v>36.076939444156181</v>
      </c>
      <c r="I82" s="125">
        <f t="shared" si="13"/>
        <v>1.5802781289506962E-2</v>
      </c>
      <c r="J82" s="125">
        <f t="shared" si="13"/>
        <v>0.27</v>
      </c>
      <c r="K82" s="125">
        <f t="shared" si="13"/>
        <v>4.4787946264861052E-2</v>
      </c>
      <c r="L82" s="125">
        <f t="shared" si="13"/>
        <v>1.4140595613406415E-2</v>
      </c>
      <c r="M82" s="125">
        <f t="shared" si="13"/>
        <v>1.2367081056294736E-2</v>
      </c>
      <c r="N82" s="125">
        <f t="shared" si="13"/>
        <v>1.3960975699298588E-2</v>
      </c>
      <c r="O82" s="125">
        <f t="shared" si="13"/>
        <v>0</v>
      </c>
      <c r="P82" s="125">
        <f t="shared" si="13"/>
        <v>2.3055036005913448E-2</v>
      </c>
      <c r="Q82" s="125">
        <f t="shared" si="13"/>
        <v>3.6978876304825567E-3</v>
      </c>
      <c r="R82" s="125">
        <f t="shared" si="13"/>
        <v>0.995</v>
      </c>
      <c r="S82" s="125">
        <f t="shared" si="13"/>
        <v>0.995</v>
      </c>
      <c r="T82" s="125">
        <f t="shared" si="13"/>
        <v>0</v>
      </c>
      <c r="U82" s="126"/>
      <c r="V82" s="126"/>
      <c r="W82" s="126"/>
      <c r="X82" s="126"/>
      <c r="Y82" s="126"/>
      <c r="Z82" s="126"/>
      <c r="AA82" s="126"/>
      <c r="AB82" s="126"/>
    </row>
    <row r="83" spans="1:28">
      <c r="A83" t="s">
        <v>2500</v>
      </c>
      <c r="B83" s="25">
        <f t="shared" si="11"/>
        <v>6</v>
      </c>
      <c r="C83" s="123" t="str">
        <f t="shared" si="10"/>
        <v>Year-6</v>
      </c>
      <c r="D83" s="35">
        <v>46753</v>
      </c>
      <c r="E83" s="26">
        <f t="shared" si="12"/>
        <v>169.028549</v>
      </c>
      <c r="F83" s="26">
        <f t="shared" si="12"/>
        <v>133.89933939999995</v>
      </c>
      <c r="G83" s="31">
        <f t="shared" si="5"/>
        <v>50343.52942674981</v>
      </c>
      <c r="H83" s="124">
        <f t="shared" si="13"/>
        <v>34.970332119021293</v>
      </c>
      <c r="I83" s="125">
        <f t="shared" si="13"/>
        <v>1.7200474495848161E-2</v>
      </c>
      <c r="J83" s="125">
        <f t="shared" si="13"/>
        <v>0.27</v>
      </c>
      <c r="K83" s="125">
        <f t="shared" si="13"/>
        <v>4.0029940128316385E-2</v>
      </c>
      <c r="L83" s="125">
        <f t="shared" si="13"/>
        <v>1.4099625889623608E-2</v>
      </c>
      <c r="M83" s="125">
        <f t="shared" si="13"/>
        <v>1.267725762135744E-2</v>
      </c>
      <c r="N83" s="125">
        <f t="shared" si="13"/>
        <v>1.390175346828215E-2</v>
      </c>
      <c r="O83" s="125">
        <f t="shared" si="13"/>
        <v>0</v>
      </c>
      <c r="P83" s="125">
        <f t="shared" si="13"/>
        <v>2.298066658515029E-2</v>
      </c>
      <c r="Q83" s="125">
        <f t="shared" si="13"/>
        <v>1.0644897972798715E-2</v>
      </c>
      <c r="R83" s="125">
        <f t="shared" si="13"/>
        <v>0.995</v>
      </c>
      <c r="S83" s="125">
        <f t="shared" si="13"/>
        <v>0.995</v>
      </c>
      <c r="T83" s="125">
        <f t="shared" si="13"/>
        <v>0</v>
      </c>
      <c r="U83" s="126"/>
      <c r="V83" s="126"/>
      <c r="W83" s="126"/>
      <c r="X83" s="126"/>
      <c r="Y83" s="126"/>
      <c r="Z83" s="126"/>
      <c r="AA83" s="126"/>
      <c r="AB83" s="126"/>
    </row>
    <row r="84" spans="1:28">
      <c r="A84" t="s">
        <v>2500</v>
      </c>
      <c r="B84" s="25">
        <f t="shared" si="11"/>
        <v>6</v>
      </c>
      <c r="C84" s="123" t="str">
        <f t="shared" si="10"/>
        <v>Year-6</v>
      </c>
      <c r="D84" s="35">
        <v>46784</v>
      </c>
      <c r="E84" s="26">
        <f t="shared" si="12"/>
        <v>172.55912190000004</v>
      </c>
      <c r="F84" s="26">
        <f t="shared" si="12"/>
        <v>145.40077080000009</v>
      </c>
      <c r="G84" s="31">
        <f t="shared" si="5"/>
        <v>46444.508517186863</v>
      </c>
      <c r="H84" s="124">
        <f t="shared" si="13"/>
        <v>40.252096455972236</v>
      </c>
      <c r="I84" s="125">
        <f t="shared" si="13"/>
        <v>1.510749564206848E-2</v>
      </c>
      <c r="J84" s="125">
        <f t="shared" si="13"/>
        <v>0.27</v>
      </c>
      <c r="K84" s="125">
        <f t="shared" si="13"/>
        <v>6.2111013936519133E-2</v>
      </c>
      <c r="L84" s="125">
        <f t="shared" si="13"/>
        <v>1.4175439055030284E-2</v>
      </c>
      <c r="M84" s="125">
        <f t="shared" si="13"/>
        <v>1.4384371816049681E-2</v>
      </c>
      <c r="N84" s="125">
        <f t="shared" si="13"/>
        <v>1.5915736744616871E-2</v>
      </c>
      <c r="O84" s="125">
        <f t="shared" si="13"/>
        <v>0</v>
      </c>
      <c r="P84" s="125">
        <f t="shared" si="13"/>
        <v>2.3268144471779773E-2</v>
      </c>
      <c r="Q84" s="125">
        <f t="shared" si="13"/>
        <v>2.5052142565085967E-2</v>
      </c>
      <c r="R84" s="125">
        <f t="shared" si="13"/>
        <v>0.995</v>
      </c>
      <c r="S84" s="125">
        <f t="shared" si="13"/>
        <v>0.995</v>
      </c>
      <c r="T84" s="125">
        <f t="shared" si="13"/>
        <v>0</v>
      </c>
      <c r="U84" s="126"/>
      <c r="V84" s="126"/>
      <c r="W84" s="126"/>
      <c r="X84" s="126"/>
      <c r="Y84" s="126"/>
      <c r="Z84" s="126"/>
      <c r="AA84" s="126"/>
      <c r="AB84" s="126"/>
    </row>
    <row r="85" spans="1:28">
      <c r="A85" t="s">
        <v>2500</v>
      </c>
      <c r="B85" s="25">
        <f t="shared" si="11"/>
        <v>6</v>
      </c>
      <c r="C85" s="123" t="str">
        <f t="shared" si="10"/>
        <v>Year-6</v>
      </c>
      <c r="D85" s="35">
        <v>46813</v>
      </c>
      <c r="E85" s="26">
        <f t="shared" si="12"/>
        <v>215.74576700000009</v>
      </c>
      <c r="F85" s="26">
        <f t="shared" si="12"/>
        <v>195.59891570000002</v>
      </c>
      <c r="G85" s="31">
        <f t="shared" si="5"/>
        <v>59428.149933917892</v>
      </c>
      <c r="H85" s="124">
        <f t="shared" si="13"/>
        <v>47.179622377374095</v>
      </c>
      <c r="I85" s="125">
        <f t="shared" si="13"/>
        <v>1.5306122448979553E-2</v>
      </c>
      <c r="J85" s="125">
        <f t="shared" si="13"/>
        <v>0.28000000000000003</v>
      </c>
      <c r="K85" s="125">
        <f t="shared" si="13"/>
        <v>9.4419706369976972E-2</v>
      </c>
      <c r="L85" s="125">
        <f t="shared" si="13"/>
        <v>1.4644787078611174E-2</v>
      </c>
      <c r="M85" s="125">
        <f t="shared" si="13"/>
        <v>1.6212630268737406E-2</v>
      </c>
      <c r="N85" s="125">
        <f t="shared" si="13"/>
        <v>2.0718676035686345E-2</v>
      </c>
      <c r="O85" s="125">
        <f t="shared" si="13"/>
        <v>0</v>
      </c>
      <c r="P85" s="125">
        <f t="shared" si="13"/>
        <v>2.3247057021314733E-2</v>
      </c>
      <c r="Q85" s="125">
        <f t="shared" si="13"/>
        <v>3.9222124133286969E-2</v>
      </c>
      <c r="R85" s="125">
        <f t="shared" si="13"/>
        <v>0.995</v>
      </c>
      <c r="S85" s="125">
        <f t="shared" si="13"/>
        <v>0.995</v>
      </c>
      <c r="T85" s="125">
        <f t="shared" si="13"/>
        <v>0</v>
      </c>
      <c r="U85" s="126"/>
      <c r="V85" s="126"/>
      <c r="W85" s="126"/>
      <c r="X85" s="126"/>
      <c r="Y85" s="126"/>
      <c r="Z85" s="126"/>
      <c r="AA85" s="126"/>
      <c r="AB85" s="126"/>
    </row>
    <row r="86" spans="1:28">
      <c r="A86" t="s">
        <v>2501</v>
      </c>
      <c r="B86" s="25">
        <f t="shared" si="11"/>
        <v>7</v>
      </c>
      <c r="C86" s="123" t="str">
        <f t="shared" si="10"/>
        <v>Year-7</v>
      </c>
      <c r="D86" s="35">
        <v>46844</v>
      </c>
      <c r="E86" s="26">
        <f t="shared" si="12"/>
        <v>215.9</v>
      </c>
      <c r="F86" s="26">
        <f t="shared" si="12"/>
        <v>208.99969899999999</v>
      </c>
      <c r="G86" s="31">
        <f t="shared" si="5"/>
        <v>57322.644268514145</v>
      </c>
      <c r="H86" s="124">
        <f t="shared" si="13"/>
        <v>52.296499350965128</v>
      </c>
      <c r="I86" s="125">
        <f t="shared" si="13"/>
        <v>1.6658954187875996E-2</v>
      </c>
      <c r="J86" s="125">
        <f t="shared" si="13"/>
        <v>0.28999999999999998</v>
      </c>
      <c r="K86" s="125">
        <f t="shared" si="13"/>
        <v>0.11719199751057031</v>
      </c>
      <c r="L86" s="125">
        <f t="shared" si="13"/>
        <v>1.5231272154623582E-2</v>
      </c>
      <c r="M86" s="125">
        <f t="shared" si="13"/>
        <v>1.6110689006976781E-2</v>
      </c>
      <c r="N86" s="125">
        <f t="shared" si="13"/>
        <v>1.8633277773980331E-2</v>
      </c>
      <c r="O86" s="125">
        <f t="shared" si="13"/>
        <v>0</v>
      </c>
      <c r="P86" s="125">
        <f t="shared" si="13"/>
        <v>2.2802418781094937E-2</v>
      </c>
      <c r="Q86" s="125">
        <f t="shared" si="13"/>
        <v>2.7995485693316467E-2</v>
      </c>
      <c r="R86" s="125">
        <f t="shared" si="13"/>
        <v>0.995</v>
      </c>
      <c r="S86" s="125">
        <f t="shared" si="13"/>
        <v>0.995</v>
      </c>
      <c r="T86" s="125">
        <f t="shared" si="13"/>
        <v>0</v>
      </c>
      <c r="U86" s="126"/>
      <c r="V86" s="126"/>
      <c r="W86" s="126"/>
      <c r="X86" s="126"/>
      <c r="Y86" s="126"/>
      <c r="Z86" s="126"/>
      <c r="AA86" s="126"/>
      <c r="AB86" s="126"/>
    </row>
    <row r="87" spans="1:28">
      <c r="A87" t="s">
        <v>2501</v>
      </c>
      <c r="B87" s="25">
        <f t="shared" si="11"/>
        <v>7</v>
      </c>
      <c r="C87" s="123" t="str">
        <f t="shared" si="10"/>
        <v>Year-7</v>
      </c>
      <c r="D87" s="35">
        <v>46874</v>
      </c>
      <c r="E87" s="26">
        <f t="shared" si="12"/>
        <v>217.9</v>
      </c>
      <c r="F87" s="26">
        <f t="shared" si="12"/>
        <v>221.90023470000006</v>
      </c>
      <c r="G87" s="31">
        <f t="shared" si="5"/>
        <v>60402.404279529328</v>
      </c>
      <c r="H87" s="124">
        <f t="shared" si="13"/>
        <v>55.437733860726389</v>
      </c>
      <c r="I87" s="125">
        <f t="shared" si="13"/>
        <v>1.7865322950068707E-2</v>
      </c>
      <c r="J87" s="125">
        <f t="shared" si="13"/>
        <v>0.3</v>
      </c>
      <c r="K87" s="125">
        <f t="shared" si="13"/>
        <v>0.1306817577748349</v>
      </c>
      <c r="L87" s="125">
        <f t="shared" si="13"/>
        <v>1.609339136491415E-2</v>
      </c>
      <c r="M87" s="125">
        <f t="shared" si="13"/>
        <v>1.525163145425878E-2</v>
      </c>
      <c r="N87" s="125">
        <f t="shared" si="13"/>
        <v>1.5763583972179196E-2</v>
      </c>
      <c r="O87" s="125">
        <f t="shared" si="13"/>
        <v>0</v>
      </c>
      <c r="P87" s="125">
        <f t="shared" si="13"/>
        <v>2.2281870794181511E-2</v>
      </c>
      <c r="Q87" s="125">
        <f t="shared" si="13"/>
        <v>1.1198342091846737E-2</v>
      </c>
      <c r="R87" s="125">
        <f t="shared" si="13"/>
        <v>0.995</v>
      </c>
      <c r="S87" s="125">
        <f t="shared" si="13"/>
        <v>0.995</v>
      </c>
      <c r="T87" s="125">
        <f t="shared" si="13"/>
        <v>0</v>
      </c>
      <c r="U87" s="126"/>
      <c r="V87" s="126"/>
      <c r="W87" s="126"/>
      <c r="X87" s="126"/>
      <c r="Y87" s="126"/>
      <c r="Z87" s="126"/>
      <c r="AA87" s="126"/>
      <c r="AB87" s="126"/>
    </row>
    <row r="88" spans="1:28">
      <c r="A88" t="s">
        <v>2501</v>
      </c>
      <c r="B88" s="25">
        <f t="shared" si="11"/>
        <v>7</v>
      </c>
      <c r="C88" s="123" t="str">
        <f t="shared" si="10"/>
        <v>Year-7</v>
      </c>
      <c r="D88" s="35">
        <v>46905</v>
      </c>
      <c r="E88" s="26">
        <f t="shared" si="12"/>
        <v>192.8</v>
      </c>
      <c r="F88" s="26">
        <f t="shared" si="12"/>
        <v>200.20089519999999</v>
      </c>
      <c r="G88" s="31">
        <f t="shared" si="5"/>
        <v>52502.575425877701</v>
      </c>
      <c r="H88" s="124">
        <f t="shared" si="13"/>
        <v>54.658309168315547</v>
      </c>
      <c r="I88" s="125">
        <f t="shared" si="13"/>
        <v>1.914123124676681E-2</v>
      </c>
      <c r="J88" s="125">
        <f t="shared" si="13"/>
        <v>0.3</v>
      </c>
      <c r="K88" s="125">
        <f t="shared" si="13"/>
        <v>0.12650723469382591</v>
      </c>
      <c r="L88" s="125">
        <f t="shared" si="13"/>
        <v>1.6398522844759341E-2</v>
      </c>
      <c r="M88" s="125">
        <f t="shared" si="13"/>
        <v>1.3926271600695752E-2</v>
      </c>
      <c r="N88" s="125">
        <f t="shared" si="13"/>
        <v>1.4057661793117321E-2</v>
      </c>
      <c r="O88" s="125">
        <f t="shared" si="13"/>
        <v>0</v>
      </c>
      <c r="P88" s="125">
        <f t="shared" si="13"/>
        <v>2.1677907023400757E-2</v>
      </c>
      <c r="Q88" s="125">
        <f t="shared" si="13"/>
        <v>4.051685061336731E-3</v>
      </c>
      <c r="R88" s="125">
        <f t="shared" si="13"/>
        <v>0.995</v>
      </c>
      <c r="S88" s="125">
        <f t="shared" si="13"/>
        <v>0.995</v>
      </c>
      <c r="T88" s="125">
        <f t="shared" si="13"/>
        <v>0</v>
      </c>
      <c r="U88" s="126"/>
      <c r="V88" s="126"/>
      <c r="W88" s="126"/>
      <c r="X88" s="126"/>
      <c r="Y88" s="126"/>
      <c r="Z88" s="126"/>
      <c r="AA88" s="126"/>
      <c r="AB88" s="126"/>
    </row>
    <row r="89" spans="1:28">
      <c r="A89" t="s">
        <v>2501</v>
      </c>
      <c r="B89" s="25">
        <f t="shared" si="11"/>
        <v>7</v>
      </c>
      <c r="C89" s="123" t="str">
        <f t="shared" si="10"/>
        <v>Year-7</v>
      </c>
      <c r="D89" s="35">
        <v>46935</v>
      </c>
      <c r="E89" s="26">
        <f t="shared" si="12"/>
        <v>168.9</v>
      </c>
      <c r="F89" s="26">
        <f t="shared" si="12"/>
        <v>173.59972409999992</v>
      </c>
      <c r="G89" s="31">
        <f t="shared" si="5"/>
        <v>48112.695283192581</v>
      </c>
      <c r="H89" s="124">
        <f t="shared" si="13"/>
        <v>51.564857066184757</v>
      </c>
      <c r="I89" s="125">
        <f t="shared" si="13"/>
        <v>2.1854695806261204E-2</v>
      </c>
      <c r="J89" s="125">
        <f t="shared" si="13"/>
        <v>0.28000000000000003</v>
      </c>
      <c r="K89" s="125">
        <f t="shared" si="13"/>
        <v>0.1089308468990661</v>
      </c>
      <c r="L89" s="125">
        <f t="shared" si="13"/>
        <v>1.5867586262633245E-2</v>
      </c>
      <c r="M89" s="125">
        <f t="shared" si="13"/>
        <v>1.231974144019694E-2</v>
      </c>
      <c r="N89" s="125">
        <f t="shared" si="13"/>
        <v>1.3502102014775261E-2</v>
      </c>
      <c r="O89" s="125">
        <f t="shared" si="13"/>
        <v>0</v>
      </c>
      <c r="P89" s="125">
        <f t="shared" si="13"/>
        <v>2.127320988616644E-2</v>
      </c>
      <c r="Q89" s="125">
        <f t="shared" si="13"/>
        <v>1.5557262066246368E-3</v>
      </c>
      <c r="R89" s="125">
        <f t="shared" si="13"/>
        <v>0.995</v>
      </c>
      <c r="S89" s="125">
        <f t="shared" si="13"/>
        <v>0.995</v>
      </c>
      <c r="T89" s="125">
        <f t="shared" si="13"/>
        <v>0</v>
      </c>
      <c r="U89" s="126"/>
      <c r="V89" s="126"/>
      <c r="W89" s="126"/>
      <c r="X89" s="126"/>
      <c r="Y89" s="126"/>
      <c r="Z89" s="126"/>
      <c r="AA89" s="126"/>
      <c r="AB89" s="126"/>
    </row>
    <row r="90" spans="1:28">
      <c r="A90" t="s">
        <v>2501</v>
      </c>
      <c r="B90" s="25">
        <f t="shared" si="11"/>
        <v>7</v>
      </c>
      <c r="C90" s="123" t="str">
        <f t="shared" si="10"/>
        <v>Year-7</v>
      </c>
      <c r="D90" s="35">
        <v>46966</v>
      </c>
      <c r="E90" s="26">
        <f t="shared" si="12"/>
        <v>174.2</v>
      </c>
      <c r="F90" s="26">
        <f t="shared" si="12"/>
        <v>172.6001566000001</v>
      </c>
      <c r="G90" s="31">
        <f t="shared" si="5"/>
        <v>48982.849699003222</v>
      </c>
      <c r="H90" s="124">
        <f t="shared" si="13"/>
        <v>50.336592710430871</v>
      </c>
      <c r="I90" s="125">
        <f t="shared" si="13"/>
        <v>2.0196191575302946E-2</v>
      </c>
      <c r="J90" s="125">
        <f t="shared" si="13"/>
        <v>0.27</v>
      </c>
      <c r="K90" s="125">
        <f t="shared" si="13"/>
        <v>0.10494453414747008</v>
      </c>
      <c r="L90" s="125">
        <f t="shared" si="13"/>
        <v>1.507508977611231E-2</v>
      </c>
      <c r="M90" s="125">
        <f t="shared" si="13"/>
        <v>1.2791562311125756E-2</v>
      </c>
      <c r="N90" s="125">
        <f t="shared" si="13"/>
        <v>1.4116403195935955E-2</v>
      </c>
      <c r="O90" s="125">
        <f t="shared" si="13"/>
        <v>0</v>
      </c>
      <c r="P90" s="125">
        <f t="shared" si="13"/>
        <v>2.157456294953386E-2</v>
      </c>
      <c r="Q90" s="125">
        <f t="shared" si="13"/>
        <v>6.2818876990405415E-3</v>
      </c>
      <c r="R90" s="125">
        <f t="shared" si="13"/>
        <v>0.995</v>
      </c>
      <c r="S90" s="125">
        <f t="shared" si="13"/>
        <v>0.995</v>
      </c>
      <c r="T90" s="125">
        <f t="shared" si="13"/>
        <v>0</v>
      </c>
      <c r="U90" s="126"/>
      <c r="V90" s="126"/>
      <c r="W90" s="126"/>
      <c r="X90" s="126"/>
      <c r="Y90" s="126"/>
      <c r="Z90" s="126"/>
      <c r="AA90" s="126"/>
      <c r="AB90" s="126"/>
    </row>
    <row r="91" spans="1:28">
      <c r="A91" t="s">
        <v>2501</v>
      </c>
      <c r="B91" s="25">
        <f t="shared" si="11"/>
        <v>7</v>
      </c>
      <c r="C91" s="123" t="str">
        <f t="shared" si="10"/>
        <v>Year-7</v>
      </c>
      <c r="D91" s="35">
        <v>46997</v>
      </c>
      <c r="E91" s="26">
        <f t="shared" si="12"/>
        <v>192.1</v>
      </c>
      <c r="F91" s="26">
        <f t="shared" si="12"/>
        <v>178.89930529999984</v>
      </c>
      <c r="G91" s="31">
        <f t="shared" si="5"/>
        <v>51583.535930527134</v>
      </c>
      <c r="H91" s="124">
        <f t="shared" si="13"/>
        <v>52.25059433997491</v>
      </c>
      <c r="I91" s="125">
        <f t="shared" si="13"/>
        <v>1.7196456487754141E-2</v>
      </c>
      <c r="J91" s="125">
        <f t="shared" si="13"/>
        <v>0.26</v>
      </c>
      <c r="K91" s="125">
        <f t="shared" si="13"/>
        <v>0.11387126505657014</v>
      </c>
      <c r="L91" s="125">
        <f t="shared" si="13"/>
        <v>1.3959618092500629E-2</v>
      </c>
      <c r="M91" s="125">
        <f t="shared" si="13"/>
        <v>1.4531255376132731E-2</v>
      </c>
      <c r="N91" s="125">
        <f t="shared" si="13"/>
        <v>1.4478833500810966E-2</v>
      </c>
      <c r="O91" s="125">
        <f t="shared" si="13"/>
        <v>0</v>
      </c>
      <c r="P91" s="125">
        <f t="shared" si="13"/>
        <v>2.2473527643153385E-2</v>
      </c>
      <c r="Q91" s="125">
        <f t="shared" si="13"/>
        <v>1.1388926338936924E-2</v>
      </c>
      <c r="R91" s="125">
        <f t="shared" si="13"/>
        <v>0.995</v>
      </c>
      <c r="S91" s="125">
        <f t="shared" si="13"/>
        <v>0.995</v>
      </c>
      <c r="T91" s="125">
        <f t="shared" si="13"/>
        <v>0</v>
      </c>
      <c r="U91" s="126"/>
      <c r="V91" s="126"/>
      <c r="W91" s="126"/>
      <c r="X91" s="126"/>
      <c r="Y91" s="126"/>
      <c r="Z91" s="126"/>
      <c r="AA91" s="126"/>
      <c r="AB91" s="126"/>
    </row>
    <row r="92" spans="1:28">
      <c r="A92" t="s">
        <v>2501</v>
      </c>
      <c r="B92" s="25">
        <f t="shared" si="11"/>
        <v>7</v>
      </c>
      <c r="C92" s="123" t="str">
        <f t="shared" si="10"/>
        <v>Year-7</v>
      </c>
      <c r="D92" s="35">
        <v>47027</v>
      </c>
      <c r="E92" s="26">
        <f t="shared" si="12"/>
        <v>202.3</v>
      </c>
      <c r="F92" s="26">
        <f t="shared" si="12"/>
        <v>174.60082279999986</v>
      </c>
      <c r="G92" s="31">
        <f t="shared" si="5"/>
        <v>55914.753977764354</v>
      </c>
      <c r="H92" s="124">
        <f t="shared" si="13"/>
        <v>49.723937837075084</v>
      </c>
      <c r="I92" s="125">
        <f t="shared" si="13"/>
        <v>1.5873015873015817E-2</v>
      </c>
      <c r="J92" s="125">
        <f t="shared" si="13"/>
        <v>0.27</v>
      </c>
      <c r="K92" s="125">
        <f t="shared" si="13"/>
        <v>0.10390722673430232</v>
      </c>
      <c r="L92" s="125">
        <f t="shared" si="13"/>
        <v>1.4040704754284353E-2</v>
      </c>
      <c r="M92" s="125">
        <f t="shared" si="13"/>
        <v>1.526389492868482E-2</v>
      </c>
      <c r="N92" s="125">
        <f t="shared" si="13"/>
        <v>1.5324069649683622E-2</v>
      </c>
      <c r="O92" s="125">
        <f t="shared" si="13"/>
        <v>0</v>
      </c>
      <c r="P92" s="125">
        <f t="shared" si="13"/>
        <v>2.3043103417804571E-2</v>
      </c>
      <c r="Q92" s="125">
        <f t="shared" si="13"/>
        <v>2.1184397869334348E-2</v>
      </c>
      <c r="R92" s="125">
        <f t="shared" si="13"/>
        <v>0.995</v>
      </c>
      <c r="S92" s="125">
        <f t="shared" si="13"/>
        <v>0.995</v>
      </c>
      <c r="T92" s="125">
        <f t="shared" si="13"/>
        <v>0</v>
      </c>
      <c r="U92" s="126"/>
      <c r="V92" s="126"/>
      <c r="W92" s="126"/>
      <c r="X92" s="126"/>
      <c r="Y92" s="126"/>
      <c r="Z92" s="126"/>
      <c r="AA92" s="126"/>
      <c r="AB92" s="126"/>
    </row>
    <row r="93" spans="1:28">
      <c r="A93" t="s">
        <v>2501</v>
      </c>
      <c r="B93" s="25">
        <f t="shared" si="11"/>
        <v>7</v>
      </c>
      <c r="C93" s="123" t="str">
        <f t="shared" si="10"/>
        <v>Year-7</v>
      </c>
      <c r="D93" s="35">
        <v>47058</v>
      </c>
      <c r="E93" s="26">
        <f t="shared" si="12"/>
        <v>162.9</v>
      </c>
      <c r="F93" s="26">
        <f t="shared" si="12"/>
        <v>133.69942049999997</v>
      </c>
      <c r="G93" s="31">
        <f t="shared" si="5"/>
        <v>45854.204608448134</v>
      </c>
      <c r="H93" s="124">
        <f t="shared" si="13"/>
        <v>42.187120547750681</v>
      </c>
      <c r="I93" s="125">
        <f t="shared" si="13"/>
        <v>1.5950920245398792E-2</v>
      </c>
      <c r="J93" s="125">
        <f t="shared" si="13"/>
        <v>0.27</v>
      </c>
      <c r="K93" s="125">
        <f t="shared" si="13"/>
        <v>6.9024239591701744E-2</v>
      </c>
      <c r="L93" s="125">
        <f t="shared" si="13"/>
        <v>1.4204952105287192E-2</v>
      </c>
      <c r="M93" s="125">
        <f t="shared" si="13"/>
        <v>1.3252885058363056E-2</v>
      </c>
      <c r="N93" s="125">
        <f t="shared" si="13"/>
        <v>1.3980442883231779E-2</v>
      </c>
      <c r="O93" s="125">
        <f t="shared" si="13"/>
        <v>0</v>
      </c>
      <c r="P93" s="125">
        <f t="shared" si="13"/>
        <v>2.30208488716231E-2</v>
      </c>
      <c r="Q93" s="125">
        <f t="shared" si="13"/>
        <v>8.3479094998109554E-3</v>
      </c>
      <c r="R93" s="125">
        <f t="shared" si="13"/>
        <v>0.995</v>
      </c>
      <c r="S93" s="125">
        <f t="shared" si="13"/>
        <v>0.995</v>
      </c>
      <c r="T93" s="125">
        <f t="shared" si="13"/>
        <v>0</v>
      </c>
      <c r="U93" s="126"/>
      <c r="V93" s="126"/>
      <c r="W93" s="126"/>
      <c r="X93" s="126"/>
      <c r="Y93" s="126"/>
      <c r="Z93" s="126"/>
      <c r="AA93" s="126"/>
      <c r="AB93" s="126"/>
    </row>
    <row r="94" spans="1:28">
      <c r="A94" t="s">
        <v>2501</v>
      </c>
      <c r="B94" s="25">
        <f t="shared" si="11"/>
        <v>7</v>
      </c>
      <c r="C94" s="123" t="str">
        <f t="shared" si="10"/>
        <v>Year-7</v>
      </c>
      <c r="D94" s="35">
        <v>47088</v>
      </c>
      <c r="E94" s="26">
        <f t="shared" ref="E94:F109" si="14">E82</f>
        <v>158.6</v>
      </c>
      <c r="F94" s="26">
        <f t="shared" si="14"/>
        <v>124.40004220000003</v>
      </c>
      <c r="G94" s="31">
        <f t="shared" si="5"/>
        <v>47203.432803750016</v>
      </c>
      <c r="H94" s="124">
        <f t="shared" ref="H94:T109" si="15">H82</f>
        <v>36.076939444156181</v>
      </c>
      <c r="I94" s="125">
        <f t="shared" si="15"/>
        <v>1.5802781289506962E-2</v>
      </c>
      <c r="J94" s="125">
        <f t="shared" si="15"/>
        <v>0.27</v>
      </c>
      <c r="K94" s="125">
        <f t="shared" si="15"/>
        <v>4.4787946264861052E-2</v>
      </c>
      <c r="L94" s="125">
        <f t="shared" si="15"/>
        <v>1.4140595613406415E-2</v>
      </c>
      <c r="M94" s="125">
        <f t="shared" si="15"/>
        <v>1.2367081056294736E-2</v>
      </c>
      <c r="N94" s="125">
        <f t="shared" si="15"/>
        <v>1.3960975699298588E-2</v>
      </c>
      <c r="O94" s="125">
        <f t="shared" si="15"/>
        <v>0</v>
      </c>
      <c r="P94" s="125">
        <f t="shared" si="15"/>
        <v>2.3055036005913448E-2</v>
      </c>
      <c r="Q94" s="125">
        <f t="shared" si="15"/>
        <v>3.6978876304825567E-3</v>
      </c>
      <c r="R94" s="125">
        <f t="shared" si="15"/>
        <v>0.995</v>
      </c>
      <c r="S94" s="125">
        <f t="shared" si="15"/>
        <v>0.995</v>
      </c>
      <c r="T94" s="125">
        <f t="shared" si="15"/>
        <v>0</v>
      </c>
      <c r="U94" s="126"/>
      <c r="V94" s="126"/>
      <c r="W94" s="126"/>
      <c r="X94" s="126"/>
      <c r="Y94" s="126"/>
      <c r="Z94" s="126"/>
      <c r="AA94" s="126"/>
      <c r="AB94" s="126"/>
    </row>
    <row r="95" spans="1:28">
      <c r="A95" t="s">
        <v>2501</v>
      </c>
      <c r="B95" s="25">
        <f t="shared" si="11"/>
        <v>7</v>
      </c>
      <c r="C95" s="123" t="str">
        <f t="shared" si="10"/>
        <v>Year-7</v>
      </c>
      <c r="D95" s="35">
        <v>47119</v>
      </c>
      <c r="E95" s="26">
        <f t="shared" si="14"/>
        <v>169.028549</v>
      </c>
      <c r="F95" s="26">
        <f t="shared" si="14"/>
        <v>133.89933939999995</v>
      </c>
      <c r="G95" s="31">
        <f t="shared" si="5"/>
        <v>50116.983544329436</v>
      </c>
      <c r="H95" s="124">
        <f t="shared" si="15"/>
        <v>34.970332119021293</v>
      </c>
      <c r="I95" s="125">
        <f t="shared" si="15"/>
        <v>1.7200474495848161E-2</v>
      </c>
      <c r="J95" s="125">
        <f t="shared" si="15"/>
        <v>0.27</v>
      </c>
      <c r="K95" s="125">
        <f t="shared" si="15"/>
        <v>4.0029940128316385E-2</v>
      </c>
      <c r="L95" s="125">
        <f t="shared" si="15"/>
        <v>1.4099625889623608E-2</v>
      </c>
      <c r="M95" s="125">
        <f t="shared" si="15"/>
        <v>1.267725762135744E-2</v>
      </c>
      <c r="N95" s="125">
        <f t="shared" si="15"/>
        <v>1.390175346828215E-2</v>
      </c>
      <c r="O95" s="125">
        <f t="shared" si="15"/>
        <v>0</v>
      </c>
      <c r="P95" s="125">
        <f t="shared" si="15"/>
        <v>2.298066658515029E-2</v>
      </c>
      <c r="Q95" s="125">
        <f t="shared" si="15"/>
        <v>1.0644897972798715E-2</v>
      </c>
      <c r="R95" s="125">
        <f t="shared" si="15"/>
        <v>0.995</v>
      </c>
      <c r="S95" s="125">
        <f t="shared" si="15"/>
        <v>0.995</v>
      </c>
      <c r="T95" s="125">
        <f t="shared" si="15"/>
        <v>0</v>
      </c>
      <c r="U95" s="126"/>
      <c r="V95" s="126"/>
      <c r="W95" s="126"/>
      <c r="X95" s="126"/>
      <c r="Y95" s="126"/>
      <c r="Z95" s="126"/>
      <c r="AA95" s="126"/>
      <c r="AB95" s="126"/>
    </row>
    <row r="96" spans="1:28">
      <c r="A96" t="s">
        <v>2501</v>
      </c>
      <c r="B96" s="25">
        <f t="shared" si="11"/>
        <v>7</v>
      </c>
      <c r="C96" s="123" t="str">
        <f t="shared" si="10"/>
        <v>Year-7</v>
      </c>
      <c r="D96" s="35">
        <v>47150</v>
      </c>
      <c r="E96" s="26">
        <f t="shared" si="14"/>
        <v>172.55912190000004</v>
      </c>
      <c r="F96" s="26">
        <f t="shared" si="14"/>
        <v>145.40077080000009</v>
      </c>
      <c r="G96" s="31">
        <f t="shared" si="5"/>
        <v>46235.508228859522</v>
      </c>
      <c r="H96" s="124">
        <f t="shared" si="15"/>
        <v>40.252096455972236</v>
      </c>
      <c r="I96" s="125">
        <f t="shared" si="15"/>
        <v>1.510749564206848E-2</v>
      </c>
      <c r="J96" s="125">
        <f t="shared" si="15"/>
        <v>0.27</v>
      </c>
      <c r="K96" s="125">
        <f t="shared" si="15"/>
        <v>6.2111013936519133E-2</v>
      </c>
      <c r="L96" s="125">
        <f t="shared" si="15"/>
        <v>1.4175439055030284E-2</v>
      </c>
      <c r="M96" s="125">
        <f t="shared" si="15"/>
        <v>1.4384371816049681E-2</v>
      </c>
      <c r="N96" s="125">
        <f t="shared" si="15"/>
        <v>1.5915736744616871E-2</v>
      </c>
      <c r="O96" s="125">
        <f t="shared" si="15"/>
        <v>0</v>
      </c>
      <c r="P96" s="125">
        <f t="shared" si="15"/>
        <v>2.3268144471779773E-2</v>
      </c>
      <c r="Q96" s="125">
        <f t="shared" si="15"/>
        <v>2.5052142565085967E-2</v>
      </c>
      <c r="R96" s="125">
        <f t="shared" si="15"/>
        <v>0.995</v>
      </c>
      <c r="S96" s="125">
        <f t="shared" si="15"/>
        <v>0.995</v>
      </c>
      <c r="T96" s="125">
        <f t="shared" si="15"/>
        <v>0</v>
      </c>
      <c r="U96" s="126"/>
      <c r="V96" s="126"/>
      <c r="W96" s="126"/>
      <c r="X96" s="126"/>
      <c r="Y96" s="126"/>
      <c r="Z96" s="126"/>
      <c r="AA96" s="126"/>
      <c r="AB96" s="126"/>
    </row>
    <row r="97" spans="1:28">
      <c r="A97" t="s">
        <v>2501</v>
      </c>
      <c r="B97" s="25">
        <f t="shared" si="11"/>
        <v>7</v>
      </c>
      <c r="C97" s="123" t="str">
        <f t="shared" si="10"/>
        <v>Year-7</v>
      </c>
      <c r="D97" s="35">
        <v>47178</v>
      </c>
      <c r="E97" s="26">
        <f t="shared" si="14"/>
        <v>215.74576700000009</v>
      </c>
      <c r="F97" s="26">
        <f t="shared" si="14"/>
        <v>195.59891570000002</v>
      </c>
      <c r="G97" s="31">
        <f t="shared" si="5"/>
        <v>59160.723259215265</v>
      </c>
      <c r="H97" s="124">
        <f t="shared" si="15"/>
        <v>47.179622377374095</v>
      </c>
      <c r="I97" s="125">
        <f t="shared" si="15"/>
        <v>1.5306122448979553E-2</v>
      </c>
      <c r="J97" s="125">
        <f t="shared" si="15"/>
        <v>0.28000000000000003</v>
      </c>
      <c r="K97" s="125">
        <f t="shared" si="15"/>
        <v>9.4419706369976972E-2</v>
      </c>
      <c r="L97" s="125">
        <f t="shared" si="15"/>
        <v>1.4644787078611174E-2</v>
      </c>
      <c r="M97" s="125">
        <f t="shared" si="15"/>
        <v>1.6212630268737406E-2</v>
      </c>
      <c r="N97" s="125">
        <f t="shared" si="15"/>
        <v>2.0718676035686345E-2</v>
      </c>
      <c r="O97" s="125">
        <f t="shared" si="15"/>
        <v>0</v>
      </c>
      <c r="P97" s="125">
        <f t="shared" si="15"/>
        <v>2.3247057021314733E-2</v>
      </c>
      <c r="Q97" s="125">
        <f t="shared" si="15"/>
        <v>3.9222124133286969E-2</v>
      </c>
      <c r="R97" s="125">
        <f t="shared" si="15"/>
        <v>0.995</v>
      </c>
      <c r="S97" s="125">
        <f t="shared" si="15"/>
        <v>0.995</v>
      </c>
      <c r="T97" s="125">
        <f t="shared" si="15"/>
        <v>0</v>
      </c>
      <c r="U97" s="126"/>
      <c r="V97" s="126"/>
      <c r="W97" s="126"/>
      <c r="X97" s="126"/>
      <c r="Y97" s="126"/>
      <c r="Z97" s="126"/>
      <c r="AA97" s="126"/>
      <c r="AB97" s="126"/>
    </row>
    <row r="98" spans="1:28">
      <c r="A98" t="s">
        <v>2502</v>
      </c>
      <c r="B98" s="25">
        <f t="shared" si="11"/>
        <v>8</v>
      </c>
      <c r="C98" s="123" t="str">
        <f t="shared" si="10"/>
        <v>Year-8</v>
      </c>
      <c r="D98" s="35">
        <v>47209</v>
      </c>
      <c r="E98" s="26">
        <f t="shared" si="14"/>
        <v>215.9</v>
      </c>
      <c r="F98" s="26">
        <f t="shared" si="14"/>
        <v>208.99969899999999</v>
      </c>
      <c r="G98" s="31">
        <f t="shared" si="5"/>
        <v>57064.692369305834</v>
      </c>
      <c r="H98" s="124">
        <f t="shared" si="15"/>
        <v>52.296499350965128</v>
      </c>
      <c r="I98" s="125">
        <f t="shared" si="15"/>
        <v>1.6658954187875996E-2</v>
      </c>
      <c r="J98" s="125">
        <f t="shared" si="15"/>
        <v>0.28999999999999998</v>
      </c>
      <c r="K98" s="125">
        <f t="shared" si="15"/>
        <v>0.11719199751057031</v>
      </c>
      <c r="L98" s="125">
        <f t="shared" si="15"/>
        <v>1.5231272154623582E-2</v>
      </c>
      <c r="M98" s="125">
        <f t="shared" si="15"/>
        <v>1.6110689006976781E-2</v>
      </c>
      <c r="N98" s="125">
        <f t="shared" si="15"/>
        <v>1.8633277773980331E-2</v>
      </c>
      <c r="O98" s="125">
        <f t="shared" si="15"/>
        <v>0</v>
      </c>
      <c r="P98" s="125">
        <f t="shared" si="15"/>
        <v>2.2802418781094937E-2</v>
      </c>
      <c r="Q98" s="125">
        <f t="shared" si="15"/>
        <v>2.7995485693316467E-2</v>
      </c>
      <c r="R98" s="125">
        <f t="shared" si="15"/>
        <v>0.995</v>
      </c>
      <c r="S98" s="125">
        <f t="shared" si="15"/>
        <v>0.995</v>
      </c>
      <c r="T98" s="125">
        <f t="shared" si="15"/>
        <v>0</v>
      </c>
      <c r="U98" s="126"/>
      <c r="V98" s="126"/>
      <c r="W98" s="126"/>
      <c r="X98" s="126"/>
      <c r="Y98" s="126"/>
      <c r="Z98" s="126"/>
      <c r="AA98" s="126"/>
      <c r="AB98" s="126"/>
    </row>
    <row r="99" spans="1:28">
      <c r="A99" t="s">
        <v>2502</v>
      </c>
      <c r="B99" s="25">
        <f t="shared" si="11"/>
        <v>8</v>
      </c>
      <c r="C99" s="123" t="str">
        <f t="shared" si="10"/>
        <v>Year-8</v>
      </c>
      <c r="D99" s="35">
        <v>47239</v>
      </c>
      <c r="E99" s="26">
        <f t="shared" si="14"/>
        <v>217.9</v>
      </c>
      <c r="F99" s="26">
        <f t="shared" si="14"/>
        <v>221.90023470000006</v>
      </c>
      <c r="G99" s="31">
        <f t="shared" si="5"/>
        <v>60130.593460271448</v>
      </c>
      <c r="H99" s="124">
        <f t="shared" si="15"/>
        <v>55.437733860726389</v>
      </c>
      <c r="I99" s="125">
        <f t="shared" si="15"/>
        <v>1.7865322950068707E-2</v>
      </c>
      <c r="J99" s="125">
        <f t="shared" si="15"/>
        <v>0.3</v>
      </c>
      <c r="K99" s="125">
        <f t="shared" si="15"/>
        <v>0.1306817577748349</v>
      </c>
      <c r="L99" s="125">
        <f t="shared" si="15"/>
        <v>1.609339136491415E-2</v>
      </c>
      <c r="M99" s="125">
        <f t="shared" si="15"/>
        <v>1.525163145425878E-2</v>
      </c>
      <c r="N99" s="125">
        <f t="shared" si="15"/>
        <v>1.5763583972179196E-2</v>
      </c>
      <c r="O99" s="125">
        <f t="shared" si="15"/>
        <v>0</v>
      </c>
      <c r="P99" s="125">
        <f t="shared" si="15"/>
        <v>2.2281870794181511E-2</v>
      </c>
      <c r="Q99" s="125">
        <f t="shared" si="15"/>
        <v>1.1198342091846737E-2</v>
      </c>
      <c r="R99" s="125">
        <f t="shared" si="15"/>
        <v>0.995</v>
      </c>
      <c r="S99" s="125">
        <f t="shared" si="15"/>
        <v>0.995</v>
      </c>
      <c r="T99" s="125">
        <f t="shared" si="15"/>
        <v>0</v>
      </c>
      <c r="U99" s="126"/>
      <c r="V99" s="126"/>
      <c r="W99" s="126"/>
      <c r="X99" s="126"/>
      <c r="Y99" s="126"/>
      <c r="Z99" s="126"/>
      <c r="AA99" s="126"/>
      <c r="AB99" s="126"/>
    </row>
    <row r="100" spans="1:28">
      <c r="A100" t="s">
        <v>2502</v>
      </c>
      <c r="B100" s="25">
        <f t="shared" si="11"/>
        <v>8</v>
      </c>
      <c r="C100" s="123" t="str">
        <f t="shared" si="10"/>
        <v>Year-8</v>
      </c>
      <c r="D100" s="35">
        <v>47270</v>
      </c>
      <c r="E100" s="26">
        <f t="shared" si="14"/>
        <v>192.8</v>
      </c>
      <c r="F100" s="26">
        <f t="shared" si="14"/>
        <v>200.20089519999999</v>
      </c>
      <c r="G100" s="31">
        <f t="shared" si="5"/>
        <v>52266.313836461253</v>
      </c>
      <c r="H100" s="124">
        <f t="shared" si="15"/>
        <v>54.658309168315547</v>
      </c>
      <c r="I100" s="125">
        <f t="shared" si="15"/>
        <v>1.914123124676681E-2</v>
      </c>
      <c r="J100" s="125">
        <f t="shared" si="15"/>
        <v>0.3</v>
      </c>
      <c r="K100" s="125">
        <f t="shared" si="15"/>
        <v>0.12650723469382591</v>
      </c>
      <c r="L100" s="125">
        <f t="shared" si="15"/>
        <v>1.6398522844759341E-2</v>
      </c>
      <c r="M100" s="125">
        <f t="shared" si="15"/>
        <v>1.3926271600695752E-2</v>
      </c>
      <c r="N100" s="125">
        <f t="shared" si="15"/>
        <v>1.4057661793117321E-2</v>
      </c>
      <c r="O100" s="125">
        <f t="shared" si="15"/>
        <v>0</v>
      </c>
      <c r="P100" s="125">
        <f t="shared" si="15"/>
        <v>2.1677907023400757E-2</v>
      </c>
      <c r="Q100" s="125">
        <f t="shared" si="15"/>
        <v>4.051685061336731E-3</v>
      </c>
      <c r="R100" s="125">
        <f t="shared" si="15"/>
        <v>0.995</v>
      </c>
      <c r="S100" s="125">
        <f t="shared" si="15"/>
        <v>0.995</v>
      </c>
      <c r="T100" s="125">
        <f t="shared" si="15"/>
        <v>0</v>
      </c>
      <c r="U100" s="126"/>
      <c r="V100" s="126"/>
      <c r="W100" s="126"/>
      <c r="X100" s="126"/>
      <c r="Y100" s="126"/>
      <c r="Z100" s="126"/>
      <c r="AA100" s="126"/>
      <c r="AB100" s="126"/>
    </row>
    <row r="101" spans="1:28">
      <c r="A101" t="s">
        <v>2502</v>
      </c>
      <c r="B101" s="25">
        <f t="shared" si="11"/>
        <v>8</v>
      </c>
      <c r="C101" s="123" t="str">
        <f t="shared" si="10"/>
        <v>Year-8</v>
      </c>
      <c r="D101" s="35">
        <v>47300</v>
      </c>
      <c r="E101" s="26">
        <f t="shared" si="14"/>
        <v>168.9</v>
      </c>
      <c r="F101" s="26">
        <f t="shared" si="14"/>
        <v>173.59972409999992</v>
      </c>
      <c r="G101" s="31">
        <f t="shared" si="5"/>
        <v>47896.188154418218</v>
      </c>
      <c r="H101" s="124">
        <f t="shared" si="15"/>
        <v>51.564857066184757</v>
      </c>
      <c r="I101" s="125">
        <f t="shared" si="15"/>
        <v>2.1854695806261204E-2</v>
      </c>
      <c r="J101" s="125">
        <f t="shared" si="15"/>
        <v>0.28000000000000003</v>
      </c>
      <c r="K101" s="125">
        <f t="shared" si="15"/>
        <v>0.1089308468990661</v>
      </c>
      <c r="L101" s="125">
        <f t="shared" si="15"/>
        <v>1.5867586262633245E-2</v>
      </c>
      <c r="M101" s="125">
        <f t="shared" si="15"/>
        <v>1.231974144019694E-2</v>
      </c>
      <c r="N101" s="125">
        <f t="shared" si="15"/>
        <v>1.3502102014775261E-2</v>
      </c>
      <c r="O101" s="125">
        <f t="shared" si="15"/>
        <v>0</v>
      </c>
      <c r="P101" s="125">
        <f t="shared" si="15"/>
        <v>2.127320988616644E-2</v>
      </c>
      <c r="Q101" s="125">
        <f t="shared" si="15"/>
        <v>1.5557262066246368E-3</v>
      </c>
      <c r="R101" s="125">
        <f t="shared" si="15"/>
        <v>0.995</v>
      </c>
      <c r="S101" s="125">
        <f t="shared" si="15"/>
        <v>0.995</v>
      </c>
      <c r="T101" s="125">
        <f t="shared" si="15"/>
        <v>0</v>
      </c>
      <c r="U101" s="126"/>
      <c r="V101" s="126"/>
      <c r="W101" s="126"/>
      <c r="X101" s="126"/>
      <c r="Y101" s="126"/>
      <c r="Z101" s="126"/>
      <c r="AA101" s="126"/>
      <c r="AB101" s="126"/>
    </row>
    <row r="102" spans="1:28">
      <c r="A102" t="s">
        <v>2502</v>
      </c>
      <c r="B102" s="25">
        <f t="shared" si="11"/>
        <v>8</v>
      </c>
      <c r="C102" s="123" t="str">
        <f t="shared" si="10"/>
        <v>Year-8</v>
      </c>
      <c r="D102" s="35">
        <v>47331</v>
      </c>
      <c r="E102" s="26">
        <f t="shared" si="14"/>
        <v>174.2</v>
      </c>
      <c r="F102" s="26">
        <f t="shared" si="14"/>
        <v>172.6001566000001</v>
      </c>
      <c r="G102" s="31">
        <f t="shared" ref="G102:G165" si="16">G90*(1-$AE$2)</f>
        <v>48762.426875357713</v>
      </c>
      <c r="H102" s="124">
        <f t="shared" si="15"/>
        <v>50.336592710430871</v>
      </c>
      <c r="I102" s="125">
        <f t="shared" si="15"/>
        <v>2.0196191575302946E-2</v>
      </c>
      <c r="J102" s="125">
        <f t="shared" si="15"/>
        <v>0.27</v>
      </c>
      <c r="K102" s="125">
        <f t="shared" si="15"/>
        <v>0.10494453414747008</v>
      </c>
      <c r="L102" s="125">
        <f t="shared" si="15"/>
        <v>1.507508977611231E-2</v>
      </c>
      <c r="M102" s="125">
        <f t="shared" si="15"/>
        <v>1.2791562311125756E-2</v>
      </c>
      <c r="N102" s="125">
        <f t="shared" si="15"/>
        <v>1.4116403195935955E-2</v>
      </c>
      <c r="O102" s="125">
        <f t="shared" si="15"/>
        <v>0</v>
      </c>
      <c r="P102" s="125">
        <f t="shared" si="15"/>
        <v>2.157456294953386E-2</v>
      </c>
      <c r="Q102" s="125">
        <f t="shared" si="15"/>
        <v>6.2818876990405415E-3</v>
      </c>
      <c r="R102" s="125">
        <f t="shared" si="15"/>
        <v>0.995</v>
      </c>
      <c r="S102" s="125">
        <f t="shared" si="15"/>
        <v>0.995</v>
      </c>
      <c r="T102" s="125">
        <f t="shared" si="15"/>
        <v>0</v>
      </c>
      <c r="U102" s="126"/>
      <c r="V102" s="126"/>
      <c r="W102" s="126"/>
      <c r="X102" s="126"/>
      <c r="Y102" s="126"/>
      <c r="Z102" s="126"/>
      <c r="AA102" s="126"/>
      <c r="AB102" s="126"/>
    </row>
    <row r="103" spans="1:28">
      <c r="A103" t="s">
        <v>2502</v>
      </c>
      <c r="B103" s="25">
        <f t="shared" si="11"/>
        <v>8</v>
      </c>
      <c r="C103" s="123" t="str">
        <f t="shared" si="10"/>
        <v>Year-8</v>
      </c>
      <c r="D103" s="35">
        <v>47362</v>
      </c>
      <c r="E103" s="26">
        <f t="shared" si="14"/>
        <v>192.1</v>
      </c>
      <c r="F103" s="26">
        <f t="shared" si="14"/>
        <v>178.89930529999984</v>
      </c>
      <c r="G103" s="31">
        <f t="shared" si="16"/>
        <v>51351.410018839764</v>
      </c>
      <c r="H103" s="124">
        <f t="shared" si="15"/>
        <v>52.25059433997491</v>
      </c>
      <c r="I103" s="125">
        <f t="shared" si="15"/>
        <v>1.7196456487754141E-2</v>
      </c>
      <c r="J103" s="125">
        <f t="shared" si="15"/>
        <v>0.26</v>
      </c>
      <c r="K103" s="125">
        <f t="shared" si="15"/>
        <v>0.11387126505657014</v>
      </c>
      <c r="L103" s="125">
        <f t="shared" si="15"/>
        <v>1.3959618092500629E-2</v>
      </c>
      <c r="M103" s="125">
        <f t="shared" si="15"/>
        <v>1.4531255376132731E-2</v>
      </c>
      <c r="N103" s="125">
        <f t="shared" si="15"/>
        <v>1.4478833500810966E-2</v>
      </c>
      <c r="O103" s="125">
        <f t="shared" si="15"/>
        <v>0</v>
      </c>
      <c r="P103" s="125">
        <f t="shared" si="15"/>
        <v>2.2473527643153385E-2</v>
      </c>
      <c r="Q103" s="125">
        <f t="shared" si="15"/>
        <v>1.1388926338936924E-2</v>
      </c>
      <c r="R103" s="125">
        <f t="shared" si="15"/>
        <v>0.995</v>
      </c>
      <c r="S103" s="125">
        <f t="shared" si="15"/>
        <v>0.995</v>
      </c>
      <c r="T103" s="125">
        <f t="shared" si="15"/>
        <v>0</v>
      </c>
      <c r="U103" s="126"/>
      <c r="V103" s="126"/>
      <c r="W103" s="126"/>
      <c r="X103" s="126"/>
      <c r="Y103" s="126"/>
      <c r="Z103" s="126"/>
      <c r="AA103" s="126"/>
      <c r="AB103" s="126"/>
    </row>
    <row r="104" spans="1:28">
      <c r="A104" t="s">
        <v>2502</v>
      </c>
      <c r="B104" s="25">
        <f t="shared" si="11"/>
        <v>8</v>
      </c>
      <c r="C104" s="123" t="str">
        <f t="shared" si="10"/>
        <v>Year-8</v>
      </c>
      <c r="D104" s="35">
        <v>47392</v>
      </c>
      <c r="E104" s="26">
        <f t="shared" si="14"/>
        <v>202.3</v>
      </c>
      <c r="F104" s="26">
        <f t="shared" si="14"/>
        <v>174.60082279999986</v>
      </c>
      <c r="G104" s="31">
        <f t="shared" si="16"/>
        <v>55663.137584864417</v>
      </c>
      <c r="H104" s="124">
        <f t="shared" si="15"/>
        <v>49.723937837075084</v>
      </c>
      <c r="I104" s="125">
        <f t="shared" si="15"/>
        <v>1.5873015873015817E-2</v>
      </c>
      <c r="J104" s="125">
        <f t="shared" si="15"/>
        <v>0.27</v>
      </c>
      <c r="K104" s="125">
        <f t="shared" si="15"/>
        <v>0.10390722673430232</v>
      </c>
      <c r="L104" s="125">
        <f t="shared" si="15"/>
        <v>1.4040704754284353E-2</v>
      </c>
      <c r="M104" s="125">
        <f t="shared" si="15"/>
        <v>1.526389492868482E-2</v>
      </c>
      <c r="N104" s="125">
        <f t="shared" si="15"/>
        <v>1.5324069649683622E-2</v>
      </c>
      <c r="O104" s="125">
        <f t="shared" si="15"/>
        <v>0</v>
      </c>
      <c r="P104" s="125">
        <f t="shared" si="15"/>
        <v>2.3043103417804571E-2</v>
      </c>
      <c r="Q104" s="125">
        <f t="shared" si="15"/>
        <v>2.1184397869334348E-2</v>
      </c>
      <c r="R104" s="125">
        <f t="shared" si="15"/>
        <v>0.995</v>
      </c>
      <c r="S104" s="125">
        <f t="shared" si="15"/>
        <v>0.995</v>
      </c>
      <c r="T104" s="125">
        <f t="shared" si="15"/>
        <v>0</v>
      </c>
      <c r="U104" s="126"/>
      <c r="V104" s="126"/>
      <c r="W104" s="126"/>
      <c r="X104" s="126"/>
      <c r="Y104" s="126"/>
      <c r="Z104" s="126"/>
      <c r="AA104" s="126"/>
      <c r="AB104" s="126"/>
    </row>
    <row r="105" spans="1:28">
      <c r="A105" t="s">
        <v>2502</v>
      </c>
      <c r="B105" s="25">
        <f t="shared" si="11"/>
        <v>8</v>
      </c>
      <c r="C105" s="123" t="str">
        <f t="shared" si="10"/>
        <v>Year-8</v>
      </c>
      <c r="D105" s="35">
        <v>47423</v>
      </c>
      <c r="E105" s="26">
        <f t="shared" si="14"/>
        <v>162.9</v>
      </c>
      <c r="F105" s="26">
        <f t="shared" si="14"/>
        <v>133.69942049999997</v>
      </c>
      <c r="G105" s="31">
        <f t="shared" si="16"/>
        <v>45647.860687710119</v>
      </c>
      <c r="H105" s="124">
        <f t="shared" si="15"/>
        <v>42.187120547750681</v>
      </c>
      <c r="I105" s="125">
        <f t="shared" si="15"/>
        <v>1.5950920245398792E-2</v>
      </c>
      <c r="J105" s="125">
        <f t="shared" si="15"/>
        <v>0.27</v>
      </c>
      <c r="K105" s="125">
        <f t="shared" si="15"/>
        <v>6.9024239591701744E-2</v>
      </c>
      <c r="L105" s="125">
        <f t="shared" si="15"/>
        <v>1.4204952105287192E-2</v>
      </c>
      <c r="M105" s="125">
        <f t="shared" si="15"/>
        <v>1.3252885058363056E-2</v>
      </c>
      <c r="N105" s="125">
        <f t="shared" si="15"/>
        <v>1.3980442883231779E-2</v>
      </c>
      <c r="O105" s="125">
        <f t="shared" si="15"/>
        <v>0</v>
      </c>
      <c r="P105" s="125">
        <f t="shared" si="15"/>
        <v>2.30208488716231E-2</v>
      </c>
      <c r="Q105" s="125">
        <f t="shared" si="15"/>
        <v>8.3479094998109554E-3</v>
      </c>
      <c r="R105" s="125">
        <f t="shared" si="15"/>
        <v>0.995</v>
      </c>
      <c r="S105" s="125">
        <f t="shared" si="15"/>
        <v>0.995</v>
      </c>
      <c r="T105" s="125">
        <f t="shared" si="15"/>
        <v>0</v>
      </c>
      <c r="U105" s="126"/>
      <c r="V105" s="126"/>
      <c r="W105" s="126"/>
      <c r="X105" s="126"/>
      <c r="Y105" s="126"/>
      <c r="Z105" s="126"/>
      <c r="AA105" s="126"/>
      <c r="AB105" s="126"/>
    </row>
    <row r="106" spans="1:28">
      <c r="A106" t="s">
        <v>2502</v>
      </c>
      <c r="B106" s="25">
        <f t="shared" si="11"/>
        <v>8</v>
      </c>
      <c r="C106" s="123" t="str">
        <f t="shared" si="10"/>
        <v>Year-8</v>
      </c>
      <c r="D106" s="35">
        <v>47453</v>
      </c>
      <c r="E106" s="26">
        <f t="shared" si="14"/>
        <v>158.6</v>
      </c>
      <c r="F106" s="26">
        <f t="shared" si="14"/>
        <v>124.40004220000003</v>
      </c>
      <c r="G106" s="31">
        <f t="shared" si="16"/>
        <v>46991.017356133147</v>
      </c>
      <c r="H106" s="124">
        <f t="shared" si="15"/>
        <v>36.076939444156181</v>
      </c>
      <c r="I106" s="125">
        <f t="shared" si="15"/>
        <v>1.5802781289506962E-2</v>
      </c>
      <c r="J106" s="125">
        <f t="shared" si="15"/>
        <v>0.27</v>
      </c>
      <c r="K106" s="125">
        <f t="shared" si="15"/>
        <v>4.4787946264861052E-2</v>
      </c>
      <c r="L106" s="125">
        <f t="shared" si="15"/>
        <v>1.4140595613406415E-2</v>
      </c>
      <c r="M106" s="125">
        <f t="shared" si="15"/>
        <v>1.2367081056294736E-2</v>
      </c>
      <c r="N106" s="125">
        <f t="shared" si="15"/>
        <v>1.3960975699298588E-2</v>
      </c>
      <c r="O106" s="125">
        <f t="shared" si="15"/>
        <v>0</v>
      </c>
      <c r="P106" s="125">
        <f t="shared" si="15"/>
        <v>2.3055036005913448E-2</v>
      </c>
      <c r="Q106" s="125">
        <f t="shared" si="15"/>
        <v>3.6978876304825567E-3</v>
      </c>
      <c r="R106" s="125">
        <f t="shared" si="15"/>
        <v>0.995</v>
      </c>
      <c r="S106" s="125">
        <f t="shared" si="15"/>
        <v>0.995</v>
      </c>
      <c r="T106" s="125">
        <f t="shared" si="15"/>
        <v>0</v>
      </c>
      <c r="U106" s="126"/>
      <c r="V106" s="126"/>
      <c r="W106" s="126"/>
      <c r="X106" s="126"/>
      <c r="Y106" s="126"/>
      <c r="Z106" s="126"/>
      <c r="AA106" s="126"/>
      <c r="AB106" s="126"/>
    </row>
    <row r="107" spans="1:28">
      <c r="A107" t="s">
        <v>2502</v>
      </c>
      <c r="B107" s="25">
        <f t="shared" si="11"/>
        <v>8</v>
      </c>
      <c r="C107" s="123" t="str">
        <f t="shared" si="10"/>
        <v>Year-8</v>
      </c>
      <c r="D107" s="35">
        <v>47484</v>
      </c>
      <c r="E107" s="26">
        <f t="shared" si="14"/>
        <v>169.028549</v>
      </c>
      <c r="F107" s="26">
        <f t="shared" si="14"/>
        <v>133.89933939999995</v>
      </c>
      <c r="G107" s="31">
        <f t="shared" si="16"/>
        <v>49891.457118379956</v>
      </c>
      <c r="H107" s="124">
        <f t="shared" si="15"/>
        <v>34.970332119021293</v>
      </c>
      <c r="I107" s="125">
        <f t="shared" si="15"/>
        <v>1.7200474495848161E-2</v>
      </c>
      <c r="J107" s="125">
        <f t="shared" si="15"/>
        <v>0.27</v>
      </c>
      <c r="K107" s="125">
        <f t="shared" si="15"/>
        <v>4.0029940128316385E-2</v>
      </c>
      <c r="L107" s="125">
        <f t="shared" si="15"/>
        <v>1.4099625889623608E-2</v>
      </c>
      <c r="M107" s="125">
        <f t="shared" si="15"/>
        <v>1.267725762135744E-2</v>
      </c>
      <c r="N107" s="125">
        <f t="shared" si="15"/>
        <v>1.390175346828215E-2</v>
      </c>
      <c r="O107" s="125">
        <f t="shared" si="15"/>
        <v>0</v>
      </c>
      <c r="P107" s="125">
        <f t="shared" si="15"/>
        <v>2.298066658515029E-2</v>
      </c>
      <c r="Q107" s="125">
        <f t="shared" si="15"/>
        <v>1.0644897972798715E-2</v>
      </c>
      <c r="R107" s="125">
        <f t="shared" si="15"/>
        <v>0.995</v>
      </c>
      <c r="S107" s="125">
        <f t="shared" si="15"/>
        <v>0.995</v>
      </c>
      <c r="T107" s="125">
        <f t="shared" si="15"/>
        <v>0</v>
      </c>
      <c r="U107" s="126"/>
      <c r="V107" s="126"/>
      <c r="W107" s="126"/>
      <c r="X107" s="126"/>
      <c r="Y107" s="126"/>
      <c r="Z107" s="126"/>
      <c r="AA107" s="126"/>
      <c r="AB107" s="126"/>
    </row>
    <row r="108" spans="1:28">
      <c r="A108" t="s">
        <v>2502</v>
      </c>
      <c r="B108" s="25">
        <f t="shared" si="11"/>
        <v>8</v>
      </c>
      <c r="C108" s="123" t="str">
        <f t="shared" si="10"/>
        <v>Year-8</v>
      </c>
      <c r="D108" s="35">
        <v>47515</v>
      </c>
      <c r="E108" s="26">
        <f t="shared" si="14"/>
        <v>172.55912190000004</v>
      </c>
      <c r="F108" s="26">
        <f t="shared" si="14"/>
        <v>145.40077080000009</v>
      </c>
      <c r="G108" s="31">
        <f t="shared" si="16"/>
        <v>46027.448441829656</v>
      </c>
      <c r="H108" s="124">
        <f t="shared" si="15"/>
        <v>40.252096455972236</v>
      </c>
      <c r="I108" s="125">
        <f t="shared" si="15"/>
        <v>1.510749564206848E-2</v>
      </c>
      <c r="J108" s="125">
        <f t="shared" si="15"/>
        <v>0.27</v>
      </c>
      <c r="K108" s="125">
        <f t="shared" si="15"/>
        <v>6.2111013936519133E-2</v>
      </c>
      <c r="L108" s="125">
        <f t="shared" si="15"/>
        <v>1.4175439055030284E-2</v>
      </c>
      <c r="M108" s="125">
        <f t="shared" si="15"/>
        <v>1.4384371816049681E-2</v>
      </c>
      <c r="N108" s="125">
        <f t="shared" si="15"/>
        <v>1.5915736744616871E-2</v>
      </c>
      <c r="O108" s="125">
        <f t="shared" si="15"/>
        <v>0</v>
      </c>
      <c r="P108" s="125">
        <f t="shared" si="15"/>
        <v>2.3268144471779773E-2</v>
      </c>
      <c r="Q108" s="125">
        <f t="shared" si="15"/>
        <v>2.5052142565085967E-2</v>
      </c>
      <c r="R108" s="125">
        <f t="shared" si="15"/>
        <v>0.995</v>
      </c>
      <c r="S108" s="125">
        <f t="shared" si="15"/>
        <v>0.995</v>
      </c>
      <c r="T108" s="125">
        <f t="shared" si="15"/>
        <v>0</v>
      </c>
      <c r="U108" s="126"/>
      <c r="V108" s="126"/>
      <c r="W108" s="126"/>
      <c r="X108" s="126"/>
      <c r="Y108" s="126"/>
      <c r="Z108" s="126"/>
      <c r="AA108" s="126"/>
      <c r="AB108" s="126"/>
    </row>
    <row r="109" spans="1:28">
      <c r="A109" t="s">
        <v>2502</v>
      </c>
      <c r="B109" s="25">
        <f t="shared" si="11"/>
        <v>8</v>
      </c>
      <c r="C109" s="123" t="str">
        <f t="shared" si="10"/>
        <v>Year-8</v>
      </c>
      <c r="D109" s="35">
        <v>47543</v>
      </c>
      <c r="E109" s="26">
        <f t="shared" si="14"/>
        <v>215.74576700000009</v>
      </c>
      <c r="F109" s="26">
        <f t="shared" si="14"/>
        <v>195.59891570000002</v>
      </c>
      <c r="G109" s="31">
        <f t="shared" si="16"/>
        <v>58894.500004548798</v>
      </c>
      <c r="H109" s="124">
        <f t="shared" si="15"/>
        <v>47.179622377374095</v>
      </c>
      <c r="I109" s="125">
        <f t="shared" si="15"/>
        <v>1.5306122448979553E-2</v>
      </c>
      <c r="J109" s="125">
        <f t="shared" si="15"/>
        <v>0.28000000000000003</v>
      </c>
      <c r="K109" s="125">
        <f t="shared" si="15"/>
        <v>9.4419706369976972E-2</v>
      </c>
      <c r="L109" s="125">
        <f t="shared" si="15"/>
        <v>1.4644787078611174E-2</v>
      </c>
      <c r="M109" s="125">
        <f t="shared" si="15"/>
        <v>1.6212630268737406E-2</v>
      </c>
      <c r="N109" s="125">
        <f t="shared" si="15"/>
        <v>2.0718676035686345E-2</v>
      </c>
      <c r="O109" s="125">
        <f t="shared" si="15"/>
        <v>0</v>
      </c>
      <c r="P109" s="125">
        <f t="shared" si="15"/>
        <v>2.3247057021314733E-2</v>
      </c>
      <c r="Q109" s="125">
        <f t="shared" si="15"/>
        <v>3.9222124133286969E-2</v>
      </c>
      <c r="R109" s="125">
        <f t="shared" si="15"/>
        <v>0.995</v>
      </c>
      <c r="S109" s="125">
        <f t="shared" si="15"/>
        <v>0.995</v>
      </c>
      <c r="T109" s="125">
        <f t="shared" si="15"/>
        <v>0</v>
      </c>
      <c r="U109" s="126"/>
      <c r="V109" s="126"/>
      <c r="W109" s="126"/>
      <c r="X109" s="126"/>
      <c r="Y109" s="126"/>
      <c r="Z109" s="126"/>
      <c r="AA109" s="126"/>
      <c r="AB109" s="126"/>
    </row>
    <row r="110" spans="1:28">
      <c r="A110" t="s">
        <v>2503</v>
      </c>
      <c r="B110" s="25">
        <f t="shared" si="11"/>
        <v>9</v>
      </c>
      <c r="C110" s="123" t="str">
        <f t="shared" si="10"/>
        <v>Year-9</v>
      </c>
      <c r="D110" s="35">
        <v>47574</v>
      </c>
      <c r="E110" s="26">
        <f t="shared" ref="E110:F125" si="17">E98</f>
        <v>215.9</v>
      </c>
      <c r="F110" s="26">
        <f t="shared" si="17"/>
        <v>208.99969899999999</v>
      </c>
      <c r="G110" s="31">
        <f t="shared" si="16"/>
        <v>56807.901253643962</v>
      </c>
      <c r="H110" s="124">
        <f t="shared" ref="H110:T125" si="18">H98</f>
        <v>52.296499350965128</v>
      </c>
      <c r="I110" s="125">
        <f t="shared" si="18"/>
        <v>1.6658954187875996E-2</v>
      </c>
      <c r="J110" s="125">
        <f t="shared" si="18"/>
        <v>0.28999999999999998</v>
      </c>
      <c r="K110" s="125">
        <f t="shared" si="18"/>
        <v>0.11719199751057031</v>
      </c>
      <c r="L110" s="125">
        <f t="shared" si="18"/>
        <v>1.5231272154623582E-2</v>
      </c>
      <c r="M110" s="125">
        <f t="shared" si="18"/>
        <v>1.6110689006976781E-2</v>
      </c>
      <c r="N110" s="125">
        <f t="shared" si="18"/>
        <v>1.8633277773980331E-2</v>
      </c>
      <c r="O110" s="125">
        <f t="shared" si="18"/>
        <v>0</v>
      </c>
      <c r="P110" s="125">
        <f t="shared" si="18"/>
        <v>2.2802418781094937E-2</v>
      </c>
      <c r="Q110" s="125">
        <f t="shared" si="18"/>
        <v>2.7995485693316467E-2</v>
      </c>
      <c r="R110" s="125">
        <f t="shared" si="18"/>
        <v>0.995</v>
      </c>
      <c r="S110" s="125">
        <f t="shared" si="18"/>
        <v>0.995</v>
      </c>
      <c r="T110" s="125">
        <f t="shared" si="18"/>
        <v>0</v>
      </c>
      <c r="U110" s="126"/>
      <c r="V110" s="126"/>
      <c r="W110" s="126"/>
      <c r="X110" s="126"/>
      <c r="Y110" s="126"/>
      <c r="Z110" s="126"/>
      <c r="AA110" s="126"/>
      <c r="AB110" s="126"/>
    </row>
    <row r="111" spans="1:28">
      <c r="A111" t="s">
        <v>2503</v>
      </c>
      <c r="B111" s="25">
        <f t="shared" si="11"/>
        <v>9</v>
      </c>
      <c r="C111" s="123" t="str">
        <f t="shared" si="10"/>
        <v>Year-9</v>
      </c>
      <c r="D111" s="35">
        <v>47604</v>
      </c>
      <c r="E111" s="26">
        <f t="shared" si="17"/>
        <v>217.9</v>
      </c>
      <c r="F111" s="26">
        <f t="shared" si="17"/>
        <v>221.90023470000006</v>
      </c>
      <c r="G111" s="31">
        <f t="shared" si="16"/>
        <v>59860.005789700226</v>
      </c>
      <c r="H111" s="124">
        <f t="shared" si="18"/>
        <v>55.437733860726389</v>
      </c>
      <c r="I111" s="125">
        <f t="shared" si="18"/>
        <v>1.7865322950068707E-2</v>
      </c>
      <c r="J111" s="125">
        <f t="shared" si="18"/>
        <v>0.3</v>
      </c>
      <c r="K111" s="125">
        <f t="shared" si="18"/>
        <v>0.1306817577748349</v>
      </c>
      <c r="L111" s="125">
        <f t="shared" si="18"/>
        <v>1.609339136491415E-2</v>
      </c>
      <c r="M111" s="125">
        <f t="shared" si="18"/>
        <v>1.525163145425878E-2</v>
      </c>
      <c r="N111" s="125">
        <f t="shared" si="18"/>
        <v>1.5763583972179196E-2</v>
      </c>
      <c r="O111" s="125">
        <f t="shared" si="18"/>
        <v>0</v>
      </c>
      <c r="P111" s="125">
        <f t="shared" si="18"/>
        <v>2.2281870794181511E-2</v>
      </c>
      <c r="Q111" s="125">
        <f t="shared" si="18"/>
        <v>1.1198342091846737E-2</v>
      </c>
      <c r="R111" s="125">
        <f t="shared" si="18"/>
        <v>0.995</v>
      </c>
      <c r="S111" s="125">
        <f t="shared" si="18"/>
        <v>0.995</v>
      </c>
      <c r="T111" s="125">
        <f t="shared" si="18"/>
        <v>0</v>
      </c>
      <c r="U111" s="126"/>
      <c r="V111" s="126"/>
      <c r="W111" s="126"/>
      <c r="X111" s="126"/>
      <c r="Y111" s="126"/>
      <c r="Z111" s="126"/>
      <c r="AA111" s="126"/>
      <c r="AB111" s="126"/>
    </row>
    <row r="112" spans="1:28">
      <c r="A112" t="s">
        <v>2503</v>
      </c>
      <c r="B112" s="25">
        <f t="shared" si="11"/>
        <v>9</v>
      </c>
      <c r="C112" s="123" t="str">
        <f t="shared" si="10"/>
        <v>Year-9</v>
      </c>
      <c r="D112" s="35">
        <v>47635</v>
      </c>
      <c r="E112" s="26">
        <f t="shared" si="17"/>
        <v>192.8</v>
      </c>
      <c r="F112" s="26">
        <f t="shared" si="17"/>
        <v>200.20089519999999</v>
      </c>
      <c r="G112" s="31">
        <f t="shared" si="16"/>
        <v>52031.115424197182</v>
      </c>
      <c r="H112" s="124">
        <f t="shared" si="18"/>
        <v>54.658309168315547</v>
      </c>
      <c r="I112" s="125">
        <f t="shared" si="18"/>
        <v>1.914123124676681E-2</v>
      </c>
      <c r="J112" s="125">
        <f t="shared" si="18"/>
        <v>0.3</v>
      </c>
      <c r="K112" s="125">
        <f t="shared" si="18"/>
        <v>0.12650723469382591</v>
      </c>
      <c r="L112" s="125">
        <f t="shared" si="18"/>
        <v>1.6398522844759341E-2</v>
      </c>
      <c r="M112" s="125">
        <f t="shared" si="18"/>
        <v>1.3926271600695752E-2</v>
      </c>
      <c r="N112" s="125">
        <f t="shared" si="18"/>
        <v>1.4057661793117321E-2</v>
      </c>
      <c r="O112" s="125">
        <f t="shared" si="18"/>
        <v>0</v>
      </c>
      <c r="P112" s="125">
        <f t="shared" si="18"/>
        <v>2.1677907023400757E-2</v>
      </c>
      <c r="Q112" s="125">
        <f t="shared" si="18"/>
        <v>4.051685061336731E-3</v>
      </c>
      <c r="R112" s="125">
        <f t="shared" si="18"/>
        <v>0.995</v>
      </c>
      <c r="S112" s="125">
        <f t="shared" si="18"/>
        <v>0.995</v>
      </c>
      <c r="T112" s="125">
        <f t="shared" si="18"/>
        <v>0</v>
      </c>
      <c r="U112" s="126"/>
      <c r="V112" s="126"/>
      <c r="W112" s="126"/>
      <c r="X112" s="126"/>
      <c r="Y112" s="126"/>
      <c r="Z112" s="126"/>
      <c r="AA112" s="126"/>
      <c r="AB112" s="126"/>
    </row>
    <row r="113" spans="1:28">
      <c r="A113" t="s">
        <v>2503</v>
      </c>
      <c r="B113" s="25">
        <f t="shared" si="11"/>
        <v>9</v>
      </c>
      <c r="C113" s="123" t="str">
        <f t="shared" si="10"/>
        <v>Year-9</v>
      </c>
      <c r="D113" s="35">
        <v>47665</v>
      </c>
      <c r="E113" s="26">
        <f t="shared" si="17"/>
        <v>168.9</v>
      </c>
      <c r="F113" s="26">
        <f t="shared" si="17"/>
        <v>173.59972409999992</v>
      </c>
      <c r="G113" s="31">
        <f t="shared" si="16"/>
        <v>47680.65530772334</v>
      </c>
      <c r="H113" s="124">
        <f t="shared" si="18"/>
        <v>51.564857066184757</v>
      </c>
      <c r="I113" s="125">
        <f t="shared" si="18"/>
        <v>2.1854695806261204E-2</v>
      </c>
      <c r="J113" s="125">
        <f t="shared" si="18"/>
        <v>0.28000000000000003</v>
      </c>
      <c r="K113" s="125">
        <f t="shared" si="18"/>
        <v>0.1089308468990661</v>
      </c>
      <c r="L113" s="125">
        <f t="shared" si="18"/>
        <v>1.5867586262633245E-2</v>
      </c>
      <c r="M113" s="125">
        <f t="shared" si="18"/>
        <v>1.231974144019694E-2</v>
      </c>
      <c r="N113" s="125">
        <f t="shared" si="18"/>
        <v>1.3502102014775261E-2</v>
      </c>
      <c r="O113" s="125">
        <f t="shared" si="18"/>
        <v>0</v>
      </c>
      <c r="P113" s="125">
        <f t="shared" si="18"/>
        <v>2.127320988616644E-2</v>
      </c>
      <c r="Q113" s="125">
        <f t="shared" si="18"/>
        <v>1.5557262066246368E-3</v>
      </c>
      <c r="R113" s="125">
        <f t="shared" si="18"/>
        <v>0.995</v>
      </c>
      <c r="S113" s="125">
        <f t="shared" si="18"/>
        <v>0.995</v>
      </c>
      <c r="T113" s="125">
        <f t="shared" si="18"/>
        <v>0</v>
      </c>
      <c r="U113" s="126"/>
      <c r="V113" s="126"/>
      <c r="W113" s="126"/>
      <c r="X113" s="126"/>
      <c r="Y113" s="126"/>
      <c r="Z113" s="126"/>
      <c r="AA113" s="126"/>
      <c r="AB113" s="126"/>
    </row>
    <row r="114" spans="1:28">
      <c r="A114" t="s">
        <v>2503</v>
      </c>
      <c r="B114" s="25">
        <f t="shared" si="11"/>
        <v>9</v>
      </c>
      <c r="C114" s="123" t="str">
        <f t="shared" si="10"/>
        <v>Year-9</v>
      </c>
      <c r="D114" s="35">
        <v>47696</v>
      </c>
      <c r="E114" s="26">
        <f t="shared" si="17"/>
        <v>174.2</v>
      </c>
      <c r="F114" s="26">
        <f t="shared" si="17"/>
        <v>172.6001566000001</v>
      </c>
      <c r="G114" s="31">
        <f t="shared" si="16"/>
        <v>48542.995954418606</v>
      </c>
      <c r="H114" s="124">
        <f t="shared" si="18"/>
        <v>50.336592710430871</v>
      </c>
      <c r="I114" s="125">
        <f t="shared" si="18"/>
        <v>2.0196191575302946E-2</v>
      </c>
      <c r="J114" s="125">
        <f t="shared" si="18"/>
        <v>0.27</v>
      </c>
      <c r="K114" s="125">
        <f t="shared" si="18"/>
        <v>0.10494453414747008</v>
      </c>
      <c r="L114" s="125">
        <f t="shared" si="18"/>
        <v>1.507508977611231E-2</v>
      </c>
      <c r="M114" s="125">
        <f t="shared" si="18"/>
        <v>1.2791562311125756E-2</v>
      </c>
      <c r="N114" s="125">
        <f t="shared" si="18"/>
        <v>1.4116403195935955E-2</v>
      </c>
      <c r="O114" s="125">
        <f t="shared" si="18"/>
        <v>0</v>
      </c>
      <c r="P114" s="125">
        <f t="shared" si="18"/>
        <v>2.157456294953386E-2</v>
      </c>
      <c r="Q114" s="125">
        <f t="shared" si="18"/>
        <v>6.2818876990405415E-3</v>
      </c>
      <c r="R114" s="125">
        <f t="shared" si="18"/>
        <v>0.995</v>
      </c>
      <c r="S114" s="125">
        <f t="shared" si="18"/>
        <v>0.995</v>
      </c>
      <c r="T114" s="125">
        <f t="shared" si="18"/>
        <v>0</v>
      </c>
      <c r="U114" s="126"/>
      <c r="V114" s="126"/>
      <c r="W114" s="126"/>
      <c r="X114" s="126"/>
      <c r="Y114" s="126"/>
      <c r="Z114" s="126"/>
      <c r="AA114" s="126"/>
      <c r="AB114" s="126"/>
    </row>
    <row r="115" spans="1:28">
      <c r="A115" t="s">
        <v>2503</v>
      </c>
      <c r="B115" s="25">
        <f t="shared" si="11"/>
        <v>9</v>
      </c>
      <c r="C115" s="123" t="str">
        <f t="shared" si="10"/>
        <v>Year-9</v>
      </c>
      <c r="D115" s="35">
        <v>47727</v>
      </c>
      <c r="E115" s="26">
        <f t="shared" si="17"/>
        <v>192.1</v>
      </c>
      <c r="F115" s="26">
        <f t="shared" si="17"/>
        <v>178.89930529999984</v>
      </c>
      <c r="G115" s="31">
        <f t="shared" si="16"/>
        <v>51120.328673754986</v>
      </c>
      <c r="H115" s="124">
        <f t="shared" si="18"/>
        <v>52.25059433997491</v>
      </c>
      <c r="I115" s="125">
        <f t="shared" si="18"/>
        <v>1.7196456487754141E-2</v>
      </c>
      <c r="J115" s="125">
        <f t="shared" si="18"/>
        <v>0.26</v>
      </c>
      <c r="K115" s="125">
        <f t="shared" si="18"/>
        <v>0.11387126505657014</v>
      </c>
      <c r="L115" s="125">
        <f t="shared" si="18"/>
        <v>1.3959618092500629E-2</v>
      </c>
      <c r="M115" s="125">
        <f t="shared" si="18"/>
        <v>1.4531255376132731E-2</v>
      </c>
      <c r="N115" s="125">
        <f t="shared" si="18"/>
        <v>1.4478833500810966E-2</v>
      </c>
      <c r="O115" s="125">
        <f t="shared" si="18"/>
        <v>0</v>
      </c>
      <c r="P115" s="125">
        <f t="shared" si="18"/>
        <v>2.2473527643153385E-2</v>
      </c>
      <c r="Q115" s="125">
        <f t="shared" si="18"/>
        <v>1.1388926338936924E-2</v>
      </c>
      <c r="R115" s="125">
        <f t="shared" si="18"/>
        <v>0.995</v>
      </c>
      <c r="S115" s="125">
        <f t="shared" si="18"/>
        <v>0.995</v>
      </c>
      <c r="T115" s="125">
        <f t="shared" si="18"/>
        <v>0</v>
      </c>
      <c r="U115" s="126"/>
      <c r="V115" s="126"/>
      <c r="W115" s="126"/>
      <c r="X115" s="126"/>
      <c r="Y115" s="126"/>
      <c r="Z115" s="126"/>
      <c r="AA115" s="126"/>
      <c r="AB115" s="126"/>
    </row>
    <row r="116" spans="1:28">
      <c r="A116" t="s">
        <v>2503</v>
      </c>
      <c r="B116" s="25">
        <f t="shared" si="11"/>
        <v>9</v>
      </c>
      <c r="C116" s="123" t="str">
        <f t="shared" si="10"/>
        <v>Year-9</v>
      </c>
      <c r="D116" s="35">
        <v>47757</v>
      </c>
      <c r="E116" s="26">
        <f t="shared" si="17"/>
        <v>202.3</v>
      </c>
      <c r="F116" s="26">
        <f t="shared" si="17"/>
        <v>174.60082279999986</v>
      </c>
      <c r="G116" s="31">
        <f t="shared" si="16"/>
        <v>55412.653465732532</v>
      </c>
      <c r="H116" s="124">
        <f t="shared" si="18"/>
        <v>49.723937837075084</v>
      </c>
      <c r="I116" s="125">
        <f t="shared" si="18"/>
        <v>1.5873015873015817E-2</v>
      </c>
      <c r="J116" s="125">
        <f t="shared" si="18"/>
        <v>0.27</v>
      </c>
      <c r="K116" s="125">
        <f t="shared" si="18"/>
        <v>0.10390722673430232</v>
      </c>
      <c r="L116" s="125">
        <f t="shared" si="18"/>
        <v>1.4040704754284353E-2</v>
      </c>
      <c r="M116" s="125">
        <f t="shared" si="18"/>
        <v>1.526389492868482E-2</v>
      </c>
      <c r="N116" s="125">
        <f t="shared" si="18"/>
        <v>1.5324069649683622E-2</v>
      </c>
      <c r="O116" s="125">
        <f t="shared" si="18"/>
        <v>0</v>
      </c>
      <c r="P116" s="125">
        <f t="shared" si="18"/>
        <v>2.3043103417804571E-2</v>
      </c>
      <c r="Q116" s="125">
        <f t="shared" si="18"/>
        <v>2.1184397869334348E-2</v>
      </c>
      <c r="R116" s="125">
        <f t="shared" si="18"/>
        <v>0.995</v>
      </c>
      <c r="S116" s="125">
        <f t="shared" si="18"/>
        <v>0.995</v>
      </c>
      <c r="T116" s="125">
        <f t="shared" si="18"/>
        <v>0</v>
      </c>
      <c r="U116" s="126"/>
      <c r="V116" s="126"/>
      <c r="W116" s="126"/>
      <c r="X116" s="126"/>
      <c r="Y116" s="126"/>
      <c r="Z116" s="126"/>
      <c r="AA116" s="126"/>
      <c r="AB116" s="126"/>
    </row>
    <row r="117" spans="1:28">
      <c r="A117" t="s">
        <v>2503</v>
      </c>
      <c r="B117" s="25">
        <f t="shared" si="11"/>
        <v>9</v>
      </c>
      <c r="C117" s="123" t="str">
        <f t="shared" si="10"/>
        <v>Year-9</v>
      </c>
      <c r="D117" s="35">
        <v>47788</v>
      </c>
      <c r="E117" s="26">
        <f t="shared" si="17"/>
        <v>162.9</v>
      </c>
      <c r="F117" s="26">
        <f t="shared" si="17"/>
        <v>133.69942049999997</v>
      </c>
      <c r="G117" s="31">
        <f t="shared" si="16"/>
        <v>45442.445314615426</v>
      </c>
      <c r="H117" s="124">
        <f t="shared" si="18"/>
        <v>42.187120547750681</v>
      </c>
      <c r="I117" s="125">
        <f t="shared" si="18"/>
        <v>1.5950920245398792E-2</v>
      </c>
      <c r="J117" s="125">
        <f t="shared" si="18"/>
        <v>0.27</v>
      </c>
      <c r="K117" s="125">
        <f t="shared" si="18"/>
        <v>6.9024239591701744E-2</v>
      </c>
      <c r="L117" s="125">
        <f t="shared" si="18"/>
        <v>1.4204952105287192E-2</v>
      </c>
      <c r="M117" s="125">
        <f t="shared" si="18"/>
        <v>1.3252885058363056E-2</v>
      </c>
      <c r="N117" s="125">
        <f t="shared" si="18"/>
        <v>1.3980442883231779E-2</v>
      </c>
      <c r="O117" s="125">
        <f t="shared" si="18"/>
        <v>0</v>
      </c>
      <c r="P117" s="125">
        <f t="shared" si="18"/>
        <v>2.30208488716231E-2</v>
      </c>
      <c r="Q117" s="125">
        <f t="shared" si="18"/>
        <v>8.3479094998109554E-3</v>
      </c>
      <c r="R117" s="125">
        <f t="shared" si="18"/>
        <v>0.995</v>
      </c>
      <c r="S117" s="125">
        <f t="shared" si="18"/>
        <v>0.995</v>
      </c>
      <c r="T117" s="125">
        <f t="shared" si="18"/>
        <v>0</v>
      </c>
      <c r="U117" s="126"/>
      <c r="V117" s="126"/>
      <c r="W117" s="126"/>
      <c r="X117" s="126"/>
      <c r="Y117" s="126"/>
      <c r="Z117" s="126"/>
      <c r="AA117" s="126"/>
      <c r="AB117" s="126"/>
    </row>
    <row r="118" spans="1:28">
      <c r="A118" t="s">
        <v>2503</v>
      </c>
      <c r="B118" s="25">
        <f t="shared" si="11"/>
        <v>9</v>
      </c>
      <c r="C118" s="123" t="str">
        <f t="shared" si="10"/>
        <v>Year-9</v>
      </c>
      <c r="D118" s="35">
        <v>47818</v>
      </c>
      <c r="E118" s="26">
        <f t="shared" si="17"/>
        <v>158.6</v>
      </c>
      <c r="F118" s="26">
        <f t="shared" si="17"/>
        <v>124.40004220000003</v>
      </c>
      <c r="G118" s="31">
        <f t="shared" si="16"/>
        <v>46779.557778030547</v>
      </c>
      <c r="H118" s="124">
        <f t="shared" si="18"/>
        <v>36.076939444156181</v>
      </c>
      <c r="I118" s="125">
        <f t="shared" si="18"/>
        <v>1.5802781289506962E-2</v>
      </c>
      <c r="J118" s="125">
        <f t="shared" si="18"/>
        <v>0.27</v>
      </c>
      <c r="K118" s="125">
        <f t="shared" si="18"/>
        <v>4.4787946264861052E-2</v>
      </c>
      <c r="L118" s="125">
        <f t="shared" si="18"/>
        <v>1.4140595613406415E-2</v>
      </c>
      <c r="M118" s="125">
        <f t="shared" si="18"/>
        <v>1.2367081056294736E-2</v>
      </c>
      <c r="N118" s="125">
        <f t="shared" si="18"/>
        <v>1.3960975699298588E-2</v>
      </c>
      <c r="O118" s="125">
        <f t="shared" si="18"/>
        <v>0</v>
      </c>
      <c r="P118" s="125">
        <f t="shared" si="18"/>
        <v>2.3055036005913448E-2</v>
      </c>
      <c r="Q118" s="125">
        <f t="shared" si="18"/>
        <v>3.6978876304825567E-3</v>
      </c>
      <c r="R118" s="125">
        <f t="shared" si="18"/>
        <v>0.995</v>
      </c>
      <c r="S118" s="125">
        <f t="shared" si="18"/>
        <v>0.995</v>
      </c>
      <c r="T118" s="125">
        <f t="shared" si="18"/>
        <v>0</v>
      </c>
      <c r="U118" s="126"/>
      <c r="V118" s="126"/>
      <c r="W118" s="126"/>
      <c r="X118" s="126"/>
      <c r="Y118" s="126"/>
      <c r="Z118" s="126"/>
      <c r="AA118" s="126"/>
      <c r="AB118" s="126"/>
    </row>
    <row r="119" spans="1:28">
      <c r="A119" t="s">
        <v>2503</v>
      </c>
      <c r="B119" s="25">
        <f t="shared" si="11"/>
        <v>9</v>
      </c>
      <c r="C119" s="123" t="str">
        <f t="shared" si="10"/>
        <v>Year-9</v>
      </c>
      <c r="D119" s="35">
        <v>47849</v>
      </c>
      <c r="E119" s="26">
        <f t="shared" si="17"/>
        <v>169.028549</v>
      </c>
      <c r="F119" s="26">
        <f t="shared" si="17"/>
        <v>133.89933939999995</v>
      </c>
      <c r="G119" s="31">
        <f t="shared" si="16"/>
        <v>49666.945561347246</v>
      </c>
      <c r="H119" s="124">
        <f t="shared" si="18"/>
        <v>34.970332119021293</v>
      </c>
      <c r="I119" s="125">
        <f t="shared" si="18"/>
        <v>1.7200474495848161E-2</v>
      </c>
      <c r="J119" s="125">
        <f t="shared" si="18"/>
        <v>0.27</v>
      </c>
      <c r="K119" s="125">
        <f t="shared" si="18"/>
        <v>4.0029940128316385E-2</v>
      </c>
      <c r="L119" s="125">
        <f t="shared" si="18"/>
        <v>1.4099625889623608E-2</v>
      </c>
      <c r="M119" s="125">
        <f t="shared" si="18"/>
        <v>1.267725762135744E-2</v>
      </c>
      <c r="N119" s="125">
        <f t="shared" si="18"/>
        <v>1.390175346828215E-2</v>
      </c>
      <c r="O119" s="125">
        <f t="shared" si="18"/>
        <v>0</v>
      </c>
      <c r="P119" s="125">
        <f t="shared" si="18"/>
        <v>2.298066658515029E-2</v>
      </c>
      <c r="Q119" s="125">
        <f t="shared" si="18"/>
        <v>1.0644897972798715E-2</v>
      </c>
      <c r="R119" s="125">
        <f t="shared" si="18"/>
        <v>0.995</v>
      </c>
      <c r="S119" s="125">
        <f t="shared" si="18"/>
        <v>0.995</v>
      </c>
      <c r="T119" s="125">
        <f t="shared" si="18"/>
        <v>0</v>
      </c>
      <c r="U119" s="126"/>
      <c r="V119" s="126"/>
      <c r="W119" s="126"/>
      <c r="X119" s="126"/>
      <c r="Y119" s="126"/>
      <c r="Z119" s="126"/>
      <c r="AA119" s="126"/>
      <c r="AB119" s="126"/>
    </row>
    <row r="120" spans="1:28">
      <c r="A120" t="s">
        <v>2503</v>
      </c>
      <c r="B120" s="25">
        <f t="shared" si="11"/>
        <v>9</v>
      </c>
      <c r="C120" s="123" t="str">
        <f t="shared" si="10"/>
        <v>Year-9</v>
      </c>
      <c r="D120" s="35">
        <v>47880</v>
      </c>
      <c r="E120" s="26">
        <f t="shared" si="17"/>
        <v>172.55912190000004</v>
      </c>
      <c r="F120" s="26">
        <f t="shared" si="17"/>
        <v>145.40077080000009</v>
      </c>
      <c r="G120" s="31">
        <f t="shared" si="16"/>
        <v>45820.324923841428</v>
      </c>
      <c r="H120" s="124">
        <f t="shared" si="18"/>
        <v>40.252096455972236</v>
      </c>
      <c r="I120" s="125">
        <f t="shared" si="18"/>
        <v>1.510749564206848E-2</v>
      </c>
      <c r="J120" s="125">
        <f t="shared" si="18"/>
        <v>0.27</v>
      </c>
      <c r="K120" s="125">
        <f t="shared" si="18"/>
        <v>6.2111013936519133E-2</v>
      </c>
      <c r="L120" s="125">
        <f t="shared" si="18"/>
        <v>1.4175439055030284E-2</v>
      </c>
      <c r="M120" s="125">
        <f t="shared" si="18"/>
        <v>1.4384371816049681E-2</v>
      </c>
      <c r="N120" s="125">
        <f t="shared" si="18"/>
        <v>1.5915736744616871E-2</v>
      </c>
      <c r="O120" s="125">
        <f t="shared" si="18"/>
        <v>0</v>
      </c>
      <c r="P120" s="125">
        <f t="shared" si="18"/>
        <v>2.3268144471779773E-2</v>
      </c>
      <c r="Q120" s="125">
        <f t="shared" si="18"/>
        <v>2.5052142565085967E-2</v>
      </c>
      <c r="R120" s="125">
        <f t="shared" si="18"/>
        <v>0.995</v>
      </c>
      <c r="S120" s="125">
        <f t="shared" si="18"/>
        <v>0.995</v>
      </c>
      <c r="T120" s="125">
        <f t="shared" si="18"/>
        <v>0</v>
      </c>
      <c r="U120" s="126"/>
      <c r="V120" s="126"/>
      <c r="W120" s="126"/>
      <c r="X120" s="126"/>
      <c r="Y120" s="126"/>
      <c r="Z120" s="126"/>
      <c r="AA120" s="126"/>
      <c r="AB120" s="126"/>
    </row>
    <row r="121" spans="1:28">
      <c r="A121" t="s">
        <v>2503</v>
      </c>
      <c r="B121" s="25">
        <f t="shared" si="11"/>
        <v>9</v>
      </c>
      <c r="C121" s="123" t="str">
        <f t="shared" si="10"/>
        <v>Year-9</v>
      </c>
      <c r="D121" s="35">
        <v>47908</v>
      </c>
      <c r="E121" s="26">
        <f t="shared" si="17"/>
        <v>215.74576700000009</v>
      </c>
      <c r="F121" s="26">
        <f t="shared" si="17"/>
        <v>195.59891570000002</v>
      </c>
      <c r="G121" s="31">
        <f t="shared" si="16"/>
        <v>58629.474754528332</v>
      </c>
      <c r="H121" s="124">
        <f t="shared" si="18"/>
        <v>47.179622377374095</v>
      </c>
      <c r="I121" s="125">
        <f t="shared" si="18"/>
        <v>1.5306122448979553E-2</v>
      </c>
      <c r="J121" s="125">
        <f t="shared" si="18"/>
        <v>0.28000000000000003</v>
      </c>
      <c r="K121" s="125">
        <f t="shared" si="18"/>
        <v>9.4419706369976972E-2</v>
      </c>
      <c r="L121" s="125">
        <f t="shared" si="18"/>
        <v>1.4644787078611174E-2</v>
      </c>
      <c r="M121" s="125">
        <f t="shared" si="18"/>
        <v>1.6212630268737406E-2</v>
      </c>
      <c r="N121" s="125">
        <f t="shared" si="18"/>
        <v>2.0718676035686345E-2</v>
      </c>
      <c r="O121" s="125">
        <f t="shared" si="18"/>
        <v>0</v>
      </c>
      <c r="P121" s="125">
        <f t="shared" si="18"/>
        <v>2.3247057021314733E-2</v>
      </c>
      <c r="Q121" s="125">
        <f t="shared" si="18"/>
        <v>3.9222124133286969E-2</v>
      </c>
      <c r="R121" s="125">
        <f t="shared" si="18"/>
        <v>0.995</v>
      </c>
      <c r="S121" s="125">
        <f t="shared" si="18"/>
        <v>0.995</v>
      </c>
      <c r="T121" s="125">
        <f t="shared" si="18"/>
        <v>0</v>
      </c>
      <c r="U121" s="126"/>
      <c r="V121" s="126"/>
      <c r="W121" s="126"/>
      <c r="X121" s="126"/>
      <c r="Y121" s="126"/>
      <c r="Z121" s="126"/>
      <c r="AA121" s="126"/>
      <c r="AB121" s="126"/>
    </row>
    <row r="122" spans="1:28">
      <c r="A122" t="s">
        <v>2504</v>
      </c>
      <c r="B122" s="25">
        <f t="shared" si="11"/>
        <v>10</v>
      </c>
      <c r="C122" s="123" t="str">
        <f t="shared" si="10"/>
        <v>Year-10</v>
      </c>
      <c r="D122" s="35">
        <v>47939</v>
      </c>
      <c r="E122" s="26">
        <f t="shared" si="17"/>
        <v>215.9</v>
      </c>
      <c r="F122" s="26">
        <f t="shared" si="17"/>
        <v>208.99969899999999</v>
      </c>
      <c r="G122" s="31">
        <f t="shared" si="16"/>
        <v>56552.265698002564</v>
      </c>
      <c r="H122" s="124">
        <f t="shared" si="18"/>
        <v>52.296499350965128</v>
      </c>
      <c r="I122" s="125">
        <f t="shared" si="18"/>
        <v>1.6658954187875996E-2</v>
      </c>
      <c r="J122" s="125">
        <f t="shared" si="18"/>
        <v>0.28999999999999998</v>
      </c>
      <c r="K122" s="125">
        <f t="shared" si="18"/>
        <v>0.11719199751057031</v>
      </c>
      <c r="L122" s="125">
        <f t="shared" si="18"/>
        <v>1.5231272154623582E-2</v>
      </c>
      <c r="M122" s="125">
        <f t="shared" si="18"/>
        <v>1.6110689006976781E-2</v>
      </c>
      <c r="N122" s="125">
        <f t="shared" si="18"/>
        <v>1.8633277773980331E-2</v>
      </c>
      <c r="O122" s="125">
        <f t="shared" si="18"/>
        <v>0</v>
      </c>
      <c r="P122" s="125">
        <f t="shared" si="18"/>
        <v>2.2802418781094937E-2</v>
      </c>
      <c r="Q122" s="125">
        <f t="shared" si="18"/>
        <v>2.7995485693316467E-2</v>
      </c>
      <c r="R122" s="125">
        <f t="shared" si="18"/>
        <v>0.995</v>
      </c>
      <c r="S122" s="125">
        <f t="shared" si="18"/>
        <v>0.995</v>
      </c>
      <c r="T122" s="125">
        <f t="shared" si="18"/>
        <v>0</v>
      </c>
      <c r="U122" s="126"/>
      <c r="V122" s="126"/>
      <c r="W122" s="126"/>
      <c r="X122" s="126"/>
      <c r="Y122" s="126"/>
      <c r="Z122" s="126"/>
      <c r="AA122" s="126"/>
      <c r="AB122" s="126"/>
    </row>
    <row r="123" spans="1:28">
      <c r="A123" t="s">
        <v>2504</v>
      </c>
      <c r="B123" s="25">
        <f t="shared" si="11"/>
        <v>10</v>
      </c>
      <c r="C123" s="123" t="str">
        <f t="shared" si="10"/>
        <v>Year-10</v>
      </c>
      <c r="D123" s="35">
        <v>47969</v>
      </c>
      <c r="E123" s="26">
        <f t="shared" si="17"/>
        <v>217.9</v>
      </c>
      <c r="F123" s="26">
        <f t="shared" si="17"/>
        <v>221.90023470000006</v>
      </c>
      <c r="G123" s="31">
        <f t="shared" si="16"/>
        <v>59590.635763646576</v>
      </c>
      <c r="H123" s="124">
        <f t="shared" si="18"/>
        <v>55.437733860726389</v>
      </c>
      <c r="I123" s="125">
        <f t="shared" si="18"/>
        <v>1.7865322950068707E-2</v>
      </c>
      <c r="J123" s="125">
        <f t="shared" si="18"/>
        <v>0.3</v>
      </c>
      <c r="K123" s="125">
        <f t="shared" si="18"/>
        <v>0.1306817577748349</v>
      </c>
      <c r="L123" s="125">
        <f t="shared" si="18"/>
        <v>1.609339136491415E-2</v>
      </c>
      <c r="M123" s="125">
        <f t="shared" si="18"/>
        <v>1.525163145425878E-2</v>
      </c>
      <c r="N123" s="125">
        <f t="shared" si="18"/>
        <v>1.5763583972179196E-2</v>
      </c>
      <c r="O123" s="125">
        <f t="shared" si="18"/>
        <v>0</v>
      </c>
      <c r="P123" s="125">
        <f t="shared" si="18"/>
        <v>2.2281870794181511E-2</v>
      </c>
      <c r="Q123" s="125">
        <f t="shared" si="18"/>
        <v>1.1198342091846737E-2</v>
      </c>
      <c r="R123" s="125">
        <f t="shared" si="18"/>
        <v>0.995</v>
      </c>
      <c r="S123" s="125">
        <f t="shared" si="18"/>
        <v>0.995</v>
      </c>
      <c r="T123" s="125">
        <f t="shared" si="18"/>
        <v>0</v>
      </c>
      <c r="U123" s="126"/>
      <c r="V123" s="126"/>
      <c r="W123" s="126"/>
      <c r="X123" s="126"/>
      <c r="Y123" s="126"/>
      <c r="Z123" s="126"/>
      <c r="AA123" s="126"/>
      <c r="AB123" s="126"/>
    </row>
    <row r="124" spans="1:28">
      <c r="A124" t="s">
        <v>2504</v>
      </c>
      <c r="B124" s="25">
        <f t="shared" si="11"/>
        <v>10</v>
      </c>
      <c r="C124" s="123" t="str">
        <f t="shared" si="10"/>
        <v>Year-10</v>
      </c>
      <c r="D124" s="35">
        <v>48000</v>
      </c>
      <c r="E124" s="26">
        <f t="shared" si="17"/>
        <v>192.8</v>
      </c>
      <c r="F124" s="26">
        <f t="shared" si="17"/>
        <v>200.20089519999999</v>
      </c>
      <c r="G124" s="31">
        <f t="shared" si="16"/>
        <v>51796.975404788296</v>
      </c>
      <c r="H124" s="124">
        <f t="shared" si="18"/>
        <v>54.658309168315547</v>
      </c>
      <c r="I124" s="125">
        <f t="shared" si="18"/>
        <v>1.914123124676681E-2</v>
      </c>
      <c r="J124" s="125">
        <f t="shared" si="18"/>
        <v>0.3</v>
      </c>
      <c r="K124" s="125">
        <f t="shared" si="18"/>
        <v>0.12650723469382591</v>
      </c>
      <c r="L124" s="125">
        <f t="shared" si="18"/>
        <v>1.6398522844759341E-2</v>
      </c>
      <c r="M124" s="125">
        <f t="shared" si="18"/>
        <v>1.3926271600695752E-2</v>
      </c>
      <c r="N124" s="125">
        <f t="shared" si="18"/>
        <v>1.4057661793117321E-2</v>
      </c>
      <c r="O124" s="125">
        <f t="shared" si="18"/>
        <v>0</v>
      </c>
      <c r="P124" s="125">
        <f t="shared" si="18"/>
        <v>2.1677907023400757E-2</v>
      </c>
      <c r="Q124" s="125">
        <f t="shared" si="18"/>
        <v>4.051685061336731E-3</v>
      </c>
      <c r="R124" s="125">
        <f t="shared" si="18"/>
        <v>0.995</v>
      </c>
      <c r="S124" s="125">
        <f t="shared" si="18"/>
        <v>0.995</v>
      </c>
      <c r="T124" s="125">
        <f t="shared" si="18"/>
        <v>0</v>
      </c>
      <c r="U124" s="126"/>
      <c r="V124" s="126"/>
      <c r="W124" s="126"/>
      <c r="X124" s="126"/>
      <c r="Y124" s="126"/>
      <c r="Z124" s="126"/>
      <c r="AA124" s="126"/>
      <c r="AB124" s="126"/>
    </row>
    <row r="125" spans="1:28">
      <c r="A125" t="s">
        <v>2504</v>
      </c>
      <c r="B125" s="25">
        <f t="shared" si="11"/>
        <v>10</v>
      </c>
      <c r="C125" s="123" t="str">
        <f t="shared" si="10"/>
        <v>Year-10</v>
      </c>
      <c r="D125" s="35">
        <v>48030</v>
      </c>
      <c r="E125" s="26">
        <f t="shared" si="17"/>
        <v>168.9</v>
      </c>
      <c r="F125" s="26">
        <f t="shared" si="17"/>
        <v>173.59972409999992</v>
      </c>
      <c r="G125" s="31">
        <f t="shared" si="16"/>
        <v>47466.092358838585</v>
      </c>
      <c r="H125" s="124">
        <f t="shared" si="18"/>
        <v>51.564857066184757</v>
      </c>
      <c r="I125" s="125">
        <f t="shared" si="18"/>
        <v>2.1854695806261204E-2</v>
      </c>
      <c r="J125" s="125">
        <f t="shared" si="18"/>
        <v>0.28000000000000003</v>
      </c>
      <c r="K125" s="125">
        <f t="shared" si="18"/>
        <v>0.1089308468990661</v>
      </c>
      <c r="L125" s="125">
        <f t="shared" si="18"/>
        <v>1.5867586262633245E-2</v>
      </c>
      <c r="M125" s="125">
        <f t="shared" si="18"/>
        <v>1.231974144019694E-2</v>
      </c>
      <c r="N125" s="125">
        <f t="shared" si="18"/>
        <v>1.3502102014775261E-2</v>
      </c>
      <c r="O125" s="125">
        <f t="shared" si="18"/>
        <v>0</v>
      </c>
      <c r="P125" s="125">
        <f t="shared" si="18"/>
        <v>2.127320988616644E-2</v>
      </c>
      <c r="Q125" s="125">
        <f t="shared" si="18"/>
        <v>1.5557262066246368E-3</v>
      </c>
      <c r="R125" s="125">
        <f t="shared" si="18"/>
        <v>0.995</v>
      </c>
      <c r="S125" s="125">
        <f t="shared" si="18"/>
        <v>0.995</v>
      </c>
      <c r="T125" s="125">
        <f t="shared" si="18"/>
        <v>0</v>
      </c>
      <c r="U125" s="126"/>
      <c r="V125" s="126"/>
      <c r="W125" s="126"/>
      <c r="X125" s="126"/>
      <c r="Y125" s="126"/>
      <c r="Z125" s="126"/>
      <c r="AA125" s="126"/>
      <c r="AB125" s="126"/>
    </row>
    <row r="126" spans="1:28">
      <c r="A126" t="s">
        <v>2504</v>
      </c>
      <c r="B126" s="25">
        <f t="shared" si="11"/>
        <v>10</v>
      </c>
      <c r="C126" s="123" t="str">
        <f t="shared" si="10"/>
        <v>Year-10</v>
      </c>
      <c r="D126" s="35">
        <v>48061</v>
      </c>
      <c r="E126" s="26">
        <f t="shared" ref="E126:F141" si="19">E114</f>
        <v>174.2</v>
      </c>
      <c r="F126" s="26">
        <f t="shared" si="19"/>
        <v>172.6001566000001</v>
      </c>
      <c r="G126" s="31">
        <f t="shared" si="16"/>
        <v>48324.552472623727</v>
      </c>
      <c r="H126" s="124">
        <f t="shared" ref="H126:T141" si="20">H114</f>
        <v>50.336592710430871</v>
      </c>
      <c r="I126" s="125">
        <f t="shared" si="20"/>
        <v>2.0196191575302946E-2</v>
      </c>
      <c r="J126" s="125">
        <f t="shared" si="20"/>
        <v>0.27</v>
      </c>
      <c r="K126" s="125">
        <f t="shared" si="20"/>
        <v>0.10494453414747008</v>
      </c>
      <c r="L126" s="125">
        <f t="shared" si="20"/>
        <v>1.507508977611231E-2</v>
      </c>
      <c r="M126" s="125">
        <f t="shared" si="20"/>
        <v>1.2791562311125756E-2</v>
      </c>
      <c r="N126" s="125">
        <f t="shared" si="20"/>
        <v>1.4116403195935955E-2</v>
      </c>
      <c r="O126" s="125">
        <f t="shared" si="20"/>
        <v>0</v>
      </c>
      <c r="P126" s="125">
        <f t="shared" si="20"/>
        <v>2.157456294953386E-2</v>
      </c>
      <c r="Q126" s="125">
        <f t="shared" si="20"/>
        <v>6.2818876990405415E-3</v>
      </c>
      <c r="R126" s="125">
        <f t="shared" si="20"/>
        <v>0.995</v>
      </c>
      <c r="S126" s="125">
        <f t="shared" si="20"/>
        <v>0.995</v>
      </c>
      <c r="T126" s="125">
        <f t="shared" si="20"/>
        <v>0</v>
      </c>
      <c r="U126" s="126"/>
      <c r="V126" s="126"/>
      <c r="W126" s="126"/>
      <c r="X126" s="126"/>
      <c r="Y126" s="126"/>
      <c r="Z126" s="126"/>
      <c r="AA126" s="126"/>
      <c r="AB126" s="126"/>
    </row>
    <row r="127" spans="1:28">
      <c r="A127" t="s">
        <v>2504</v>
      </c>
      <c r="B127" s="25">
        <f t="shared" si="11"/>
        <v>10</v>
      </c>
      <c r="C127" s="123" t="str">
        <f t="shared" si="10"/>
        <v>Year-10</v>
      </c>
      <c r="D127" s="35">
        <v>48092</v>
      </c>
      <c r="E127" s="26">
        <f t="shared" si="19"/>
        <v>192.1</v>
      </c>
      <c r="F127" s="26">
        <f t="shared" si="19"/>
        <v>178.89930529999984</v>
      </c>
      <c r="G127" s="31">
        <f t="shared" si="16"/>
        <v>50890.287194723089</v>
      </c>
      <c r="H127" s="124">
        <f t="shared" si="20"/>
        <v>52.25059433997491</v>
      </c>
      <c r="I127" s="125">
        <f t="shared" si="20"/>
        <v>1.7196456487754141E-2</v>
      </c>
      <c r="J127" s="125">
        <f t="shared" si="20"/>
        <v>0.26</v>
      </c>
      <c r="K127" s="125">
        <f t="shared" si="20"/>
        <v>0.11387126505657014</v>
      </c>
      <c r="L127" s="125">
        <f t="shared" si="20"/>
        <v>1.3959618092500629E-2</v>
      </c>
      <c r="M127" s="125">
        <f t="shared" si="20"/>
        <v>1.4531255376132731E-2</v>
      </c>
      <c r="N127" s="125">
        <f t="shared" si="20"/>
        <v>1.4478833500810966E-2</v>
      </c>
      <c r="O127" s="125">
        <f t="shared" si="20"/>
        <v>0</v>
      </c>
      <c r="P127" s="125">
        <f t="shared" si="20"/>
        <v>2.2473527643153385E-2</v>
      </c>
      <c r="Q127" s="125">
        <f t="shared" si="20"/>
        <v>1.1388926338936924E-2</v>
      </c>
      <c r="R127" s="125">
        <f t="shared" si="20"/>
        <v>0.995</v>
      </c>
      <c r="S127" s="125">
        <f t="shared" si="20"/>
        <v>0.995</v>
      </c>
      <c r="T127" s="125">
        <f t="shared" si="20"/>
        <v>0</v>
      </c>
      <c r="U127" s="126"/>
      <c r="V127" s="126"/>
      <c r="W127" s="126"/>
      <c r="X127" s="126"/>
      <c r="Y127" s="126"/>
      <c r="Z127" s="126"/>
      <c r="AA127" s="126"/>
      <c r="AB127" s="126"/>
    </row>
    <row r="128" spans="1:28">
      <c r="A128" t="s">
        <v>2504</v>
      </c>
      <c r="B128" s="25">
        <f t="shared" si="11"/>
        <v>10</v>
      </c>
      <c r="C128" s="123" t="str">
        <f t="shared" si="10"/>
        <v>Year-10</v>
      </c>
      <c r="D128" s="35">
        <v>48122</v>
      </c>
      <c r="E128" s="26">
        <f t="shared" si="19"/>
        <v>202.3</v>
      </c>
      <c r="F128" s="26">
        <f t="shared" si="19"/>
        <v>174.60082279999986</v>
      </c>
      <c r="G128" s="31">
        <f t="shared" si="16"/>
        <v>55163.296525136735</v>
      </c>
      <c r="H128" s="124">
        <f t="shared" si="20"/>
        <v>49.723937837075084</v>
      </c>
      <c r="I128" s="125">
        <f t="shared" si="20"/>
        <v>1.5873015873015817E-2</v>
      </c>
      <c r="J128" s="125">
        <f t="shared" si="20"/>
        <v>0.27</v>
      </c>
      <c r="K128" s="125">
        <f t="shared" si="20"/>
        <v>0.10390722673430232</v>
      </c>
      <c r="L128" s="125">
        <f t="shared" si="20"/>
        <v>1.4040704754284353E-2</v>
      </c>
      <c r="M128" s="125">
        <f t="shared" si="20"/>
        <v>1.526389492868482E-2</v>
      </c>
      <c r="N128" s="125">
        <f t="shared" si="20"/>
        <v>1.5324069649683622E-2</v>
      </c>
      <c r="O128" s="125">
        <f t="shared" si="20"/>
        <v>0</v>
      </c>
      <c r="P128" s="125">
        <f t="shared" si="20"/>
        <v>2.3043103417804571E-2</v>
      </c>
      <c r="Q128" s="125">
        <f t="shared" si="20"/>
        <v>2.1184397869334348E-2</v>
      </c>
      <c r="R128" s="125">
        <f t="shared" si="20"/>
        <v>0.995</v>
      </c>
      <c r="S128" s="125">
        <f t="shared" si="20"/>
        <v>0.995</v>
      </c>
      <c r="T128" s="125">
        <f t="shared" si="20"/>
        <v>0</v>
      </c>
      <c r="U128" s="126"/>
      <c r="V128" s="126"/>
      <c r="W128" s="126"/>
      <c r="X128" s="126"/>
      <c r="Y128" s="126"/>
      <c r="Z128" s="126"/>
      <c r="AA128" s="126"/>
      <c r="AB128" s="126"/>
    </row>
    <row r="129" spans="1:28">
      <c r="A129" t="s">
        <v>2504</v>
      </c>
      <c r="B129" s="25">
        <f t="shared" si="11"/>
        <v>10</v>
      </c>
      <c r="C129" s="123" t="str">
        <f t="shared" si="10"/>
        <v>Year-10</v>
      </c>
      <c r="D129" s="35">
        <v>48153</v>
      </c>
      <c r="E129" s="26">
        <f t="shared" si="19"/>
        <v>162.9</v>
      </c>
      <c r="F129" s="26">
        <f t="shared" si="19"/>
        <v>133.69942049999997</v>
      </c>
      <c r="G129" s="31">
        <f t="shared" si="16"/>
        <v>45237.954310699657</v>
      </c>
      <c r="H129" s="124">
        <f t="shared" si="20"/>
        <v>42.187120547750681</v>
      </c>
      <c r="I129" s="125">
        <f t="shared" si="20"/>
        <v>1.5950920245398792E-2</v>
      </c>
      <c r="J129" s="125">
        <f t="shared" si="20"/>
        <v>0.27</v>
      </c>
      <c r="K129" s="125">
        <f t="shared" si="20"/>
        <v>6.9024239591701744E-2</v>
      </c>
      <c r="L129" s="125">
        <f t="shared" si="20"/>
        <v>1.4204952105287192E-2</v>
      </c>
      <c r="M129" s="125">
        <f t="shared" si="20"/>
        <v>1.3252885058363056E-2</v>
      </c>
      <c r="N129" s="125">
        <f t="shared" si="20"/>
        <v>1.3980442883231779E-2</v>
      </c>
      <c r="O129" s="125">
        <f t="shared" si="20"/>
        <v>0</v>
      </c>
      <c r="P129" s="125">
        <f t="shared" si="20"/>
        <v>2.30208488716231E-2</v>
      </c>
      <c r="Q129" s="125">
        <f t="shared" si="20"/>
        <v>8.3479094998109554E-3</v>
      </c>
      <c r="R129" s="125">
        <f t="shared" si="20"/>
        <v>0.995</v>
      </c>
      <c r="S129" s="125">
        <f t="shared" si="20"/>
        <v>0.995</v>
      </c>
      <c r="T129" s="125">
        <f t="shared" si="20"/>
        <v>0</v>
      </c>
      <c r="U129" s="126"/>
      <c r="V129" s="126"/>
      <c r="W129" s="126"/>
      <c r="X129" s="126"/>
      <c r="Y129" s="126"/>
      <c r="Z129" s="126"/>
      <c r="AA129" s="126"/>
      <c r="AB129" s="126"/>
    </row>
    <row r="130" spans="1:28">
      <c r="A130" t="s">
        <v>2504</v>
      </c>
      <c r="B130" s="25">
        <f t="shared" si="11"/>
        <v>10</v>
      </c>
      <c r="C130" s="123" t="str">
        <f t="shared" ref="C130:C193" si="21">CONCATENATE("Year-",B130)</f>
        <v>Year-10</v>
      </c>
      <c r="D130" s="35">
        <v>48183</v>
      </c>
      <c r="E130" s="26">
        <f t="shared" si="19"/>
        <v>158.6</v>
      </c>
      <c r="F130" s="26">
        <f t="shared" si="19"/>
        <v>124.40004220000003</v>
      </c>
      <c r="G130" s="31">
        <f t="shared" si="16"/>
        <v>46569.049768029414</v>
      </c>
      <c r="H130" s="124">
        <f t="shared" si="20"/>
        <v>36.076939444156181</v>
      </c>
      <c r="I130" s="125">
        <f t="shared" si="20"/>
        <v>1.5802781289506962E-2</v>
      </c>
      <c r="J130" s="125">
        <f t="shared" si="20"/>
        <v>0.27</v>
      </c>
      <c r="K130" s="125">
        <f t="shared" si="20"/>
        <v>4.4787946264861052E-2</v>
      </c>
      <c r="L130" s="125">
        <f t="shared" si="20"/>
        <v>1.4140595613406415E-2</v>
      </c>
      <c r="M130" s="125">
        <f t="shared" si="20"/>
        <v>1.2367081056294736E-2</v>
      </c>
      <c r="N130" s="125">
        <f t="shared" si="20"/>
        <v>1.3960975699298588E-2</v>
      </c>
      <c r="O130" s="125">
        <f t="shared" si="20"/>
        <v>0</v>
      </c>
      <c r="P130" s="125">
        <f t="shared" si="20"/>
        <v>2.3055036005913448E-2</v>
      </c>
      <c r="Q130" s="125">
        <f t="shared" si="20"/>
        <v>3.6978876304825567E-3</v>
      </c>
      <c r="R130" s="125">
        <f t="shared" si="20"/>
        <v>0.995</v>
      </c>
      <c r="S130" s="125">
        <f t="shared" si="20"/>
        <v>0.995</v>
      </c>
      <c r="T130" s="125">
        <f t="shared" si="20"/>
        <v>0</v>
      </c>
      <c r="U130" s="126"/>
      <c r="V130" s="126"/>
      <c r="W130" s="126"/>
      <c r="X130" s="126"/>
      <c r="Y130" s="126"/>
      <c r="Z130" s="126"/>
      <c r="AA130" s="126"/>
      <c r="AB130" s="126"/>
    </row>
    <row r="131" spans="1:28">
      <c r="A131" t="s">
        <v>2504</v>
      </c>
      <c r="B131" s="25">
        <f t="shared" si="11"/>
        <v>10</v>
      </c>
      <c r="C131" s="123" t="str">
        <f t="shared" si="21"/>
        <v>Year-10</v>
      </c>
      <c r="D131" s="35">
        <v>48214</v>
      </c>
      <c r="E131" s="26">
        <f t="shared" si="19"/>
        <v>169.028549</v>
      </c>
      <c r="F131" s="26">
        <f t="shared" si="19"/>
        <v>133.89933939999995</v>
      </c>
      <c r="G131" s="31">
        <f t="shared" si="16"/>
        <v>49443.444306321187</v>
      </c>
      <c r="H131" s="124">
        <f t="shared" si="20"/>
        <v>34.970332119021293</v>
      </c>
      <c r="I131" s="125">
        <f t="shared" si="20"/>
        <v>1.7200474495848161E-2</v>
      </c>
      <c r="J131" s="125">
        <f t="shared" si="20"/>
        <v>0.27</v>
      </c>
      <c r="K131" s="125">
        <f t="shared" si="20"/>
        <v>4.0029940128316385E-2</v>
      </c>
      <c r="L131" s="125">
        <f t="shared" si="20"/>
        <v>1.4099625889623608E-2</v>
      </c>
      <c r="M131" s="125">
        <f t="shared" si="20"/>
        <v>1.267725762135744E-2</v>
      </c>
      <c r="N131" s="125">
        <f t="shared" si="20"/>
        <v>1.390175346828215E-2</v>
      </c>
      <c r="O131" s="125">
        <f t="shared" si="20"/>
        <v>0</v>
      </c>
      <c r="P131" s="125">
        <f t="shared" si="20"/>
        <v>2.298066658515029E-2</v>
      </c>
      <c r="Q131" s="125">
        <f t="shared" si="20"/>
        <v>1.0644897972798715E-2</v>
      </c>
      <c r="R131" s="125">
        <f t="shared" si="20"/>
        <v>0.995</v>
      </c>
      <c r="S131" s="125">
        <f t="shared" si="20"/>
        <v>0.995</v>
      </c>
      <c r="T131" s="125">
        <f t="shared" si="20"/>
        <v>0</v>
      </c>
      <c r="U131" s="126"/>
      <c r="V131" s="126"/>
      <c r="W131" s="126"/>
      <c r="X131" s="126"/>
      <c r="Y131" s="126"/>
      <c r="Z131" s="126"/>
      <c r="AA131" s="126"/>
      <c r="AB131" s="126"/>
    </row>
    <row r="132" spans="1:28">
      <c r="A132" t="s">
        <v>2504</v>
      </c>
      <c r="B132" s="25">
        <f t="shared" si="11"/>
        <v>10</v>
      </c>
      <c r="C132" s="123" t="str">
        <f t="shared" si="21"/>
        <v>Year-10</v>
      </c>
      <c r="D132" s="35">
        <v>48245</v>
      </c>
      <c r="E132" s="26">
        <f t="shared" si="19"/>
        <v>172.55912190000004</v>
      </c>
      <c r="F132" s="26">
        <f t="shared" si="19"/>
        <v>145.40077080000009</v>
      </c>
      <c r="G132" s="31">
        <f t="shared" si="16"/>
        <v>45614.133461684141</v>
      </c>
      <c r="H132" s="124">
        <f t="shared" si="20"/>
        <v>40.252096455972236</v>
      </c>
      <c r="I132" s="125">
        <f t="shared" si="20"/>
        <v>1.510749564206848E-2</v>
      </c>
      <c r="J132" s="125">
        <f t="shared" si="20"/>
        <v>0.27</v>
      </c>
      <c r="K132" s="125">
        <f t="shared" si="20"/>
        <v>6.2111013936519133E-2</v>
      </c>
      <c r="L132" s="125">
        <f t="shared" si="20"/>
        <v>1.4175439055030284E-2</v>
      </c>
      <c r="M132" s="125">
        <f t="shared" si="20"/>
        <v>1.4384371816049681E-2</v>
      </c>
      <c r="N132" s="125">
        <f t="shared" si="20"/>
        <v>1.5915736744616871E-2</v>
      </c>
      <c r="O132" s="125">
        <f t="shared" si="20"/>
        <v>0</v>
      </c>
      <c r="P132" s="125">
        <f t="shared" si="20"/>
        <v>2.3268144471779773E-2</v>
      </c>
      <c r="Q132" s="125">
        <f t="shared" si="20"/>
        <v>2.5052142565085967E-2</v>
      </c>
      <c r="R132" s="125">
        <f t="shared" si="20"/>
        <v>0.995</v>
      </c>
      <c r="S132" s="125">
        <f t="shared" si="20"/>
        <v>0.995</v>
      </c>
      <c r="T132" s="125">
        <f t="shared" si="20"/>
        <v>0</v>
      </c>
      <c r="U132" s="126"/>
      <c r="V132" s="126"/>
      <c r="W132" s="126"/>
      <c r="X132" s="126"/>
      <c r="Y132" s="126"/>
      <c r="Z132" s="126"/>
      <c r="AA132" s="126"/>
      <c r="AB132" s="126"/>
    </row>
    <row r="133" spans="1:28">
      <c r="A133" t="s">
        <v>2504</v>
      </c>
      <c r="B133" s="25">
        <f t="shared" si="11"/>
        <v>10</v>
      </c>
      <c r="C133" s="123" t="str">
        <f t="shared" si="21"/>
        <v>Year-10</v>
      </c>
      <c r="D133" s="35">
        <v>48274</v>
      </c>
      <c r="E133" s="26">
        <f t="shared" si="19"/>
        <v>215.74576700000009</v>
      </c>
      <c r="F133" s="26">
        <f t="shared" si="19"/>
        <v>195.59891570000002</v>
      </c>
      <c r="G133" s="31">
        <f t="shared" si="16"/>
        <v>58365.642118132957</v>
      </c>
      <c r="H133" s="124">
        <f t="shared" si="20"/>
        <v>47.179622377374095</v>
      </c>
      <c r="I133" s="125">
        <f t="shared" si="20"/>
        <v>1.5306122448979553E-2</v>
      </c>
      <c r="J133" s="125">
        <f t="shared" si="20"/>
        <v>0.28000000000000003</v>
      </c>
      <c r="K133" s="125">
        <f t="shared" si="20"/>
        <v>9.4419706369976972E-2</v>
      </c>
      <c r="L133" s="125">
        <f t="shared" si="20"/>
        <v>1.4644787078611174E-2</v>
      </c>
      <c r="M133" s="125">
        <f t="shared" si="20"/>
        <v>1.6212630268737406E-2</v>
      </c>
      <c r="N133" s="125">
        <f t="shared" si="20"/>
        <v>2.0718676035686345E-2</v>
      </c>
      <c r="O133" s="125">
        <f t="shared" si="20"/>
        <v>0</v>
      </c>
      <c r="P133" s="125">
        <f t="shared" si="20"/>
        <v>2.3247057021314733E-2</v>
      </c>
      <c r="Q133" s="125">
        <f t="shared" si="20"/>
        <v>3.9222124133286969E-2</v>
      </c>
      <c r="R133" s="125">
        <f t="shared" si="20"/>
        <v>0.995</v>
      </c>
      <c r="S133" s="125">
        <f t="shared" si="20"/>
        <v>0.995</v>
      </c>
      <c r="T133" s="125">
        <f t="shared" si="20"/>
        <v>0</v>
      </c>
      <c r="U133" s="126"/>
      <c r="V133" s="126"/>
      <c r="W133" s="126"/>
      <c r="X133" s="126"/>
      <c r="Y133" s="126"/>
      <c r="Z133" s="126"/>
      <c r="AA133" s="126"/>
      <c r="AB133" s="126"/>
    </row>
    <row r="134" spans="1:28">
      <c r="A134" t="s">
        <v>2505</v>
      </c>
      <c r="B134" s="25">
        <f t="shared" si="11"/>
        <v>11</v>
      </c>
      <c r="C134" s="123" t="str">
        <f t="shared" si="21"/>
        <v>Year-11</v>
      </c>
      <c r="D134" s="35">
        <v>48305</v>
      </c>
      <c r="E134" s="26">
        <f t="shared" si="19"/>
        <v>215.9</v>
      </c>
      <c r="F134" s="26">
        <f t="shared" si="19"/>
        <v>208.99969899999999</v>
      </c>
      <c r="G134" s="31">
        <f t="shared" si="16"/>
        <v>56297.780502361558</v>
      </c>
      <c r="H134" s="124">
        <f t="shared" si="20"/>
        <v>52.296499350965128</v>
      </c>
      <c r="I134" s="125">
        <f t="shared" si="20"/>
        <v>1.6658954187875996E-2</v>
      </c>
      <c r="J134" s="125">
        <f t="shared" si="20"/>
        <v>0.28999999999999998</v>
      </c>
      <c r="K134" s="125">
        <f t="shared" si="20"/>
        <v>0.11719199751057031</v>
      </c>
      <c r="L134" s="125">
        <f t="shared" si="20"/>
        <v>1.5231272154623582E-2</v>
      </c>
      <c r="M134" s="125">
        <f t="shared" si="20"/>
        <v>1.6110689006976781E-2</v>
      </c>
      <c r="N134" s="125">
        <f t="shared" si="20"/>
        <v>1.8633277773980331E-2</v>
      </c>
      <c r="O134" s="125">
        <f t="shared" si="20"/>
        <v>0</v>
      </c>
      <c r="P134" s="125">
        <f t="shared" si="20"/>
        <v>2.2802418781094937E-2</v>
      </c>
      <c r="Q134" s="125">
        <f t="shared" si="20"/>
        <v>2.7995485693316467E-2</v>
      </c>
      <c r="R134" s="125">
        <f t="shared" si="20"/>
        <v>0.995</v>
      </c>
      <c r="S134" s="125">
        <f t="shared" si="20"/>
        <v>0.995</v>
      </c>
      <c r="T134" s="125">
        <f t="shared" si="20"/>
        <v>0</v>
      </c>
      <c r="U134" s="126"/>
      <c r="V134" s="126"/>
      <c r="W134" s="126"/>
      <c r="X134" s="126"/>
      <c r="Y134" s="126"/>
      <c r="Z134" s="126"/>
      <c r="AA134" s="126"/>
      <c r="AB134" s="126"/>
    </row>
    <row r="135" spans="1:28">
      <c r="A135" t="s">
        <v>2505</v>
      </c>
      <c r="B135" s="25">
        <f t="shared" si="11"/>
        <v>11</v>
      </c>
      <c r="C135" s="123" t="str">
        <f t="shared" si="21"/>
        <v>Year-11</v>
      </c>
      <c r="D135" s="35">
        <v>48335</v>
      </c>
      <c r="E135" s="26">
        <f t="shared" si="19"/>
        <v>217.9</v>
      </c>
      <c r="F135" s="26">
        <f t="shared" si="19"/>
        <v>221.90023470000006</v>
      </c>
      <c r="G135" s="31">
        <f t="shared" si="16"/>
        <v>59322.477902710169</v>
      </c>
      <c r="H135" s="124">
        <f t="shared" si="20"/>
        <v>55.437733860726389</v>
      </c>
      <c r="I135" s="125">
        <f t="shared" si="20"/>
        <v>1.7865322950068707E-2</v>
      </c>
      <c r="J135" s="125">
        <f t="shared" si="20"/>
        <v>0.3</v>
      </c>
      <c r="K135" s="125">
        <f t="shared" si="20"/>
        <v>0.1306817577748349</v>
      </c>
      <c r="L135" s="125">
        <f t="shared" si="20"/>
        <v>1.609339136491415E-2</v>
      </c>
      <c r="M135" s="125">
        <f t="shared" si="20"/>
        <v>1.525163145425878E-2</v>
      </c>
      <c r="N135" s="125">
        <f t="shared" si="20"/>
        <v>1.5763583972179196E-2</v>
      </c>
      <c r="O135" s="125">
        <f t="shared" si="20"/>
        <v>0</v>
      </c>
      <c r="P135" s="125">
        <f t="shared" si="20"/>
        <v>2.2281870794181511E-2</v>
      </c>
      <c r="Q135" s="125">
        <f t="shared" si="20"/>
        <v>1.1198342091846737E-2</v>
      </c>
      <c r="R135" s="125">
        <f t="shared" si="20"/>
        <v>0.995</v>
      </c>
      <c r="S135" s="125">
        <f t="shared" si="20"/>
        <v>0.995</v>
      </c>
      <c r="T135" s="125">
        <f t="shared" si="20"/>
        <v>0</v>
      </c>
      <c r="U135" s="126"/>
      <c r="V135" s="126"/>
      <c r="W135" s="126"/>
      <c r="X135" s="126"/>
      <c r="Y135" s="126"/>
      <c r="Z135" s="126"/>
      <c r="AA135" s="126"/>
      <c r="AB135" s="126"/>
    </row>
    <row r="136" spans="1:28">
      <c r="A136" t="s">
        <v>2505</v>
      </c>
      <c r="B136" s="25">
        <f t="shared" si="11"/>
        <v>11</v>
      </c>
      <c r="C136" s="123" t="str">
        <f t="shared" si="21"/>
        <v>Year-11</v>
      </c>
      <c r="D136" s="35">
        <v>48366</v>
      </c>
      <c r="E136" s="26">
        <f t="shared" si="19"/>
        <v>192.8</v>
      </c>
      <c r="F136" s="26">
        <f t="shared" si="19"/>
        <v>200.20089519999999</v>
      </c>
      <c r="G136" s="31">
        <f t="shared" si="16"/>
        <v>51563.889015466753</v>
      </c>
      <c r="H136" s="124">
        <f t="shared" si="20"/>
        <v>54.658309168315547</v>
      </c>
      <c r="I136" s="125">
        <f t="shared" si="20"/>
        <v>1.914123124676681E-2</v>
      </c>
      <c r="J136" s="125">
        <f t="shared" si="20"/>
        <v>0.3</v>
      </c>
      <c r="K136" s="125">
        <f t="shared" si="20"/>
        <v>0.12650723469382591</v>
      </c>
      <c r="L136" s="125">
        <f t="shared" si="20"/>
        <v>1.6398522844759341E-2</v>
      </c>
      <c r="M136" s="125">
        <f t="shared" si="20"/>
        <v>1.3926271600695752E-2</v>
      </c>
      <c r="N136" s="125">
        <f t="shared" si="20"/>
        <v>1.4057661793117321E-2</v>
      </c>
      <c r="O136" s="125">
        <f t="shared" si="20"/>
        <v>0</v>
      </c>
      <c r="P136" s="125">
        <f t="shared" si="20"/>
        <v>2.1677907023400757E-2</v>
      </c>
      <c r="Q136" s="125">
        <f t="shared" si="20"/>
        <v>4.051685061336731E-3</v>
      </c>
      <c r="R136" s="125">
        <f t="shared" si="20"/>
        <v>0.995</v>
      </c>
      <c r="S136" s="125">
        <f t="shared" si="20"/>
        <v>0.995</v>
      </c>
      <c r="T136" s="125">
        <f t="shared" si="20"/>
        <v>0</v>
      </c>
      <c r="U136" s="126"/>
      <c r="V136" s="126"/>
      <c r="W136" s="126"/>
      <c r="X136" s="126"/>
      <c r="Y136" s="126"/>
      <c r="Z136" s="126"/>
      <c r="AA136" s="126"/>
      <c r="AB136" s="126"/>
    </row>
    <row r="137" spans="1:28">
      <c r="A137" t="s">
        <v>2505</v>
      </c>
      <c r="B137" s="25">
        <f t="shared" si="11"/>
        <v>11</v>
      </c>
      <c r="C137" s="123" t="str">
        <f t="shared" si="21"/>
        <v>Year-11</v>
      </c>
      <c r="D137" s="35">
        <v>48396</v>
      </c>
      <c r="E137" s="26">
        <f t="shared" si="19"/>
        <v>168.9</v>
      </c>
      <c r="F137" s="26">
        <f t="shared" si="19"/>
        <v>173.59972409999992</v>
      </c>
      <c r="G137" s="31">
        <f t="shared" si="16"/>
        <v>47252.494943223814</v>
      </c>
      <c r="H137" s="124">
        <f t="shared" si="20"/>
        <v>51.564857066184757</v>
      </c>
      <c r="I137" s="125">
        <f t="shared" si="20"/>
        <v>2.1854695806261204E-2</v>
      </c>
      <c r="J137" s="125">
        <f t="shared" si="20"/>
        <v>0.28000000000000003</v>
      </c>
      <c r="K137" s="125">
        <f t="shared" si="20"/>
        <v>0.1089308468990661</v>
      </c>
      <c r="L137" s="125">
        <f t="shared" si="20"/>
        <v>1.5867586262633245E-2</v>
      </c>
      <c r="M137" s="125">
        <f t="shared" si="20"/>
        <v>1.231974144019694E-2</v>
      </c>
      <c r="N137" s="125">
        <f t="shared" si="20"/>
        <v>1.3502102014775261E-2</v>
      </c>
      <c r="O137" s="125">
        <f t="shared" si="20"/>
        <v>0</v>
      </c>
      <c r="P137" s="125">
        <f t="shared" si="20"/>
        <v>2.127320988616644E-2</v>
      </c>
      <c r="Q137" s="125">
        <f t="shared" si="20"/>
        <v>1.5557262066246368E-3</v>
      </c>
      <c r="R137" s="125">
        <f t="shared" si="20"/>
        <v>0.995</v>
      </c>
      <c r="S137" s="125">
        <f t="shared" si="20"/>
        <v>0.995</v>
      </c>
      <c r="T137" s="125">
        <f t="shared" si="20"/>
        <v>0</v>
      </c>
      <c r="U137" s="126"/>
      <c r="V137" s="126"/>
      <c r="W137" s="126"/>
      <c r="X137" s="126"/>
      <c r="Y137" s="126"/>
      <c r="Z137" s="126"/>
      <c r="AA137" s="126"/>
      <c r="AB137" s="126"/>
    </row>
    <row r="138" spans="1:28">
      <c r="A138" t="s">
        <v>2505</v>
      </c>
      <c r="B138" s="25">
        <f t="shared" si="11"/>
        <v>11</v>
      </c>
      <c r="C138" s="123" t="str">
        <f t="shared" si="21"/>
        <v>Year-11</v>
      </c>
      <c r="D138" s="35">
        <v>48427</v>
      </c>
      <c r="E138" s="26">
        <f t="shared" si="19"/>
        <v>174.2</v>
      </c>
      <c r="F138" s="26">
        <f t="shared" si="19"/>
        <v>172.6001566000001</v>
      </c>
      <c r="G138" s="31">
        <f t="shared" si="16"/>
        <v>48107.091986496926</v>
      </c>
      <c r="H138" s="124">
        <f t="shared" si="20"/>
        <v>50.336592710430871</v>
      </c>
      <c r="I138" s="125">
        <f t="shared" si="20"/>
        <v>2.0196191575302946E-2</v>
      </c>
      <c r="J138" s="125">
        <f t="shared" si="20"/>
        <v>0.27</v>
      </c>
      <c r="K138" s="125">
        <f t="shared" si="20"/>
        <v>0.10494453414747008</v>
      </c>
      <c r="L138" s="125">
        <f t="shared" si="20"/>
        <v>1.507508977611231E-2</v>
      </c>
      <c r="M138" s="125">
        <f t="shared" si="20"/>
        <v>1.2791562311125756E-2</v>
      </c>
      <c r="N138" s="125">
        <f t="shared" si="20"/>
        <v>1.4116403195935955E-2</v>
      </c>
      <c r="O138" s="125">
        <f t="shared" si="20"/>
        <v>0</v>
      </c>
      <c r="P138" s="125">
        <f t="shared" si="20"/>
        <v>2.157456294953386E-2</v>
      </c>
      <c r="Q138" s="125">
        <f t="shared" si="20"/>
        <v>6.2818876990405415E-3</v>
      </c>
      <c r="R138" s="125">
        <f t="shared" si="20"/>
        <v>0.995</v>
      </c>
      <c r="S138" s="125">
        <f t="shared" si="20"/>
        <v>0.995</v>
      </c>
      <c r="T138" s="125">
        <f t="shared" si="20"/>
        <v>0</v>
      </c>
      <c r="U138" s="126"/>
      <c r="V138" s="126"/>
      <c r="W138" s="126"/>
      <c r="X138" s="126"/>
      <c r="Y138" s="126"/>
      <c r="Z138" s="126"/>
      <c r="AA138" s="126"/>
      <c r="AB138" s="126"/>
    </row>
    <row r="139" spans="1:28">
      <c r="A139" t="s">
        <v>2505</v>
      </c>
      <c r="B139" s="25">
        <f t="shared" si="11"/>
        <v>11</v>
      </c>
      <c r="C139" s="123" t="str">
        <f t="shared" si="21"/>
        <v>Year-11</v>
      </c>
      <c r="D139" s="35">
        <v>48458</v>
      </c>
      <c r="E139" s="26">
        <f t="shared" si="19"/>
        <v>192.1</v>
      </c>
      <c r="F139" s="26">
        <f t="shared" si="19"/>
        <v>178.89930529999984</v>
      </c>
      <c r="G139" s="31">
        <f t="shared" si="16"/>
        <v>50661.280902346836</v>
      </c>
      <c r="H139" s="124">
        <f t="shared" si="20"/>
        <v>52.25059433997491</v>
      </c>
      <c r="I139" s="125">
        <f t="shared" si="20"/>
        <v>1.7196456487754141E-2</v>
      </c>
      <c r="J139" s="125">
        <f t="shared" si="20"/>
        <v>0.26</v>
      </c>
      <c r="K139" s="125">
        <f t="shared" si="20"/>
        <v>0.11387126505657014</v>
      </c>
      <c r="L139" s="125">
        <f t="shared" si="20"/>
        <v>1.3959618092500629E-2</v>
      </c>
      <c r="M139" s="125">
        <f t="shared" si="20"/>
        <v>1.4531255376132731E-2</v>
      </c>
      <c r="N139" s="125">
        <f t="shared" si="20"/>
        <v>1.4478833500810966E-2</v>
      </c>
      <c r="O139" s="125">
        <f t="shared" si="20"/>
        <v>0</v>
      </c>
      <c r="P139" s="125">
        <f t="shared" si="20"/>
        <v>2.2473527643153385E-2</v>
      </c>
      <c r="Q139" s="125">
        <f t="shared" si="20"/>
        <v>1.1388926338936924E-2</v>
      </c>
      <c r="R139" s="125">
        <f t="shared" si="20"/>
        <v>0.995</v>
      </c>
      <c r="S139" s="125">
        <f t="shared" si="20"/>
        <v>0.995</v>
      </c>
      <c r="T139" s="125">
        <f t="shared" si="20"/>
        <v>0</v>
      </c>
      <c r="U139" s="126"/>
      <c r="V139" s="126"/>
      <c r="W139" s="126"/>
      <c r="X139" s="126"/>
      <c r="Y139" s="126"/>
      <c r="Z139" s="126"/>
      <c r="AA139" s="126"/>
      <c r="AB139" s="126"/>
    </row>
    <row r="140" spans="1:28">
      <c r="A140" t="s">
        <v>2505</v>
      </c>
      <c r="B140" s="25">
        <f t="shared" si="11"/>
        <v>11</v>
      </c>
      <c r="C140" s="123" t="str">
        <f t="shared" si="21"/>
        <v>Year-11</v>
      </c>
      <c r="D140" s="35">
        <v>48488</v>
      </c>
      <c r="E140" s="26">
        <f t="shared" si="19"/>
        <v>202.3</v>
      </c>
      <c r="F140" s="26">
        <f t="shared" si="19"/>
        <v>174.60082279999986</v>
      </c>
      <c r="G140" s="31">
        <f t="shared" si="16"/>
        <v>54915.061690773626</v>
      </c>
      <c r="H140" s="124">
        <f t="shared" si="20"/>
        <v>49.723937837075084</v>
      </c>
      <c r="I140" s="125">
        <f t="shared" si="20"/>
        <v>1.5873015873015817E-2</v>
      </c>
      <c r="J140" s="125">
        <f t="shared" si="20"/>
        <v>0.27</v>
      </c>
      <c r="K140" s="125">
        <f t="shared" si="20"/>
        <v>0.10390722673430232</v>
      </c>
      <c r="L140" s="125">
        <f t="shared" si="20"/>
        <v>1.4040704754284353E-2</v>
      </c>
      <c r="M140" s="125">
        <f t="shared" si="20"/>
        <v>1.526389492868482E-2</v>
      </c>
      <c r="N140" s="125">
        <f t="shared" si="20"/>
        <v>1.5324069649683622E-2</v>
      </c>
      <c r="O140" s="125">
        <f t="shared" si="20"/>
        <v>0</v>
      </c>
      <c r="P140" s="125">
        <f t="shared" si="20"/>
        <v>2.3043103417804571E-2</v>
      </c>
      <c r="Q140" s="125">
        <f t="shared" si="20"/>
        <v>2.1184397869334348E-2</v>
      </c>
      <c r="R140" s="125">
        <f t="shared" si="20"/>
        <v>0.995</v>
      </c>
      <c r="S140" s="125">
        <f t="shared" si="20"/>
        <v>0.995</v>
      </c>
      <c r="T140" s="125">
        <f t="shared" si="20"/>
        <v>0</v>
      </c>
      <c r="U140" s="126"/>
      <c r="V140" s="126"/>
      <c r="W140" s="126"/>
      <c r="X140" s="126"/>
      <c r="Y140" s="126"/>
      <c r="Z140" s="126"/>
      <c r="AA140" s="126"/>
      <c r="AB140" s="126"/>
    </row>
    <row r="141" spans="1:28">
      <c r="A141" t="s">
        <v>2505</v>
      </c>
      <c r="B141" s="25">
        <f t="shared" si="11"/>
        <v>11</v>
      </c>
      <c r="C141" s="123" t="str">
        <f t="shared" si="21"/>
        <v>Year-11</v>
      </c>
      <c r="D141" s="35">
        <v>48519</v>
      </c>
      <c r="E141" s="26">
        <f t="shared" si="19"/>
        <v>162.9</v>
      </c>
      <c r="F141" s="26">
        <f t="shared" si="19"/>
        <v>133.69942049999997</v>
      </c>
      <c r="G141" s="31">
        <f t="shared" si="16"/>
        <v>45034.38351630151</v>
      </c>
      <c r="H141" s="124">
        <f t="shared" si="20"/>
        <v>42.187120547750681</v>
      </c>
      <c r="I141" s="125">
        <f t="shared" si="20"/>
        <v>1.5950920245398792E-2</v>
      </c>
      <c r="J141" s="125">
        <f t="shared" si="20"/>
        <v>0.27</v>
      </c>
      <c r="K141" s="125">
        <f t="shared" si="20"/>
        <v>6.9024239591701744E-2</v>
      </c>
      <c r="L141" s="125">
        <f t="shared" si="20"/>
        <v>1.4204952105287192E-2</v>
      </c>
      <c r="M141" s="125">
        <f t="shared" si="20"/>
        <v>1.3252885058363056E-2</v>
      </c>
      <c r="N141" s="125">
        <f t="shared" si="20"/>
        <v>1.3980442883231779E-2</v>
      </c>
      <c r="O141" s="125">
        <f t="shared" si="20"/>
        <v>0</v>
      </c>
      <c r="P141" s="125">
        <f t="shared" si="20"/>
        <v>2.30208488716231E-2</v>
      </c>
      <c r="Q141" s="125">
        <f t="shared" si="20"/>
        <v>8.3479094998109554E-3</v>
      </c>
      <c r="R141" s="125">
        <f t="shared" si="20"/>
        <v>0.995</v>
      </c>
      <c r="S141" s="125">
        <f t="shared" si="20"/>
        <v>0.995</v>
      </c>
      <c r="T141" s="125">
        <f t="shared" si="20"/>
        <v>0</v>
      </c>
      <c r="U141" s="126"/>
      <c r="V141" s="126"/>
      <c r="W141" s="126"/>
      <c r="X141" s="126"/>
      <c r="Y141" s="126"/>
      <c r="Z141" s="126"/>
      <c r="AA141" s="126"/>
      <c r="AB141" s="126"/>
    </row>
    <row r="142" spans="1:28">
      <c r="A142" t="s">
        <v>2505</v>
      </c>
      <c r="B142" s="25">
        <f t="shared" ref="B142:B205" si="22">B130+1</f>
        <v>11</v>
      </c>
      <c r="C142" s="123" t="str">
        <f t="shared" si="21"/>
        <v>Year-11</v>
      </c>
      <c r="D142" s="35">
        <v>48549</v>
      </c>
      <c r="E142" s="26">
        <f t="shared" ref="E142:F157" si="23">E130</f>
        <v>158.6</v>
      </c>
      <c r="F142" s="26">
        <f t="shared" si="23"/>
        <v>124.40004220000003</v>
      </c>
      <c r="G142" s="31">
        <f t="shared" si="16"/>
        <v>46359.489044073285</v>
      </c>
      <c r="H142" s="124">
        <f t="shared" ref="H142:T157" si="24">H130</f>
        <v>36.076939444156181</v>
      </c>
      <c r="I142" s="125">
        <f t="shared" si="24"/>
        <v>1.5802781289506962E-2</v>
      </c>
      <c r="J142" s="125">
        <f t="shared" si="24"/>
        <v>0.27</v>
      </c>
      <c r="K142" s="125">
        <f t="shared" si="24"/>
        <v>4.4787946264861052E-2</v>
      </c>
      <c r="L142" s="125">
        <f t="shared" si="24"/>
        <v>1.4140595613406415E-2</v>
      </c>
      <c r="M142" s="125">
        <f t="shared" si="24"/>
        <v>1.2367081056294736E-2</v>
      </c>
      <c r="N142" s="125">
        <f t="shared" si="24"/>
        <v>1.3960975699298588E-2</v>
      </c>
      <c r="O142" s="125">
        <f t="shared" si="24"/>
        <v>0</v>
      </c>
      <c r="P142" s="125">
        <f t="shared" si="24"/>
        <v>2.3055036005913448E-2</v>
      </c>
      <c r="Q142" s="125">
        <f t="shared" si="24"/>
        <v>3.6978876304825567E-3</v>
      </c>
      <c r="R142" s="125">
        <f t="shared" si="24"/>
        <v>0.995</v>
      </c>
      <c r="S142" s="125">
        <f t="shared" si="24"/>
        <v>0.995</v>
      </c>
      <c r="T142" s="125">
        <f t="shared" si="24"/>
        <v>0</v>
      </c>
      <c r="U142" s="126"/>
      <c r="V142" s="126"/>
      <c r="W142" s="126"/>
      <c r="X142" s="126"/>
      <c r="Y142" s="126"/>
      <c r="Z142" s="126"/>
      <c r="AA142" s="126"/>
      <c r="AB142" s="126"/>
    </row>
    <row r="143" spans="1:28">
      <c r="A143" t="s">
        <v>2505</v>
      </c>
      <c r="B143" s="25">
        <f t="shared" si="22"/>
        <v>11</v>
      </c>
      <c r="C143" s="123" t="str">
        <f t="shared" si="21"/>
        <v>Year-11</v>
      </c>
      <c r="D143" s="35">
        <v>48580</v>
      </c>
      <c r="E143" s="26">
        <f t="shared" si="23"/>
        <v>169.028549</v>
      </c>
      <c r="F143" s="26">
        <f t="shared" si="23"/>
        <v>133.89933939999995</v>
      </c>
      <c r="G143" s="31">
        <f t="shared" si="16"/>
        <v>49220.948806942746</v>
      </c>
      <c r="H143" s="124">
        <f t="shared" si="24"/>
        <v>34.970332119021293</v>
      </c>
      <c r="I143" s="125">
        <f t="shared" si="24"/>
        <v>1.7200474495848161E-2</v>
      </c>
      <c r="J143" s="125">
        <f t="shared" si="24"/>
        <v>0.27</v>
      </c>
      <c r="K143" s="125">
        <f t="shared" si="24"/>
        <v>4.0029940128316385E-2</v>
      </c>
      <c r="L143" s="125">
        <f t="shared" si="24"/>
        <v>1.4099625889623608E-2</v>
      </c>
      <c r="M143" s="125">
        <f t="shared" si="24"/>
        <v>1.267725762135744E-2</v>
      </c>
      <c r="N143" s="125">
        <f t="shared" si="24"/>
        <v>1.390175346828215E-2</v>
      </c>
      <c r="O143" s="125">
        <f t="shared" si="24"/>
        <v>0</v>
      </c>
      <c r="P143" s="125">
        <f t="shared" si="24"/>
        <v>2.298066658515029E-2</v>
      </c>
      <c r="Q143" s="125">
        <f t="shared" si="24"/>
        <v>1.0644897972798715E-2</v>
      </c>
      <c r="R143" s="125">
        <f t="shared" si="24"/>
        <v>0.995</v>
      </c>
      <c r="S143" s="125">
        <f t="shared" si="24"/>
        <v>0.995</v>
      </c>
      <c r="T143" s="125">
        <f t="shared" si="24"/>
        <v>0</v>
      </c>
      <c r="U143" s="126"/>
      <c r="V143" s="126"/>
      <c r="W143" s="126"/>
      <c r="X143" s="126"/>
      <c r="Y143" s="126"/>
      <c r="Z143" s="126"/>
      <c r="AA143" s="126"/>
      <c r="AB143" s="126"/>
    </row>
    <row r="144" spans="1:28">
      <c r="A144" t="s">
        <v>2505</v>
      </c>
      <c r="B144" s="25">
        <f t="shared" si="22"/>
        <v>11</v>
      </c>
      <c r="C144" s="123" t="str">
        <f t="shared" si="21"/>
        <v>Year-11</v>
      </c>
      <c r="D144" s="35">
        <v>48611</v>
      </c>
      <c r="E144" s="26">
        <f t="shared" si="23"/>
        <v>172.55912190000004</v>
      </c>
      <c r="F144" s="26">
        <f t="shared" si="23"/>
        <v>145.40077080000009</v>
      </c>
      <c r="G144" s="31">
        <f t="shared" si="16"/>
        <v>45408.869861106563</v>
      </c>
      <c r="H144" s="124">
        <f t="shared" si="24"/>
        <v>40.252096455972236</v>
      </c>
      <c r="I144" s="125">
        <f t="shared" si="24"/>
        <v>1.510749564206848E-2</v>
      </c>
      <c r="J144" s="125">
        <f t="shared" si="24"/>
        <v>0.27</v>
      </c>
      <c r="K144" s="125">
        <f t="shared" si="24"/>
        <v>6.2111013936519133E-2</v>
      </c>
      <c r="L144" s="125">
        <f t="shared" si="24"/>
        <v>1.4175439055030284E-2</v>
      </c>
      <c r="M144" s="125">
        <f t="shared" si="24"/>
        <v>1.4384371816049681E-2</v>
      </c>
      <c r="N144" s="125">
        <f t="shared" si="24"/>
        <v>1.5915736744616871E-2</v>
      </c>
      <c r="O144" s="125">
        <f t="shared" si="24"/>
        <v>0</v>
      </c>
      <c r="P144" s="125">
        <f t="shared" si="24"/>
        <v>2.3268144471779773E-2</v>
      </c>
      <c r="Q144" s="125">
        <f t="shared" si="24"/>
        <v>2.5052142565085967E-2</v>
      </c>
      <c r="R144" s="125">
        <f t="shared" si="24"/>
        <v>0.995</v>
      </c>
      <c r="S144" s="125">
        <f t="shared" si="24"/>
        <v>0.995</v>
      </c>
      <c r="T144" s="125">
        <f t="shared" si="24"/>
        <v>0</v>
      </c>
      <c r="U144" s="126"/>
      <c r="V144" s="126"/>
      <c r="W144" s="126"/>
      <c r="X144" s="126"/>
      <c r="Y144" s="126"/>
      <c r="Z144" s="126"/>
      <c r="AA144" s="126"/>
      <c r="AB144" s="126"/>
    </row>
    <row r="145" spans="1:28">
      <c r="A145" t="s">
        <v>2505</v>
      </c>
      <c r="B145" s="25">
        <f t="shared" si="22"/>
        <v>11</v>
      </c>
      <c r="C145" s="123" t="str">
        <f t="shared" si="21"/>
        <v>Year-11</v>
      </c>
      <c r="D145" s="35">
        <v>48639</v>
      </c>
      <c r="E145" s="26">
        <f t="shared" si="23"/>
        <v>215.74576700000009</v>
      </c>
      <c r="F145" s="26">
        <f t="shared" si="23"/>
        <v>195.59891570000002</v>
      </c>
      <c r="G145" s="31">
        <f t="shared" si="16"/>
        <v>58102.996728601363</v>
      </c>
      <c r="H145" s="124">
        <f t="shared" si="24"/>
        <v>47.179622377374095</v>
      </c>
      <c r="I145" s="125">
        <f t="shared" si="24"/>
        <v>1.5306122448979553E-2</v>
      </c>
      <c r="J145" s="125">
        <f t="shared" si="24"/>
        <v>0.28000000000000003</v>
      </c>
      <c r="K145" s="125">
        <f t="shared" si="24"/>
        <v>9.4419706369976972E-2</v>
      </c>
      <c r="L145" s="125">
        <f t="shared" si="24"/>
        <v>1.4644787078611174E-2</v>
      </c>
      <c r="M145" s="125">
        <f t="shared" si="24"/>
        <v>1.6212630268737406E-2</v>
      </c>
      <c r="N145" s="125">
        <f t="shared" si="24"/>
        <v>2.0718676035686345E-2</v>
      </c>
      <c r="O145" s="125">
        <f t="shared" si="24"/>
        <v>0</v>
      </c>
      <c r="P145" s="125">
        <f t="shared" si="24"/>
        <v>2.3247057021314733E-2</v>
      </c>
      <c r="Q145" s="125">
        <f t="shared" si="24"/>
        <v>3.9222124133286969E-2</v>
      </c>
      <c r="R145" s="125">
        <f t="shared" si="24"/>
        <v>0.995</v>
      </c>
      <c r="S145" s="125">
        <f t="shared" si="24"/>
        <v>0.995</v>
      </c>
      <c r="T145" s="125">
        <f t="shared" si="24"/>
        <v>0</v>
      </c>
      <c r="U145" s="126"/>
      <c r="V145" s="126"/>
      <c r="W145" s="126"/>
      <c r="X145" s="126"/>
      <c r="Y145" s="126"/>
      <c r="Z145" s="126"/>
      <c r="AA145" s="126"/>
      <c r="AB145" s="126"/>
    </row>
    <row r="146" spans="1:28">
      <c r="A146" t="s">
        <v>2506</v>
      </c>
      <c r="B146" s="25">
        <f t="shared" si="22"/>
        <v>12</v>
      </c>
      <c r="C146" s="123" t="str">
        <f t="shared" si="21"/>
        <v>Year-12</v>
      </c>
      <c r="D146" s="35">
        <v>48670</v>
      </c>
      <c r="E146" s="26">
        <f t="shared" si="23"/>
        <v>215.9</v>
      </c>
      <c r="F146" s="26">
        <f t="shared" si="23"/>
        <v>208.99969899999999</v>
      </c>
      <c r="G146" s="31">
        <f t="shared" si="16"/>
        <v>56044.440490100933</v>
      </c>
      <c r="H146" s="124">
        <f t="shared" si="24"/>
        <v>52.296499350965128</v>
      </c>
      <c r="I146" s="125">
        <f t="shared" si="24"/>
        <v>1.6658954187875996E-2</v>
      </c>
      <c r="J146" s="125">
        <f t="shared" si="24"/>
        <v>0.28999999999999998</v>
      </c>
      <c r="K146" s="125">
        <f t="shared" si="24"/>
        <v>0.11719199751057031</v>
      </c>
      <c r="L146" s="125">
        <f t="shared" si="24"/>
        <v>1.5231272154623582E-2</v>
      </c>
      <c r="M146" s="125">
        <f t="shared" si="24"/>
        <v>1.6110689006976781E-2</v>
      </c>
      <c r="N146" s="125">
        <f t="shared" si="24"/>
        <v>1.8633277773980331E-2</v>
      </c>
      <c r="O146" s="125">
        <f t="shared" si="24"/>
        <v>0</v>
      </c>
      <c r="P146" s="125">
        <f t="shared" si="24"/>
        <v>2.2802418781094937E-2</v>
      </c>
      <c r="Q146" s="125">
        <f t="shared" si="24"/>
        <v>2.7995485693316467E-2</v>
      </c>
      <c r="R146" s="125">
        <f t="shared" si="24"/>
        <v>0.995</v>
      </c>
      <c r="S146" s="125">
        <f t="shared" si="24"/>
        <v>0.995</v>
      </c>
      <c r="T146" s="125">
        <f t="shared" si="24"/>
        <v>0</v>
      </c>
      <c r="U146" s="126"/>
      <c r="V146" s="126"/>
      <c r="W146" s="126"/>
      <c r="X146" s="126"/>
      <c r="Y146" s="126"/>
      <c r="Z146" s="126"/>
      <c r="AA146" s="126"/>
      <c r="AB146" s="126"/>
    </row>
    <row r="147" spans="1:28">
      <c r="A147" t="s">
        <v>2506</v>
      </c>
      <c r="B147" s="25">
        <f t="shared" si="22"/>
        <v>12</v>
      </c>
      <c r="C147" s="123" t="str">
        <f t="shared" si="21"/>
        <v>Year-12</v>
      </c>
      <c r="D147" s="35">
        <v>48700</v>
      </c>
      <c r="E147" s="26">
        <f t="shared" si="23"/>
        <v>217.9</v>
      </c>
      <c r="F147" s="26">
        <f t="shared" si="23"/>
        <v>221.90023470000006</v>
      </c>
      <c r="G147" s="31">
        <f t="shared" si="16"/>
        <v>59055.526752147976</v>
      </c>
      <c r="H147" s="124">
        <f t="shared" si="24"/>
        <v>55.437733860726389</v>
      </c>
      <c r="I147" s="125">
        <f t="shared" si="24"/>
        <v>1.7865322950068707E-2</v>
      </c>
      <c r="J147" s="125">
        <f t="shared" si="24"/>
        <v>0.3</v>
      </c>
      <c r="K147" s="125">
        <f t="shared" si="24"/>
        <v>0.1306817577748349</v>
      </c>
      <c r="L147" s="125">
        <f t="shared" si="24"/>
        <v>1.609339136491415E-2</v>
      </c>
      <c r="M147" s="125">
        <f t="shared" si="24"/>
        <v>1.525163145425878E-2</v>
      </c>
      <c r="N147" s="125">
        <f t="shared" si="24"/>
        <v>1.5763583972179196E-2</v>
      </c>
      <c r="O147" s="125">
        <f t="shared" si="24"/>
        <v>0</v>
      </c>
      <c r="P147" s="125">
        <f t="shared" si="24"/>
        <v>2.2281870794181511E-2</v>
      </c>
      <c r="Q147" s="125">
        <f t="shared" si="24"/>
        <v>1.1198342091846737E-2</v>
      </c>
      <c r="R147" s="125">
        <f t="shared" si="24"/>
        <v>0.995</v>
      </c>
      <c r="S147" s="125">
        <f t="shared" si="24"/>
        <v>0.995</v>
      </c>
      <c r="T147" s="125">
        <f t="shared" si="24"/>
        <v>0</v>
      </c>
      <c r="U147" s="126"/>
      <c r="V147" s="126"/>
      <c r="W147" s="126"/>
      <c r="X147" s="126"/>
      <c r="Y147" s="126"/>
      <c r="Z147" s="126"/>
      <c r="AA147" s="126"/>
      <c r="AB147" s="126"/>
    </row>
    <row r="148" spans="1:28">
      <c r="A148" t="s">
        <v>2506</v>
      </c>
      <c r="B148" s="25">
        <f t="shared" si="22"/>
        <v>12</v>
      </c>
      <c r="C148" s="123" t="str">
        <f t="shared" si="21"/>
        <v>Year-12</v>
      </c>
      <c r="D148" s="35">
        <v>48731</v>
      </c>
      <c r="E148" s="26">
        <f t="shared" si="23"/>
        <v>192.8</v>
      </c>
      <c r="F148" s="26">
        <f t="shared" si="23"/>
        <v>200.20089519999999</v>
      </c>
      <c r="G148" s="31">
        <f t="shared" si="16"/>
        <v>51331.851514897156</v>
      </c>
      <c r="H148" s="124">
        <f t="shared" si="24"/>
        <v>54.658309168315547</v>
      </c>
      <c r="I148" s="125">
        <f t="shared" si="24"/>
        <v>1.914123124676681E-2</v>
      </c>
      <c r="J148" s="125">
        <f t="shared" si="24"/>
        <v>0.3</v>
      </c>
      <c r="K148" s="125">
        <f t="shared" si="24"/>
        <v>0.12650723469382591</v>
      </c>
      <c r="L148" s="125">
        <f t="shared" si="24"/>
        <v>1.6398522844759341E-2</v>
      </c>
      <c r="M148" s="125">
        <f t="shared" si="24"/>
        <v>1.3926271600695752E-2</v>
      </c>
      <c r="N148" s="125">
        <f t="shared" si="24"/>
        <v>1.4057661793117321E-2</v>
      </c>
      <c r="O148" s="125">
        <f t="shared" si="24"/>
        <v>0</v>
      </c>
      <c r="P148" s="125">
        <f t="shared" si="24"/>
        <v>2.1677907023400757E-2</v>
      </c>
      <c r="Q148" s="125">
        <f t="shared" si="24"/>
        <v>4.051685061336731E-3</v>
      </c>
      <c r="R148" s="125">
        <f t="shared" si="24"/>
        <v>0.995</v>
      </c>
      <c r="S148" s="125">
        <f t="shared" si="24"/>
        <v>0.995</v>
      </c>
      <c r="T148" s="125">
        <f t="shared" si="24"/>
        <v>0</v>
      </c>
      <c r="U148" s="126"/>
      <c r="V148" s="126"/>
      <c r="W148" s="126"/>
      <c r="X148" s="126"/>
      <c r="Y148" s="126"/>
      <c r="Z148" s="126"/>
      <c r="AA148" s="126"/>
      <c r="AB148" s="126"/>
    </row>
    <row r="149" spans="1:28">
      <c r="A149" t="s">
        <v>2506</v>
      </c>
      <c r="B149" s="25">
        <f t="shared" si="22"/>
        <v>12</v>
      </c>
      <c r="C149" s="123" t="str">
        <f t="shared" si="21"/>
        <v>Year-12</v>
      </c>
      <c r="D149" s="35">
        <v>48761</v>
      </c>
      <c r="E149" s="26">
        <f t="shared" si="23"/>
        <v>168.9</v>
      </c>
      <c r="F149" s="26">
        <f t="shared" si="23"/>
        <v>173.59972409999992</v>
      </c>
      <c r="G149" s="31">
        <f t="shared" si="16"/>
        <v>47039.85871597931</v>
      </c>
      <c r="H149" s="124">
        <f t="shared" si="24"/>
        <v>51.564857066184757</v>
      </c>
      <c r="I149" s="125">
        <f t="shared" si="24"/>
        <v>2.1854695806261204E-2</v>
      </c>
      <c r="J149" s="125">
        <f t="shared" si="24"/>
        <v>0.28000000000000003</v>
      </c>
      <c r="K149" s="125">
        <f t="shared" si="24"/>
        <v>0.1089308468990661</v>
      </c>
      <c r="L149" s="125">
        <f t="shared" si="24"/>
        <v>1.5867586262633245E-2</v>
      </c>
      <c r="M149" s="125">
        <f t="shared" si="24"/>
        <v>1.231974144019694E-2</v>
      </c>
      <c r="N149" s="125">
        <f t="shared" si="24"/>
        <v>1.3502102014775261E-2</v>
      </c>
      <c r="O149" s="125">
        <f t="shared" si="24"/>
        <v>0</v>
      </c>
      <c r="P149" s="125">
        <f t="shared" si="24"/>
        <v>2.127320988616644E-2</v>
      </c>
      <c r="Q149" s="125">
        <f t="shared" si="24"/>
        <v>1.5557262066246368E-3</v>
      </c>
      <c r="R149" s="125">
        <f t="shared" si="24"/>
        <v>0.995</v>
      </c>
      <c r="S149" s="125">
        <f t="shared" si="24"/>
        <v>0.995</v>
      </c>
      <c r="T149" s="125">
        <f t="shared" si="24"/>
        <v>0</v>
      </c>
      <c r="U149" s="126"/>
      <c r="V149" s="126"/>
      <c r="W149" s="126"/>
      <c r="X149" s="126"/>
      <c r="Y149" s="126"/>
      <c r="Z149" s="126"/>
      <c r="AA149" s="126"/>
      <c r="AB149" s="126"/>
    </row>
    <row r="150" spans="1:28">
      <c r="A150" t="s">
        <v>2506</v>
      </c>
      <c r="B150" s="25">
        <f t="shared" si="22"/>
        <v>12</v>
      </c>
      <c r="C150" s="123" t="str">
        <f t="shared" si="21"/>
        <v>Year-12</v>
      </c>
      <c r="D150" s="35">
        <v>48792</v>
      </c>
      <c r="E150" s="26">
        <f t="shared" si="23"/>
        <v>174.2</v>
      </c>
      <c r="F150" s="26">
        <f t="shared" si="23"/>
        <v>172.6001566000001</v>
      </c>
      <c r="G150" s="31">
        <f t="shared" si="16"/>
        <v>47890.610072557691</v>
      </c>
      <c r="H150" s="124">
        <f t="shared" si="24"/>
        <v>50.336592710430871</v>
      </c>
      <c r="I150" s="125">
        <f t="shared" si="24"/>
        <v>2.0196191575302946E-2</v>
      </c>
      <c r="J150" s="125">
        <f t="shared" si="24"/>
        <v>0.27</v>
      </c>
      <c r="K150" s="125">
        <f t="shared" si="24"/>
        <v>0.10494453414747008</v>
      </c>
      <c r="L150" s="125">
        <f t="shared" si="24"/>
        <v>1.507508977611231E-2</v>
      </c>
      <c r="M150" s="125">
        <f t="shared" si="24"/>
        <v>1.2791562311125756E-2</v>
      </c>
      <c r="N150" s="125">
        <f t="shared" si="24"/>
        <v>1.4116403195935955E-2</v>
      </c>
      <c r="O150" s="125">
        <f t="shared" si="24"/>
        <v>0</v>
      </c>
      <c r="P150" s="125">
        <f t="shared" si="24"/>
        <v>2.157456294953386E-2</v>
      </c>
      <c r="Q150" s="125">
        <f t="shared" si="24"/>
        <v>6.2818876990405415E-3</v>
      </c>
      <c r="R150" s="125">
        <f t="shared" si="24"/>
        <v>0.995</v>
      </c>
      <c r="S150" s="125">
        <f t="shared" si="24"/>
        <v>0.995</v>
      </c>
      <c r="T150" s="125">
        <f t="shared" si="24"/>
        <v>0</v>
      </c>
      <c r="U150" s="126"/>
      <c r="V150" s="126"/>
      <c r="W150" s="126"/>
      <c r="X150" s="126"/>
      <c r="Y150" s="126"/>
      <c r="Z150" s="126"/>
      <c r="AA150" s="126"/>
      <c r="AB150" s="126"/>
    </row>
    <row r="151" spans="1:28">
      <c r="A151" t="s">
        <v>2506</v>
      </c>
      <c r="B151" s="25">
        <f t="shared" si="22"/>
        <v>12</v>
      </c>
      <c r="C151" s="123" t="str">
        <f t="shared" si="21"/>
        <v>Year-12</v>
      </c>
      <c r="D151" s="35">
        <v>48823</v>
      </c>
      <c r="E151" s="26">
        <f t="shared" si="23"/>
        <v>192.1</v>
      </c>
      <c r="F151" s="26">
        <f t="shared" si="23"/>
        <v>178.89930529999984</v>
      </c>
      <c r="G151" s="31">
        <f t="shared" si="16"/>
        <v>50433.305138286276</v>
      </c>
      <c r="H151" s="124">
        <f t="shared" si="24"/>
        <v>52.25059433997491</v>
      </c>
      <c r="I151" s="125">
        <f t="shared" si="24"/>
        <v>1.7196456487754141E-2</v>
      </c>
      <c r="J151" s="125">
        <f t="shared" si="24"/>
        <v>0.26</v>
      </c>
      <c r="K151" s="125">
        <f t="shared" si="24"/>
        <v>0.11387126505657014</v>
      </c>
      <c r="L151" s="125">
        <f t="shared" si="24"/>
        <v>1.3959618092500629E-2</v>
      </c>
      <c r="M151" s="125">
        <f t="shared" si="24"/>
        <v>1.4531255376132731E-2</v>
      </c>
      <c r="N151" s="125">
        <f t="shared" si="24"/>
        <v>1.4478833500810966E-2</v>
      </c>
      <c r="O151" s="125">
        <f t="shared" si="24"/>
        <v>0</v>
      </c>
      <c r="P151" s="125">
        <f t="shared" si="24"/>
        <v>2.2473527643153385E-2</v>
      </c>
      <c r="Q151" s="125">
        <f t="shared" si="24"/>
        <v>1.1388926338936924E-2</v>
      </c>
      <c r="R151" s="125">
        <f t="shared" si="24"/>
        <v>0.995</v>
      </c>
      <c r="S151" s="125">
        <f t="shared" si="24"/>
        <v>0.995</v>
      </c>
      <c r="T151" s="125">
        <f t="shared" si="24"/>
        <v>0</v>
      </c>
      <c r="U151" s="126"/>
      <c r="V151" s="126"/>
      <c r="W151" s="126"/>
      <c r="X151" s="126"/>
      <c r="Y151" s="126"/>
      <c r="Z151" s="126"/>
      <c r="AA151" s="126"/>
      <c r="AB151" s="126"/>
    </row>
    <row r="152" spans="1:28">
      <c r="A152" t="s">
        <v>2506</v>
      </c>
      <c r="B152" s="25">
        <f t="shared" si="22"/>
        <v>12</v>
      </c>
      <c r="C152" s="123" t="str">
        <f t="shared" si="21"/>
        <v>Year-12</v>
      </c>
      <c r="D152" s="35">
        <v>48853</v>
      </c>
      <c r="E152" s="26">
        <f t="shared" si="23"/>
        <v>202.3</v>
      </c>
      <c r="F152" s="26">
        <f t="shared" si="23"/>
        <v>174.60082279999986</v>
      </c>
      <c r="G152" s="31">
        <f t="shared" si="16"/>
        <v>54667.943913165145</v>
      </c>
      <c r="H152" s="124">
        <f t="shared" si="24"/>
        <v>49.723937837075084</v>
      </c>
      <c r="I152" s="125">
        <f t="shared" si="24"/>
        <v>1.5873015873015817E-2</v>
      </c>
      <c r="J152" s="125">
        <f t="shared" si="24"/>
        <v>0.27</v>
      </c>
      <c r="K152" s="125">
        <f t="shared" si="24"/>
        <v>0.10390722673430232</v>
      </c>
      <c r="L152" s="125">
        <f t="shared" si="24"/>
        <v>1.4040704754284353E-2</v>
      </c>
      <c r="M152" s="125">
        <f t="shared" si="24"/>
        <v>1.526389492868482E-2</v>
      </c>
      <c r="N152" s="125">
        <f t="shared" si="24"/>
        <v>1.5324069649683622E-2</v>
      </c>
      <c r="O152" s="125">
        <f t="shared" si="24"/>
        <v>0</v>
      </c>
      <c r="P152" s="125">
        <f t="shared" si="24"/>
        <v>2.3043103417804571E-2</v>
      </c>
      <c r="Q152" s="125">
        <f t="shared" si="24"/>
        <v>2.1184397869334348E-2</v>
      </c>
      <c r="R152" s="125">
        <f t="shared" si="24"/>
        <v>0.995</v>
      </c>
      <c r="S152" s="125">
        <f t="shared" si="24"/>
        <v>0.995</v>
      </c>
      <c r="T152" s="125">
        <f t="shared" si="24"/>
        <v>0</v>
      </c>
      <c r="U152" s="126"/>
      <c r="V152" s="126"/>
      <c r="W152" s="126"/>
      <c r="X152" s="126"/>
      <c r="Y152" s="126"/>
      <c r="Z152" s="126"/>
      <c r="AA152" s="126"/>
      <c r="AB152" s="126"/>
    </row>
    <row r="153" spans="1:28">
      <c r="A153" t="s">
        <v>2506</v>
      </c>
      <c r="B153" s="25">
        <f t="shared" si="22"/>
        <v>12</v>
      </c>
      <c r="C153" s="123" t="str">
        <f t="shared" si="21"/>
        <v>Year-12</v>
      </c>
      <c r="D153" s="35">
        <v>48884</v>
      </c>
      <c r="E153" s="26">
        <f t="shared" si="23"/>
        <v>162.9</v>
      </c>
      <c r="F153" s="26">
        <f t="shared" si="23"/>
        <v>133.69942049999997</v>
      </c>
      <c r="G153" s="31">
        <f t="shared" si="16"/>
        <v>44831.728790478155</v>
      </c>
      <c r="H153" s="124">
        <f t="shared" si="24"/>
        <v>42.187120547750681</v>
      </c>
      <c r="I153" s="125">
        <f t="shared" si="24"/>
        <v>1.5950920245398792E-2</v>
      </c>
      <c r="J153" s="125">
        <f t="shared" si="24"/>
        <v>0.27</v>
      </c>
      <c r="K153" s="125">
        <f t="shared" si="24"/>
        <v>6.9024239591701744E-2</v>
      </c>
      <c r="L153" s="125">
        <f t="shared" si="24"/>
        <v>1.4204952105287192E-2</v>
      </c>
      <c r="M153" s="125">
        <f t="shared" si="24"/>
        <v>1.3252885058363056E-2</v>
      </c>
      <c r="N153" s="125">
        <f t="shared" si="24"/>
        <v>1.3980442883231779E-2</v>
      </c>
      <c r="O153" s="125">
        <f t="shared" si="24"/>
        <v>0</v>
      </c>
      <c r="P153" s="125">
        <f t="shared" si="24"/>
        <v>2.30208488716231E-2</v>
      </c>
      <c r="Q153" s="125">
        <f t="shared" si="24"/>
        <v>8.3479094998109554E-3</v>
      </c>
      <c r="R153" s="125">
        <f t="shared" si="24"/>
        <v>0.995</v>
      </c>
      <c r="S153" s="125">
        <f t="shared" si="24"/>
        <v>0.995</v>
      </c>
      <c r="T153" s="125">
        <f t="shared" si="24"/>
        <v>0</v>
      </c>
      <c r="U153" s="126"/>
      <c r="V153" s="126"/>
      <c r="W153" s="126"/>
      <c r="X153" s="126"/>
      <c r="Y153" s="126"/>
      <c r="Z153" s="126"/>
      <c r="AA153" s="126"/>
      <c r="AB153" s="126"/>
    </row>
    <row r="154" spans="1:28">
      <c r="A154" t="s">
        <v>2506</v>
      </c>
      <c r="B154" s="25">
        <f t="shared" si="22"/>
        <v>12</v>
      </c>
      <c r="C154" s="123" t="str">
        <f t="shared" si="21"/>
        <v>Year-12</v>
      </c>
      <c r="D154" s="35">
        <v>48914</v>
      </c>
      <c r="E154" s="26">
        <f t="shared" si="23"/>
        <v>158.6</v>
      </c>
      <c r="F154" s="26">
        <f t="shared" si="23"/>
        <v>124.40004220000003</v>
      </c>
      <c r="G154" s="31">
        <f t="shared" si="16"/>
        <v>46150.871343374958</v>
      </c>
      <c r="H154" s="124">
        <f t="shared" si="24"/>
        <v>36.076939444156181</v>
      </c>
      <c r="I154" s="125">
        <f t="shared" si="24"/>
        <v>1.5802781289506962E-2</v>
      </c>
      <c r="J154" s="125">
        <f t="shared" si="24"/>
        <v>0.27</v>
      </c>
      <c r="K154" s="125">
        <f t="shared" si="24"/>
        <v>4.4787946264861052E-2</v>
      </c>
      <c r="L154" s="125">
        <f t="shared" si="24"/>
        <v>1.4140595613406415E-2</v>
      </c>
      <c r="M154" s="125">
        <f t="shared" si="24"/>
        <v>1.2367081056294736E-2</v>
      </c>
      <c r="N154" s="125">
        <f t="shared" si="24"/>
        <v>1.3960975699298588E-2</v>
      </c>
      <c r="O154" s="125">
        <f t="shared" si="24"/>
        <v>0</v>
      </c>
      <c r="P154" s="125">
        <f t="shared" si="24"/>
        <v>2.3055036005913448E-2</v>
      </c>
      <c r="Q154" s="125">
        <f t="shared" si="24"/>
        <v>3.6978876304825567E-3</v>
      </c>
      <c r="R154" s="125">
        <f t="shared" si="24"/>
        <v>0.995</v>
      </c>
      <c r="S154" s="125">
        <f t="shared" si="24"/>
        <v>0.995</v>
      </c>
      <c r="T154" s="125">
        <f t="shared" si="24"/>
        <v>0</v>
      </c>
      <c r="U154" s="126"/>
      <c r="V154" s="126"/>
      <c r="W154" s="126"/>
      <c r="X154" s="126"/>
      <c r="Y154" s="126"/>
      <c r="Z154" s="126"/>
      <c r="AA154" s="126"/>
      <c r="AB154" s="126"/>
    </row>
    <row r="155" spans="1:28">
      <c r="A155" t="s">
        <v>2506</v>
      </c>
      <c r="B155" s="25">
        <f t="shared" si="22"/>
        <v>12</v>
      </c>
      <c r="C155" s="123" t="str">
        <f t="shared" si="21"/>
        <v>Year-12</v>
      </c>
      <c r="D155" s="35">
        <v>48945</v>
      </c>
      <c r="E155" s="26">
        <f t="shared" si="23"/>
        <v>169.028549</v>
      </c>
      <c r="F155" s="26">
        <f t="shared" si="23"/>
        <v>133.89933939999995</v>
      </c>
      <c r="G155" s="31">
        <f t="shared" si="16"/>
        <v>48999.454537311503</v>
      </c>
      <c r="H155" s="124">
        <f t="shared" si="24"/>
        <v>34.970332119021293</v>
      </c>
      <c r="I155" s="125">
        <f t="shared" si="24"/>
        <v>1.7200474495848161E-2</v>
      </c>
      <c r="J155" s="125">
        <f t="shared" si="24"/>
        <v>0.27</v>
      </c>
      <c r="K155" s="125">
        <f t="shared" si="24"/>
        <v>4.0029940128316385E-2</v>
      </c>
      <c r="L155" s="125">
        <f t="shared" si="24"/>
        <v>1.4099625889623608E-2</v>
      </c>
      <c r="M155" s="125">
        <f t="shared" si="24"/>
        <v>1.267725762135744E-2</v>
      </c>
      <c r="N155" s="125">
        <f t="shared" si="24"/>
        <v>1.390175346828215E-2</v>
      </c>
      <c r="O155" s="125">
        <f t="shared" si="24"/>
        <v>0</v>
      </c>
      <c r="P155" s="125">
        <f t="shared" si="24"/>
        <v>2.298066658515029E-2</v>
      </c>
      <c r="Q155" s="125">
        <f t="shared" si="24"/>
        <v>1.0644897972798715E-2</v>
      </c>
      <c r="R155" s="125">
        <f t="shared" si="24"/>
        <v>0.995</v>
      </c>
      <c r="S155" s="125">
        <f t="shared" si="24"/>
        <v>0.995</v>
      </c>
      <c r="T155" s="125">
        <f t="shared" si="24"/>
        <v>0</v>
      </c>
      <c r="U155" s="126"/>
      <c r="V155" s="126"/>
      <c r="W155" s="126"/>
      <c r="X155" s="126"/>
      <c r="Y155" s="126"/>
      <c r="Z155" s="126"/>
      <c r="AA155" s="126"/>
      <c r="AB155" s="126"/>
    </row>
    <row r="156" spans="1:28">
      <c r="A156" t="s">
        <v>2506</v>
      </c>
      <c r="B156" s="25">
        <f t="shared" si="22"/>
        <v>12</v>
      </c>
      <c r="C156" s="123" t="str">
        <f t="shared" si="21"/>
        <v>Year-12</v>
      </c>
      <c r="D156" s="35">
        <v>48976</v>
      </c>
      <c r="E156" s="26">
        <f t="shared" si="23"/>
        <v>172.55912190000004</v>
      </c>
      <c r="F156" s="26">
        <f t="shared" si="23"/>
        <v>145.40077080000009</v>
      </c>
      <c r="G156" s="31">
        <f t="shared" si="16"/>
        <v>45204.529946731585</v>
      </c>
      <c r="H156" s="124">
        <f t="shared" si="24"/>
        <v>40.252096455972236</v>
      </c>
      <c r="I156" s="125">
        <f t="shared" si="24"/>
        <v>1.510749564206848E-2</v>
      </c>
      <c r="J156" s="125">
        <f t="shared" si="24"/>
        <v>0.27</v>
      </c>
      <c r="K156" s="125">
        <f t="shared" si="24"/>
        <v>6.2111013936519133E-2</v>
      </c>
      <c r="L156" s="125">
        <f t="shared" si="24"/>
        <v>1.4175439055030284E-2</v>
      </c>
      <c r="M156" s="125">
        <f t="shared" si="24"/>
        <v>1.4384371816049681E-2</v>
      </c>
      <c r="N156" s="125">
        <f t="shared" si="24"/>
        <v>1.5915736744616871E-2</v>
      </c>
      <c r="O156" s="125">
        <f t="shared" si="24"/>
        <v>0</v>
      </c>
      <c r="P156" s="125">
        <f t="shared" si="24"/>
        <v>2.3268144471779773E-2</v>
      </c>
      <c r="Q156" s="125">
        <f t="shared" si="24"/>
        <v>2.5052142565085967E-2</v>
      </c>
      <c r="R156" s="125">
        <f t="shared" si="24"/>
        <v>0.995</v>
      </c>
      <c r="S156" s="125">
        <f t="shared" si="24"/>
        <v>0.995</v>
      </c>
      <c r="T156" s="125">
        <f t="shared" si="24"/>
        <v>0</v>
      </c>
      <c r="U156" s="126"/>
      <c r="V156" s="126"/>
      <c r="W156" s="126"/>
      <c r="X156" s="126"/>
      <c r="Y156" s="126"/>
      <c r="Z156" s="126"/>
      <c r="AA156" s="126"/>
      <c r="AB156" s="126"/>
    </row>
    <row r="157" spans="1:28">
      <c r="A157" t="s">
        <v>2506</v>
      </c>
      <c r="B157" s="25">
        <f t="shared" si="22"/>
        <v>12</v>
      </c>
      <c r="C157" s="123" t="str">
        <f t="shared" si="21"/>
        <v>Year-12</v>
      </c>
      <c r="D157" s="35">
        <v>49004</v>
      </c>
      <c r="E157" s="26">
        <f t="shared" si="23"/>
        <v>215.74576700000009</v>
      </c>
      <c r="F157" s="26">
        <f t="shared" si="23"/>
        <v>195.59891570000002</v>
      </c>
      <c r="G157" s="31">
        <f t="shared" si="16"/>
        <v>57841.533243322658</v>
      </c>
      <c r="H157" s="124">
        <f t="shared" si="24"/>
        <v>47.179622377374095</v>
      </c>
      <c r="I157" s="125">
        <f t="shared" si="24"/>
        <v>1.5306122448979553E-2</v>
      </c>
      <c r="J157" s="125">
        <f t="shared" si="24"/>
        <v>0.28000000000000003</v>
      </c>
      <c r="K157" s="125">
        <f t="shared" si="24"/>
        <v>9.4419706369976972E-2</v>
      </c>
      <c r="L157" s="125">
        <f t="shared" si="24"/>
        <v>1.4644787078611174E-2</v>
      </c>
      <c r="M157" s="125">
        <f t="shared" si="24"/>
        <v>1.6212630268737406E-2</v>
      </c>
      <c r="N157" s="125">
        <f t="shared" si="24"/>
        <v>2.0718676035686345E-2</v>
      </c>
      <c r="O157" s="125">
        <f t="shared" si="24"/>
        <v>0</v>
      </c>
      <c r="P157" s="125">
        <f t="shared" si="24"/>
        <v>2.3247057021314733E-2</v>
      </c>
      <c r="Q157" s="125">
        <f t="shared" si="24"/>
        <v>3.9222124133286969E-2</v>
      </c>
      <c r="R157" s="125">
        <f t="shared" si="24"/>
        <v>0.995</v>
      </c>
      <c r="S157" s="125">
        <f t="shared" si="24"/>
        <v>0.995</v>
      </c>
      <c r="T157" s="125">
        <f t="shared" si="24"/>
        <v>0</v>
      </c>
      <c r="U157" s="126"/>
      <c r="V157" s="126"/>
      <c r="W157" s="126"/>
      <c r="X157" s="126"/>
      <c r="Y157" s="126"/>
      <c r="Z157" s="126"/>
      <c r="AA157" s="126"/>
      <c r="AB157" s="126"/>
    </row>
    <row r="158" spans="1:28">
      <c r="A158" t="s">
        <v>2507</v>
      </c>
      <c r="B158" s="25">
        <f t="shared" si="22"/>
        <v>13</v>
      </c>
      <c r="C158" s="123" t="str">
        <f t="shared" si="21"/>
        <v>Year-13</v>
      </c>
      <c r="D158" s="35">
        <v>49035</v>
      </c>
      <c r="E158" s="26">
        <f t="shared" ref="E158:F173" si="25">E146</f>
        <v>215.9</v>
      </c>
      <c r="F158" s="26">
        <f t="shared" si="25"/>
        <v>208.99969899999999</v>
      </c>
      <c r="G158" s="31">
        <f t="shared" si="16"/>
        <v>55792.240507895483</v>
      </c>
      <c r="H158" s="124">
        <f t="shared" ref="H158:T173" si="26">H146</f>
        <v>52.296499350965128</v>
      </c>
      <c r="I158" s="125">
        <f t="shared" si="26"/>
        <v>1.6658954187875996E-2</v>
      </c>
      <c r="J158" s="125">
        <f t="shared" si="26"/>
        <v>0.28999999999999998</v>
      </c>
      <c r="K158" s="125">
        <f t="shared" si="26"/>
        <v>0.11719199751057031</v>
      </c>
      <c r="L158" s="125">
        <f t="shared" si="26"/>
        <v>1.5231272154623582E-2</v>
      </c>
      <c r="M158" s="125">
        <f t="shared" si="26"/>
        <v>1.6110689006976781E-2</v>
      </c>
      <c r="N158" s="125">
        <f t="shared" si="26"/>
        <v>1.8633277773980331E-2</v>
      </c>
      <c r="O158" s="125">
        <f t="shared" si="26"/>
        <v>0</v>
      </c>
      <c r="P158" s="125">
        <f t="shared" si="26"/>
        <v>2.2802418781094937E-2</v>
      </c>
      <c r="Q158" s="125">
        <f t="shared" si="26"/>
        <v>2.7995485693316467E-2</v>
      </c>
      <c r="R158" s="125">
        <f t="shared" si="26"/>
        <v>0.995</v>
      </c>
      <c r="S158" s="125">
        <f t="shared" si="26"/>
        <v>0.995</v>
      </c>
      <c r="T158" s="125">
        <f t="shared" si="26"/>
        <v>0</v>
      </c>
      <c r="U158" s="126"/>
      <c r="V158" s="126"/>
      <c r="W158" s="126"/>
      <c r="X158" s="126"/>
      <c r="Y158" s="126"/>
      <c r="Z158" s="126"/>
      <c r="AA158" s="126"/>
      <c r="AB158" s="126"/>
    </row>
    <row r="159" spans="1:28">
      <c r="A159" t="s">
        <v>2507</v>
      </c>
      <c r="B159" s="25">
        <f t="shared" si="22"/>
        <v>13</v>
      </c>
      <c r="C159" s="123" t="str">
        <f t="shared" si="21"/>
        <v>Year-13</v>
      </c>
      <c r="D159" s="35">
        <v>49065</v>
      </c>
      <c r="E159" s="26">
        <f t="shared" si="25"/>
        <v>217.9</v>
      </c>
      <c r="F159" s="26">
        <f t="shared" si="25"/>
        <v>221.90023470000006</v>
      </c>
      <c r="G159" s="31">
        <f t="shared" si="16"/>
        <v>58789.776881763311</v>
      </c>
      <c r="H159" s="124">
        <f t="shared" si="26"/>
        <v>55.437733860726389</v>
      </c>
      <c r="I159" s="125">
        <f t="shared" si="26"/>
        <v>1.7865322950068707E-2</v>
      </c>
      <c r="J159" s="125">
        <f t="shared" si="26"/>
        <v>0.3</v>
      </c>
      <c r="K159" s="125">
        <f t="shared" si="26"/>
        <v>0.1306817577748349</v>
      </c>
      <c r="L159" s="125">
        <f t="shared" si="26"/>
        <v>1.609339136491415E-2</v>
      </c>
      <c r="M159" s="125">
        <f t="shared" si="26"/>
        <v>1.525163145425878E-2</v>
      </c>
      <c r="N159" s="125">
        <f t="shared" si="26"/>
        <v>1.5763583972179196E-2</v>
      </c>
      <c r="O159" s="125">
        <f t="shared" si="26"/>
        <v>0</v>
      </c>
      <c r="P159" s="125">
        <f t="shared" si="26"/>
        <v>2.2281870794181511E-2</v>
      </c>
      <c r="Q159" s="125">
        <f t="shared" si="26"/>
        <v>1.1198342091846737E-2</v>
      </c>
      <c r="R159" s="125">
        <f t="shared" si="26"/>
        <v>0.995</v>
      </c>
      <c r="S159" s="125">
        <f t="shared" si="26"/>
        <v>0.995</v>
      </c>
      <c r="T159" s="125">
        <f t="shared" si="26"/>
        <v>0</v>
      </c>
      <c r="U159" s="126"/>
      <c r="V159" s="126"/>
      <c r="W159" s="126"/>
      <c r="X159" s="126"/>
      <c r="Y159" s="126"/>
      <c r="Z159" s="126"/>
      <c r="AA159" s="126"/>
      <c r="AB159" s="126"/>
    </row>
    <row r="160" spans="1:28">
      <c r="A160" t="s">
        <v>2507</v>
      </c>
      <c r="B160" s="25">
        <f t="shared" si="22"/>
        <v>13</v>
      </c>
      <c r="C160" s="123" t="str">
        <f t="shared" si="21"/>
        <v>Year-13</v>
      </c>
      <c r="D160" s="35">
        <v>49096</v>
      </c>
      <c r="E160" s="26">
        <f t="shared" si="25"/>
        <v>192.8</v>
      </c>
      <c r="F160" s="26">
        <f t="shared" si="25"/>
        <v>200.20089519999999</v>
      </c>
      <c r="G160" s="31">
        <f t="shared" si="16"/>
        <v>51100.858183080119</v>
      </c>
      <c r="H160" s="124">
        <f t="shared" si="26"/>
        <v>54.658309168315547</v>
      </c>
      <c r="I160" s="125">
        <f t="shared" si="26"/>
        <v>1.914123124676681E-2</v>
      </c>
      <c r="J160" s="125">
        <f t="shared" si="26"/>
        <v>0.3</v>
      </c>
      <c r="K160" s="125">
        <f t="shared" si="26"/>
        <v>0.12650723469382591</v>
      </c>
      <c r="L160" s="125">
        <f t="shared" si="26"/>
        <v>1.6398522844759341E-2</v>
      </c>
      <c r="M160" s="125">
        <f t="shared" si="26"/>
        <v>1.3926271600695752E-2</v>
      </c>
      <c r="N160" s="125">
        <f t="shared" si="26"/>
        <v>1.4057661793117321E-2</v>
      </c>
      <c r="O160" s="125">
        <f t="shared" si="26"/>
        <v>0</v>
      </c>
      <c r="P160" s="125">
        <f t="shared" si="26"/>
        <v>2.1677907023400757E-2</v>
      </c>
      <c r="Q160" s="125">
        <f t="shared" si="26"/>
        <v>4.051685061336731E-3</v>
      </c>
      <c r="R160" s="125">
        <f t="shared" si="26"/>
        <v>0.995</v>
      </c>
      <c r="S160" s="125">
        <f t="shared" si="26"/>
        <v>0.995</v>
      </c>
      <c r="T160" s="125">
        <f t="shared" si="26"/>
        <v>0</v>
      </c>
      <c r="U160" s="126"/>
      <c r="V160" s="126"/>
      <c r="W160" s="126"/>
      <c r="X160" s="126"/>
      <c r="Y160" s="126"/>
      <c r="Z160" s="126"/>
      <c r="AA160" s="126"/>
      <c r="AB160" s="126"/>
    </row>
    <row r="161" spans="1:28">
      <c r="A161" t="s">
        <v>2507</v>
      </c>
      <c r="B161" s="25">
        <f t="shared" si="22"/>
        <v>13</v>
      </c>
      <c r="C161" s="123" t="str">
        <f t="shared" si="21"/>
        <v>Year-13</v>
      </c>
      <c r="D161" s="35">
        <v>49126</v>
      </c>
      <c r="E161" s="26">
        <f t="shared" si="25"/>
        <v>168.9</v>
      </c>
      <c r="F161" s="26">
        <f t="shared" si="25"/>
        <v>173.59972409999992</v>
      </c>
      <c r="G161" s="31">
        <f t="shared" si="16"/>
        <v>46828.179351757404</v>
      </c>
      <c r="H161" s="124">
        <f t="shared" si="26"/>
        <v>51.564857066184757</v>
      </c>
      <c r="I161" s="125">
        <f t="shared" si="26"/>
        <v>2.1854695806261204E-2</v>
      </c>
      <c r="J161" s="125">
        <f t="shared" si="26"/>
        <v>0.28000000000000003</v>
      </c>
      <c r="K161" s="125">
        <f t="shared" si="26"/>
        <v>0.1089308468990661</v>
      </c>
      <c r="L161" s="125">
        <f t="shared" si="26"/>
        <v>1.5867586262633245E-2</v>
      </c>
      <c r="M161" s="125">
        <f t="shared" si="26"/>
        <v>1.231974144019694E-2</v>
      </c>
      <c r="N161" s="125">
        <f t="shared" si="26"/>
        <v>1.3502102014775261E-2</v>
      </c>
      <c r="O161" s="125">
        <f t="shared" si="26"/>
        <v>0</v>
      </c>
      <c r="P161" s="125">
        <f t="shared" si="26"/>
        <v>2.127320988616644E-2</v>
      </c>
      <c r="Q161" s="125">
        <f t="shared" si="26"/>
        <v>1.5557262066246368E-3</v>
      </c>
      <c r="R161" s="125">
        <f t="shared" si="26"/>
        <v>0.995</v>
      </c>
      <c r="S161" s="125">
        <f t="shared" si="26"/>
        <v>0.995</v>
      </c>
      <c r="T161" s="125">
        <f t="shared" si="26"/>
        <v>0</v>
      </c>
      <c r="U161" s="126"/>
      <c r="V161" s="126"/>
      <c r="W161" s="126"/>
      <c r="X161" s="126"/>
      <c r="Y161" s="126"/>
      <c r="Z161" s="126"/>
      <c r="AA161" s="126"/>
      <c r="AB161" s="126"/>
    </row>
    <row r="162" spans="1:28">
      <c r="A162" t="s">
        <v>2507</v>
      </c>
      <c r="B162" s="25">
        <f t="shared" si="22"/>
        <v>13</v>
      </c>
      <c r="C162" s="123" t="str">
        <f t="shared" si="21"/>
        <v>Year-13</v>
      </c>
      <c r="D162" s="35">
        <v>49157</v>
      </c>
      <c r="E162" s="26">
        <f t="shared" si="25"/>
        <v>174.2</v>
      </c>
      <c r="F162" s="26">
        <f t="shared" si="25"/>
        <v>172.6001566000001</v>
      </c>
      <c r="G162" s="31">
        <f t="shared" si="16"/>
        <v>47675.102327231187</v>
      </c>
      <c r="H162" s="124">
        <f t="shared" si="26"/>
        <v>50.336592710430871</v>
      </c>
      <c r="I162" s="125">
        <f t="shared" si="26"/>
        <v>2.0196191575302946E-2</v>
      </c>
      <c r="J162" s="125">
        <f t="shared" si="26"/>
        <v>0.27</v>
      </c>
      <c r="K162" s="125">
        <f t="shared" si="26"/>
        <v>0.10494453414747008</v>
      </c>
      <c r="L162" s="125">
        <f t="shared" si="26"/>
        <v>1.507508977611231E-2</v>
      </c>
      <c r="M162" s="125">
        <f t="shared" si="26"/>
        <v>1.2791562311125756E-2</v>
      </c>
      <c r="N162" s="125">
        <f t="shared" si="26"/>
        <v>1.4116403195935955E-2</v>
      </c>
      <c r="O162" s="125">
        <f t="shared" si="26"/>
        <v>0</v>
      </c>
      <c r="P162" s="125">
        <f t="shared" si="26"/>
        <v>2.157456294953386E-2</v>
      </c>
      <c r="Q162" s="125">
        <f t="shared" si="26"/>
        <v>6.2818876990405415E-3</v>
      </c>
      <c r="R162" s="125">
        <f t="shared" si="26"/>
        <v>0.995</v>
      </c>
      <c r="S162" s="125">
        <f t="shared" si="26"/>
        <v>0.995</v>
      </c>
      <c r="T162" s="125">
        <f t="shared" si="26"/>
        <v>0</v>
      </c>
      <c r="U162" s="126"/>
      <c r="V162" s="126"/>
      <c r="W162" s="126"/>
      <c r="X162" s="126"/>
      <c r="Y162" s="126"/>
      <c r="Z162" s="126"/>
      <c r="AA162" s="126"/>
      <c r="AB162" s="126"/>
    </row>
    <row r="163" spans="1:28">
      <c r="A163" t="s">
        <v>2507</v>
      </c>
      <c r="B163" s="25">
        <f t="shared" si="22"/>
        <v>13</v>
      </c>
      <c r="C163" s="123" t="str">
        <f t="shared" si="21"/>
        <v>Year-13</v>
      </c>
      <c r="D163" s="35">
        <v>49188</v>
      </c>
      <c r="E163" s="26">
        <f t="shared" si="25"/>
        <v>192.1</v>
      </c>
      <c r="F163" s="26">
        <f t="shared" si="25"/>
        <v>178.89930529999984</v>
      </c>
      <c r="G163" s="31">
        <f t="shared" si="16"/>
        <v>50206.355265163991</v>
      </c>
      <c r="H163" s="124">
        <f t="shared" si="26"/>
        <v>52.25059433997491</v>
      </c>
      <c r="I163" s="125">
        <f t="shared" si="26"/>
        <v>1.7196456487754141E-2</v>
      </c>
      <c r="J163" s="125">
        <f t="shared" si="26"/>
        <v>0.26</v>
      </c>
      <c r="K163" s="125">
        <f t="shared" si="26"/>
        <v>0.11387126505657014</v>
      </c>
      <c r="L163" s="125">
        <f t="shared" si="26"/>
        <v>1.3959618092500629E-2</v>
      </c>
      <c r="M163" s="125">
        <f t="shared" si="26"/>
        <v>1.4531255376132731E-2</v>
      </c>
      <c r="N163" s="125">
        <f t="shared" si="26"/>
        <v>1.4478833500810966E-2</v>
      </c>
      <c r="O163" s="125">
        <f t="shared" si="26"/>
        <v>0</v>
      </c>
      <c r="P163" s="125">
        <f t="shared" si="26"/>
        <v>2.2473527643153385E-2</v>
      </c>
      <c r="Q163" s="125">
        <f t="shared" si="26"/>
        <v>1.1388926338936924E-2</v>
      </c>
      <c r="R163" s="125">
        <f t="shared" si="26"/>
        <v>0.995</v>
      </c>
      <c r="S163" s="125">
        <f t="shared" si="26"/>
        <v>0.995</v>
      </c>
      <c r="T163" s="125">
        <f t="shared" si="26"/>
        <v>0</v>
      </c>
      <c r="U163" s="126"/>
      <c r="V163" s="126"/>
      <c r="W163" s="126"/>
      <c r="X163" s="126"/>
      <c r="Y163" s="126"/>
      <c r="Z163" s="126"/>
      <c r="AA163" s="126"/>
      <c r="AB163" s="126"/>
    </row>
    <row r="164" spans="1:28">
      <c r="A164" t="s">
        <v>2507</v>
      </c>
      <c r="B164" s="25">
        <f t="shared" si="22"/>
        <v>13</v>
      </c>
      <c r="C164" s="123" t="str">
        <f t="shared" si="21"/>
        <v>Year-13</v>
      </c>
      <c r="D164" s="35">
        <v>49218</v>
      </c>
      <c r="E164" s="26">
        <f t="shared" si="25"/>
        <v>202.3</v>
      </c>
      <c r="F164" s="26">
        <f t="shared" si="25"/>
        <v>174.60082279999986</v>
      </c>
      <c r="G164" s="31">
        <f t="shared" si="16"/>
        <v>54421.938165555905</v>
      </c>
      <c r="H164" s="124">
        <f t="shared" si="26"/>
        <v>49.723937837075084</v>
      </c>
      <c r="I164" s="125">
        <f t="shared" si="26"/>
        <v>1.5873015873015817E-2</v>
      </c>
      <c r="J164" s="125">
        <f t="shared" si="26"/>
        <v>0.27</v>
      </c>
      <c r="K164" s="125">
        <f t="shared" si="26"/>
        <v>0.10390722673430232</v>
      </c>
      <c r="L164" s="125">
        <f t="shared" si="26"/>
        <v>1.4040704754284353E-2</v>
      </c>
      <c r="M164" s="125">
        <f t="shared" si="26"/>
        <v>1.526389492868482E-2</v>
      </c>
      <c r="N164" s="125">
        <f t="shared" si="26"/>
        <v>1.5324069649683622E-2</v>
      </c>
      <c r="O164" s="125">
        <f t="shared" si="26"/>
        <v>0</v>
      </c>
      <c r="P164" s="125">
        <f t="shared" si="26"/>
        <v>2.3043103417804571E-2</v>
      </c>
      <c r="Q164" s="125">
        <f t="shared" si="26"/>
        <v>2.1184397869334348E-2</v>
      </c>
      <c r="R164" s="125">
        <f t="shared" si="26"/>
        <v>0.995</v>
      </c>
      <c r="S164" s="125">
        <f t="shared" si="26"/>
        <v>0.995</v>
      </c>
      <c r="T164" s="125">
        <f t="shared" si="26"/>
        <v>0</v>
      </c>
      <c r="U164" s="126"/>
      <c r="V164" s="126"/>
      <c r="W164" s="126"/>
      <c r="X164" s="126"/>
      <c r="Y164" s="126"/>
      <c r="Z164" s="126"/>
      <c r="AA164" s="126"/>
      <c r="AB164" s="126"/>
    </row>
    <row r="165" spans="1:28">
      <c r="A165" t="s">
        <v>2507</v>
      </c>
      <c r="B165" s="25">
        <f t="shared" si="22"/>
        <v>13</v>
      </c>
      <c r="C165" s="123" t="str">
        <f t="shared" si="21"/>
        <v>Year-13</v>
      </c>
      <c r="D165" s="35">
        <v>49249</v>
      </c>
      <c r="E165" s="26">
        <f t="shared" si="25"/>
        <v>162.9</v>
      </c>
      <c r="F165" s="26">
        <f t="shared" si="25"/>
        <v>133.69942049999997</v>
      </c>
      <c r="G165" s="31">
        <f t="shared" si="16"/>
        <v>44629.986010921006</v>
      </c>
      <c r="H165" s="124">
        <f t="shared" si="26"/>
        <v>42.187120547750681</v>
      </c>
      <c r="I165" s="125">
        <f t="shared" si="26"/>
        <v>1.5950920245398792E-2</v>
      </c>
      <c r="J165" s="125">
        <f t="shared" si="26"/>
        <v>0.27</v>
      </c>
      <c r="K165" s="125">
        <f t="shared" si="26"/>
        <v>6.9024239591701744E-2</v>
      </c>
      <c r="L165" s="125">
        <f t="shared" si="26"/>
        <v>1.4204952105287192E-2</v>
      </c>
      <c r="M165" s="125">
        <f t="shared" si="26"/>
        <v>1.3252885058363056E-2</v>
      </c>
      <c r="N165" s="125">
        <f t="shared" si="26"/>
        <v>1.3980442883231779E-2</v>
      </c>
      <c r="O165" s="125">
        <f t="shared" si="26"/>
        <v>0</v>
      </c>
      <c r="P165" s="125">
        <f t="shared" si="26"/>
        <v>2.30208488716231E-2</v>
      </c>
      <c r="Q165" s="125">
        <f t="shared" si="26"/>
        <v>8.3479094998109554E-3</v>
      </c>
      <c r="R165" s="125">
        <f t="shared" si="26"/>
        <v>0.995</v>
      </c>
      <c r="S165" s="125">
        <f t="shared" si="26"/>
        <v>0.995</v>
      </c>
      <c r="T165" s="125">
        <f t="shared" si="26"/>
        <v>0</v>
      </c>
      <c r="U165" s="126"/>
      <c r="V165" s="126"/>
      <c r="W165" s="126"/>
      <c r="X165" s="126"/>
      <c r="Y165" s="126"/>
      <c r="Z165" s="126"/>
      <c r="AA165" s="126"/>
      <c r="AB165" s="126"/>
    </row>
    <row r="166" spans="1:28">
      <c r="A166" t="s">
        <v>2507</v>
      </c>
      <c r="B166" s="25">
        <f t="shared" si="22"/>
        <v>13</v>
      </c>
      <c r="C166" s="123" t="str">
        <f t="shared" si="21"/>
        <v>Year-13</v>
      </c>
      <c r="D166" s="35">
        <v>49279</v>
      </c>
      <c r="E166" s="26">
        <f t="shared" si="25"/>
        <v>158.6</v>
      </c>
      <c r="F166" s="26">
        <f t="shared" si="25"/>
        <v>124.40004220000003</v>
      </c>
      <c r="G166" s="31">
        <f t="shared" ref="G166:G229" si="27">G154*(1-$AE$2)</f>
        <v>45943.192422329776</v>
      </c>
      <c r="H166" s="124">
        <f t="shared" si="26"/>
        <v>36.076939444156181</v>
      </c>
      <c r="I166" s="125">
        <f t="shared" si="26"/>
        <v>1.5802781289506962E-2</v>
      </c>
      <c r="J166" s="125">
        <f t="shared" si="26"/>
        <v>0.27</v>
      </c>
      <c r="K166" s="125">
        <f t="shared" si="26"/>
        <v>4.4787946264861052E-2</v>
      </c>
      <c r="L166" s="125">
        <f t="shared" si="26"/>
        <v>1.4140595613406415E-2</v>
      </c>
      <c r="M166" s="125">
        <f t="shared" si="26"/>
        <v>1.2367081056294736E-2</v>
      </c>
      <c r="N166" s="125">
        <f t="shared" si="26"/>
        <v>1.3960975699298588E-2</v>
      </c>
      <c r="O166" s="125">
        <f t="shared" si="26"/>
        <v>0</v>
      </c>
      <c r="P166" s="125">
        <f t="shared" si="26"/>
        <v>2.3055036005913448E-2</v>
      </c>
      <c r="Q166" s="125">
        <f t="shared" si="26"/>
        <v>3.6978876304825567E-3</v>
      </c>
      <c r="R166" s="125">
        <f t="shared" si="26"/>
        <v>0.995</v>
      </c>
      <c r="S166" s="125">
        <f t="shared" si="26"/>
        <v>0.995</v>
      </c>
      <c r="T166" s="125">
        <f t="shared" si="26"/>
        <v>0</v>
      </c>
      <c r="U166" s="126"/>
      <c r="V166" s="126"/>
      <c r="W166" s="126"/>
      <c r="X166" s="126"/>
      <c r="Y166" s="126"/>
      <c r="Z166" s="126"/>
      <c r="AA166" s="126"/>
      <c r="AB166" s="126"/>
    </row>
    <row r="167" spans="1:28">
      <c r="A167" t="s">
        <v>2507</v>
      </c>
      <c r="B167" s="25">
        <f t="shared" si="22"/>
        <v>13</v>
      </c>
      <c r="C167" s="123" t="str">
        <f t="shared" si="21"/>
        <v>Year-13</v>
      </c>
      <c r="D167" s="35">
        <v>49310</v>
      </c>
      <c r="E167" s="26">
        <f t="shared" si="25"/>
        <v>169.028549</v>
      </c>
      <c r="F167" s="26">
        <f t="shared" si="25"/>
        <v>133.89933939999995</v>
      </c>
      <c r="G167" s="31">
        <f t="shared" si="27"/>
        <v>48778.956991893603</v>
      </c>
      <c r="H167" s="124">
        <f t="shared" si="26"/>
        <v>34.970332119021293</v>
      </c>
      <c r="I167" s="125">
        <f t="shared" si="26"/>
        <v>1.7200474495848161E-2</v>
      </c>
      <c r="J167" s="125">
        <f t="shared" si="26"/>
        <v>0.27</v>
      </c>
      <c r="K167" s="125">
        <f t="shared" si="26"/>
        <v>4.0029940128316385E-2</v>
      </c>
      <c r="L167" s="125">
        <f t="shared" si="26"/>
        <v>1.4099625889623608E-2</v>
      </c>
      <c r="M167" s="125">
        <f t="shared" si="26"/>
        <v>1.267725762135744E-2</v>
      </c>
      <c r="N167" s="125">
        <f t="shared" si="26"/>
        <v>1.390175346828215E-2</v>
      </c>
      <c r="O167" s="125">
        <f t="shared" si="26"/>
        <v>0</v>
      </c>
      <c r="P167" s="125">
        <f t="shared" si="26"/>
        <v>2.298066658515029E-2</v>
      </c>
      <c r="Q167" s="125">
        <f t="shared" si="26"/>
        <v>1.0644897972798715E-2</v>
      </c>
      <c r="R167" s="125">
        <f t="shared" si="26"/>
        <v>0.995</v>
      </c>
      <c r="S167" s="125">
        <f t="shared" si="26"/>
        <v>0.995</v>
      </c>
      <c r="T167" s="125">
        <f t="shared" si="26"/>
        <v>0</v>
      </c>
      <c r="U167" s="126"/>
      <c r="V167" s="126"/>
      <c r="W167" s="126"/>
      <c r="X167" s="126"/>
      <c r="Y167" s="126"/>
      <c r="Z167" s="126"/>
      <c r="AA167" s="126"/>
      <c r="AB167" s="126"/>
    </row>
    <row r="168" spans="1:28">
      <c r="A168" t="s">
        <v>2507</v>
      </c>
      <c r="B168" s="25">
        <f t="shared" si="22"/>
        <v>13</v>
      </c>
      <c r="C168" s="123" t="str">
        <f t="shared" si="21"/>
        <v>Year-13</v>
      </c>
      <c r="D168" s="35">
        <v>49341</v>
      </c>
      <c r="E168" s="26">
        <f t="shared" si="25"/>
        <v>172.55912190000004</v>
      </c>
      <c r="F168" s="26">
        <f t="shared" si="25"/>
        <v>145.40077080000009</v>
      </c>
      <c r="G168" s="31">
        <f t="shared" si="27"/>
        <v>45001.109561971294</v>
      </c>
      <c r="H168" s="124">
        <f t="shared" si="26"/>
        <v>40.252096455972236</v>
      </c>
      <c r="I168" s="125">
        <f t="shared" si="26"/>
        <v>1.510749564206848E-2</v>
      </c>
      <c r="J168" s="125">
        <f t="shared" si="26"/>
        <v>0.27</v>
      </c>
      <c r="K168" s="125">
        <f t="shared" si="26"/>
        <v>6.2111013936519133E-2</v>
      </c>
      <c r="L168" s="125">
        <f t="shared" si="26"/>
        <v>1.4175439055030284E-2</v>
      </c>
      <c r="M168" s="125">
        <f t="shared" si="26"/>
        <v>1.4384371816049681E-2</v>
      </c>
      <c r="N168" s="125">
        <f t="shared" si="26"/>
        <v>1.5915736744616871E-2</v>
      </c>
      <c r="O168" s="125">
        <f t="shared" si="26"/>
        <v>0</v>
      </c>
      <c r="P168" s="125">
        <f t="shared" si="26"/>
        <v>2.3268144471779773E-2</v>
      </c>
      <c r="Q168" s="125">
        <f t="shared" si="26"/>
        <v>2.5052142565085967E-2</v>
      </c>
      <c r="R168" s="125">
        <f t="shared" si="26"/>
        <v>0.995</v>
      </c>
      <c r="S168" s="125">
        <f t="shared" si="26"/>
        <v>0.995</v>
      </c>
      <c r="T168" s="125">
        <f t="shared" si="26"/>
        <v>0</v>
      </c>
      <c r="U168" s="126"/>
      <c r="V168" s="126"/>
      <c r="W168" s="126"/>
      <c r="X168" s="126"/>
      <c r="Y168" s="126"/>
      <c r="Z168" s="126"/>
      <c r="AA168" s="126"/>
      <c r="AB168" s="126"/>
    </row>
    <row r="169" spans="1:28">
      <c r="A169" t="s">
        <v>2507</v>
      </c>
      <c r="B169" s="25">
        <f t="shared" si="22"/>
        <v>13</v>
      </c>
      <c r="C169" s="123" t="str">
        <f t="shared" si="21"/>
        <v>Year-13</v>
      </c>
      <c r="D169" s="35">
        <v>49369</v>
      </c>
      <c r="E169" s="26">
        <f t="shared" si="25"/>
        <v>215.74576700000009</v>
      </c>
      <c r="F169" s="26">
        <f t="shared" si="25"/>
        <v>195.59891570000002</v>
      </c>
      <c r="G169" s="31">
        <f t="shared" si="27"/>
        <v>57581.246343727711</v>
      </c>
      <c r="H169" s="124">
        <f t="shared" si="26"/>
        <v>47.179622377374095</v>
      </c>
      <c r="I169" s="125">
        <f t="shared" si="26"/>
        <v>1.5306122448979553E-2</v>
      </c>
      <c r="J169" s="125">
        <f t="shared" si="26"/>
        <v>0.28000000000000003</v>
      </c>
      <c r="K169" s="125">
        <f t="shared" si="26"/>
        <v>9.4419706369976972E-2</v>
      </c>
      <c r="L169" s="125">
        <f t="shared" si="26"/>
        <v>1.4644787078611174E-2</v>
      </c>
      <c r="M169" s="125">
        <f t="shared" si="26"/>
        <v>1.6212630268737406E-2</v>
      </c>
      <c r="N169" s="125">
        <f t="shared" si="26"/>
        <v>2.0718676035686345E-2</v>
      </c>
      <c r="O169" s="125">
        <f t="shared" si="26"/>
        <v>0</v>
      </c>
      <c r="P169" s="125">
        <f t="shared" si="26"/>
        <v>2.3247057021314733E-2</v>
      </c>
      <c r="Q169" s="125">
        <f t="shared" si="26"/>
        <v>3.9222124133286969E-2</v>
      </c>
      <c r="R169" s="125">
        <f t="shared" si="26"/>
        <v>0.995</v>
      </c>
      <c r="S169" s="125">
        <f t="shared" si="26"/>
        <v>0.995</v>
      </c>
      <c r="T169" s="125">
        <f t="shared" si="26"/>
        <v>0</v>
      </c>
      <c r="U169" s="126"/>
      <c r="V169" s="126"/>
      <c r="W169" s="126"/>
      <c r="X169" s="126"/>
      <c r="Y169" s="126"/>
      <c r="Z169" s="126"/>
      <c r="AA169" s="126"/>
      <c r="AB169" s="126"/>
    </row>
    <row r="170" spans="1:28">
      <c r="A170" t="s">
        <v>2508</v>
      </c>
      <c r="B170" s="25">
        <f t="shared" si="22"/>
        <v>14</v>
      </c>
      <c r="C170" s="123" t="str">
        <f t="shared" si="21"/>
        <v>Year-14</v>
      </c>
      <c r="D170" s="35">
        <v>49400</v>
      </c>
      <c r="E170" s="26">
        <f t="shared" si="25"/>
        <v>215.9</v>
      </c>
      <c r="F170" s="26">
        <f t="shared" si="25"/>
        <v>208.99969899999999</v>
      </c>
      <c r="G170" s="31">
        <f t="shared" si="27"/>
        <v>55541.175425609959</v>
      </c>
      <c r="H170" s="124">
        <f t="shared" si="26"/>
        <v>52.296499350965128</v>
      </c>
      <c r="I170" s="125">
        <f t="shared" si="26"/>
        <v>1.6658954187875996E-2</v>
      </c>
      <c r="J170" s="125">
        <f t="shared" si="26"/>
        <v>0.28999999999999998</v>
      </c>
      <c r="K170" s="125">
        <f t="shared" si="26"/>
        <v>0.11719199751057031</v>
      </c>
      <c r="L170" s="125">
        <f t="shared" si="26"/>
        <v>1.5231272154623582E-2</v>
      </c>
      <c r="M170" s="125">
        <f t="shared" si="26"/>
        <v>1.6110689006976781E-2</v>
      </c>
      <c r="N170" s="125">
        <f t="shared" si="26"/>
        <v>1.8633277773980331E-2</v>
      </c>
      <c r="O170" s="125">
        <f t="shared" si="26"/>
        <v>0</v>
      </c>
      <c r="P170" s="125">
        <f t="shared" si="26"/>
        <v>2.2802418781094937E-2</v>
      </c>
      <c r="Q170" s="125">
        <f t="shared" si="26"/>
        <v>2.7995485693316467E-2</v>
      </c>
      <c r="R170" s="125">
        <f t="shared" si="26"/>
        <v>0.995</v>
      </c>
      <c r="S170" s="125">
        <f t="shared" si="26"/>
        <v>0.995</v>
      </c>
      <c r="T170" s="125">
        <f t="shared" si="26"/>
        <v>0</v>
      </c>
      <c r="U170" s="126"/>
      <c r="V170" s="126"/>
      <c r="W170" s="126"/>
      <c r="X170" s="126"/>
      <c r="Y170" s="126"/>
      <c r="Z170" s="126"/>
      <c r="AA170" s="126"/>
      <c r="AB170" s="126"/>
    </row>
    <row r="171" spans="1:28">
      <c r="A171" t="s">
        <v>2508</v>
      </c>
      <c r="B171" s="25">
        <f t="shared" si="22"/>
        <v>14</v>
      </c>
      <c r="C171" s="123" t="str">
        <f t="shared" si="21"/>
        <v>Year-14</v>
      </c>
      <c r="D171" s="35">
        <v>49430</v>
      </c>
      <c r="E171" s="26">
        <f t="shared" si="25"/>
        <v>217.9</v>
      </c>
      <c r="F171" s="26">
        <f t="shared" si="25"/>
        <v>221.90023470000006</v>
      </c>
      <c r="G171" s="31">
        <f t="shared" si="27"/>
        <v>58525.222885795381</v>
      </c>
      <c r="H171" s="124">
        <f t="shared" si="26"/>
        <v>55.437733860726389</v>
      </c>
      <c r="I171" s="125">
        <f t="shared" si="26"/>
        <v>1.7865322950068707E-2</v>
      </c>
      <c r="J171" s="125">
        <f t="shared" si="26"/>
        <v>0.3</v>
      </c>
      <c r="K171" s="125">
        <f t="shared" si="26"/>
        <v>0.1306817577748349</v>
      </c>
      <c r="L171" s="125">
        <f t="shared" si="26"/>
        <v>1.609339136491415E-2</v>
      </c>
      <c r="M171" s="125">
        <f t="shared" si="26"/>
        <v>1.525163145425878E-2</v>
      </c>
      <c r="N171" s="125">
        <f t="shared" si="26"/>
        <v>1.5763583972179196E-2</v>
      </c>
      <c r="O171" s="125">
        <f t="shared" si="26"/>
        <v>0</v>
      </c>
      <c r="P171" s="125">
        <f t="shared" si="26"/>
        <v>2.2281870794181511E-2</v>
      </c>
      <c r="Q171" s="125">
        <f t="shared" si="26"/>
        <v>1.1198342091846737E-2</v>
      </c>
      <c r="R171" s="125">
        <f t="shared" si="26"/>
        <v>0.995</v>
      </c>
      <c r="S171" s="125">
        <f t="shared" si="26"/>
        <v>0.995</v>
      </c>
      <c r="T171" s="125">
        <f t="shared" si="26"/>
        <v>0</v>
      </c>
      <c r="U171" s="126"/>
      <c r="V171" s="126"/>
      <c r="W171" s="126"/>
      <c r="X171" s="126"/>
      <c r="Y171" s="126"/>
      <c r="Z171" s="126"/>
      <c r="AA171" s="126"/>
      <c r="AB171" s="126"/>
    </row>
    <row r="172" spans="1:28">
      <c r="A172" t="s">
        <v>2508</v>
      </c>
      <c r="B172" s="25">
        <f t="shared" si="22"/>
        <v>14</v>
      </c>
      <c r="C172" s="123" t="str">
        <f t="shared" si="21"/>
        <v>Year-14</v>
      </c>
      <c r="D172" s="35">
        <v>49461</v>
      </c>
      <c r="E172" s="26">
        <f t="shared" si="25"/>
        <v>192.8</v>
      </c>
      <c r="F172" s="26">
        <f t="shared" si="25"/>
        <v>200.20089519999999</v>
      </c>
      <c r="G172" s="31">
        <f t="shared" si="27"/>
        <v>50870.904321256261</v>
      </c>
      <c r="H172" s="124">
        <f t="shared" si="26"/>
        <v>54.658309168315547</v>
      </c>
      <c r="I172" s="125">
        <f t="shared" si="26"/>
        <v>1.914123124676681E-2</v>
      </c>
      <c r="J172" s="125">
        <f t="shared" si="26"/>
        <v>0.3</v>
      </c>
      <c r="K172" s="125">
        <f t="shared" si="26"/>
        <v>0.12650723469382591</v>
      </c>
      <c r="L172" s="125">
        <f t="shared" si="26"/>
        <v>1.6398522844759341E-2</v>
      </c>
      <c r="M172" s="125">
        <f t="shared" si="26"/>
        <v>1.3926271600695752E-2</v>
      </c>
      <c r="N172" s="125">
        <f t="shared" si="26"/>
        <v>1.4057661793117321E-2</v>
      </c>
      <c r="O172" s="125">
        <f t="shared" si="26"/>
        <v>0</v>
      </c>
      <c r="P172" s="125">
        <f t="shared" si="26"/>
        <v>2.1677907023400757E-2</v>
      </c>
      <c r="Q172" s="125">
        <f t="shared" si="26"/>
        <v>4.051685061336731E-3</v>
      </c>
      <c r="R172" s="125">
        <f t="shared" si="26"/>
        <v>0.995</v>
      </c>
      <c r="S172" s="125">
        <f t="shared" si="26"/>
        <v>0.995</v>
      </c>
      <c r="T172" s="125">
        <f t="shared" si="26"/>
        <v>0</v>
      </c>
      <c r="U172" s="126"/>
      <c r="V172" s="126"/>
      <c r="W172" s="126"/>
      <c r="X172" s="126"/>
      <c r="Y172" s="126"/>
      <c r="Z172" s="126"/>
      <c r="AA172" s="126"/>
      <c r="AB172" s="126"/>
    </row>
    <row r="173" spans="1:28">
      <c r="A173" t="s">
        <v>2508</v>
      </c>
      <c r="B173" s="25">
        <f t="shared" si="22"/>
        <v>14</v>
      </c>
      <c r="C173" s="123" t="str">
        <f t="shared" si="21"/>
        <v>Year-14</v>
      </c>
      <c r="D173" s="35">
        <v>49491</v>
      </c>
      <c r="E173" s="26">
        <f t="shared" si="25"/>
        <v>168.9</v>
      </c>
      <c r="F173" s="26">
        <f t="shared" si="25"/>
        <v>173.59972409999992</v>
      </c>
      <c r="G173" s="31">
        <f t="shared" si="27"/>
        <v>46617.452544674496</v>
      </c>
      <c r="H173" s="124">
        <f t="shared" si="26"/>
        <v>51.564857066184757</v>
      </c>
      <c r="I173" s="125">
        <f t="shared" si="26"/>
        <v>2.1854695806261204E-2</v>
      </c>
      <c r="J173" s="125">
        <f t="shared" si="26"/>
        <v>0.28000000000000003</v>
      </c>
      <c r="K173" s="125">
        <f t="shared" si="26"/>
        <v>0.1089308468990661</v>
      </c>
      <c r="L173" s="125">
        <f t="shared" si="26"/>
        <v>1.5867586262633245E-2</v>
      </c>
      <c r="M173" s="125">
        <f t="shared" si="26"/>
        <v>1.231974144019694E-2</v>
      </c>
      <c r="N173" s="125">
        <f t="shared" si="26"/>
        <v>1.3502102014775261E-2</v>
      </c>
      <c r="O173" s="125">
        <f t="shared" si="26"/>
        <v>0</v>
      </c>
      <c r="P173" s="125">
        <f t="shared" si="26"/>
        <v>2.127320988616644E-2</v>
      </c>
      <c r="Q173" s="125">
        <f t="shared" si="26"/>
        <v>1.5557262066246368E-3</v>
      </c>
      <c r="R173" s="125">
        <f t="shared" si="26"/>
        <v>0.995</v>
      </c>
      <c r="S173" s="125">
        <f t="shared" si="26"/>
        <v>0.995</v>
      </c>
      <c r="T173" s="125">
        <f t="shared" si="26"/>
        <v>0</v>
      </c>
      <c r="U173" s="126"/>
      <c r="V173" s="126"/>
      <c r="W173" s="126"/>
      <c r="X173" s="126"/>
      <c r="Y173" s="126"/>
      <c r="Z173" s="126"/>
      <c r="AA173" s="126"/>
      <c r="AB173" s="126"/>
    </row>
    <row r="174" spans="1:28">
      <c r="A174" t="s">
        <v>2508</v>
      </c>
      <c r="B174" s="25">
        <f t="shared" si="22"/>
        <v>14</v>
      </c>
      <c r="C174" s="123" t="str">
        <f t="shared" si="21"/>
        <v>Year-14</v>
      </c>
      <c r="D174" s="35">
        <v>49522</v>
      </c>
      <c r="E174" s="26">
        <f t="shared" ref="E174:F189" si="28">E162</f>
        <v>174.2</v>
      </c>
      <c r="F174" s="26">
        <f t="shared" si="28"/>
        <v>172.6001566000001</v>
      </c>
      <c r="G174" s="31">
        <f t="shared" si="27"/>
        <v>47460.564366758648</v>
      </c>
      <c r="H174" s="124">
        <f t="shared" ref="H174:T189" si="29">H162</f>
        <v>50.336592710430871</v>
      </c>
      <c r="I174" s="125">
        <f t="shared" si="29"/>
        <v>2.0196191575302946E-2</v>
      </c>
      <c r="J174" s="125">
        <f t="shared" si="29"/>
        <v>0.27</v>
      </c>
      <c r="K174" s="125">
        <f t="shared" si="29"/>
        <v>0.10494453414747008</v>
      </c>
      <c r="L174" s="125">
        <f t="shared" si="29"/>
        <v>1.507508977611231E-2</v>
      </c>
      <c r="M174" s="125">
        <f t="shared" si="29"/>
        <v>1.2791562311125756E-2</v>
      </c>
      <c r="N174" s="125">
        <f t="shared" si="29"/>
        <v>1.4116403195935955E-2</v>
      </c>
      <c r="O174" s="125">
        <f t="shared" si="29"/>
        <v>0</v>
      </c>
      <c r="P174" s="125">
        <f t="shared" si="29"/>
        <v>2.157456294953386E-2</v>
      </c>
      <c r="Q174" s="125">
        <f t="shared" si="29"/>
        <v>6.2818876990405415E-3</v>
      </c>
      <c r="R174" s="125">
        <f t="shared" si="29"/>
        <v>0.995</v>
      </c>
      <c r="S174" s="125">
        <f t="shared" si="29"/>
        <v>0.995</v>
      </c>
      <c r="T174" s="125">
        <f t="shared" si="29"/>
        <v>0</v>
      </c>
      <c r="U174" s="126"/>
      <c r="V174" s="126"/>
      <c r="W174" s="126"/>
      <c r="X174" s="126"/>
      <c r="Y174" s="126"/>
      <c r="Z174" s="126"/>
      <c r="AA174" s="126"/>
      <c r="AB174" s="126"/>
    </row>
    <row r="175" spans="1:28">
      <c r="A175" t="s">
        <v>2508</v>
      </c>
      <c r="B175" s="25">
        <f t="shared" si="22"/>
        <v>14</v>
      </c>
      <c r="C175" s="123" t="str">
        <f t="shared" si="21"/>
        <v>Year-14</v>
      </c>
      <c r="D175" s="35">
        <v>49553</v>
      </c>
      <c r="E175" s="26">
        <f t="shared" si="28"/>
        <v>192.1</v>
      </c>
      <c r="F175" s="26">
        <f t="shared" si="28"/>
        <v>178.89930529999984</v>
      </c>
      <c r="G175" s="31">
        <f t="shared" si="27"/>
        <v>49980.426666470754</v>
      </c>
      <c r="H175" s="124">
        <f t="shared" si="29"/>
        <v>52.25059433997491</v>
      </c>
      <c r="I175" s="125">
        <f t="shared" si="29"/>
        <v>1.7196456487754141E-2</v>
      </c>
      <c r="J175" s="125">
        <f t="shared" si="29"/>
        <v>0.26</v>
      </c>
      <c r="K175" s="125">
        <f t="shared" si="29"/>
        <v>0.11387126505657014</v>
      </c>
      <c r="L175" s="125">
        <f t="shared" si="29"/>
        <v>1.3959618092500629E-2</v>
      </c>
      <c r="M175" s="125">
        <f t="shared" si="29"/>
        <v>1.4531255376132731E-2</v>
      </c>
      <c r="N175" s="125">
        <f t="shared" si="29"/>
        <v>1.4478833500810966E-2</v>
      </c>
      <c r="O175" s="125">
        <f t="shared" si="29"/>
        <v>0</v>
      </c>
      <c r="P175" s="125">
        <f t="shared" si="29"/>
        <v>2.2473527643153385E-2</v>
      </c>
      <c r="Q175" s="125">
        <f t="shared" si="29"/>
        <v>1.1388926338936924E-2</v>
      </c>
      <c r="R175" s="125">
        <f t="shared" si="29"/>
        <v>0.995</v>
      </c>
      <c r="S175" s="125">
        <f t="shared" si="29"/>
        <v>0.995</v>
      </c>
      <c r="T175" s="125">
        <f t="shared" si="29"/>
        <v>0</v>
      </c>
      <c r="U175" s="126"/>
      <c r="V175" s="126"/>
      <c r="W175" s="126"/>
      <c r="X175" s="126"/>
      <c r="Y175" s="126"/>
      <c r="Z175" s="126"/>
      <c r="AA175" s="126"/>
      <c r="AB175" s="126"/>
    </row>
    <row r="176" spans="1:28">
      <c r="A176" t="s">
        <v>2508</v>
      </c>
      <c r="B176" s="25">
        <f t="shared" si="22"/>
        <v>14</v>
      </c>
      <c r="C176" s="123" t="str">
        <f t="shared" si="21"/>
        <v>Year-14</v>
      </c>
      <c r="D176" s="35">
        <v>49583</v>
      </c>
      <c r="E176" s="26">
        <f t="shared" si="28"/>
        <v>202.3</v>
      </c>
      <c r="F176" s="26">
        <f t="shared" si="28"/>
        <v>174.60082279999986</v>
      </c>
      <c r="G176" s="31">
        <f t="shared" si="27"/>
        <v>54177.039443810907</v>
      </c>
      <c r="H176" s="124">
        <f t="shared" si="29"/>
        <v>49.723937837075084</v>
      </c>
      <c r="I176" s="125">
        <f t="shared" si="29"/>
        <v>1.5873015873015817E-2</v>
      </c>
      <c r="J176" s="125">
        <f t="shared" si="29"/>
        <v>0.27</v>
      </c>
      <c r="K176" s="125">
        <f t="shared" si="29"/>
        <v>0.10390722673430232</v>
      </c>
      <c r="L176" s="125">
        <f t="shared" si="29"/>
        <v>1.4040704754284353E-2</v>
      </c>
      <c r="M176" s="125">
        <f t="shared" si="29"/>
        <v>1.526389492868482E-2</v>
      </c>
      <c r="N176" s="125">
        <f t="shared" si="29"/>
        <v>1.5324069649683622E-2</v>
      </c>
      <c r="O176" s="125">
        <f t="shared" si="29"/>
        <v>0</v>
      </c>
      <c r="P176" s="125">
        <f t="shared" si="29"/>
        <v>2.3043103417804571E-2</v>
      </c>
      <c r="Q176" s="125">
        <f t="shared" si="29"/>
        <v>2.1184397869334348E-2</v>
      </c>
      <c r="R176" s="125">
        <f t="shared" si="29"/>
        <v>0.995</v>
      </c>
      <c r="S176" s="125">
        <f t="shared" si="29"/>
        <v>0.995</v>
      </c>
      <c r="T176" s="125">
        <f t="shared" si="29"/>
        <v>0</v>
      </c>
      <c r="U176" s="126"/>
      <c r="V176" s="126"/>
      <c r="W176" s="126"/>
      <c r="X176" s="126"/>
      <c r="Y176" s="126"/>
      <c r="Z176" s="126"/>
      <c r="AA176" s="126"/>
      <c r="AB176" s="126"/>
    </row>
    <row r="177" spans="1:28">
      <c r="A177" t="s">
        <v>2508</v>
      </c>
      <c r="B177" s="25">
        <f t="shared" si="22"/>
        <v>14</v>
      </c>
      <c r="C177" s="123" t="str">
        <f t="shared" si="21"/>
        <v>Year-14</v>
      </c>
      <c r="D177" s="35">
        <v>49614</v>
      </c>
      <c r="E177" s="26">
        <f t="shared" si="28"/>
        <v>162.9</v>
      </c>
      <c r="F177" s="26">
        <f t="shared" si="28"/>
        <v>133.69942049999997</v>
      </c>
      <c r="G177" s="31">
        <f t="shared" si="27"/>
        <v>44429.151073871864</v>
      </c>
      <c r="H177" s="124">
        <f t="shared" si="29"/>
        <v>42.187120547750681</v>
      </c>
      <c r="I177" s="125">
        <f t="shared" si="29"/>
        <v>1.5950920245398792E-2</v>
      </c>
      <c r="J177" s="125">
        <f t="shared" si="29"/>
        <v>0.27</v>
      </c>
      <c r="K177" s="125">
        <f t="shared" si="29"/>
        <v>6.9024239591701744E-2</v>
      </c>
      <c r="L177" s="125">
        <f t="shared" si="29"/>
        <v>1.4204952105287192E-2</v>
      </c>
      <c r="M177" s="125">
        <f t="shared" si="29"/>
        <v>1.3252885058363056E-2</v>
      </c>
      <c r="N177" s="125">
        <f t="shared" si="29"/>
        <v>1.3980442883231779E-2</v>
      </c>
      <c r="O177" s="125">
        <f t="shared" si="29"/>
        <v>0</v>
      </c>
      <c r="P177" s="125">
        <f t="shared" si="29"/>
        <v>2.30208488716231E-2</v>
      </c>
      <c r="Q177" s="125">
        <f t="shared" si="29"/>
        <v>8.3479094998109554E-3</v>
      </c>
      <c r="R177" s="125">
        <f t="shared" si="29"/>
        <v>0.995</v>
      </c>
      <c r="S177" s="125">
        <f t="shared" si="29"/>
        <v>0.995</v>
      </c>
      <c r="T177" s="125">
        <f t="shared" si="29"/>
        <v>0</v>
      </c>
      <c r="U177" s="126"/>
      <c r="V177" s="126"/>
      <c r="W177" s="126"/>
      <c r="X177" s="126"/>
      <c r="Y177" s="126"/>
      <c r="Z177" s="126"/>
      <c r="AA177" s="126"/>
      <c r="AB177" s="126"/>
    </row>
    <row r="178" spans="1:28">
      <c r="A178" t="s">
        <v>2508</v>
      </c>
      <c r="B178" s="25">
        <f t="shared" si="22"/>
        <v>14</v>
      </c>
      <c r="C178" s="123" t="str">
        <f t="shared" si="21"/>
        <v>Year-14</v>
      </c>
      <c r="D178" s="35">
        <v>49644</v>
      </c>
      <c r="E178" s="26">
        <f t="shared" si="28"/>
        <v>158.6</v>
      </c>
      <c r="F178" s="26">
        <f t="shared" si="28"/>
        <v>124.40004220000003</v>
      </c>
      <c r="G178" s="31">
        <f t="shared" si="27"/>
        <v>45736.448056429297</v>
      </c>
      <c r="H178" s="124">
        <f t="shared" si="29"/>
        <v>36.076939444156181</v>
      </c>
      <c r="I178" s="125">
        <f t="shared" si="29"/>
        <v>1.5802781289506962E-2</v>
      </c>
      <c r="J178" s="125">
        <f t="shared" si="29"/>
        <v>0.27</v>
      </c>
      <c r="K178" s="125">
        <f t="shared" si="29"/>
        <v>4.4787946264861052E-2</v>
      </c>
      <c r="L178" s="125">
        <f t="shared" si="29"/>
        <v>1.4140595613406415E-2</v>
      </c>
      <c r="M178" s="125">
        <f t="shared" si="29"/>
        <v>1.2367081056294736E-2</v>
      </c>
      <c r="N178" s="125">
        <f t="shared" si="29"/>
        <v>1.3960975699298588E-2</v>
      </c>
      <c r="O178" s="125">
        <f t="shared" si="29"/>
        <v>0</v>
      </c>
      <c r="P178" s="125">
        <f t="shared" si="29"/>
        <v>2.3055036005913448E-2</v>
      </c>
      <c r="Q178" s="125">
        <f t="shared" si="29"/>
        <v>3.6978876304825567E-3</v>
      </c>
      <c r="R178" s="125">
        <f t="shared" si="29"/>
        <v>0.995</v>
      </c>
      <c r="S178" s="125">
        <f t="shared" si="29"/>
        <v>0.995</v>
      </c>
      <c r="T178" s="125">
        <f t="shared" si="29"/>
        <v>0</v>
      </c>
      <c r="U178" s="126"/>
      <c r="V178" s="126"/>
      <c r="W178" s="126"/>
      <c r="X178" s="126"/>
      <c r="Y178" s="126"/>
      <c r="Z178" s="126"/>
      <c r="AA178" s="126"/>
      <c r="AB178" s="126"/>
    </row>
    <row r="179" spans="1:28">
      <c r="A179" t="s">
        <v>2508</v>
      </c>
      <c r="B179" s="25">
        <f t="shared" si="22"/>
        <v>14</v>
      </c>
      <c r="C179" s="123" t="str">
        <f t="shared" si="21"/>
        <v>Year-14</v>
      </c>
      <c r="D179" s="35">
        <v>49675</v>
      </c>
      <c r="E179" s="26">
        <f t="shared" si="28"/>
        <v>169.028549</v>
      </c>
      <c r="F179" s="26">
        <f t="shared" si="28"/>
        <v>133.89933939999995</v>
      </c>
      <c r="G179" s="31">
        <f t="shared" si="27"/>
        <v>48559.451685430082</v>
      </c>
      <c r="H179" s="124">
        <f t="shared" si="29"/>
        <v>34.970332119021293</v>
      </c>
      <c r="I179" s="125">
        <f t="shared" si="29"/>
        <v>1.7200474495848161E-2</v>
      </c>
      <c r="J179" s="125">
        <f t="shared" si="29"/>
        <v>0.27</v>
      </c>
      <c r="K179" s="125">
        <f t="shared" si="29"/>
        <v>4.0029940128316385E-2</v>
      </c>
      <c r="L179" s="125">
        <f t="shared" si="29"/>
        <v>1.4099625889623608E-2</v>
      </c>
      <c r="M179" s="125">
        <f t="shared" si="29"/>
        <v>1.267725762135744E-2</v>
      </c>
      <c r="N179" s="125">
        <f t="shared" si="29"/>
        <v>1.390175346828215E-2</v>
      </c>
      <c r="O179" s="125">
        <f t="shared" si="29"/>
        <v>0</v>
      </c>
      <c r="P179" s="125">
        <f t="shared" si="29"/>
        <v>2.298066658515029E-2</v>
      </c>
      <c r="Q179" s="125">
        <f t="shared" si="29"/>
        <v>1.0644897972798715E-2</v>
      </c>
      <c r="R179" s="125">
        <f t="shared" si="29"/>
        <v>0.995</v>
      </c>
      <c r="S179" s="125">
        <f t="shared" si="29"/>
        <v>0.995</v>
      </c>
      <c r="T179" s="125">
        <f t="shared" si="29"/>
        <v>0</v>
      </c>
      <c r="U179" s="126"/>
      <c r="V179" s="126"/>
      <c r="W179" s="126"/>
      <c r="X179" s="126"/>
      <c r="Y179" s="126"/>
      <c r="Z179" s="126"/>
      <c r="AA179" s="126"/>
      <c r="AB179" s="126"/>
    </row>
    <row r="180" spans="1:28">
      <c r="A180" t="s">
        <v>2508</v>
      </c>
      <c r="B180" s="25">
        <f t="shared" si="22"/>
        <v>14</v>
      </c>
      <c r="C180" s="123" t="str">
        <f t="shared" si="21"/>
        <v>Year-14</v>
      </c>
      <c r="D180" s="35">
        <v>49706</v>
      </c>
      <c r="E180" s="26">
        <f t="shared" si="28"/>
        <v>172.55912190000004</v>
      </c>
      <c r="F180" s="26">
        <f t="shared" si="28"/>
        <v>145.40077080000009</v>
      </c>
      <c r="G180" s="31">
        <f t="shared" si="27"/>
        <v>44798.604568942428</v>
      </c>
      <c r="H180" s="124">
        <f t="shared" si="29"/>
        <v>40.252096455972236</v>
      </c>
      <c r="I180" s="125">
        <f t="shared" si="29"/>
        <v>1.510749564206848E-2</v>
      </c>
      <c r="J180" s="125">
        <f t="shared" si="29"/>
        <v>0.27</v>
      </c>
      <c r="K180" s="125">
        <f t="shared" si="29"/>
        <v>6.2111013936519133E-2</v>
      </c>
      <c r="L180" s="125">
        <f t="shared" si="29"/>
        <v>1.4175439055030284E-2</v>
      </c>
      <c r="M180" s="125">
        <f t="shared" si="29"/>
        <v>1.4384371816049681E-2</v>
      </c>
      <c r="N180" s="125">
        <f t="shared" si="29"/>
        <v>1.5915736744616871E-2</v>
      </c>
      <c r="O180" s="125">
        <f t="shared" si="29"/>
        <v>0</v>
      </c>
      <c r="P180" s="125">
        <f t="shared" si="29"/>
        <v>2.3268144471779773E-2</v>
      </c>
      <c r="Q180" s="125">
        <f t="shared" si="29"/>
        <v>2.5052142565085967E-2</v>
      </c>
      <c r="R180" s="125">
        <f t="shared" si="29"/>
        <v>0.995</v>
      </c>
      <c r="S180" s="125">
        <f t="shared" si="29"/>
        <v>0.995</v>
      </c>
      <c r="T180" s="125">
        <f t="shared" si="29"/>
        <v>0</v>
      </c>
      <c r="U180" s="126"/>
      <c r="V180" s="126"/>
      <c r="W180" s="126"/>
      <c r="X180" s="126"/>
      <c r="Y180" s="126"/>
      <c r="Z180" s="126"/>
      <c r="AA180" s="126"/>
      <c r="AB180" s="126"/>
    </row>
    <row r="181" spans="1:28">
      <c r="A181" t="s">
        <v>2508</v>
      </c>
      <c r="B181" s="25">
        <f t="shared" si="22"/>
        <v>14</v>
      </c>
      <c r="C181" s="123" t="str">
        <f t="shared" si="21"/>
        <v>Year-14</v>
      </c>
      <c r="D181" s="35">
        <v>49735</v>
      </c>
      <c r="E181" s="26">
        <f t="shared" si="28"/>
        <v>215.74576700000009</v>
      </c>
      <c r="F181" s="26">
        <f t="shared" si="28"/>
        <v>195.59891570000002</v>
      </c>
      <c r="G181" s="31">
        <f t="shared" si="27"/>
        <v>57322.130735180937</v>
      </c>
      <c r="H181" s="124">
        <f t="shared" si="29"/>
        <v>47.179622377374095</v>
      </c>
      <c r="I181" s="125">
        <f t="shared" si="29"/>
        <v>1.5306122448979553E-2</v>
      </c>
      <c r="J181" s="125">
        <f t="shared" si="29"/>
        <v>0.28000000000000003</v>
      </c>
      <c r="K181" s="125">
        <f t="shared" si="29"/>
        <v>9.4419706369976972E-2</v>
      </c>
      <c r="L181" s="125">
        <f t="shared" si="29"/>
        <v>1.4644787078611174E-2</v>
      </c>
      <c r="M181" s="125">
        <f t="shared" si="29"/>
        <v>1.6212630268737406E-2</v>
      </c>
      <c r="N181" s="125">
        <f t="shared" si="29"/>
        <v>2.0718676035686345E-2</v>
      </c>
      <c r="O181" s="125">
        <f t="shared" si="29"/>
        <v>0</v>
      </c>
      <c r="P181" s="125">
        <f t="shared" si="29"/>
        <v>2.3247057021314733E-2</v>
      </c>
      <c r="Q181" s="125">
        <f t="shared" si="29"/>
        <v>3.9222124133286969E-2</v>
      </c>
      <c r="R181" s="125">
        <f t="shared" si="29"/>
        <v>0.995</v>
      </c>
      <c r="S181" s="125">
        <f t="shared" si="29"/>
        <v>0.995</v>
      </c>
      <c r="T181" s="125">
        <f t="shared" si="29"/>
        <v>0</v>
      </c>
      <c r="U181" s="126"/>
      <c r="V181" s="126"/>
      <c r="W181" s="126"/>
      <c r="X181" s="126"/>
      <c r="Y181" s="126"/>
      <c r="Z181" s="126"/>
      <c r="AA181" s="126"/>
      <c r="AB181" s="126"/>
    </row>
    <row r="182" spans="1:28">
      <c r="A182" t="s">
        <v>2509</v>
      </c>
      <c r="B182" s="25">
        <f t="shared" si="22"/>
        <v>15</v>
      </c>
      <c r="C182" s="123" t="str">
        <f t="shared" si="21"/>
        <v>Year-15</v>
      </c>
      <c r="D182" s="35">
        <v>49766</v>
      </c>
      <c r="E182" s="26">
        <f t="shared" si="28"/>
        <v>215.9</v>
      </c>
      <c r="F182" s="26">
        <f t="shared" si="28"/>
        <v>208.99969899999999</v>
      </c>
      <c r="G182" s="31">
        <f t="shared" si="27"/>
        <v>55291.24013619472</v>
      </c>
      <c r="H182" s="124">
        <f t="shared" si="29"/>
        <v>52.296499350965128</v>
      </c>
      <c r="I182" s="125">
        <f t="shared" si="29"/>
        <v>1.6658954187875996E-2</v>
      </c>
      <c r="J182" s="125">
        <f t="shared" si="29"/>
        <v>0.28999999999999998</v>
      </c>
      <c r="K182" s="125">
        <f t="shared" si="29"/>
        <v>0.11719199751057031</v>
      </c>
      <c r="L182" s="125">
        <f t="shared" si="29"/>
        <v>1.5231272154623582E-2</v>
      </c>
      <c r="M182" s="125">
        <f t="shared" si="29"/>
        <v>1.6110689006976781E-2</v>
      </c>
      <c r="N182" s="125">
        <f t="shared" si="29"/>
        <v>1.8633277773980331E-2</v>
      </c>
      <c r="O182" s="125">
        <f t="shared" si="29"/>
        <v>0</v>
      </c>
      <c r="P182" s="125">
        <f t="shared" si="29"/>
        <v>2.2802418781094937E-2</v>
      </c>
      <c r="Q182" s="125">
        <f t="shared" si="29"/>
        <v>2.7995485693316467E-2</v>
      </c>
      <c r="R182" s="125">
        <f t="shared" si="29"/>
        <v>0.995</v>
      </c>
      <c r="S182" s="125">
        <f t="shared" si="29"/>
        <v>0.995</v>
      </c>
      <c r="T182" s="125">
        <f t="shared" si="29"/>
        <v>0</v>
      </c>
      <c r="U182" s="126"/>
      <c r="V182" s="126"/>
      <c r="W182" s="126"/>
      <c r="X182" s="126"/>
      <c r="Y182" s="126"/>
      <c r="Z182" s="126"/>
      <c r="AA182" s="126"/>
      <c r="AB182" s="126"/>
    </row>
    <row r="183" spans="1:28">
      <c r="A183" t="s">
        <v>2509</v>
      </c>
      <c r="B183" s="25">
        <f t="shared" si="22"/>
        <v>15</v>
      </c>
      <c r="C183" s="123" t="str">
        <f t="shared" si="21"/>
        <v>Year-15</v>
      </c>
      <c r="D183" s="35">
        <v>49796</v>
      </c>
      <c r="E183" s="26">
        <f t="shared" si="28"/>
        <v>217.9</v>
      </c>
      <c r="F183" s="26">
        <f t="shared" si="28"/>
        <v>221.90023470000006</v>
      </c>
      <c r="G183" s="31">
        <f t="shared" si="27"/>
        <v>58261.859382809307</v>
      </c>
      <c r="H183" s="124">
        <f t="shared" si="29"/>
        <v>55.437733860726389</v>
      </c>
      <c r="I183" s="125">
        <f t="shared" si="29"/>
        <v>1.7865322950068707E-2</v>
      </c>
      <c r="J183" s="125">
        <f t="shared" si="29"/>
        <v>0.3</v>
      </c>
      <c r="K183" s="125">
        <f t="shared" si="29"/>
        <v>0.1306817577748349</v>
      </c>
      <c r="L183" s="125">
        <f t="shared" si="29"/>
        <v>1.609339136491415E-2</v>
      </c>
      <c r="M183" s="125">
        <f t="shared" si="29"/>
        <v>1.525163145425878E-2</v>
      </c>
      <c r="N183" s="125">
        <f t="shared" si="29"/>
        <v>1.5763583972179196E-2</v>
      </c>
      <c r="O183" s="125">
        <f t="shared" si="29"/>
        <v>0</v>
      </c>
      <c r="P183" s="125">
        <f t="shared" si="29"/>
        <v>2.2281870794181511E-2</v>
      </c>
      <c r="Q183" s="125">
        <f t="shared" si="29"/>
        <v>1.1198342091846737E-2</v>
      </c>
      <c r="R183" s="125">
        <f t="shared" si="29"/>
        <v>0.995</v>
      </c>
      <c r="S183" s="125">
        <f t="shared" si="29"/>
        <v>0.995</v>
      </c>
      <c r="T183" s="125">
        <f t="shared" si="29"/>
        <v>0</v>
      </c>
      <c r="U183" s="126"/>
      <c r="V183" s="126"/>
      <c r="W183" s="126"/>
      <c r="X183" s="126"/>
      <c r="Y183" s="126"/>
      <c r="Z183" s="126"/>
      <c r="AA183" s="126"/>
      <c r="AB183" s="126"/>
    </row>
    <row r="184" spans="1:28">
      <c r="A184" t="s">
        <v>2509</v>
      </c>
      <c r="B184" s="25">
        <f t="shared" si="22"/>
        <v>15</v>
      </c>
      <c r="C184" s="123" t="str">
        <f t="shared" si="21"/>
        <v>Year-15</v>
      </c>
      <c r="D184" s="35">
        <v>49827</v>
      </c>
      <c r="E184" s="26">
        <f t="shared" si="28"/>
        <v>192.8</v>
      </c>
      <c r="F184" s="26">
        <f t="shared" si="28"/>
        <v>200.20089519999999</v>
      </c>
      <c r="G184" s="31">
        <f t="shared" si="27"/>
        <v>50641.985251810613</v>
      </c>
      <c r="H184" s="124">
        <f t="shared" si="29"/>
        <v>54.658309168315547</v>
      </c>
      <c r="I184" s="125">
        <f t="shared" si="29"/>
        <v>1.914123124676681E-2</v>
      </c>
      <c r="J184" s="125">
        <f t="shared" si="29"/>
        <v>0.3</v>
      </c>
      <c r="K184" s="125">
        <f t="shared" si="29"/>
        <v>0.12650723469382591</v>
      </c>
      <c r="L184" s="125">
        <f t="shared" si="29"/>
        <v>1.6398522844759341E-2</v>
      </c>
      <c r="M184" s="125">
        <f t="shared" si="29"/>
        <v>1.3926271600695752E-2</v>
      </c>
      <c r="N184" s="125">
        <f t="shared" si="29"/>
        <v>1.4057661793117321E-2</v>
      </c>
      <c r="O184" s="125">
        <f t="shared" si="29"/>
        <v>0</v>
      </c>
      <c r="P184" s="125">
        <f t="shared" si="29"/>
        <v>2.1677907023400757E-2</v>
      </c>
      <c r="Q184" s="125">
        <f t="shared" si="29"/>
        <v>4.051685061336731E-3</v>
      </c>
      <c r="R184" s="125">
        <f t="shared" si="29"/>
        <v>0.995</v>
      </c>
      <c r="S184" s="125">
        <f t="shared" si="29"/>
        <v>0.995</v>
      </c>
      <c r="T184" s="125">
        <f t="shared" si="29"/>
        <v>0</v>
      </c>
      <c r="U184" s="126"/>
      <c r="V184" s="126"/>
      <c r="W184" s="126"/>
      <c r="X184" s="126"/>
      <c r="Y184" s="126"/>
      <c r="Z184" s="126"/>
      <c r="AA184" s="126"/>
      <c r="AB184" s="126"/>
    </row>
    <row r="185" spans="1:28">
      <c r="A185" t="s">
        <v>2509</v>
      </c>
      <c r="B185" s="25">
        <f t="shared" si="22"/>
        <v>15</v>
      </c>
      <c r="C185" s="123" t="str">
        <f t="shared" si="21"/>
        <v>Year-15</v>
      </c>
      <c r="D185" s="35">
        <v>49857</v>
      </c>
      <c r="E185" s="26">
        <f t="shared" si="28"/>
        <v>168.9</v>
      </c>
      <c r="F185" s="26">
        <f t="shared" si="28"/>
        <v>173.59972409999992</v>
      </c>
      <c r="G185" s="31">
        <f t="shared" si="27"/>
        <v>46407.674008223461</v>
      </c>
      <c r="H185" s="124">
        <f t="shared" si="29"/>
        <v>51.564857066184757</v>
      </c>
      <c r="I185" s="125">
        <f t="shared" si="29"/>
        <v>2.1854695806261204E-2</v>
      </c>
      <c r="J185" s="125">
        <f t="shared" si="29"/>
        <v>0.28000000000000003</v>
      </c>
      <c r="K185" s="125">
        <f t="shared" si="29"/>
        <v>0.1089308468990661</v>
      </c>
      <c r="L185" s="125">
        <f t="shared" si="29"/>
        <v>1.5867586262633245E-2</v>
      </c>
      <c r="M185" s="125">
        <f t="shared" si="29"/>
        <v>1.231974144019694E-2</v>
      </c>
      <c r="N185" s="125">
        <f t="shared" si="29"/>
        <v>1.3502102014775261E-2</v>
      </c>
      <c r="O185" s="125">
        <f t="shared" si="29"/>
        <v>0</v>
      </c>
      <c r="P185" s="125">
        <f t="shared" si="29"/>
        <v>2.127320988616644E-2</v>
      </c>
      <c r="Q185" s="125">
        <f t="shared" si="29"/>
        <v>1.5557262066246368E-3</v>
      </c>
      <c r="R185" s="125">
        <f t="shared" si="29"/>
        <v>0.995</v>
      </c>
      <c r="S185" s="125">
        <f t="shared" si="29"/>
        <v>0.995</v>
      </c>
      <c r="T185" s="125">
        <f t="shared" si="29"/>
        <v>0</v>
      </c>
      <c r="U185" s="126"/>
      <c r="V185" s="126"/>
      <c r="W185" s="126"/>
      <c r="X185" s="126"/>
      <c r="Y185" s="126"/>
      <c r="Z185" s="126"/>
      <c r="AA185" s="126"/>
      <c r="AB185" s="126"/>
    </row>
    <row r="186" spans="1:28">
      <c r="A186" t="s">
        <v>2509</v>
      </c>
      <c r="B186" s="25">
        <f t="shared" si="22"/>
        <v>15</v>
      </c>
      <c r="C186" s="123" t="str">
        <f t="shared" si="21"/>
        <v>Year-15</v>
      </c>
      <c r="D186" s="35">
        <v>49888</v>
      </c>
      <c r="E186" s="26">
        <f t="shared" si="28"/>
        <v>174.2</v>
      </c>
      <c r="F186" s="26">
        <f t="shared" si="28"/>
        <v>172.6001566000001</v>
      </c>
      <c r="G186" s="31">
        <f t="shared" si="27"/>
        <v>47246.991827108235</v>
      </c>
      <c r="H186" s="124">
        <f t="shared" si="29"/>
        <v>50.336592710430871</v>
      </c>
      <c r="I186" s="125">
        <f t="shared" si="29"/>
        <v>2.0196191575302946E-2</v>
      </c>
      <c r="J186" s="125">
        <f t="shared" si="29"/>
        <v>0.27</v>
      </c>
      <c r="K186" s="125">
        <f t="shared" si="29"/>
        <v>0.10494453414747008</v>
      </c>
      <c r="L186" s="125">
        <f t="shared" si="29"/>
        <v>1.507508977611231E-2</v>
      </c>
      <c r="M186" s="125">
        <f t="shared" si="29"/>
        <v>1.2791562311125756E-2</v>
      </c>
      <c r="N186" s="125">
        <f t="shared" si="29"/>
        <v>1.4116403195935955E-2</v>
      </c>
      <c r="O186" s="125">
        <f t="shared" si="29"/>
        <v>0</v>
      </c>
      <c r="P186" s="125">
        <f t="shared" si="29"/>
        <v>2.157456294953386E-2</v>
      </c>
      <c r="Q186" s="125">
        <f t="shared" si="29"/>
        <v>6.2818876990405415E-3</v>
      </c>
      <c r="R186" s="125">
        <f t="shared" si="29"/>
        <v>0.995</v>
      </c>
      <c r="S186" s="125">
        <f t="shared" si="29"/>
        <v>0.995</v>
      </c>
      <c r="T186" s="125">
        <f t="shared" si="29"/>
        <v>0</v>
      </c>
      <c r="U186" s="126"/>
      <c r="V186" s="126"/>
      <c r="W186" s="126"/>
      <c r="X186" s="126"/>
      <c r="Y186" s="126"/>
      <c r="Z186" s="126"/>
      <c r="AA186" s="126"/>
      <c r="AB186" s="126"/>
    </row>
    <row r="187" spans="1:28">
      <c r="A187" t="s">
        <v>2509</v>
      </c>
      <c r="B187" s="25">
        <f t="shared" si="22"/>
        <v>15</v>
      </c>
      <c r="C187" s="123" t="str">
        <f t="shared" si="21"/>
        <v>Year-15</v>
      </c>
      <c r="D187" s="35">
        <v>49919</v>
      </c>
      <c r="E187" s="26">
        <f t="shared" si="28"/>
        <v>192.1</v>
      </c>
      <c r="F187" s="26">
        <f t="shared" si="28"/>
        <v>178.89930529999984</v>
      </c>
      <c r="G187" s="31">
        <f t="shared" si="27"/>
        <v>49755.514746471636</v>
      </c>
      <c r="H187" s="124">
        <f t="shared" si="29"/>
        <v>52.25059433997491</v>
      </c>
      <c r="I187" s="125">
        <f t="shared" si="29"/>
        <v>1.7196456487754141E-2</v>
      </c>
      <c r="J187" s="125">
        <f t="shared" si="29"/>
        <v>0.26</v>
      </c>
      <c r="K187" s="125">
        <f t="shared" si="29"/>
        <v>0.11387126505657014</v>
      </c>
      <c r="L187" s="125">
        <f t="shared" si="29"/>
        <v>1.3959618092500629E-2</v>
      </c>
      <c r="M187" s="125">
        <f t="shared" si="29"/>
        <v>1.4531255376132731E-2</v>
      </c>
      <c r="N187" s="125">
        <f t="shared" si="29"/>
        <v>1.4478833500810966E-2</v>
      </c>
      <c r="O187" s="125">
        <f t="shared" si="29"/>
        <v>0</v>
      </c>
      <c r="P187" s="125">
        <f t="shared" si="29"/>
        <v>2.2473527643153385E-2</v>
      </c>
      <c r="Q187" s="125">
        <f t="shared" si="29"/>
        <v>1.1388926338936924E-2</v>
      </c>
      <c r="R187" s="125">
        <f t="shared" si="29"/>
        <v>0.995</v>
      </c>
      <c r="S187" s="125">
        <f t="shared" si="29"/>
        <v>0.995</v>
      </c>
      <c r="T187" s="125">
        <f t="shared" si="29"/>
        <v>0</v>
      </c>
      <c r="U187" s="126"/>
      <c r="V187" s="126"/>
      <c r="W187" s="126"/>
      <c r="X187" s="126"/>
      <c r="Y187" s="126"/>
      <c r="Z187" s="126"/>
      <c r="AA187" s="126"/>
      <c r="AB187" s="126"/>
    </row>
    <row r="188" spans="1:28">
      <c r="A188" t="s">
        <v>2509</v>
      </c>
      <c r="B188" s="25">
        <f t="shared" si="22"/>
        <v>15</v>
      </c>
      <c r="C188" s="123" t="str">
        <f t="shared" si="21"/>
        <v>Year-15</v>
      </c>
      <c r="D188" s="35">
        <v>49949</v>
      </c>
      <c r="E188" s="26">
        <f t="shared" si="28"/>
        <v>202.3</v>
      </c>
      <c r="F188" s="26">
        <f t="shared" si="28"/>
        <v>174.60082279999986</v>
      </c>
      <c r="G188" s="31">
        <f t="shared" si="27"/>
        <v>53933.242766313764</v>
      </c>
      <c r="H188" s="124">
        <f t="shared" si="29"/>
        <v>49.723937837075084</v>
      </c>
      <c r="I188" s="125">
        <f t="shared" si="29"/>
        <v>1.5873015873015817E-2</v>
      </c>
      <c r="J188" s="125">
        <f t="shared" si="29"/>
        <v>0.27</v>
      </c>
      <c r="K188" s="125">
        <f t="shared" si="29"/>
        <v>0.10390722673430232</v>
      </c>
      <c r="L188" s="125">
        <f t="shared" si="29"/>
        <v>1.4040704754284353E-2</v>
      </c>
      <c r="M188" s="125">
        <f t="shared" si="29"/>
        <v>1.526389492868482E-2</v>
      </c>
      <c r="N188" s="125">
        <f t="shared" si="29"/>
        <v>1.5324069649683622E-2</v>
      </c>
      <c r="O188" s="125">
        <f t="shared" si="29"/>
        <v>0</v>
      </c>
      <c r="P188" s="125">
        <f t="shared" si="29"/>
        <v>2.3043103417804571E-2</v>
      </c>
      <c r="Q188" s="125">
        <f t="shared" si="29"/>
        <v>2.1184397869334348E-2</v>
      </c>
      <c r="R188" s="125">
        <f t="shared" si="29"/>
        <v>0.995</v>
      </c>
      <c r="S188" s="125">
        <f t="shared" si="29"/>
        <v>0.995</v>
      </c>
      <c r="T188" s="125">
        <f t="shared" si="29"/>
        <v>0</v>
      </c>
      <c r="U188" s="126"/>
      <c r="V188" s="126"/>
      <c r="W188" s="126"/>
      <c r="X188" s="126"/>
      <c r="Y188" s="126"/>
      <c r="Z188" s="126"/>
      <c r="AA188" s="126"/>
      <c r="AB188" s="126"/>
    </row>
    <row r="189" spans="1:28">
      <c r="A189" t="s">
        <v>2509</v>
      </c>
      <c r="B189" s="25">
        <f t="shared" si="22"/>
        <v>15</v>
      </c>
      <c r="C189" s="123" t="str">
        <f t="shared" si="21"/>
        <v>Year-15</v>
      </c>
      <c r="D189" s="35">
        <v>49980</v>
      </c>
      <c r="E189" s="26">
        <f t="shared" si="28"/>
        <v>162.9</v>
      </c>
      <c r="F189" s="26">
        <f t="shared" si="28"/>
        <v>133.69942049999997</v>
      </c>
      <c r="G189" s="31">
        <f t="shared" si="27"/>
        <v>44229.219894039445</v>
      </c>
      <c r="H189" s="124">
        <f t="shared" si="29"/>
        <v>42.187120547750681</v>
      </c>
      <c r="I189" s="125">
        <f t="shared" si="29"/>
        <v>1.5950920245398792E-2</v>
      </c>
      <c r="J189" s="125">
        <f t="shared" si="29"/>
        <v>0.27</v>
      </c>
      <c r="K189" s="125">
        <f t="shared" si="29"/>
        <v>6.9024239591701744E-2</v>
      </c>
      <c r="L189" s="125">
        <f t="shared" si="29"/>
        <v>1.4204952105287192E-2</v>
      </c>
      <c r="M189" s="125">
        <f t="shared" si="29"/>
        <v>1.3252885058363056E-2</v>
      </c>
      <c r="N189" s="125">
        <f t="shared" si="29"/>
        <v>1.3980442883231779E-2</v>
      </c>
      <c r="O189" s="125">
        <f t="shared" si="29"/>
        <v>0</v>
      </c>
      <c r="P189" s="125">
        <f t="shared" si="29"/>
        <v>2.30208488716231E-2</v>
      </c>
      <c r="Q189" s="125">
        <f t="shared" si="29"/>
        <v>8.3479094998109554E-3</v>
      </c>
      <c r="R189" s="125">
        <f t="shared" si="29"/>
        <v>0.995</v>
      </c>
      <c r="S189" s="125">
        <f t="shared" si="29"/>
        <v>0.995</v>
      </c>
      <c r="T189" s="125">
        <f t="shared" si="29"/>
        <v>0</v>
      </c>
      <c r="U189" s="126"/>
      <c r="V189" s="126"/>
      <c r="W189" s="126"/>
      <c r="X189" s="126"/>
      <c r="Y189" s="126"/>
      <c r="Z189" s="126"/>
      <c r="AA189" s="126"/>
      <c r="AB189" s="126"/>
    </row>
    <row r="190" spans="1:28">
      <c r="A190" t="s">
        <v>2509</v>
      </c>
      <c r="B190" s="25">
        <f t="shared" si="22"/>
        <v>15</v>
      </c>
      <c r="C190" s="123" t="str">
        <f t="shared" si="21"/>
        <v>Year-15</v>
      </c>
      <c r="D190" s="35">
        <v>50010</v>
      </c>
      <c r="E190" s="26">
        <f t="shared" ref="E190:F205" si="30">E178</f>
        <v>158.6</v>
      </c>
      <c r="F190" s="26">
        <f t="shared" si="30"/>
        <v>124.40004220000003</v>
      </c>
      <c r="G190" s="31">
        <f t="shared" si="27"/>
        <v>45530.63404017537</v>
      </c>
      <c r="H190" s="124">
        <f t="shared" ref="H190:T205" si="31">H178</f>
        <v>36.076939444156181</v>
      </c>
      <c r="I190" s="125">
        <f t="shared" si="31"/>
        <v>1.5802781289506962E-2</v>
      </c>
      <c r="J190" s="125">
        <f t="shared" si="31"/>
        <v>0.27</v>
      </c>
      <c r="K190" s="125">
        <f t="shared" si="31"/>
        <v>4.4787946264861052E-2</v>
      </c>
      <c r="L190" s="125">
        <f t="shared" si="31"/>
        <v>1.4140595613406415E-2</v>
      </c>
      <c r="M190" s="125">
        <f t="shared" si="31"/>
        <v>1.2367081056294736E-2</v>
      </c>
      <c r="N190" s="125">
        <f t="shared" si="31"/>
        <v>1.3960975699298588E-2</v>
      </c>
      <c r="O190" s="125">
        <f t="shared" si="31"/>
        <v>0</v>
      </c>
      <c r="P190" s="125">
        <f t="shared" si="31"/>
        <v>2.3055036005913448E-2</v>
      </c>
      <c r="Q190" s="125">
        <f t="shared" si="31"/>
        <v>3.6978876304825567E-3</v>
      </c>
      <c r="R190" s="125">
        <f t="shared" si="31"/>
        <v>0.995</v>
      </c>
      <c r="S190" s="125">
        <f t="shared" si="31"/>
        <v>0.995</v>
      </c>
      <c r="T190" s="125">
        <f t="shared" si="31"/>
        <v>0</v>
      </c>
      <c r="U190" s="126"/>
      <c r="V190" s="126"/>
      <c r="W190" s="126"/>
      <c r="X190" s="126"/>
      <c r="Y190" s="126"/>
      <c r="Z190" s="126"/>
      <c r="AA190" s="126"/>
      <c r="AB190" s="126"/>
    </row>
    <row r="191" spans="1:28">
      <c r="A191" t="s">
        <v>2509</v>
      </c>
      <c r="B191" s="25">
        <f t="shared" si="22"/>
        <v>15</v>
      </c>
      <c r="C191" s="123" t="str">
        <f t="shared" si="21"/>
        <v>Year-15</v>
      </c>
      <c r="D191" s="35">
        <v>50041</v>
      </c>
      <c r="E191" s="26">
        <f t="shared" si="30"/>
        <v>169.028549</v>
      </c>
      <c r="F191" s="26">
        <f t="shared" si="30"/>
        <v>133.89933939999995</v>
      </c>
      <c r="G191" s="31">
        <f t="shared" si="27"/>
        <v>48340.93415284565</v>
      </c>
      <c r="H191" s="124">
        <f t="shared" si="31"/>
        <v>34.970332119021293</v>
      </c>
      <c r="I191" s="125">
        <f t="shared" si="31"/>
        <v>1.7200474495848161E-2</v>
      </c>
      <c r="J191" s="125">
        <f t="shared" si="31"/>
        <v>0.27</v>
      </c>
      <c r="K191" s="125">
        <f t="shared" si="31"/>
        <v>4.0029940128316385E-2</v>
      </c>
      <c r="L191" s="125">
        <f t="shared" si="31"/>
        <v>1.4099625889623608E-2</v>
      </c>
      <c r="M191" s="125">
        <f t="shared" si="31"/>
        <v>1.267725762135744E-2</v>
      </c>
      <c r="N191" s="125">
        <f t="shared" si="31"/>
        <v>1.390175346828215E-2</v>
      </c>
      <c r="O191" s="125">
        <f t="shared" si="31"/>
        <v>0</v>
      </c>
      <c r="P191" s="125">
        <f t="shared" si="31"/>
        <v>2.298066658515029E-2</v>
      </c>
      <c r="Q191" s="125">
        <f t="shared" si="31"/>
        <v>1.0644897972798715E-2</v>
      </c>
      <c r="R191" s="125">
        <f t="shared" si="31"/>
        <v>0.995</v>
      </c>
      <c r="S191" s="125">
        <f t="shared" si="31"/>
        <v>0.995</v>
      </c>
      <c r="T191" s="125">
        <f t="shared" si="31"/>
        <v>0</v>
      </c>
      <c r="U191" s="126"/>
      <c r="V191" s="126"/>
      <c r="W191" s="126"/>
      <c r="X191" s="126"/>
      <c r="Y191" s="126"/>
      <c r="Z191" s="126"/>
      <c r="AA191" s="126"/>
      <c r="AB191" s="126"/>
    </row>
    <row r="192" spans="1:28">
      <c r="A192" t="s">
        <v>2509</v>
      </c>
      <c r="B192" s="25">
        <f t="shared" si="22"/>
        <v>15</v>
      </c>
      <c r="C192" s="123" t="str">
        <f t="shared" si="21"/>
        <v>Year-15</v>
      </c>
      <c r="D192" s="35">
        <v>50072</v>
      </c>
      <c r="E192" s="26">
        <f t="shared" si="30"/>
        <v>172.55912190000004</v>
      </c>
      <c r="F192" s="26">
        <f t="shared" si="30"/>
        <v>145.40077080000009</v>
      </c>
      <c r="G192" s="31">
        <f t="shared" si="27"/>
        <v>44597.01084838219</v>
      </c>
      <c r="H192" s="124">
        <f t="shared" si="31"/>
        <v>40.252096455972236</v>
      </c>
      <c r="I192" s="125">
        <f t="shared" si="31"/>
        <v>1.510749564206848E-2</v>
      </c>
      <c r="J192" s="125">
        <f t="shared" si="31"/>
        <v>0.27</v>
      </c>
      <c r="K192" s="125">
        <f t="shared" si="31"/>
        <v>6.2111013936519133E-2</v>
      </c>
      <c r="L192" s="125">
        <f t="shared" si="31"/>
        <v>1.4175439055030284E-2</v>
      </c>
      <c r="M192" s="125">
        <f t="shared" si="31"/>
        <v>1.4384371816049681E-2</v>
      </c>
      <c r="N192" s="125">
        <f t="shared" si="31"/>
        <v>1.5915736744616871E-2</v>
      </c>
      <c r="O192" s="125">
        <f t="shared" si="31"/>
        <v>0</v>
      </c>
      <c r="P192" s="125">
        <f t="shared" si="31"/>
        <v>2.3268144471779773E-2</v>
      </c>
      <c r="Q192" s="125">
        <f t="shared" si="31"/>
        <v>2.5052142565085967E-2</v>
      </c>
      <c r="R192" s="125">
        <f t="shared" si="31"/>
        <v>0.995</v>
      </c>
      <c r="S192" s="125">
        <f t="shared" si="31"/>
        <v>0.995</v>
      </c>
      <c r="T192" s="125">
        <f t="shared" si="31"/>
        <v>0</v>
      </c>
      <c r="U192" s="126"/>
      <c r="V192" s="126"/>
      <c r="W192" s="126"/>
      <c r="X192" s="126"/>
      <c r="Y192" s="126"/>
      <c r="Z192" s="126"/>
      <c r="AA192" s="126"/>
      <c r="AB192" s="126"/>
    </row>
    <row r="193" spans="1:28">
      <c r="A193" t="s">
        <v>2509</v>
      </c>
      <c r="B193" s="25">
        <f t="shared" si="22"/>
        <v>15</v>
      </c>
      <c r="C193" s="123" t="str">
        <f t="shared" si="21"/>
        <v>Year-15</v>
      </c>
      <c r="D193" s="35">
        <v>50100</v>
      </c>
      <c r="E193" s="26">
        <f t="shared" si="30"/>
        <v>215.74576700000009</v>
      </c>
      <c r="F193" s="26">
        <f t="shared" si="30"/>
        <v>195.59891570000002</v>
      </c>
      <c r="G193" s="31">
        <f t="shared" si="27"/>
        <v>57064.181146872623</v>
      </c>
      <c r="H193" s="124">
        <f t="shared" si="31"/>
        <v>47.179622377374095</v>
      </c>
      <c r="I193" s="125">
        <f t="shared" si="31"/>
        <v>1.5306122448979553E-2</v>
      </c>
      <c r="J193" s="125">
        <f t="shared" si="31"/>
        <v>0.28000000000000003</v>
      </c>
      <c r="K193" s="125">
        <f t="shared" si="31"/>
        <v>9.4419706369976972E-2</v>
      </c>
      <c r="L193" s="125">
        <f t="shared" si="31"/>
        <v>1.4644787078611174E-2</v>
      </c>
      <c r="M193" s="125">
        <f t="shared" si="31"/>
        <v>1.6212630268737406E-2</v>
      </c>
      <c r="N193" s="125">
        <f t="shared" si="31"/>
        <v>2.0718676035686345E-2</v>
      </c>
      <c r="O193" s="125">
        <f t="shared" si="31"/>
        <v>0</v>
      </c>
      <c r="P193" s="125">
        <f t="shared" si="31"/>
        <v>2.3247057021314733E-2</v>
      </c>
      <c r="Q193" s="125">
        <f t="shared" si="31"/>
        <v>3.9222124133286969E-2</v>
      </c>
      <c r="R193" s="125">
        <f t="shared" si="31"/>
        <v>0.995</v>
      </c>
      <c r="S193" s="125">
        <f t="shared" si="31"/>
        <v>0.995</v>
      </c>
      <c r="T193" s="125">
        <f t="shared" si="31"/>
        <v>0</v>
      </c>
      <c r="U193" s="126"/>
      <c r="V193" s="126"/>
      <c r="W193" s="126"/>
      <c r="X193" s="126"/>
      <c r="Y193" s="126"/>
      <c r="Z193" s="126"/>
      <c r="AA193" s="126"/>
      <c r="AB193" s="126"/>
    </row>
    <row r="194" spans="1:28">
      <c r="A194" t="s">
        <v>2510</v>
      </c>
      <c r="B194" s="25">
        <f t="shared" si="22"/>
        <v>16</v>
      </c>
      <c r="C194" s="123" t="str">
        <f t="shared" ref="C194:C257" si="32">CONCATENATE("Year-",B194)</f>
        <v>Year-16</v>
      </c>
      <c r="D194" s="35">
        <v>50131</v>
      </c>
      <c r="E194" s="26">
        <f t="shared" si="30"/>
        <v>215.9</v>
      </c>
      <c r="F194" s="26">
        <f t="shared" si="30"/>
        <v>208.99969899999999</v>
      </c>
      <c r="G194" s="31">
        <f t="shared" si="27"/>
        <v>55042.429555581846</v>
      </c>
      <c r="H194" s="124">
        <f t="shared" si="31"/>
        <v>52.296499350965128</v>
      </c>
      <c r="I194" s="125">
        <f t="shared" si="31"/>
        <v>1.6658954187875996E-2</v>
      </c>
      <c r="J194" s="125">
        <f t="shared" si="31"/>
        <v>0.28999999999999998</v>
      </c>
      <c r="K194" s="125">
        <f t="shared" si="31"/>
        <v>0.11719199751057031</v>
      </c>
      <c r="L194" s="125">
        <f t="shared" si="31"/>
        <v>1.5231272154623582E-2</v>
      </c>
      <c r="M194" s="125">
        <f t="shared" si="31"/>
        <v>1.6110689006976781E-2</v>
      </c>
      <c r="N194" s="125">
        <f t="shared" si="31"/>
        <v>1.8633277773980331E-2</v>
      </c>
      <c r="O194" s="125">
        <f t="shared" si="31"/>
        <v>0</v>
      </c>
      <c r="P194" s="125">
        <f t="shared" si="31"/>
        <v>2.2802418781094937E-2</v>
      </c>
      <c r="Q194" s="125">
        <f t="shared" si="31"/>
        <v>2.7995485693316467E-2</v>
      </c>
      <c r="R194" s="125">
        <f t="shared" si="31"/>
        <v>0.995</v>
      </c>
      <c r="S194" s="125">
        <f t="shared" si="31"/>
        <v>0.995</v>
      </c>
      <c r="T194" s="125">
        <f t="shared" si="31"/>
        <v>0</v>
      </c>
      <c r="U194" s="126"/>
      <c r="V194" s="126"/>
      <c r="W194" s="126"/>
      <c r="X194" s="126"/>
      <c r="Y194" s="126"/>
      <c r="Z194" s="126"/>
      <c r="AA194" s="126"/>
      <c r="AB194" s="126"/>
    </row>
    <row r="195" spans="1:28">
      <c r="A195" t="s">
        <v>2510</v>
      </c>
      <c r="B195" s="25">
        <f t="shared" si="22"/>
        <v>16</v>
      </c>
      <c r="C195" s="123" t="str">
        <f t="shared" si="32"/>
        <v>Year-16</v>
      </c>
      <c r="D195" s="35">
        <v>50161</v>
      </c>
      <c r="E195" s="26">
        <f t="shared" si="30"/>
        <v>217.9</v>
      </c>
      <c r="F195" s="26">
        <f t="shared" si="30"/>
        <v>221.90023470000006</v>
      </c>
      <c r="G195" s="31">
        <f t="shared" si="27"/>
        <v>57999.68101558667</v>
      </c>
      <c r="H195" s="124">
        <f t="shared" si="31"/>
        <v>55.437733860726389</v>
      </c>
      <c r="I195" s="125">
        <f t="shared" si="31"/>
        <v>1.7865322950068707E-2</v>
      </c>
      <c r="J195" s="125">
        <f t="shared" si="31"/>
        <v>0.3</v>
      </c>
      <c r="K195" s="125">
        <f t="shared" si="31"/>
        <v>0.1306817577748349</v>
      </c>
      <c r="L195" s="125">
        <f t="shared" si="31"/>
        <v>1.609339136491415E-2</v>
      </c>
      <c r="M195" s="125">
        <f t="shared" si="31"/>
        <v>1.525163145425878E-2</v>
      </c>
      <c r="N195" s="125">
        <f t="shared" si="31"/>
        <v>1.5763583972179196E-2</v>
      </c>
      <c r="O195" s="125">
        <f t="shared" si="31"/>
        <v>0</v>
      </c>
      <c r="P195" s="125">
        <f t="shared" si="31"/>
        <v>2.2281870794181511E-2</v>
      </c>
      <c r="Q195" s="125">
        <f t="shared" si="31"/>
        <v>1.1198342091846737E-2</v>
      </c>
      <c r="R195" s="125">
        <f t="shared" si="31"/>
        <v>0.995</v>
      </c>
      <c r="S195" s="125">
        <f t="shared" si="31"/>
        <v>0.995</v>
      </c>
      <c r="T195" s="125">
        <f t="shared" si="31"/>
        <v>0</v>
      </c>
      <c r="U195" s="126"/>
      <c r="V195" s="126"/>
      <c r="W195" s="126"/>
      <c r="X195" s="126"/>
      <c r="Y195" s="126"/>
      <c r="Z195" s="126"/>
      <c r="AA195" s="126"/>
      <c r="AB195" s="126"/>
    </row>
    <row r="196" spans="1:28">
      <c r="A196" t="s">
        <v>2510</v>
      </c>
      <c r="B196" s="25">
        <f t="shared" si="22"/>
        <v>16</v>
      </c>
      <c r="C196" s="123" t="str">
        <f t="shared" si="32"/>
        <v>Year-16</v>
      </c>
      <c r="D196" s="35">
        <v>50192</v>
      </c>
      <c r="E196" s="26">
        <f t="shared" si="30"/>
        <v>192.8</v>
      </c>
      <c r="F196" s="26">
        <f t="shared" si="30"/>
        <v>200.20089519999999</v>
      </c>
      <c r="G196" s="31">
        <f t="shared" si="27"/>
        <v>50414.096318177464</v>
      </c>
      <c r="H196" s="124">
        <f t="shared" si="31"/>
        <v>54.658309168315547</v>
      </c>
      <c r="I196" s="125">
        <f t="shared" si="31"/>
        <v>1.914123124676681E-2</v>
      </c>
      <c r="J196" s="125">
        <f t="shared" si="31"/>
        <v>0.3</v>
      </c>
      <c r="K196" s="125">
        <f t="shared" si="31"/>
        <v>0.12650723469382591</v>
      </c>
      <c r="L196" s="125">
        <f t="shared" si="31"/>
        <v>1.6398522844759341E-2</v>
      </c>
      <c r="M196" s="125">
        <f t="shared" si="31"/>
        <v>1.3926271600695752E-2</v>
      </c>
      <c r="N196" s="125">
        <f t="shared" si="31"/>
        <v>1.4057661793117321E-2</v>
      </c>
      <c r="O196" s="125">
        <f t="shared" si="31"/>
        <v>0</v>
      </c>
      <c r="P196" s="125">
        <f t="shared" si="31"/>
        <v>2.1677907023400757E-2</v>
      </c>
      <c r="Q196" s="125">
        <f t="shared" si="31"/>
        <v>4.051685061336731E-3</v>
      </c>
      <c r="R196" s="125">
        <f t="shared" si="31"/>
        <v>0.995</v>
      </c>
      <c r="S196" s="125">
        <f t="shared" si="31"/>
        <v>0.995</v>
      </c>
      <c r="T196" s="125">
        <f t="shared" si="31"/>
        <v>0</v>
      </c>
      <c r="U196" s="126"/>
      <c r="V196" s="126"/>
      <c r="W196" s="126"/>
      <c r="X196" s="126"/>
      <c r="Y196" s="126"/>
      <c r="Z196" s="126"/>
      <c r="AA196" s="126"/>
      <c r="AB196" s="126"/>
    </row>
    <row r="197" spans="1:28">
      <c r="A197" t="s">
        <v>2510</v>
      </c>
      <c r="B197" s="25">
        <f t="shared" si="22"/>
        <v>16</v>
      </c>
      <c r="C197" s="123" t="str">
        <f t="shared" si="32"/>
        <v>Year-16</v>
      </c>
      <c r="D197" s="35">
        <v>50222</v>
      </c>
      <c r="E197" s="26">
        <f t="shared" si="30"/>
        <v>168.9</v>
      </c>
      <c r="F197" s="26">
        <f t="shared" si="30"/>
        <v>173.59972409999992</v>
      </c>
      <c r="G197" s="31">
        <f t="shared" si="27"/>
        <v>46198.839475186454</v>
      </c>
      <c r="H197" s="124">
        <f t="shared" si="31"/>
        <v>51.564857066184757</v>
      </c>
      <c r="I197" s="125">
        <f t="shared" si="31"/>
        <v>2.1854695806261204E-2</v>
      </c>
      <c r="J197" s="125">
        <f t="shared" si="31"/>
        <v>0.28000000000000003</v>
      </c>
      <c r="K197" s="125">
        <f t="shared" si="31"/>
        <v>0.1089308468990661</v>
      </c>
      <c r="L197" s="125">
        <f t="shared" si="31"/>
        <v>1.5867586262633245E-2</v>
      </c>
      <c r="M197" s="125">
        <f t="shared" si="31"/>
        <v>1.231974144019694E-2</v>
      </c>
      <c r="N197" s="125">
        <f t="shared" si="31"/>
        <v>1.3502102014775261E-2</v>
      </c>
      <c r="O197" s="125">
        <f t="shared" si="31"/>
        <v>0</v>
      </c>
      <c r="P197" s="125">
        <f t="shared" si="31"/>
        <v>2.127320988616644E-2</v>
      </c>
      <c r="Q197" s="125">
        <f t="shared" si="31"/>
        <v>1.5557262066246368E-3</v>
      </c>
      <c r="R197" s="125">
        <f t="shared" si="31"/>
        <v>0.995</v>
      </c>
      <c r="S197" s="125">
        <f t="shared" si="31"/>
        <v>0.995</v>
      </c>
      <c r="T197" s="125">
        <f t="shared" si="31"/>
        <v>0</v>
      </c>
      <c r="U197" s="126"/>
      <c r="V197" s="126"/>
      <c r="W197" s="126"/>
      <c r="X197" s="126"/>
      <c r="Y197" s="126"/>
      <c r="Z197" s="126"/>
      <c r="AA197" s="126"/>
      <c r="AB197" s="126"/>
    </row>
    <row r="198" spans="1:28">
      <c r="A198" t="s">
        <v>2510</v>
      </c>
      <c r="B198" s="25">
        <f t="shared" si="22"/>
        <v>16</v>
      </c>
      <c r="C198" s="123" t="str">
        <f t="shared" si="32"/>
        <v>Year-16</v>
      </c>
      <c r="D198" s="35">
        <v>50253</v>
      </c>
      <c r="E198" s="26">
        <f t="shared" si="30"/>
        <v>174.2</v>
      </c>
      <c r="F198" s="26">
        <f t="shared" si="30"/>
        <v>172.6001566000001</v>
      </c>
      <c r="G198" s="31">
        <f t="shared" si="27"/>
        <v>47034.380363886252</v>
      </c>
      <c r="H198" s="124">
        <f t="shared" si="31"/>
        <v>50.336592710430871</v>
      </c>
      <c r="I198" s="125">
        <f t="shared" si="31"/>
        <v>2.0196191575302946E-2</v>
      </c>
      <c r="J198" s="125">
        <f t="shared" si="31"/>
        <v>0.27</v>
      </c>
      <c r="K198" s="125">
        <f t="shared" si="31"/>
        <v>0.10494453414747008</v>
      </c>
      <c r="L198" s="125">
        <f t="shared" si="31"/>
        <v>1.507508977611231E-2</v>
      </c>
      <c r="M198" s="125">
        <f t="shared" si="31"/>
        <v>1.2791562311125756E-2</v>
      </c>
      <c r="N198" s="125">
        <f t="shared" si="31"/>
        <v>1.4116403195935955E-2</v>
      </c>
      <c r="O198" s="125">
        <f t="shared" si="31"/>
        <v>0</v>
      </c>
      <c r="P198" s="125">
        <f t="shared" si="31"/>
        <v>2.157456294953386E-2</v>
      </c>
      <c r="Q198" s="125">
        <f t="shared" si="31"/>
        <v>6.2818876990405415E-3</v>
      </c>
      <c r="R198" s="125">
        <f t="shared" si="31"/>
        <v>0.995</v>
      </c>
      <c r="S198" s="125">
        <f t="shared" si="31"/>
        <v>0.995</v>
      </c>
      <c r="T198" s="125">
        <f t="shared" si="31"/>
        <v>0</v>
      </c>
      <c r="U198" s="126"/>
      <c r="V198" s="126"/>
      <c r="W198" s="126"/>
      <c r="X198" s="126"/>
      <c r="Y198" s="126"/>
      <c r="Z198" s="126"/>
      <c r="AA198" s="126"/>
      <c r="AB198" s="126"/>
    </row>
    <row r="199" spans="1:28">
      <c r="A199" t="s">
        <v>2510</v>
      </c>
      <c r="B199" s="25">
        <f t="shared" si="22"/>
        <v>16</v>
      </c>
      <c r="C199" s="123" t="str">
        <f t="shared" si="32"/>
        <v>Year-16</v>
      </c>
      <c r="D199" s="35">
        <v>50284</v>
      </c>
      <c r="E199" s="26">
        <f t="shared" si="30"/>
        <v>192.1</v>
      </c>
      <c r="F199" s="26">
        <f t="shared" si="30"/>
        <v>178.89930529999984</v>
      </c>
      <c r="G199" s="31">
        <f t="shared" si="27"/>
        <v>49531.614930112519</v>
      </c>
      <c r="H199" s="124">
        <f t="shared" si="31"/>
        <v>52.25059433997491</v>
      </c>
      <c r="I199" s="125">
        <f t="shared" si="31"/>
        <v>1.7196456487754141E-2</v>
      </c>
      <c r="J199" s="125">
        <f t="shared" si="31"/>
        <v>0.26</v>
      </c>
      <c r="K199" s="125">
        <f t="shared" si="31"/>
        <v>0.11387126505657014</v>
      </c>
      <c r="L199" s="125">
        <f t="shared" si="31"/>
        <v>1.3959618092500629E-2</v>
      </c>
      <c r="M199" s="125">
        <f t="shared" si="31"/>
        <v>1.4531255376132731E-2</v>
      </c>
      <c r="N199" s="125">
        <f t="shared" si="31"/>
        <v>1.4478833500810966E-2</v>
      </c>
      <c r="O199" s="125">
        <f t="shared" si="31"/>
        <v>0</v>
      </c>
      <c r="P199" s="125">
        <f t="shared" si="31"/>
        <v>2.2473527643153385E-2</v>
      </c>
      <c r="Q199" s="125">
        <f t="shared" si="31"/>
        <v>1.1388926338936924E-2</v>
      </c>
      <c r="R199" s="125">
        <f t="shared" si="31"/>
        <v>0.995</v>
      </c>
      <c r="S199" s="125">
        <f t="shared" si="31"/>
        <v>0.995</v>
      </c>
      <c r="T199" s="125">
        <f t="shared" si="31"/>
        <v>0</v>
      </c>
      <c r="U199" s="126"/>
      <c r="V199" s="126"/>
      <c r="W199" s="126"/>
      <c r="X199" s="126"/>
      <c r="Y199" s="126"/>
      <c r="Z199" s="126"/>
      <c r="AA199" s="126"/>
      <c r="AB199" s="126"/>
    </row>
    <row r="200" spans="1:28">
      <c r="A200" t="s">
        <v>2510</v>
      </c>
      <c r="B200" s="25">
        <f t="shared" si="22"/>
        <v>16</v>
      </c>
      <c r="C200" s="123" t="str">
        <f t="shared" si="32"/>
        <v>Year-16</v>
      </c>
      <c r="D200" s="35">
        <v>50314</v>
      </c>
      <c r="E200" s="26">
        <f t="shared" si="30"/>
        <v>202.3</v>
      </c>
      <c r="F200" s="26">
        <f t="shared" si="30"/>
        <v>174.60082279999986</v>
      </c>
      <c r="G200" s="31">
        <f t="shared" si="27"/>
        <v>53690.543173865357</v>
      </c>
      <c r="H200" s="124">
        <f t="shared" si="31"/>
        <v>49.723937837075084</v>
      </c>
      <c r="I200" s="125">
        <f t="shared" si="31"/>
        <v>1.5873015873015817E-2</v>
      </c>
      <c r="J200" s="125">
        <f t="shared" si="31"/>
        <v>0.27</v>
      </c>
      <c r="K200" s="125">
        <f t="shared" si="31"/>
        <v>0.10390722673430232</v>
      </c>
      <c r="L200" s="125">
        <f t="shared" si="31"/>
        <v>1.4040704754284353E-2</v>
      </c>
      <c r="M200" s="125">
        <f t="shared" si="31"/>
        <v>1.526389492868482E-2</v>
      </c>
      <c r="N200" s="125">
        <f t="shared" si="31"/>
        <v>1.5324069649683622E-2</v>
      </c>
      <c r="O200" s="125">
        <f t="shared" si="31"/>
        <v>0</v>
      </c>
      <c r="P200" s="125">
        <f t="shared" si="31"/>
        <v>2.3043103417804571E-2</v>
      </c>
      <c r="Q200" s="125">
        <f t="shared" si="31"/>
        <v>2.1184397869334348E-2</v>
      </c>
      <c r="R200" s="125">
        <f t="shared" si="31"/>
        <v>0.995</v>
      </c>
      <c r="S200" s="125">
        <f t="shared" si="31"/>
        <v>0.995</v>
      </c>
      <c r="T200" s="125">
        <f t="shared" si="31"/>
        <v>0</v>
      </c>
      <c r="U200" s="126"/>
      <c r="V200" s="126"/>
      <c r="W200" s="126"/>
      <c r="X200" s="126"/>
      <c r="Y200" s="126"/>
      <c r="Z200" s="126"/>
      <c r="AA200" s="126"/>
      <c r="AB200" s="126"/>
    </row>
    <row r="201" spans="1:28">
      <c r="A201" t="s">
        <v>2510</v>
      </c>
      <c r="B201" s="25">
        <f t="shared" si="22"/>
        <v>16</v>
      </c>
      <c r="C201" s="123" t="str">
        <f t="shared" si="32"/>
        <v>Year-16</v>
      </c>
      <c r="D201" s="35">
        <v>50345</v>
      </c>
      <c r="E201" s="26">
        <f t="shared" si="30"/>
        <v>162.9</v>
      </c>
      <c r="F201" s="26">
        <f t="shared" si="30"/>
        <v>133.69942049999997</v>
      </c>
      <c r="G201" s="31">
        <f t="shared" si="27"/>
        <v>44030.188404516266</v>
      </c>
      <c r="H201" s="124">
        <f t="shared" si="31"/>
        <v>42.187120547750681</v>
      </c>
      <c r="I201" s="125">
        <f t="shared" si="31"/>
        <v>1.5950920245398792E-2</v>
      </c>
      <c r="J201" s="125">
        <f t="shared" si="31"/>
        <v>0.27</v>
      </c>
      <c r="K201" s="125">
        <f t="shared" si="31"/>
        <v>6.9024239591701744E-2</v>
      </c>
      <c r="L201" s="125">
        <f t="shared" si="31"/>
        <v>1.4204952105287192E-2</v>
      </c>
      <c r="M201" s="125">
        <f t="shared" si="31"/>
        <v>1.3252885058363056E-2</v>
      </c>
      <c r="N201" s="125">
        <f t="shared" si="31"/>
        <v>1.3980442883231779E-2</v>
      </c>
      <c r="O201" s="125">
        <f t="shared" si="31"/>
        <v>0</v>
      </c>
      <c r="P201" s="125">
        <f t="shared" si="31"/>
        <v>2.30208488716231E-2</v>
      </c>
      <c r="Q201" s="125">
        <f t="shared" si="31"/>
        <v>8.3479094998109554E-3</v>
      </c>
      <c r="R201" s="125">
        <f t="shared" si="31"/>
        <v>0.995</v>
      </c>
      <c r="S201" s="125">
        <f t="shared" si="31"/>
        <v>0.995</v>
      </c>
      <c r="T201" s="125">
        <f t="shared" si="31"/>
        <v>0</v>
      </c>
      <c r="U201" s="126"/>
      <c r="V201" s="126"/>
      <c r="W201" s="126"/>
      <c r="X201" s="126"/>
      <c r="Y201" s="126"/>
      <c r="Z201" s="126"/>
      <c r="AA201" s="126"/>
      <c r="AB201" s="126"/>
    </row>
    <row r="202" spans="1:28">
      <c r="A202" t="s">
        <v>2510</v>
      </c>
      <c r="B202" s="25">
        <f t="shared" si="22"/>
        <v>16</v>
      </c>
      <c r="C202" s="123" t="str">
        <f t="shared" si="32"/>
        <v>Year-16</v>
      </c>
      <c r="D202" s="35">
        <v>50375</v>
      </c>
      <c r="E202" s="26">
        <f t="shared" si="30"/>
        <v>158.6</v>
      </c>
      <c r="F202" s="26">
        <f t="shared" si="30"/>
        <v>124.40004220000003</v>
      </c>
      <c r="G202" s="31">
        <f t="shared" si="27"/>
        <v>45325.746186994584</v>
      </c>
      <c r="H202" s="124">
        <f t="shared" si="31"/>
        <v>36.076939444156181</v>
      </c>
      <c r="I202" s="125">
        <f t="shared" si="31"/>
        <v>1.5802781289506962E-2</v>
      </c>
      <c r="J202" s="125">
        <f t="shared" si="31"/>
        <v>0.27</v>
      </c>
      <c r="K202" s="125">
        <f t="shared" si="31"/>
        <v>4.4787946264861052E-2</v>
      </c>
      <c r="L202" s="125">
        <f t="shared" si="31"/>
        <v>1.4140595613406415E-2</v>
      </c>
      <c r="M202" s="125">
        <f t="shared" si="31"/>
        <v>1.2367081056294736E-2</v>
      </c>
      <c r="N202" s="125">
        <f t="shared" si="31"/>
        <v>1.3960975699298588E-2</v>
      </c>
      <c r="O202" s="125">
        <f t="shared" si="31"/>
        <v>0</v>
      </c>
      <c r="P202" s="125">
        <f t="shared" si="31"/>
        <v>2.3055036005913448E-2</v>
      </c>
      <c r="Q202" s="125">
        <f t="shared" si="31"/>
        <v>3.6978876304825567E-3</v>
      </c>
      <c r="R202" s="125">
        <f t="shared" si="31"/>
        <v>0.995</v>
      </c>
      <c r="S202" s="125">
        <f t="shared" si="31"/>
        <v>0.995</v>
      </c>
      <c r="T202" s="125">
        <f t="shared" si="31"/>
        <v>0</v>
      </c>
      <c r="U202" s="126"/>
      <c r="V202" s="126"/>
      <c r="W202" s="126"/>
      <c r="X202" s="126"/>
      <c r="Y202" s="126"/>
      <c r="Z202" s="126"/>
      <c r="AA202" s="126"/>
      <c r="AB202" s="126"/>
    </row>
    <row r="203" spans="1:28">
      <c r="A203" t="s">
        <v>2510</v>
      </c>
      <c r="B203" s="25">
        <f t="shared" si="22"/>
        <v>16</v>
      </c>
      <c r="C203" s="123" t="str">
        <f t="shared" si="32"/>
        <v>Year-16</v>
      </c>
      <c r="D203" s="35">
        <v>50406</v>
      </c>
      <c r="E203" s="26">
        <f t="shared" si="30"/>
        <v>169.028549</v>
      </c>
      <c r="F203" s="26">
        <f t="shared" si="30"/>
        <v>133.89933939999995</v>
      </c>
      <c r="G203" s="31">
        <f t="shared" si="27"/>
        <v>48123.399949157843</v>
      </c>
      <c r="H203" s="124">
        <f t="shared" si="31"/>
        <v>34.970332119021293</v>
      </c>
      <c r="I203" s="125">
        <f t="shared" si="31"/>
        <v>1.7200474495848161E-2</v>
      </c>
      <c r="J203" s="125">
        <f t="shared" si="31"/>
        <v>0.27</v>
      </c>
      <c r="K203" s="125">
        <f t="shared" si="31"/>
        <v>4.0029940128316385E-2</v>
      </c>
      <c r="L203" s="125">
        <f t="shared" si="31"/>
        <v>1.4099625889623608E-2</v>
      </c>
      <c r="M203" s="125">
        <f t="shared" si="31"/>
        <v>1.267725762135744E-2</v>
      </c>
      <c r="N203" s="125">
        <f t="shared" si="31"/>
        <v>1.390175346828215E-2</v>
      </c>
      <c r="O203" s="125">
        <f t="shared" si="31"/>
        <v>0</v>
      </c>
      <c r="P203" s="125">
        <f t="shared" si="31"/>
        <v>2.298066658515029E-2</v>
      </c>
      <c r="Q203" s="125">
        <f t="shared" si="31"/>
        <v>1.0644897972798715E-2</v>
      </c>
      <c r="R203" s="125">
        <f t="shared" si="31"/>
        <v>0.995</v>
      </c>
      <c r="S203" s="125">
        <f t="shared" si="31"/>
        <v>0.995</v>
      </c>
      <c r="T203" s="125">
        <f t="shared" si="31"/>
        <v>0</v>
      </c>
      <c r="U203" s="126"/>
      <c r="V203" s="126"/>
      <c r="W203" s="126"/>
      <c r="X203" s="126"/>
      <c r="Y203" s="126"/>
      <c r="Z203" s="126"/>
      <c r="AA203" s="126"/>
      <c r="AB203" s="126"/>
    </row>
    <row r="204" spans="1:28">
      <c r="A204" t="s">
        <v>2510</v>
      </c>
      <c r="B204" s="25">
        <f t="shared" si="22"/>
        <v>16</v>
      </c>
      <c r="C204" s="123" t="str">
        <f t="shared" si="32"/>
        <v>Year-16</v>
      </c>
      <c r="D204" s="35">
        <v>50437</v>
      </c>
      <c r="E204" s="26">
        <f t="shared" si="30"/>
        <v>172.55912190000004</v>
      </c>
      <c r="F204" s="26">
        <f t="shared" si="30"/>
        <v>145.40077080000009</v>
      </c>
      <c r="G204" s="31">
        <f t="shared" si="27"/>
        <v>44396.324299564469</v>
      </c>
      <c r="H204" s="124">
        <f t="shared" si="31"/>
        <v>40.252096455972236</v>
      </c>
      <c r="I204" s="125">
        <f t="shared" si="31"/>
        <v>1.510749564206848E-2</v>
      </c>
      <c r="J204" s="125">
        <f t="shared" si="31"/>
        <v>0.27</v>
      </c>
      <c r="K204" s="125">
        <f t="shared" si="31"/>
        <v>6.2111013936519133E-2</v>
      </c>
      <c r="L204" s="125">
        <f t="shared" si="31"/>
        <v>1.4175439055030284E-2</v>
      </c>
      <c r="M204" s="125">
        <f t="shared" si="31"/>
        <v>1.4384371816049681E-2</v>
      </c>
      <c r="N204" s="125">
        <f t="shared" si="31"/>
        <v>1.5915736744616871E-2</v>
      </c>
      <c r="O204" s="125">
        <f t="shared" si="31"/>
        <v>0</v>
      </c>
      <c r="P204" s="125">
        <f t="shared" si="31"/>
        <v>2.3268144471779773E-2</v>
      </c>
      <c r="Q204" s="125">
        <f t="shared" si="31"/>
        <v>2.5052142565085967E-2</v>
      </c>
      <c r="R204" s="125">
        <f t="shared" si="31"/>
        <v>0.995</v>
      </c>
      <c r="S204" s="125">
        <f t="shared" si="31"/>
        <v>0.995</v>
      </c>
      <c r="T204" s="125">
        <f t="shared" si="31"/>
        <v>0</v>
      </c>
      <c r="U204" s="126"/>
      <c r="V204" s="126"/>
      <c r="W204" s="126"/>
      <c r="X204" s="126"/>
      <c r="Y204" s="126"/>
      <c r="Z204" s="126"/>
      <c r="AA204" s="126"/>
      <c r="AB204" s="126"/>
    </row>
    <row r="205" spans="1:28">
      <c r="A205" t="s">
        <v>2510</v>
      </c>
      <c r="B205" s="25">
        <f t="shared" si="22"/>
        <v>16</v>
      </c>
      <c r="C205" s="123" t="str">
        <f t="shared" si="32"/>
        <v>Year-16</v>
      </c>
      <c r="D205" s="35">
        <v>50465</v>
      </c>
      <c r="E205" s="26">
        <f t="shared" si="30"/>
        <v>215.74576700000009</v>
      </c>
      <c r="F205" s="26">
        <f t="shared" si="30"/>
        <v>195.59891570000002</v>
      </c>
      <c r="G205" s="31">
        <f t="shared" si="27"/>
        <v>56807.392331711701</v>
      </c>
      <c r="H205" s="124">
        <f t="shared" si="31"/>
        <v>47.179622377374095</v>
      </c>
      <c r="I205" s="125">
        <f t="shared" si="31"/>
        <v>1.5306122448979553E-2</v>
      </c>
      <c r="J205" s="125">
        <f t="shared" si="31"/>
        <v>0.28000000000000003</v>
      </c>
      <c r="K205" s="125">
        <f t="shared" si="31"/>
        <v>9.4419706369976972E-2</v>
      </c>
      <c r="L205" s="125">
        <f t="shared" si="31"/>
        <v>1.4644787078611174E-2</v>
      </c>
      <c r="M205" s="125">
        <f t="shared" si="31"/>
        <v>1.6212630268737406E-2</v>
      </c>
      <c r="N205" s="125">
        <f t="shared" si="31"/>
        <v>2.0718676035686345E-2</v>
      </c>
      <c r="O205" s="125">
        <f t="shared" si="31"/>
        <v>0</v>
      </c>
      <c r="P205" s="125">
        <f t="shared" si="31"/>
        <v>2.3247057021314733E-2</v>
      </c>
      <c r="Q205" s="125">
        <f t="shared" si="31"/>
        <v>3.9222124133286969E-2</v>
      </c>
      <c r="R205" s="125">
        <f t="shared" si="31"/>
        <v>0.995</v>
      </c>
      <c r="S205" s="125">
        <f t="shared" si="31"/>
        <v>0.995</v>
      </c>
      <c r="T205" s="125">
        <f t="shared" si="31"/>
        <v>0</v>
      </c>
      <c r="U205" s="126"/>
      <c r="V205" s="126"/>
      <c r="W205" s="126"/>
      <c r="X205" s="126"/>
      <c r="Y205" s="126"/>
      <c r="Z205" s="126"/>
      <c r="AA205" s="126"/>
      <c r="AB205" s="126"/>
    </row>
    <row r="206" spans="1:28">
      <c r="A206" t="s">
        <v>2511</v>
      </c>
      <c r="B206" s="25">
        <f t="shared" ref="B206:B269" si="33">B194+1</f>
        <v>17</v>
      </c>
      <c r="C206" s="123" t="str">
        <f t="shared" si="32"/>
        <v>Year-17</v>
      </c>
      <c r="D206" s="35">
        <v>50496</v>
      </c>
      <c r="E206" s="26">
        <f t="shared" ref="E206:F221" si="34">E194</f>
        <v>215.9</v>
      </c>
      <c r="F206" s="26">
        <f t="shared" si="34"/>
        <v>208.99969899999999</v>
      </c>
      <c r="G206" s="31">
        <f t="shared" si="27"/>
        <v>54794.738622581732</v>
      </c>
      <c r="H206" s="124">
        <f t="shared" ref="H206:T221" si="35">H194</f>
        <v>52.296499350965128</v>
      </c>
      <c r="I206" s="125">
        <f t="shared" si="35"/>
        <v>1.6658954187875996E-2</v>
      </c>
      <c r="J206" s="125">
        <f t="shared" si="35"/>
        <v>0.28999999999999998</v>
      </c>
      <c r="K206" s="125">
        <f t="shared" si="35"/>
        <v>0.11719199751057031</v>
      </c>
      <c r="L206" s="125">
        <f t="shared" si="35"/>
        <v>1.5231272154623582E-2</v>
      </c>
      <c r="M206" s="125">
        <f t="shared" si="35"/>
        <v>1.6110689006976781E-2</v>
      </c>
      <c r="N206" s="125">
        <f t="shared" si="35"/>
        <v>1.8633277773980331E-2</v>
      </c>
      <c r="O206" s="125">
        <f t="shared" si="35"/>
        <v>0</v>
      </c>
      <c r="P206" s="125">
        <f t="shared" si="35"/>
        <v>2.2802418781094937E-2</v>
      </c>
      <c r="Q206" s="125">
        <f t="shared" si="35"/>
        <v>2.7995485693316467E-2</v>
      </c>
      <c r="R206" s="125">
        <f t="shared" si="35"/>
        <v>0.995</v>
      </c>
      <c r="S206" s="125">
        <f t="shared" si="35"/>
        <v>0.995</v>
      </c>
      <c r="T206" s="125">
        <f t="shared" si="35"/>
        <v>0</v>
      </c>
      <c r="U206" s="126"/>
      <c r="V206" s="126"/>
      <c r="W206" s="126"/>
      <c r="X206" s="126"/>
      <c r="Y206" s="126"/>
      <c r="Z206" s="126"/>
      <c r="AA206" s="126"/>
      <c r="AB206" s="126"/>
    </row>
    <row r="207" spans="1:28">
      <c r="A207" t="s">
        <v>2511</v>
      </c>
      <c r="B207" s="25">
        <f t="shared" si="33"/>
        <v>17</v>
      </c>
      <c r="C207" s="123" t="str">
        <f t="shared" si="32"/>
        <v>Year-17</v>
      </c>
      <c r="D207" s="35">
        <v>50526</v>
      </c>
      <c r="E207" s="26">
        <f t="shared" si="34"/>
        <v>217.9</v>
      </c>
      <c r="F207" s="26">
        <f t="shared" si="34"/>
        <v>221.90023470000006</v>
      </c>
      <c r="G207" s="31">
        <f t="shared" si="27"/>
        <v>57738.682451016532</v>
      </c>
      <c r="H207" s="124">
        <f t="shared" si="35"/>
        <v>55.437733860726389</v>
      </c>
      <c r="I207" s="125">
        <f t="shared" si="35"/>
        <v>1.7865322950068707E-2</v>
      </c>
      <c r="J207" s="125">
        <f t="shared" si="35"/>
        <v>0.3</v>
      </c>
      <c r="K207" s="125">
        <f t="shared" si="35"/>
        <v>0.1306817577748349</v>
      </c>
      <c r="L207" s="125">
        <f t="shared" si="35"/>
        <v>1.609339136491415E-2</v>
      </c>
      <c r="M207" s="125">
        <f t="shared" si="35"/>
        <v>1.525163145425878E-2</v>
      </c>
      <c r="N207" s="125">
        <f t="shared" si="35"/>
        <v>1.5763583972179196E-2</v>
      </c>
      <c r="O207" s="125">
        <f t="shared" si="35"/>
        <v>0</v>
      </c>
      <c r="P207" s="125">
        <f t="shared" si="35"/>
        <v>2.2281870794181511E-2</v>
      </c>
      <c r="Q207" s="125">
        <f t="shared" si="35"/>
        <v>1.1198342091846737E-2</v>
      </c>
      <c r="R207" s="125">
        <f t="shared" si="35"/>
        <v>0.995</v>
      </c>
      <c r="S207" s="125">
        <f t="shared" si="35"/>
        <v>0.995</v>
      </c>
      <c r="T207" s="125">
        <f t="shared" si="35"/>
        <v>0</v>
      </c>
      <c r="U207" s="126"/>
      <c r="V207" s="126"/>
      <c r="W207" s="126"/>
      <c r="X207" s="126"/>
      <c r="Y207" s="126"/>
      <c r="Z207" s="126"/>
      <c r="AA207" s="126"/>
      <c r="AB207" s="126"/>
    </row>
    <row r="208" spans="1:28">
      <c r="A208" t="s">
        <v>2511</v>
      </c>
      <c r="B208" s="25">
        <f t="shared" si="33"/>
        <v>17</v>
      </c>
      <c r="C208" s="123" t="str">
        <f t="shared" si="32"/>
        <v>Year-17</v>
      </c>
      <c r="D208" s="35">
        <v>50557</v>
      </c>
      <c r="E208" s="26">
        <f t="shared" si="34"/>
        <v>192.8</v>
      </c>
      <c r="F208" s="26">
        <f t="shared" si="34"/>
        <v>200.20089519999999</v>
      </c>
      <c r="G208" s="31">
        <f t="shared" si="27"/>
        <v>50187.232884745667</v>
      </c>
      <c r="H208" s="124">
        <f t="shared" si="35"/>
        <v>54.658309168315547</v>
      </c>
      <c r="I208" s="125">
        <f t="shared" si="35"/>
        <v>1.914123124676681E-2</v>
      </c>
      <c r="J208" s="125">
        <f t="shared" si="35"/>
        <v>0.3</v>
      </c>
      <c r="K208" s="125">
        <f t="shared" si="35"/>
        <v>0.12650723469382591</v>
      </c>
      <c r="L208" s="125">
        <f t="shared" si="35"/>
        <v>1.6398522844759341E-2</v>
      </c>
      <c r="M208" s="125">
        <f t="shared" si="35"/>
        <v>1.3926271600695752E-2</v>
      </c>
      <c r="N208" s="125">
        <f t="shared" si="35"/>
        <v>1.4057661793117321E-2</v>
      </c>
      <c r="O208" s="125">
        <f t="shared" si="35"/>
        <v>0</v>
      </c>
      <c r="P208" s="125">
        <f t="shared" si="35"/>
        <v>2.1677907023400757E-2</v>
      </c>
      <c r="Q208" s="125">
        <f t="shared" si="35"/>
        <v>4.051685061336731E-3</v>
      </c>
      <c r="R208" s="125">
        <f t="shared" si="35"/>
        <v>0.995</v>
      </c>
      <c r="S208" s="125">
        <f t="shared" si="35"/>
        <v>0.995</v>
      </c>
      <c r="T208" s="125">
        <f t="shared" si="35"/>
        <v>0</v>
      </c>
      <c r="U208" s="126"/>
      <c r="V208" s="126"/>
      <c r="W208" s="126"/>
      <c r="X208" s="126"/>
      <c r="Y208" s="126"/>
      <c r="Z208" s="126"/>
      <c r="AA208" s="126"/>
      <c r="AB208" s="126"/>
    </row>
    <row r="209" spans="1:28">
      <c r="A209" t="s">
        <v>2511</v>
      </c>
      <c r="B209" s="25">
        <f t="shared" si="33"/>
        <v>17</v>
      </c>
      <c r="C209" s="123" t="str">
        <f t="shared" si="32"/>
        <v>Year-17</v>
      </c>
      <c r="D209" s="35">
        <v>50587</v>
      </c>
      <c r="E209" s="26">
        <f t="shared" si="34"/>
        <v>168.9</v>
      </c>
      <c r="F209" s="26">
        <f t="shared" si="34"/>
        <v>173.59972409999992</v>
      </c>
      <c r="G209" s="31">
        <f t="shared" si="27"/>
        <v>45990.944697548119</v>
      </c>
      <c r="H209" s="124">
        <f t="shared" si="35"/>
        <v>51.564857066184757</v>
      </c>
      <c r="I209" s="125">
        <f t="shared" si="35"/>
        <v>2.1854695806261204E-2</v>
      </c>
      <c r="J209" s="125">
        <f t="shared" si="35"/>
        <v>0.28000000000000003</v>
      </c>
      <c r="K209" s="125">
        <f t="shared" si="35"/>
        <v>0.1089308468990661</v>
      </c>
      <c r="L209" s="125">
        <f t="shared" si="35"/>
        <v>1.5867586262633245E-2</v>
      </c>
      <c r="M209" s="125">
        <f t="shared" si="35"/>
        <v>1.231974144019694E-2</v>
      </c>
      <c r="N209" s="125">
        <f t="shared" si="35"/>
        <v>1.3502102014775261E-2</v>
      </c>
      <c r="O209" s="125">
        <f t="shared" si="35"/>
        <v>0</v>
      </c>
      <c r="P209" s="125">
        <f t="shared" si="35"/>
        <v>2.127320988616644E-2</v>
      </c>
      <c r="Q209" s="125">
        <f t="shared" si="35"/>
        <v>1.5557262066246368E-3</v>
      </c>
      <c r="R209" s="125">
        <f t="shared" si="35"/>
        <v>0.995</v>
      </c>
      <c r="S209" s="125">
        <f t="shared" si="35"/>
        <v>0.995</v>
      </c>
      <c r="T209" s="125">
        <f t="shared" si="35"/>
        <v>0</v>
      </c>
      <c r="U209" s="126"/>
      <c r="V209" s="126"/>
      <c r="W209" s="126"/>
      <c r="X209" s="126"/>
      <c r="Y209" s="126"/>
      <c r="Z209" s="126"/>
      <c r="AA209" s="126"/>
      <c r="AB209" s="126"/>
    </row>
    <row r="210" spans="1:28">
      <c r="A210" t="s">
        <v>2511</v>
      </c>
      <c r="B210" s="25">
        <f t="shared" si="33"/>
        <v>17</v>
      </c>
      <c r="C210" s="123" t="str">
        <f t="shared" si="32"/>
        <v>Year-17</v>
      </c>
      <c r="D210" s="35">
        <v>50618</v>
      </c>
      <c r="E210" s="26">
        <f t="shared" si="34"/>
        <v>174.2</v>
      </c>
      <c r="F210" s="26">
        <f t="shared" si="34"/>
        <v>172.6001566000001</v>
      </c>
      <c r="G210" s="31">
        <f t="shared" si="27"/>
        <v>46822.725652248766</v>
      </c>
      <c r="H210" s="124">
        <f t="shared" si="35"/>
        <v>50.336592710430871</v>
      </c>
      <c r="I210" s="125">
        <f t="shared" si="35"/>
        <v>2.0196191575302946E-2</v>
      </c>
      <c r="J210" s="125">
        <f t="shared" si="35"/>
        <v>0.27</v>
      </c>
      <c r="K210" s="125">
        <f t="shared" si="35"/>
        <v>0.10494453414747008</v>
      </c>
      <c r="L210" s="125">
        <f t="shared" si="35"/>
        <v>1.507508977611231E-2</v>
      </c>
      <c r="M210" s="125">
        <f t="shared" si="35"/>
        <v>1.2791562311125756E-2</v>
      </c>
      <c r="N210" s="125">
        <f t="shared" si="35"/>
        <v>1.4116403195935955E-2</v>
      </c>
      <c r="O210" s="125">
        <f t="shared" si="35"/>
        <v>0</v>
      </c>
      <c r="P210" s="125">
        <f t="shared" si="35"/>
        <v>2.157456294953386E-2</v>
      </c>
      <c r="Q210" s="125">
        <f t="shared" si="35"/>
        <v>6.2818876990405415E-3</v>
      </c>
      <c r="R210" s="125">
        <f t="shared" si="35"/>
        <v>0.995</v>
      </c>
      <c r="S210" s="125">
        <f t="shared" si="35"/>
        <v>0.995</v>
      </c>
      <c r="T210" s="125">
        <f t="shared" si="35"/>
        <v>0</v>
      </c>
      <c r="U210" s="126"/>
      <c r="V210" s="126"/>
      <c r="W210" s="126"/>
      <c r="X210" s="126"/>
      <c r="Y210" s="126"/>
      <c r="Z210" s="126"/>
      <c r="AA210" s="126"/>
      <c r="AB210" s="126"/>
    </row>
    <row r="211" spans="1:28">
      <c r="A211" t="s">
        <v>2511</v>
      </c>
      <c r="B211" s="25">
        <f t="shared" si="33"/>
        <v>17</v>
      </c>
      <c r="C211" s="123" t="str">
        <f t="shared" si="32"/>
        <v>Year-17</v>
      </c>
      <c r="D211" s="35">
        <v>50649</v>
      </c>
      <c r="E211" s="26">
        <f t="shared" si="34"/>
        <v>192.1</v>
      </c>
      <c r="F211" s="26">
        <f t="shared" si="34"/>
        <v>178.89930529999984</v>
      </c>
      <c r="G211" s="31">
        <f t="shared" si="27"/>
        <v>49308.722662927015</v>
      </c>
      <c r="H211" s="124">
        <f t="shared" si="35"/>
        <v>52.25059433997491</v>
      </c>
      <c r="I211" s="125">
        <f t="shared" si="35"/>
        <v>1.7196456487754141E-2</v>
      </c>
      <c r="J211" s="125">
        <f t="shared" si="35"/>
        <v>0.26</v>
      </c>
      <c r="K211" s="125">
        <f t="shared" si="35"/>
        <v>0.11387126505657014</v>
      </c>
      <c r="L211" s="125">
        <f t="shared" si="35"/>
        <v>1.3959618092500629E-2</v>
      </c>
      <c r="M211" s="125">
        <f t="shared" si="35"/>
        <v>1.4531255376132731E-2</v>
      </c>
      <c r="N211" s="125">
        <f t="shared" si="35"/>
        <v>1.4478833500810966E-2</v>
      </c>
      <c r="O211" s="125">
        <f t="shared" si="35"/>
        <v>0</v>
      </c>
      <c r="P211" s="125">
        <f t="shared" si="35"/>
        <v>2.2473527643153385E-2</v>
      </c>
      <c r="Q211" s="125">
        <f t="shared" si="35"/>
        <v>1.1388926338936924E-2</v>
      </c>
      <c r="R211" s="125">
        <f t="shared" si="35"/>
        <v>0.995</v>
      </c>
      <c r="S211" s="125">
        <f t="shared" si="35"/>
        <v>0.995</v>
      </c>
      <c r="T211" s="125">
        <f t="shared" si="35"/>
        <v>0</v>
      </c>
      <c r="U211" s="126"/>
      <c r="V211" s="126"/>
      <c r="W211" s="126"/>
      <c r="X211" s="126"/>
      <c r="Y211" s="126"/>
      <c r="Z211" s="126"/>
      <c r="AA211" s="126"/>
      <c r="AB211" s="126"/>
    </row>
    <row r="212" spans="1:28">
      <c r="A212" t="s">
        <v>2511</v>
      </c>
      <c r="B212" s="25">
        <f t="shared" si="33"/>
        <v>17</v>
      </c>
      <c r="C212" s="123" t="str">
        <f t="shared" si="32"/>
        <v>Year-17</v>
      </c>
      <c r="D212" s="35">
        <v>50679</v>
      </c>
      <c r="E212" s="26">
        <f t="shared" si="34"/>
        <v>202.3</v>
      </c>
      <c r="F212" s="26">
        <f t="shared" si="34"/>
        <v>174.60082279999986</v>
      </c>
      <c r="G212" s="31">
        <f t="shared" si="27"/>
        <v>53448.935729582969</v>
      </c>
      <c r="H212" s="124">
        <f t="shared" si="35"/>
        <v>49.723937837075084</v>
      </c>
      <c r="I212" s="125">
        <f t="shared" si="35"/>
        <v>1.5873015873015817E-2</v>
      </c>
      <c r="J212" s="125">
        <f t="shared" si="35"/>
        <v>0.27</v>
      </c>
      <c r="K212" s="125">
        <f t="shared" si="35"/>
        <v>0.10390722673430232</v>
      </c>
      <c r="L212" s="125">
        <f t="shared" si="35"/>
        <v>1.4040704754284353E-2</v>
      </c>
      <c r="M212" s="125">
        <f t="shared" si="35"/>
        <v>1.526389492868482E-2</v>
      </c>
      <c r="N212" s="125">
        <f t="shared" si="35"/>
        <v>1.5324069649683622E-2</v>
      </c>
      <c r="O212" s="125">
        <f t="shared" si="35"/>
        <v>0</v>
      </c>
      <c r="P212" s="125">
        <f t="shared" si="35"/>
        <v>2.3043103417804571E-2</v>
      </c>
      <c r="Q212" s="125">
        <f t="shared" si="35"/>
        <v>2.1184397869334348E-2</v>
      </c>
      <c r="R212" s="125">
        <f t="shared" si="35"/>
        <v>0.995</v>
      </c>
      <c r="S212" s="125">
        <f t="shared" si="35"/>
        <v>0.995</v>
      </c>
      <c r="T212" s="125">
        <f t="shared" si="35"/>
        <v>0</v>
      </c>
      <c r="U212" s="126"/>
      <c r="V212" s="126"/>
      <c r="W212" s="126"/>
      <c r="X212" s="126"/>
      <c r="Y212" s="126"/>
      <c r="Z212" s="126"/>
      <c r="AA212" s="126"/>
      <c r="AB212" s="126"/>
    </row>
    <row r="213" spans="1:28">
      <c r="A213" t="s">
        <v>2511</v>
      </c>
      <c r="B213" s="25">
        <f t="shared" si="33"/>
        <v>17</v>
      </c>
      <c r="C213" s="123" t="str">
        <f t="shared" si="32"/>
        <v>Year-17</v>
      </c>
      <c r="D213" s="35">
        <v>50710</v>
      </c>
      <c r="E213" s="26">
        <f t="shared" si="34"/>
        <v>162.9</v>
      </c>
      <c r="F213" s="26">
        <f t="shared" si="34"/>
        <v>133.69942049999997</v>
      </c>
      <c r="G213" s="31">
        <f t="shared" si="27"/>
        <v>43832.052556695948</v>
      </c>
      <c r="H213" s="124">
        <f t="shared" si="35"/>
        <v>42.187120547750681</v>
      </c>
      <c r="I213" s="125">
        <f t="shared" si="35"/>
        <v>1.5950920245398792E-2</v>
      </c>
      <c r="J213" s="125">
        <f t="shared" si="35"/>
        <v>0.27</v>
      </c>
      <c r="K213" s="125">
        <f t="shared" si="35"/>
        <v>6.9024239591701744E-2</v>
      </c>
      <c r="L213" s="125">
        <f t="shared" si="35"/>
        <v>1.4204952105287192E-2</v>
      </c>
      <c r="M213" s="125">
        <f t="shared" si="35"/>
        <v>1.3252885058363056E-2</v>
      </c>
      <c r="N213" s="125">
        <f t="shared" si="35"/>
        <v>1.3980442883231779E-2</v>
      </c>
      <c r="O213" s="125">
        <f t="shared" si="35"/>
        <v>0</v>
      </c>
      <c r="P213" s="125">
        <f t="shared" si="35"/>
        <v>2.30208488716231E-2</v>
      </c>
      <c r="Q213" s="125">
        <f t="shared" si="35"/>
        <v>8.3479094998109554E-3</v>
      </c>
      <c r="R213" s="125">
        <f t="shared" si="35"/>
        <v>0.995</v>
      </c>
      <c r="S213" s="125">
        <f t="shared" si="35"/>
        <v>0.995</v>
      </c>
      <c r="T213" s="125">
        <f t="shared" si="35"/>
        <v>0</v>
      </c>
      <c r="U213" s="126"/>
      <c r="V213" s="126"/>
      <c r="W213" s="126"/>
      <c r="X213" s="126"/>
      <c r="Y213" s="126"/>
      <c r="Z213" s="126"/>
      <c r="AA213" s="126"/>
      <c r="AB213" s="126"/>
    </row>
    <row r="214" spans="1:28">
      <c r="A214" t="s">
        <v>2511</v>
      </c>
      <c r="B214" s="25">
        <f t="shared" si="33"/>
        <v>17</v>
      </c>
      <c r="C214" s="123" t="str">
        <f t="shared" si="32"/>
        <v>Year-17</v>
      </c>
      <c r="D214" s="35">
        <v>50740</v>
      </c>
      <c r="E214" s="26">
        <f t="shared" si="34"/>
        <v>158.6</v>
      </c>
      <c r="F214" s="26">
        <f t="shared" si="34"/>
        <v>124.40004220000003</v>
      </c>
      <c r="G214" s="31">
        <f t="shared" si="27"/>
        <v>45121.780329153109</v>
      </c>
      <c r="H214" s="124">
        <f t="shared" si="35"/>
        <v>36.076939444156181</v>
      </c>
      <c r="I214" s="125">
        <f t="shared" si="35"/>
        <v>1.5802781289506962E-2</v>
      </c>
      <c r="J214" s="125">
        <f t="shared" si="35"/>
        <v>0.27</v>
      </c>
      <c r="K214" s="125">
        <f t="shared" si="35"/>
        <v>4.4787946264861052E-2</v>
      </c>
      <c r="L214" s="125">
        <f t="shared" si="35"/>
        <v>1.4140595613406415E-2</v>
      </c>
      <c r="M214" s="125">
        <f t="shared" si="35"/>
        <v>1.2367081056294736E-2</v>
      </c>
      <c r="N214" s="125">
        <f t="shared" si="35"/>
        <v>1.3960975699298588E-2</v>
      </c>
      <c r="O214" s="125">
        <f t="shared" si="35"/>
        <v>0</v>
      </c>
      <c r="P214" s="125">
        <f t="shared" si="35"/>
        <v>2.3055036005913448E-2</v>
      </c>
      <c r="Q214" s="125">
        <f t="shared" si="35"/>
        <v>3.6978876304825567E-3</v>
      </c>
      <c r="R214" s="125">
        <f t="shared" si="35"/>
        <v>0.995</v>
      </c>
      <c r="S214" s="125">
        <f t="shared" si="35"/>
        <v>0.995</v>
      </c>
      <c r="T214" s="125">
        <f t="shared" si="35"/>
        <v>0</v>
      </c>
      <c r="U214" s="126"/>
      <c r="V214" s="126"/>
      <c r="W214" s="126"/>
      <c r="X214" s="126"/>
      <c r="Y214" s="126"/>
      <c r="Z214" s="126"/>
      <c r="AA214" s="126"/>
      <c r="AB214" s="126"/>
    </row>
    <row r="215" spans="1:28">
      <c r="A215" t="s">
        <v>2511</v>
      </c>
      <c r="B215" s="25">
        <f t="shared" si="33"/>
        <v>17</v>
      </c>
      <c r="C215" s="123" t="str">
        <f t="shared" si="32"/>
        <v>Year-17</v>
      </c>
      <c r="D215" s="35">
        <v>50771</v>
      </c>
      <c r="E215" s="26">
        <f t="shared" si="34"/>
        <v>169.028549</v>
      </c>
      <c r="F215" s="26">
        <f t="shared" si="34"/>
        <v>133.89933939999995</v>
      </c>
      <c r="G215" s="31">
        <f t="shared" si="27"/>
        <v>47906.844649386636</v>
      </c>
      <c r="H215" s="124">
        <f t="shared" si="35"/>
        <v>34.970332119021293</v>
      </c>
      <c r="I215" s="125">
        <f t="shared" si="35"/>
        <v>1.7200474495848161E-2</v>
      </c>
      <c r="J215" s="125">
        <f t="shared" si="35"/>
        <v>0.27</v>
      </c>
      <c r="K215" s="125">
        <f t="shared" si="35"/>
        <v>4.0029940128316385E-2</v>
      </c>
      <c r="L215" s="125">
        <f t="shared" si="35"/>
        <v>1.4099625889623608E-2</v>
      </c>
      <c r="M215" s="125">
        <f t="shared" si="35"/>
        <v>1.267725762135744E-2</v>
      </c>
      <c r="N215" s="125">
        <f t="shared" si="35"/>
        <v>1.390175346828215E-2</v>
      </c>
      <c r="O215" s="125">
        <f t="shared" si="35"/>
        <v>0</v>
      </c>
      <c r="P215" s="125">
        <f t="shared" si="35"/>
        <v>2.298066658515029E-2</v>
      </c>
      <c r="Q215" s="125">
        <f t="shared" si="35"/>
        <v>1.0644897972798715E-2</v>
      </c>
      <c r="R215" s="125">
        <f t="shared" si="35"/>
        <v>0.995</v>
      </c>
      <c r="S215" s="125">
        <f t="shared" si="35"/>
        <v>0.995</v>
      </c>
      <c r="T215" s="125">
        <f t="shared" si="35"/>
        <v>0</v>
      </c>
      <c r="U215" s="126"/>
      <c r="V215" s="126"/>
      <c r="W215" s="126"/>
      <c r="X215" s="126"/>
      <c r="Y215" s="126"/>
      <c r="Z215" s="126"/>
      <c r="AA215" s="126"/>
      <c r="AB215" s="126"/>
    </row>
    <row r="216" spans="1:28">
      <c r="A216" t="s">
        <v>2511</v>
      </c>
      <c r="B216" s="25">
        <f t="shared" si="33"/>
        <v>17</v>
      </c>
      <c r="C216" s="123" t="str">
        <f t="shared" si="32"/>
        <v>Year-17</v>
      </c>
      <c r="D216" s="35">
        <v>50802</v>
      </c>
      <c r="E216" s="26">
        <f t="shared" si="34"/>
        <v>172.55912190000004</v>
      </c>
      <c r="F216" s="26">
        <f t="shared" si="34"/>
        <v>145.40077080000009</v>
      </c>
      <c r="G216" s="31">
        <f t="shared" si="27"/>
        <v>44196.540840216432</v>
      </c>
      <c r="H216" s="124">
        <f t="shared" si="35"/>
        <v>40.252096455972236</v>
      </c>
      <c r="I216" s="125">
        <f t="shared" si="35"/>
        <v>1.510749564206848E-2</v>
      </c>
      <c r="J216" s="125">
        <f t="shared" si="35"/>
        <v>0.27</v>
      </c>
      <c r="K216" s="125">
        <f t="shared" si="35"/>
        <v>6.2111013936519133E-2</v>
      </c>
      <c r="L216" s="125">
        <f t="shared" si="35"/>
        <v>1.4175439055030284E-2</v>
      </c>
      <c r="M216" s="125">
        <f t="shared" si="35"/>
        <v>1.4384371816049681E-2</v>
      </c>
      <c r="N216" s="125">
        <f t="shared" si="35"/>
        <v>1.5915736744616871E-2</v>
      </c>
      <c r="O216" s="125">
        <f t="shared" si="35"/>
        <v>0</v>
      </c>
      <c r="P216" s="125">
        <f t="shared" si="35"/>
        <v>2.3268144471779773E-2</v>
      </c>
      <c r="Q216" s="125">
        <f t="shared" si="35"/>
        <v>2.5052142565085967E-2</v>
      </c>
      <c r="R216" s="125">
        <f t="shared" si="35"/>
        <v>0.995</v>
      </c>
      <c r="S216" s="125">
        <f t="shared" si="35"/>
        <v>0.995</v>
      </c>
      <c r="T216" s="125">
        <f t="shared" si="35"/>
        <v>0</v>
      </c>
      <c r="U216" s="126"/>
      <c r="V216" s="126"/>
      <c r="W216" s="126"/>
      <c r="X216" s="126"/>
      <c r="Y216" s="126"/>
      <c r="Z216" s="126"/>
      <c r="AA216" s="126"/>
      <c r="AB216" s="126"/>
    </row>
    <row r="217" spans="1:28">
      <c r="A217" t="s">
        <v>2511</v>
      </c>
      <c r="B217" s="25">
        <f t="shared" si="33"/>
        <v>17</v>
      </c>
      <c r="C217" s="123" t="str">
        <f t="shared" si="32"/>
        <v>Year-17</v>
      </c>
      <c r="D217" s="35">
        <v>50830</v>
      </c>
      <c r="E217" s="26">
        <f t="shared" si="34"/>
        <v>215.74576700000009</v>
      </c>
      <c r="F217" s="26">
        <f t="shared" si="34"/>
        <v>195.59891570000002</v>
      </c>
      <c r="G217" s="31">
        <f t="shared" si="27"/>
        <v>56551.759066218998</v>
      </c>
      <c r="H217" s="124">
        <f t="shared" si="35"/>
        <v>47.179622377374095</v>
      </c>
      <c r="I217" s="125">
        <f t="shared" si="35"/>
        <v>1.5306122448979553E-2</v>
      </c>
      <c r="J217" s="125">
        <f t="shared" si="35"/>
        <v>0.28000000000000003</v>
      </c>
      <c r="K217" s="125">
        <f t="shared" si="35"/>
        <v>9.4419706369976972E-2</v>
      </c>
      <c r="L217" s="125">
        <f t="shared" si="35"/>
        <v>1.4644787078611174E-2</v>
      </c>
      <c r="M217" s="125">
        <f t="shared" si="35"/>
        <v>1.6212630268737406E-2</v>
      </c>
      <c r="N217" s="125">
        <f t="shared" si="35"/>
        <v>2.0718676035686345E-2</v>
      </c>
      <c r="O217" s="125">
        <f t="shared" si="35"/>
        <v>0</v>
      </c>
      <c r="P217" s="125">
        <f t="shared" si="35"/>
        <v>2.3247057021314733E-2</v>
      </c>
      <c r="Q217" s="125">
        <f t="shared" si="35"/>
        <v>3.9222124133286969E-2</v>
      </c>
      <c r="R217" s="125">
        <f t="shared" si="35"/>
        <v>0.995</v>
      </c>
      <c r="S217" s="125">
        <f t="shared" si="35"/>
        <v>0.995</v>
      </c>
      <c r="T217" s="125">
        <f t="shared" si="35"/>
        <v>0</v>
      </c>
      <c r="U217" s="126"/>
      <c r="V217" s="126"/>
      <c r="W217" s="126"/>
      <c r="X217" s="126"/>
      <c r="Y217" s="126"/>
      <c r="Z217" s="126"/>
      <c r="AA217" s="126"/>
      <c r="AB217" s="126"/>
    </row>
    <row r="218" spans="1:28">
      <c r="A218" t="s">
        <v>2512</v>
      </c>
      <c r="B218" s="25">
        <f t="shared" si="33"/>
        <v>18</v>
      </c>
      <c r="C218" s="123" t="str">
        <f t="shared" si="32"/>
        <v>Year-18</v>
      </c>
      <c r="D218" s="35">
        <v>50861</v>
      </c>
      <c r="E218" s="26">
        <f t="shared" si="34"/>
        <v>215.9</v>
      </c>
      <c r="F218" s="26">
        <f t="shared" si="34"/>
        <v>208.99969899999999</v>
      </c>
      <c r="G218" s="31">
        <f t="shared" si="27"/>
        <v>54548.162298780117</v>
      </c>
      <c r="H218" s="124">
        <f t="shared" si="35"/>
        <v>52.296499350965128</v>
      </c>
      <c r="I218" s="125">
        <f t="shared" si="35"/>
        <v>1.6658954187875996E-2</v>
      </c>
      <c r="J218" s="125">
        <f t="shared" si="35"/>
        <v>0.28999999999999998</v>
      </c>
      <c r="K218" s="125">
        <f t="shared" si="35"/>
        <v>0.11719199751057031</v>
      </c>
      <c r="L218" s="125">
        <f t="shared" si="35"/>
        <v>1.5231272154623582E-2</v>
      </c>
      <c r="M218" s="125">
        <f t="shared" si="35"/>
        <v>1.6110689006976781E-2</v>
      </c>
      <c r="N218" s="125">
        <f t="shared" si="35"/>
        <v>1.8633277773980331E-2</v>
      </c>
      <c r="O218" s="125">
        <f t="shared" si="35"/>
        <v>0</v>
      </c>
      <c r="P218" s="125">
        <f t="shared" si="35"/>
        <v>2.2802418781094937E-2</v>
      </c>
      <c r="Q218" s="125">
        <f t="shared" si="35"/>
        <v>2.7995485693316467E-2</v>
      </c>
      <c r="R218" s="125">
        <f t="shared" si="35"/>
        <v>0.995</v>
      </c>
      <c r="S218" s="125">
        <f t="shared" si="35"/>
        <v>0.995</v>
      </c>
      <c r="T218" s="125">
        <f t="shared" si="35"/>
        <v>0</v>
      </c>
      <c r="U218" s="126"/>
      <c r="V218" s="126"/>
      <c r="W218" s="126"/>
      <c r="X218" s="126"/>
      <c r="Y218" s="126"/>
      <c r="Z218" s="126"/>
      <c r="AA218" s="126"/>
      <c r="AB218" s="126"/>
    </row>
    <row r="219" spans="1:28">
      <c r="A219" t="s">
        <v>2512</v>
      </c>
      <c r="B219" s="25">
        <f t="shared" si="33"/>
        <v>18</v>
      </c>
      <c r="C219" s="123" t="str">
        <f t="shared" si="32"/>
        <v>Year-18</v>
      </c>
      <c r="D219" s="35">
        <v>50891</v>
      </c>
      <c r="E219" s="26">
        <f t="shared" si="34"/>
        <v>217.9</v>
      </c>
      <c r="F219" s="26">
        <f t="shared" si="34"/>
        <v>221.90023470000006</v>
      </c>
      <c r="G219" s="31">
        <f t="shared" si="27"/>
        <v>57478.858379986959</v>
      </c>
      <c r="H219" s="124">
        <f t="shared" si="35"/>
        <v>55.437733860726389</v>
      </c>
      <c r="I219" s="125">
        <f t="shared" si="35"/>
        <v>1.7865322950068707E-2</v>
      </c>
      <c r="J219" s="125">
        <f t="shared" si="35"/>
        <v>0.3</v>
      </c>
      <c r="K219" s="125">
        <f t="shared" si="35"/>
        <v>0.1306817577748349</v>
      </c>
      <c r="L219" s="125">
        <f t="shared" si="35"/>
        <v>1.609339136491415E-2</v>
      </c>
      <c r="M219" s="125">
        <f t="shared" si="35"/>
        <v>1.525163145425878E-2</v>
      </c>
      <c r="N219" s="125">
        <f t="shared" si="35"/>
        <v>1.5763583972179196E-2</v>
      </c>
      <c r="O219" s="125">
        <f t="shared" si="35"/>
        <v>0</v>
      </c>
      <c r="P219" s="125">
        <f t="shared" si="35"/>
        <v>2.2281870794181511E-2</v>
      </c>
      <c r="Q219" s="125">
        <f t="shared" si="35"/>
        <v>1.1198342091846737E-2</v>
      </c>
      <c r="R219" s="125">
        <f t="shared" si="35"/>
        <v>0.995</v>
      </c>
      <c r="S219" s="125">
        <f t="shared" si="35"/>
        <v>0.995</v>
      </c>
      <c r="T219" s="125">
        <f t="shared" si="35"/>
        <v>0</v>
      </c>
      <c r="U219" s="126"/>
      <c r="V219" s="126"/>
      <c r="W219" s="126"/>
      <c r="X219" s="126"/>
      <c r="Y219" s="126"/>
      <c r="Z219" s="126"/>
      <c r="AA219" s="126"/>
      <c r="AB219" s="126"/>
    </row>
    <row r="220" spans="1:28">
      <c r="A220" t="s">
        <v>2512</v>
      </c>
      <c r="B220" s="25">
        <f t="shared" si="33"/>
        <v>18</v>
      </c>
      <c r="C220" s="123" t="str">
        <f t="shared" si="32"/>
        <v>Year-18</v>
      </c>
      <c r="D220" s="35">
        <v>50922</v>
      </c>
      <c r="E220" s="26">
        <f t="shared" si="34"/>
        <v>192.8</v>
      </c>
      <c r="F220" s="26">
        <f t="shared" si="34"/>
        <v>200.20089519999999</v>
      </c>
      <c r="G220" s="31">
        <f t="shared" si="27"/>
        <v>49961.390336764314</v>
      </c>
      <c r="H220" s="124">
        <f t="shared" si="35"/>
        <v>54.658309168315547</v>
      </c>
      <c r="I220" s="125">
        <f t="shared" si="35"/>
        <v>1.914123124676681E-2</v>
      </c>
      <c r="J220" s="125">
        <f t="shared" si="35"/>
        <v>0.3</v>
      </c>
      <c r="K220" s="125">
        <f t="shared" si="35"/>
        <v>0.12650723469382591</v>
      </c>
      <c r="L220" s="125">
        <f t="shared" si="35"/>
        <v>1.6398522844759341E-2</v>
      </c>
      <c r="M220" s="125">
        <f t="shared" si="35"/>
        <v>1.3926271600695752E-2</v>
      </c>
      <c r="N220" s="125">
        <f t="shared" si="35"/>
        <v>1.4057661793117321E-2</v>
      </c>
      <c r="O220" s="125">
        <f t="shared" si="35"/>
        <v>0</v>
      </c>
      <c r="P220" s="125">
        <f t="shared" si="35"/>
        <v>2.1677907023400757E-2</v>
      </c>
      <c r="Q220" s="125">
        <f t="shared" si="35"/>
        <v>4.051685061336731E-3</v>
      </c>
      <c r="R220" s="125">
        <f t="shared" si="35"/>
        <v>0.995</v>
      </c>
      <c r="S220" s="125">
        <f t="shared" si="35"/>
        <v>0.995</v>
      </c>
      <c r="T220" s="125">
        <f t="shared" si="35"/>
        <v>0</v>
      </c>
      <c r="U220" s="126"/>
      <c r="V220" s="126"/>
      <c r="W220" s="126"/>
      <c r="X220" s="126"/>
      <c r="Y220" s="126"/>
      <c r="Z220" s="126"/>
      <c r="AA220" s="126"/>
      <c r="AB220" s="126"/>
    </row>
    <row r="221" spans="1:28">
      <c r="A221" t="s">
        <v>2512</v>
      </c>
      <c r="B221" s="25">
        <f t="shared" si="33"/>
        <v>18</v>
      </c>
      <c r="C221" s="123" t="str">
        <f t="shared" si="32"/>
        <v>Year-18</v>
      </c>
      <c r="D221" s="35">
        <v>50952</v>
      </c>
      <c r="E221" s="26">
        <f t="shared" si="34"/>
        <v>168.9</v>
      </c>
      <c r="F221" s="26">
        <f t="shared" si="34"/>
        <v>173.59972409999992</v>
      </c>
      <c r="G221" s="31">
        <f t="shared" si="27"/>
        <v>45783.985446409155</v>
      </c>
      <c r="H221" s="124">
        <f t="shared" si="35"/>
        <v>51.564857066184757</v>
      </c>
      <c r="I221" s="125">
        <f t="shared" si="35"/>
        <v>2.1854695806261204E-2</v>
      </c>
      <c r="J221" s="125">
        <f t="shared" si="35"/>
        <v>0.28000000000000003</v>
      </c>
      <c r="K221" s="125">
        <f t="shared" si="35"/>
        <v>0.1089308468990661</v>
      </c>
      <c r="L221" s="125">
        <f t="shared" si="35"/>
        <v>1.5867586262633245E-2</v>
      </c>
      <c r="M221" s="125">
        <f t="shared" si="35"/>
        <v>1.231974144019694E-2</v>
      </c>
      <c r="N221" s="125">
        <f t="shared" si="35"/>
        <v>1.3502102014775261E-2</v>
      </c>
      <c r="O221" s="125">
        <f t="shared" si="35"/>
        <v>0</v>
      </c>
      <c r="P221" s="125">
        <f t="shared" si="35"/>
        <v>2.127320988616644E-2</v>
      </c>
      <c r="Q221" s="125">
        <f t="shared" si="35"/>
        <v>1.5557262066246368E-3</v>
      </c>
      <c r="R221" s="125">
        <f t="shared" si="35"/>
        <v>0.995</v>
      </c>
      <c r="S221" s="125">
        <f t="shared" si="35"/>
        <v>0.995</v>
      </c>
      <c r="T221" s="125">
        <f t="shared" si="35"/>
        <v>0</v>
      </c>
      <c r="U221" s="126"/>
      <c r="V221" s="126"/>
      <c r="W221" s="126"/>
      <c r="X221" s="126"/>
      <c r="Y221" s="126"/>
      <c r="Z221" s="126"/>
      <c r="AA221" s="126"/>
      <c r="AB221" s="126"/>
    </row>
    <row r="222" spans="1:28">
      <c r="A222" t="s">
        <v>2512</v>
      </c>
      <c r="B222" s="25">
        <f t="shared" si="33"/>
        <v>18</v>
      </c>
      <c r="C222" s="123" t="str">
        <f t="shared" si="32"/>
        <v>Year-18</v>
      </c>
      <c r="D222" s="35">
        <v>50983</v>
      </c>
      <c r="E222" s="26">
        <f t="shared" ref="E222:F237" si="36">E210</f>
        <v>174.2</v>
      </c>
      <c r="F222" s="26">
        <f t="shared" si="36"/>
        <v>172.6001566000001</v>
      </c>
      <c r="G222" s="31">
        <f t="shared" si="27"/>
        <v>46612.023386813649</v>
      </c>
      <c r="H222" s="124">
        <f t="shared" ref="H222:T237" si="37">H210</f>
        <v>50.336592710430871</v>
      </c>
      <c r="I222" s="125">
        <f t="shared" si="37"/>
        <v>2.0196191575302946E-2</v>
      </c>
      <c r="J222" s="125">
        <f t="shared" si="37"/>
        <v>0.27</v>
      </c>
      <c r="K222" s="125">
        <f t="shared" si="37"/>
        <v>0.10494453414747008</v>
      </c>
      <c r="L222" s="125">
        <f t="shared" si="37"/>
        <v>1.507508977611231E-2</v>
      </c>
      <c r="M222" s="125">
        <f t="shared" si="37"/>
        <v>1.2791562311125756E-2</v>
      </c>
      <c r="N222" s="125">
        <f t="shared" si="37"/>
        <v>1.4116403195935955E-2</v>
      </c>
      <c r="O222" s="125">
        <f t="shared" si="37"/>
        <v>0</v>
      </c>
      <c r="P222" s="125">
        <f t="shared" si="37"/>
        <v>2.157456294953386E-2</v>
      </c>
      <c r="Q222" s="125">
        <f t="shared" si="37"/>
        <v>6.2818876990405415E-3</v>
      </c>
      <c r="R222" s="125">
        <f t="shared" si="37"/>
        <v>0.995</v>
      </c>
      <c r="S222" s="125">
        <f t="shared" si="37"/>
        <v>0.995</v>
      </c>
      <c r="T222" s="125">
        <f t="shared" si="37"/>
        <v>0</v>
      </c>
      <c r="U222" s="126"/>
      <c r="V222" s="126"/>
      <c r="W222" s="126"/>
      <c r="X222" s="126"/>
      <c r="Y222" s="126"/>
      <c r="Z222" s="126"/>
      <c r="AA222" s="126"/>
      <c r="AB222" s="126"/>
    </row>
    <row r="223" spans="1:28">
      <c r="A223" t="s">
        <v>2512</v>
      </c>
      <c r="B223" s="25">
        <f t="shared" si="33"/>
        <v>18</v>
      </c>
      <c r="C223" s="123" t="str">
        <f t="shared" si="32"/>
        <v>Year-18</v>
      </c>
      <c r="D223" s="35">
        <v>51014</v>
      </c>
      <c r="E223" s="26">
        <f t="shared" si="36"/>
        <v>192.1</v>
      </c>
      <c r="F223" s="26">
        <f t="shared" si="36"/>
        <v>178.89930529999984</v>
      </c>
      <c r="G223" s="31">
        <f t="shared" si="27"/>
        <v>49086.833410943844</v>
      </c>
      <c r="H223" s="124">
        <f t="shared" si="37"/>
        <v>52.25059433997491</v>
      </c>
      <c r="I223" s="125">
        <f t="shared" si="37"/>
        <v>1.7196456487754141E-2</v>
      </c>
      <c r="J223" s="125">
        <f t="shared" si="37"/>
        <v>0.26</v>
      </c>
      <c r="K223" s="125">
        <f t="shared" si="37"/>
        <v>0.11387126505657014</v>
      </c>
      <c r="L223" s="125">
        <f t="shared" si="37"/>
        <v>1.3959618092500629E-2</v>
      </c>
      <c r="M223" s="125">
        <f t="shared" si="37"/>
        <v>1.4531255376132731E-2</v>
      </c>
      <c r="N223" s="125">
        <f t="shared" si="37"/>
        <v>1.4478833500810966E-2</v>
      </c>
      <c r="O223" s="125">
        <f t="shared" si="37"/>
        <v>0</v>
      </c>
      <c r="P223" s="125">
        <f t="shared" si="37"/>
        <v>2.2473527643153385E-2</v>
      </c>
      <c r="Q223" s="125">
        <f t="shared" si="37"/>
        <v>1.1388926338936924E-2</v>
      </c>
      <c r="R223" s="125">
        <f t="shared" si="37"/>
        <v>0.995</v>
      </c>
      <c r="S223" s="125">
        <f t="shared" si="37"/>
        <v>0.995</v>
      </c>
      <c r="T223" s="125">
        <f t="shared" si="37"/>
        <v>0</v>
      </c>
      <c r="U223" s="126"/>
      <c r="V223" s="126"/>
      <c r="W223" s="126"/>
      <c r="X223" s="126"/>
      <c r="Y223" s="126"/>
      <c r="Z223" s="126"/>
      <c r="AA223" s="126"/>
      <c r="AB223" s="126"/>
    </row>
    <row r="224" spans="1:28">
      <c r="A224" t="s">
        <v>2512</v>
      </c>
      <c r="B224" s="25">
        <f t="shared" si="33"/>
        <v>18</v>
      </c>
      <c r="C224" s="123" t="str">
        <f t="shared" si="32"/>
        <v>Year-18</v>
      </c>
      <c r="D224" s="35">
        <v>51044</v>
      </c>
      <c r="E224" s="26">
        <f t="shared" si="36"/>
        <v>202.3</v>
      </c>
      <c r="F224" s="26">
        <f t="shared" si="36"/>
        <v>174.60082279999986</v>
      </c>
      <c r="G224" s="31">
        <f t="shared" si="27"/>
        <v>53208.415518799848</v>
      </c>
      <c r="H224" s="124">
        <f t="shared" si="37"/>
        <v>49.723937837075084</v>
      </c>
      <c r="I224" s="125">
        <f t="shared" si="37"/>
        <v>1.5873015873015817E-2</v>
      </c>
      <c r="J224" s="125">
        <f t="shared" si="37"/>
        <v>0.27</v>
      </c>
      <c r="K224" s="125">
        <f t="shared" si="37"/>
        <v>0.10390722673430232</v>
      </c>
      <c r="L224" s="125">
        <f t="shared" si="37"/>
        <v>1.4040704754284353E-2</v>
      </c>
      <c r="M224" s="125">
        <f t="shared" si="37"/>
        <v>1.526389492868482E-2</v>
      </c>
      <c r="N224" s="125">
        <f t="shared" si="37"/>
        <v>1.5324069649683622E-2</v>
      </c>
      <c r="O224" s="125">
        <f t="shared" si="37"/>
        <v>0</v>
      </c>
      <c r="P224" s="125">
        <f t="shared" si="37"/>
        <v>2.3043103417804571E-2</v>
      </c>
      <c r="Q224" s="125">
        <f t="shared" si="37"/>
        <v>2.1184397869334348E-2</v>
      </c>
      <c r="R224" s="125">
        <f t="shared" si="37"/>
        <v>0.995</v>
      </c>
      <c r="S224" s="125">
        <f t="shared" si="37"/>
        <v>0.995</v>
      </c>
      <c r="T224" s="125">
        <f t="shared" si="37"/>
        <v>0</v>
      </c>
      <c r="U224" s="126"/>
      <c r="V224" s="126"/>
      <c r="W224" s="126"/>
      <c r="X224" s="126"/>
      <c r="Y224" s="126"/>
      <c r="Z224" s="126"/>
      <c r="AA224" s="126"/>
      <c r="AB224" s="126"/>
    </row>
    <row r="225" spans="1:28">
      <c r="A225" t="s">
        <v>2512</v>
      </c>
      <c r="B225" s="25">
        <f t="shared" si="33"/>
        <v>18</v>
      </c>
      <c r="C225" s="123" t="str">
        <f t="shared" si="32"/>
        <v>Year-18</v>
      </c>
      <c r="D225" s="35">
        <v>51075</v>
      </c>
      <c r="E225" s="26">
        <f t="shared" si="36"/>
        <v>162.9</v>
      </c>
      <c r="F225" s="26">
        <f t="shared" si="36"/>
        <v>133.69942049999997</v>
      </c>
      <c r="G225" s="31">
        <f t="shared" si="27"/>
        <v>43634.808320190816</v>
      </c>
      <c r="H225" s="124">
        <f t="shared" si="37"/>
        <v>42.187120547750681</v>
      </c>
      <c r="I225" s="125">
        <f t="shared" si="37"/>
        <v>1.5950920245398792E-2</v>
      </c>
      <c r="J225" s="125">
        <f t="shared" si="37"/>
        <v>0.27</v>
      </c>
      <c r="K225" s="125">
        <f t="shared" si="37"/>
        <v>6.9024239591701744E-2</v>
      </c>
      <c r="L225" s="125">
        <f t="shared" si="37"/>
        <v>1.4204952105287192E-2</v>
      </c>
      <c r="M225" s="125">
        <f t="shared" si="37"/>
        <v>1.3252885058363056E-2</v>
      </c>
      <c r="N225" s="125">
        <f t="shared" si="37"/>
        <v>1.3980442883231779E-2</v>
      </c>
      <c r="O225" s="125">
        <f t="shared" si="37"/>
        <v>0</v>
      </c>
      <c r="P225" s="125">
        <f t="shared" si="37"/>
        <v>2.30208488716231E-2</v>
      </c>
      <c r="Q225" s="125">
        <f t="shared" si="37"/>
        <v>8.3479094998109554E-3</v>
      </c>
      <c r="R225" s="125">
        <f t="shared" si="37"/>
        <v>0.995</v>
      </c>
      <c r="S225" s="125">
        <f t="shared" si="37"/>
        <v>0.995</v>
      </c>
      <c r="T225" s="125">
        <f t="shared" si="37"/>
        <v>0</v>
      </c>
      <c r="U225" s="126"/>
      <c r="V225" s="126"/>
      <c r="W225" s="126"/>
      <c r="X225" s="126"/>
      <c r="Y225" s="126"/>
      <c r="Z225" s="126"/>
      <c r="AA225" s="126"/>
      <c r="AB225" s="126"/>
    </row>
    <row r="226" spans="1:28">
      <c r="A226" t="s">
        <v>2512</v>
      </c>
      <c r="B226" s="25">
        <f t="shared" si="33"/>
        <v>18</v>
      </c>
      <c r="C226" s="123" t="str">
        <f t="shared" si="32"/>
        <v>Year-18</v>
      </c>
      <c r="D226" s="35">
        <v>51105</v>
      </c>
      <c r="E226" s="26">
        <f t="shared" si="36"/>
        <v>158.6</v>
      </c>
      <c r="F226" s="26">
        <f t="shared" si="36"/>
        <v>124.40004220000003</v>
      </c>
      <c r="G226" s="31">
        <f t="shared" si="27"/>
        <v>44918.732317671922</v>
      </c>
      <c r="H226" s="124">
        <f t="shared" si="37"/>
        <v>36.076939444156181</v>
      </c>
      <c r="I226" s="125">
        <f t="shared" si="37"/>
        <v>1.5802781289506962E-2</v>
      </c>
      <c r="J226" s="125">
        <f t="shared" si="37"/>
        <v>0.27</v>
      </c>
      <c r="K226" s="125">
        <f t="shared" si="37"/>
        <v>4.4787946264861052E-2</v>
      </c>
      <c r="L226" s="125">
        <f t="shared" si="37"/>
        <v>1.4140595613406415E-2</v>
      </c>
      <c r="M226" s="125">
        <f t="shared" si="37"/>
        <v>1.2367081056294736E-2</v>
      </c>
      <c r="N226" s="125">
        <f t="shared" si="37"/>
        <v>1.3960975699298588E-2</v>
      </c>
      <c r="O226" s="125">
        <f t="shared" si="37"/>
        <v>0</v>
      </c>
      <c r="P226" s="125">
        <f t="shared" si="37"/>
        <v>2.3055036005913448E-2</v>
      </c>
      <c r="Q226" s="125">
        <f t="shared" si="37"/>
        <v>3.6978876304825567E-3</v>
      </c>
      <c r="R226" s="125">
        <f t="shared" si="37"/>
        <v>0.995</v>
      </c>
      <c r="S226" s="125">
        <f t="shared" si="37"/>
        <v>0.995</v>
      </c>
      <c r="T226" s="125">
        <f t="shared" si="37"/>
        <v>0</v>
      </c>
      <c r="U226" s="126"/>
      <c r="V226" s="126"/>
      <c r="W226" s="126"/>
      <c r="X226" s="126"/>
      <c r="Y226" s="126"/>
      <c r="Z226" s="126"/>
      <c r="AA226" s="126"/>
      <c r="AB226" s="126"/>
    </row>
    <row r="227" spans="1:28">
      <c r="A227" t="s">
        <v>2512</v>
      </c>
      <c r="B227" s="25">
        <f t="shared" si="33"/>
        <v>18</v>
      </c>
      <c r="C227" s="123" t="str">
        <f t="shared" si="32"/>
        <v>Year-18</v>
      </c>
      <c r="D227" s="35">
        <v>51136</v>
      </c>
      <c r="E227" s="26">
        <f t="shared" si="36"/>
        <v>169.028549</v>
      </c>
      <c r="F227" s="26">
        <f t="shared" si="36"/>
        <v>133.89933939999995</v>
      </c>
      <c r="G227" s="31">
        <f t="shared" si="27"/>
        <v>47691.263848464398</v>
      </c>
      <c r="H227" s="124">
        <f t="shared" si="37"/>
        <v>34.970332119021293</v>
      </c>
      <c r="I227" s="125">
        <f t="shared" si="37"/>
        <v>1.7200474495848161E-2</v>
      </c>
      <c r="J227" s="125">
        <f t="shared" si="37"/>
        <v>0.27</v>
      </c>
      <c r="K227" s="125">
        <f t="shared" si="37"/>
        <v>4.0029940128316385E-2</v>
      </c>
      <c r="L227" s="125">
        <f t="shared" si="37"/>
        <v>1.4099625889623608E-2</v>
      </c>
      <c r="M227" s="125">
        <f t="shared" si="37"/>
        <v>1.267725762135744E-2</v>
      </c>
      <c r="N227" s="125">
        <f t="shared" si="37"/>
        <v>1.390175346828215E-2</v>
      </c>
      <c r="O227" s="125">
        <f t="shared" si="37"/>
        <v>0</v>
      </c>
      <c r="P227" s="125">
        <f t="shared" si="37"/>
        <v>2.298066658515029E-2</v>
      </c>
      <c r="Q227" s="125">
        <f t="shared" si="37"/>
        <v>1.0644897972798715E-2</v>
      </c>
      <c r="R227" s="125">
        <f t="shared" si="37"/>
        <v>0.995</v>
      </c>
      <c r="S227" s="125">
        <f t="shared" si="37"/>
        <v>0.995</v>
      </c>
      <c r="T227" s="125">
        <f t="shared" si="37"/>
        <v>0</v>
      </c>
      <c r="U227" s="126"/>
      <c r="V227" s="126"/>
      <c r="W227" s="126"/>
      <c r="X227" s="126"/>
      <c r="Y227" s="126"/>
      <c r="Z227" s="126"/>
      <c r="AA227" s="126"/>
      <c r="AB227" s="126"/>
    </row>
    <row r="228" spans="1:28">
      <c r="A228" t="s">
        <v>2512</v>
      </c>
      <c r="B228" s="25">
        <f t="shared" si="33"/>
        <v>18</v>
      </c>
      <c r="C228" s="123" t="str">
        <f t="shared" si="32"/>
        <v>Year-18</v>
      </c>
      <c r="D228" s="35">
        <v>51167</v>
      </c>
      <c r="E228" s="26">
        <f t="shared" si="36"/>
        <v>172.55912190000004</v>
      </c>
      <c r="F228" s="26">
        <f t="shared" si="36"/>
        <v>145.40077080000009</v>
      </c>
      <c r="G228" s="31">
        <f t="shared" si="27"/>
        <v>43997.656406435461</v>
      </c>
      <c r="H228" s="124">
        <f t="shared" si="37"/>
        <v>40.252096455972236</v>
      </c>
      <c r="I228" s="125">
        <f t="shared" si="37"/>
        <v>1.510749564206848E-2</v>
      </c>
      <c r="J228" s="125">
        <f t="shared" si="37"/>
        <v>0.27</v>
      </c>
      <c r="K228" s="125">
        <f t="shared" si="37"/>
        <v>6.2111013936519133E-2</v>
      </c>
      <c r="L228" s="125">
        <f t="shared" si="37"/>
        <v>1.4175439055030284E-2</v>
      </c>
      <c r="M228" s="125">
        <f t="shared" si="37"/>
        <v>1.4384371816049681E-2</v>
      </c>
      <c r="N228" s="125">
        <f t="shared" si="37"/>
        <v>1.5915736744616871E-2</v>
      </c>
      <c r="O228" s="125">
        <f t="shared" si="37"/>
        <v>0</v>
      </c>
      <c r="P228" s="125">
        <f t="shared" si="37"/>
        <v>2.3268144471779773E-2</v>
      </c>
      <c r="Q228" s="125">
        <f t="shared" si="37"/>
        <v>2.5052142565085967E-2</v>
      </c>
      <c r="R228" s="125">
        <f t="shared" si="37"/>
        <v>0.995</v>
      </c>
      <c r="S228" s="125">
        <f t="shared" si="37"/>
        <v>0.995</v>
      </c>
      <c r="T228" s="125">
        <f t="shared" si="37"/>
        <v>0</v>
      </c>
      <c r="U228" s="126"/>
      <c r="V228" s="126"/>
      <c r="W228" s="126"/>
      <c r="X228" s="126"/>
      <c r="Y228" s="126"/>
      <c r="Z228" s="126"/>
      <c r="AA228" s="126"/>
      <c r="AB228" s="126"/>
    </row>
    <row r="229" spans="1:28">
      <c r="A229" t="s">
        <v>2512</v>
      </c>
      <c r="B229" s="25">
        <f t="shared" si="33"/>
        <v>18</v>
      </c>
      <c r="C229" s="123" t="str">
        <f t="shared" si="32"/>
        <v>Year-18</v>
      </c>
      <c r="D229" s="35">
        <v>51196</v>
      </c>
      <c r="E229" s="26">
        <f t="shared" si="36"/>
        <v>215.74576700000009</v>
      </c>
      <c r="F229" s="26">
        <f t="shared" si="36"/>
        <v>195.59891570000002</v>
      </c>
      <c r="G229" s="31">
        <f t="shared" si="27"/>
        <v>56297.276150421014</v>
      </c>
      <c r="H229" s="124">
        <f t="shared" si="37"/>
        <v>47.179622377374095</v>
      </c>
      <c r="I229" s="125">
        <f t="shared" si="37"/>
        <v>1.5306122448979553E-2</v>
      </c>
      <c r="J229" s="125">
        <f t="shared" si="37"/>
        <v>0.28000000000000003</v>
      </c>
      <c r="K229" s="125">
        <f t="shared" si="37"/>
        <v>9.4419706369976972E-2</v>
      </c>
      <c r="L229" s="125">
        <f t="shared" si="37"/>
        <v>1.4644787078611174E-2</v>
      </c>
      <c r="M229" s="125">
        <f t="shared" si="37"/>
        <v>1.6212630268737406E-2</v>
      </c>
      <c r="N229" s="125">
        <f t="shared" si="37"/>
        <v>2.0718676035686345E-2</v>
      </c>
      <c r="O229" s="125">
        <f t="shared" si="37"/>
        <v>0</v>
      </c>
      <c r="P229" s="125">
        <f t="shared" si="37"/>
        <v>2.3247057021314733E-2</v>
      </c>
      <c r="Q229" s="125">
        <f t="shared" si="37"/>
        <v>3.9222124133286969E-2</v>
      </c>
      <c r="R229" s="125">
        <f t="shared" si="37"/>
        <v>0.995</v>
      </c>
      <c r="S229" s="125">
        <f t="shared" si="37"/>
        <v>0.995</v>
      </c>
      <c r="T229" s="125">
        <f t="shared" si="37"/>
        <v>0</v>
      </c>
      <c r="U229" s="126"/>
      <c r="V229" s="126"/>
      <c r="W229" s="126"/>
      <c r="X229" s="126"/>
      <c r="Y229" s="126"/>
      <c r="Z229" s="126"/>
      <c r="AA229" s="126"/>
      <c r="AB229" s="126"/>
    </row>
    <row r="230" spans="1:28">
      <c r="A230" t="s">
        <v>2513</v>
      </c>
      <c r="B230" s="25">
        <f t="shared" si="33"/>
        <v>19</v>
      </c>
      <c r="C230" s="123" t="str">
        <f t="shared" si="32"/>
        <v>Year-19</v>
      </c>
      <c r="D230" s="35">
        <v>51227</v>
      </c>
      <c r="E230" s="26">
        <f t="shared" si="36"/>
        <v>215.9</v>
      </c>
      <c r="F230" s="26">
        <f t="shared" si="36"/>
        <v>208.99969899999999</v>
      </c>
      <c r="G230" s="31">
        <f t="shared" ref="G230:G293" si="38">G218*(1-$AE$2)</f>
        <v>54302.695568435607</v>
      </c>
      <c r="H230" s="124">
        <f t="shared" si="37"/>
        <v>52.296499350965128</v>
      </c>
      <c r="I230" s="125">
        <f t="shared" si="37"/>
        <v>1.6658954187875996E-2</v>
      </c>
      <c r="J230" s="125">
        <f t="shared" si="37"/>
        <v>0.28999999999999998</v>
      </c>
      <c r="K230" s="125">
        <f t="shared" si="37"/>
        <v>0.11719199751057031</v>
      </c>
      <c r="L230" s="125">
        <f t="shared" si="37"/>
        <v>1.5231272154623582E-2</v>
      </c>
      <c r="M230" s="125">
        <f t="shared" si="37"/>
        <v>1.6110689006976781E-2</v>
      </c>
      <c r="N230" s="125">
        <f t="shared" si="37"/>
        <v>1.8633277773980331E-2</v>
      </c>
      <c r="O230" s="125">
        <f t="shared" si="37"/>
        <v>0</v>
      </c>
      <c r="P230" s="125">
        <f t="shared" si="37"/>
        <v>2.2802418781094937E-2</v>
      </c>
      <c r="Q230" s="125">
        <f t="shared" si="37"/>
        <v>2.7995485693316467E-2</v>
      </c>
      <c r="R230" s="125">
        <f t="shared" si="37"/>
        <v>0.995</v>
      </c>
      <c r="S230" s="125">
        <f t="shared" si="37"/>
        <v>0.995</v>
      </c>
      <c r="T230" s="125">
        <f t="shared" si="37"/>
        <v>0</v>
      </c>
      <c r="U230" s="126"/>
      <c r="V230" s="126"/>
      <c r="W230" s="126"/>
      <c r="X230" s="126"/>
      <c r="Y230" s="126"/>
      <c r="Z230" s="126"/>
      <c r="AA230" s="126"/>
      <c r="AB230" s="126"/>
    </row>
    <row r="231" spans="1:28">
      <c r="A231" t="s">
        <v>2513</v>
      </c>
      <c r="B231" s="25">
        <f t="shared" si="33"/>
        <v>19</v>
      </c>
      <c r="C231" s="123" t="str">
        <f t="shared" si="32"/>
        <v>Year-19</v>
      </c>
      <c r="D231" s="35">
        <v>51257</v>
      </c>
      <c r="E231" s="26">
        <f t="shared" si="36"/>
        <v>217.9</v>
      </c>
      <c r="F231" s="26">
        <f t="shared" si="36"/>
        <v>221.90023470000006</v>
      </c>
      <c r="G231" s="31">
        <f t="shared" si="38"/>
        <v>57220.203517277019</v>
      </c>
      <c r="H231" s="124">
        <f t="shared" si="37"/>
        <v>55.437733860726389</v>
      </c>
      <c r="I231" s="125">
        <f t="shared" si="37"/>
        <v>1.7865322950068707E-2</v>
      </c>
      <c r="J231" s="125">
        <f t="shared" si="37"/>
        <v>0.3</v>
      </c>
      <c r="K231" s="125">
        <f t="shared" si="37"/>
        <v>0.1306817577748349</v>
      </c>
      <c r="L231" s="125">
        <f t="shared" si="37"/>
        <v>1.609339136491415E-2</v>
      </c>
      <c r="M231" s="125">
        <f t="shared" si="37"/>
        <v>1.525163145425878E-2</v>
      </c>
      <c r="N231" s="125">
        <f t="shared" si="37"/>
        <v>1.5763583972179196E-2</v>
      </c>
      <c r="O231" s="125">
        <f t="shared" si="37"/>
        <v>0</v>
      </c>
      <c r="P231" s="125">
        <f t="shared" si="37"/>
        <v>2.2281870794181511E-2</v>
      </c>
      <c r="Q231" s="125">
        <f t="shared" si="37"/>
        <v>1.1198342091846737E-2</v>
      </c>
      <c r="R231" s="125">
        <f t="shared" si="37"/>
        <v>0.995</v>
      </c>
      <c r="S231" s="125">
        <f t="shared" si="37"/>
        <v>0.995</v>
      </c>
      <c r="T231" s="125">
        <f t="shared" si="37"/>
        <v>0</v>
      </c>
      <c r="U231" s="126"/>
      <c r="V231" s="126"/>
      <c r="W231" s="126"/>
      <c r="X231" s="126"/>
      <c r="Y231" s="126"/>
      <c r="Z231" s="126"/>
      <c r="AA231" s="126"/>
      <c r="AB231" s="126"/>
    </row>
    <row r="232" spans="1:28">
      <c r="A232" t="s">
        <v>2513</v>
      </c>
      <c r="B232" s="25">
        <f t="shared" si="33"/>
        <v>19</v>
      </c>
      <c r="C232" s="123" t="str">
        <f t="shared" si="32"/>
        <v>Year-19</v>
      </c>
      <c r="D232" s="35">
        <v>51288</v>
      </c>
      <c r="E232" s="26">
        <f t="shared" si="36"/>
        <v>192.8</v>
      </c>
      <c r="F232" s="26">
        <f t="shared" si="36"/>
        <v>200.20089519999999</v>
      </c>
      <c r="G232" s="31">
        <f t="shared" si="38"/>
        <v>49736.564080248878</v>
      </c>
      <c r="H232" s="124">
        <f t="shared" si="37"/>
        <v>54.658309168315547</v>
      </c>
      <c r="I232" s="125">
        <f t="shared" si="37"/>
        <v>1.914123124676681E-2</v>
      </c>
      <c r="J232" s="125">
        <f t="shared" si="37"/>
        <v>0.3</v>
      </c>
      <c r="K232" s="125">
        <f t="shared" si="37"/>
        <v>0.12650723469382591</v>
      </c>
      <c r="L232" s="125">
        <f t="shared" si="37"/>
        <v>1.6398522844759341E-2</v>
      </c>
      <c r="M232" s="125">
        <f t="shared" si="37"/>
        <v>1.3926271600695752E-2</v>
      </c>
      <c r="N232" s="125">
        <f t="shared" si="37"/>
        <v>1.4057661793117321E-2</v>
      </c>
      <c r="O232" s="125">
        <f t="shared" si="37"/>
        <v>0</v>
      </c>
      <c r="P232" s="125">
        <f t="shared" si="37"/>
        <v>2.1677907023400757E-2</v>
      </c>
      <c r="Q232" s="125">
        <f t="shared" si="37"/>
        <v>4.051685061336731E-3</v>
      </c>
      <c r="R232" s="125">
        <f t="shared" si="37"/>
        <v>0.995</v>
      </c>
      <c r="S232" s="125">
        <f t="shared" si="37"/>
        <v>0.995</v>
      </c>
      <c r="T232" s="125">
        <f t="shared" si="37"/>
        <v>0</v>
      </c>
      <c r="U232" s="126"/>
      <c r="V232" s="126"/>
      <c r="W232" s="126"/>
      <c r="X232" s="126"/>
      <c r="Y232" s="126"/>
      <c r="Z232" s="126"/>
      <c r="AA232" s="126"/>
      <c r="AB232" s="126"/>
    </row>
    <row r="233" spans="1:28">
      <c r="A233" t="s">
        <v>2513</v>
      </c>
      <c r="B233" s="25">
        <f t="shared" si="33"/>
        <v>19</v>
      </c>
      <c r="C233" s="123" t="str">
        <f t="shared" si="32"/>
        <v>Year-19</v>
      </c>
      <c r="D233" s="35">
        <v>51318</v>
      </c>
      <c r="E233" s="26">
        <f t="shared" si="36"/>
        <v>168.9</v>
      </c>
      <c r="F233" s="26">
        <f t="shared" si="36"/>
        <v>173.59972409999992</v>
      </c>
      <c r="G233" s="31">
        <f t="shared" si="38"/>
        <v>45577.957511900313</v>
      </c>
      <c r="H233" s="124">
        <f t="shared" si="37"/>
        <v>51.564857066184757</v>
      </c>
      <c r="I233" s="125">
        <f t="shared" si="37"/>
        <v>2.1854695806261204E-2</v>
      </c>
      <c r="J233" s="125">
        <f t="shared" si="37"/>
        <v>0.28000000000000003</v>
      </c>
      <c r="K233" s="125">
        <f t="shared" si="37"/>
        <v>0.1089308468990661</v>
      </c>
      <c r="L233" s="125">
        <f t="shared" si="37"/>
        <v>1.5867586262633245E-2</v>
      </c>
      <c r="M233" s="125">
        <f t="shared" si="37"/>
        <v>1.231974144019694E-2</v>
      </c>
      <c r="N233" s="125">
        <f t="shared" si="37"/>
        <v>1.3502102014775261E-2</v>
      </c>
      <c r="O233" s="125">
        <f t="shared" si="37"/>
        <v>0</v>
      </c>
      <c r="P233" s="125">
        <f t="shared" si="37"/>
        <v>2.127320988616644E-2</v>
      </c>
      <c r="Q233" s="125">
        <f t="shared" si="37"/>
        <v>1.5557262066246368E-3</v>
      </c>
      <c r="R233" s="125">
        <f t="shared" si="37"/>
        <v>0.995</v>
      </c>
      <c r="S233" s="125">
        <f t="shared" si="37"/>
        <v>0.995</v>
      </c>
      <c r="T233" s="125">
        <f t="shared" si="37"/>
        <v>0</v>
      </c>
      <c r="U233" s="126"/>
      <c r="V233" s="126"/>
      <c r="W233" s="126"/>
      <c r="X233" s="126"/>
      <c r="Y233" s="126"/>
      <c r="Z233" s="126"/>
      <c r="AA233" s="126"/>
      <c r="AB233" s="126"/>
    </row>
    <row r="234" spans="1:28">
      <c r="A234" t="s">
        <v>2513</v>
      </c>
      <c r="B234" s="25">
        <f t="shared" si="33"/>
        <v>19</v>
      </c>
      <c r="C234" s="123" t="str">
        <f t="shared" si="32"/>
        <v>Year-19</v>
      </c>
      <c r="D234" s="35">
        <v>51349</v>
      </c>
      <c r="E234" s="26">
        <f t="shared" si="36"/>
        <v>174.2</v>
      </c>
      <c r="F234" s="26">
        <f t="shared" si="36"/>
        <v>172.6001566000001</v>
      </c>
      <c r="G234" s="31">
        <f t="shared" si="38"/>
        <v>46402.26928157299</v>
      </c>
      <c r="H234" s="124">
        <f t="shared" si="37"/>
        <v>50.336592710430871</v>
      </c>
      <c r="I234" s="125">
        <f t="shared" si="37"/>
        <v>2.0196191575302946E-2</v>
      </c>
      <c r="J234" s="125">
        <f t="shared" si="37"/>
        <v>0.27</v>
      </c>
      <c r="K234" s="125">
        <f t="shared" si="37"/>
        <v>0.10494453414747008</v>
      </c>
      <c r="L234" s="125">
        <f t="shared" si="37"/>
        <v>1.507508977611231E-2</v>
      </c>
      <c r="M234" s="125">
        <f t="shared" si="37"/>
        <v>1.2791562311125756E-2</v>
      </c>
      <c r="N234" s="125">
        <f t="shared" si="37"/>
        <v>1.4116403195935955E-2</v>
      </c>
      <c r="O234" s="125">
        <f t="shared" si="37"/>
        <v>0</v>
      </c>
      <c r="P234" s="125">
        <f t="shared" si="37"/>
        <v>2.157456294953386E-2</v>
      </c>
      <c r="Q234" s="125">
        <f t="shared" si="37"/>
        <v>6.2818876990405415E-3</v>
      </c>
      <c r="R234" s="125">
        <f t="shared" si="37"/>
        <v>0.995</v>
      </c>
      <c r="S234" s="125">
        <f t="shared" si="37"/>
        <v>0.995</v>
      </c>
      <c r="T234" s="125">
        <f t="shared" si="37"/>
        <v>0</v>
      </c>
      <c r="U234" s="126"/>
      <c r="V234" s="126"/>
      <c r="W234" s="126"/>
      <c r="X234" s="126"/>
      <c r="Y234" s="126"/>
      <c r="Z234" s="126"/>
      <c r="AA234" s="126"/>
      <c r="AB234" s="126"/>
    </row>
    <row r="235" spans="1:28">
      <c r="A235" t="s">
        <v>2513</v>
      </c>
      <c r="B235" s="25">
        <f t="shared" si="33"/>
        <v>19</v>
      </c>
      <c r="C235" s="123" t="str">
        <f t="shared" si="32"/>
        <v>Year-19</v>
      </c>
      <c r="D235" s="35">
        <v>51380</v>
      </c>
      <c r="E235" s="26">
        <f t="shared" si="36"/>
        <v>192.1</v>
      </c>
      <c r="F235" s="26">
        <f t="shared" si="36"/>
        <v>178.89930529999984</v>
      </c>
      <c r="G235" s="31">
        <f t="shared" si="38"/>
        <v>48865.942660594599</v>
      </c>
      <c r="H235" s="124">
        <f t="shared" si="37"/>
        <v>52.25059433997491</v>
      </c>
      <c r="I235" s="125">
        <f t="shared" si="37"/>
        <v>1.7196456487754141E-2</v>
      </c>
      <c r="J235" s="125">
        <f t="shared" si="37"/>
        <v>0.26</v>
      </c>
      <c r="K235" s="125">
        <f t="shared" si="37"/>
        <v>0.11387126505657014</v>
      </c>
      <c r="L235" s="125">
        <f t="shared" si="37"/>
        <v>1.3959618092500629E-2</v>
      </c>
      <c r="M235" s="125">
        <f t="shared" si="37"/>
        <v>1.4531255376132731E-2</v>
      </c>
      <c r="N235" s="125">
        <f t="shared" si="37"/>
        <v>1.4478833500810966E-2</v>
      </c>
      <c r="O235" s="125">
        <f t="shared" si="37"/>
        <v>0</v>
      </c>
      <c r="P235" s="125">
        <f t="shared" si="37"/>
        <v>2.2473527643153385E-2</v>
      </c>
      <c r="Q235" s="125">
        <f t="shared" si="37"/>
        <v>1.1388926338936924E-2</v>
      </c>
      <c r="R235" s="125">
        <f t="shared" si="37"/>
        <v>0.995</v>
      </c>
      <c r="S235" s="125">
        <f t="shared" si="37"/>
        <v>0.995</v>
      </c>
      <c r="T235" s="125">
        <f t="shared" si="37"/>
        <v>0</v>
      </c>
      <c r="U235" s="126"/>
      <c r="V235" s="126"/>
      <c r="W235" s="126"/>
      <c r="X235" s="126"/>
      <c r="Y235" s="126"/>
      <c r="Z235" s="126"/>
      <c r="AA235" s="126"/>
      <c r="AB235" s="126"/>
    </row>
    <row r="236" spans="1:28">
      <c r="A236" t="s">
        <v>2513</v>
      </c>
      <c r="B236" s="25">
        <f t="shared" si="33"/>
        <v>19</v>
      </c>
      <c r="C236" s="123" t="str">
        <f t="shared" si="32"/>
        <v>Year-19</v>
      </c>
      <c r="D236" s="35">
        <v>51410</v>
      </c>
      <c r="E236" s="26">
        <f t="shared" si="36"/>
        <v>202.3</v>
      </c>
      <c r="F236" s="26">
        <f t="shared" si="36"/>
        <v>174.60082279999986</v>
      </c>
      <c r="G236" s="31">
        <f t="shared" si="38"/>
        <v>52968.97764896525</v>
      </c>
      <c r="H236" s="124">
        <f t="shared" si="37"/>
        <v>49.723937837075084</v>
      </c>
      <c r="I236" s="125">
        <f t="shared" si="37"/>
        <v>1.5873015873015817E-2</v>
      </c>
      <c r="J236" s="125">
        <f t="shared" si="37"/>
        <v>0.27</v>
      </c>
      <c r="K236" s="125">
        <f t="shared" si="37"/>
        <v>0.10390722673430232</v>
      </c>
      <c r="L236" s="125">
        <f t="shared" si="37"/>
        <v>1.4040704754284353E-2</v>
      </c>
      <c r="M236" s="125">
        <f t="shared" si="37"/>
        <v>1.526389492868482E-2</v>
      </c>
      <c r="N236" s="125">
        <f t="shared" si="37"/>
        <v>1.5324069649683622E-2</v>
      </c>
      <c r="O236" s="125">
        <f t="shared" si="37"/>
        <v>0</v>
      </c>
      <c r="P236" s="125">
        <f t="shared" si="37"/>
        <v>2.3043103417804571E-2</v>
      </c>
      <c r="Q236" s="125">
        <f t="shared" si="37"/>
        <v>2.1184397869334348E-2</v>
      </c>
      <c r="R236" s="125">
        <f t="shared" si="37"/>
        <v>0.995</v>
      </c>
      <c r="S236" s="125">
        <f t="shared" si="37"/>
        <v>0.995</v>
      </c>
      <c r="T236" s="125">
        <f t="shared" si="37"/>
        <v>0</v>
      </c>
      <c r="U236" s="126"/>
      <c r="V236" s="126"/>
      <c r="W236" s="126"/>
      <c r="X236" s="126"/>
      <c r="Y236" s="126"/>
      <c r="Z236" s="126"/>
      <c r="AA236" s="126"/>
      <c r="AB236" s="126"/>
    </row>
    <row r="237" spans="1:28">
      <c r="A237" t="s">
        <v>2513</v>
      </c>
      <c r="B237" s="25">
        <f t="shared" si="33"/>
        <v>19</v>
      </c>
      <c r="C237" s="123" t="str">
        <f t="shared" si="32"/>
        <v>Year-19</v>
      </c>
      <c r="D237" s="35">
        <v>51441</v>
      </c>
      <c r="E237" s="26">
        <f t="shared" si="36"/>
        <v>162.9</v>
      </c>
      <c r="F237" s="26">
        <f t="shared" si="36"/>
        <v>133.69942049999997</v>
      </c>
      <c r="G237" s="31">
        <f t="shared" si="38"/>
        <v>43438.451682749961</v>
      </c>
      <c r="H237" s="124">
        <f t="shared" si="37"/>
        <v>42.187120547750681</v>
      </c>
      <c r="I237" s="125">
        <f t="shared" si="37"/>
        <v>1.5950920245398792E-2</v>
      </c>
      <c r="J237" s="125">
        <f t="shared" si="37"/>
        <v>0.27</v>
      </c>
      <c r="K237" s="125">
        <f t="shared" si="37"/>
        <v>6.9024239591701744E-2</v>
      </c>
      <c r="L237" s="125">
        <f t="shared" si="37"/>
        <v>1.4204952105287192E-2</v>
      </c>
      <c r="M237" s="125">
        <f t="shared" si="37"/>
        <v>1.3252885058363056E-2</v>
      </c>
      <c r="N237" s="125">
        <f t="shared" si="37"/>
        <v>1.3980442883231779E-2</v>
      </c>
      <c r="O237" s="125">
        <f t="shared" si="37"/>
        <v>0</v>
      </c>
      <c r="P237" s="125">
        <f t="shared" si="37"/>
        <v>2.30208488716231E-2</v>
      </c>
      <c r="Q237" s="125">
        <f t="shared" si="37"/>
        <v>8.3479094998109554E-3</v>
      </c>
      <c r="R237" s="125">
        <f t="shared" si="37"/>
        <v>0.995</v>
      </c>
      <c r="S237" s="125">
        <f t="shared" si="37"/>
        <v>0.995</v>
      </c>
      <c r="T237" s="125">
        <f t="shared" si="37"/>
        <v>0</v>
      </c>
      <c r="U237" s="126"/>
      <c r="V237" s="126"/>
      <c r="W237" s="126"/>
      <c r="X237" s="126"/>
      <c r="Y237" s="126"/>
      <c r="Z237" s="126"/>
      <c r="AA237" s="126"/>
      <c r="AB237" s="126"/>
    </row>
    <row r="238" spans="1:28">
      <c r="A238" t="s">
        <v>2513</v>
      </c>
      <c r="B238" s="25">
        <f t="shared" si="33"/>
        <v>19</v>
      </c>
      <c r="C238" s="123" t="str">
        <f t="shared" si="32"/>
        <v>Year-19</v>
      </c>
      <c r="D238" s="35">
        <v>51471</v>
      </c>
      <c r="E238" s="26">
        <f t="shared" ref="E238:F253" si="39">E226</f>
        <v>158.6</v>
      </c>
      <c r="F238" s="26">
        <f t="shared" si="39"/>
        <v>124.40004220000003</v>
      </c>
      <c r="G238" s="31">
        <f t="shared" si="38"/>
        <v>44716.598022242404</v>
      </c>
      <c r="H238" s="124">
        <f t="shared" ref="H238:T253" si="40">H226</f>
        <v>36.076939444156181</v>
      </c>
      <c r="I238" s="125">
        <f t="shared" si="40"/>
        <v>1.5802781289506962E-2</v>
      </c>
      <c r="J238" s="125">
        <f t="shared" si="40"/>
        <v>0.27</v>
      </c>
      <c r="K238" s="125">
        <f t="shared" si="40"/>
        <v>4.4787946264861052E-2</v>
      </c>
      <c r="L238" s="125">
        <f t="shared" si="40"/>
        <v>1.4140595613406415E-2</v>
      </c>
      <c r="M238" s="125">
        <f t="shared" si="40"/>
        <v>1.2367081056294736E-2</v>
      </c>
      <c r="N238" s="125">
        <f t="shared" si="40"/>
        <v>1.3960975699298588E-2</v>
      </c>
      <c r="O238" s="125">
        <f t="shared" si="40"/>
        <v>0</v>
      </c>
      <c r="P238" s="125">
        <f t="shared" si="40"/>
        <v>2.3055036005913448E-2</v>
      </c>
      <c r="Q238" s="125">
        <f t="shared" si="40"/>
        <v>3.6978876304825567E-3</v>
      </c>
      <c r="R238" s="125">
        <f t="shared" si="40"/>
        <v>0.995</v>
      </c>
      <c r="S238" s="125">
        <f t="shared" si="40"/>
        <v>0.995</v>
      </c>
      <c r="T238" s="125">
        <f t="shared" si="40"/>
        <v>0</v>
      </c>
      <c r="U238" s="126"/>
      <c r="V238" s="126"/>
      <c r="W238" s="126"/>
      <c r="X238" s="126"/>
      <c r="Y238" s="126"/>
      <c r="Z238" s="126"/>
      <c r="AA238" s="126"/>
      <c r="AB238" s="126"/>
    </row>
    <row r="239" spans="1:28">
      <c r="A239" t="s">
        <v>2513</v>
      </c>
      <c r="B239" s="25">
        <f t="shared" si="33"/>
        <v>19</v>
      </c>
      <c r="C239" s="123" t="str">
        <f t="shared" si="32"/>
        <v>Year-19</v>
      </c>
      <c r="D239" s="35">
        <v>51502</v>
      </c>
      <c r="E239" s="26">
        <f t="shared" si="39"/>
        <v>169.028549</v>
      </c>
      <c r="F239" s="26">
        <f t="shared" si="39"/>
        <v>133.89933939999995</v>
      </c>
      <c r="G239" s="31">
        <f t="shared" si="38"/>
        <v>47476.653161146307</v>
      </c>
      <c r="H239" s="124">
        <f t="shared" si="40"/>
        <v>34.970332119021293</v>
      </c>
      <c r="I239" s="125">
        <f t="shared" si="40"/>
        <v>1.7200474495848161E-2</v>
      </c>
      <c r="J239" s="125">
        <f t="shared" si="40"/>
        <v>0.27</v>
      </c>
      <c r="K239" s="125">
        <f t="shared" si="40"/>
        <v>4.0029940128316385E-2</v>
      </c>
      <c r="L239" s="125">
        <f t="shared" si="40"/>
        <v>1.4099625889623608E-2</v>
      </c>
      <c r="M239" s="125">
        <f t="shared" si="40"/>
        <v>1.267725762135744E-2</v>
      </c>
      <c r="N239" s="125">
        <f t="shared" si="40"/>
        <v>1.390175346828215E-2</v>
      </c>
      <c r="O239" s="125">
        <f t="shared" si="40"/>
        <v>0</v>
      </c>
      <c r="P239" s="125">
        <f t="shared" si="40"/>
        <v>2.298066658515029E-2</v>
      </c>
      <c r="Q239" s="125">
        <f t="shared" si="40"/>
        <v>1.0644897972798715E-2</v>
      </c>
      <c r="R239" s="125">
        <f t="shared" si="40"/>
        <v>0.995</v>
      </c>
      <c r="S239" s="125">
        <f t="shared" si="40"/>
        <v>0.995</v>
      </c>
      <c r="T239" s="125">
        <f t="shared" si="40"/>
        <v>0</v>
      </c>
      <c r="U239" s="126"/>
      <c r="V239" s="126"/>
      <c r="W239" s="126"/>
      <c r="X239" s="126"/>
      <c r="Y239" s="126"/>
      <c r="Z239" s="126"/>
      <c r="AA239" s="126"/>
      <c r="AB239" s="126"/>
    </row>
    <row r="240" spans="1:28">
      <c r="A240" t="s">
        <v>2513</v>
      </c>
      <c r="B240" s="25">
        <f t="shared" si="33"/>
        <v>19</v>
      </c>
      <c r="C240" s="123" t="str">
        <f t="shared" si="32"/>
        <v>Year-19</v>
      </c>
      <c r="D240" s="35">
        <v>51533</v>
      </c>
      <c r="E240" s="26">
        <f t="shared" si="39"/>
        <v>172.55912190000004</v>
      </c>
      <c r="F240" s="26">
        <f t="shared" si="39"/>
        <v>145.40077080000009</v>
      </c>
      <c r="G240" s="31">
        <f t="shared" si="38"/>
        <v>43799.666952606502</v>
      </c>
      <c r="H240" s="124">
        <f t="shared" si="40"/>
        <v>40.252096455972236</v>
      </c>
      <c r="I240" s="125">
        <f t="shared" si="40"/>
        <v>1.510749564206848E-2</v>
      </c>
      <c r="J240" s="125">
        <f t="shared" si="40"/>
        <v>0.27</v>
      </c>
      <c r="K240" s="125">
        <f t="shared" si="40"/>
        <v>6.2111013936519133E-2</v>
      </c>
      <c r="L240" s="125">
        <f t="shared" si="40"/>
        <v>1.4175439055030284E-2</v>
      </c>
      <c r="M240" s="125">
        <f t="shared" si="40"/>
        <v>1.4384371816049681E-2</v>
      </c>
      <c r="N240" s="125">
        <f t="shared" si="40"/>
        <v>1.5915736744616871E-2</v>
      </c>
      <c r="O240" s="125">
        <f t="shared" si="40"/>
        <v>0</v>
      </c>
      <c r="P240" s="125">
        <f t="shared" si="40"/>
        <v>2.3268144471779773E-2</v>
      </c>
      <c r="Q240" s="125">
        <f t="shared" si="40"/>
        <v>2.5052142565085967E-2</v>
      </c>
      <c r="R240" s="125">
        <f t="shared" si="40"/>
        <v>0.995</v>
      </c>
      <c r="S240" s="125">
        <f t="shared" si="40"/>
        <v>0.995</v>
      </c>
      <c r="T240" s="125">
        <f t="shared" si="40"/>
        <v>0</v>
      </c>
      <c r="U240" s="126"/>
      <c r="V240" s="126"/>
      <c r="W240" s="126"/>
      <c r="X240" s="126"/>
      <c r="Y240" s="126"/>
      <c r="Z240" s="126"/>
      <c r="AA240" s="126"/>
      <c r="AB240" s="126"/>
    </row>
    <row r="241" spans="1:28">
      <c r="A241" t="s">
        <v>2513</v>
      </c>
      <c r="B241" s="25">
        <f t="shared" si="33"/>
        <v>19</v>
      </c>
      <c r="C241" s="123" t="str">
        <f t="shared" si="32"/>
        <v>Year-19</v>
      </c>
      <c r="D241" s="35">
        <v>51561</v>
      </c>
      <c r="E241" s="26">
        <f t="shared" si="39"/>
        <v>215.74576700000009</v>
      </c>
      <c r="F241" s="26">
        <f t="shared" si="39"/>
        <v>195.59891570000002</v>
      </c>
      <c r="G241" s="31">
        <f t="shared" si="38"/>
        <v>56043.938407744121</v>
      </c>
      <c r="H241" s="124">
        <f t="shared" si="40"/>
        <v>47.179622377374095</v>
      </c>
      <c r="I241" s="125">
        <f t="shared" si="40"/>
        <v>1.5306122448979553E-2</v>
      </c>
      <c r="J241" s="125">
        <f t="shared" si="40"/>
        <v>0.28000000000000003</v>
      </c>
      <c r="K241" s="125">
        <f t="shared" si="40"/>
        <v>9.4419706369976972E-2</v>
      </c>
      <c r="L241" s="125">
        <f t="shared" si="40"/>
        <v>1.4644787078611174E-2</v>
      </c>
      <c r="M241" s="125">
        <f t="shared" si="40"/>
        <v>1.6212630268737406E-2</v>
      </c>
      <c r="N241" s="125">
        <f t="shared" si="40"/>
        <v>2.0718676035686345E-2</v>
      </c>
      <c r="O241" s="125">
        <f t="shared" si="40"/>
        <v>0</v>
      </c>
      <c r="P241" s="125">
        <f t="shared" si="40"/>
        <v>2.3247057021314733E-2</v>
      </c>
      <c r="Q241" s="125">
        <f t="shared" si="40"/>
        <v>3.9222124133286969E-2</v>
      </c>
      <c r="R241" s="125">
        <f t="shared" si="40"/>
        <v>0.995</v>
      </c>
      <c r="S241" s="125">
        <f t="shared" si="40"/>
        <v>0.995</v>
      </c>
      <c r="T241" s="125">
        <f t="shared" si="40"/>
        <v>0</v>
      </c>
      <c r="U241" s="126"/>
      <c r="V241" s="126"/>
      <c r="W241" s="126"/>
      <c r="X241" s="126"/>
      <c r="Y241" s="126"/>
      <c r="Z241" s="126"/>
      <c r="AA241" s="126"/>
      <c r="AB241" s="126"/>
    </row>
    <row r="242" spans="1:28">
      <c r="A242" t="s">
        <v>2514</v>
      </c>
      <c r="B242" s="25">
        <f t="shared" si="33"/>
        <v>20</v>
      </c>
      <c r="C242" s="123" t="str">
        <f t="shared" si="32"/>
        <v>Year-20</v>
      </c>
      <c r="D242" s="35">
        <v>51592</v>
      </c>
      <c r="E242" s="26">
        <f t="shared" si="39"/>
        <v>215.9</v>
      </c>
      <c r="F242" s="26">
        <f t="shared" si="39"/>
        <v>208.99969899999999</v>
      </c>
      <c r="G242" s="31">
        <f t="shared" si="38"/>
        <v>54058.333438377653</v>
      </c>
      <c r="H242" s="124">
        <f t="shared" si="40"/>
        <v>52.296499350965128</v>
      </c>
      <c r="I242" s="125">
        <f t="shared" si="40"/>
        <v>1.6658954187875996E-2</v>
      </c>
      <c r="J242" s="125">
        <f t="shared" si="40"/>
        <v>0.28999999999999998</v>
      </c>
      <c r="K242" s="125">
        <f t="shared" si="40"/>
        <v>0.11719199751057031</v>
      </c>
      <c r="L242" s="125">
        <f t="shared" si="40"/>
        <v>1.5231272154623582E-2</v>
      </c>
      <c r="M242" s="125">
        <f t="shared" si="40"/>
        <v>1.6110689006976781E-2</v>
      </c>
      <c r="N242" s="125">
        <f t="shared" si="40"/>
        <v>1.8633277773980331E-2</v>
      </c>
      <c r="O242" s="125">
        <f t="shared" si="40"/>
        <v>0</v>
      </c>
      <c r="P242" s="125">
        <f t="shared" si="40"/>
        <v>2.2802418781094937E-2</v>
      </c>
      <c r="Q242" s="125">
        <f t="shared" si="40"/>
        <v>2.7995485693316467E-2</v>
      </c>
      <c r="R242" s="125">
        <f t="shared" si="40"/>
        <v>0.995</v>
      </c>
      <c r="S242" s="125">
        <f t="shared" si="40"/>
        <v>0.995</v>
      </c>
      <c r="T242" s="125">
        <f t="shared" si="40"/>
        <v>0</v>
      </c>
      <c r="U242" s="126"/>
      <c r="V242" s="126"/>
      <c r="W242" s="126"/>
      <c r="X242" s="126"/>
      <c r="Y242" s="126"/>
      <c r="Z242" s="126"/>
      <c r="AA242" s="126"/>
      <c r="AB242" s="126"/>
    </row>
    <row r="243" spans="1:28">
      <c r="A243" t="s">
        <v>2514</v>
      </c>
      <c r="B243" s="25">
        <f t="shared" si="33"/>
        <v>20</v>
      </c>
      <c r="C243" s="123" t="str">
        <f t="shared" si="32"/>
        <v>Year-20</v>
      </c>
      <c r="D243" s="35">
        <v>51622</v>
      </c>
      <c r="E243" s="26">
        <f t="shared" si="39"/>
        <v>217.9</v>
      </c>
      <c r="F243" s="26">
        <f t="shared" si="39"/>
        <v>221.90023470000006</v>
      </c>
      <c r="G243" s="31">
        <f t="shared" si="38"/>
        <v>56962.712601449275</v>
      </c>
      <c r="H243" s="124">
        <f t="shared" si="40"/>
        <v>55.437733860726389</v>
      </c>
      <c r="I243" s="125">
        <f t="shared" si="40"/>
        <v>1.7865322950068707E-2</v>
      </c>
      <c r="J243" s="125">
        <f t="shared" si="40"/>
        <v>0.3</v>
      </c>
      <c r="K243" s="125">
        <f t="shared" si="40"/>
        <v>0.1306817577748349</v>
      </c>
      <c r="L243" s="125">
        <f t="shared" si="40"/>
        <v>1.609339136491415E-2</v>
      </c>
      <c r="M243" s="125">
        <f t="shared" si="40"/>
        <v>1.525163145425878E-2</v>
      </c>
      <c r="N243" s="125">
        <f t="shared" si="40"/>
        <v>1.5763583972179196E-2</v>
      </c>
      <c r="O243" s="125">
        <f t="shared" si="40"/>
        <v>0</v>
      </c>
      <c r="P243" s="125">
        <f t="shared" si="40"/>
        <v>2.2281870794181511E-2</v>
      </c>
      <c r="Q243" s="125">
        <f t="shared" si="40"/>
        <v>1.1198342091846737E-2</v>
      </c>
      <c r="R243" s="125">
        <f t="shared" si="40"/>
        <v>0.995</v>
      </c>
      <c r="S243" s="125">
        <f t="shared" si="40"/>
        <v>0.995</v>
      </c>
      <c r="T243" s="125">
        <f t="shared" si="40"/>
        <v>0</v>
      </c>
      <c r="U243" s="126"/>
      <c r="V243" s="126"/>
      <c r="W243" s="126"/>
      <c r="X243" s="126"/>
      <c r="Y243" s="126"/>
      <c r="Z243" s="126"/>
      <c r="AA243" s="126"/>
      <c r="AB243" s="126"/>
    </row>
    <row r="244" spans="1:28">
      <c r="A244" t="s">
        <v>2514</v>
      </c>
      <c r="B244" s="25">
        <f t="shared" si="33"/>
        <v>20</v>
      </c>
      <c r="C244" s="123" t="str">
        <f t="shared" si="32"/>
        <v>Year-20</v>
      </c>
      <c r="D244" s="35">
        <v>51653</v>
      </c>
      <c r="E244" s="26">
        <f t="shared" si="39"/>
        <v>192.8</v>
      </c>
      <c r="F244" s="26">
        <f t="shared" si="39"/>
        <v>200.20089519999999</v>
      </c>
      <c r="G244" s="31">
        <f t="shared" si="38"/>
        <v>49512.749541887759</v>
      </c>
      <c r="H244" s="124">
        <f t="shared" si="40"/>
        <v>54.658309168315547</v>
      </c>
      <c r="I244" s="125">
        <f t="shared" si="40"/>
        <v>1.914123124676681E-2</v>
      </c>
      <c r="J244" s="125">
        <f t="shared" si="40"/>
        <v>0.3</v>
      </c>
      <c r="K244" s="125">
        <f t="shared" si="40"/>
        <v>0.12650723469382591</v>
      </c>
      <c r="L244" s="125">
        <f t="shared" si="40"/>
        <v>1.6398522844759341E-2</v>
      </c>
      <c r="M244" s="125">
        <f t="shared" si="40"/>
        <v>1.3926271600695752E-2</v>
      </c>
      <c r="N244" s="125">
        <f t="shared" si="40"/>
        <v>1.4057661793117321E-2</v>
      </c>
      <c r="O244" s="125">
        <f t="shared" si="40"/>
        <v>0</v>
      </c>
      <c r="P244" s="125">
        <f t="shared" si="40"/>
        <v>2.1677907023400757E-2</v>
      </c>
      <c r="Q244" s="125">
        <f t="shared" si="40"/>
        <v>4.051685061336731E-3</v>
      </c>
      <c r="R244" s="125">
        <f t="shared" si="40"/>
        <v>0.995</v>
      </c>
      <c r="S244" s="125">
        <f t="shared" si="40"/>
        <v>0.995</v>
      </c>
      <c r="T244" s="125">
        <f t="shared" si="40"/>
        <v>0</v>
      </c>
      <c r="U244" s="126"/>
      <c r="V244" s="126"/>
      <c r="W244" s="126"/>
      <c r="X244" s="126"/>
      <c r="Y244" s="126"/>
      <c r="Z244" s="126"/>
      <c r="AA244" s="126"/>
      <c r="AB244" s="126"/>
    </row>
    <row r="245" spans="1:28">
      <c r="A245" t="s">
        <v>2514</v>
      </c>
      <c r="B245" s="25">
        <f t="shared" si="33"/>
        <v>20</v>
      </c>
      <c r="C245" s="123" t="str">
        <f t="shared" si="32"/>
        <v>Year-20</v>
      </c>
      <c r="D245" s="35">
        <v>51683</v>
      </c>
      <c r="E245" s="26">
        <f t="shared" si="39"/>
        <v>168.9</v>
      </c>
      <c r="F245" s="26">
        <f t="shared" si="39"/>
        <v>173.59972409999992</v>
      </c>
      <c r="G245" s="31">
        <f t="shared" si="38"/>
        <v>45372.856703096761</v>
      </c>
      <c r="H245" s="124">
        <f t="shared" si="40"/>
        <v>51.564857066184757</v>
      </c>
      <c r="I245" s="125">
        <f t="shared" si="40"/>
        <v>2.1854695806261204E-2</v>
      </c>
      <c r="J245" s="125">
        <f t="shared" si="40"/>
        <v>0.28000000000000003</v>
      </c>
      <c r="K245" s="125">
        <f t="shared" si="40"/>
        <v>0.1089308468990661</v>
      </c>
      <c r="L245" s="125">
        <f t="shared" si="40"/>
        <v>1.5867586262633245E-2</v>
      </c>
      <c r="M245" s="125">
        <f t="shared" si="40"/>
        <v>1.231974144019694E-2</v>
      </c>
      <c r="N245" s="125">
        <f t="shared" si="40"/>
        <v>1.3502102014775261E-2</v>
      </c>
      <c r="O245" s="125">
        <f t="shared" si="40"/>
        <v>0</v>
      </c>
      <c r="P245" s="125">
        <f t="shared" si="40"/>
        <v>2.127320988616644E-2</v>
      </c>
      <c r="Q245" s="125">
        <f t="shared" si="40"/>
        <v>1.5557262066246368E-3</v>
      </c>
      <c r="R245" s="125">
        <f t="shared" si="40"/>
        <v>0.995</v>
      </c>
      <c r="S245" s="125">
        <f t="shared" si="40"/>
        <v>0.995</v>
      </c>
      <c r="T245" s="125">
        <f t="shared" si="40"/>
        <v>0</v>
      </c>
      <c r="U245" s="126"/>
      <c r="V245" s="126"/>
      <c r="W245" s="126"/>
      <c r="X245" s="126"/>
      <c r="Y245" s="126"/>
      <c r="Z245" s="126"/>
      <c r="AA245" s="126"/>
      <c r="AB245" s="126"/>
    </row>
    <row r="246" spans="1:28">
      <c r="A246" t="s">
        <v>2514</v>
      </c>
      <c r="B246" s="25">
        <f t="shared" si="33"/>
        <v>20</v>
      </c>
      <c r="C246" s="123" t="str">
        <f t="shared" si="32"/>
        <v>Year-20</v>
      </c>
      <c r="D246" s="35">
        <v>51714</v>
      </c>
      <c r="E246" s="26">
        <f t="shared" si="39"/>
        <v>174.2</v>
      </c>
      <c r="F246" s="26">
        <f t="shared" si="39"/>
        <v>172.6001566000001</v>
      </c>
      <c r="G246" s="31">
        <f t="shared" si="38"/>
        <v>46193.459069805911</v>
      </c>
      <c r="H246" s="124">
        <f t="shared" si="40"/>
        <v>50.336592710430871</v>
      </c>
      <c r="I246" s="125">
        <f t="shared" si="40"/>
        <v>2.0196191575302946E-2</v>
      </c>
      <c r="J246" s="125">
        <f t="shared" si="40"/>
        <v>0.27</v>
      </c>
      <c r="K246" s="125">
        <f t="shared" si="40"/>
        <v>0.10494453414747008</v>
      </c>
      <c r="L246" s="125">
        <f t="shared" si="40"/>
        <v>1.507508977611231E-2</v>
      </c>
      <c r="M246" s="125">
        <f t="shared" si="40"/>
        <v>1.2791562311125756E-2</v>
      </c>
      <c r="N246" s="125">
        <f t="shared" si="40"/>
        <v>1.4116403195935955E-2</v>
      </c>
      <c r="O246" s="125">
        <f t="shared" si="40"/>
        <v>0</v>
      </c>
      <c r="P246" s="125">
        <f t="shared" si="40"/>
        <v>2.157456294953386E-2</v>
      </c>
      <c r="Q246" s="125">
        <f t="shared" si="40"/>
        <v>6.2818876990405415E-3</v>
      </c>
      <c r="R246" s="125">
        <f t="shared" si="40"/>
        <v>0.995</v>
      </c>
      <c r="S246" s="125">
        <f t="shared" si="40"/>
        <v>0.995</v>
      </c>
      <c r="T246" s="125">
        <f t="shared" si="40"/>
        <v>0</v>
      </c>
      <c r="U246" s="126"/>
      <c r="V246" s="126"/>
      <c r="W246" s="126"/>
      <c r="X246" s="126"/>
      <c r="Y246" s="126"/>
      <c r="Z246" s="126"/>
      <c r="AA246" s="126"/>
      <c r="AB246" s="126"/>
    </row>
    <row r="247" spans="1:28">
      <c r="A247" t="s">
        <v>2514</v>
      </c>
      <c r="B247" s="25">
        <f t="shared" si="33"/>
        <v>20</v>
      </c>
      <c r="C247" s="123" t="str">
        <f t="shared" si="32"/>
        <v>Year-20</v>
      </c>
      <c r="D247" s="35">
        <v>51745</v>
      </c>
      <c r="E247" s="26">
        <f t="shared" si="39"/>
        <v>192.1</v>
      </c>
      <c r="F247" s="26">
        <f t="shared" si="39"/>
        <v>178.89930529999984</v>
      </c>
      <c r="G247" s="31">
        <f t="shared" si="38"/>
        <v>48646.045918621923</v>
      </c>
      <c r="H247" s="124">
        <f t="shared" si="40"/>
        <v>52.25059433997491</v>
      </c>
      <c r="I247" s="125">
        <f t="shared" si="40"/>
        <v>1.7196456487754141E-2</v>
      </c>
      <c r="J247" s="125">
        <f t="shared" si="40"/>
        <v>0.26</v>
      </c>
      <c r="K247" s="125">
        <f t="shared" si="40"/>
        <v>0.11387126505657014</v>
      </c>
      <c r="L247" s="125">
        <f t="shared" si="40"/>
        <v>1.3959618092500629E-2</v>
      </c>
      <c r="M247" s="125">
        <f t="shared" si="40"/>
        <v>1.4531255376132731E-2</v>
      </c>
      <c r="N247" s="125">
        <f t="shared" si="40"/>
        <v>1.4478833500810966E-2</v>
      </c>
      <c r="O247" s="125">
        <f t="shared" si="40"/>
        <v>0</v>
      </c>
      <c r="P247" s="125">
        <f t="shared" si="40"/>
        <v>2.2473527643153385E-2</v>
      </c>
      <c r="Q247" s="125">
        <f t="shared" si="40"/>
        <v>1.1388926338936924E-2</v>
      </c>
      <c r="R247" s="125">
        <f t="shared" si="40"/>
        <v>0.995</v>
      </c>
      <c r="S247" s="125">
        <f t="shared" si="40"/>
        <v>0.995</v>
      </c>
      <c r="T247" s="125">
        <f t="shared" si="40"/>
        <v>0</v>
      </c>
      <c r="U247" s="126"/>
      <c r="V247" s="126"/>
      <c r="W247" s="126"/>
      <c r="X247" s="126"/>
      <c r="Y247" s="126"/>
      <c r="Z247" s="126"/>
      <c r="AA247" s="126"/>
      <c r="AB247" s="126"/>
    </row>
    <row r="248" spans="1:28">
      <c r="A248" t="s">
        <v>2514</v>
      </c>
      <c r="B248" s="25">
        <f t="shared" si="33"/>
        <v>20</v>
      </c>
      <c r="C248" s="123" t="str">
        <f t="shared" si="32"/>
        <v>Year-20</v>
      </c>
      <c r="D248" s="35">
        <v>51775</v>
      </c>
      <c r="E248" s="26">
        <f t="shared" si="39"/>
        <v>202.3</v>
      </c>
      <c r="F248" s="26">
        <f t="shared" si="39"/>
        <v>174.60082279999986</v>
      </c>
      <c r="G248" s="31">
        <f t="shared" si="38"/>
        <v>52730.617249544906</v>
      </c>
      <c r="H248" s="124">
        <f t="shared" si="40"/>
        <v>49.723937837075084</v>
      </c>
      <c r="I248" s="125">
        <f t="shared" si="40"/>
        <v>1.5873015873015817E-2</v>
      </c>
      <c r="J248" s="125">
        <f t="shared" si="40"/>
        <v>0.27</v>
      </c>
      <c r="K248" s="125">
        <f t="shared" si="40"/>
        <v>0.10390722673430232</v>
      </c>
      <c r="L248" s="125">
        <f t="shared" si="40"/>
        <v>1.4040704754284353E-2</v>
      </c>
      <c r="M248" s="125">
        <f t="shared" si="40"/>
        <v>1.526389492868482E-2</v>
      </c>
      <c r="N248" s="125">
        <f t="shared" si="40"/>
        <v>1.5324069649683622E-2</v>
      </c>
      <c r="O248" s="125">
        <f t="shared" si="40"/>
        <v>0</v>
      </c>
      <c r="P248" s="125">
        <f t="shared" si="40"/>
        <v>2.3043103417804571E-2</v>
      </c>
      <c r="Q248" s="125">
        <f t="shared" si="40"/>
        <v>2.1184397869334348E-2</v>
      </c>
      <c r="R248" s="125">
        <f t="shared" si="40"/>
        <v>0.995</v>
      </c>
      <c r="S248" s="125">
        <f t="shared" si="40"/>
        <v>0.995</v>
      </c>
      <c r="T248" s="125">
        <f t="shared" si="40"/>
        <v>0</v>
      </c>
      <c r="U248" s="126"/>
      <c r="V248" s="126"/>
      <c r="W248" s="126"/>
      <c r="X248" s="126"/>
      <c r="Y248" s="126"/>
      <c r="Z248" s="126"/>
      <c r="AA248" s="126"/>
      <c r="AB248" s="126"/>
    </row>
    <row r="249" spans="1:28">
      <c r="A249" t="s">
        <v>2514</v>
      </c>
      <c r="B249" s="25">
        <f t="shared" si="33"/>
        <v>20</v>
      </c>
      <c r="C249" s="123" t="str">
        <f t="shared" si="32"/>
        <v>Year-20</v>
      </c>
      <c r="D249" s="35">
        <v>51806</v>
      </c>
      <c r="E249" s="26">
        <f t="shared" si="39"/>
        <v>162.9</v>
      </c>
      <c r="F249" s="26">
        <f t="shared" si="39"/>
        <v>133.69942049999997</v>
      </c>
      <c r="G249" s="31">
        <f t="shared" si="38"/>
        <v>43242.978650177589</v>
      </c>
      <c r="H249" s="124">
        <f t="shared" si="40"/>
        <v>42.187120547750681</v>
      </c>
      <c r="I249" s="125">
        <f t="shared" si="40"/>
        <v>1.5950920245398792E-2</v>
      </c>
      <c r="J249" s="125">
        <f t="shared" si="40"/>
        <v>0.27</v>
      </c>
      <c r="K249" s="125">
        <f t="shared" si="40"/>
        <v>6.9024239591701744E-2</v>
      </c>
      <c r="L249" s="125">
        <f t="shared" si="40"/>
        <v>1.4204952105287192E-2</v>
      </c>
      <c r="M249" s="125">
        <f t="shared" si="40"/>
        <v>1.3252885058363056E-2</v>
      </c>
      <c r="N249" s="125">
        <f t="shared" si="40"/>
        <v>1.3980442883231779E-2</v>
      </c>
      <c r="O249" s="125">
        <f t="shared" si="40"/>
        <v>0</v>
      </c>
      <c r="P249" s="125">
        <f t="shared" si="40"/>
        <v>2.30208488716231E-2</v>
      </c>
      <c r="Q249" s="125">
        <f t="shared" si="40"/>
        <v>8.3479094998109554E-3</v>
      </c>
      <c r="R249" s="125">
        <f t="shared" si="40"/>
        <v>0.995</v>
      </c>
      <c r="S249" s="125">
        <f t="shared" si="40"/>
        <v>0.995</v>
      </c>
      <c r="T249" s="125">
        <f t="shared" si="40"/>
        <v>0</v>
      </c>
      <c r="U249" s="126"/>
      <c r="V249" s="126"/>
      <c r="W249" s="126"/>
      <c r="X249" s="126"/>
      <c r="Y249" s="126"/>
      <c r="Z249" s="126"/>
      <c r="AA249" s="126"/>
      <c r="AB249" s="126"/>
    </row>
    <row r="250" spans="1:28">
      <c r="A250" t="s">
        <v>2514</v>
      </c>
      <c r="B250" s="25">
        <f t="shared" si="33"/>
        <v>20</v>
      </c>
      <c r="C250" s="123" t="str">
        <f t="shared" si="32"/>
        <v>Year-20</v>
      </c>
      <c r="D250" s="35">
        <v>51836</v>
      </c>
      <c r="E250" s="26">
        <f t="shared" si="39"/>
        <v>158.6</v>
      </c>
      <c r="F250" s="26">
        <f t="shared" si="39"/>
        <v>124.40004220000003</v>
      </c>
      <c r="G250" s="31">
        <f t="shared" si="38"/>
        <v>44515.373331142313</v>
      </c>
      <c r="H250" s="124">
        <f t="shared" si="40"/>
        <v>36.076939444156181</v>
      </c>
      <c r="I250" s="125">
        <f t="shared" si="40"/>
        <v>1.5802781289506962E-2</v>
      </c>
      <c r="J250" s="125">
        <f t="shared" si="40"/>
        <v>0.27</v>
      </c>
      <c r="K250" s="125">
        <f t="shared" si="40"/>
        <v>4.4787946264861052E-2</v>
      </c>
      <c r="L250" s="125">
        <f t="shared" si="40"/>
        <v>1.4140595613406415E-2</v>
      </c>
      <c r="M250" s="125">
        <f t="shared" si="40"/>
        <v>1.2367081056294736E-2</v>
      </c>
      <c r="N250" s="125">
        <f t="shared" si="40"/>
        <v>1.3960975699298588E-2</v>
      </c>
      <c r="O250" s="125">
        <f t="shared" si="40"/>
        <v>0</v>
      </c>
      <c r="P250" s="125">
        <f t="shared" si="40"/>
        <v>2.3055036005913448E-2</v>
      </c>
      <c r="Q250" s="125">
        <f t="shared" si="40"/>
        <v>3.6978876304825567E-3</v>
      </c>
      <c r="R250" s="125">
        <f t="shared" si="40"/>
        <v>0.995</v>
      </c>
      <c r="S250" s="125">
        <f t="shared" si="40"/>
        <v>0.995</v>
      </c>
      <c r="T250" s="125">
        <f t="shared" si="40"/>
        <v>0</v>
      </c>
      <c r="U250" s="126"/>
      <c r="V250" s="126"/>
      <c r="W250" s="126"/>
      <c r="X250" s="126"/>
      <c r="Y250" s="126"/>
      <c r="Z250" s="126"/>
      <c r="AA250" s="126"/>
      <c r="AB250" s="126"/>
    </row>
    <row r="251" spans="1:28">
      <c r="A251" t="s">
        <v>2514</v>
      </c>
      <c r="B251" s="25">
        <f t="shared" si="33"/>
        <v>20</v>
      </c>
      <c r="C251" s="123" t="str">
        <f t="shared" si="32"/>
        <v>Year-20</v>
      </c>
      <c r="D251" s="35">
        <v>51867</v>
      </c>
      <c r="E251" s="26">
        <f t="shared" si="39"/>
        <v>169.028549</v>
      </c>
      <c r="F251" s="26">
        <f t="shared" si="39"/>
        <v>133.89933939999995</v>
      </c>
      <c r="G251" s="31">
        <f t="shared" si="38"/>
        <v>47263.008221921154</v>
      </c>
      <c r="H251" s="124">
        <f t="shared" si="40"/>
        <v>34.970332119021293</v>
      </c>
      <c r="I251" s="125">
        <f t="shared" si="40"/>
        <v>1.7200474495848161E-2</v>
      </c>
      <c r="J251" s="125">
        <f t="shared" si="40"/>
        <v>0.27</v>
      </c>
      <c r="K251" s="125">
        <f t="shared" si="40"/>
        <v>4.0029940128316385E-2</v>
      </c>
      <c r="L251" s="125">
        <f t="shared" si="40"/>
        <v>1.4099625889623608E-2</v>
      </c>
      <c r="M251" s="125">
        <f t="shared" si="40"/>
        <v>1.267725762135744E-2</v>
      </c>
      <c r="N251" s="125">
        <f t="shared" si="40"/>
        <v>1.390175346828215E-2</v>
      </c>
      <c r="O251" s="125">
        <f t="shared" si="40"/>
        <v>0</v>
      </c>
      <c r="P251" s="125">
        <f t="shared" si="40"/>
        <v>2.298066658515029E-2</v>
      </c>
      <c r="Q251" s="125">
        <f t="shared" si="40"/>
        <v>1.0644897972798715E-2</v>
      </c>
      <c r="R251" s="125">
        <f t="shared" si="40"/>
        <v>0.995</v>
      </c>
      <c r="S251" s="125">
        <f t="shared" si="40"/>
        <v>0.995</v>
      </c>
      <c r="T251" s="125">
        <f t="shared" si="40"/>
        <v>0</v>
      </c>
      <c r="U251" s="126"/>
      <c r="V251" s="126"/>
      <c r="W251" s="126"/>
      <c r="X251" s="126"/>
      <c r="Y251" s="126"/>
      <c r="Z251" s="126"/>
      <c r="AA251" s="126"/>
      <c r="AB251" s="126"/>
    </row>
    <row r="252" spans="1:28">
      <c r="A252" t="s">
        <v>2514</v>
      </c>
      <c r="B252" s="25">
        <f t="shared" si="33"/>
        <v>20</v>
      </c>
      <c r="C252" s="123" t="str">
        <f t="shared" si="32"/>
        <v>Year-20</v>
      </c>
      <c r="D252" s="35">
        <v>51898</v>
      </c>
      <c r="E252" s="26">
        <f t="shared" si="39"/>
        <v>172.55912190000004</v>
      </c>
      <c r="F252" s="26">
        <f t="shared" si="39"/>
        <v>145.40077080000009</v>
      </c>
      <c r="G252" s="31">
        <f t="shared" si="38"/>
        <v>43602.568451319778</v>
      </c>
      <c r="H252" s="124">
        <f t="shared" si="40"/>
        <v>40.252096455972236</v>
      </c>
      <c r="I252" s="125">
        <f t="shared" si="40"/>
        <v>1.510749564206848E-2</v>
      </c>
      <c r="J252" s="125">
        <f t="shared" si="40"/>
        <v>0.27</v>
      </c>
      <c r="K252" s="125">
        <f t="shared" si="40"/>
        <v>6.2111013936519133E-2</v>
      </c>
      <c r="L252" s="125">
        <f t="shared" si="40"/>
        <v>1.4175439055030284E-2</v>
      </c>
      <c r="M252" s="125">
        <f t="shared" si="40"/>
        <v>1.4384371816049681E-2</v>
      </c>
      <c r="N252" s="125">
        <f t="shared" si="40"/>
        <v>1.5915736744616871E-2</v>
      </c>
      <c r="O252" s="125">
        <f t="shared" si="40"/>
        <v>0</v>
      </c>
      <c r="P252" s="125">
        <f t="shared" si="40"/>
        <v>2.3268144471779773E-2</v>
      </c>
      <c r="Q252" s="125">
        <f t="shared" si="40"/>
        <v>2.5052142565085967E-2</v>
      </c>
      <c r="R252" s="125">
        <f t="shared" si="40"/>
        <v>0.995</v>
      </c>
      <c r="S252" s="125">
        <f t="shared" si="40"/>
        <v>0.995</v>
      </c>
      <c r="T252" s="125">
        <f t="shared" si="40"/>
        <v>0</v>
      </c>
      <c r="U252" s="126"/>
      <c r="V252" s="126"/>
      <c r="W252" s="126"/>
      <c r="X252" s="126"/>
      <c r="Y252" s="126"/>
      <c r="Z252" s="126"/>
      <c r="AA252" s="126"/>
      <c r="AB252" s="126"/>
    </row>
    <row r="253" spans="1:28">
      <c r="A253" t="s">
        <v>2514</v>
      </c>
      <c r="B253" s="25">
        <f t="shared" si="33"/>
        <v>20</v>
      </c>
      <c r="C253" s="123" t="str">
        <f t="shared" si="32"/>
        <v>Year-20</v>
      </c>
      <c r="D253" s="35">
        <v>51926</v>
      </c>
      <c r="E253" s="26">
        <f t="shared" si="39"/>
        <v>215.74576700000009</v>
      </c>
      <c r="F253" s="26">
        <f t="shared" si="39"/>
        <v>195.59891570000002</v>
      </c>
      <c r="G253" s="31">
        <f t="shared" si="38"/>
        <v>55791.740684909273</v>
      </c>
      <c r="H253" s="124">
        <f t="shared" si="40"/>
        <v>47.179622377374095</v>
      </c>
      <c r="I253" s="125">
        <f t="shared" si="40"/>
        <v>1.5306122448979553E-2</v>
      </c>
      <c r="J253" s="125">
        <f t="shared" si="40"/>
        <v>0.28000000000000003</v>
      </c>
      <c r="K253" s="125">
        <f t="shared" si="40"/>
        <v>9.4419706369976972E-2</v>
      </c>
      <c r="L253" s="125">
        <f t="shared" si="40"/>
        <v>1.4644787078611174E-2</v>
      </c>
      <c r="M253" s="125">
        <f t="shared" si="40"/>
        <v>1.6212630268737406E-2</v>
      </c>
      <c r="N253" s="125">
        <f t="shared" si="40"/>
        <v>2.0718676035686345E-2</v>
      </c>
      <c r="O253" s="125">
        <f t="shared" si="40"/>
        <v>0</v>
      </c>
      <c r="P253" s="125">
        <f t="shared" si="40"/>
        <v>2.3247057021314733E-2</v>
      </c>
      <c r="Q253" s="125">
        <f t="shared" si="40"/>
        <v>3.9222124133286969E-2</v>
      </c>
      <c r="R253" s="125">
        <f t="shared" si="40"/>
        <v>0.995</v>
      </c>
      <c r="S253" s="125">
        <f t="shared" si="40"/>
        <v>0.995</v>
      </c>
      <c r="T253" s="125">
        <f t="shared" si="40"/>
        <v>0</v>
      </c>
      <c r="U253" s="126"/>
      <c r="V253" s="126"/>
      <c r="W253" s="126"/>
      <c r="X253" s="126"/>
      <c r="Y253" s="126"/>
      <c r="Z253" s="126"/>
      <c r="AA253" s="126"/>
      <c r="AB253" s="126"/>
    </row>
    <row r="254" spans="1:28">
      <c r="A254" t="s">
        <v>2515</v>
      </c>
      <c r="B254" s="25">
        <f t="shared" si="33"/>
        <v>21</v>
      </c>
      <c r="C254" s="123" t="str">
        <f t="shared" si="32"/>
        <v>Year-21</v>
      </c>
      <c r="D254" s="35">
        <v>51957</v>
      </c>
      <c r="E254" s="26">
        <f t="shared" ref="E254:F269" si="41">E242</f>
        <v>215.9</v>
      </c>
      <c r="F254" s="26">
        <f t="shared" si="41"/>
        <v>208.99969899999999</v>
      </c>
      <c r="G254" s="31">
        <f t="shared" si="38"/>
        <v>53815.070937904959</v>
      </c>
      <c r="H254" s="124">
        <f t="shared" ref="H254:T269" si="42">H242</f>
        <v>52.296499350965128</v>
      </c>
      <c r="I254" s="125">
        <f t="shared" si="42"/>
        <v>1.6658954187875996E-2</v>
      </c>
      <c r="J254" s="125">
        <f t="shared" si="42"/>
        <v>0.28999999999999998</v>
      </c>
      <c r="K254" s="125">
        <f t="shared" si="42"/>
        <v>0.11719199751057031</v>
      </c>
      <c r="L254" s="125">
        <f t="shared" si="42"/>
        <v>1.5231272154623582E-2</v>
      </c>
      <c r="M254" s="125">
        <f t="shared" si="42"/>
        <v>1.6110689006976781E-2</v>
      </c>
      <c r="N254" s="125">
        <f t="shared" si="42"/>
        <v>1.8633277773980331E-2</v>
      </c>
      <c r="O254" s="125">
        <f t="shared" si="42"/>
        <v>0</v>
      </c>
      <c r="P254" s="125">
        <f t="shared" si="42"/>
        <v>2.2802418781094937E-2</v>
      </c>
      <c r="Q254" s="125">
        <f t="shared" si="42"/>
        <v>2.7995485693316467E-2</v>
      </c>
      <c r="R254" s="125">
        <f t="shared" si="42"/>
        <v>0.995</v>
      </c>
      <c r="S254" s="125">
        <f t="shared" si="42"/>
        <v>0.995</v>
      </c>
      <c r="T254" s="125">
        <f t="shared" si="42"/>
        <v>0</v>
      </c>
      <c r="U254" s="126"/>
      <c r="V254" s="126"/>
      <c r="W254" s="126"/>
      <c r="X254" s="126"/>
      <c r="Y254" s="126"/>
      <c r="Z254" s="126"/>
      <c r="AA254" s="126"/>
      <c r="AB254" s="126"/>
    </row>
    <row r="255" spans="1:28">
      <c r="A255" t="s">
        <v>2515</v>
      </c>
      <c r="B255" s="25">
        <f t="shared" si="33"/>
        <v>21</v>
      </c>
      <c r="C255" s="123" t="str">
        <f t="shared" si="32"/>
        <v>Year-21</v>
      </c>
      <c r="D255" s="35">
        <v>51987</v>
      </c>
      <c r="E255" s="26">
        <f t="shared" si="41"/>
        <v>217.9</v>
      </c>
      <c r="F255" s="26">
        <f t="shared" si="41"/>
        <v>221.90023470000006</v>
      </c>
      <c r="G255" s="31">
        <f t="shared" si="38"/>
        <v>56706.380394742759</v>
      </c>
      <c r="H255" s="124">
        <f t="shared" si="42"/>
        <v>55.437733860726389</v>
      </c>
      <c r="I255" s="125">
        <f t="shared" si="42"/>
        <v>1.7865322950068707E-2</v>
      </c>
      <c r="J255" s="125">
        <f t="shared" si="42"/>
        <v>0.3</v>
      </c>
      <c r="K255" s="125">
        <f t="shared" si="42"/>
        <v>0.1306817577748349</v>
      </c>
      <c r="L255" s="125">
        <f t="shared" si="42"/>
        <v>1.609339136491415E-2</v>
      </c>
      <c r="M255" s="125">
        <f t="shared" si="42"/>
        <v>1.525163145425878E-2</v>
      </c>
      <c r="N255" s="125">
        <f t="shared" si="42"/>
        <v>1.5763583972179196E-2</v>
      </c>
      <c r="O255" s="125">
        <f t="shared" si="42"/>
        <v>0</v>
      </c>
      <c r="P255" s="125">
        <f t="shared" si="42"/>
        <v>2.2281870794181511E-2</v>
      </c>
      <c r="Q255" s="125">
        <f t="shared" si="42"/>
        <v>1.1198342091846737E-2</v>
      </c>
      <c r="R255" s="125">
        <f t="shared" si="42"/>
        <v>0.995</v>
      </c>
      <c r="S255" s="125">
        <f t="shared" si="42"/>
        <v>0.995</v>
      </c>
      <c r="T255" s="125">
        <f t="shared" si="42"/>
        <v>0</v>
      </c>
      <c r="U255" s="126"/>
      <c r="V255" s="126"/>
      <c r="W255" s="126"/>
      <c r="X255" s="126"/>
      <c r="Y255" s="126"/>
      <c r="Z255" s="126"/>
      <c r="AA255" s="126"/>
      <c r="AB255" s="126"/>
    </row>
    <row r="256" spans="1:28">
      <c r="A256" t="s">
        <v>2515</v>
      </c>
      <c r="B256" s="25">
        <f t="shared" si="33"/>
        <v>21</v>
      </c>
      <c r="C256" s="123" t="str">
        <f t="shared" si="32"/>
        <v>Year-21</v>
      </c>
      <c r="D256" s="35">
        <v>52018</v>
      </c>
      <c r="E256" s="26">
        <f t="shared" si="41"/>
        <v>192.8</v>
      </c>
      <c r="F256" s="26">
        <f t="shared" si="41"/>
        <v>200.20089519999999</v>
      </c>
      <c r="G256" s="31">
        <f t="shared" si="38"/>
        <v>49289.942168949266</v>
      </c>
      <c r="H256" s="124">
        <f t="shared" si="42"/>
        <v>54.658309168315547</v>
      </c>
      <c r="I256" s="125">
        <f t="shared" si="42"/>
        <v>1.914123124676681E-2</v>
      </c>
      <c r="J256" s="125">
        <f t="shared" si="42"/>
        <v>0.3</v>
      </c>
      <c r="K256" s="125">
        <f t="shared" si="42"/>
        <v>0.12650723469382591</v>
      </c>
      <c r="L256" s="125">
        <f t="shared" si="42"/>
        <v>1.6398522844759341E-2</v>
      </c>
      <c r="M256" s="125">
        <f t="shared" si="42"/>
        <v>1.3926271600695752E-2</v>
      </c>
      <c r="N256" s="125">
        <f t="shared" si="42"/>
        <v>1.4057661793117321E-2</v>
      </c>
      <c r="O256" s="125">
        <f t="shared" si="42"/>
        <v>0</v>
      </c>
      <c r="P256" s="125">
        <f t="shared" si="42"/>
        <v>2.1677907023400757E-2</v>
      </c>
      <c r="Q256" s="125">
        <f t="shared" si="42"/>
        <v>4.051685061336731E-3</v>
      </c>
      <c r="R256" s="125">
        <f t="shared" si="42"/>
        <v>0.995</v>
      </c>
      <c r="S256" s="125">
        <f t="shared" si="42"/>
        <v>0.995</v>
      </c>
      <c r="T256" s="125">
        <f t="shared" si="42"/>
        <v>0</v>
      </c>
      <c r="U256" s="126"/>
      <c r="V256" s="126"/>
      <c r="W256" s="126"/>
      <c r="X256" s="126"/>
      <c r="Y256" s="126"/>
      <c r="Z256" s="126"/>
      <c r="AA256" s="126"/>
      <c r="AB256" s="126"/>
    </row>
    <row r="257" spans="1:28">
      <c r="A257" t="s">
        <v>2515</v>
      </c>
      <c r="B257" s="25">
        <f t="shared" si="33"/>
        <v>21</v>
      </c>
      <c r="C257" s="123" t="str">
        <f t="shared" si="32"/>
        <v>Year-21</v>
      </c>
      <c r="D257" s="35">
        <v>52048</v>
      </c>
      <c r="E257" s="26">
        <f t="shared" si="41"/>
        <v>168.9</v>
      </c>
      <c r="F257" s="26">
        <f t="shared" si="41"/>
        <v>173.59972409999992</v>
      </c>
      <c r="G257" s="31">
        <f t="shared" si="38"/>
        <v>45168.678847932824</v>
      </c>
      <c r="H257" s="124">
        <f t="shared" si="42"/>
        <v>51.564857066184757</v>
      </c>
      <c r="I257" s="125">
        <f t="shared" si="42"/>
        <v>2.1854695806261204E-2</v>
      </c>
      <c r="J257" s="125">
        <f t="shared" si="42"/>
        <v>0.28000000000000003</v>
      </c>
      <c r="K257" s="125">
        <f t="shared" si="42"/>
        <v>0.1089308468990661</v>
      </c>
      <c r="L257" s="125">
        <f t="shared" si="42"/>
        <v>1.5867586262633245E-2</v>
      </c>
      <c r="M257" s="125">
        <f t="shared" si="42"/>
        <v>1.231974144019694E-2</v>
      </c>
      <c r="N257" s="125">
        <f t="shared" si="42"/>
        <v>1.3502102014775261E-2</v>
      </c>
      <c r="O257" s="125">
        <f t="shared" si="42"/>
        <v>0</v>
      </c>
      <c r="P257" s="125">
        <f t="shared" si="42"/>
        <v>2.127320988616644E-2</v>
      </c>
      <c r="Q257" s="125">
        <f t="shared" si="42"/>
        <v>1.5557262066246368E-3</v>
      </c>
      <c r="R257" s="125">
        <f t="shared" si="42"/>
        <v>0.995</v>
      </c>
      <c r="S257" s="125">
        <f t="shared" si="42"/>
        <v>0.995</v>
      </c>
      <c r="T257" s="125">
        <f t="shared" si="42"/>
        <v>0</v>
      </c>
      <c r="U257" s="126"/>
      <c r="V257" s="126"/>
      <c r="W257" s="126"/>
      <c r="X257" s="126"/>
      <c r="Y257" s="126"/>
      <c r="Z257" s="126"/>
      <c r="AA257" s="126"/>
      <c r="AB257" s="126"/>
    </row>
    <row r="258" spans="1:28">
      <c r="A258" t="s">
        <v>2515</v>
      </c>
      <c r="B258" s="25">
        <f t="shared" si="33"/>
        <v>21</v>
      </c>
      <c r="C258" s="123" t="str">
        <f t="shared" ref="C258:C313" si="43">CONCATENATE("Year-",B258)</f>
        <v>Year-21</v>
      </c>
      <c r="D258" s="35">
        <v>52079</v>
      </c>
      <c r="E258" s="26">
        <f t="shared" si="41"/>
        <v>174.2</v>
      </c>
      <c r="F258" s="26">
        <f t="shared" si="41"/>
        <v>172.6001566000001</v>
      </c>
      <c r="G258" s="31">
        <f t="shared" si="38"/>
        <v>45985.588503991785</v>
      </c>
      <c r="H258" s="124">
        <f t="shared" si="42"/>
        <v>50.336592710430871</v>
      </c>
      <c r="I258" s="125">
        <f t="shared" si="42"/>
        <v>2.0196191575302946E-2</v>
      </c>
      <c r="J258" s="125">
        <f t="shared" si="42"/>
        <v>0.27</v>
      </c>
      <c r="K258" s="125">
        <f t="shared" si="42"/>
        <v>0.10494453414747008</v>
      </c>
      <c r="L258" s="125">
        <f t="shared" si="42"/>
        <v>1.507508977611231E-2</v>
      </c>
      <c r="M258" s="125">
        <f t="shared" si="42"/>
        <v>1.2791562311125756E-2</v>
      </c>
      <c r="N258" s="125">
        <f t="shared" si="42"/>
        <v>1.4116403195935955E-2</v>
      </c>
      <c r="O258" s="125">
        <f t="shared" si="42"/>
        <v>0</v>
      </c>
      <c r="P258" s="125">
        <f t="shared" si="42"/>
        <v>2.157456294953386E-2</v>
      </c>
      <c r="Q258" s="125">
        <f t="shared" si="42"/>
        <v>6.2818876990405415E-3</v>
      </c>
      <c r="R258" s="125">
        <f t="shared" si="42"/>
        <v>0.995</v>
      </c>
      <c r="S258" s="125">
        <f t="shared" si="42"/>
        <v>0.995</v>
      </c>
      <c r="T258" s="125">
        <f t="shared" si="42"/>
        <v>0</v>
      </c>
      <c r="U258" s="126"/>
      <c r="V258" s="126"/>
      <c r="W258" s="126"/>
      <c r="X258" s="126"/>
      <c r="Y258" s="126"/>
      <c r="Z258" s="126"/>
      <c r="AA258" s="126"/>
      <c r="AB258" s="126"/>
    </row>
    <row r="259" spans="1:28">
      <c r="A259" t="s">
        <v>2515</v>
      </c>
      <c r="B259" s="25">
        <f t="shared" si="33"/>
        <v>21</v>
      </c>
      <c r="C259" s="123" t="str">
        <f t="shared" si="43"/>
        <v>Year-21</v>
      </c>
      <c r="D259" s="35">
        <v>52110</v>
      </c>
      <c r="E259" s="26">
        <f t="shared" si="41"/>
        <v>192.1</v>
      </c>
      <c r="F259" s="26">
        <f t="shared" si="41"/>
        <v>178.89930529999984</v>
      </c>
      <c r="G259" s="31">
        <f t="shared" si="38"/>
        <v>48427.138711988126</v>
      </c>
      <c r="H259" s="124">
        <f t="shared" si="42"/>
        <v>52.25059433997491</v>
      </c>
      <c r="I259" s="125">
        <f t="shared" si="42"/>
        <v>1.7196456487754141E-2</v>
      </c>
      <c r="J259" s="125">
        <f t="shared" si="42"/>
        <v>0.26</v>
      </c>
      <c r="K259" s="125">
        <f t="shared" si="42"/>
        <v>0.11387126505657014</v>
      </c>
      <c r="L259" s="125">
        <f t="shared" si="42"/>
        <v>1.3959618092500629E-2</v>
      </c>
      <c r="M259" s="125">
        <f t="shared" si="42"/>
        <v>1.4531255376132731E-2</v>
      </c>
      <c r="N259" s="125">
        <f t="shared" si="42"/>
        <v>1.4478833500810966E-2</v>
      </c>
      <c r="O259" s="125">
        <f t="shared" si="42"/>
        <v>0</v>
      </c>
      <c r="P259" s="125">
        <f t="shared" si="42"/>
        <v>2.2473527643153385E-2</v>
      </c>
      <c r="Q259" s="125">
        <f t="shared" si="42"/>
        <v>1.1388926338936924E-2</v>
      </c>
      <c r="R259" s="125">
        <f t="shared" si="42"/>
        <v>0.995</v>
      </c>
      <c r="S259" s="125">
        <f t="shared" si="42"/>
        <v>0.995</v>
      </c>
      <c r="T259" s="125">
        <f t="shared" si="42"/>
        <v>0</v>
      </c>
      <c r="U259" s="126"/>
      <c r="V259" s="126"/>
      <c r="W259" s="126"/>
      <c r="X259" s="126"/>
      <c r="Y259" s="126"/>
      <c r="Z259" s="126"/>
      <c r="AA259" s="126"/>
      <c r="AB259" s="126"/>
    </row>
    <row r="260" spans="1:28">
      <c r="A260" t="s">
        <v>2515</v>
      </c>
      <c r="B260" s="25">
        <f t="shared" si="33"/>
        <v>21</v>
      </c>
      <c r="C260" s="123" t="str">
        <f t="shared" si="43"/>
        <v>Year-21</v>
      </c>
      <c r="D260" s="35">
        <v>52140</v>
      </c>
      <c r="E260" s="26">
        <f t="shared" si="41"/>
        <v>202.3</v>
      </c>
      <c r="F260" s="26">
        <f t="shared" si="41"/>
        <v>174.60082279999986</v>
      </c>
      <c r="G260" s="31">
        <f t="shared" si="38"/>
        <v>52493.329471921956</v>
      </c>
      <c r="H260" s="124">
        <f t="shared" si="42"/>
        <v>49.723937837075084</v>
      </c>
      <c r="I260" s="125">
        <f t="shared" si="42"/>
        <v>1.5873015873015817E-2</v>
      </c>
      <c r="J260" s="125">
        <f t="shared" si="42"/>
        <v>0.27</v>
      </c>
      <c r="K260" s="125">
        <f t="shared" si="42"/>
        <v>0.10390722673430232</v>
      </c>
      <c r="L260" s="125">
        <f t="shared" si="42"/>
        <v>1.4040704754284353E-2</v>
      </c>
      <c r="M260" s="125">
        <f t="shared" si="42"/>
        <v>1.526389492868482E-2</v>
      </c>
      <c r="N260" s="125">
        <f t="shared" si="42"/>
        <v>1.5324069649683622E-2</v>
      </c>
      <c r="O260" s="125">
        <f t="shared" si="42"/>
        <v>0</v>
      </c>
      <c r="P260" s="125">
        <f t="shared" si="42"/>
        <v>2.3043103417804571E-2</v>
      </c>
      <c r="Q260" s="125">
        <f t="shared" si="42"/>
        <v>2.1184397869334348E-2</v>
      </c>
      <c r="R260" s="125">
        <f t="shared" si="42"/>
        <v>0.995</v>
      </c>
      <c r="S260" s="125">
        <f t="shared" si="42"/>
        <v>0.995</v>
      </c>
      <c r="T260" s="125">
        <f t="shared" si="42"/>
        <v>0</v>
      </c>
      <c r="U260" s="126"/>
      <c r="V260" s="126"/>
      <c r="W260" s="126"/>
      <c r="X260" s="126"/>
      <c r="Y260" s="126"/>
      <c r="Z260" s="126"/>
      <c r="AA260" s="126"/>
      <c r="AB260" s="126"/>
    </row>
    <row r="261" spans="1:28">
      <c r="A261" t="s">
        <v>2515</v>
      </c>
      <c r="B261" s="25">
        <f t="shared" si="33"/>
        <v>21</v>
      </c>
      <c r="C261" s="123" t="str">
        <f t="shared" si="43"/>
        <v>Year-21</v>
      </c>
      <c r="D261" s="35">
        <v>52171</v>
      </c>
      <c r="E261" s="26">
        <f t="shared" si="41"/>
        <v>162.9</v>
      </c>
      <c r="F261" s="26">
        <f t="shared" si="41"/>
        <v>133.69942049999997</v>
      </c>
      <c r="G261" s="31">
        <f t="shared" si="38"/>
        <v>43048.38524625179</v>
      </c>
      <c r="H261" s="124">
        <f t="shared" si="42"/>
        <v>42.187120547750681</v>
      </c>
      <c r="I261" s="125">
        <f t="shared" si="42"/>
        <v>1.5950920245398792E-2</v>
      </c>
      <c r="J261" s="125">
        <f t="shared" si="42"/>
        <v>0.27</v>
      </c>
      <c r="K261" s="125">
        <f t="shared" si="42"/>
        <v>6.9024239591701744E-2</v>
      </c>
      <c r="L261" s="125">
        <f t="shared" si="42"/>
        <v>1.4204952105287192E-2</v>
      </c>
      <c r="M261" s="125">
        <f t="shared" si="42"/>
        <v>1.3252885058363056E-2</v>
      </c>
      <c r="N261" s="125">
        <f t="shared" si="42"/>
        <v>1.3980442883231779E-2</v>
      </c>
      <c r="O261" s="125">
        <f t="shared" si="42"/>
        <v>0</v>
      </c>
      <c r="P261" s="125">
        <f t="shared" si="42"/>
        <v>2.30208488716231E-2</v>
      </c>
      <c r="Q261" s="125">
        <f t="shared" si="42"/>
        <v>8.3479094998109554E-3</v>
      </c>
      <c r="R261" s="125">
        <f t="shared" si="42"/>
        <v>0.995</v>
      </c>
      <c r="S261" s="125">
        <f t="shared" si="42"/>
        <v>0.995</v>
      </c>
      <c r="T261" s="125">
        <f t="shared" si="42"/>
        <v>0</v>
      </c>
      <c r="U261" s="126"/>
      <c r="V261" s="126"/>
      <c r="W261" s="126"/>
      <c r="X261" s="126"/>
      <c r="Y261" s="126"/>
      <c r="Z261" s="126"/>
      <c r="AA261" s="126"/>
      <c r="AB261" s="126"/>
    </row>
    <row r="262" spans="1:28">
      <c r="A262" t="s">
        <v>2515</v>
      </c>
      <c r="B262" s="25">
        <f t="shared" si="33"/>
        <v>21</v>
      </c>
      <c r="C262" s="123" t="str">
        <f t="shared" si="43"/>
        <v>Year-21</v>
      </c>
      <c r="D262" s="35">
        <v>52201</v>
      </c>
      <c r="E262" s="26">
        <f t="shared" si="41"/>
        <v>158.6</v>
      </c>
      <c r="F262" s="26">
        <f t="shared" si="41"/>
        <v>124.40004220000003</v>
      </c>
      <c r="G262" s="31">
        <f t="shared" si="38"/>
        <v>44315.054151152173</v>
      </c>
      <c r="H262" s="124">
        <f t="shared" si="42"/>
        <v>36.076939444156181</v>
      </c>
      <c r="I262" s="125">
        <f t="shared" si="42"/>
        <v>1.5802781289506962E-2</v>
      </c>
      <c r="J262" s="125">
        <f t="shared" si="42"/>
        <v>0.27</v>
      </c>
      <c r="K262" s="125">
        <f t="shared" si="42"/>
        <v>4.4787946264861052E-2</v>
      </c>
      <c r="L262" s="125">
        <f t="shared" si="42"/>
        <v>1.4140595613406415E-2</v>
      </c>
      <c r="M262" s="125">
        <f t="shared" si="42"/>
        <v>1.2367081056294736E-2</v>
      </c>
      <c r="N262" s="125">
        <f t="shared" si="42"/>
        <v>1.3960975699298588E-2</v>
      </c>
      <c r="O262" s="125">
        <f t="shared" si="42"/>
        <v>0</v>
      </c>
      <c r="P262" s="125">
        <f t="shared" si="42"/>
        <v>2.3055036005913448E-2</v>
      </c>
      <c r="Q262" s="125">
        <f t="shared" si="42"/>
        <v>3.6978876304825567E-3</v>
      </c>
      <c r="R262" s="125">
        <f t="shared" si="42"/>
        <v>0.995</v>
      </c>
      <c r="S262" s="125">
        <f t="shared" si="42"/>
        <v>0.995</v>
      </c>
      <c r="T262" s="125">
        <f t="shared" si="42"/>
        <v>0</v>
      </c>
      <c r="U262" s="126"/>
      <c r="V262" s="126"/>
      <c r="W262" s="126"/>
      <c r="X262" s="126"/>
      <c r="Y262" s="126"/>
      <c r="Z262" s="126"/>
      <c r="AA262" s="126"/>
      <c r="AB262" s="126"/>
    </row>
    <row r="263" spans="1:28">
      <c r="A263" t="s">
        <v>2515</v>
      </c>
      <c r="B263" s="25">
        <f t="shared" si="33"/>
        <v>21</v>
      </c>
      <c r="C263" s="123" t="str">
        <f t="shared" si="43"/>
        <v>Year-21</v>
      </c>
      <c r="D263" s="35">
        <v>52232</v>
      </c>
      <c r="E263" s="26">
        <f t="shared" si="41"/>
        <v>169.028549</v>
      </c>
      <c r="F263" s="26">
        <f t="shared" si="41"/>
        <v>133.89933939999995</v>
      </c>
      <c r="G263" s="31">
        <f t="shared" si="38"/>
        <v>47050.324684922511</v>
      </c>
      <c r="H263" s="124">
        <f t="shared" si="42"/>
        <v>34.970332119021293</v>
      </c>
      <c r="I263" s="125">
        <f t="shared" si="42"/>
        <v>1.7200474495848161E-2</v>
      </c>
      <c r="J263" s="125">
        <f t="shared" si="42"/>
        <v>0.27</v>
      </c>
      <c r="K263" s="125">
        <f t="shared" si="42"/>
        <v>4.0029940128316385E-2</v>
      </c>
      <c r="L263" s="125">
        <f t="shared" si="42"/>
        <v>1.4099625889623608E-2</v>
      </c>
      <c r="M263" s="125">
        <f t="shared" si="42"/>
        <v>1.267725762135744E-2</v>
      </c>
      <c r="N263" s="125">
        <f t="shared" si="42"/>
        <v>1.390175346828215E-2</v>
      </c>
      <c r="O263" s="125">
        <f t="shared" si="42"/>
        <v>0</v>
      </c>
      <c r="P263" s="125">
        <f t="shared" si="42"/>
        <v>2.298066658515029E-2</v>
      </c>
      <c r="Q263" s="125">
        <f t="shared" si="42"/>
        <v>1.0644897972798715E-2</v>
      </c>
      <c r="R263" s="125">
        <f t="shared" si="42"/>
        <v>0.995</v>
      </c>
      <c r="S263" s="125">
        <f t="shared" si="42"/>
        <v>0.995</v>
      </c>
      <c r="T263" s="125">
        <f t="shared" si="42"/>
        <v>0</v>
      </c>
      <c r="U263" s="126"/>
      <c r="V263" s="126"/>
      <c r="W263" s="126"/>
      <c r="X263" s="126"/>
      <c r="Y263" s="126"/>
      <c r="Z263" s="126"/>
      <c r="AA263" s="126"/>
      <c r="AB263" s="126"/>
    </row>
    <row r="264" spans="1:28">
      <c r="A264" t="s">
        <v>2515</v>
      </c>
      <c r="B264" s="25">
        <f t="shared" si="33"/>
        <v>21</v>
      </c>
      <c r="C264" s="123" t="str">
        <f t="shared" si="43"/>
        <v>Year-21</v>
      </c>
      <c r="D264" s="35">
        <v>52263</v>
      </c>
      <c r="E264" s="26">
        <f t="shared" si="41"/>
        <v>172.55912190000004</v>
      </c>
      <c r="F264" s="26">
        <f t="shared" si="41"/>
        <v>145.40077080000009</v>
      </c>
      <c r="G264" s="31">
        <f t="shared" si="38"/>
        <v>43406.356893288837</v>
      </c>
      <c r="H264" s="124">
        <f t="shared" si="42"/>
        <v>40.252096455972236</v>
      </c>
      <c r="I264" s="125">
        <f t="shared" si="42"/>
        <v>1.510749564206848E-2</v>
      </c>
      <c r="J264" s="125">
        <f t="shared" si="42"/>
        <v>0.27</v>
      </c>
      <c r="K264" s="125">
        <f t="shared" si="42"/>
        <v>6.2111013936519133E-2</v>
      </c>
      <c r="L264" s="125">
        <f t="shared" si="42"/>
        <v>1.4175439055030284E-2</v>
      </c>
      <c r="M264" s="125">
        <f t="shared" si="42"/>
        <v>1.4384371816049681E-2</v>
      </c>
      <c r="N264" s="125">
        <f t="shared" si="42"/>
        <v>1.5915736744616871E-2</v>
      </c>
      <c r="O264" s="125">
        <f t="shared" si="42"/>
        <v>0</v>
      </c>
      <c r="P264" s="125">
        <f t="shared" si="42"/>
        <v>2.3268144471779773E-2</v>
      </c>
      <c r="Q264" s="125">
        <f t="shared" si="42"/>
        <v>2.5052142565085967E-2</v>
      </c>
      <c r="R264" s="125">
        <f t="shared" si="42"/>
        <v>0.995</v>
      </c>
      <c r="S264" s="125">
        <f t="shared" si="42"/>
        <v>0.995</v>
      </c>
      <c r="T264" s="125">
        <f t="shared" si="42"/>
        <v>0</v>
      </c>
      <c r="U264" s="126"/>
      <c r="V264" s="126"/>
      <c r="W264" s="126"/>
      <c r="X264" s="126"/>
      <c r="Y264" s="126"/>
      <c r="Z264" s="126"/>
      <c r="AA264" s="126"/>
      <c r="AB264" s="126"/>
    </row>
    <row r="265" spans="1:28">
      <c r="A265" t="s">
        <v>2515</v>
      </c>
      <c r="B265" s="25">
        <f t="shared" si="33"/>
        <v>21</v>
      </c>
      <c r="C265" s="123" t="str">
        <f t="shared" si="43"/>
        <v>Year-21</v>
      </c>
      <c r="D265" s="35">
        <v>52291</v>
      </c>
      <c r="E265" s="26">
        <f t="shared" si="41"/>
        <v>215.74576700000009</v>
      </c>
      <c r="F265" s="26">
        <f t="shared" si="41"/>
        <v>195.59891570000002</v>
      </c>
      <c r="G265" s="31">
        <f t="shared" si="38"/>
        <v>55540.677851827182</v>
      </c>
      <c r="H265" s="124">
        <f t="shared" si="42"/>
        <v>47.179622377374095</v>
      </c>
      <c r="I265" s="125">
        <f t="shared" si="42"/>
        <v>1.5306122448979553E-2</v>
      </c>
      <c r="J265" s="125">
        <f t="shared" si="42"/>
        <v>0.28000000000000003</v>
      </c>
      <c r="K265" s="125">
        <f t="shared" si="42"/>
        <v>9.4419706369976972E-2</v>
      </c>
      <c r="L265" s="125">
        <f t="shared" si="42"/>
        <v>1.4644787078611174E-2</v>
      </c>
      <c r="M265" s="125">
        <f t="shared" si="42"/>
        <v>1.6212630268737406E-2</v>
      </c>
      <c r="N265" s="125">
        <f t="shared" si="42"/>
        <v>2.0718676035686345E-2</v>
      </c>
      <c r="O265" s="125">
        <f t="shared" si="42"/>
        <v>0</v>
      </c>
      <c r="P265" s="125">
        <f t="shared" si="42"/>
        <v>2.3247057021314733E-2</v>
      </c>
      <c r="Q265" s="125">
        <f t="shared" si="42"/>
        <v>3.9222124133286969E-2</v>
      </c>
      <c r="R265" s="125">
        <f t="shared" si="42"/>
        <v>0.995</v>
      </c>
      <c r="S265" s="125">
        <f t="shared" si="42"/>
        <v>0.995</v>
      </c>
      <c r="T265" s="125">
        <f t="shared" si="42"/>
        <v>0</v>
      </c>
      <c r="U265" s="126"/>
      <c r="V265" s="126"/>
      <c r="W265" s="126"/>
      <c r="X265" s="126"/>
      <c r="Y265" s="126"/>
      <c r="Z265" s="126"/>
      <c r="AA265" s="126"/>
      <c r="AB265" s="126"/>
    </row>
    <row r="266" spans="1:28">
      <c r="A266" t="s">
        <v>2516</v>
      </c>
      <c r="B266" s="25">
        <f t="shared" si="33"/>
        <v>22</v>
      </c>
      <c r="C266" s="123" t="str">
        <f t="shared" si="43"/>
        <v>Year-22</v>
      </c>
      <c r="D266" s="35">
        <v>52322</v>
      </c>
      <c r="E266" s="26">
        <f t="shared" si="41"/>
        <v>215.9</v>
      </c>
      <c r="F266" s="26">
        <f t="shared" si="41"/>
        <v>208.99969899999999</v>
      </c>
      <c r="G266" s="31">
        <f t="shared" si="38"/>
        <v>53572.903118684386</v>
      </c>
      <c r="H266" s="124">
        <f t="shared" si="42"/>
        <v>52.296499350965128</v>
      </c>
      <c r="I266" s="125">
        <f t="shared" si="42"/>
        <v>1.6658954187875996E-2</v>
      </c>
      <c r="J266" s="125">
        <f t="shared" si="42"/>
        <v>0.28999999999999998</v>
      </c>
      <c r="K266" s="125">
        <f t="shared" si="42"/>
        <v>0.11719199751057031</v>
      </c>
      <c r="L266" s="125">
        <f t="shared" si="42"/>
        <v>1.5231272154623582E-2</v>
      </c>
      <c r="M266" s="125">
        <f t="shared" si="42"/>
        <v>1.6110689006976781E-2</v>
      </c>
      <c r="N266" s="125">
        <f t="shared" si="42"/>
        <v>1.8633277773980331E-2</v>
      </c>
      <c r="O266" s="125">
        <f t="shared" si="42"/>
        <v>0</v>
      </c>
      <c r="P266" s="125">
        <f t="shared" si="42"/>
        <v>2.2802418781094937E-2</v>
      </c>
      <c r="Q266" s="125">
        <f t="shared" si="42"/>
        <v>2.7995485693316467E-2</v>
      </c>
      <c r="R266" s="125">
        <f t="shared" si="42"/>
        <v>0.995</v>
      </c>
      <c r="S266" s="125">
        <f t="shared" si="42"/>
        <v>0.995</v>
      </c>
      <c r="T266" s="125">
        <f t="shared" si="42"/>
        <v>0</v>
      </c>
      <c r="U266" s="126"/>
      <c r="V266" s="126"/>
      <c r="W266" s="126"/>
      <c r="X266" s="126"/>
      <c r="Y266" s="126"/>
      <c r="Z266" s="126"/>
      <c r="AA266" s="126"/>
      <c r="AB266" s="126"/>
    </row>
    <row r="267" spans="1:28">
      <c r="A267" t="s">
        <v>2516</v>
      </c>
      <c r="B267" s="25">
        <f t="shared" si="33"/>
        <v>22</v>
      </c>
      <c r="C267" s="123" t="str">
        <f t="shared" si="43"/>
        <v>Year-22</v>
      </c>
      <c r="D267" s="35">
        <v>52352</v>
      </c>
      <c r="E267" s="26">
        <f t="shared" si="41"/>
        <v>217.9</v>
      </c>
      <c r="F267" s="26">
        <f t="shared" si="41"/>
        <v>221.90023470000006</v>
      </c>
      <c r="G267" s="31">
        <f t="shared" si="38"/>
        <v>56451.201682966421</v>
      </c>
      <c r="H267" s="124">
        <f t="shared" si="42"/>
        <v>55.437733860726389</v>
      </c>
      <c r="I267" s="125">
        <f t="shared" si="42"/>
        <v>1.7865322950068707E-2</v>
      </c>
      <c r="J267" s="125">
        <f t="shared" si="42"/>
        <v>0.3</v>
      </c>
      <c r="K267" s="125">
        <f t="shared" si="42"/>
        <v>0.1306817577748349</v>
      </c>
      <c r="L267" s="125">
        <f t="shared" si="42"/>
        <v>1.609339136491415E-2</v>
      </c>
      <c r="M267" s="125">
        <f t="shared" si="42"/>
        <v>1.525163145425878E-2</v>
      </c>
      <c r="N267" s="125">
        <f t="shared" si="42"/>
        <v>1.5763583972179196E-2</v>
      </c>
      <c r="O267" s="125">
        <f t="shared" si="42"/>
        <v>0</v>
      </c>
      <c r="P267" s="125">
        <f t="shared" si="42"/>
        <v>2.2281870794181511E-2</v>
      </c>
      <c r="Q267" s="125">
        <f t="shared" si="42"/>
        <v>1.1198342091846737E-2</v>
      </c>
      <c r="R267" s="125">
        <f t="shared" si="42"/>
        <v>0.995</v>
      </c>
      <c r="S267" s="125">
        <f t="shared" si="42"/>
        <v>0.995</v>
      </c>
      <c r="T267" s="125">
        <f t="shared" si="42"/>
        <v>0</v>
      </c>
      <c r="U267" s="126"/>
      <c r="V267" s="126"/>
      <c r="W267" s="126"/>
      <c r="X267" s="126"/>
      <c r="Y267" s="126"/>
      <c r="Z267" s="126"/>
      <c r="AA267" s="126"/>
      <c r="AB267" s="126"/>
    </row>
    <row r="268" spans="1:28">
      <c r="A268" t="s">
        <v>2516</v>
      </c>
      <c r="B268" s="25">
        <f t="shared" si="33"/>
        <v>22</v>
      </c>
      <c r="C268" s="123" t="str">
        <f t="shared" si="43"/>
        <v>Year-22</v>
      </c>
      <c r="D268" s="35">
        <v>52383</v>
      </c>
      <c r="E268" s="26">
        <f t="shared" si="41"/>
        <v>192.8</v>
      </c>
      <c r="F268" s="26">
        <f t="shared" si="41"/>
        <v>200.20089519999999</v>
      </c>
      <c r="G268" s="31">
        <f t="shared" si="38"/>
        <v>49068.137429188995</v>
      </c>
      <c r="H268" s="124">
        <f t="shared" si="42"/>
        <v>54.658309168315547</v>
      </c>
      <c r="I268" s="125">
        <f t="shared" si="42"/>
        <v>1.914123124676681E-2</v>
      </c>
      <c r="J268" s="125">
        <f t="shared" si="42"/>
        <v>0.3</v>
      </c>
      <c r="K268" s="125">
        <f t="shared" si="42"/>
        <v>0.12650723469382591</v>
      </c>
      <c r="L268" s="125">
        <f t="shared" si="42"/>
        <v>1.6398522844759341E-2</v>
      </c>
      <c r="M268" s="125">
        <f t="shared" si="42"/>
        <v>1.3926271600695752E-2</v>
      </c>
      <c r="N268" s="125">
        <f t="shared" si="42"/>
        <v>1.4057661793117321E-2</v>
      </c>
      <c r="O268" s="125">
        <f t="shared" si="42"/>
        <v>0</v>
      </c>
      <c r="P268" s="125">
        <f t="shared" si="42"/>
        <v>2.1677907023400757E-2</v>
      </c>
      <c r="Q268" s="125">
        <f t="shared" si="42"/>
        <v>4.051685061336731E-3</v>
      </c>
      <c r="R268" s="125">
        <f t="shared" si="42"/>
        <v>0.995</v>
      </c>
      <c r="S268" s="125">
        <f t="shared" si="42"/>
        <v>0.995</v>
      </c>
      <c r="T268" s="125">
        <f t="shared" si="42"/>
        <v>0</v>
      </c>
      <c r="U268" s="126"/>
      <c r="V268" s="126"/>
      <c r="W268" s="126"/>
      <c r="X268" s="126"/>
      <c r="Y268" s="126"/>
      <c r="Z268" s="126"/>
      <c r="AA268" s="126"/>
      <c r="AB268" s="126"/>
    </row>
    <row r="269" spans="1:28">
      <c r="A269" t="s">
        <v>2516</v>
      </c>
      <c r="B269" s="25">
        <f t="shared" si="33"/>
        <v>22</v>
      </c>
      <c r="C269" s="123" t="str">
        <f t="shared" si="43"/>
        <v>Year-22</v>
      </c>
      <c r="D269" s="35">
        <v>52413</v>
      </c>
      <c r="E269" s="26">
        <f t="shared" si="41"/>
        <v>168.9</v>
      </c>
      <c r="F269" s="26">
        <f t="shared" si="41"/>
        <v>173.59972409999992</v>
      </c>
      <c r="G269" s="31">
        <f t="shared" si="38"/>
        <v>44965.419793117129</v>
      </c>
      <c r="H269" s="124">
        <f t="shared" si="42"/>
        <v>51.564857066184757</v>
      </c>
      <c r="I269" s="125">
        <f t="shared" si="42"/>
        <v>2.1854695806261204E-2</v>
      </c>
      <c r="J269" s="125">
        <f t="shared" si="42"/>
        <v>0.28000000000000003</v>
      </c>
      <c r="K269" s="125">
        <f t="shared" si="42"/>
        <v>0.1089308468990661</v>
      </c>
      <c r="L269" s="125">
        <f t="shared" si="42"/>
        <v>1.5867586262633245E-2</v>
      </c>
      <c r="M269" s="125">
        <f t="shared" si="42"/>
        <v>1.231974144019694E-2</v>
      </c>
      <c r="N269" s="125">
        <f t="shared" si="42"/>
        <v>1.3502102014775261E-2</v>
      </c>
      <c r="O269" s="125">
        <f t="shared" si="42"/>
        <v>0</v>
      </c>
      <c r="P269" s="125">
        <f t="shared" si="42"/>
        <v>2.127320988616644E-2</v>
      </c>
      <c r="Q269" s="125">
        <f t="shared" si="42"/>
        <v>1.5557262066246368E-3</v>
      </c>
      <c r="R269" s="125">
        <f t="shared" si="42"/>
        <v>0.995</v>
      </c>
      <c r="S269" s="125">
        <f t="shared" si="42"/>
        <v>0.995</v>
      </c>
      <c r="T269" s="125">
        <f t="shared" si="42"/>
        <v>0</v>
      </c>
      <c r="U269" s="126"/>
      <c r="V269" s="126"/>
      <c r="W269" s="126"/>
      <c r="X269" s="126"/>
      <c r="Y269" s="126"/>
      <c r="Z269" s="126"/>
      <c r="AA269" s="126"/>
      <c r="AB269" s="126"/>
    </row>
    <row r="270" spans="1:28">
      <c r="A270" t="s">
        <v>2516</v>
      </c>
      <c r="B270" s="25">
        <f t="shared" ref="B270:B313" si="44">B258+1</f>
        <v>22</v>
      </c>
      <c r="C270" s="123" t="str">
        <f t="shared" si="43"/>
        <v>Year-22</v>
      </c>
      <c r="D270" s="35">
        <v>52444</v>
      </c>
      <c r="E270" s="26">
        <f t="shared" ref="E270:F285" si="45">E258</f>
        <v>174.2</v>
      </c>
      <c r="F270" s="26">
        <f t="shared" si="45"/>
        <v>172.6001566000001</v>
      </c>
      <c r="G270" s="31">
        <f t="shared" si="38"/>
        <v>45778.653355723822</v>
      </c>
      <c r="H270" s="124">
        <f t="shared" ref="H270:T285" si="46">H258</f>
        <v>50.336592710430871</v>
      </c>
      <c r="I270" s="125">
        <f t="shared" si="46"/>
        <v>2.0196191575302946E-2</v>
      </c>
      <c r="J270" s="125">
        <f t="shared" si="46"/>
        <v>0.27</v>
      </c>
      <c r="K270" s="125">
        <f t="shared" si="46"/>
        <v>0.10494453414747008</v>
      </c>
      <c r="L270" s="125">
        <f t="shared" si="46"/>
        <v>1.507508977611231E-2</v>
      </c>
      <c r="M270" s="125">
        <f t="shared" si="46"/>
        <v>1.2791562311125756E-2</v>
      </c>
      <c r="N270" s="125">
        <f t="shared" si="46"/>
        <v>1.4116403195935955E-2</v>
      </c>
      <c r="O270" s="125">
        <f t="shared" si="46"/>
        <v>0</v>
      </c>
      <c r="P270" s="125">
        <f t="shared" si="46"/>
        <v>2.157456294953386E-2</v>
      </c>
      <c r="Q270" s="125">
        <f t="shared" si="46"/>
        <v>6.2818876990405415E-3</v>
      </c>
      <c r="R270" s="125">
        <f t="shared" si="46"/>
        <v>0.995</v>
      </c>
      <c r="S270" s="125">
        <f t="shared" si="46"/>
        <v>0.995</v>
      </c>
      <c r="T270" s="125">
        <f t="shared" si="46"/>
        <v>0</v>
      </c>
      <c r="U270" s="126"/>
      <c r="V270" s="126"/>
      <c r="W270" s="126"/>
      <c r="X270" s="126"/>
      <c r="Y270" s="126"/>
      <c r="Z270" s="126"/>
      <c r="AA270" s="126"/>
      <c r="AB270" s="126"/>
    </row>
    <row r="271" spans="1:28">
      <c r="A271" t="s">
        <v>2516</v>
      </c>
      <c r="B271" s="25">
        <f t="shared" si="44"/>
        <v>22</v>
      </c>
      <c r="C271" s="123" t="str">
        <f t="shared" si="43"/>
        <v>Year-22</v>
      </c>
      <c r="D271" s="35">
        <v>52475</v>
      </c>
      <c r="E271" s="26">
        <f t="shared" si="45"/>
        <v>192.1</v>
      </c>
      <c r="F271" s="26">
        <f t="shared" si="45"/>
        <v>178.89930529999984</v>
      </c>
      <c r="G271" s="31">
        <f t="shared" si="38"/>
        <v>48209.216587784184</v>
      </c>
      <c r="H271" s="124">
        <f t="shared" si="46"/>
        <v>52.25059433997491</v>
      </c>
      <c r="I271" s="125">
        <f t="shared" si="46"/>
        <v>1.7196456487754141E-2</v>
      </c>
      <c r="J271" s="125">
        <f t="shared" si="46"/>
        <v>0.26</v>
      </c>
      <c r="K271" s="125">
        <f t="shared" si="46"/>
        <v>0.11387126505657014</v>
      </c>
      <c r="L271" s="125">
        <f t="shared" si="46"/>
        <v>1.3959618092500629E-2</v>
      </c>
      <c r="M271" s="125">
        <f t="shared" si="46"/>
        <v>1.4531255376132731E-2</v>
      </c>
      <c r="N271" s="125">
        <f t="shared" si="46"/>
        <v>1.4478833500810966E-2</v>
      </c>
      <c r="O271" s="125">
        <f t="shared" si="46"/>
        <v>0</v>
      </c>
      <c r="P271" s="125">
        <f t="shared" si="46"/>
        <v>2.2473527643153385E-2</v>
      </c>
      <c r="Q271" s="125">
        <f t="shared" si="46"/>
        <v>1.1388926338936924E-2</v>
      </c>
      <c r="R271" s="125">
        <f t="shared" si="46"/>
        <v>0.995</v>
      </c>
      <c r="S271" s="125">
        <f t="shared" si="46"/>
        <v>0.995</v>
      </c>
      <c r="T271" s="125">
        <f t="shared" si="46"/>
        <v>0</v>
      </c>
      <c r="U271" s="126"/>
      <c r="V271" s="126"/>
      <c r="W271" s="126"/>
      <c r="X271" s="126"/>
      <c r="Y271" s="126"/>
      <c r="Z271" s="126"/>
      <c r="AA271" s="126"/>
      <c r="AB271" s="126"/>
    </row>
    <row r="272" spans="1:28">
      <c r="A272" t="s">
        <v>2516</v>
      </c>
      <c r="B272" s="25">
        <f t="shared" si="44"/>
        <v>22</v>
      </c>
      <c r="C272" s="123" t="str">
        <f t="shared" si="43"/>
        <v>Year-22</v>
      </c>
      <c r="D272" s="35">
        <v>52505</v>
      </c>
      <c r="E272" s="26">
        <f t="shared" si="45"/>
        <v>202.3</v>
      </c>
      <c r="F272" s="26">
        <f t="shared" si="45"/>
        <v>174.60082279999986</v>
      </c>
      <c r="G272" s="31">
        <f t="shared" si="38"/>
        <v>52257.109489298309</v>
      </c>
      <c r="H272" s="124">
        <f t="shared" si="46"/>
        <v>49.723937837075084</v>
      </c>
      <c r="I272" s="125">
        <f t="shared" si="46"/>
        <v>1.5873015873015817E-2</v>
      </c>
      <c r="J272" s="125">
        <f t="shared" si="46"/>
        <v>0.27</v>
      </c>
      <c r="K272" s="125">
        <f t="shared" si="46"/>
        <v>0.10390722673430232</v>
      </c>
      <c r="L272" s="125">
        <f t="shared" si="46"/>
        <v>1.4040704754284353E-2</v>
      </c>
      <c r="M272" s="125">
        <f t="shared" si="46"/>
        <v>1.526389492868482E-2</v>
      </c>
      <c r="N272" s="125">
        <f t="shared" si="46"/>
        <v>1.5324069649683622E-2</v>
      </c>
      <c r="O272" s="125">
        <f t="shared" si="46"/>
        <v>0</v>
      </c>
      <c r="P272" s="125">
        <f t="shared" si="46"/>
        <v>2.3043103417804571E-2</v>
      </c>
      <c r="Q272" s="125">
        <f t="shared" si="46"/>
        <v>2.1184397869334348E-2</v>
      </c>
      <c r="R272" s="125">
        <f t="shared" si="46"/>
        <v>0.995</v>
      </c>
      <c r="S272" s="125">
        <f t="shared" si="46"/>
        <v>0.995</v>
      </c>
      <c r="T272" s="125">
        <f t="shared" si="46"/>
        <v>0</v>
      </c>
      <c r="U272" s="126"/>
      <c r="V272" s="126"/>
      <c r="W272" s="126"/>
      <c r="X272" s="126"/>
      <c r="Y272" s="126"/>
      <c r="Z272" s="126"/>
      <c r="AA272" s="126"/>
      <c r="AB272" s="126"/>
    </row>
    <row r="273" spans="1:28">
      <c r="A273" t="s">
        <v>2516</v>
      </c>
      <c r="B273" s="25">
        <f t="shared" si="44"/>
        <v>22</v>
      </c>
      <c r="C273" s="123" t="str">
        <f t="shared" si="43"/>
        <v>Year-22</v>
      </c>
      <c r="D273" s="35">
        <v>52536</v>
      </c>
      <c r="E273" s="26">
        <f t="shared" si="45"/>
        <v>162.9</v>
      </c>
      <c r="F273" s="26">
        <f t="shared" si="45"/>
        <v>133.69942049999997</v>
      </c>
      <c r="G273" s="31">
        <f t="shared" si="38"/>
        <v>42854.66751264366</v>
      </c>
      <c r="H273" s="124">
        <f t="shared" si="46"/>
        <v>42.187120547750681</v>
      </c>
      <c r="I273" s="125">
        <f t="shared" si="46"/>
        <v>1.5950920245398792E-2</v>
      </c>
      <c r="J273" s="125">
        <f t="shared" si="46"/>
        <v>0.27</v>
      </c>
      <c r="K273" s="125">
        <f t="shared" si="46"/>
        <v>6.9024239591701744E-2</v>
      </c>
      <c r="L273" s="125">
        <f t="shared" si="46"/>
        <v>1.4204952105287192E-2</v>
      </c>
      <c r="M273" s="125">
        <f t="shared" si="46"/>
        <v>1.3252885058363056E-2</v>
      </c>
      <c r="N273" s="125">
        <f t="shared" si="46"/>
        <v>1.3980442883231779E-2</v>
      </c>
      <c r="O273" s="125">
        <f t="shared" si="46"/>
        <v>0</v>
      </c>
      <c r="P273" s="125">
        <f t="shared" si="46"/>
        <v>2.30208488716231E-2</v>
      </c>
      <c r="Q273" s="125">
        <f t="shared" si="46"/>
        <v>8.3479094998109554E-3</v>
      </c>
      <c r="R273" s="125">
        <f t="shared" si="46"/>
        <v>0.995</v>
      </c>
      <c r="S273" s="125">
        <f t="shared" si="46"/>
        <v>0.995</v>
      </c>
      <c r="T273" s="125">
        <f t="shared" si="46"/>
        <v>0</v>
      </c>
      <c r="U273" s="126"/>
      <c r="V273" s="126"/>
      <c r="W273" s="126"/>
      <c r="X273" s="126"/>
      <c r="Y273" s="126"/>
      <c r="Z273" s="126"/>
      <c r="AA273" s="126"/>
      <c r="AB273" s="126"/>
    </row>
    <row r="274" spans="1:28">
      <c r="A274" t="s">
        <v>2516</v>
      </c>
      <c r="B274" s="25">
        <f t="shared" si="44"/>
        <v>22</v>
      </c>
      <c r="C274" s="123" t="str">
        <f t="shared" si="43"/>
        <v>Year-22</v>
      </c>
      <c r="D274" s="35">
        <v>52566</v>
      </c>
      <c r="E274" s="26">
        <f t="shared" si="45"/>
        <v>158.6</v>
      </c>
      <c r="F274" s="26">
        <f t="shared" si="45"/>
        <v>124.40004220000003</v>
      </c>
      <c r="G274" s="31">
        <f t="shared" si="38"/>
        <v>44115.63640747199</v>
      </c>
      <c r="H274" s="124">
        <f t="shared" si="46"/>
        <v>36.076939444156181</v>
      </c>
      <c r="I274" s="125">
        <f t="shared" si="46"/>
        <v>1.5802781289506962E-2</v>
      </c>
      <c r="J274" s="125">
        <f t="shared" si="46"/>
        <v>0.27</v>
      </c>
      <c r="K274" s="125">
        <f t="shared" si="46"/>
        <v>4.4787946264861052E-2</v>
      </c>
      <c r="L274" s="125">
        <f t="shared" si="46"/>
        <v>1.4140595613406415E-2</v>
      </c>
      <c r="M274" s="125">
        <f t="shared" si="46"/>
        <v>1.2367081056294736E-2</v>
      </c>
      <c r="N274" s="125">
        <f t="shared" si="46"/>
        <v>1.3960975699298588E-2</v>
      </c>
      <c r="O274" s="125">
        <f t="shared" si="46"/>
        <v>0</v>
      </c>
      <c r="P274" s="125">
        <f t="shared" si="46"/>
        <v>2.3055036005913448E-2</v>
      </c>
      <c r="Q274" s="125">
        <f t="shared" si="46"/>
        <v>3.6978876304825567E-3</v>
      </c>
      <c r="R274" s="125">
        <f t="shared" si="46"/>
        <v>0.995</v>
      </c>
      <c r="S274" s="125">
        <f t="shared" si="46"/>
        <v>0.995</v>
      </c>
      <c r="T274" s="125">
        <f t="shared" si="46"/>
        <v>0</v>
      </c>
      <c r="U274" s="126"/>
      <c r="V274" s="126"/>
      <c r="W274" s="126"/>
      <c r="X274" s="126"/>
      <c r="Y274" s="126"/>
      <c r="Z274" s="126"/>
      <c r="AA274" s="126"/>
      <c r="AB274" s="126"/>
    </row>
    <row r="275" spans="1:28">
      <c r="A275" t="s">
        <v>2516</v>
      </c>
      <c r="B275" s="25">
        <f t="shared" si="44"/>
        <v>22</v>
      </c>
      <c r="C275" s="123" t="str">
        <f t="shared" si="43"/>
        <v>Year-22</v>
      </c>
      <c r="D275" s="35">
        <v>52597</v>
      </c>
      <c r="E275" s="26">
        <f t="shared" si="45"/>
        <v>169.028549</v>
      </c>
      <c r="F275" s="26">
        <f t="shared" si="45"/>
        <v>133.89933939999995</v>
      </c>
      <c r="G275" s="31">
        <f t="shared" si="38"/>
        <v>46838.598223840359</v>
      </c>
      <c r="H275" s="124">
        <f t="shared" si="46"/>
        <v>34.970332119021293</v>
      </c>
      <c r="I275" s="125">
        <f t="shared" si="46"/>
        <v>1.7200474495848161E-2</v>
      </c>
      <c r="J275" s="125">
        <f t="shared" si="46"/>
        <v>0.27</v>
      </c>
      <c r="K275" s="125">
        <f t="shared" si="46"/>
        <v>4.0029940128316385E-2</v>
      </c>
      <c r="L275" s="125">
        <f t="shared" si="46"/>
        <v>1.4099625889623608E-2</v>
      </c>
      <c r="M275" s="125">
        <f t="shared" si="46"/>
        <v>1.267725762135744E-2</v>
      </c>
      <c r="N275" s="125">
        <f t="shared" si="46"/>
        <v>1.390175346828215E-2</v>
      </c>
      <c r="O275" s="125">
        <f t="shared" si="46"/>
        <v>0</v>
      </c>
      <c r="P275" s="125">
        <f t="shared" si="46"/>
        <v>2.298066658515029E-2</v>
      </c>
      <c r="Q275" s="125">
        <f t="shared" si="46"/>
        <v>1.0644897972798715E-2</v>
      </c>
      <c r="R275" s="125">
        <f t="shared" si="46"/>
        <v>0.995</v>
      </c>
      <c r="S275" s="125">
        <f t="shared" si="46"/>
        <v>0.995</v>
      </c>
      <c r="T275" s="125">
        <f t="shared" si="46"/>
        <v>0</v>
      </c>
      <c r="U275" s="126"/>
      <c r="V275" s="126"/>
      <c r="W275" s="126"/>
      <c r="X275" s="126"/>
      <c r="Y275" s="126"/>
      <c r="Z275" s="126"/>
      <c r="AA275" s="126"/>
      <c r="AB275" s="126"/>
    </row>
    <row r="276" spans="1:28">
      <c r="A276" t="s">
        <v>2516</v>
      </c>
      <c r="B276" s="25">
        <f t="shared" si="44"/>
        <v>22</v>
      </c>
      <c r="C276" s="123" t="str">
        <f t="shared" si="43"/>
        <v>Year-22</v>
      </c>
      <c r="D276" s="35">
        <v>52628</v>
      </c>
      <c r="E276" s="26">
        <f t="shared" si="45"/>
        <v>172.55912190000004</v>
      </c>
      <c r="F276" s="26">
        <f t="shared" si="45"/>
        <v>145.40077080000009</v>
      </c>
      <c r="G276" s="31">
        <f t="shared" si="38"/>
        <v>43211.028287269037</v>
      </c>
      <c r="H276" s="124">
        <f t="shared" si="46"/>
        <v>40.252096455972236</v>
      </c>
      <c r="I276" s="125">
        <f t="shared" si="46"/>
        <v>1.510749564206848E-2</v>
      </c>
      <c r="J276" s="125">
        <f t="shared" si="46"/>
        <v>0.27</v>
      </c>
      <c r="K276" s="125">
        <f t="shared" si="46"/>
        <v>6.2111013936519133E-2</v>
      </c>
      <c r="L276" s="125">
        <f t="shared" si="46"/>
        <v>1.4175439055030284E-2</v>
      </c>
      <c r="M276" s="125">
        <f t="shared" si="46"/>
        <v>1.4384371816049681E-2</v>
      </c>
      <c r="N276" s="125">
        <f t="shared" si="46"/>
        <v>1.5915736744616871E-2</v>
      </c>
      <c r="O276" s="125">
        <f t="shared" si="46"/>
        <v>0</v>
      </c>
      <c r="P276" s="125">
        <f t="shared" si="46"/>
        <v>2.3268144471779773E-2</v>
      </c>
      <c r="Q276" s="125">
        <f t="shared" si="46"/>
        <v>2.5052142565085967E-2</v>
      </c>
      <c r="R276" s="125">
        <f t="shared" si="46"/>
        <v>0.995</v>
      </c>
      <c r="S276" s="125">
        <f t="shared" si="46"/>
        <v>0.995</v>
      </c>
      <c r="T276" s="125">
        <f t="shared" si="46"/>
        <v>0</v>
      </c>
      <c r="U276" s="126"/>
      <c r="V276" s="126"/>
      <c r="W276" s="126"/>
      <c r="X276" s="126"/>
      <c r="Y276" s="126"/>
      <c r="Z276" s="126"/>
      <c r="AA276" s="126"/>
      <c r="AB276" s="126"/>
    </row>
    <row r="277" spans="1:28">
      <c r="A277" t="s">
        <v>2516</v>
      </c>
      <c r="B277" s="25">
        <f t="shared" si="44"/>
        <v>22</v>
      </c>
      <c r="C277" s="123" t="str">
        <f t="shared" si="43"/>
        <v>Year-22</v>
      </c>
      <c r="D277" s="35">
        <v>52657</v>
      </c>
      <c r="E277" s="26">
        <f t="shared" si="45"/>
        <v>215.74576700000009</v>
      </c>
      <c r="F277" s="26">
        <f t="shared" si="45"/>
        <v>195.59891570000002</v>
      </c>
      <c r="G277" s="31">
        <f t="shared" si="38"/>
        <v>55290.744801493965</v>
      </c>
      <c r="H277" s="124">
        <f t="shared" si="46"/>
        <v>47.179622377374095</v>
      </c>
      <c r="I277" s="125">
        <f t="shared" si="46"/>
        <v>1.5306122448979553E-2</v>
      </c>
      <c r="J277" s="125">
        <f t="shared" si="46"/>
        <v>0.28000000000000003</v>
      </c>
      <c r="K277" s="125">
        <f t="shared" si="46"/>
        <v>9.4419706369976972E-2</v>
      </c>
      <c r="L277" s="125">
        <f t="shared" si="46"/>
        <v>1.4644787078611174E-2</v>
      </c>
      <c r="M277" s="125">
        <f t="shared" si="46"/>
        <v>1.6212630268737406E-2</v>
      </c>
      <c r="N277" s="125">
        <f t="shared" si="46"/>
        <v>2.0718676035686345E-2</v>
      </c>
      <c r="O277" s="125">
        <f t="shared" si="46"/>
        <v>0</v>
      </c>
      <c r="P277" s="125">
        <f t="shared" si="46"/>
        <v>2.3247057021314733E-2</v>
      </c>
      <c r="Q277" s="125">
        <f t="shared" si="46"/>
        <v>3.9222124133286969E-2</v>
      </c>
      <c r="R277" s="125">
        <f t="shared" si="46"/>
        <v>0.995</v>
      </c>
      <c r="S277" s="125">
        <f t="shared" si="46"/>
        <v>0.995</v>
      </c>
      <c r="T277" s="125">
        <f t="shared" si="46"/>
        <v>0</v>
      </c>
      <c r="U277" s="126"/>
      <c r="V277" s="126"/>
      <c r="W277" s="126"/>
      <c r="X277" s="126"/>
      <c r="Y277" s="126"/>
      <c r="Z277" s="126"/>
      <c r="AA277" s="126"/>
      <c r="AB277" s="126"/>
    </row>
    <row r="278" spans="1:28">
      <c r="A278" t="s">
        <v>2517</v>
      </c>
      <c r="B278" s="25">
        <f t="shared" si="44"/>
        <v>23</v>
      </c>
      <c r="C278" s="123" t="str">
        <f t="shared" si="43"/>
        <v>Year-23</v>
      </c>
      <c r="D278" s="35">
        <v>52688</v>
      </c>
      <c r="E278" s="26">
        <f t="shared" si="45"/>
        <v>215.9</v>
      </c>
      <c r="F278" s="26">
        <f t="shared" si="45"/>
        <v>208.99969899999999</v>
      </c>
      <c r="G278" s="31">
        <f t="shared" si="38"/>
        <v>53331.825054650311</v>
      </c>
      <c r="H278" s="124">
        <f t="shared" si="46"/>
        <v>52.296499350965128</v>
      </c>
      <c r="I278" s="125">
        <f t="shared" si="46"/>
        <v>1.6658954187875996E-2</v>
      </c>
      <c r="J278" s="125">
        <f t="shared" si="46"/>
        <v>0.28999999999999998</v>
      </c>
      <c r="K278" s="125">
        <f t="shared" si="46"/>
        <v>0.11719199751057031</v>
      </c>
      <c r="L278" s="125">
        <f t="shared" si="46"/>
        <v>1.5231272154623582E-2</v>
      </c>
      <c r="M278" s="125">
        <f t="shared" si="46"/>
        <v>1.6110689006976781E-2</v>
      </c>
      <c r="N278" s="125">
        <f t="shared" si="46"/>
        <v>1.8633277773980331E-2</v>
      </c>
      <c r="O278" s="125">
        <f t="shared" si="46"/>
        <v>0</v>
      </c>
      <c r="P278" s="125">
        <f t="shared" si="46"/>
        <v>2.2802418781094937E-2</v>
      </c>
      <c r="Q278" s="125">
        <f t="shared" si="46"/>
        <v>2.7995485693316467E-2</v>
      </c>
      <c r="R278" s="125">
        <f t="shared" si="46"/>
        <v>0.995</v>
      </c>
      <c r="S278" s="125">
        <f t="shared" si="46"/>
        <v>0.995</v>
      </c>
      <c r="T278" s="125">
        <f t="shared" si="46"/>
        <v>0</v>
      </c>
      <c r="U278" s="126"/>
      <c r="V278" s="126"/>
      <c r="W278" s="126"/>
      <c r="X278" s="126"/>
      <c r="Y278" s="126"/>
      <c r="Z278" s="126"/>
      <c r="AA278" s="126"/>
      <c r="AB278" s="126"/>
    </row>
    <row r="279" spans="1:28">
      <c r="A279" t="s">
        <v>2517</v>
      </c>
      <c r="B279" s="25">
        <f t="shared" si="44"/>
        <v>23</v>
      </c>
      <c r="C279" s="123" t="str">
        <f t="shared" si="43"/>
        <v>Year-23</v>
      </c>
      <c r="D279" s="35">
        <v>52718</v>
      </c>
      <c r="E279" s="26">
        <f t="shared" si="45"/>
        <v>217.9</v>
      </c>
      <c r="F279" s="26">
        <f t="shared" si="45"/>
        <v>221.90023470000006</v>
      </c>
      <c r="G279" s="31">
        <f t="shared" si="38"/>
        <v>56197.171275393077</v>
      </c>
      <c r="H279" s="124">
        <f t="shared" si="46"/>
        <v>55.437733860726389</v>
      </c>
      <c r="I279" s="125">
        <f t="shared" si="46"/>
        <v>1.7865322950068707E-2</v>
      </c>
      <c r="J279" s="125">
        <f t="shared" si="46"/>
        <v>0.3</v>
      </c>
      <c r="K279" s="125">
        <f t="shared" si="46"/>
        <v>0.1306817577748349</v>
      </c>
      <c r="L279" s="125">
        <f t="shared" si="46"/>
        <v>1.609339136491415E-2</v>
      </c>
      <c r="M279" s="125">
        <f t="shared" si="46"/>
        <v>1.525163145425878E-2</v>
      </c>
      <c r="N279" s="125">
        <f t="shared" si="46"/>
        <v>1.5763583972179196E-2</v>
      </c>
      <c r="O279" s="125">
        <f t="shared" si="46"/>
        <v>0</v>
      </c>
      <c r="P279" s="125">
        <f t="shared" si="46"/>
        <v>2.2281870794181511E-2</v>
      </c>
      <c r="Q279" s="125">
        <f t="shared" si="46"/>
        <v>1.1198342091846737E-2</v>
      </c>
      <c r="R279" s="125">
        <f t="shared" si="46"/>
        <v>0.995</v>
      </c>
      <c r="S279" s="125">
        <f t="shared" si="46"/>
        <v>0.995</v>
      </c>
      <c r="T279" s="125">
        <f t="shared" si="46"/>
        <v>0</v>
      </c>
      <c r="U279" s="126"/>
      <c r="V279" s="126"/>
      <c r="W279" s="126"/>
      <c r="X279" s="126"/>
      <c r="Y279" s="126"/>
      <c r="Z279" s="126"/>
      <c r="AA279" s="126"/>
      <c r="AB279" s="126"/>
    </row>
    <row r="280" spans="1:28">
      <c r="A280" t="s">
        <v>2517</v>
      </c>
      <c r="B280" s="25">
        <f t="shared" si="44"/>
        <v>23</v>
      </c>
      <c r="C280" s="123" t="str">
        <f t="shared" si="43"/>
        <v>Year-23</v>
      </c>
      <c r="D280" s="35">
        <v>52749</v>
      </c>
      <c r="E280" s="26">
        <f t="shared" si="45"/>
        <v>192.8</v>
      </c>
      <c r="F280" s="26">
        <f t="shared" si="45"/>
        <v>200.20089519999999</v>
      </c>
      <c r="G280" s="31">
        <f t="shared" si="38"/>
        <v>48847.330810757645</v>
      </c>
      <c r="H280" s="124">
        <f t="shared" si="46"/>
        <v>54.658309168315547</v>
      </c>
      <c r="I280" s="125">
        <f t="shared" si="46"/>
        <v>1.914123124676681E-2</v>
      </c>
      <c r="J280" s="125">
        <f t="shared" si="46"/>
        <v>0.3</v>
      </c>
      <c r="K280" s="125">
        <f t="shared" si="46"/>
        <v>0.12650723469382591</v>
      </c>
      <c r="L280" s="125">
        <f t="shared" si="46"/>
        <v>1.6398522844759341E-2</v>
      </c>
      <c r="M280" s="125">
        <f t="shared" si="46"/>
        <v>1.3926271600695752E-2</v>
      </c>
      <c r="N280" s="125">
        <f t="shared" si="46"/>
        <v>1.4057661793117321E-2</v>
      </c>
      <c r="O280" s="125">
        <f t="shared" si="46"/>
        <v>0</v>
      </c>
      <c r="P280" s="125">
        <f t="shared" si="46"/>
        <v>2.1677907023400757E-2</v>
      </c>
      <c r="Q280" s="125">
        <f t="shared" si="46"/>
        <v>4.051685061336731E-3</v>
      </c>
      <c r="R280" s="125">
        <f t="shared" si="46"/>
        <v>0.995</v>
      </c>
      <c r="S280" s="125">
        <f t="shared" si="46"/>
        <v>0.995</v>
      </c>
      <c r="T280" s="125">
        <f t="shared" si="46"/>
        <v>0</v>
      </c>
      <c r="U280" s="126"/>
      <c r="V280" s="126"/>
      <c r="W280" s="126"/>
      <c r="X280" s="126"/>
      <c r="Y280" s="126"/>
      <c r="Z280" s="126"/>
      <c r="AA280" s="126"/>
      <c r="AB280" s="126"/>
    </row>
    <row r="281" spans="1:28">
      <c r="A281" t="s">
        <v>2517</v>
      </c>
      <c r="B281" s="25">
        <f t="shared" si="44"/>
        <v>23</v>
      </c>
      <c r="C281" s="123" t="str">
        <f t="shared" si="43"/>
        <v>Year-23</v>
      </c>
      <c r="D281" s="35">
        <v>52779</v>
      </c>
      <c r="E281" s="26">
        <f t="shared" si="45"/>
        <v>168.9</v>
      </c>
      <c r="F281" s="26">
        <f t="shared" si="45"/>
        <v>173.59972409999992</v>
      </c>
      <c r="G281" s="31">
        <f t="shared" si="38"/>
        <v>44763.075404048104</v>
      </c>
      <c r="H281" s="124">
        <f t="shared" si="46"/>
        <v>51.564857066184757</v>
      </c>
      <c r="I281" s="125">
        <f t="shared" si="46"/>
        <v>2.1854695806261204E-2</v>
      </c>
      <c r="J281" s="125">
        <f t="shared" si="46"/>
        <v>0.28000000000000003</v>
      </c>
      <c r="K281" s="125">
        <f t="shared" si="46"/>
        <v>0.1089308468990661</v>
      </c>
      <c r="L281" s="125">
        <f t="shared" si="46"/>
        <v>1.5867586262633245E-2</v>
      </c>
      <c r="M281" s="125">
        <f t="shared" si="46"/>
        <v>1.231974144019694E-2</v>
      </c>
      <c r="N281" s="125">
        <f t="shared" si="46"/>
        <v>1.3502102014775261E-2</v>
      </c>
      <c r="O281" s="125">
        <f t="shared" si="46"/>
        <v>0</v>
      </c>
      <c r="P281" s="125">
        <f t="shared" si="46"/>
        <v>2.127320988616644E-2</v>
      </c>
      <c r="Q281" s="125">
        <f t="shared" si="46"/>
        <v>1.5557262066246368E-3</v>
      </c>
      <c r="R281" s="125">
        <f t="shared" si="46"/>
        <v>0.995</v>
      </c>
      <c r="S281" s="125">
        <f t="shared" si="46"/>
        <v>0.995</v>
      </c>
      <c r="T281" s="125">
        <f t="shared" si="46"/>
        <v>0</v>
      </c>
      <c r="U281" s="126"/>
      <c r="V281" s="126"/>
      <c r="W281" s="126"/>
      <c r="X281" s="126"/>
      <c r="Y281" s="126"/>
      <c r="Z281" s="126"/>
      <c r="AA281" s="126"/>
      <c r="AB281" s="126"/>
    </row>
    <row r="282" spans="1:28">
      <c r="A282" t="s">
        <v>2517</v>
      </c>
      <c r="B282" s="25">
        <f t="shared" si="44"/>
        <v>23</v>
      </c>
      <c r="C282" s="123" t="str">
        <f t="shared" si="43"/>
        <v>Year-23</v>
      </c>
      <c r="D282" s="35">
        <v>52810</v>
      </c>
      <c r="E282" s="26">
        <f t="shared" si="45"/>
        <v>174.2</v>
      </c>
      <c r="F282" s="26">
        <f t="shared" si="45"/>
        <v>172.6001566000001</v>
      </c>
      <c r="G282" s="31">
        <f t="shared" si="38"/>
        <v>45572.649415623069</v>
      </c>
      <c r="H282" s="124">
        <f t="shared" si="46"/>
        <v>50.336592710430871</v>
      </c>
      <c r="I282" s="125">
        <f t="shared" si="46"/>
        <v>2.0196191575302946E-2</v>
      </c>
      <c r="J282" s="125">
        <f t="shared" si="46"/>
        <v>0.27</v>
      </c>
      <c r="K282" s="125">
        <f t="shared" si="46"/>
        <v>0.10494453414747008</v>
      </c>
      <c r="L282" s="125">
        <f t="shared" si="46"/>
        <v>1.507508977611231E-2</v>
      </c>
      <c r="M282" s="125">
        <f t="shared" si="46"/>
        <v>1.2791562311125756E-2</v>
      </c>
      <c r="N282" s="125">
        <f t="shared" si="46"/>
        <v>1.4116403195935955E-2</v>
      </c>
      <c r="O282" s="125">
        <f t="shared" si="46"/>
        <v>0</v>
      </c>
      <c r="P282" s="125">
        <f t="shared" si="46"/>
        <v>2.157456294953386E-2</v>
      </c>
      <c r="Q282" s="125">
        <f t="shared" si="46"/>
        <v>6.2818876990405415E-3</v>
      </c>
      <c r="R282" s="125">
        <f t="shared" si="46"/>
        <v>0.995</v>
      </c>
      <c r="S282" s="125">
        <f t="shared" si="46"/>
        <v>0.995</v>
      </c>
      <c r="T282" s="125">
        <f t="shared" si="46"/>
        <v>0</v>
      </c>
      <c r="U282" s="126"/>
      <c r="V282" s="126"/>
      <c r="W282" s="126"/>
      <c r="X282" s="126"/>
      <c r="Y282" s="126"/>
      <c r="Z282" s="126"/>
      <c r="AA282" s="126"/>
      <c r="AB282" s="126"/>
    </row>
    <row r="283" spans="1:28">
      <c r="A283" t="s">
        <v>2517</v>
      </c>
      <c r="B283" s="25">
        <f t="shared" si="44"/>
        <v>23</v>
      </c>
      <c r="C283" s="123" t="str">
        <f t="shared" si="43"/>
        <v>Year-23</v>
      </c>
      <c r="D283" s="35">
        <v>52841</v>
      </c>
      <c r="E283" s="26">
        <f t="shared" si="45"/>
        <v>192.1</v>
      </c>
      <c r="F283" s="26">
        <f t="shared" si="45"/>
        <v>178.89930529999984</v>
      </c>
      <c r="G283" s="31">
        <f t="shared" si="38"/>
        <v>47992.275113139156</v>
      </c>
      <c r="H283" s="124">
        <f t="shared" si="46"/>
        <v>52.25059433997491</v>
      </c>
      <c r="I283" s="125">
        <f t="shared" si="46"/>
        <v>1.7196456487754141E-2</v>
      </c>
      <c r="J283" s="125">
        <f t="shared" si="46"/>
        <v>0.26</v>
      </c>
      <c r="K283" s="125">
        <f t="shared" si="46"/>
        <v>0.11387126505657014</v>
      </c>
      <c r="L283" s="125">
        <f t="shared" si="46"/>
        <v>1.3959618092500629E-2</v>
      </c>
      <c r="M283" s="125">
        <f t="shared" si="46"/>
        <v>1.4531255376132731E-2</v>
      </c>
      <c r="N283" s="125">
        <f t="shared" si="46"/>
        <v>1.4478833500810966E-2</v>
      </c>
      <c r="O283" s="125">
        <f t="shared" si="46"/>
        <v>0</v>
      </c>
      <c r="P283" s="125">
        <f t="shared" si="46"/>
        <v>2.2473527643153385E-2</v>
      </c>
      <c r="Q283" s="125">
        <f t="shared" si="46"/>
        <v>1.1388926338936924E-2</v>
      </c>
      <c r="R283" s="125">
        <f t="shared" si="46"/>
        <v>0.995</v>
      </c>
      <c r="S283" s="125">
        <f t="shared" si="46"/>
        <v>0.995</v>
      </c>
      <c r="T283" s="125">
        <f t="shared" si="46"/>
        <v>0</v>
      </c>
      <c r="U283" s="126"/>
      <c r="V283" s="126"/>
      <c r="W283" s="126"/>
      <c r="X283" s="126"/>
      <c r="Y283" s="126"/>
      <c r="Z283" s="126"/>
      <c r="AA283" s="126"/>
      <c r="AB283" s="126"/>
    </row>
    <row r="284" spans="1:28">
      <c r="A284" t="s">
        <v>2517</v>
      </c>
      <c r="B284" s="25">
        <f t="shared" si="44"/>
        <v>23</v>
      </c>
      <c r="C284" s="123" t="str">
        <f t="shared" si="43"/>
        <v>Year-23</v>
      </c>
      <c r="D284" s="35">
        <v>52871</v>
      </c>
      <c r="E284" s="26">
        <f t="shared" si="45"/>
        <v>202.3</v>
      </c>
      <c r="F284" s="26">
        <f t="shared" si="45"/>
        <v>174.60082279999986</v>
      </c>
      <c r="G284" s="31">
        <f t="shared" si="38"/>
        <v>52021.952496596467</v>
      </c>
      <c r="H284" s="124">
        <f t="shared" si="46"/>
        <v>49.723937837075084</v>
      </c>
      <c r="I284" s="125">
        <f t="shared" si="46"/>
        <v>1.5873015873015817E-2</v>
      </c>
      <c r="J284" s="125">
        <f t="shared" si="46"/>
        <v>0.27</v>
      </c>
      <c r="K284" s="125">
        <f t="shared" si="46"/>
        <v>0.10390722673430232</v>
      </c>
      <c r="L284" s="125">
        <f t="shared" si="46"/>
        <v>1.4040704754284353E-2</v>
      </c>
      <c r="M284" s="125">
        <f t="shared" si="46"/>
        <v>1.526389492868482E-2</v>
      </c>
      <c r="N284" s="125">
        <f t="shared" si="46"/>
        <v>1.5324069649683622E-2</v>
      </c>
      <c r="O284" s="125">
        <f t="shared" si="46"/>
        <v>0</v>
      </c>
      <c r="P284" s="125">
        <f t="shared" si="46"/>
        <v>2.3043103417804571E-2</v>
      </c>
      <c r="Q284" s="125">
        <f t="shared" si="46"/>
        <v>2.1184397869334348E-2</v>
      </c>
      <c r="R284" s="125">
        <f t="shared" si="46"/>
        <v>0.995</v>
      </c>
      <c r="S284" s="125">
        <f t="shared" si="46"/>
        <v>0.995</v>
      </c>
      <c r="T284" s="125">
        <f t="shared" si="46"/>
        <v>0</v>
      </c>
      <c r="U284" s="126"/>
      <c r="V284" s="126"/>
      <c r="W284" s="126"/>
      <c r="X284" s="126"/>
      <c r="Y284" s="126"/>
      <c r="Z284" s="126"/>
      <c r="AA284" s="126"/>
      <c r="AB284" s="126"/>
    </row>
    <row r="285" spans="1:28">
      <c r="A285" t="s">
        <v>2517</v>
      </c>
      <c r="B285" s="25">
        <f t="shared" si="44"/>
        <v>23</v>
      </c>
      <c r="C285" s="123" t="str">
        <f t="shared" si="43"/>
        <v>Year-23</v>
      </c>
      <c r="D285" s="35">
        <v>52902</v>
      </c>
      <c r="E285" s="26">
        <f t="shared" si="45"/>
        <v>162.9</v>
      </c>
      <c r="F285" s="26">
        <f t="shared" si="45"/>
        <v>133.69942049999997</v>
      </c>
      <c r="G285" s="31">
        <f t="shared" si="38"/>
        <v>42661.821508836765</v>
      </c>
      <c r="H285" s="124">
        <f t="shared" si="46"/>
        <v>42.187120547750681</v>
      </c>
      <c r="I285" s="125">
        <f t="shared" si="46"/>
        <v>1.5950920245398792E-2</v>
      </c>
      <c r="J285" s="125">
        <f t="shared" si="46"/>
        <v>0.27</v>
      </c>
      <c r="K285" s="125">
        <f t="shared" si="46"/>
        <v>6.9024239591701744E-2</v>
      </c>
      <c r="L285" s="125">
        <f t="shared" si="46"/>
        <v>1.4204952105287192E-2</v>
      </c>
      <c r="M285" s="125">
        <f t="shared" si="46"/>
        <v>1.3252885058363056E-2</v>
      </c>
      <c r="N285" s="125">
        <f t="shared" si="46"/>
        <v>1.3980442883231779E-2</v>
      </c>
      <c r="O285" s="125">
        <f t="shared" si="46"/>
        <v>0</v>
      </c>
      <c r="P285" s="125">
        <f t="shared" si="46"/>
        <v>2.30208488716231E-2</v>
      </c>
      <c r="Q285" s="125">
        <f t="shared" si="46"/>
        <v>8.3479094998109554E-3</v>
      </c>
      <c r="R285" s="125">
        <f t="shared" si="46"/>
        <v>0.995</v>
      </c>
      <c r="S285" s="125">
        <f t="shared" si="46"/>
        <v>0.995</v>
      </c>
      <c r="T285" s="125">
        <f t="shared" si="46"/>
        <v>0</v>
      </c>
      <c r="U285" s="126"/>
      <c r="V285" s="126"/>
      <c r="W285" s="126"/>
      <c r="X285" s="126"/>
      <c r="Y285" s="126"/>
      <c r="Z285" s="126"/>
      <c r="AA285" s="126"/>
      <c r="AB285" s="126"/>
    </row>
    <row r="286" spans="1:28">
      <c r="A286" t="s">
        <v>2517</v>
      </c>
      <c r="B286" s="25">
        <f t="shared" si="44"/>
        <v>23</v>
      </c>
      <c r="C286" s="123" t="str">
        <f t="shared" si="43"/>
        <v>Year-23</v>
      </c>
      <c r="D286" s="35">
        <v>52932</v>
      </c>
      <c r="E286" s="26">
        <f t="shared" ref="E286:F301" si="47">E274</f>
        <v>158.6</v>
      </c>
      <c r="F286" s="26">
        <f t="shared" si="47"/>
        <v>124.40004220000003</v>
      </c>
      <c r="G286" s="31">
        <f t="shared" si="38"/>
        <v>43917.116043638365</v>
      </c>
      <c r="H286" s="124">
        <f t="shared" ref="H286:T301" si="48">H274</f>
        <v>36.076939444156181</v>
      </c>
      <c r="I286" s="125">
        <f t="shared" si="48"/>
        <v>1.5802781289506962E-2</v>
      </c>
      <c r="J286" s="125">
        <f t="shared" si="48"/>
        <v>0.27</v>
      </c>
      <c r="K286" s="125">
        <f t="shared" si="48"/>
        <v>4.4787946264861052E-2</v>
      </c>
      <c r="L286" s="125">
        <f t="shared" si="48"/>
        <v>1.4140595613406415E-2</v>
      </c>
      <c r="M286" s="125">
        <f t="shared" si="48"/>
        <v>1.2367081056294736E-2</v>
      </c>
      <c r="N286" s="125">
        <f t="shared" si="48"/>
        <v>1.3960975699298588E-2</v>
      </c>
      <c r="O286" s="125">
        <f t="shared" si="48"/>
        <v>0</v>
      </c>
      <c r="P286" s="125">
        <f t="shared" si="48"/>
        <v>2.3055036005913448E-2</v>
      </c>
      <c r="Q286" s="125">
        <f t="shared" si="48"/>
        <v>3.6978876304825567E-3</v>
      </c>
      <c r="R286" s="125">
        <f t="shared" si="48"/>
        <v>0.995</v>
      </c>
      <c r="S286" s="125">
        <f t="shared" si="48"/>
        <v>0.995</v>
      </c>
      <c r="T286" s="125">
        <f t="shared" si="48"/>
        <v>0</v>
      </c>
      <c r="U286" s="126"/>
      <c r="V286" s="126"/>
      <c r="W286" s="126"/>
      <c r="X286" s="126"/>
      <c r="Y286" s="126"/>
      <c r="Z286" s="126"/>
      <c r="AA286" s="126"/>
      <c r="AB286" s="126"/>
    </row>
    <row r="287" spans="1:28">
      <c r="A287" t="s">
        <v>2517</v>
      </c>
      <c r="B287" s="25">
        <f t="shared" si="44"/>
        <v>23</v>
      </c>
      <c r="C287" s="123" t="str">
        <f t="shared" si="43"/>
        <v>Year-23</v>
      </c>
      <c r="D287" s="35">
        <v>52963</v>
      </c>
      <c r="E287" s="26">
        <f t="shared" si="47"/>
        <v>169.028549</v>
      </c>
      <c r="F287" s="26">
        <f t="shared" si="47"/>
        <v>133.89933939999995</v>
      </c>
      <c r="G287" s="31">
        <f t="shared" si="38"/>
        <v>46627.824531833081</v>
      </c>
      <c r="H287" s="124">
        <f t="shared" si="48"/>
        <v>34.970332119021293</v>
      </c>
      <c r="I287" s="125">
        <f t="shared" si="48"/>
        <v>1.7200474495848161E-2</v>
      </c>
      <c r="J287" s="125">
        <f t="shared" si="48"/>
        <v>0.27</v>
      </c>
      <c r="K287" s="125">
        <f t="shared" si="48"/>
        <v>4.0029940128316385E-2</v>
      </c>
      <c r="L287" s="125">
        <f t="shared" si="48"/>
        <v>1.4099625889623608E-2</v>
      </c>
      <c r="M287" s="125">
        <f t="shared" si="48"/>
        <v>1.267725762135744E-2</v>
      </c>
      <c r="N287" s="125">
        <f t="shared" si="48"/>
        <v>1.390175346828215E-2</v>
      </c>
      <c r="O287" s="125">
        <f t="shared" si="48"/>
        <v>0</v>
      </c>
      <c r="P287" s="125">
        <f t="shared" si="48"/>
        <v>2.298066658515029E-2</v>
      </c>
      <c r="Q287" s="125">
        <f t="shared" si="48"/>
        <v>1.0644897972798715E-2</v>
      </c>
      <c r="R287" s="125">
        <f t="shared" si="48"/>
        <v>0.995</v>
      </c>
      <c r="S287" s="125">
        <f t="shared" si="48"/>
        <v>0.995</v>
      </c>
      <c r="T287" s="125">
        <f t="shared" si="48"/>
        <v>0</v>
      </c>
      <c r="U287" s="126"/>
      <c r="V287" s="126"/>
      <c r="W287" s="126"/>
      <c r="X287" s="126"/>
      <c r="Y287" s="126"/>
      <c r="Z287" s="126"/>
      <c r="AA287" s="126"/>
      <c r="AB287" s="126"/>
    </row>
    <row r="288" spans="1:28">
      <c r="A288" t="s">
        <v>2517</v>
      </c>
      <c r="B288" s="25">
        <f t="shared" si="44"/>
        <v>23</v>
      </c>
      <c r="C288" s="123" t="str">
        <f t="shared" si="43"/>
        <v>Year-23</v>
      </c>
      <c r="D288" s="35">
        <v>52994</v>
      </c>
      <c r="E288" s="26">
        <f t="shared" si="47"/>
        <v>172.55912190000004</v>
      </c>
      <c r="F288" s="26">
        <f t="shared" si="47"/>
        <v>145.40077080000009</v>
      </c>
      <c r="G288" s="31">
        <f t="shared" si="38"/>
        <v>43016.578659976331</v>
      </c>
      <c r="H288" s="124">
        <f t="shared" si="48"/>
        <v>40.252096455972236</v>
      </c>
      <c r="I288" s="125">
        <f t="shared" si="48"/>
        <v>1.510749564206848E-2</v>
      </c>
      <c r="J288" s="125">
        <f t="shared" si="48"/>
        <v>0.27</v>
      </c>
      <c r="K288" s="125">
        <f t="shared" si="48"/>
        <v>6.2111013936519133E-2</v>
      </c>
      <c r="L288" s="125">
        <f t="shared" si="48"/>
        <v>1.4175439055030284E-2</v>
      </c>
      <c r="M288" s="125">
        <f t="shared" si="48"/>
        <v>1.4384371816049681E-2</v>
      </c>
      <c r="N288" s="125">
        <f t="shared" si="48"/>
        <v>1.5915736744616871E-2</v>
      </c>
      <c r="O288" s="125">
        <f t="shared" si="48"/>
        <v>0</v>
      </c>
      <c r="P288" s="125">
        <f t="shared" si="48"/>
        <v>2.3268144471779773E-2</v>
      </c>
      <c r="Q288" s="125">
        <f t="shared" si="48"/>
        <v>2.5052142565085967E-2</v>
      </c>
      <c r="R288" s="125">
        <f t="shared" si="48"/>
        <v>0.995</v>
      </c>
      <c r="S288" s="125">
        <f t="shared" si="48"/>
        <v>0.995</v>
      </c>
      <c r="T288" s="125">
        <f t="shared" si="48"/>
        <v>0</v>
      </c>
      <c r="U288" s="126"/>
      <c r="V288" s="126"/>
      <c r="W288" s="126"/>
      <c r="X288" s="126"/>
      <c r="Y288" s="126"/>
      <c r="Z288" s="126"/>
      <c r="AA288" s="126"/>
      <c r="AB288" s="126"/>
    </row>
    <row r="289" spans="1:28">
      <c r="A289" t="s">
        <v>2517</v>
      </c>
      <c r="B289" s="25">
        <f t="shared" si="44"/>
        <v>23</v>
      </c>
      <c r="C289" s="123" t="str">
        <f t="shared" si="43"/>
        <v>Year-23</v>
      </c>
      <c r="D289" s="35">
        <v>53022</v>
      </c>
      <c r="E289" s="26">
        <f t="shared" si="47"/>
        <v>215.74576700000009</v>
      </c>
      <c r="F289" s="26">
        <f t="shared" si="47"/>
        <v>195.59891570000002</v>
      </c>
      <c r="G289" s="31">
        <f t="shared" si="38"/>
        <v>55041.936449887246</v>
      </c>
      <c r="H289" s="124">
        <f t="shared" si="48"/>
        <v>47.179622377374095</v>
      </c>
      <c r="I289" s="125">
        <f t="shared" si="48"/>
        <v>1.5306122448979553E-2</v>
      </c>
      <c r="J289" s="125">
        <f t="shared" si="48"/>
        <v>0.28000000000000003</v>
      </c>
      <c r="K289" s="125">
        <f t="shared" si="48"/>
        <v>9.4419706369976972E-2</v>
      </c>
      <c r="L289" s="125">
        <f t="shared" si="48"/>
        <v>1.4644787078611174E-2</v>
      </c>
      <c r="M289" s="125">
        <f t="shared" si="48"/>
        <v>1.6212630268737406E-2</v>
      </c>
      <c r="N289" s="125">
        <f t="shared" si="48"/>
        <v>2.0718676035686345E-2</v>
      </c>
      <c r="O289" s="125">
        <f t="shared" si="48"/>
        <v>0</v>
      </c>
      <c r="P289" s="125">
        <f t="shared" si="48"/>
        <v>2.3247057021314733E-2</v>
      </c>
      <c r="Q289" s="125">
        <f t="shared" si="48"/>
        <v>3.9222124133286969E-2</v>
      </c>
      <c r="R289" s="125">
        <f t="shared" si="48"/>
        <v>0.995</v>
      </c>
      <c r="S289" s="125">
        <f t="shared" si="48"/>
        <v>0.995</v>
      </c>
      <c r="T289" s="125">
        <f t="shared" si="48"/>
        <v>0</v>
      </c>
      <c r="U289" s="126"/>
      <c r="V289" s="126"/>
      <c r="W289" s="126"/>
      <c r="X289" s="126"/>
      <c r="Y289" s="126"/>
      <c r="Z289" s="126"/>
      <c r="AA289" s="126"/>
      <c r="AB289" s="126"/>
    </row>
    <row r="290" spans="1:28">
      <c r="A290" t="s">
        <v>2518</v>
      </c>
      <c r="B290" s="25">
        <f t="shared" si="44"/>
        <v>24</v>
      </c>
      <c r="C290" s="123" t="str">
        <f t="shared" si="43"/>
        <v>Year-24</v>
      </c>
      <c r="D290" s="35">
        <v>53053</v>
      </c>
      <c r="E290" s="26">
        <f t="shared" si="47"/>
        <v>215.9</v>
      </c>
      <c r="F290" s="26">
        <f t="shared" si="47"/>
        <v>208.99969899999999</v>
      </c>
      <c r="G290" s="31">
        <f t="shared" si="38"/>
        <v>53091.831841904386</v>
      </c>
      <c r="H290" s="124">
        <f t="shared" si="48"/>
        <v>52.296499350965128</v>
      </c>
      <c r="I290" s="125">
        <f t="shared" si="48"/>
        <v>1.6658954187875996E-2</v>
      </c>
      <c r="J290" s="125">
        <f t="shared" si="48"/>
        <v>0.28999999999999998</v>
      </c>
      <c r="K290" s="125">
        <f t="shared" si="48"/>
        <v>0.11719199751057031</v>
      </c>
      <c r="L290" s="125">
        <f t="shared" si="48"/>
        <v>1.5231272154623582E-2</v>
      </c>
      <c r="M290" s="125">
        <f t="shared" si="48"/>
        <v>1.6110689006976781E-2</v>
      </c>
      <c r="N290" s="125">
        <f t="shared" si="48"/>
        <v>1.8633277773980331E-2</v>
      </c>
      <c r="O290" s="125">
        <f t="shared" si="48"/>
        <v>0</v>
      </c>
      <c r="P290" s="125">
        <f t="shared" si="48"/>
        <v>2.2802418781094937E-2</v>
      </c>
      <c r="Q290" s="125">
        <f t="shared" si="48"/>
        <v>2.7995485693316467E-2</v>
      </c>
      <c r="R290" s="125">
        <f t="shared" si="48"/>
        <v>0.995</v>
      </c>
      <c r="S290" s="125">
        <f t="shared" si="48"/>
        <v>0.995</v>
      </c>
      <c r="T290" s="125">
        <f t="shared" si="48"/>
        <v>0</v>
      </c>
      <c r="U290" s="126"/>
      <c r="V290" s="126"/>
      <c r="W290" s="126"/>
      <c r="X290" s="126"/>
      <c r="Y290" s="126"/>
      <c r="Z290" s="126"/>
      <c r="AA290" s="126"/>
      <c r="AB290" s="126"/>
    </row>
    <row r="291" spans="1:28">
      <c r="A291" t="s">
        <v>2518</v>
      </c>
      <c r="B291" s="25">
        <f t="shared" si="44"/>
        <v>24</v>
      </c>
      <c r="C291" s="123" t="str">
        <f t="shared" si="43"/>
        <v>Year-24</v>
      </c>
      <c r="D291" s="35">
        <v>53083</v>
      </c>
      <c r="E291" s="26">
        <f t="shared" si="47"/>
        <v>217.9</v>
      </c>
      <c r="F291" s="26">
        <f t="shared" si="47"/>
        <v>221.90023470000006</v>
      </c>
      <c r="G291" s="31">
        <f t="shared" si="38"/>
        <v>55944.284004653811</v>
      </c>
      <c r="H291" s="124">
        <f t="shared" si="48"/>
        <v>55.437733860726389</v>
      </c>
      <c r="I291" s="125">
        <f t="shared" si="48"/>
        <v>1.7865322950068707E-2</v>
      </c>
      <c r="J291" s="125">
        <f t="shared" si="48"/>
        <v>0.3</v>
      </c>
      <c r="K291" s="125">
        <f t="shared" si="48"/>
        <v>0.1306817577748349</v>
      </c>
      <c r="L291" s="125">
        <f t="shared" si="48"/>
        <v>1.609339136491415E-2</v>
      </c>
      <c r="M291" s="125">
        <f t="shared" si="48"/>
        <v>1.525163145425878E-2</v>
      </c>
      <c r="N291" s="125">
        <f t="shared" si="48"/>
        <v>1.5763583972179196E-2</v>
      </c>
      <c r="O291" s="125">
        <f t="shared" si="48"/>
        <v>0</v>
      </c>
      <c r="P291" s="125">
        <f t="shared" si="48"/>
        <v>2.2281870794181511E-2</v>
      </c>
      <c r="Q291" s="125">
        <f t="shared" si="48"/>
        <v>1.1198342091846737E-2</v>
      </c>
      <c r="R291" s="125">
        <f t="shared" si="48"/>
        <v>0.995</v>
      </c>
      <c r="S291" s="125">
        <f t="shared" si="48"/>
        <v>0.995</v>
      </c>
      <c r="T291" s="125">
        <f t="shared" si="48"/>
        <v>0</v>
      </c>
      <c r="U291" s="126"/>
      <c r="V291" s="126"/>
      <c r="W291" s="126"/>
      <c r="X291" s="126"/>
      <c r="Y291" s="126"/>
      <c r="Z291" s="126"/>
      <c r="AA291" s="126"/>
      <c r="AB291" s="126"/>
    </row>
    <row r="292" spans="1:28">
      <c r="A292" t="s">
        <v>2518</v>
      </c>
      <c r="B292" s="25">
        <f t="shared" si="44"/>
        <v>24</v>
      </c>
      <c r="C292" s="123" t="str">
        <f t="shared" si="43"/>
        <v>Year-24</v>
      </c>
      <c r="D292" s="35">
        <v>53114</v>
      </c>
      <c r="E292" s="26">
        <f t="shared" si="47"/>
        <v>192.8</v>
      </c>
      <c r="F292" s="26">
        <f t="shared" si="47"/>
        <v>200.20089519999999</v>
      </c>
      <c r="G292" s="31">
        <f t="shared" si="38"/>
        <v>48627.517822109236</v>
      </c>
      <c r="H292" s="124">
        <f t="shared" si="48"/>
        <v>54.658309168315547</v>
      </c>
      <c r="I292" s="125">
        <f t="shared" si="48"/>
        <v>1.914123124676681E-2</v>
      </c>
      <c r="J292" s="125">
        <f t="shared" si="48"/>
        <v>0.3</v>
      </c>
      <c r="K292" s="125">
        <f t="shared" si="48"/>
        <v>0.12650723469382591</v>
      </c>
      <c r="L292" s="125">
        <f t="shared" si="48"/>
        <v>1.6398522844759341E-2</v>
      </c>
      <c r="M292" s="125">
        <f t="shared" si="48"/>
        <v>1.3926271600695752E-2</v>
      </c>
      <c r="N292" s="125">
        <f t="shared" si="48"/>
        <v>1.4057661793117321E-2</v>
      </c>
      <c r="O292" s="125">
        <f t="shared" si="48"/>
        <v>0</v>
      </c>
      <c r="P292" s="125">
        <f t="shared" si="48"/>
        <v>2.1677907023400757E-2</v>
      </c>
      <c r="Q292" s="125">
        <f t="shared" si="48"/>
        <v>4.051685061336731E-3</v>
      </c>
      <c r="R292" s="125">
        <f t="shared" si="48"/>
        <v>0.995</v>
      </c>
      <c r="S292" s="125">
        <f t="shared" si="48"/>
        <v>0.995</v>
      </c>
      <c r="T292" s="125">
        <f t="shared" si="48"/>
        <v>0</v>
      </c>
      <c r="U292" s="126"/>
      <c r="V292" s="126"/>
      <c r="W292" s="126"/>
      <c r="X292" s="126"/>
      <c r="Y292" s="126"/>
      <c r="Z292" s="126"/>
      <c r="AA292" s="126"/>
      <c r="AB292" s="126"/>
    </row>
    <row r="293" spans="1:28">
      <c r="A293" t="s">
        <v>2518</v>
      </c>
      <c r="B293" s="25">
        <f t="shared" si="44"/>
        <v>24</v>
      </c>
      <c r="C293" s="123" t="str">
        <f t="shared" si="43"/>
        <v>Year-24</v>
      </c>
      <c r="D293" s="35">
        <v>53144</v>
      </c>
      <c r="E293" s="26">
        <f t="shared" si="47"/>
        <v>168.9</v>
      </c>
      <c r="F293" s="26">
        <f t="shared" si="47"/>
        <v>173.59972409999992</v>
      </c>
      <c r="G293" s="31">
        <f t="shared" si="38"/>
        <v>44561.641564729893</v>
      </c>
      <c r="H293" s="124">
        <f t="shared" si="48"/>
        <v>51.564857066184757</v>
      </c>
      <c r="I293" s="125">
        <f t="shared" si="48"/>
        <v>2.1854695806261204E-2</v>
      </c>
      <c r="J293" s="125">
        <f t="shared" si="48"/>
        <v>0.28000000000000003</v>
      </c>
      <c r="K293" s="125">
        <f t="shared" si="48"/>
        <v>0.1089308468990661</v>
      </c>
      <c r="L293" s="125">
        <f t="shared" si="48"/>
        <v>1.5867586262633245E-2</v>
      </c>
      <c r="M293" s="125">
        <f t="shared" si="48"/>
        <v>1.231974144019694E-2</v>
      </c>
      <c r="N293" s="125">
        <f t="shared" si="48"/>
        <v>1.3502102014775261E-2</v>
      </c>
      <c r="O293" s="125">
        <f t="shared" si="48"/>
        <v>0</v>
      </c>
      <c r="P293" s="125">
        <f t="shared" si="48"/>
        <v>2.127320988616644E-2</v>
      </c>
      <c r="Q293" s="125">
        <f t="shared" si="48"/>
        <v>1.5557262066246368E-3</v>
      </c>
      <c r="R293" s="125">
        <f t="shared" si="48"/>
        <v>0.995</v>
      </c>
      <c r="S293" s="125">
        <f t="shared" si="48"/>
        <v>0.995</v>
      </c>
      <c r="T293" s="125">
        <f t="shared" si="48"/>
        <v>0</v>
      </c>
      <c r="U293" s="126"/>
      <c r="V293" s="126"/>
      <c r="W293" s="126"/>
      <c r="X293" s="126"/>
      <c r="Y293" s="126"/>
      <c r="Z293" s="126"/>
      <c r="AA293" s="126"/>
      <c r="AB293" s="126"/>
    </row>
    <row r="294" spans="1:28">
      <c r="A294" t="s">
        <v>2518</v>
      </c>
      <c r="B294" s="25">
        <f t="shared" si="44"/>
        <v>24</v>
      </c>
      <c r="C294" s="123" t="str">
        <f t="shared" si="43"/>
        <v>Year-24</v>
      </c>
      <c r="D294" s="35">
        <v>53175</v>
      </c>
      <c r="E294" s="26">
        <f t="shared" si="47"/>
        <v>174.2</v>
      </c>
      <c r="F294" s="26">
        <f t="shared" si="47"/>
        <v>172.6001566000001</v>
      </c>
      <c r="G294" s="31">
        <f t="shared" ref="G294:G313" si="49">G282*(1-$AE$2)</f>
        <v>45367.572493252766</v>
      </c>
      <c r="H294" s="124">
        <f t="shared" si="48"/>
        <v>50.336592710430871</v>
      </c>
      <c r="I294" s="125">
        <f t="shared" si="48"/>
        <v>2.0196191575302946E-2</v>
      </c>
      <c r="J294" s="125">
        <f t="shared" si="48"/>
        <v>0.27</v>
      </c>
      <c r="K294" s="125">
        <f t="shared" si="48"/>
        <v>0.10494453414747008</v>
      </c>
      <c r="L294" s="125">
        <f t="shared" si="48"/>
        <v>1.507508977611231E-2</v>
      </c>
      <c r="M294" s="125">
        <f t="shared" si="48"/>
        <v>1.2791562311125756E-2</v>
      </c>
      <c r="N294" s="125">
        <f t="shared" si="48"/>
        <v>1.4116403195935955E-2</v>
      </c>
      <c r="O294" s="125">
        <f t="shared" si="48"/>
        <v>0</v>
      </c>
      <c r="P294" s="125">
        <f t="shared" si="48"/>
        <v>2.157456294953386E-2</v>
      </c>
      <c r="Q294" s="125">
        <f t="shared" si="48"/>
        <v>6.2818876990405415E-3</v>
      </c>
      <c r="R294" s="125">
        <f t="shared" si="48"/>
        <v>0.995</v>
      </c>
      <c r="S294" s="125">
        <f t="shared" si="48"/>
        <v>0.995</v>
      </c>
      <c r="T294" s="125">
        <f t="shared" si="48"/>
        <v>0</v>
      </c>
      <c r="U294" s="126"/>
      <c r="V294" s="126"/>
      <c r="W294" s="126"/>
      <c r="X294" s="126"/>
      <c r="Y294" s="126"/>
      <c r="Z294" s="126"/>
      <c r="AA294" s="126"/>
      <c r="AB294" s="126"/>
    </row>
    <row r="295" spans="1:28">
      <c r="A295" t="s">
        <v>2518</v>
      </c>
      <c r="B295" s="25">
        <f t="shared" si="44"/>
        <v>24</v>
      </c>
      <c r="C295" s="123" t="str">
        <f t="shared" si="43"/>
        <v>Year-24</v>
      </c>
      <c r="D295" s="35">
        <v>53206</v>
      </c>
      <c r="E295" s="26">
        <f t="shared" si="47"/>
        <v>192.1</v>
      </c>
      <c r="F295" s="26">
        <f t="shared" si="47"/>
        <v>178.89930529999984</v>
      </c>
      <c r="G295" s="31">
        <f t="shared" si="49"/>
        <v>47776.309875130035</v>
      </c>
      <c r="H295" s="124">
        <f t="shared" si="48"/>
        <v>52.25059433997491</v>
      </c>
      <c r="I295" s="125">
        <f t="shared" si="48"/>
        <v>1.7196456487754141E-2</v>
      </c>
      <c r="J295" s="125">
        <f t="shared" si="48"/>
        <v>0.26</v>
      </c>
      <c r="K295" s="125">
        <f t="shared" si="48"/>
        <v>0.11387126505657014</v>
      </c>
      <c r="L295" s="125">
        <f t="shared" si="48"/>
        <v>1.3959618092500629E-2</v>
      </c>
      <c r="M295" s="125">
        <f t="shared" si="48"/>
        <v>1.4531255376132731E-2</v>
      </c>
      <c r="N295" s="125">
        <f t="shared" si="48"/>
        <v>1.4478833500810966E-2</v>
      </c>
      <c r="O295" s="125">
        <f t="shared" si="48"/>
        <v>0</v>
      </c>
      <c r="P295" s="125">
        <f t="shared" si="48"/>
        <v>2.2473527643153385E-2</v>
      </c>
      <c r="Q295" s="125">
        <f t="shared" si="48"/>
        <v>1.1388926338936924E-2</v>
      </c>
      <c r="R295" s="125">
        <f t="shared" si="48"/>
        <v>0.995</v>
      </c>
      <c r="S295" s="125">
        <f t="shared" si="48"/>
        <v>0.995</v>
      </c>
      <c r="T295" s="125">
        <f t="shared" si="48"/>
        <v>0</v>
      </c>
      <c r="U295" s="126"/>
      <c r="V295" s="126"/>
      <c r="W295" s="126"/>
      <c r="X295" s="126"/>
      <c r="Y295" s="126"/>
      <c r="Z295" s="126"/>
      <c r="AA295" s="126"/>
      <c r="AB295" s="126"/>
    </row>
    <row r="296" spans="1:28">
      <c r="A296" t="s">
        <v>2518</v>
      </c>
      <c r="B296" s="25">
        <f t="shared" si="44"/>
        <v>24</v>
      </c>
      <c r="C296" s="123" t="str">
        <f t="shared" si="43"/>
        <v>Year-24</v>
      </c>
      <c r="D296" s="35">
        <v>53236</v>
      </c>
      <c r="E296" s="26">
        <f t="shared" si="47"/>
        <v>202.3</v>
      </c>
      <c r="F296" s="26">
        <f t="shared" si="47"/>
        <v>174.60082279999986</v>
      </c>
      <c r="G296" s="31">
        <f t="shared" si="49"/>
        <v>51787.853710361785</v>
      </c>
      <c r="H296" s="124">
        <f t="shared" si="48"/>
        <v>49.723937837075084</v>
      </c>
      <c r="I296" s="125">
        <f t="shared" si="48"/>
        <v>1.5873015873015817E-2</v>
      </c>
      <c r="J296" s="125">
        <f t="shared" si="48"/>
        <v>0.27</v>
      </c>
      <c r="K296" s="125">
        <f t="shared" si="48"/>
        <v>0.10390722673430232</v>
      </c>
      <c r="L296" s="125">
        <f t="shared" si="48"/>
        <v>1.4040704754284353E-2</v>
      </c>
      <c r="M296" s="125">
        <f t="shared" si="48"/>
        <v>1.526389492868482E-2</v>
      </c>
      <c r="N296" s="125">
        <f t="shared" si="48"/>
        <v>1.5324069649683622E-2</v>
      </c>
      <c r="O296" s="125">
        <f t="shared" si="48"/>
        <v>0</v>
      </c>
      <c r="P296" s="125">
        <f t="shared" si="48"/>
        <v>2.3043103417804571E-2</v>
      </c>
      <c r="Q296" s="125">
        <f t="shared" si="48"/>
        <v>2.1184397869334348E-2</v>
      </c>
      <c r="R296" s="125">
        <f t="shared" si="48"/>
        <v>0.995</v>
      </c>
      <c r="S296" s="125">
        <f t="shared" si="48"/>
        <v>0.995</v>
      </c>
      <c r="T296" s="125">
        <f t="shared" si="48"/>
        <v>0</v>
      </c>
      <c r="U296" s="126"/>
      <c r="V296" s="126"/>
      <c r="W296" s="126"/>
      <c r="X296" s="126"/>
      <c r="Y296" s="126"/>
      <c r="Z296" s="126"/>
      <c r="AA296" s="126"/>
      <c r="AB296" s="126"/>
    </row>
    <row r="297" spans="1:28">
      <c r="A297" t="s">
        <v>2518</v>
      </c>
      <c r="B297" s="25">
        <f t="shared" si="44"/>
        <v>24</v>
      </c>
      <c r="C297" s="123" t="str">
        <f t="shared" si="43"/>
        <v>Year-24</v>
      </c>
      <c r="D297" s="35">
        <v>53267</v>
      </c>
      <c r="E297" s="26">
        <f t="shared" si="47"/>
        <v>162.9</v>
      </c>
      <c r="F297" s="26">
        <f t="shared" si="47"/>
        <v>133.69942049999997</v>
      </c>
      <c r="G297" s="31">
        <f t="shared" si="49"/>
        <v>42469.843312047</v>
      </c>
      <c r="H297" s="124">
        <f t="shared" si="48"/>
        <v>42.187120547750681</v>
      </c>
      <c r="I297" s="125">
        <f t="shared" si="48"/>
        <v>1.5950920245398792E-2</v>
      </c>
      <c r="J297" s="125">
        <f t="shared" si="48"/>
        <v>0.27</v>
      </c>
      <c r="K297" s="125">
        <f t="shared" si="48"/>
        <v>6.9024239591701744E-2</v>
      </c>
      <c r="L297" s="125">
        <f t="shared" si="48"/>
        <v>1.4204952105287192E-2</v>
      </c>
      <c r="M297" s="125">
        <f t="shared" si="48"/>
        <v>1.3252885058363056E-2</v>
      </c>
      <c r="N297" s="125">
        <f t="shared" si="48"/>
        <v>1.3980442883231779E-2</v>
      </c>
      <c r="O297" s="125">
        <f t="shared" si="48"/>
        <v>0</v>
      </c>
      <c r="P297" s="125">
        <f t="shared" si="48"/>
        <v>2.30208488716231E-2</v>
      </c>
      <c r="Q297" s="125">
        <f t="shared" si="48"/>
        <v>8.3479094998109554E-3</v>
      </c>
      <c r="R297" s="125">
        <f t="shared" si="48"/>
        <v>0.995</v>
      </c>
      <c r="S297" s="125">
        <f t="shared" si="48"/>
        <v>0.995</v>
      </c>
      <c r="T297" s="125">
        <f t="shared" si="48"/>
        <v>0</v>
      </c>
      <c r="U297" s="126"/>
      <c r="V297" s="126"/>
      <c r="W297" s="126"/>
      <c r="X297" s="126"/>
      <c r="Y297" s="126"/>
      <c r="Z297" s="126"/>
      <c r="AA297" s="126"/>
      <c r="AB297" s="126"/>
    </row>
    <row r="298" spans="1:28">
      <c r="A298" t="s">
        <v>2518</v>
      </c>
      <c r="B298" s="25">
        <f t="shared" si="44"/>
        <v>24</v>
      </c>
      <c r="C298" s="123" t="str">
        <f t="shared" si="43"/>
        <v>Year-24</v>
      </c>
      <c r="D298" s="35">
        <v>53297</v>
      </c>
      <c r="E298" s="26">
        <f t="shared" si="47"/>
        <v>158.6</v>
      </c>
      <c r="F298" s="26">
        <f t="shared" si="47"/>
        <v>124.40004220000003</v>
      </c>
      <c r="G298" s="31">
        <f t="shared" si="49"/>
        <v>43719.489021441994</v>
      </c>
      <c r="H298" s="124">
        <f t="shared" si="48"/>
        <v>36.076939444156181</v>
      </c>
      <c r="I298" s="125">
        <f t="shared" si="48"/>
        <v>1.5802781289506962E-2</v>
      </c>
      <c r="J298" s="125">
        <f t="shared" si="48"/>
        <v>0.27</v>
      </c>
      <c r="K298" s="125">
        <f t="shared" si="48"/>
        <v>4.4787946264861052E-2</v>
      </c>
      <c r="L298" s="125">
        <f t="shared" si="48"/>
        <v>1.4140595613406415E-2</v>
      </c>
      <c r="M298" s="125">
        <f t="shared" si="48"/>
        <v>1.2367081056294736E-2</v>
      </c>
      <c r="N298" s="125">
        <f t="shared" si="48"/>
        <v>1.3960975699298588E-2</v>
      </c>
      <c r="O298" s="125">
        <f t="shared" si="48"/>
        <v>0</v>
      </c>
      <c r="P298" s="125">
        <f t="shared" si="48"/>
        <v>2.3055036005913448E-2</v>
      </c>
      <c r="Q298" s="125">
        <f t="shared" si="48"/>
        <v>3.6978876304825567E-3</v>
      </c>
      <c r="R298" s="125">
        <f t="shared" si="48"/>
        <v>0.995</v>
      </c>
      <c r="S298" s="125">
        <f t="shared" si="48"/>
        <v>0.995</v>
      </c>
      <c r="T298" s="125">
        <f t="shared" si="48"/>
        <v>0</v>
      </c>
      <c r="U298" s="126"/>
      <c r="V298" s="126"/>
      <c r="W298" s="126"/>
      <c r="X298" s="126"/>
      <c r="Y298" s="126"/>
      <c r="Z298" s="126"/>
      <c r="AA298" s="126"/>
      <c r="AB298" s="126"/>
    </row>
    <row r="299" spans="1:28">
      <c r="A299" t="s">
        <v>2518</v>
      </c>
      <c r="B299" s="25">
        <f t="shared" si="44"/>
        <v>24</v>
      </c>
      <c r="C299" s="123" t="str">
        <f t="shared" si="43"/>
        <v>Year-24</v>
      </c>
      <c r="D299" s="35">
        <v>53328</v>
      </c>
      <c r="E299" s="26">
        <f t="shared" si="47"/>
        <v>169.028549</v>
      </c>
      <c r="F299" s="26">
        <f t="shared" si="47"/>
        <v>133.89933939999995</v>
      </c>
      <c r="G299" s="31">
        <f t="shared" si="49"/>
        <v>46417.999321439835</v>
      </c>
      <c r="H299" s="124">
        <f t="shared" si="48"/>
        <v>34.970332119021293</v>
      </c>
      <c r="I299" s="125">
        <f t="shared" si="48"/>
        <v>1.7200474495848161E-2</v>
      </c>
      <c r="J299" s="125">
        <f t="shared" si="48"/>
        <v>0.27</v>
      </c>
      <c r="K299" s="125">
        <f t="shared" si="48"/>
        <v>4.0029940128316385E-2</v>
      </c>
      <c r="L299" s="125">
        <f t="shared" si="48"/>
        <v>1.4099625889623608E-2</v>
      </c>
      <c r="M299" s="125">
        <f t="shared" si="48"/>
        <v>1.267725762135744E-2</v>
      </c>
      <c r="N299" s="125">
        <f t="shared" si="48"/>
        <v>1.390175346828215E-2</v>
      </c>
      <c r="O299" s="125">
        <f t="shared" si="48"/>
        <v>0</v>
      </c>
      <c r="P299" s="125">
        <f t="shared" si="48"/>
        <v>2.298066658515029E-2</v>
      </c>
      <c r="Q299" s="125">
        <f t="shared" si="48"/>
        <v>1.0644897972798715E-2</v>
      </c>
      <c r="R299" s="125">
        <f t="shared" si="48"/>
        <v>0.995</v>
      </c>
      <c r="S299" s="125">
        <f t="shared" si="48"/>
        <v>0.995</v>
      </c>
      <c r="T299" s="125">
        <f t="shared" si="48"/>
        <v>0</v>
      </c>
      <c r="U299" s="126"/>
      <c r="V299" s="126"/>
      <c r="W299" s="126"/>
      <c r="X299" s="126"/>
      <c r="Y299" s="126"/>
      <c r="Z299" s="126"/>
      <c r="AA299" s="126"/>
      <c r="AB299" s="126"/>
    </row>
    <row r="300" spans="1:28">
      <c r="A300" t="s">
        <v>2518</v>
      </c>
      <c r="B300" s="25">
        <f t="shared" si="44"/>
        <v>24</v>
      </c>
      <c r="C300" s="123" t="str">
        <f t="shared" si="43"/>
        <v>Year-24</v>
      </c>
      <c r="D300" s="35">
        <v>53359</v>
      </c>
      <c r="E300" s="26">
        <f t="shared" si="47"/>
        <v>172.55912190000004</v>
      </c>
      <c r="F300" s="26">
        <f t="shared" si="47"/>
        <v>145.40077080000009</v>
      </c>
      <c r="G300" s="31">
        <f t="shared" si="49"/>
        <v>42823.004056006437</v>
      </c>
      <c r="H300" s="124">
        <f t="shared" si="48"/>
        <v>40.252096455972236</v>
      </c>
      <c r="I300" s="125">
        <f t="shared" si="48"/>
        <v>1.510749564206848E-2</v>
      </c>
      <c r="J300" s="125">
        <f t="shared" si="48"/>
        <v>0.27</v>
      </c>
      <c r="K300" s="125">
        <f t="shared" si="48"/>
        <v>6.2111013936519133E-2</v>
      </c>
      <c r="L300" s="125">
        <f t="shared" si="48"/>
        <v>1.4175439055030284E-2</v>
      </c>
      <c r="M300" s="125">
        <f t="shared" si="48"/>
        <v>1.4384371816049681E-2</v>
      </c>
      <c r="N300" s="125">
        <f t="shared" si="48"/>
        <v>1.5915736744616871E-2</v>
      </c>
      <c r="O300" s="125">
        <f t="shared" si="48"/>
        <v>0</v>
      </c>
      <c r="P300" s="125">
        <f t="shared" si="48"/>
        <v>2.3268144471779773E-2</v>
      </c>
      <c r="Q300" s="125">
        <f t="shared" si="48"/>
        <v>2.5052142565085967E-2</v>
      </c>
      <c r="R300" s="125">
        <f t="shared" si="48"/>
        <v>0.995</v>
      </c>
      <c r="S300" s="125">
        <f t="shared" si="48"/>
        <v>0.995</v>
      </c>
      <c r="T300" s="125">
        <f t="shared" si="48"/>
        <v>0</v>
      </c>
      <c r="U300" s="126"/>
      <c r="V300" s="126"/>
      <c r="W300" s="126"/>
      <c r="X300" s="126"/>
      <c r="Y300" s="126"/>
      <c r="Z300" s="126"/>
      <c r="AA300" s="126"/>
      <c r="AB300" s="126"/>
    </row>
    <row r="301" spans="1:28">
      <c r="A301" t="s">
        <v>2518</v>
      </c>
      <c r="B301" s="25">
        <f t="shared" si="44"/>
        <v>24</v>
      </c>
      <c r="C301" s="123" t="str">
        <f t="shared" si="43"/>
        <v>Year-24</v>
      </c>
      <c r="D301" s="35">
        <v>53387</v>
      </c>
      <c r="E301" s="26">
        <f t="shared" si="47"/>
        <v>215.74576700000009</v>
      </c>
      <c r="F301" s="26">
        <f t="shared" si="47"/>
        <v>195.59891570000002</v>
      </c>
      <c r="G301" s="31">
        <f t="shared" si="49"/>
        <v>54794.247735862758</v>
      </c>
      <c r="H301" s="124">
        <f t="shared" si="48"/>
        <v>47.179622377374095</v>
      </c>
      <c r="I301" s="125">
        <f t="shared" si="48"/>
        <v>1.5306122448979553E-2</v>
      </c>
      <c r="J301" s="125">
        <f t="shared" si="48"/>
        <v>0.28000000000000003</v>
      </c>
      <c r="K301" s="125">
        <f t="shared" si="48"/>
        <v>9.4419706369976972E-2</v>
      </c>
      <c r="L301" s="125">
        <f t="shared" si="48"/>
        <v>1.4644787078611174E-2</v>
      </c>
      <c r="M301" s="125">
        <f t="shared" si="48"/>
        <v>1.6212630268737406E-2</v>
      </c>
      <c r="N301" s="125">
        <f t="shared" si="48"/>
        <v>2.0718676035686345E-2</v>
      </c>
      <c r="O301" s="125">
        <f t="shared" si="48"/>
        <v>0</v>
      </c>
      <c r="P301" s="125">
        <f t="shared" si="48"/>
        <v>2.3247057021314733E-2</v>
      </c>
      <c r="Q301" s="125">
        <f t="shared" si="48"/>
        <v>3.9222124133286969E-2</v>
      </c>
      <c r="R301" s="125">
        <f t="shared" si="48"/>
        <v>0.995</v>
      </c>
      <c r="S301" s="125">
        <f t="shared" si="48"/>
        <v>0.995</v>
      </c>
      <c r="T301" s="125">
        <f t="shared" si="48"/>
        <v>0</v>
      </c>
      <c r="U301" s="126"/>
      <c r="V301" s="126"/>
      <c r="W301" s="126"/>
      <c r="X301" s="126"/>
      <c r="Y301" s="126"/>
      <c r="Z301" s="126"/>
      <c r="AA301" s="126"/>
      <c r="AB301" s="126"/>
    </row>
    <row r="302" spans="1:28">
      <c r="A302" t="s">
        <v>2519</v>
      </c>
      <c r="B302" s="25">
        <f t="shared" si="44"/>
        <v>25</v>
      </c>
      <c r="C302" s="123" t="str">
        <f t="shared" si="43"/>
        <v>Year-25</v>
      </c>
      <c r="D302" s="35">
        <v>53418</v>
      </c>
      <c r="E302" s="26">
        <f t="shared" ref="E302:F313" si="50">E290</f>
        <v>215.9</v>
      </c>
      <c r="F302" s="26">
        <f t="shared" si="50"/>
        <v>208.99969899999999</v>
      </c>
      <c r="G302" s="31">
        <f t="shared" si="49"/>
        <v>52852.918598615819</v>
      </c>
      <c r="H302" s="124">
        <f t="shared" ref="H302:T313" si="51">H290</f>
        <v>52.296499350965128</v>
      </c>
      <c r="I302" s="125">
        <f t="shared" si="51"/>
        <v>1.6658954187875996E-2</v>
      </c>
      <c r="J302" s="125">
        <f t="shared" si="51"/>
        <v>0.28999999999999998</v>
      </c>
      <c r="K302" s="125">
        <f t="shared" si="51"/>
        <v>0.11719199751057031</v>
      </c>
      <c r="L302" s="125">
        <f t="shared" si="51"/>
        <v>1.5231272154623582E-2</v>
      </c>
      <c r="M302" s="125">
        <f t="shared" si="51"/>
        <v>1.6110689006976781E-2</v>
      </c>
      <c r="N302" s="125">
        <f t="shared" si="51"/>
        <v>1.8633277773980331E-2</v>
      </c>
      <c r="O302" s="125">
        <f t="shared" si="51"/>
        <v>0</v>
      </c>
      <c r="P302" s="125">
        <f t="shared" si="51"/>
        <v>2.2802418781094937E-2</v>
      </c>
      <c r="Q302" s="125">
        <f t="shared" si="51"/>
        <v>2.7995485693316467E-2</v>
      </c>
      <c r="R302" s="125">
        <f t="shared" si="51"/>
        <v>0.995</v>
      </c>
      <c r="S302" s="125">
        <f t="shared" si="51"/>
        <v>0.995</v>
      </c>
      <c r="T302" s="125">
        <f t="shared" si="51"/>
        <v>0</v>
      </c>
      <c r="U302" s="126"/>
      <c r="V302" s="126"/>
      <c r="W302" s="126"/>
      <c r="X302" s="126"/>
      <c r="Y302" s="126"/>
      <c r="Z302" s="126"/>
      <c r="AA302" s="126"/>
      <c r="AB302" s="126"/>
    </row>
    <row r="303" spans="1:28">
      <c r="A303" t="s">
        <v>2519</v>
      </c>
      <c r="B303" s="25">
        <f t="shared" si="44"/>
        <v>25</v>
      </c>
      <c r="C303" s="123" t="str">
        <f t="shared" si="43"/>
        <v>Year-25</v>
      </c>
      <c r="D303" s="35">
        <v>53448</v>
      </c>
      <c r="E303" s="26">
        <f t="shared" si="50"/>
        <v>217.9</v>
      </c>
      <c r="F303" s="26">
        <f t="shared" si="50"/>
        <v>221.90023470000006</v>
      </c>
      <c r="G303" s="31">
        <f t="shared" si="49"/>
        <v>55692.534726632875</v>
      </c>
      <c r="H303" s="124">
        <f t="shared" si="51"/>
        <v>55.437733860726389</v>
      </c>
      <c r="I303" s="125">
        <f t="shared" si="51"/>
        <v>1.7865322950068707E-2</v>
      </c>
      <c r="J303" s="125">
        <f t="shared" si="51"/>
        <v>0.3</v>
      </c>
      <c r="K303" s="125">
        <f t="shared" si="51"/>
        <v>0.1306817577748349</v>
      </c>
      <c r="L303" s="125">
        <f t="shared" si="51"/>
        <v>1.609339136491415E-2</v>
      </c>
      <c r="M303" s="125">
        <f t="shared" si="51"/>
        <v>1.525163145425878E-2</v>
      </c>
      <c r="N303" s="125">
        <f t="shared" si="51"/>
        <v>1.5763583972179196E-2</v>
      </c>
      <c r="O303" s="125">
        <f t="shared" si="51"/>
        <v>0</v>
      </c>
      <c r="P303" s="125">
        <f t="shared" si="51"/>
        <v>2.2281870794181511E-2</v>
      </c>
      <c r="Q303" s="125">
        <f t="shared" si="51"/>
        <v>1.1198342091846737E-2</v>
      </c>
      <c r="R303" s="125">
        <f t="shared" si="51"/>
        <v>0.995</v>
      </c>
      <c r="S303" s="125">
        <f t="shared" si="51"/>
        <v>0.995</v>
      </c>
      <c r="T303" s="125">
        <f t="shared" si="51"/>
        <v>0</v>
      </c>
      <c r="U303" s="126"/>
      <c r="V303" s="126"/>
      <c r="W303" s="126"/>
      <c r="X303" s="126"/>
      <c r="Y303" s="126"/>
      <c r="Z303" s="126"/>
      <c r="AA303" s="126"/>
      <c r="AB303" s="126"/>
    </row>
    <row r="304" spans="1:28">
      <c r="A304" t="s">
        <v>2519</v>
      </c>
      <c r="B304" s="25">
        <f t="shared" si="44"/>
        <v>25</v>
      </c>
      <c r="C304" s="123" t="str">
        <f t="shared" si="43"/>
        <v>Year-25</v>
      </c>
      <c r="D304" s="35">
        <v>53479</v>
      </c>
      <c r="E304" s="26">
        <f t="shared" si="50"/>
        <v>192.8</v>
      </c>
      <c r="F304" s="26">
        <f t="shared" si="50"/>
        <v>200.20089519999999</v>
      </c>
      <c r="G304" s="31">
        <f t="shared" si="49"/>
        <v>48408.693991909749</v>
      </c>
      <c r="H304" s="124">
        <f t="shared" si="51"/>
        <v>54.658309168315547</v>
      </c>
      <c r="I304" s="125">
        <f t="shared" si="51"/>
        <v>1.914123124676681E-2</v>
      </c>
      <c r="J304" s="125">
        <f t="shared" si="51"/>
        <v>0.3</v>
      </c>
      <c r="K304" s="125">
        <f t="shared" si="51"/>
        <v>0.12650723469382591</v>
      </c>
      <c r="L304" s="125">
        <f t="shared" si="51"/>
        <v>1.6398522844759341E-2</v>
      </c>
      <c r="M304" s="125">
        <f t="shared" si="51"/>
        <v>1.3926271600695752E-2</v>
      </c>
      <c r="N304" s="125">
        <f t="shared" si="51"/>
        <v>1.4057661793117321E-2</v>
      </c>
      <c r="O304" s="125">
        <f t="shared" si="51"/>
        <v>0</v>
      </c>
      <c r="P304" s="125">
        <f t="shared" si="51"/>
        <v>2.1677907023400757E-2</v>
      </c>
      <c r="Q304" s="125">
        <f t="shared" si="51"/>
        <v>4.051685061336731E-3</v>
      </c>
      <c r="R304" s="125">
        <f t="shared" si="51"/>
        <v>0.995</v>
      </c>
      <c r="S304" s="125">
        <f t="shared" si="51"/>
        <v>0.995</v>
      </c>
      <c r="T304" s="125">
        <f t="shared" si="51"/>
        <v>0</v>
      </c>
      <c r="U304" s="126"/>
      <c r="V304" s="126"/>
      <c r="W304" s="126"/>
      <c r="X304" s="126"/>
      <c r="Y304" s="126"/>
      <c r="Z304" s="126"/>
      <c r="AA304" s="126"/>
      <c r="AB304" s="126"/>
    </row>
    <row r="305" spans="1:28">
      <c r="A305" t="s">
        <v>2519</v>
      </c>
      <c r="B305" s="25">
        <f t="shared" si="44"/>
        <v>25</v>
      </c>
      <c r="C305" s="123" t="str">
        <f t="shared" si="43"/>
        <v>Year-25</v>
      </c>
      <c r="D305" s="35">
        <v>53509</v>
      </c>
      <c r="E305" s="26">
        <f t="shared" si="50"/>
        <v>168.9</v>
      </c>
      <c r="F305" s="26">
        <f t="shared" si="50"/>
        <v>173.59972409999992</v>
      </c>
      <c r="G305" s="31">
        <f t="shared" si="49"/>
        <v>44361.114177688607</v>
      </c>
      <c r="H305" s="124">
        <f t="shared" si="51"/>
        <v>51.564857066184757</v>
      </c>
      <c r="I305" s="125">
        <f t="shared" si="51"/>
        <v>2.1854695806261204E-2</v>
      </c>
      <c r="J305" s="125">
        <f t="shared" si="51"/>
        <v>0.28000000000000003</v>
      </c>
      <c r="K305" s="125">
        <f t="shared" si="51"/>
        <v>0.1089308468990661</v>
      </c>
      <c r="L305" s="125">
        <f t="shared" si="51"/>
        <v>1.5867586262633245E-2</v>
      </c>
      <c r="M305" s="125">
        <f t="shared" si="51"/>
        <v>1.231974144019694E-2</v>
      </c>
      <c r="N305" s="125">
        <f t="shared" si="51"/>
        <v>1.3502102014775261E-2</v>
      </c>
      <c r="O305" s="125">
        <f t="shared" si="51"/>
        <v>0</v>
      </c>
      <c r="P305" s="125">
        <f t="shared" si="51"/>
        <v>2.127320988616644E-2</v>
      </c>
      <c r="Q305" s="125">
        <f t="shared" si="51"/>
        <v>1.5557262066246368E-3</v>
      </c>
      <c r="R305" s="125">
        <f t="shared" si="51"/>
        <v>0.995</v>
      </c>
      <c r="S305" s="125">
        <f t="shared" si="51"/>
        <v>0.995</v>
      </c>
      <c r="T305" s="125">
        <f t="shared" si="51"/>
        <v>0</v>
      </c>
      <c r="U305" s="126"/>
      <c r="V305" s="126"/>
      <c r="W305" s="126"/>
      <c r="X305" s="126"/>
      <c r="Y305" s="126"/>
      <c r="Z305" s="126"/>
      <c r="AA305" s="126"/>
      <c r="AB305" s="126"/>
    </row>
    <row r="306" spans="1:28">
      <c r="A306" t="s">
        <v>2519</v>
      </c>
      <c r="B306" s="25">
        <f t="shared" si="44"/>
        <v>25</v>
      </c>
      <c r="C306" s="123" t="str">
        <f t="shared" si="43"/>
        <v>Year-25</v>
      </c>
      <c r="D306" s="35">
        <v>53540</v>
      </c>
      <c r="E306" s="26">
        <f t="shared" si="50"/>
        <v>174.2</v>
      </c>
      <c r="F306" s="26">
        <f t="shared" si="50"/>
        <v>172.6001566000001</v>
      </c>
      <c r="G306" s="31">
        <f t="shared" si="49"/>
        <v>45163.418417033128</v>
      </c>
      <c r="H306" s="124">
        <f t="shared" si="51"/>
        <v>50.336592710430871</v>
      </c>
      <c r="I306" s="125">
        <f t="shared" si="51"/>
        <v>2.0196191575302946E-2</v>
      </c>
      <c r="J306" s="125">
        <f t="shared" si="51"/>
        <v>0.27</v>
      </c>
      <c r="K306" s="125">
        <f t="shared" si="51"/>
        <v>0.10494453414747008</v>
      </c>
      <c r="L306" s="125">
        <f t="shared" si="51"/>
        <v>1.507508977611231E-2</v>
      </c>
      <c r="M306" s="125">
        <f t="shared" si="51"/>
        <v>1.2791562311125756E-2</v>
      </c>
      <c r="N306" s="125">
        <f t="shared" si="51"/>
        <v>1.4116403195935955E-2</v>
      </c>
      <c r="O306" s="125">
        <f t="shared" si="51"/>
        <v>0</v>
      </c>
      <c r="P306" s="125">
        <f t="shared" si="51"/>
        <v>2.157456294953386E-2</v>
      </c>
      <c r="Q306" s="125">
        <f t="shared" si="51"/>
        <v>6.2818876990405415E-3</v>
      </c>
      <c r="R306" s="125">
        <f t="shared" si="51"/>
        <v>0.995</v>
      </c>
      <c r="S306" s="125">
        <f t="shared" si="51"/>
        <v>0.995</v>
      </c>
      <c r="T306" s="125">
        <f t="shared" si="51"/>
        <v>0</v>
      </c>
      <c r="U306" s="126"/>
      <c r="V306" s="126"/>
      <c r="W306" s="126"/>
      <c r="X306" s="126"/>
      <c r="Y306" s="126"/>
      <c r="Z306" s="126"/>
      <c r="AA306" s="126"/>
      <c r="AB306" s="126"/>
    </row>
    <row r="307" spans="1:28">
      <c r="A307" t="s">
        <v>2519</v>
      </c>
      <c r="B307" s="25">
        <f t="shared" si="44"/>
        <v>25</v>
      </c>
      <c r="C307" s="123" t="str">
        <f t="shared" si="43"/>
        <v>Year-25</v>
      </c>
      <c r="D307" s="35">
        <v>53571</v>
      </c>
      <c r="E307" s="26">
        <f t="shared" si="50"/>
        <v>192.1</v>
      </c>
      <c r="F307" s="26">
        <f t="shared" si="50"/>
        <v>178.89930529999984</v>
      </c>
      <c r="G307" s="31">
        <f t="shared" si="49"/>
        <v>47561.316480691952</v>
      </c>
      <c r="H307" s="124">
        <f t="shared" si="51"/>
        <v>52.25059433997491</v>
      </c>
      <c r="I307" s="125">
        <f t="shared" si="51"/>
        <v>1.7196456487754141E-2</v>
      </c>
      <c r="J307" s="125">
        <f t="shared" si="51"/>
        <v>0.26</v>
      </c>
      <c r="K307" s="125">
        <f t="shared" si="51"/>
        <v>0.11387126505657014</v>
      </c>
      <c r="L307" s="125">
        <f t="shared" si="51"/>
        <v>1.3959618092500629E-2</v>
      </c>
      <c r="M307" s="125">
        <f t="shared" si="51"/>
        <v>1.4531255376132731E-2</v>
      </c>
      <c r="N307" s="125">
        <f t="shared" si="51"/>
        <v>1.4478833500810966E-2</v>
      </c>
      <c r="O307" s="125">
        <f t="shared" si="51"/>
        <v>0</v>
      </c>
      <c r="P307" s="125">
        <f t="shared" si="51"/>
        <v>2.2473527643153385E-2</v>
      </c>
      <c r="Q307" s="125">
        <f t="shared" si="51"/>
        <v>1.1388926338936924E-2</v>
      </c>
      <c r="R307" s="125">
        <f t="shared" si="51"/>
        <v>0.995</v>
      </c>
      <c r="S307" s="125">
        <f t="shared" si="51"/>
        <v>0.995</v>
      </c>
      <c r="T307" s="125">
        <f t="shared" si="51"/>
        <v>0</v>
      </c>
      <c r="U307" s="126"/>
      <c r="V307" s="126"/>
      <c r="W307" s="126"/>
      <c r="X307" s="126"/>
      <c r="Y307" s="126"/>
      <c r="Z307" s="126"/>
      <c r="AA307" s="126"/>
      <c r="AB307" s="126"/>
    </row>
    <row r="308" spans="1:28">
      <c r="A308" t="s">
        <v>2519</v>
      </c>
      <c r="B308" s="25">
        <f t="shared" si="44"/>
        <v>25</v>
      </c>
      <c r="C308" s="123" t="str">
        <f t="shared" si="43"/>
        <v>Year-25</v>
      </c>
      <c r="D308" s="35">
        <v>53601</v>
      </c>
      <c r="E308" s="26">
        <f t="shared" si="50"/>
        <v>202.3</v>
      </c>
      <c r="F308" s="26">
        <f t="shared" si="50"/>
        <v>174.60082279999986</v>
      </c>
      <c r="G308" s="31">
        <f t="shared" si="49"/>
        <v>51554.808368665159</v>
      </c>
      <c r="H308" s="124">
        <f t="shared" si="51"/>
        <v>49.723937837075084</v>
      </c>
      <c r="I308" s="125">
        <f t="shared" si="51"/>
        <v>1.5873015873015817E-2</v>
      </c>
      <c r="J308" s="125">
        <f t="shared" si="51"/>
        <v>0.27</v>
      </c>
      <c r="K308" s="125">
        <f t="shared" si="51"/>
        <v>0.10390722673430232</v>
      </c>
      <c r="L308" s="125">
        <f t="shared" si="51"/>
        <v>1.4040704754284353E-2</v>
      </c>
      <c r="M308" s="125">
        <f t="shared" si="51"/>
        <v>1.526389492868482E-2</v>
      </c>
      <c r="N308" s="125">
        <f t="shared" si="51"/>
        <v>1.5324069649683622E-2</v>
      </c>
      <c r="O308" s="125">
        <f t="shared" si="51"/>
        <v>0</v>
      </c>
      <c r="P308" s="125">
        <f t="shared" si="51"/>
        <v>2.3043103417804571E-2</v>
      </c>
      <c r="Q308" s="125">
        <f t="shared" si="51"/>
        <v>2.1184397869334348E-2</v>
      </c>
      <c r="R308" s="125">
        <f t="shared" si="51"/>
        <v>0.995</v>
      </c>
      <c r="S308" s="125">
        <f t="shared" si="51"/>
        <v>0.995</v>
      </c>
      <c r="T308" s="125">
        <f t="shared" si="51"/>
        <v>0</v>
      </c>
      <c r="U308" s="126"/>
      <c r="V308" s="126"/>
      <c r="W308" s="126"/>
      <c r="X308" s="126"/>
      <c r="Y308" s="126"/>
      <c r="Z308" s="126"/>
      <c r="AA308" s="126"/>
      <c r="AB308" s="126"/>
    </row>
    <row r="309" spans="1:28">
      <c r="A309" t="s">
        <v>2519</v>
      </c>
      <c r="B309" s="25">
        <f t="shared" si="44"/>
        <v>25</v>
      </c>
      <c r="C309" s="123" t="str">
        <f t="shared" si="43"/>
        <v>Year-25</v>
      </c>
      <c r="D309" s="35">
        <v>53632</v>
      </c>
      <c r="E309" s="26">
        <f t="shared" si="50"/>
        <v>162.9</v>
      </c>
      <c r="F309" s="26">
        <f t="shared" si="50"/>
        <v>133.69942049999997</v>
      </c>
      <c r="G309" s="31">
        <f t="shared" si="49"/>
        <v>42278.729017142789</v>
      </c>
      <c r="H309" s="124">
        <f t="shared" si="51"/>
        <v>42.187120547750681</v>
      </c>
      <c r="I309" s="125">
        <f t="shared" si="51"/>
        <v>1.5950920245398792E-2</v>
      </c>
      <c r="J309" s="125">
        <f t="shared" si="51"/>
        <v>0.27</v>
      </c>
      <c r="K309" s="125">
        <f t="shared" si="51"/>
        <v>6.9024239591701744E-2</v>
      </c>
      <c r="L309" s="125">
        <f t="shared" si="51"/>
        <v>1.4204952105287192E-2</v>
      </c>
      <c r="M309" s="125">
        <f t="shared" si="51"/>
        <v>1.3252885058363056E-2</v>
      </c>
      <c r="N309" s="125">
        <f t="shared" si="51"/>
        <v>1.3980442883231779E-2</v>
      </c>
      <c r="O309" s="125">
        <f t="shared" si="51"/>
        <v>0</v>
      </c>
      <c r="P309" s="125">
        <f t="shared" si="51"/>
        <v>2.30208488716231E-2</v>
      </c>
      <c r="Q309" s="125">
        <f t="shared" si="51"/>
        <v>8.3479094998109554E-3</v>
      </c>
      <c r="R309" s="125">
        <f t="shared" si="51"/>
        <v>0.995</v>
      </c>
      <c r="S309" s="125">
        <f t="shared" si="51"/>
        <v>0.995</v>
      </c>
      <c r="T309" s="125">
        <f t="shared" si="51"/>
        <v>0</v>
      </c>
      <c r="U309" s="126"/>
      <c r="V309" s="126"/>
      <c r="W309" s="126"/>
      <c r="X309" s="126"/>
      <c r="Y309" s="126"/>
      <c r="Z309" s="126"/>
      <c r="AA309" s="126"/>
      <c r="AB309" s="126"/>
    </row>
    <row r="310" spans="1:28">
      <c r="A310" t="s">
        <v>2519</v>
      </c>
      <c r="B310" s="25">
        <f t="shared" si="44"/>
        <v>25</v>
      </c>
      <c r="C310" s="123" t="str">
        <f t="shared" si="43"/>
        <v>Year-25</v>
      </c>
      <c r="D310" s="35">
        <v>53662</v>
      </c>
      <c r="E310" s="26">
        <f t="shared" si="50"/>
        <v>158.6</v>
      </c>
      <c r="F310" s="26">
        <f t="shared" si="50"/>
        <v>124.40004220000003</v>
      </c>
      <c r="G310" s="31">
        <f t="shared" si="49"/>
        <v>43522.751320845506</v>
      </c>
      <c r="H310" s="124">
        <f t="shared" si="51"/>
        <v>36.076939444156181</v>
      </c>
      <c r="I310" s="125">
        <f t="shared" si="51"/>
        <v>1.5802781289506962E-2</v>
      </c>
      <c r="J310" s="125">
        <f t="shared" si="51"/>
        <v>0.27</v>
      </c>
      <c r="K310" s="125">
        <f t="shared" si="51"/>
        <v>4.4787946264861052E-2</v>
      </c>
      <c r="L310" s="125">
        <f t="shared" si="51"/>
        <v>1.4140595613406415E-2</v>
      </c>
      <c r="M310" s="125">
        <f t="shared" si="51"/>
        <v>1.2367081056294736E-2</v>
      </c>
      <c r="N310" s="125">
        <f t="shared" si="51"/>
        <v>1.3960975699298588E-2</v>
      </c>
      <c r="O310" s="125">
        <f t="shared" si="51"/>
        <v>0</v>
      </c>
      <c r="P310" s="125">
        <f t="shared" si="51"/>
        <v>2.3055036005913448E-2</v>
      </c>
      <c r="Q310" s="125">
        <f t="shared" si="51"/>
        <v>3.6978876304825567E-3</v>
      </c>
      <c r="R310" s="125">
        <f t="shared" si="51"/>
        <v>0.995</v>
      </c>
      <c r="S310" s="125">
        <f t="shared" si="51"/>
        <v>0.995</v>
      </c>
      <c r="T310" s="125">
        <f t="shared" si="51"/>
        <v>0</v>
      </c>
      <c r="U310" s="126"/>
      <c r="V310" s="126"/>
      <c r="W310" s="126"/>
      <c r="X310" s="126"/>
      <c r="Y310" s="126"/>
      <c r="Z310" s="126"/>
      <c r="AA310" s="126"/>
      <c r="AB310" s="126"/>
    </row>
    <row r="311" spans="1:28">
      <c r="A311" t="s">
        <v>2519</v>
      </c>
      <c r="B311" s="25">
        <f t="shared" si="44"/>
        <v>25</v>
      </c>
      <c r="C311" s="123" t="str">
        <f t="shared" si="43"/>
        <v>Year-25</v>
      </c>
      <c r="D311" s="35">
        <v>53693</v>
      </c>
      <c r="E311" s="26">
        <f t="shared" si="50"/>
        <v>169.028549</v>
      </c>
      <c r="F311" s="26">
        <f t="shared" si="50"/>
        <v>133.89933939999995</v>
      </c>
      <c r="G311" s="31">
        <f t="shared" si="49"/>
        <v>46209.118324493356</v>
      </c>
      <c r="H311" s="124">
        <f t="shared" si="51"/>
        <v>34.970332119021293</v>
      </c>
      <c r="I311" s="125">
        <f t="shared" si="51"/>
        <v>1.7200474495848161E-2</v>
      </c>
      <c r="J311" s="125">
        <f t="shared" si="51"/>
        <v>0.27</v>
      </c>
      <c r="K311" s="125">
        <f t="shared" si="51"/>
        <v>4.0029940128316385E-2</v>
      </c>
      <c r="L311" s="125">
        <f t="shared" si="51"/>
        <v>1.4099625889623608E-2</v>
      </c>
      <c r="M311" s="125">
        <f t="shared" si="51"/>
        <v>1.267725762135744E-2</v>
      </c>
      <c r="N311" s="125">
        <f t="shared" si="51"/>
        <v>1.390175346828215E-2</v>
      </c>
      <c r="O311" s="125">
        <f t="shared" si="51"/>
        <v>0</v>
      </c>
      <c r="P311" s="125">
        <f t="shared" si="51"/>
        <v>2.298066658515029E-2</v>
      </c>
      <c r="Q311" s="125">
        <f t="shared" si="51"/>
        <v>1.0644897972798715E-2</v>
      </c>
      <c r="R311" s="125">
        <f t="shared" si="51"/>
        <v>0.995</v>
      </c>
      <c r="S311" s="125">
        <f t="shared" si="51"/>
        <v>0.995</v>
      </c>
      <c r="T311" s="125">
        <f t="shared" si="51"/>
        <v>0</v>
      </c>
      <c r="U311" s="126"/>
      <c r="V311" s="126"/>
      <c r="W311" s="126"/>
      <c r="X311" s="126"/>
      <c r="Y311" s="126"/>
      <c r="Z311" s="126"/>
      <c r="AA311" s="126"/>
      <c r="AB311" s="126"/>
    </row>
    <row r="312" spans="1:28">
      <c r="A312" t="s">
        <v>2519</v>
      </c>
      <c r="B312" s="25">
        <f t="shared" si="44"/>
        <v>25</v>
      </c>
      <c r="C312" s="123" t="str">
        <f t="shared" si="43"/>
        <v>Year-25</v>
      </c>
      <c r="D312" s="35">
        <v>53724</v>
      </c>
      <c r="E312" s="26">
        <f t="shared" si="50"/>
        <v>172.55912190000004</v>
      </c>
      <c r="F312" s="26">
        <f t="shared" si="50"/>
        <v>145.40077080000009</v>
      </c>
      <c r="G312" s="31">
        <f t="shared" si="49"/>
        <v>42630.30053775441</v>
      </c>
      <c r="H312" s="124">
        <f t="shared" si="51"/>
        <v>40.252096455972236</v>
      </c>
      <c r="I312" s="125">
        <f t="shared" si="51"/>
        <v>1.510749564206848E-2</v>
      </c>
      <c r="J312" s="125">
        <f t="shared" si="51"/>
        <v>0.27</v>
      </c>
      <c r="K312" s="125">
        <f t="shared" si="51"/>
        <v>6.2111013936519133E-2</v>
      </c>
      <c r="L312" s="125">
        <f t="shared" si="51"/>
        <v>1.4175439055030284E-2</v>
      </c>
      <c r="M312" s="125">
        <f t="shared" si="51"/>
        <v>1.4384371816049681E-2</v>
      </c>
      <c r="N312" s="125">
        <f t="shared" si="51"/>
        <v>1.5915736744616871E-2</v>
      </c>
      <c r="O312" s="125">
        <f t="shared" si="51"/>
        <v>0</v>
      </c>
      <c r="P312" s="125">
        <f t="shared" si="51"/>
        <v>2.3268144471779773E-2</v>
      </c>
      <c r="Q312" s="125">
        <f t="shared" si="51"/>
        <v>2.5052142565085967E-2</v>
      </c>
      <c r="R312" s="125">
        <f t="shared" si="51"/>
        <v>0.995</v>
      </c>
      <c r="S312" s="125">
        <f t="shared" si="51"/>
        <v>0.995</v>
      </c>
      <c r="T312" s="125">
        <f t="shared" si="51"/>
        <v>0</v>
      </c>
      <c r="U312" s="126"/>
      <c r="V312" s="126"/>
      <c r="W312" s="126"/>
      <c r="X312" s="126"/>
      <c r="Y312" s="126"/>
      <c r="Z312" s="126"/>
      <c r="AA312" s="126"/>
      <c r="AB312" s="126"/>
    </row>
    <row r="313" spans="1:28">
      <c r="A313" t="s">
        <v>2519</v>
      </c>
      <c r="B313" s="25">
        <f t="shared" si="44"/>
        <v>25</v>
      </c>
      <c r="C313" s="137" t="str">
        <f t="shared" si="43"/>
        <v>Year-25</v>
      </c>
      <c r="D313" s="138">
        <v>53752</v>
      </c>
      <c r="E313" s="139">
        <f t="shared" si="50"/>
        <v>215.74576700000009</v>
      </c>
      <c r="F313" s="139">
        <f t="shared" si="50"/>
        <v>195.59891570000002</v>
      </c>
      <c r="G313" s="140">
        <f t="shared" si="49"/>
        <v>54547.673621051377</v>
      </c>
      <c r="H313" s="141">
        <f t="shared" si="51"/>
        <v>47.179622377374095</v>
      </c>
      <c r="I313" s="125">
        <f t="shared" si="51"/>
        <v>1.5306122448979553E-2</v>
      </c>
      <c r="J313" s="125">
        <f t="shared" si="51"/>
        <v>0.28000000000000003</v>
      </c>
      <c r="K313" s="125">
        <f t="shared" si="51"/>
        <v>9.4419706369976972E-2</v>
      </c>
      <c r="L313" s="125">
        <f t="shared" si="51"/>
        <v>1.4644787078611174E-2</v>
      </c>
      <c r="M313" s="125">
        <f t="shared" si="51"/>
        <v>1.6212630268737406E-2</v>
      </c>
      <c r="N313" s="125">
        <f t="shared" si="51"/>
        <v>2.0718676035686345E-2</v>
      </c>
      <c r="O313" s="125">
        <f t="shared" si="51"/>
        <v>0</v>
      </c>
      <c r="P313" s="125">
        <f t="shared" si="51"/>
        <v>2.3247057021314733E-2</v>
      </c>
      <c r="Q313" s="125">
        <f t="shared" si="51"/>
        <v>3.9222124133286969E-2</v>
      </c>
      <c r="R313" s="125">
        <f t="shared" si="51"/>
        <v>0.995</v>
      </c>
      <c r="S313" s="125">
        <f t="shared" si="51"/>
        <v>0.995</v>
      </c>
      <c r="T313" s="125">
        <f t="shared" si="51"/>
        <v>0</v>
      </c>
      <c r="U313" s="126"/>
      <c r="V313" s="126"/>
      <c r="W313" s="126"/>
      <c r="X313" s="126"/>
      <c r="Y313" s="126"/>
      <c r="Z313" s="126"/>
      <c r="AA313" s="126"/>
      <c r="AB313" s="126"/>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997CADED-EEA3-42BE-B9A2-6AB6EB3434B7}">
  <ds:schemaRefs>
    <ds:schemaRef ds:uri="http://schemas.microsoft.com/office/infopath/2007/PartnerControls"/>
    <ds:schemaRef ds:uri="http://schemas.microsoft.com/office/2006/documentManagement/types"/>
    <ds:schemaRef ds:uri="http://purl.org/dc/elements/1.1/"/>
    <ds:schemaRef ds:uri="http://purl.org/dc/terms/"/>
    <ds:schemaRef ds:uri="http://www.w3.org/XML/1998/namespace"/>
    <ds:schemaRef ds:uri="http://purl.org/dc/dcmitype/"/>
    <ds:schemaRef ds:uri="fc7a6a76-1c0e-42c8-b8bb-e7dae130d739"/>
    <ds:schemaRef ds:uri="http://schemas.openxmlformats.org/package/2006/metadata/core-properties"/>
    <ds:schemaRef ds:uri="d16c97b0-8c68-4a48-9e8f-dd7460dbc509"/>
    <ds:schemaRef ds:uri="http://schemas.microsoft.com/office/2006/metadata/properties"/>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438FDE5C-14C1-46A2-9734-2299374A27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Dashboard</vt:lpstr>
      <vt:lpstr>Annual_KPI</vt:lpstr>
      <vt:lpstr>Monthly_KPI</vt:lpstr>
      <vt:lpstr>Raw_Data</vt:lpstr>
      <vt:lpstr>Daily KPI</vt:lpstr>
      <vt:lpstr>PA</vt:lpstr>
      <vt:lpstr>GA</vt:lpstr>
      <vt:lpstr>Inv_SY</vt:lpstr>
      <vt:lpstr>ModellingYTD</vt:lpstr>
      <vt:lpstr>Basic Data </vt:lpstr>
      <vt:lpstr>Inv_SY_B</vt:lpstr>
      <vt:lpstr>Curtailment records</vt:lpstr>
      <vt:lpstr>WMS Graph</vt:lpstr>
      <vt:lpstr>Modelling New</vt:lpstr>
      <vt:lpstr>Sheet1</vt:lpstr>
      <vt:lpstr>CSPPL_PVS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2025-07-21T06:50:46Z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